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d.docs.live.net/0a8281629d5606fd/"/>
    </mc:Choice>
  </mc:AlternateContent>
  <xr:revisionPtr revIDLastSave="411" documentId="13_ncr:1_{82C244B0-6058-48F2-AB4F-53F47E1EEB57}" xr6:coauthVersionLast="45" xr6:coauthVersionMax="45" xr10:uidLastSave="{404EDC22-EAEA-47EB-8814-B3A63D43C5C0}"/>
  <bookViews>
    <workbookView xWindow="2460" yWindow="2460" windowWidth="21600" windowHeight="11385" tabRatio="637" activeTab="3" xr2:uid="{00000000-000D-0000-FFFF-FFFF00000000}"/>
  </bookViews>
  <sheets>
    <sheet name="Parks" sheetId="1" r:id="rId1"/>
    <sheet name="This week" sheetId="21" r:id="rId2"/>
    <sheet name="This Year" sheetId="18" r:id="rId3"/>
    <sheet name="Runners" sheetId="2" r:id="rId4"/>
    <sheet name="BA Connections" sheetId="11" r:id="rId5"/>
    <sheet name="AgeCatRecs" sheetId="7" r:id="rId6"/>
    <sheet name="Saturdays" sheetId="6" r:id="rId7"/>
    <sheet name="postcodes" sheetId="4" r:id="rId8"/>
    <sheet name="Ex W4" sheetId="5" r:id="rId9"/>
    <sheet name="Cal Bingo" sheetId="19" r:id="rId10"/>
    <sheet name="2019" sheetId="22" r:id="rId11"/>
    <sheet name="2018" sheetId="20" r:id="rId12"/>
    <sheet name="2017" sheetId="17" r:id="rId13"/>
    <sheet name="2016" sheetId="16" r:id="rId14"/>
    <sheet name="2015" sheetId="15" r:id="rId15"/>
    <sheet name="2014" sheetId="14" r:id="rId16"/>
    <sheet name="Steve" sheetId="8" r:id="rId17"/>
    <sheet name="London" sheetId="9" r:id="rId18"/>
    <sheet name="Archives" sheetId="10" r:id="rId19"/>
    <sheet name="Achievers" sheetId="12" r:id="rId20"/>
    <sheet name="All Parks" sheetId="13" r:id="rId21"/>
    <sheet name="Sheet3" sheetId="3" r:id="rId22"/>
  </sheet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12" i="2" l="1"/>
  <c r="I912" i="2"/>
  <c r="J912" i="2"/>
  <c r="K912" i="2"/>
  <c r="L912" i="2"/>
  <c r="N912" i="2"/>
  <c r="R912" i="2"/>
  <c r="U912" i="2"/>
  <c r="G912" i="2"/>
  <c r="H911" i="2"/>
  <c r="I911" i="2"/>
  <c r="J911" i="2"/>
  <c r="K911" i="2"/>
  <c r="L911" i="2"/>
  <c r="N911" i="2"/>
  <c r="R911" i="2"/>
  <c r="U911" i="2"/>
  <c r="G911" i="2"/>
  <c r="C919" i="2"/>
  <c r="C920" i="2"/>
  <c r="C921" i="2"/>
  <c r="C922" i="2"/>
  <c r="C923" i="2"/>
  <c r="C924" i="2"/>
  <c r="C925" i="2"/>
  <c r="C926" i="2"/>
  <c r="C918" i="2"/>
  <c r="C910" i="2"/>
  <c r="H927" i="2"/>
  <c r="I927" i="2"/>
  <c r="J927" i="2"/>
  <c r="K927" i="2"/>
  <c r="L927" i="2"/>
  <c r="M927" i="2"/>
  <c r="N927" i="2"/>
  <c r="O927" i="2"/>
  <c r="Q927" i="2"/>
  <c r="H928" i="2"/>
  <c r="I928" i="2"/>
  <c r="J928" i="2"/>
  <c r="K928" i="2"/>
  <c r="L928" i="2"/>
  <c r="M928" i="2"/>
  <c r="N928" i="2"/>
  <c r="O928" i="2"/>
  <c r="Q928" i="2"/>
  <c r="G928" i="2"/>
  <c r="G927" i="2"/>
  <c r="F919" i="2"/>
  <c r="F920" i="2"/>
  <c r="F921" i="2"/>
  <c r="F922" i="2"/>
  <c r="F923" i="2"/>
  <c r="F924" i="2"/>
  <c r="F925" i="2"/>
  <c r="F926" i="2"/>
  <c r="F918" i="2"/>
  <c r="V956" i="2"/>
  <c r="U956" i="2"/>
  <c r="W956" i="2"/>
  <c r="X956" i="2"/>
  <c r="Y956" i="2"/>
  <c r="V957" i="2"/>
  <c r="W957" i="2"/>
  <c r="X957" i="2"/>
  <c r="Y957" i="2"/>
  <c r="L956" i="2"/>
  <c r="H956" i="2"/>
  <c r="G956" i="2"/>
  <c r="F905" i="2"/>
  <c r="F906" i="2"/>
  <c r="F907" i="2"/>
  <c r="F908" i="2"/>
  <c r="F909" i="2"/>
  <c r="F910" i="2"/>
  <c r="F904" i="2"/>
  <c r="E908" i="2"/>
  <c r="E904" i="2"/>
  <c r="C904" i="2"/>
  <c r="C905" i="2"/>
  <c r="C906" i="2"/>
  <c r="C907" i="2"/>
  <c r="C908" i="2"/>
  <c r="C909" i="2"/>
  <c r="C886" i="2"/>
  <c r="C887" i="2"/>
  <c r="C888" i="2"/>
  <c r="C889" i="2"/>
  <c r="C890" i="2"/>
  <c r="C891" i="2"/>
  <c r="C892" i="2"/>
  <c r="C893" i="2"/>
  <c r="C894" i="2"/>
  <c r="C895" i="2"/>
  <c r="C896" i="2"/>
  <c r="C885" i="2"/>
  <c r="F895" i="2"/>
  <c r="F886" i="2"/>
  <c r="F887" i="2"/>
  <c r="F888" i="2"/>
  <c r="F889" i="2"/>
  <c r="F890" i="2"/>
  <c r="F891" i="2"/>
  <c r="F892" i="2"/>
  <c r="F893" i="2"/>
  <c r="F894" i="2"/>
  <c r="F896" i="2"/>
  <c r="F885" i="2"/>
  <c r="Y897" i="2"/>
  <c r="Y898" i="2"/>
  <c r="C927" i="2" l="1"/>
  <c r="C897" i="2"/>
  <c r="C911" i="2"/>
  <c r="H897" i="2"/>
  <c r="I897" i="2"/>
  <c r="J897" i="2"/>
  <c r="K897" i="2"/>
  <c r="L897" i="2"/>
  <c r="M897" i="2"/>
  <c r="N897" i="2"/>
  <c r="O897" i="2"/>
  <c r="P897" i="2"/>
  <c r="R897" i="2"/>
  <c r="S897" i="2"/>
  <c r="T897" i="2"/>
  <c r="U897" i="2"/>
  <c r="V897" i="2"/>
  <c r="W897" i="2"/>
  <c r="H898" i="2"/>
  <c r="I898" i="2"/>
  <c r="J898" i="2"/>
  <c r="K898" i="2"/>
  <c r="L898" i="2"/>
  <c r="M898" i="2"/>
  <c r="N898" i="2"/>
  <c r="O898" i="2"/>
  <c r="P898" i="2"/>
  <c r="R898" i="2"/>
  <c r="S898" i="2"/>
  <c r="T898" i="2"/>
  <c r="U898" i="2"/>
  <c r="V898" i="2"/>
  <c r="W898" i="2"/>
  <c r="G898" i="2"/>
  <c r="G897" i="2"/>
  <c r="C776" i="2" l="1"/>
  <c r="C775" i="2"/>
  <c r="C757" i="2"/>
  <c r="C754" i="2" l="1"/>
  <c r="C755" i="2"/>
  <c r="C756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7" i="2"/>
  <c r="C778" i="2"/>
  <c r="C779" i="2"/>
  <c r="C780" i="2"/>
  <c r="C781" i="2"/>
  <c r="C782" i="2"/>
  <c r="C783" i="2"/>
  <c r="C784" i="2"/>
  <c r="C785" i="2"/>
  <c r="C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53" i="2"/>
  <c r="E776" i="2"/>
  <c r="E757" i="2"/>
  <c r="E732" i="2"/>
  <c r="C732" i="2"/>
  <c r="F739" i="2"/>
  <c r="C721" i="2"/>
  <c r="O745" i="2"/>
  <c r="D59" i="1" s="1"/>
  <c r="O744" i="2"/>
  <c r="E59" i="1" s="1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40" i="2"/>
  <c r="F741" i="2"/>
  <c r="F742" i="2"/>
  <c r="F743" i="2"/>
  <c r="C722" i="2"/>
  <c r="C723" i="2"/>
  <c r="C724" i="2"/>
  <c r="C725" i="2"/>
  <c r="C726" i="2"/>
  <c r="C727" i="2"/>
  <c r="C728" i="2"/>
  <c r="C729" i="2"/>
  <c r="C730" i="2"/>
  <c r="C731" i="2"/>
  <c r="C733" i="2"/>
  <c r="C734" i="2"/>
  <c r="C735" i="2"/>
  <c r="C736" i="2"/>
  <c r="C737" i="2"/>
  <c r="C738" i="2"/>
  <c r="C739" i="2"/>
  <c r="C740" i="2"/>
  <c r="C741" i="2"/>
  <c r="C742" i="2"/>
  <c r="C743" i="2"/>
  <c r="S745" i="2" l="1"/>
  <c r="D559" i="1" s="1"/>
  <c r="R745" i="2"/>
  <c r="D431" i="1" s="1"/>
  <c r="Q745" i="2"/>
  <c r="D379" i="1" s="1"/>
  <c r="P745" i="2"/>
  <c r="D66" i="1" s="1"/>
  <c r="S744" i="2"/>
  <c r="E559" i="1" s="1"/>
  <c r="R744" i="2"/>
  <c r="E431" i="1" s="1"/>
  <c r="Q744" i="2"/>
  <c r="E379" i="1" s="1"/>
  <c r="P744" i="2"/>
  <c r="E66" i="1" s="1"/>
  <c r="F605" i="2" l="1"/>
  <c r="C605" i="2"/>
  <c r="K656" i="2" l="1"/>
  <c r="E171" i="1" s="1"/>
  <c r="K657" i="2"/>
  <c r="D171" i="1" s="1"/>
  <c r="F654" i="2"/>
  <c r="C654" i="2"/>
  <c r="H786" i="2"/>
  <c r="I786" i="2"/>
  <c r="J786" i="2"/>
  <c r="K786" i="2"/>
  <c r="L786" i="2"/>
  <c r="M786" i="2"/>
  <c r="O786" i="2"/>
  <c r="P786" i="2"/>
  <c r="Q786" i="2"/>
  <c r="R786" i="2"/>
  <c r="S786" i="2"/>
  <c r="T786" i="2"/>
  <c r="E483" i="1" s="1"/>
  <c r="U786" i="2"/>
  <c r="V786" i="2"/>
  <c r="H787" i="2"/>
  <c r="I787" i="2"/>
  <c r="J787" i="2"/>
  <c r="K787" i="2"/>
  <c r="L787" i="2"/>
  <c r="M787" i="2"/>
  <c r="O787" i="2"/>
  <c r="P787" i="2"/>
  <c r="Q787" i="2"/>
  <c r="R787" i="2"/>
  <c r="S787" i="2"/>
  <c r="T787" i="2"/>
  <c r="D483" i="1" s="1"/>
  <c r="U787" i="2"/>
  <c r="V787" i="2"/>
  <c r="G787" i="2"/>
  <c r="G786" i="2"/>
  <c r="E787" i="2" l="1"/>
  <c r="F1192" i="2"/>
  <c r="C1192" i="2"/>
  <c r="F1221" i="2"/>
  <c r="C1221" i="2"/>
  <c r="F1015" i="2"/>
  <c r="C1015" i="2"/>
  <c r="F869" i="2"/>
  <c r="C869" i="2"/>
  <c r="F699" i="2"/>
  <c r="C699" i="2"/>
  <c r="F610" i="2"/>
  <c r="C610" i="2"/>
  <c r="F571" i="2"/>
  <c r="C571" i="2"/>
  <c r="F487" i="2"/>
  <c r="C487" i="2"/>
  <c r="F447" i="2"/>
  <c r="C447" i="2"/>
  <c r="F404" i="2"/>
  <c r="C404" i="2"/>
  <c r="F349" i="2"/>
  <c r="C349" i="2"/>
  <c r="F275" i="2"/>
  <c r="C275" i="2"/>
  <c r="F189" i="2"/>
  <c r="C189" i="2"/>
  <c r="AA69" i="2" l="1"/>
  <c r="C69" i="2" s="1"/>
  <c r="AI69" i="2" s="1"/>
  <c r="F69" i="2"/>
  <c r="AF69" i="2"/>
  <c r="AE69" i="2"/>
  <c r="O700" i="1" l="1"/>
  <c r="N700" i="1"/>
  <c r="M700" i="1"/>
  <c r="AB236" i="1"/>
  <c r="F1187" i="2"/>
  <c r="C1187" i="2"/>
  <c r="Z1199" i="2"/>
  <c r="E239" i="1" s="1"/>
  <c r="Z1200" i="2"/>
  <c r="D239" i="1" s="1"/>
  <c r="C1188" i="2"/>
  <c r="X483" i="1" l="1"/>
  <c r="W483" i="1"/>
  <c r="H1164" i="2"/>
  <c r="E128" i="1" s="1"/>
  <c r="H1165" i="2"/>
  <c r="D128" i="1" s="1"/>
  <c r="AB128" i="1"/>
  <c r="F366" i="2" l="1"/>
  <c r="C366" i="2"/>
  <c r="Q1137" i="2" l="1"/>
  <c r="E444" i="1" s="1"/>
  <c r="Q1138" i="2"/>
  <c r="D444" i="1" s="1"/>
  <c r="AB444" i="1"/>
  <c r="C1296" i="2" l="1"/>
  <c r="C1297" i="2"/>
  <c r="C1298" i="2"/>
  <c r="C1299" i="2"/>
  <c r="C1300" i="2"/>
  <c r="C1301" i="2"/>
  <c r="C1302" i="2"/>
  <c r="C1295" i="2"/>
  <c r="F1296" i="2"/>
  <c r="F1297" i="2"/>
  <c r="F1298" i="2"/>
  <c r="F1299" i="2"/>
  <c r="F1300" i="2"/>
  <c r="F1301" i="2"/>
  <c r="F1302" i="2"/>
  <c r="F1295" i="2"/>
  <c r="K1315" i="2"/>
  <c r="D562" i="1" s="1"/>
  <c r="J1314" i="2"/>
  <c r="O1314" i="2"/>
  <c r="E443" i="1" s="1"/>
  <c r="O1315" i="2"/>
  <c r="D443" i="1" s="1"/>
  <c r="N1315" i="2"/>
  <c r="D552" i="1" s="1"/>
  <c r="N1314" i="2"/>
  <c r="E287" i="1" s="1"/>
  <c r="H1314" i="2"/>
  <c r="E311" i="1" s="1"/>
  <c r="I1314" i="2"/>
  <c r="E387" i="1" s="1"/>
  <c r="K1314" i="2"/>
  <c r="E562" i="1" s="1"/>
  <c r="G1314" i="2"/>
  <c r="E98" i="1" s="1"/>
  <c r="H1315" i="2"/>
  <c r="D311" i="1" s="1"/>
  <c r="I1315" i="2"/>
  <c r="D387" i="1" s="1"/>
  <c r="J1315" i="2"/>
  <c r="G1315" i="2"/>
  <c r="E552" i="1"/>
  <c r="F1311" i="2"/>
  <c r="F1312" i="2"/>
  <c r="F1313" i="2"/>
  <c r="F1310" i="2"/>
  <c r="C1311" i="2"/>
  <c r="C1312" i="2"/>
  <c r="C1313" i="2"/>
  <c r="C1310" i="2"/>
  <c r="C1314" i="2"/>
  <c r="E1315" i="2" l="1"/>
  <c r="D287" i="1"/>
  <c r="D98" i="1"/>
  <c r="F842" i="2"/>
  <c r="F839" i="2"/>
  <c r="U854" i="2"/>
  <c r="F840" i="2"/>
  <c r="F841" i="2"/>
  <c r="F843" i="2"/>
  <c r="F844" i="2"/>
  <c r="F845" i="2"/>
  <c r="F846" i="2"/>
  <c r="F847" i="2"/>
  <c r="F848" i="2"/>
  <c r="F849" i="2"/>
  <c r="F850" i="2"/>
  <c r="F851" i="2"/>
  <c r="F852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39" i="2"/>
  <c r="G876" i="2"/>
  <c r="G877" i="2"/>
  <c r="AN49" i="2"/>
  <c r="C853" i="2" l="1"/>
  <c r="F1219" i="2"/>
  <c r="C1219" i="2"/>
  <c r="E1107" i="2"/>
  <c r="F1107" i="2"/>
  <c r="C1107" i="2"/>
  <c r="C1098" i="2"/>
  <c r="C1106" i="2"/>
  <c r="F1343" i="2"/>
  <c r="C1343" i="2"/>
  <c r="F611" i="2"/>
  <c r="C611" i="2"/>
  <c r="F350" i="2"/>
  <c r="C350" i="2"/>
  <c r="F276" i="2"/>
  <c r="C276" i="2"/>
  <c r="F190" i="2"/>
  <c r="C190" i="2"/>
  <c r="AF72" i="2"/>
  <c r="AE72" i="2"/>
  <c r="AA72" i="2" l="1"/>
  <c r="C72" i="2" s="1"/>
  <c r="AI72" i="2" s="1"/>
  <c r="F72" i="2"/>
  <c r="F1328" i="2" l="1"/>
  <c r="C1328" i="2"/>
  <c r="F1395" i="2" l="1"/>
  <c r="C1395" i="2"/>
  <c r="L1409" i="2"/>
  <c r="E463" i="1" s="1"/>
  <c r="L1410" i="2"/>
  <c r="D463" i="1" s="1"/>
  <c r="Q825" i="19" l="1"/>
  <c r="Q826" i="19"/>
  <c r="H853" i="2" l="1"/>
  <c r="E537" i="1" s="1"/>
  <c r="J853" i="2"/>
  <c r="E263" i="1" s="1"/>
  <c r="K853" i="2"/>
  <c r="E303" i="1" s="1"/>
  <c r="L853" i="2"/>
  <c r="E542" i="1" s="1"/>
  <c r="N853" i="2"/>
  <c r="E40" i="1" s="1"/>
  <c r="O853" i="2"/>
  <c r="E326" i="1" s="1"/>
  <c r="P853" i="2"/>
  <c r="E523" i="1" s="1"/>
  <c r="Q853" i="2"/>
  <c r="E570" i="1" s="1"/>
  <c r="S853" i="2"/>
  <c r="E112" i="1" s="1"/>
  <c r="T853" i="2"/>
  <c r="E200" i="1" s="1"/>
  <c r="U853" i="2"/>
  <c r="E447" i="1" s="1"/>
  <c r="G853" i="2"/>
  <c r="E494" i="1" s="1"/>
  <c r="H854" i="2"/>
  <c r="D537" i="1" s="1"/>
  <c r="J854" i="2"/>
  <c r="D263" i="1" s="1"/>
  <c r="K854" i="2"/>
  <c r="D303" i="1" s="1"/>
  <c r="L854" i="2"/>
  <c r="D542" i="1" s="1"/>
  <c r="N854" i="2"/>
  <c r="D40" i="1" s="1"/>
  <c r="O854" i="2"/>
  <c r="D326" i="1" s="1"/>
  <c r="P854" i="2"/>
  <c r="D523" i="1" s="1"/>
  <c r="Q854" i="2"/>
  <c r="D570" i="1" s="1"/>
  <c r="S854" i="2"/>
  <c r="D112" i="1" s="1"/>
  <c r="T854" i="2"/>
  <c r="D200" i="1" s="1"/>
  <c r="D447" i="1"/>
  <c r="G854" i="2"/>
  <c r="E854" i="2" l="1"/>
  <c r="D494" i="1"/>
  <c r="L683" i="2"/>
  <c r="G682" i="2"/>
  <c r="F680" i="2"/>
  <c r="G744" i="2" l="1"/>
  <c r="F665" i="2" l="1"/>
  <c r="C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1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K682" i="2"/>
  <c r="K683" i="2"/>
  <c r="C682" i="2" l="1"/>
  <c r="J883" i="19" l="1"/>
  <c r="J884" i="19" s="1"/>
  <c r="J885" i="19" s="1"/>
  <c r="J886" i="19" s="1"/>
  <c r="J887" i="19" s="1"/>
  <c r="J888" i="19" s="1"/>
  <c r="J889" i="19" s="1"/>
  <c r="J890" i="19" s="1"/>
  <c r="J891" i="19" s="1"/>
  <c r="J892" i="19" s="1"/>
  <c r="J893" i="19" s="1"/>
  <c r="J894" i="19" s="1"/>
  <c r="J895" i="19" s="1"/>
  <c r="J896" i="19" s="1"/>
  <c r="J897" i="19" s="1"/>
  <c r="J898" i="19" s="1"/>
  <c r="J899" i="19" s="1"/>
  <c r="J900" i="19" s="1"/>
  <c r="J901" i="19" s="1"/>
  <c r="AB189" i="1"/>
  <c r="N876" i="2"/>
  <c r="E189" i="1" s="1"/>
  <c r="N877" i="2"/>
  <c r="D189" i="1" s="1"/>
  <c r="F268" i="2" l="1"/>
  <c r="C268" i="2"/>
  <c r="T973" i="2" l="1"/>
  <c r="E479" i="1" s="1"/>
  <c r="T974" i="2"/>
  <c r="D479" i="1" s="1"/>
  <c r="F374" i="19" l="1"/>
  <c r="H374" i="19"/>
  <c r="J374" i="19"/>
  <c r="L374" i="19"/>
  <c r="N374" i="19"/>
  <c r="P374" i="19"/>
  <c r="R374" i="19"/>
  <c r="T374" i="19"/>
  <c r="V374" i="19"/>
  <c r="X374" i="19"/>
  <c r="Z374" i="19"/>
  <c r="D374" i="19"/>
  <c r="H906" i="19" l="1"/>
  <c r="H907" i="19" s="1"/>
  <c r="H908" i="19" s="1"/>
  <c r="H909" i="19" s="1"/>
  <c r="H910" i="19" s="1"/>
  <c r="H911" i="19" s="1"/>
  <c r="H912" i="19" s="1"/>
  <c r="H913" i="19" s="1"/>
  <c r="H914" i="19" s="1"/>
  <c r="H915" i="19" s="1"/>
  <c r="H916" i="19" s="1"/>
  <c r="H917" i="19" s="1"/>
  <c r="H918" i="19" s="1"/>
  <c r="H919" i="19" s="1"/>
  <c r="H920" i="19" s="1"/>
  <c r="H921" i="19" s="1"/>
  <c r="H922" i="19" s="1"/>
  <c r="H923" i="19" s="1"/>
  <c r="F410" i="2" l="1"/>
  <c r="C410" i="2"/>
  <c r="AB17" i="1"/>
  <c r="H1409" i="2"/>
  <c r="I1409" i="2"/>
  <c r="J1409" i="2"/>
  <c r="K1409" i="2"/>
  <c r="M1409" i="2"/>
  <c r="O1409" i="2"/>
  <c r="P1409" i="2"/>
  <c r="Q1409" i="2"/>
  <c r="S1409" i="2"/>
  <c r="E17" i="1" s="1"/>
  <c r="T1409" i="2"/>
  <c r="U1409" i="2"/>
  <c r="V1409" i="2"/>
  <c r="Z1409" i="2"/>
  <c r="H1410" i="2"/>
  <c r="I1410" i="2"/>
  <c r="J1410" i="2"/>
  <c r="K1410" i="2"/>
  <c r="M1410" i="2"/>
  <c r="O1410" i="2"/>
  <c r="P1410" i="2"/>
  <c r="Q1410" i="2"/>
  <c r="S1410" i="2"/>
  <c r="D17" i="1" s="1"/>
  <c r="T1410" i="2"/>
  <c r="U1410" i="2"/>
  <c r="V1410" i="2"/>
  <c r="Z1410" i="2"/>
  <c r="G1409" i="2"/>
  <c r="G1410" i="2"/>
  <c r="F1408" i="2"/>
  <c r="C1408" i="2"/>
  <c r="F1389" i="2"/>
  <c r="C1389" i="2"/>
  <c r="F1397" i="2"/>
  <c r="C1397" i="2"/>
  <c r="F483" i="2"/>
  <c r="C483" i="2"/>
  <c r="E1410" i="2" l="1"/>
  <c r="E605" i="1"/>
  <c r="D605" i="1"/>
  <c r="AB605" i="1"/>
  <c r="AB436" i="1"/>
  <c r="J1270" i="2"/>
  <c r="E436" i="1" s="1"/>
  <c r="J1271" i="2"/>
  <c r="D436" i="1" s="1"/>
  <c r="N956" i="2" l="1"/>
  <c r="E76" i="1" s="1"/>
  <c r="N957" i="2"/>
  <c r="D76" i="1" s="1"/>
  <c r="F403" i="2"/>
  <c r="C403" i="2"/>
  <c r="E1188" i="2" l="1"/>
  <c r="F1188" i="2"/>
  <c r="F523" i="2"/>
  <c r="C523" i="2"/>
  <c r="F398" i="2"/>
  <c r="C398" i="2"/>
  <c r="F342" i="2"/>
  <c r="C342" i="2"/>
  <c r="F182" i="2"/>
  <c r="C182" i="2"/>
  <c r="AF54" i="2"/>
  <c r="AE54" i="2"/>
  <c r="AA54" i="2" l="1"/>
  <c r="C54" i="2" s="1"/>
  <c r="AI54" i="2" s="1"/>
  <c r="F54" i="2"/>
  <c r="AK54" i="2" s="1"/>
  <c r="U1303" i="2" l="1"/>
  <c r="E546" i="1" s="1"/>
  <c r="U1304" i="2"/>
  <c r="D546" i="1" s="1"/>
  <c r="AB546" i="1"/>
  <c r="AB301" i="1" l="1"/>
  <c r="AB55" i="1" l="1"/>
  <c r="I1303" i="2"/>
  <c r="E55" i="1" s="1"/>
  <c r="I1304" i="2"/>
  <c r="D55" i="1" s="1"/>
  <c r="C700" i="2" l="1"/>
  <c r="E700" i="2"/>
  <c r="F691" i="2"/>
  <c r="F692" i="2"/>
  <c r="F693" i="2"/>
  <c r="F694" i="2"/>
  <c r="F695" i="2"/>
  <c r="F696" i="2"/>
  <c r="F697" i="2"/>
  <c r="F698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690" i="2"/>
  <c r="C691" i="2"/>
  <c r="C692" i="2"/>
  <c r="C693" i="2"/>
  <c r="C694" i="2"/>
  <c r="C695" i="2"/>
  <c r="C696" i="2"/>
  <c r="C697" i="2"/>
  <c r="C698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690" i="2"/>
  <c r="C713" i="2" l="1"/>
  <c r="Q713" i="2"/>
  <c r="E522" i="1" s="1"/>
  <c r="R713" i="2"/>
  <c r="E524" i="1" s="1"/>
  <c r="Q714" i="2"/>
  <c r="D522" i="1" s="1"/>
  <c r="R714" i="2"/>
  <c r="D524" i="1" s="1"/>
  <c r="R629" i="2" l="1"/>
  <c r="E335" i="1" s="1"/>
  <c r="R630" i="2"/>
  <c r="D335" i="1" s="1"/>
  <c r="Q553" i="2"/>
  <c r="E272" i="1" s="1"/>
  <c r="Q554" i="2"/>
  <c r="D272" i="1" s="1"/>
  <c r="R877" i="2"/>
  <c r="R876" i="2"/>
  <c r="F526" i="2" l="1"/>
  <c r="C526" i="2"/>
  <c r="F432" i="2"/>
  <c r="C432" i="2"/>
  <c r="B369" i="19" l="1"/>
  <c r="K1244" i="2" l="1"/>
  <c r="L1244" i="2"/>
  <c r="M1244" i="2"/>
  <c r="E428" i="1" s="1"/>
  <c r="N1244" i="2"/>
  <c r="O1244" i="2"/>
  <c r="K1245" i="2"/>
  <c r="L1245" i="2"/>
  <c r="M1245" i="2"/>
  <c r="D428" i="1" s="1"/>
  <c r="N1245" i="2"/>
  <c r="O1245" i="2"/>
  <c r="D606" i="1" s="1"/>
  <c r="S1244" i="2"/>
  <c r="S1245" i="2"/>
  <c r="R1245" i="2"/>
  <c r="R1244" i="2"/>
  <c r="G1245" i="2"/>
  <c r="G1244" i="2"/>
  <c r="J1245" i="2"/>
  <c r="J1244" i="2"/>
  <c r="C1243" i="2"/>
  <c r="F1243" i="2"/>
  <c r="AB428" i="1"/>
  <c r="H553" i="2"/>
  <c r="I553" i="2"/>
  <c r="J553" i="2"/>
  <c r="K553" i="2"/>
  <c r="E115" i="1" s="1"/>
  <c r="L553" i="2"/>
  <c r="M553" i="2"/>
  <c r="N553" i="2"/>
  <c r="O553" i="2"/>
  <c r="P553" i="2"/>
  <c r="R553" i="2"/>
  <c r="S553" i="2"/>
  <c r="T553" i="2"/>
  <c r="U553" i="2"/>
  <c r="H554" i="2"/>
  <c r="I554" i="2"/>
  <c r="J554" i="2"/>
  <c r="K554" i="2"/>
  <c r="D115" i="1" s="1"/>
  <c r="L554" i="2"/>
  <c r="M554" i="2"/>
  <c r="N554" i="2"/>
  <c r="O554" i="2"/>
  <c r="P554" i="2"/>
  <c r="R554" i="2"/>
  <c r="S554" i="2"/>
  <c r="T554" i="2"/>
  <c r="U554" i="2"/>
  <c r="G553" i="2"/>
  <c r="G554" i="2"/>
  <c r="F547" i="2"/>
  <c r="C547" i="2"/>
  <c r="E1245" i="2" l="1"/>
  <c r="J1303" i="2"/>
  <c r="E122" i="1" s="1"/>
  <c r="K1303" i="2"/>
  <c r="E150" i="1" s="1"/>
  <c r="J1304" i="2"/>
  <c r="D122" i="1" s="1"/>
  <c r="K1304" i="2"/>
  <c r="D150" i="1" s="1"/>
  <c r="D389" i="6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AN106" i="2" l="1"/>
  <c r="AP9" i="2"/>
  <c r="AP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4" i="2"/>
  <c r="AN35" i="2"/>
  <c r="AN36" i="2"/>
  <c r="AN37" i="2"/>
  <c r="AN38" i="2"/>
  <c r="AN40" i="2"/>
  <c r="AN41" i="2"/>
  <c r="AN42" i="2"/>
  <c r="AN43" i="2"/>
  <c r="AN44" i="2"/>
  <c r="AN45" i="2"/>
  <c r="AN46" i="2"/>
  <c r="AN47" i="2"/>
  <c r="AN48" i="2"/>
  <c r="AN50" i="2"/>
  <c r="AN51" i="2"/>
  <c r="AN52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70" i="2"/>
  <c r="AN71" i="2"/>
  <c r="AN73" i="2"/>
  <c r="AN74" i="2"/>
  <c r="AN75" i="2"/>
  <c r="AN76" i="2"/>
  <c r="AN77" i="2"/>
  <c r="AN78" i="2"/>
  <c r="AN80" i="2"/>
  <c r="AN82" i="2"/>
  <c r="AN83" i="2"/>
  <c r="AN84" i="2"/>
  <c r="AN85" i="2"/>
  <c r="AN86" i="2"/>
  <c r="AN87" i="2"/>
  <c r="AN88" i="2"/>
  <c r="AN89" i="2"/>
  <c r="AN90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7" i="2"/>
  <c r="AN108" i="2"/>
  <c r="AN110" i="2"/>
  <c r="AN8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70" i="2"/>
  <c r="AP71" i="2"/>
  <c r="AP73" i="2"/>
  <c r="AP74" i="2"/>
  <c r="AP75" i="2"/>
  <c r="AP76" i="2"/>
  <c r="AP77" i="2"/>
  <c r="AP78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I1019" i="22" l="1"/>
  <c r="O1164" i="2" l="1"/>
  <c r="E158" i="1" s="1"/>
  <c r="O1165" i="2"/>
  <c r="D158" i="1" s="1"/>
  <c r="AB158" i="1" l="1"/>
  <c r="F1342" i="2"/>
  <c r="C1342" i="2"/>
  <c r="O1072" i="2"/>
  <c r="E310" i="1" s="1"/>
  <c r="O1073" i="2"/>
  <c r="D310" i="1" s="1"/>
  <c r="AB310" i="1"/>
  <c r="C651" i="2" l="1"/>
  <c r="H713" i="2"/>
  <c r="E429" i="1" s="1"/>
  <c r="J713" i="2"/>
  <c r="E337" i="1" s="1"/>
  <c r="M713" i="2"/>
  <c r="E108" i="1" s="1"/>
  <c r="N713" i="2"/>
  <c r="E114" i="1" s="1"/>
  <c r="O713" i="2"/>
  <c r="E215" i="1" s="1"/>
  <c r="P713" i="2"/>
  <c r="E208" i="1" s="1"/>
  <c r="S713" i="2"/>
  <c r="E540" i="1" s="1"/>
  <c r="T713" i="2"/>
  <c r="E539" i="1" s="1"/>
  <c r="H714" i="2"/>
  <c r="D429" i="1" s="1"/>
  <c r="J714" i="2"/>
  <c r="D337" i="1" s="1"/>
  <c r="M714" i="2"/>
  <c r="D108" i="1" s="1"/>
  <c r="N714" i="2"/>
  <c r="D114" i="1" s="1"/>
  <c r="O714" i="2"/>
  <c r="D215" i="1" s="1"/>
  <c r="P714" i="2"/>
  <c r="D208" i="1" s="1"/>
  <c r="S714" i="2"/>
  <c r="D540" i="1" s="1"/>
  <c r="T714" i="2"/>
  <c r="D539" i="1" s="1"/>
  <c r="G713" i="2"/>
  <c r="E16" i="1" s="1"/>
  <c r="G714" i="2"/>
  <c r="E714" i="2" l="1"/>
  <c r="D16" i="1"/>
  <c r="C285" i="2"/>
  <c r="F285" i="2"/>
  <c r="N831" i="2" l="1"/>
  <c r="E501" i="1" s="1"/>
  <c r="N832" i="2"/>
  <c r="D501" i="1" s="1"/>
  <c r="F953" i="2" l="1"/>
  <c r="C953" i="2"/>
  <c r="H538" i="2" l="1"/>
  <c r="I538" i="2"/>
  <c r="J538" i="2"/>
  <c r="K538" i="2"/>
  <c r="L538" i="2"/>
  <c r="M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H539" i="2"/>
  <c r="I539" i="2"/>
  <c r="J539" i="2"/>
  <c r="K539" i="2"/>
  <c r="L539" i="2"/>
  <c r="M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G538" i="2"/>
  <c r="G539" i="2"/>
  <c r="F513" i="2"/>
  <c r="C513" i="2"/>
  <c r="F537" i="2"/>
  <c r="C537" i="2"/>
  <c r="E539" i="2" l="1"/>
  <c r="F456" i="2"/>
  <c r="C456" i="2"/>
  <c r="F1405" i="2" l="1"/>
  <c r="E83" i="1"/>
  <c r="D83" i="1"/>
  <c r="AB83" i="1"/>
  <c r="AB516" i="1" l="1"/>
  <c r="V578" i="2"/>
  <c r="E516" i="1" s="1"/>
  <c r="V579" i="2"/>
  <c r="D516" i="1" s="1"/>
  <c r="X1199" i="2"/>
  <c r="E455" i="1" s="1"/>
  <c r="X1200" i="2"/>
  <c r="G1199" i="2"/>
  <c r="F1180" i="2"/>
  <c r="F1181" i="2"/>
  <c r="F1182" i="2"/>
  <c r="F1183" i="2"/>
  <c r="F1184" i="2"/>
  <c r="F1185" i="2"/>
  <c r="F1186" i="2"/>
  <c r="F1189" i="2"/>
  <c r="F1190" i="2"/>
  <c r="F1191" i="2"/>
  <c r="F1193" i="2"/>
  <c r="F1194" i="2"/>
  <c r="F1195" i="2"/>
  <c r="F1196" i="2"/>
  <c r="F1197" i="2"/>
  <c r="F1179" i="2"/>
  <c r="C1180" i="2"/>
  <c r="C1181" i="2"/>
  <c r="C1182" i="2"/>
  <c r="C1183" i="2"/>
  <c r="C1184" i="2"/>
  <c r="C1185" i="2"/>
  <c r="C1186" i="2"/>
  <c r="C1189" i="2"/>
  <c r="C1190" i="2"/>
  <c r="C1191" i="2"/>
  <c r="C1193" i="2"/>
  <c r="C1194" i="2"/>
  <c r="C1195" i="2"/>
  <c r="C1196" i="2"/>
  <c r="C1197" i="2"/>
  <c r="C1179" i="2"/>
  <c r="AB455" i="1"/>
  <c r="D455" i="1" l="1"/>
  <c r="V308" i="2" l="1"/>
  <c r="E481" i="1" s="1"/>
  <c r="V309" i="2"/>
  <c r="D481" i="1" s="1"/>
  <c r="N883" i="19" l="1"/>
  <c r="N884" i="19" s="1"/>
  <c r="N885" i="19" s="1"/>
  <c r="N886" i="19" s="1"/>
  <c r="N887" i="19" s="1"/>
  <c r="N888" i="19" s="1"/>
  <c r="N889" i="19" s="1"/>
  <c r="N890" i="19" s="1"/>
  <c r="N891" i="19" s="1"/>
  <c r="N892" i="19" s="1"/>
  <c r="N893" i="19" s="1"/>
  <c r="N894" i="19" s="1"/>
  <c r="N895" i="19" s="1"/>
  <c r="N896" i="19" s="1"/>
  <c r="N897" i="19" s="1"/>
  <c r="N898" i="19" s="1"/>
  <c r="N899" i="19" s="1"/>
  <c r="N900" i="19" s="1"/>
  <c r="N901" i="19" s="1"/>
  <c r="G683" i="2" l="1"/>
  <c r="H683" i="2"/>
  <c r="D89" i="1" s="1"/>
  <c r="I683" i="2"/>
  <c r="D343" i="1" s="1"/>
  <c r="J683" i="2"/>
  <c r="D376" i="1" s="1"/>
  <c r="D525" i="1"/>
  <c r="E33" i="1"/>
  <c r="H682" i="2"/>
  <c r="E89" i="1" s="1"/>
  <c r="I682" i="2"/>
  <c r="E343" i="1" s="1"/>
  <c r="J682" i="2"/>
  <c r="E376" i="1" s="1"/>
  <c r="E525" i="1"/>
  <c r="L682" i="2"/>
  <c r="E602" i="1" s="1"/>
  <c r="E683" i="2" l="1"/>
  <c r="D33" i="1"/>
  <c r="D602" i="1"/>
  <c r="F1218" i="2"/>
  <c r="C1218" i="2"/>
  <c r="C181" i="2"/>
  <c r="F181" i="2"/>
  <c r="F485" i="2" l="1"/>
  <c r="C485" i="2"/>
  <c r="F475" i="2"/>
  <c r="C475" i="2"/>
  <c r="AB570" i="1" l="1"/>
  <c r="F482" i="2" l="1"/>
  <c r="C482" i="2"/>
  <c r="J744" i="2" l="1"/>
  <c r="E486" i="1" s="1"/>
  <c r="J745" i="2"/>
  <c r="D486" i="1" s="1"/>
  <c r="AB486" i="1"/>
  <c r="S1164" i="2" l="1"/>
  <c r="E179" i="1" s="1"/>
  <c r="S1165" i="2"/>
  <c r="D179" i="1" s="1"/>
  <c r="AB179" i="1"/>
  <c r="M578" i="2" l="1"/>
  <c r="E327" i="1" s="1"/>
  <c r="M579" i="2"/>
  <c r="D327" i="1" s="1"/>
  <c r="AB327" i="1"/>
  <c r="F1084" i="2" l="1"/>
  <c r="C1084" i="2"/>
  <c r="F494" i="2" l="1"/>
  <c r="C494" i="2"/>
  <c r="AB111" i="1"/>
  <c r="E111" i="1"/>
  <c r="G745" i="2"/>
  <c r="D111" i="1" l="1"/>
  <c r="T999" i="2" l="1"/>
  <c r="E210" i="1" s="1"/>
  <c r="T1000" i="2"/>
  <c r="D210" i="1" s="1"/>
  <c r="H1137" i="2"/>
  <c r="E156" i="1" s="1"/>
  <c r="H1138" i="2"/>
  <c r="D156" i="1" s="1"/>
  <c r="S1224" i="2"/>
  <c r="E213" i="1" s="1"/>
  <c r="S1225" i="2"/>
  <c r="D213" i="1" s="1"/>
  <c r="AB49" i="1" l="1"/>
  <c r="F472" i="2" l="1"/>
  <c r="C472" i="2"/>
  <c r="H1199" i="2" l="1"/>
  <c r="J1199" i="2"/>
  <c r="L1199" i="2"/>
  <c r="M1199" i="2"/>
  <c r="O1199" i="2"/>
  <c r="Q1199" i="2"/>
  <c r="R1199" i="2"/>
  <c r="S1199" i="2"/>
  <c r="T1199" i="2"/>
  <c r="U1199" i="2"/>
  <c r="V1199" i="2"/>
  <c r="W1199" i="2"/>
  <c r="H1200" i="2"/>
  <c r="J1200" i="2"/>
  <c r="L1200" i="2"/>
  <c r="M1200" i="2"/>
  <c r="O1200" i="2"/>
  <c r="Q1200" i="2"/>
  <c r="R1200" i="2"/>
  <c r="S1200" i="2"/>
  <c r="T1200" i="2"/>
  <c r="U1200" i="2"/>
  <c r="V1200" i="2"/>
  <c r="W1200" i="2"/>
  <c r="G1200" i="2"/>
  <c r="E1200" i="2" l="1"/>
  <c r="F1198" i="2"/>
  <c r="C1198" i="2"/>
  <c r="C1199" i="2" s="1"/>
  <c r="F810" i="2"/>
  <c r="C810" i="2"/>
  <c r="F619" i="2"/>
  <c r="C619" i="2"/>
  <c r="F575" i="2"/>
  <c r="C575" i="2"/>
  <c r="F495" i="2"/>
  <c r="C495" i="2"/>
  <c r="F455" i="2"/>
  <c r="C455" i="2"/>
  <c r="F411" i="2"/>
  <c r="C411" i="2"/>
  <c r="F288" i="2"/>
  <c r="C288" i="2"/>
  <c r="F200" i="2"/>
  <c r="C200" i="2"/>
  <c r="AF91" i="2"/>
  <c r="AE91" i="2"/>
  <c r="AA91" i="2" l="1"/>
  <c r="C91" i="2" s="1"/>
  <c r="AI91" i="2" s="1"/>
  <c r="F91" i="2"/>
  <c r="AK91" i="2" s="1"/>
  <c r="F1134" i="2"/>
  <c r="O1137" i="2"/>
  <c r="E302" i="1" s="1"/>
  <c r="O1138" i="2"/>
  <c r="D302" i="1" s="1"/>
  <c r="C1134" i="2"/>
  <c r="P629" i="2"/>
  <c r="E301" i="1" s="1"/>
  <c r="P630" i="2"/>
  <c r="D301" i="1" s="1"/>
  <c r="F603" i="2"/>
  <c r="AB396" i="1"/>
  <c r="E236" i="1"/>
  <c r="E396" i="1"/>
  <c r="D236" i="1"/>
  <c r="D396" i="1"/>
  <c r="F1222" i="2" l="1"/>
  <c r="F1223" i="2"/>
  <c r="C1222" i="2"/>
  <c r="F1220" i="2"/>
  <c r="C1220" i="2"/>
  <c r="F1215" i="2"/>
  <c r="F1216" i="2"/>
  <c r="F1217" i="2"/>
  <c r="C1215" i="2"/>
  <c r="C1216" i="2"/>
  <c r="C1217" i="2"/>
  <c r="F1210" i="2"/>
  <c r="F1211" i="2"/>
  <c r="F1212" i="2"/>
  <c r="F1213" i="2"/>
  <c r="F1214" i="2"/>
  <c r="C1212" i="2"/>
  <c r="C1213" i="2"/>
  <c r="C1214" i="2"/>
  <c r="C1210" i="2"/>
  <c r="C1211" i="2"/>
  <c r="C1209" i="2"/>
  <c r="F1209" i="2"/>
  <c r="H1224" i="2"/>
  <c r="I1224" i="2"/>
  <c r="J1224" i="2"/>
  <c r="K1224" i="2"/>
  <c r="L1224" i="2"/>
  <c r="O1224" i="2"/>
  <c r="E63" i="1" s="1"/>
  <c r="P1224" i="2"/>
  <c r="E64" i="1" s="1"/>
  <c r="Q1224" i="2"/>
  <c r="E65" i="1" s="1"/>
  <c r="R1224" i="2"/>
  <c r="E105" i="1" s="1"/>
  <c r="T1224" i="2"/>
  <c r="E322" i="1" s="1"/>
  <c r="U1224" i="2"/>
  <c r="E378" i="1" s="1"/>
  <c r="V1224" i="2"/>
  <c r="E469" i="1" s="1"/>
  <c r="W1224" i="2"/>
  <c r="H1225" i="2"/>
  <c r="I1225" i="2"/>
  <c r="J1225" i="2"/>
  <c r="K1225" i="2"/>
  <c r="L1225" i="2"/>
  <c r="O1225" i="2"/>
  <c r="D63" i="1" s="1"/>
  <c r="P1225" i="2"/>
  <c r="D64" i="1" s="1"/>
  <c r="Q1225" i="2"/>
  <c r="D65" i="1" s="1"/>
  <c r="R1225" i="2"/>
  <c r="D105" i="1" s="1"/>
  <c r="T1225" i="2"/>
  <c r="D322" i="1" s="1"/>
  <c r="U1225" i="2"/>
  <c r="D378" i="1" s="1"/>
  <c r="V1225" i="2"/>
  <c r="D469" i="1" s="1"/>
  <c r="W1225" i="2"/>
  <c r="D551" i="1" s="1"/>
  <c r="G1225" i="2"/>
  <c r="G1224" i="2"/>
  <c r="C1223" i="2" l="1"/>
  <c r="C1224" i="2" s="1"/>
  <c r="E551" i="1"/>
  <c r="E1225" i="2"/>
  <c r="E390" i="1"/>
  <c r="D390" i="1"/>
  <c r="AB390" i="1"/>
  <c r="C864" i="2" l="1"/>
  <c r="F864" i="2"/>
  <c r="AB573" i="1" l="1"/>
  <c r="P1353" i="2"/>
  <c r="E573" i="1" s="1"/>
  <c r="P1354" i="2"/>
  <c r="D573" i="1" s="1"/>
  <c r="F1340" i="2"/>
  <c r="F63" i="2" s="1"/>
  <c r="AK63" i="2" s="1"/>
  <c r="C1340" i="2"/>
  <c r="AA63" i="2" s="1"/>
  <c r="C1036" i="2" l="1"/>
  <c r="C966" i="2"/>
  <c r="C946" i="2"/>
  <c r="C520" i="2"/>
  <c r="M1164" i="2" l="1"/>
  <c r="E176" i="1" s="1"/>
  <c r="M1165" i="2"/>
  <c r="D176" i="1" s="1"/>
  <c r="F1152" i="2"/>
  <c r="C1152" i="2"/>
  <c r="AB176" i="1"/>
  <c r="F146" i="8" l="1"/>
  <c r="E146" i="8"/>
  <c r="G146" i="8"/>
  <c r="H146" i="8"/>
  <c r="F945" i="2" l="1"/>
  <c r="C945" i="2"/>
  <c r="C944" i="2"/>
  <c r="C1388" i="2" l="1"/>
  <c r="C1390" i="2"/>
  <c r="C1391" i="2"/>
  <c r="C1392" i="2"/>
  <c r="C1393" i="2"/>
  <c r="C1394" i="2"/>
  <c r="C1396" i="2"/>
  <c r="C1398" i="2"/>
  <c r="C1399" i="2"/>
  <c r="C1400" i="2"/>
  <c r="C1401" i="2"/>
  <c r="C1402" i="2"/>
  <c r="C1403" i="2"/>
  <c r="C1404" i="2"/>
  <c r="C1405" i="2"/>
  <c r="C1406" i="2"/>
  <c r="C1387" i="2"/>
  <c r="F1388" i="2"/>
  <c r="F1390" i="2"/>
  <c r="F1391" i="2"/>
  <c r="F1392" i="2"/>
  <c r="F1393" i="2"/>
  <c r="F1394" i="2"/>
  <c r="F1396" i="2"/>
  <c r="F1398" i="2"/>
  <c r="F1399" i="2"/>
  <c r="F1400" i="2"/>
  <c r="F1401" i="2"/>
  <c r="F1402" i="2"/>
  <c r="F1403" i="2"/>
  <c r="F1404" i="2"/>
  <c r="F1406" i="2"/>
  <c r="F1407" i="2"/>
  <c r="F1387" i="2"/>
  <c r="D476" i="1"/>
  <c r="AB476" i="1"/>
  <c r="E476" i="1" l="1"/>
  <c r="C1407" i="2"/>
  <c r="C1409" i="2" s="1"/>
  <c r="G434" i="19"/>
  <c r="F952" i="2" l="1"/>
  <c r="C952" i="2"/>
  <c r="F648" i="2"/>
  <c r="C648" i="2"/>
  <c r="E20" i="1" l="1"/>
  <c r="AB20" i="1"/>
  <c r="E49" i="1"/>
  <c r="H1377" i="2"/>
  <c r="I1377" i="2"/>
  <c r="J1377" i="2"/>
  <c r="K1377" i="2"/>
  <c r="L1377" i="2"/>
  <c r="E388" i="1" s="1"/>
  <c r="M1377" i="2"/>
  <c r="N1377" i="2"/>
  <c r="O1377" i="2"/>
  <c r="H1378" i="2"/>
  <c r="I1378" i="2"/>
  <c r="J1378" i="2"/>
  <c r="K1378" i="2"/>
  <c r="L1378" i="2"/>
  <c r="D388" i="1" s="1"/>
  <c r="M1378" i="2"/>
  <c r="N1378" i="2"/>
  <c r="O1378" i="2"/>
  <c r="G1377" i="2"/>
  <c r="G1378" i="2"/>
  <c r="F1364" i="2"/>
  <c r="C1364" i="2"/>
  <c r="D20" i="1" l="1"/>
  <c r="E1378" i="2"/>
  <c r="D49" i="1"/>
  <c r="F860" i="2"/>
  <c r="F861" i="2"/>
  <c r="F862" i="2"/>
  <c r="F863" i="2"/>
  <c r="F865" i="2"/>
  <c r="F866" i="2"/>
  <c r="F867" i="2"/>
  <c r="F868" i="2"/>
  <c r="F870" i="2"/>
  <c r="F871" i="2"/>
  <c r="F872" i="2"/>
  <c r="F873" i="2"/>
  <c r="F874" i="2"/>
  <c r="F875" i="2"/>
  <c r="C860" i="2"/>
  <c r="C861" i="2"/>
  <c r="C862" i="2"/>
  <c r="C863" i="2"/>
  <c r="C865" i="2"/>
  <c r="C866" i="2"/>
  <c r="C867" i="2"/>
  <c r="C868" i="2"/>
  <c r="C870" i="2"/>
  <c r="C871" i="2"/>
  <c r="C872" i="2"/>
  <c r="C873" i="2"/>
  <c r="C874" i="2"/>
  <c r="C875" i="2"/>
  <c r="C876" i="2" l="1"/>
  <c r="AE63" i="2"/>
  <c r="AF63" i="2"/>
  <c r="C63" i="2"/>
  <c r="AI63" i="2" s="1"/>
  <c r="AB580" i="1" l="1"/>
  <c r="F1007" i="2"/>
  <c r="C1007" i="2"/>
  <c r="R1022" i="2"/>
  <c r="E580" i="1" s="1"/>
  <c r="R1023" i="2"/>
  <c r="D580" i="1" s="1"/>
  <c r="F237" i="2" l="1"/>
  <c r="F21" i="2" s="1"/>
  <c r="AK21" i="2" s="1"/>
  <c r="C237" i="2"/>
  <c r="AA21" i="2" s="1"/>
  <c r="C21" i="2" s="1"/>
  <c r="AI21" i="2" s="1"/>
  <c r="F20" i="2"/>
  <c r="AK20" i="2" s="1"/>
  <c r="AF21" i="2"/>
  <c r="AE21" i="2"/>
  <c r="AB499" i="1" l="1"/>
  <c r="P814" i="2"/>
  <c r="E499" i="1" s="1"/>
  <c r="P815" i="2"/>
  <c r="D499" i="1" s="1"/>
  <c r="D451" i="1" l="1"/>
  <c r="F1373" i="2"/>
  <c r="C1373" i="2"/>
  <c r="C339" i="2" l="1"/>
  <c r="F338" i="2"/>
  <c r="F339" i="2"/>
  <c r="C338" i="2"/>
  <c r="N1164" i="2"/>
  <c r="E157" i="1" s="1"/>
  <c r="N1165" i="2"/>
  <c r="D157" i="1" s="1"/>
  <c r="I1164" i="2"/>
  <c r="E173" i="1" s="1"/>
  <c r="I1165" i="2"/>
  <c r="D173" i="1" s="1"/>
  <c r="F1147" i="2"/>
  <c r="C1147" i="2"/>
  <c r="AB157" i="1"/>
  <c r="F490" i="2"/>
  <c r="F491" i="2"/>
  <c r="F492" i="2"/>
  <c r="C491" i="2"/>
  <c r="C492" i="2"/>
  <c r="P1072" i="2"/>
  <c r="E328" i="1" s="1"/>
  <c r="P1073" i="2"/>
  <c r="D328" i="1" s="1"/>
  <c r="F1060" i="2"/>
  <c r="C1060" i="2"/>
  <c r="J1072" i="2"/>
  <c r="E151" i="1" s="1"/>
  <c r="J1073" i="2"/>
  <c r="D151" i="1" s="1"/>
  <c r="C992" i="2" l="1"/>
  <c r="F992" i="2"/>
  <c r="E550" i="1" l="1"/>
  <c r="D550" i="1"/>
  <c r="C786" i="2" l="1"/>
  <c r="E3566" i="1"/>
  <c r="D3566" i="1"/>
  <c r="E3565" i="1"/>
  <c r="D3565" i="1"/>
  <c r="E3564" i="1"/>
  <c r="D3564" i="1"/>
  <c r="E3563" i="1"/>
  <c r="D3563" i="1"/>
  <c r="E3562" i="1"/>
  <c r="D3562" i="1"/>
  <c r="E3561" i="1"/>
  <c r="D3561" i="1"/>
  <c r="E3560" i="1"/>
  <c r="D3560" i="1"/>
  <c r="E3559" i="1"/>
  <c r="D3559" i="1"/>
  <c r="E3558" i="1"/>
  <c r="D3558" i="1"/>
  <c r="E3557" i="1"/>
  <c r="D3557" i="1"/>
  <c r="E3556" i="1"/>
  <c r="D3556" i="1"/>
  <c r="E3555" i="1"/>
  <c r="D3555" i="1"/>
  <c r="E3554" i="1"/>
  <c r="D3554" i="1"/>
  <c r="E3553" i="1"/>
  <c r="D3553" i="1"/>
  <c r="E3552" i="1"/>
  <c r="D3552" i="1"/>
  <c r="E3551" i="1"/>
  <c r="D3551" i="1"/>
  <c r="E3550" i="1"/>
  <c r="D3550" i="1"/>
  <c r="E3549" i="1"/>
  <c r="D3549" i="1"/>
  <c r="E3548" i="1"/>
  <c r="D3548" i="1"/>
  <c r="E3547" i="1"/>
  <c r="D3547" i="1"/>
  <c r="E3546" i="1"/>
  <c r="D3546" i="1"/>
  <c r="E3545" i="1"/>
  <c r="D3545" i="1"/>
  <c r="E3544" i="1"/>
  <c r="D3544" i="1"/>
  <c r="E3543" i="1"/>
  <c r="D3543" i="1"/>
  <c r="E3542" i="1"/>
  <c r="D3542" i="1"/>
  <c r="E3541" i="1"/>
  <c r="D3541" i="1"/>
  <c r="E3538" i="1"/>
  <c r="D3538" i="1"/>
  <c r="E3539" i="1"/>
  <c r="D3539" i="1"/>
  <c r="E3537" i="1"/>
  <c r="D3537" i="1"/>
  <c r="E3536" i="1"/>
  <c r="D3536" i="1"/>
  <c r="E3138" i="1"/>
  <c r="D3138" i="1"/>
  <c r="E3535" i="1"/>
  <c r="D3535" i="1"/>
  <c r="E3534" i="1"/>
  <c r="D3534" i="1"/>
  <c r="E3533" i="1"/>
  <c r="D3533" i="1"/>
  <c r="E3532" i="1"/>
  <c r="D3532" i="1"/>
  <c r="E3531" i="1"/>
  <c r="D3531" i="1"/>
  <c r="E3530" i="1"/>
  <c r="D3530" i="1"/>
  <c r="E3529" i="1"/>
  <c r="D3529" i="1"/>
  <c r="E3528" i="1"/>
  <c r="D3528" i="1"/>
  <c r="E3527" i="1"/>
  <c r="D3527" i="1"/>
  <c r="E3526" i="1"/>
  <c r="D3526" i="1"/>
  <c r="E3525" i="1"/>
  <c r="D3525" i="1"/>
  <c r="E3524" i="1"/>
  <c r="D3524" i="1"/>
  <c r="E3523" i="1"/>
  <c r="D3523" i="1"/>
  <c r="E3522" i="1"/>
  <c r="D3522" i="1"/>
  <c r="E3521" i="1"/>
  <c r="D3521" i="1"/>
  <c r="E3520" i="1"/>
  <c r="D3520" i="1"/>
  <c r="E3519" i="1"/>
  <c r="D3519" i="1"/>
  <c r="E3518" i="1"/>
  <c r="D3518" i="1"/>
  <c r="E3319" i="1"/>
  <c r="D3319" i="1"/>
  <c r="E3516" i="1"/>
  <c r="D3516" i="1"/>
  <c r="E3515" i="1"/>
  <c r="D3515" i="1"/>
  <c r="E3513" i="1"/>
  <c r="D3513" i="1"/>
  <c r="E3512" i="1"/>
  <c r="D3512" i="1"/>
  <c r="E3511" i="1"/>
  <c r="D3511" i="1"/>
  <c r="E3510" i="1"/>
  <c r="D3510" i="1"/>
  <c r="E3509" i="1"/>
  <c r="D3509" i="1"/>
  <c r="E3508" i="1"/>
  <c r="D3508" i="1"/>
  <c r="E3507" i="1"/>
  <c r="D3507" i="1"/>
  <c r="E3506" i="1"/>
  <c r="D3506" i="1"/>
  <c r="E3505" i="1"/>
  <c r="D3505" i="1"/>
  <c r="E3504" i="1"/>
  <c r="D3504" i="1"/>
  <c r="E3503" i="1"/>
  <c r="D3503" i="1"/>
  <c r="E3502" i="1"/>
  <c r="D3502" i="1"/>
  <c r="E3501" i="1"/>
  <c r="D3501" i="1"/>
  <c r="E3500" i="1"/>
  <c r="D3500" i="1"/>
  <c r="E3499" i="1"/>
  <c r="D3499" i="1"/>
  <c r="E3498" i="1"/>
  <c r="D3498" i="1"/>
  <c r="E3497" i="1"/>
  <c r="D3497" i="1"/>
  <c r="E3496" i="1"/>
  <c r="D3496" i="1"/>
  <c r="E3495" i="1"/>
  <c r="D3495" i="1"/>
  <c r="E3494" i="1"/>
  <c r="D3494" i="1"/>
  <c r="E3493" i="1"/>
  <c r="D3493" i="1"/>
  <c r="E3492" i="1"/>
  <c r="D3492" i="1"/>
  <c r="E3491" i="1"/>
  <c r="D3491" i="1"/>
  <c r="E3489" i="1"/>
  <c r="D3489" i="1"/>
  <c r="E3488" i="1"/>
  <c r="D3488" i="1"/>
  <c r="E3481" i="1"/>
  <c r="D3481" i="1"/>
  <c r="E3487" i="1"/>
  <c r="D3487" i="1"/>
  <c r="E3486" i="1"/>
  <c r="D3486" i="1"/>
  <c r="E3480" i="1"/>
  <c r="D3480" i="1"/>
  <c r="E3485" i="1"/>
  <c r="D3485" i="1"/>
  <c r="E3484" i="1"/>
  <c r="D3484" i="1"/>
  <c r="E3478" i="1"/>
  <c r="D3478" i="1"/>
  <c r="E3483" i="1"/>
  <c r="D3483" i="1"/>
  <c r="E3482" i="1"/>
  <c r="D3482" i="1"/>
  <c r="E3479" i="1"/>
  <c r="D3479" i="1"/>
  <c r="E3477" i="1"/>
  <c r="D3477" i="1"/>
  <c r="E3476" i="1"/>
  <c r="D3476" i="1"/>
  <c r="E3475" i="1"/>
  <c r="D3475" i="1"/>
  <c r="E3474" i="1"/>
  <c r="D3474" i="1"/>
  <c r="E3472" i="1"/>
  <c r="D3472" i="1"/>
  <c r="E3471" i="1"/>
  <c r="D3471" i="1"/>
  <c r="E3470" i="1"/>
  <c r="D3470" i="1"/>
  <c r="E3469" i="1"/>
  <c r="D3469" i="1"/>
  <c r="E3468" i="1"/>
  <c r="D3468" i="1"/>
  <c r="E3467" i="1"/>
  <c r="D3467" i="1"/>
  <c r="E3466" i="1"/>
  <c r="D3466" i="1"/>
  <c r="E3465" i="1"/>
  <c r="D3465" i="1"/>
  <c r="E3464" i="1"/>
  <c r="D3464" i="1"/>
  <c r="E3463" i="1"/>
  <c r="D3463" i="1"/>
  <c r="E3462" i="1"/>
  <c r="D3462" i="1"/>
  <c r="E3461" i="1"/>
  <c r="D3461" i="1"/>
  <c r="E3460" i="1"/>
  <c r="D3460" i="1"/>
  <c r="E3459" i="1"/>
  <c r="D3459" i="1"/>
  <c r="E3458" i="1"/>
  <c r="D3458" i="1"/>
  <c r="E3457" i="1"/>
  <c r="D3457" i="1"/>
  <c r="E3456" i="1"/>
  <c r="D3456" i="1"/>
  <c r="E3455" i="1"/>
  <c r="D3455" i="1"/>
  <c r="E3454" i="1"/>
  <c r="D3454" i="1"/>
  <c r="E3453" i="1"/>
  <c r="D3453" i="1"/>
  <c r="E3452" i="1"/>
  <c r="D3452" i="1"/>
  <c r="E3451" i="1"/>
  <c r="D3451" i="1"/>
  <c r="E3450" i="1"/>
  <c r="D3450" i="1"/>
  <c r="E3449" i="1"/>
  <c r="D3449" i="1"/>
  <c r="E3448" i="1"/>
  <c r="D3448" i="1"/>
  <c r="E3447" i="1"/>
  <c r="D3447" i="1"/>
  <c r="E3446" i="1"/>
  <c r="D3446" i="1"/>
  <c r="E3445" i="1"/>
  <c r="D3445" i="1"/>
  <c r="E3444" i="1"/>
  <c r="D3444" i="1"/>
  <c r="E3127" i="1"/>
  <c r="D3127" i="1"/>
  <c r="E3443" i="1"/>
  <c r="D3443" i="1"/>
  <c r="E3442" i="1"/>
  <c r="D3442" i="1"/>
  <c r="E3441" i="1"/>
  <c r="D3441" i="1"/>
  <c r="E3440" i="1"/>
  <c r="D3440" i="1"/>
  <c r="E3229" i="1"/>
  <c r="D3229" i="1"/>
  <c r="E3439" i="1"/>
  <c r="D3439" i="1"/>
  <c r="E3438" i="1"/>
  <c r="D3438" i="1"/>
  <c r="E3437" i="1"/>
  <c r="D3437" i="1"/>
  <c r="E3436" i="1"/>
  <c r="D3436" i="1"/>
  <c r="E3435" i="1"/>
  <c r="D3435" i="1"/>
  <c r="E3434" i="1"/>
  <c r="D3434" i="1"/>
  <c r="E3063" i="1"/>
  <c r="D3063" i="1"/>
  <c r="E3433" i="1"/>
  <c r="D3433" i="1"/>
  <c r="E3432" i="1"/>
  <c r="D3432" i="1"/>
  <c r="E3431" i="1"/>
  <c r="D3431" i="1"/>
  <c r="E3430" i="1"/>
  <c r="D3430" i="1"/>
  <c r="E3429" i="1"/>
  <c r="D3429" i="1"/>
  <c r="E3428" i="1"/>
  <c r="D3428" i="1"/>
  <c r="E3427" i="1"/>
  <c r="D3427" i="1"/>
  <c r="E3426" i="1"/>
  <c r="D3426" i="1"/>
  <c r="E3425" i="1"/>
  <c r="D3425" i="1"/>
  <c r="E3424" i="1"/>
  <c r="D3424" i="1"/>
  <c r="E3423" i="1"/>
  <c r="D3423" i="1"/>
  <c r="E3422" i="1"/>
  <c r="D3422" i="1"/>
  <c r="E3421" i="1"/>
  <c r="D3421" i="1"/>
  <c r="E3420" i="1"/>
  <c r="D3420" i="1"/>
  <c r="E3419" i="1"/>
  <c r="D3419" i="1"/>
  <c r="E3418" i="1"/>
  <c r="D3418" i="1"/>
  <c r="E3416" i="1"/>
  <c r="D3416" i="1"/>
  <c r="E3415" i="1"/>
  <c r="D3415" i="1"/>
  <c r="E3414" i="1"/>
  <c r="D3414" i="1"/>
  <c r="E3412" i="1"/>
  <c r="D3412" i="1"/>
  <c r="E3413" i="1"/>
  <c r="D3413" i="1"/>
  <c r="E3411" i="1"/>
  <c r="D3411" i="1"/>
  <c r="E3410" i="1"/>
  <c r="D3410" i="1"/>
  <c r="E3409" i="1"/>
  <c r="D3409" i="1"/>
  <c r="E3408" i="1"/>
  <c r="D3408" i="1"/>
  <c r="E3407" i="1"/>
  <c r="D3407" i="1"/>
  <c r="E3406" i="1"/>
  <c r="D3406" i="1"/>
  <c r="E3405" i="1"/>
  <c r="D3405" i="1"/>
  <c r="E3404" i="1"/>
  <c r="D3404" i="1"/>
  <c r="E3403" i="1"/>
  <c r="D3403" i="1"/>
  <c r="E3402" i="1"/>
  <c r="D3402" i="1"/>
  <c r="E3400" i="1"/>
  <c r="D3400" i="1"/>
  <c r="E3401" i="1"/>
  <c r="D3401" i="1"/>
  <c r="E3399" i="1"/>
  <c r="D3399" i="1"/>
  <c r="E3398" i="1"/>
  <c r="D3398" i="1"/>
  <c r="E3397" i="1"/>
  <c r="D3397" i="1"/>
  <c r="E3396" i="1"/>
  <c r="D3396" i="1"/>
  <c r="E3395" i="1"/>
  <c r="D3395" i="1"/>
  <c r="E3394" i="1"/>
  <c r="D3394" i="1"/>
  <c r="E3393" i="1"/>
  <c r="D3393" i="1"/>
  <c r="E3392" i="1"/>
  <c r="D3392" i="1"/>
  <c r="E3391" i="1"/>
  <c r="D3391" i="1"/>
  <c r="E3390" i="1"/>
  <c r="D3390" i="1"/>
  <c r="E3389" i="1"/>
  <c r="D3389" i="1"/>
  <c r="E3388" i="1"/>
  <c r="D3388" i="1"/>
  <c r="E3387" i="1"/>
  <c r="D3387" i="1"/>
  <c r="E3386" i="1"/>
  <c r="D3386" i="1"/>
  <c r="E3385" i="1"/>
  <c r="D3385" i="1"/>
  <c r="E3384" i="1"/>
  <c r="D3384" i="1"/>
  <c r="E3383" i="1"/>
  <c r="D3383" i="1"/>
  <c r="E3382" i="1"/>
  <c r="D3382" i="1"/>
  <c r="E3381" i="1"/>
  <c r="D3381" i="1"/>
  <c r="E3380" i="1"/>
  <c r="D3380" i="1"/>
  <c r="E3379" i="1"/>
  <c r="D3379" i="1"/>
  <c r="E3540" i="1"/>
  <c r="D3540" i="1"/>
  <c r="E3378" i="1"/>
  <c r="D3378" i="1"/>
  <c r="E3377" i="1"/>
  <c r="D3377" i="1"/>
  <c r="E3376" i="1"/>
  <c r="D3376" i="1"/>
  <c r="E3375" i="1"/>
  <c r="D3375" i="1"/>
  <c r="E3374" i="1"/>
  <c r="D3374" i="1"/>
  <c r="E3373" i="1"/>
  <c r="D3373" i="1"/>
  <c r="E3372" i="1"/>
  <c r="D3372" i="1"/>
  <c r="E3371" i="1"/>
  <c r="D3371" i="1"/>
  <c r="E3370" i="1"/>
  <c r="D3370" i="1"/>
  <c r="E3369" i="1"/>
  <c r="D3369" i="1"/>
  <c r="E3367" i="1"/>
  <c r="D3367" i="1"/>
  <c r="E3368" i="1"/>
  <c r="D3368" i="1"/>
  <c r="E3366" i="1"/>
  <c r="D3366" i="1"/>
  <c r="E3365" i="1"/>
  <c r="D3365" i="1"/>
  <c r="E3364" i="1"/>
  <c r="D3364" i="1"/>
  <c r="E3363" i="1"/>
  <c r="D3363" i="1"/>
  <c r="E3362" i="1"/>
  <c r="D3362" i="1"/>
  <c r="E3360" i="1"/>
  <c r="D3360" i="1"/>
  <c r="E3359" i="1"/>
  <c r="D3359" i="1"/>
  <c r="E3358" i="1"/>
  <c r="D3358" i="1"/>
  <c r="E3356" i="1"/>
  <c r="D3356" i="1"/>
  <c r="E3355" i="1"/>
  <c r="D3355" i="1"/>
  <c r="E3354" i="1"/>
  <c r="D3354" i="1"/>
  <c r="E3353" i="1"/>
  <c r="D3353" i="1"/>
  <c r="E3352" i="1"/>
  <c r="D3352" i="1"/>
  <c r="E3350" i="1"/>
  <c r="D3350" i="1"/>
  <c r="E3349" i="1"/>
  <c r="D3349" i="1"/>
  <c r="E3347" i="1"/>
  <c r="D3347" i="1"/>
  <c r="E3346" i="1"/>
  <c r="D3346" i="1"/>
  <c r="E3345" i="1"/>
  <c r="D3345" i="1"/>
  <c r="E3344" i="1"/>
  <c r="D3344" i="1"/>
  <c r="E3343" i="1"/>
  <c r="D3343" i="1"/>
  <c r="E3342" i="1"/>
  <c r="D3342" i="1"/>
  <c r="E3341" i="1"/>
  <c r="D3341" i="1"/>
  <c r="E3340" i="1"/>
  <c r="D3340" i="1"/>
  <c r="E3339" i="1"/>
  <c r="D3339" i="1"/>
  <c r="E3338" i="1"/>
  <c r="D3338" i="1"/>
  <c r="E3337" i="1"/>
  <c r="D3337" i="1"/>
  <c r="E3336" i="1"/>
  <c r="D3336" i="1"/>
  <c r="E3335" i="1"/>
  <c r="D3335" i="1"/>
  <c r="E3334" i="1"/>
  <c r="D3334" i="1"/>
  <c r="E3332" i="1"/>
  <c r="D3332" i="1"/>
  <c r="E3333" i="1"/>
  <c r="D3333" i="1"/>
  <c r="E3331" i="1"/>
  <c r="D3331" i="1"/>
  <c r="E3330" i="1"/>
  <c r="D3330" i="1"/>
  <c r="E3329" i="1"/>
  <c r="D3329" i="1"/>
  <c r="E3328" i="1"/>
  <c r="D3328" i="1"/>
  <c r="E3326" i="1"/>
  <c r="D3326" i="1"/>
  <c r="E3325" i="1"/>
  <c r="D3325" i="1"/>
  <c r="E3324" i="1"/>
  <c r="D3324" i="1"/>
  <c r="E3323" i="1"/>
  <c r="D3323" i="1"/>
  <c r="E3322" i="1"/>
  <c r="D3322" i="1"/>
  <c r="E3321" i="1"/>
  <c r="D3321" i="1"/>
  <c r="E3320" i="1"/>
  <c r="D3320" i="1"/>
  <c r="E3318" i="1"/>
  <c r="D3318" i="1"/>
  <c r="E3317" i="1"/>
  <c r="D3317" i="1"/>
  <c r="E3316" i="1"/>
  <c r="D3316" i="1"/>
  <c r="E3315" i="1"/>
  <c r="D3315" i="1"/>
  <c r="E3314" i="1"/>
  <c r="D3314" i="1"/>
  <c r="E3313" i="1"/>
  <c r="D3313" i="1"/>
  <c r="E3312" i="1"/>
  <c r="D3312" i="1"/>
  <c r="E3311" i="1"/>
  <c r="D3311" i="1"/>
  <c r="E3310" i="1"/>
  <c r="D3310" i="1"/>
  <c r="E3309" i="1"/>
  <c r="D3309" i="1"/>
  <c r="E3308" i="1"/>
  <c r="D3308" i="1"/>
  <c r="E3307" i="1"/>
  <c r="D3307" i="1"/>
  <c r="E3306" i="1"/>
  <c r="D3306" i="1"/>
  <c r="E3305" i="1"/>
  <c r="D3305" i="1"/>
  <c r="E3304" i="1"/>
  <c r="D3304" i="1"/>
  <c r="E3302" i="1"/>
  <c r="D3302" i="1"/>
  <c r="E3361" i="1"/>
  <c r="D3361" i="1"/>
  <c r="E3303" i="1"/>
  <c r="D3303" i="1"/>
  <c r="E3301" i="1"/>
  <c r="D3301" i="1"/>
  <c r="E3300" i="1"/>
  <c r="D3300" i="1"/>
  <c r="E3299" i="1"/>
  <c r="D3299" i="1"/>
  <c r="E3298" i="1"/>
  <c r="D3298" i="1"/>
  <c r="E3297" i="1"/>
  <c r="D3297" i="1"/>
  <c r="E3296" i="1"/>
  <c r="D3296" i="1"/>
  <c r="E3295" i="1"/>
  <c r="D3295" i="1"/>
  <c r="E3294" i="1"/>
  <c r="D3294" i="1"/>
  <c r="E3292" i="1"/>
  <c r="D3292" i="1"/>
  <c r="E3291" i="1"/>
  <c r="D3291" i="1"/>
  <c r="E3290" i="1"/>
  <c r="D3290" i="1"/>
  <c r="E3289" i="1"/>
  <c r="D3289" i="1"/>
  <c r="E3288" i="1"/>
  <c r="D3288" i="1"/>
  <c r="E3287" i="1"/>
  <c r="D3287" i="1"/>
  <c r="E3286" i="1"/>
  <c r="D3286" i="1"/>
  <c r="E3285" i="1"/>
  <c r="D3285" i="1"/>
  <c r="E3284" i="1"/>
  <c r="D3284" i="1"/>
  <c r="E3283" i="1"/>
  <c r="D3283" i="1"/>
  <c r="E3282" i="1"/>
  <c r="D3282" i="1"/>
  <c r="E3281" i="1"/>
  <c r="D3281" i="1"/>
  <c r="E3280" i="1"/>
  <c r="D3280" i="1"/>
  <c r="E3279" i="1"/>
  <c r="D3279" i="1"/>
  <c r="E3278" i="1"/>
  <c r="D3278" i="1"/>
  <c r="E3277" i="1"/>
  <c r="D3277" i="1"/>
  <c r="E3276" i="1"/>
  <c r="D3276" i="1"/>
  <c r="E3275" i="1"/>
  <c r="D3275" i="1"/>
  <c r="E3273" i="1"/>
  <c r="D3273" i="1"/>
  <c r="E3272" i="1"/>
  <c r="D3272" i="1"/>
  <c r="E3271" i="1"/>
  <c r="D3271" i="1"/>
  <c r="E3270" i="1"/>
  <c r="D3270" i="1"/>
  <c r="E3269" i="1"/>
  <c r="D3269" i="1"/>
  <c r="E3268" i="1"/>
  <c r="D3268" i="1"/>
  <c r="E3267" i="1"/>
  <c r="D3267" i="1"/>
  <c r="E3242" i="1"/>
  <c r="D3242" i="1"/>
  <c r="E3266" i="1"/>
  <c r="D3266" i="1"/>
  <c r="E3265" i="1"/>
  <c r="D3265" i="1"/>
  <c r="E3264" i="1"/>
  <c r="D3264" i="1"/>
  <c r="E3263" i="1"/>
  <c r="D3263" i="1"/>
  <c r="E3262" i="1"/>
  <c r="D3262" i="1"/>
  <c r="E3261" i="1"/>
  <c r="D3261" i="1"/>
  <c r="E3260" i="1"/>
  <c r="D3260" i="1"/>
  <c r="E3259" i="1"/>
  <c r="D3259" i="1"/>
  <c r="E3258" i="1"/>
  <c r="D3258" i="1"/>
  <c r="E3257" i="1"/>
  <c r="D3257" i="1"/>
  <c r="E3256" i="1"/>
  <c r="D3256" i="1"/>
  <c r="E3255" i="1"/>
  <c r="D3255" i="1"/>
  <c r="E3254" i="1"/>
  <c r="D3254" i="1"/>
  <c r="E3253" i="1"/>
  <c r="D3253" i="1"/>
  <c r="E3252" i="1"/>
  <c r="D3252" i="1"/>
  <c r="E3251" i="1"/>
  <c r="D3251" i="1"/>
  <c r="E3250" i="1"/>
  <c r="D3250" i="1"/>
  <c r="E3249" i="1"/>
  <c r="D3249" i="1"/>
  <c r="E3248" i="1"/>
  <c r="D3248" i="1"/>
  <c r="E3473" i="1"/>
  <c r="D3473" i="1"/>
  <c r="E3247" i="1"/>
  <c r="D3247" i="1"/>
  <c r="E3246" i="1"/>
  <c r="D3246" i="1"/>
  <c r="E3245" i="1"/>
  <c r="D3245" i="1"/>
  <c r="E3244" i="1"/>
  <c r="D3244" i="1"/>
  <c r="E3514" i="1"/>
  <c r="D3514" i="1"/>
  <c r="E3417" i="1"/>
  <c r="D3417" i="1"/>
  <c r="E3243" i="1"/>
  <c r="D3243" i="1"/>
  <c r="E3241" i="1"/>
  <c r="D3241" i="1"/>
  <c r="E3240" i="1"/>
  <c r="D3240" i="1"/>
  <c r="E3239" i="1"/>
  <c r="D3239" i="1"/>
  <c r="E3238" i="1"/>
  <c r="D3238" i="1"/>
  <c r="E3237" i="1"/>
  <c r="D3237" i="1"/>
  <c r="E3236" i="1"/>
  <c r="D3236" i="1"/>
  <c r="E3235" i="1"/>
  <c r="D3235" i="1"/>
  <c r="E3234" i="1"/>
  <c r="D3234" i="1"/>
  <c r="E3233" i="1"/>
  <c r="D3233" i="1"/>
  <c r="E3232" i="1"/>
  <c r="D3232" i="1"/>
  <c r="E3231" i="1"/>
  <c r="D3231" i="1"/>
  <c r="E3230" i="1"/>
  <c r="D3230" i="1"/>
  <c r="E3228" i="1"/>
  <c r="D3228" i="1"/>
  <c r="E3227" i="1"/>
  <c r="D3227" i="1"/>
  <c r="E3226" i="1"/>
  <c r="D3226" i="1"/>
  <c r="E3225" i="1"/>
  <c r="D3225" i="1"/>
  <c r="E3224" i="1"/>
  <c r="D3224" i="1"/>
  <c r="E3223" i="1"/>
  <c r="D3223" i="1"/>
  <c r="E3222" i="1"/>
  <c r="D3222" i="1"/>
  <c r="E3221" i="1"/>
  <c r="D3221" i="1"/>
  <c r="E3220" i="1"/>
  <c r="D3220" i="1"/>
  <c r="E3219" i="1"/>
  <c r="D3219" i="1"/>
  <c r="E3218" i="1"/>
  <c r="D3218" i="1"/>
  <c r="E3216" i="1"/>
  <c r="D3216" i="1"/>
  <c r="E3215" i="1"/>
  <c r="D3215" i="1"/>
  <c r="E3214" i="1"/>
  <c r="D3214" i="1"/>
  <c r="E3213" i="1"/>
  <c r="D3213" i="1"/>
  <c r="E3212" i="1"/>
  <c r="D3212" i="1"/>
  <c r="E3211" i="1"/>
  <c r="D3211" i="1"/>
  <c r="E3210" i="1"/>
  <c r="D3210" i="1"/>
  <c r="E3209" i="1"/>
  <c r="D3209" i="1"/>
  <c r="E3208" i="1"/>
  <c r="D3208" i="1"/>
  <c r="E3207" i="1"/>
  <c r="D3207" i="1"/>
  <c r="E3206" i="1"/>
  <c r="D3206" i="1"/>
  <c r="E3205" i="1"/>
  <c r="D3205" i="1"/>
  <c r="E3204" i="1"/>
  <c r="D3204" i="1"/>
  <c r="E3203" i="1"/>
  <c r="D3203" i="1"/>
  <c r="E3202" i="1"/>
  <c r="D3202" i="1"/>
  <c r="E3201" i="1"/>
  <c r="D3201" i="1"/>
  <c r="E3200" i="1"/>
  <c r="D3200" i="1"/>
  <c r="E3199" i="1"/>
  <c r="D3199" i="1"/>
  <c r="E3198" i="1"/>
  <c r="D3198" i="1"/>
  <c r="E3197" i="1"/>
  <c r="D3197" i="1"/>
  <c r="E3196" i="1"/>
  <c r="D3196" i="1"/>
  <c r="E3195" i="1"/>
  <c r="D3195" i="1"/>
  <c r="E3490" i="1"/>
  <c r="D3490" i="1"/>
  <c r="E3357" i="1"/>
  <c r="D3357" i="1"/>
  <c r="E3348" i="1"/>
  <c r="D3348" i="1"/>
  <c r="E3217" i="1"/>
  <c r="D3217" i="1"/>
  <c r="E3126" i="1"/>
  <c r="D3126" i="1"/>
  <c r="E3194" i="1"/>
  <c r="D3194" i="1"/>
  <c r="E3193" i="1"/>
  <c r="D3193" i="1"/>
  <c r="E3192" i="1"/>
  <c r="D3192" i="1"/>
  <c r="E3191" i="1"/>
  <c r="D3191" i="1"/>
  <c r="E3190" i="1"/>
  <c r="D3190" i="1"/>
  <c r="E3189" i="1"/>
  <c r="D3189" i="1"/>
  <c r="E3188" i="1"/>
  <c r="D3188" i="1"/>
  <c r="E3187" i="1"/>
  <c r="D3187" i="1"/>
  <c r="E3186" i="1"/>
  <c r="D3186" i="1"/>
  <c r="E3185" i="1"/>
  <c r="D3185" i="1"/>
  <c r="E3184" i="1"/>
  <c r="D3184" i="1"/>
  <c r="E3183" i="1"/>
  <c r="D3183" i="1"/>
  <c r="E3182" i="1"/>
  <c r="D3182" i="1"/>
  <c r="E3181" i="1"/>
  <c r="D3181" i="1"/>
  <c r="E3180" i="1"/>
  <c r="D3180" i="1"/>
  <c r="E3179" i="1"/>
  <c r="D3179" i="1"/>
  <c r="E3178" i="1"/>
  <c r="D3178" i="1"/>
  <c r="E3177" i="1"/>
  <c r="D3177" i="1"/>
  <c r="E3176" i="1"/>
  <c r="D3176" i="1"/>
  <c r="E3175" i="1"/>
  <c r="D3175" i="1"/>
  <c r="E3173" i="1"/>
  <c r="D3173" i="1"/>
  <c r="E3172" i="1"/>
  <c r="D3172" i="1"/>
  <c r="E3171" i="1"/>
  <c r="D3171" i="1"/>
  <c r="E3170" i="1"/>
  <c r="D3170" i="1"/>
  <c r="E3061" i="1"/>
  <c r="D3061" i="1"/>
  <c r="E3060" i="1"/>
  <c r="D3060" i="1"/>
  <c r="E3169" i="1"/>
  <c r="D3169" i="1"/>
  <c r="E3168" i="1"/>
  <c r="D3168" i="1"/>
  <c r="E3174" i="1"/>
  <c r="D3174" i="1"/>
  <c r="E3167" i="1"/>
  <c r="D3167" i="1"/>
  <c r="E3166" i="1"/>
  <c r="D3166" i="1"/>
  <c r="E3165" i="1"/>
  <c r="D3165" i="1"/>
  <c r="E3164" i="1"/>
  <c r="D3164" i="1"/>
  <c r="E3163" i="1"/>
  <c r="D3163" i="1"/>
  <c r="E3162" i="1"/>
  <c r="D3162" i="1"/>
  <c r="E3161" i="1"/>
  <c r="D3161" i="1"/>
  <c r="E3160" i="1"/>
  <c r="D3160" i="1"/>
  <c r="E3159" i="1"/>
  <c r="D3159" i="1"/>
  <c r="E3158" i="1"/>
  <c r="D3158" i="1"/>
  <c r="E3157" i="1"/>
  <c r="D3157" i="1"/>
  <c r="E3156" i="1"/>
  <c r="D3156" i="1"/>
  <c r="E3155" i="1"/>
  <c r="D3155" i="1"/>
  <c r="E3154" i="1"/>
  <c r="D3154" i="1"/>
  <c r="E3153" i="1"/>
  <c r="D3153" i="1"/>
  <c r="E3152" i="1"/>
  <c r="D3152" i="1"/>
  <c r="E3151" i="1"/>
  <c r="D3151" i="1"/>
  <c r="E3150" i="1"/>
  <c r="D3150" i="1"/>
  <c r="E3149" i="1"/>
  <c r="D3149" i="1"/>
  <c r="E3148" i="1"/>
  <c r="D3148" i="1"/>
  <c r="E3293" i="1"/>
  <c r="D3293" i="1"/>
  <c r="E3147" i="1"/>
  <c r="D3147" i="1"/>
  <c r="E3146" i="1"/>
  <c r="D3146" i="1"/>
  <c r="E3145" i="1"/>
  <c r="D3145" i="1"/>
  <c r="E3144" i="1"/>
  <c r="D3144" i="1"/>
  <c r="E3143" i="1"/>
  <c r="D3143" i="1"/>
  <c r="E3142" i="1"/>
  <c r="D3142" i="1"/>
  <c r="E3141" i="1"/>
  <c r="D3141" i="1"/>
  <c r="E3140" i="1"/>
  <c r="D3140" i="1"/>
  <c r="E3139" i="1"/>
  <c r="D3139" i="1"/>
  <c r="E3137" i="1"/>
  <c r="D3137" i="1"/>
  <c r="E3136" i="1"/>
  <c r="D3136" i="1"/>
  <c r="E3135" i="1"/>
  <c r="D3135" i="1"/>
  <c r="E3134" i="1"/>
  <c r="D3134" i="1"/>
  <c r="E3133" i="1"/>
  <c r="D3133" i="1"/>
  <c r="E3132" i="1"/>
  <c r="D3132" i="1"/>
  <c r="E3131" i="1"/>
  <c r="D3131" i="1"/>
  <c r="E3130" i="1"/>
  <c r="D3130" i="1"/>
  <c r="E3129" i="1"/>
  <c r="D3129" i="1"/>
  <c r="E3128" i="1"/>
  <c r="D3128" i="1"/>
  <c r="E3123" i="1"/>
  <c r="D3123" i="1"/>
  <c r="E3125" i="1"/>
  <c r="D3125" i="1"/>
  <c r="E3124" i="1"/>
  <c r="D3124" i="1"/>
  <c r="E3122" i="1"/>
  <c r="D3122" i="1"/>
  <c r="E3121" i="1"/>
  <c r="D3121" i="1"/>
  <c r="E3120" i="1"/>
  <c r="D3120" i="1"/>
  <c r="E3119" i="1"/>
  <c r="D3119" i="1"/>
  <c r="E3118" i="1"/>
  <c r="D3118" i="1"/>
  <c r="E3117" i="1"/>
  <c r="D3117" i="1"/>
  <c r="E3116" i="1"/>
  <c r="D3116" i="1"/>
  <c r="E3115" i="1"/>
  <c r="D3115" i="1"/>
  <c r="E3114" i="1"/>
  <c r="D3114" i="1"/>
  <c r="E3113" i="1"/>
  <c r="D3113" i="1"/>
  <c r="E3112" i="1"/>
  <c r="D3112" i="1"/>
  <c r="E3111" i="1"/>
  <c r="D3111" i="1"/>
  <c r="E3110" i="1"/>
  <c r="D3110" i="1"/>
  <c r="E3109" i="1"/>
  <c r="D3109" i="1"/>
  <c r="E3108" i="1"/>
  <c r="D3108" i="1"/>
  <c r="E3107" i="1"/>
  <c r="D3107" i="1"/>
  <c r="E3106" i="1"/>
  <c r="D3106" i="1"/>
  <c r="E3105" i="1"/>
  <c r="D3105" i="1"/>
  <c r="E3104" i="1"/>
  <c r="D3104" i="1"/>
  <c r="E3327" i="1"/>
  <c r="D3327" i="1"/>
  <c r="L3351" i="1"/>
  <c r="E3351" i="1"/>
  <c r="D3351" i="1"/>
  <c r="E3103" i="1"/>
  <c r="D3103" i="1"/>
  <c r="E3102" i="1"/>
  <c r="D3102" i="1"/>
  <c r="E3101" i="1"/>
  <c r="D3101" i="1"/>
  <c r="E3100" i="1"/>
  <c r="D3100" i="1"/>
  <c r="E3099" i="1"/>
  <c r="D3099" i="1"/>
  <c r="E3098" i="1"/>
  <c r="D3098" i="1"/>
  <c r="E3097" i="1"/>
  <c r="D3097" i="1"/>
  <c r="E3096" i="1"/>
  <c r="D3096" i="1"/>
  <c r="E3095" i="1"/>
  <c r="D3095" i="1"/>
  <c r="E3094" i="1"/>
  <c r="D3094" i="1"/>
  <c r="E3093" i="1"/>
  <c r="D3093" i="1"/>
  <c r="E3092" i="1"/>
  <c r="D3092" i="1"/>
  <c r="E3091" i="1"/>
  <c r="D3091" i="1"/>
  <c r="E3090" i="1"/>
  <c r="D3090" i="1"/>
  <c r="E3274" i="1"/>
  <c r="D3274" i="1"/>
  <c r="E3088" i="1"/>
  <c r="D3088" i="1"/>
  <c r="E3087" i="1"/>
  <c r="D3087" i="1"/>
  <c r="E3089" i="1"/>
  <c r="D3089" i="1"/>
  <c r="E3086" i="1"/>
  <c r="D3086" i="1"/>
  <c r="E3085" i="1"/>
  <c r="D3085" i="1"/>
  <c r="E3083" i="1"/>
  <c r="D3083" i="1"/>
  <c r="E3082" i="1"/>
  <c r="D3082" i="1"/>
  <c r="E3084" i="1"/>
  <c r="D3084" i="1"/>
  <c r="E3081" i="1"/>
  <c r="D3081" i="1"/>
  <c r="E3080" i="1"/>
  <c r="D3080" i="1"/>
  <c r="E3079" i="1"/>
  <c r="D3079" i="1"/>
  <c r="E3078" i="1"/>
  <c r="D3078" i="1"/>
  <c r="E3077" i="1"/>
  <c r="D3077" i="1"/>
  <c r="E3076" i="1"/>
  <c r="D3076" i="1"/>
  <c r="E3075" i="1"/>
  <c r="D3075" i="1"/>
  <c r="E3074" i="1"/>
  <c r="D3074" i="1"/>
  <c r="E3073" i="1"/>
  <c r="D3073" i="1"/>
  <c r="E3072" i="1"/>
  <c r="D3072" i="1"/>
  <c r="E3071" i="1"/>
  <c r="D3071" i="1"/>
  <c r="E3070" i="1"/>
  <c r="D3070" i="1"/>
  <c r="E3069" i="1"/>
  <c r="D3069" i="1"/>
  <c r="E3068" i="1"/>
  <c r="D3068" i="1"/>
  <c r="E3067" i="1"/>
  <c r="D3067" i="1"/>
  <c r="E3066" i="1"/>
  <c r="D3066" i="1"/>
  <c r="E3065" i="1"/>
  <c r="D3065" i="1"/>
  <c r="E3064" i="1"/>
  <c r="D3064" i="1"/>
  <c r="E3062" i="1"/>
  <c r="D3062" i="1"/>
  <c r="E3059" i="1"/>
  <c r="D3059" i="1"/>
  <c r="E3058" i="1"/>
  <c r="D3058" i="1"/>
  <c r="E3057" i="1"/>
  <c r="D3057" i="1"/>
  <c r="E3056" i="1"/>
  <c r="D3056" i="1"/>
  <c r="E3055" i="1"/>
  <c r="D3055" i="1"/>
  <c r="E3054" i="1"/>
  <c r="D3054" i="1"/>
  <c r="E3053" i="1"/>
  <c r="D3053" i="1"/>
  <c r="E3052" i="1"/>
  <c r="D3052" i="1"/>
  <c r="E3051" i="1"/>
  <c r="D3051" i="1"/>
  <c r="I617" i="1" l="1"/>
  <c r="I616" i="1" s="1"/>
  <c r="AB112" i="1" l="1"/>
  <c r="F370" i="2" l="1"/>
  <c r="F109" i="2" s="1"/>
  <c r="AK109" i="2" s="1"/>
  <c r="C370" i="2"/>
  <c r="AA109" i="2" s="1"/>
  <c r="C109" i="2" s="1"/>
  <c r="AI109" i="2" s="1"/>
  <c r="AF109" i="2"/>
  <c r="AE109" i="2"/>
  <c r="J578" i="2" l="1"/>
  <c r="E149" i="1" s="1"/>
  <c r="J579" i="2"/>
  <c r="D149" i="1" s="1"/>
  <c r="AB149" i="1"/>
  <c r="H744" i="2" l="1"/>
  <c r="I744" i="2"/>
  <c r="K744" i="2"/>
  <c r="L744" i="2"/>
  <c r="M744" i="2"/>
  <c r="H745" i="2"/>
  <c r="I745" i="2"/>
  <c r="K745" i="2"/>
  <c r="L745" i="2"/>
  <c r="M745" i="2"/>
  <c r="J876" i="2"/>
  <c r="E104" i="1" s="1"/>
  <c r="J877" i="2"/>
  <c r="D104" i="1" s="1"/>
  <c r="E745" i="2" l="1"/>
  <c r="AB104" i="1"/>
  <c r="C948" i="2" l="1"/>
  <c r="C942" i="2"/>
  <c r="E948" i="2"/>
  <c r="F948" i="2"/>
  <c r="F568" i="2"/>
  <c r="C568" i="2"/>
  <c r="F524" i="2"/>
  <c r="C524" i="2"/>
  <c r="F442" i="2"/>
  <c r="C442" i="2"/>
  <c r="AF55" i="2"/>
  <c r="AE55" i="2"/>
  <c r="F55" i="2" l="1"/>
  <c r="AK55" i="2" s="1"/>
  <c r="AA55" i="2"/>
  <c r="C55" i="2" s="1"/>
  <c r="AI55" i="2" l="1"/>
  <c r="D13" i="18"/>
  <c r="G13" i="18" s="1"/>
  <c r="AB108" i="1"/>
  <c r="AF142" i="2" l="1"/>
  <c r="AE142" i="2"/>
  <c r="AF141" i="2"/>
  <c r="AE141" i="2"/>
  <c r="AF106" i="2"/>
  <c r="AE106" i="2"/>
  <c r="H973" i="2" l="1"/>
  <c r="I973" i="2"/>
  <c r="K973" i="2"/>
  <c r="L973" i="2"/>
  <c r="M973" i="2"/>
  <c r="N973" i="2"/>
  <c r="O973" i="2"/>
  <c r="P973" i="2"/>
  <c r="Q973" i="2"/>
  <c r="R973" i="2"/>
  <c r="S973" i="2"/>
  <c r="U973" i="2"/>
  <c r="V973" i="2"/>
  <c r="W973" i="2"/>
  <c r="X973" i="2"/>
  <c r="Y973" i="2"/>
  <c r="H974" i="2"/>
  <c r="I974" i="2"/>
  <c r="K974" i="2"/>
  <c r="L974" i="2"/>
  <c r="M974" i="2"/>
  <c r="N974" i="2"/>
  <c r="O974" i="2"/>
  <c r="P974" i="2"/>
  <c r="Q974" i="2"/>
  <c r="R974" i="2"/>
  <c r="S974" i="2"/>
  <c r="U974" i="2"/>
  <c r="V974" i="2"/>
  <c r="W974" i="2"/>
  <c r="X974" i="2"/>
  <c r="Y974" i="2"/>
  <c r="G973" i="2"/>
  <c r="G974" i="2"/>
  <c r="F964" i="2"/>
  <c r="C964" i="2"/>
  <c r="Q419" i="2"/>
  <c r="E383" i="1" s="1"/>
  <c r="Q420" i="2"/>
  <c r="D383" i="1" s="1"/>
  <c r="AB383" i="1"/>
  <c r="B151" i="8"/>
  <c r="F145" i="8"/>
  <c r="E145" i="8"/>
  <c r="G145" i="8" s="1"/>
  <c r="H145" i="8"/>
  <c r="H1026" i="2" l="1"/>
  <c r="F564" i="2"/>
  <c r="C564" i="2"/>
  <c r="H1022" i="2" l="1"/>
  <c r="E351" i="1" s="1"/>
  <c r="H1023" i="2"/>
  <c r="D351" i="1" s="1"/>
  <c r="AB351" i="1" l="1"/>
  <c r="H129" i="8" l="1"/>
  <c r="I1072" i="2" l="1"/>
  <c r="E61" i="1" s="1"/>
  <c r="I1073" i="2"/>
  <c r="D61" i="1" s="1"/>
  <c r="AB61" i="1"/>
  <c r="B372" i="19" l="1"/>
  <c r="F1114" i="2" l="1"/>
  <c r="C1112" i="2"/>
  <c r="C1113" i="2"/>
  <c r="C1114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H1116" i="2"/>
  <c r="I1116" i="2"/>
  <c r="J1116" i="2"/>
  <c r="K1116" i="2"/>
  <c r="L1116" i="2"/>
  <c r="M1116" i="2"/>
  <c r="N1116" i="2"/>
  <c r="O1116" i="2"/>
  <c r="P1116" i="2"/>
  <c r="Q1116" i="2"/>
  <c r="R1116" i="2"/>
  <c r="S1116" i="2"/>
  <c r="T1116" i="2"/>
  <c r="U1116" i="2"/>
  <c r="G1115" i="2"/>
  <c r="G1116" i="2"/>
  <c r="F1112" i="2"/>
  <c r="F1113" i="2"/>
  <c r="C1326" i="2"/>
  <c r="C1327" i="2"/>
  <c r="C1329" i="2"/>
  <c r="C1330" i="2"/>
  <c r="C1331" i="2"/>
  <c r="C1332" i="2"/>
  <c r="C1333" i="2"/>
  <c r="C1334" i="2"/>
  <c r="C1335" i="2"/>
  <c r="C1336" i="2"/>
  <c r="C1337" i="2"/>
  <c r="C1338" i="2"/>
  <c r="C1339" i="2"/>
  <c r="C1341" i="2"/>
  <c r="C1344" i="2"/>
  <c r="C1345" i="2"/>
  <c r="C1346" i="2"/>
  <c r="C1347" i="2"/>
  <c r="C1348" i="2"/>
  <c r="C1349" i="2"/>
  <c r="C1350" i="2"/>
  <c r="C1351" i="2"/>
  <c r="C1325" i="2"/>
  <c r="E1116" i="2" l="1"/>
  <c r="O1381" i="2"/>
  <c r="N1381" i="2"/>
  <c r="M1381" i="2"/>
  <c r="K1381" i="2"/>
  <c r="J1381" i="2"/>
  <c r="H1381" i="2"/>
  <c r="G1381" i="2"/>
  <c r="R1353" i="2"/>
  <c r="E495" i="1" s="1"/>
  <c r="R1354" i="2"/>
  <c r="D495" i="1" s="1"/>
  <c r="R1357" i="2" l="1"/>
  <c r="AB495" i="1"/>
  <c r="F144" i="8" l="1"/>
  <c r="E144" i="8"/>
  <c r="G144" i="8"/>
  <c r="H144" i="8"/>
  <c r="F149" i="8"/>
  <c r="F148" i="8"/>
  <c r="E148" i="8"/>
  <c r="G148" i="8"/>
  <c r="H148" i="8"/>
  <c r="F143" i="8"/>
  <c r="E143" i="8"/>
  <c r="G143" i="8" s="1"/>
  <c r="H143" i="8"/>
  <c r="K463" i="2" l="1"/>
  <c r="AB386" i="1"/>
  <c r="I1228" i="2"/>
  <c r="AB458" i="1"/>
  <c r="L1357" i="2" l="1"/>
  <c r="L1353" i="2"/>
  <c r="E365" i="1" s="1"/>
  <c r="L1354" i="2"/>
  <c r="D365" i="1" s="1"/>
  <c r="E386" i="1" l="1"/>
  <c r="D386" i="1"/>
  <c r="H1228" i="2" l="1"/>
  <c r="AF120" i="2" l="1"/>
  <c r="AE120" i="2"/>
  <c r="I542" i="2" l="1"/>
  <c r="T603" i="19" l="1"/>
  <c r="T604" i="19" s="1"/>
  <c r="T605" i="19" s="1"/>
  <c r="T606" i="19" s="1"/>
  <c r="T607" i="19" s="1"/>
  <c r="T608" i="19" s="1"/>
  <c r="T609" i="19" s="1"/>
  <c r="T610" i="19" s="1"/>
  <c r="T611" i="19" s="1"/>
  <c r="T612" i="19" s="1"/>
  <c r="T613" i="19" s="1"/>
  <c r="T614" i="19" s="1"/>
  <c r="T615" i="19" s="1"/>
  <c r="T616" i="19" s="1"/>
  <c r="T617" i="19" s="1"/>
  <c r="T618" i="19" s="1"/>
  <c r="T619" i="19" s="1"/>
  <c r="T620" i="19" s="1"/>
  <c r="T621" i="19" s="1"/>
  <c r="T622" i="19" s="1"/>
  <c r="T623" i="19" s="1"/>
  <c r="T624" i="19" s="1"/>
  <c r="T625" i="19" s="1"/>
  <c r="T626" i="19" s="1"/>
  <c r="T627" i="19" s="1"/>
  <c r="T628" i="19" s="1"/>
  <c r="T629" i="19" s="1"/>
  <c r="T630" i="19" s="1"/>
  <c r="T631" i="19" s="1"/>
  <c r="T632" i="19" s="1"/>
  <c r="T633" i="19" s="1"/>
  <c r="T634" i="19" s="1"/>
  <c r="T635" i="19" s="1"/>
  <c r="AB303" i="1"/>
  <c r="T636" i="19" l="1"/>
  <c r="T637" i="19" s="1"/>
  <c r="T638" i="19" s="1"/>
  <c r="T639" i="19" s="1"/>
  <c r="T640" i="19" s="1"/>
  <c r="T641" i="19" s="1"/>
  <c r="T642" i="19" s="1"/>
  <c r="T643" i="19" s="1"/>
  <c r="T644" i="19" s="1"/>
  <c r="T645" i="19" s="1"/>
  <c r="T646" i="19" s="1"/>
  <c r="T647" i="19" s="1"/>
  <c r="E250" i="1"/>
  <c r="D250" i="1"/>
  <c r="F1099" i="2"/>
  <c r="C1099" i="2"/>
  <c r="AB250" i="1"/>
  <c r="T648" i="19" l="1"/>
  <c r="T649" i="19" s="1"/>
  <c r="T650" i="19" s="1"/>
  <c r="E244" i="1"/>
  <c r="D244" i="1"/>
  <c r="E12" i="1"/>
  <c r="D12" i="1"/>
  <c r="AB12" i="1"/>
  <c r="T651" i="19" l="1"/>
  <c r="T652" i="19" s="1"/>
  <c r="T653" i="19" s="1"/>
  <c r="T655" i="19" s="1"/>
  <c r="T656" i="19" s="1"/>
  <c r="T657" i="19" s="1"/>
  <c r="F1325" i="2"/>
  <c r="AE80" i="2" l="1"/>
  <c r="AF80" i="2"/>
  <c r="F80" i="2"/>
  <c r="AK80" i="2" s="1"/>
  <c r="C80" i="2"/>
  <c r="AI80" i="2" s="1"/>
  <c r="F615" i="2"/>
  <c r="C615" i="2"/>
  <c r="P906" i="19" l="1"/>
  <c r="P907" i="19" s="1"/>
  <c r="P908" i="19" s="1"/>
  <c r="P909" i="19" s="1"/>
  <c r="P910" i="19" s="1"/>
  <c r="P911" i="19" s="1"/>
  <c r="P912" i="19" s="1"/>
  <c r="P913" i="19" s="1"/>
  <c r="P914" i="19" s="1"/>
  <c r="P915" i="19" s="1"/>
  <c r="P916" i="19" s="1"/>
  <c r="P917" i="19" s="1"/>
  <c r="P918" i="19" s="1"/>
  <c r="P919" i="19" s="1"/>
  <c r="P920" i="19" s="1"/>
  <c r="P921" i="19" s="1"/>
  <c r="P922" i="19" s="1"/>
  <c r="P923" i="19" s="1"/>
  <c r="F262" i="2" l="1"/>
  <c r="F52" i="2" s="1"/>
  <c r="AK52" i="2" s="1"/>
  <c r="C262" i="2"/>
  <c r="AA52" i="2" s="1"/>
  <c r="AF52" i="2"/>
  <c r="AE52" i="2"/>
  <c r="C52" i="2" l="1"/>
  <c r="AI52" i="2" s="1"/>
  <c r="H542" i="2"/>
  <c r="E184" i="1"/>
  <c r="D184" i="1"/>
  <c r="T1164" i="2"/>
  <c r="E235" i="1" s="1"/>
  <c r="T1165" i="2"/>
  <c r="D235" i="1" s="1"/>
  <c r="F1156" i="2"/>
  <c r="C1156" i="2"/>
  <c r="AB235" i="1"/>
  <c r="E13" i="1"/>
  <c r="G957" i="2"/>
  <c r="D13" i="1" s="1"/>
  <c r="F939" i="2"/>
  <c r="F940" i="2"/>
  <c r="F941" i="2"/>
  <c r="F942" i="2"/>
  <c r="F943" i="2"/>
  <c r="F944" i="2"/>
  <c r="F946" i="2"/>
  <c r="F947" i="2"/>
  <c r="F949" i="2"/>
  <c r="F950" i="2"/>
  <c r="F951" i="2"/>
  <c r="F954" i="2"/>
  <c r="F938" i="2"/>
  <c r="C939" i="2"/>
  <c r="C940" i="2"/>
  <c r="C941" i="2"/>
  <c r="C943" i="2"/>
  <c r="C947" i="2"/>
  <c r="C949" i="2"/>
  <c r="C950" i="2"/>
  <c r="C951" i="2"/>
  <c r="C954" i="2"/>
  <c r="C938" i="2"/>
  <c r="AC13" i="1"/>
  <c r="K1137" i="2"/>
  <c r="E195" i="1" s="1"/>
  <c r="K1138" i="2"/>
  <c r="D195" i="1" s="1"/>
  <c r="K459" i="2"/>
  <c r="E48" i="1" s="1"/>
  <c r="K460" i="2"/>
  <c r="D48" i="1" s="1"/>
  <c r="AB195" i="1" l="1"/>
  <c r="AB539" i="1" l="1"/>
  <c r="AF53" i="2"/>
  <c r="AE53" i="2"/>
  <c r="F263" i="2"/>
  <c r="C263" i="2"/>
  <c r="AA53" i="2" s="1"/>
  <c r="F1133" i="2"/>
  <c r="C1133" i="2"/>
  <c r="F1131" i="2"/>
  <c r="C1131" i="2"/>
  <c r="F1124" i="2"/>
  <c r="F1125" i="2"/>
  <c r="C1124" i="2"/>
  <c r="C1125" i="2"/>
  <c r="AB48" i="1"/>
  <c r="F53" i="2" l="1"/>
  <c r="AK53" i="2" s="1"/>
  <c r="C53" i="2"/>
  <c r="AI53" i="2" s="1"/>
  <c r="W503" i="2"/>
  <c r="U50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J463" i="2"/>
  <c r="I463" i="2"/>
  <c r="G463" i="2"/>
  <c r="H463" i="2"/>
  <c r="W390" i="19" l="1"/>
  <c r="T906" i="19" l="1"/>
  <c r="T907" i="19" s="1"/>
  <c r="T908" i="19" s="1"/>
  <c r="T909" i="19" s="1"/>
  <c r="T910" i="19" s="1"/>
  <c r="T911" i="19" s="1"/>
  <c r="T912" i="19" s="1"/>
  <c r="T913" i="19" s="1"/>
  <c r="T914" i="19" s="1"/>
  <c r="T915" i="19" s="1"/>
  <c r="T916" i="19" s="1"/>
  <c r="T917" i="19" s="1"/>
  <c r="T918" i="19" s="1"/>
  <c r="T919" i="19" s="1"/>
  <c r="T920" i="19" s="1"/>
  <c r="T921" i="19" s="1"/>
  <c r="T922" i="19" s="1"/>
  <c r="T923" i="19" s="1"/>
  <c r="F609" i="2"/>
  <c r="F71" i="2" s="1"/>
  <c r="AK71" i="2" s="1"/>
  <c r="C609" i="2"/>
  <c r="AA71" i="2" s="1"/>
  <c r="H999" i="2"/>
  <c r="I999" i="2"/>
  <c r="J999" i="2"/>
  <c r="K999" i="2"/>
  <c r="L999" i="2"/>
  <c r="M999" i="2"/>
  <c r="N999" i="2"/>
  <c r="O999" i="2"/>
  <c r="P999" i="2"/>
  <c r="Q999" i="2"/>
  <c r="R999" i="2"/>
  <c r="S999" i="2"/>
  <c r="U999" i="2"/>
  <c r="V999" i="2"/>
  <c r="W999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U1000" i="2"/>
  <c r="V1000" i="2"/>
  <c r="W1000" i="2"/>
  <c r="G999" i="2"/>
  <c r="G1000" i="2"/>
  <c r="F981" i="2"/>
  <c r="C981" i="2"/>
  <c r="AB529" i="1" l="1"/>
  <c r="AB538" i="1"/>
  <c r="AB265" i="1"/>
  <c r="T883" i="19" l="1"/>
  <c r="T884" i="19" s="1"/>
  <c r="T885" i="19" s="1"/>
  <c r="T886" i="19" s="1"/>
  <c r="T887" i="19" s="1"/>
  <c r="T888" i="19" s="1"/>
  <c r="T889" i="19" s="1"/>
  <c r="T890" i="19" s="1"/>
  <c r="T891" i="19" s="1"/>
  <c r="T892" i="19" s="1"/>
  <c r="T893" i="19" s="1"/>
  <c r="T894" i="19" s="1"/>
  <c r="T895" i="19" s="1"/>
  <c r="T896" i="19" s="1"/>
  <c r="T897" i="19" s="1"/>
  <c r="T898" i="19" s="1"/>
  <c r="T899" i="19" s="1"/>
  <c r="T900" i="19" s="1"/>
  <c r="T901" i="19" s="1"/>
  <c r="E942" i="2"/>
  <c r="E1098" i="2"/>
  <c r="F1098" i="2"/>
  <c r="F984" i="2"/>
  <c r="C984" i="2"/>
  <c r="F434" i="2" l="1"/>
  <c r="C434" i="2"/>
  <c r="F824" i="2"/>
  <c r="C824" i="2"/>
  <c r="F391" i="2"/>
  <c r="C391" i="2"/>
  <c r="F331" i="2"/>
  <c r="C331" i="2"/>
  <c r="F175" i="2"/>
  <c r="C175" i="2"/>
  <c r="F247" i="2"/>
  <c r="C247" i="2"/>
  <c r="AF117" i="2"/>
  <c r="AE117" i="2"/>
  <c r="F116" i="2"/>
  <c r="AF33" i="2"/>
  <c r="AE33" i="2"/>
  <c r="C1055" i="2"/>
  <c r="E1056" i="2"/>
  <c r="E1067" i="2"/>
  <c r="E1055" i="2"/>
  <c r="F1067" i="2"/>
  <c r="C1067" i="2"/>
  <c r="F653" i="2"/>
  <c r="C653" i="2"/>
  <c r="F195" i="2"/>
  <c r="C195" i="2"/>
  <c r="AF81" i="2"/>
  <c r="AE81" i="2"/>
  <c r="AF133" i="2"/>
  <c r="AE133" i="2"/>
  <c r="AF140" i="2"/>
  <c r="AE140" i="2"/>
  <c r="AA140" i="2"/>
  <c r="C140" i="2" s="1"/>
  <c r="AA81" i="2" l="1"/>
  <c r="C81" i="2" s="1"/>
  <c r="AI81" i="2" s="1"/>
  <c r="F81" i="2"/>
  <c r="AK81" i="2" s="1"/>
  <c r="F33" i="2"/>
  <c r="AK33" i="2" s="1"/>
  <c r="AA33" i="2"/>
  <c r="C33" i="2" s="1"/>
  <c r="F133" i="2"/>
  <c r="C133" i="2"/>
  <c r="AI33" i="2" l="1"/>
  <c r="B1079" i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4" i="1" s="1"/>
  <c r="B1205" i="1" s="1"/>
  <c r="AF132" i="2"/>
  <c r="AE132" i="2"/>
  <c r="F144" i="2"/>
  <c r="C144" i="2"/>
  <c r="AF144" i="2"/>
  <c r="AE144" i="2"/>
  <c r="Z124" i="1" l="1"/>
  <c r="AB125" i="1"/>
  <c r="F823" i="2"/>
  <c r="H831" i="2"/>
  <c r="E125" i="1" s="1"/>
  <c r="H832" i="2"/>
  <c r="D125" i="1" s="1"/>
  <c r="C823" i="2"/>
  <c r="E500" i="1"/>
  <c r="D500" i="1"/>
  <c r="AB500" i="1"/>
  <c r="E217" i="1"/>
  <c r="D217" i="1"/>
  <c r="AB217" i="1"/>
  <c r="O149" i="2" l="1"/>
  <c r="O39" i="2"/>
  <c r="L542" i="2"/>
  <c r="E373" i="1"/>
  <c r="D373" i="1"/>
  <c r="AB373" i="1"/>
  <c r="O79" i="2" l="1"/>
  <c r="O111" i="2" s="1"/>
  <c r="F532" i="2"/>
  <c r="F533" i="2"/>
  <c r="C532" i="2"/>
  <c r="C533" i="2"/>
  <c r="V1357" i="2"/>
  <c r="H459" i="2"/>
  <c r="I459" i="2"/>
  <c r="J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H460" i="2"/>
  <c r="I460" i="2"/>
  <c r="J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G459" i="2"/>
  <c r="G460" i="2"/>
  <c r="F429" i="2"/>
  <c r="C429" i="2"/>
  <c r="O148" i="2" l="1"/>
  <c r="D265" i="1" s="1"/>
  <c r="O147" i="2"/>
  <c r="E265" i="1" s="1"/>
  <c r="F1339" i="2"/>
  <c r="F1337" i="2"/>
  <c r="F1326" i="2"/>
  <c r="F1327" i="2"/>
  <c r="F1329" i="2"/>
  <c r="F1330" i="2"/>
  <c r="F1331" i="2"/>
  <c r="F1332" i="2"/>
  <c r="F1333" i="2"/>
  <c r="F1334" i="2"/>
  <c r="F1335" i="2"/>
  <c r="F1336" i="2"/>
  <c r="F1338" i="2"/>
  <c r="F1341" i="2"/>
  <c r="F1344" i="2"/>
  <c r="F1345" i="2"/>
  <c r="F1346" i="2"/>
  <c r="F1347" i="2"/>
  <c r="F1348" i="2"/>
  <c r="F1349" i="2"/>
  <c r="F1350" i="2"/>
  <c r="F1351" i="2"/>
  <c r="H120" i="8"/>
  <c r="AB322" i="1" l="1"/>
  <c r="F1366" i="2" l="1"/>
  <c r="F1367" i="2"/>
  <c r="F1368" i="2"/>
  <c r="F1369" i="2"/>
  <c r="F1370" i="2"/>
  <c r="F1371" i="2"/>
  <c r="F1372" i="2"/>
  <c r="F1374" i="2"/>
  <c r="F1375" i="2"/>
  <c r="F1376" i="2"/>
  <c r="F1365" i="2"/>
  <c r="C1366" i="2"/>
  <c r="C1367" i="2"/>
  <c r="C1368" i="2"/>
  <c r="C1369" i="2"/>
  <c r="C1370" i="2"/>
  <c r="C1371" i="2"/>
  <c r="C1372" i="2"/>
  <c r="C1374" i="2"/>
  <c r="C1375" i="2"/>
  <c r="C1376" i="2"/>
  <c r="C1365" i="2"/>
  <c r="E120" i="1"/>
  <c r="E34" i="1"/>
  <c r="E411" i="1"/>
  <c r="E458" i="1"/>
  <c r="E564" i="1"/>
  <c r="D120" i="1"/>
  <c r="D581" i="1"/>
  <c r="D34" i="1"/>
  <c r="D411" i="1"/>
  <c r="D458" i="1"/>
  <c r="D564" i="1"/>
  <c r="D405" i="1"/>
  <c r="E405" i="1"/>
  <c r="E1333" i="2"/>
  <c r="C1377" i="2" l="1"/>
  <c r="E581" i="1"/>
  <c r="E451" i="1"/>
  <c r="B34" i="8"/>
  <c r="F125" i="8"/>
  <c r="E125" i="8"/>
  <c r="G125" i="8" s="1"/>
  <c r="H125" i="8"/>
  <c r="G1228" i="2" l="1"/>
  <c r="J1228" i="2"/>
  <c r="K1228" i="2"/>
  <c r="L1228" i="2"/>
  <c r="AB277" i="1" l="1"/>
  <c r="W1413" i="2"/>
  <c r="F186" i="2"/>
  <c r="C186" i="2"/>
  <c r="AB34" i="1" l="1"/>
  <c r="E461" i="1"/>
  <c r="D461" i="1"/>
  <c r="M1203" i="2" l="1"/>
  <c r="C1032" i="2"/>
  <c r="C387" i="2" l="1"/>
  <c r="F387" i="2"/>
  <c r="C642" i="2" l="1"/>
  <c r="O1203" i="2" l="1"/>
  <c r="E547" i="1"/>
  <c r="D547" i="1"/>
  <c r="E372" i="1"/>
  <c r="E462" i="1"/>
  <c r="E209" i="1"/>
  <c r="D372" i="1"/>
  <c r="D462" i="1"/>
  <c r="D209" i="1"/>
  <c r="F142" i="8"/>
  <c r="E142" i="8"/>
  <c r="G142" i="8" s="1"/>
  <c r="H142" i="8"/>
  <c r="U499" i="2"/>
  <c r="E529" i="1" s="1"/>
  <c r="U500" i="2"/>
  <c r="D529" i="1" s="1"/>
  <c r="AB264" i="1"/>
  <c r="AC222" i="1" l="1"/>
  <c r="F1254" i="2"/>
  <c r="G1271" i="2"/>
  <c r="G1270" i="2"/>
  <c r="C1254" i="2"/>
  <c r="M1270" i="2"/>
  <c r="E222" i="1" s="1"/>
  <c r="P1270" i="2"/>
  <c r="S1270" i="2"/>
  <c r="T1270" i="2"/>
  <c r="U1270" i="2"/>
  <c r="V1270" i="2"/>
  <c r="M1271" i="2"/>
  <c r="P1271" i="2"/>
  <c r="S1271" i="2"/>
  <c r="T1271" i="2"/>
  <c r="U1271" i="2"/>
  <c r="V1271" i="2"/>
  <c r="E1271" i="2" l="1"/>
  <c r="D222" i="1"/>
  <c r="B153" i="8" l="1"/>
  <c r="AB569" i="1" l="1"/>
  <c r="H39" i="2"/>
  <c r="H79" i="2" s="1"/>
  <c r="H111" i="2" s="1"/>
  <c r="F1241" i="2"/>
  <c r="N1248" i="2"/>
  <c r="E569" i="1"/>
  <c r="D569" i="1"/>
  <c r="C1241" i="2"/>
  <c r="J1357" i="2"/>
  <c r="J1353" i="2"/>
  <c r="E464" i="1" s="1"/>
  <c r="J1354" i="2"/>
  <c r="D464" i="1" s="1"/>
  <c r="E258" i="1"/>
  <c r="D258" i="1"/>
  <c r="AB258" i="1"/>
  <c r="E170" i="8" l="1"/>
  <c r="C170" i="8"/>
  <c r="G141" i="8"/>
  <c r="F141" i="8"/>
  <c r="E141" i="8"/>
  <c r="H141" i="8"/>
  <c r="C1042" i="2" l="1"/>
  <c r="H147" i="2"/>
  <c r="U633" i="2"/>
  <c r="T633" i="2"/>
  <c r="C588" i="2"/>
  <c r="F588" i="2"/>
  <c r="C589" i="2"/>
  <c r="F589" i="2"/>
  <c r="C590" i="2"/>
  <c r="F590" i="2"/>
  <c r="C591" i="2"/>
  <c r="F591" i="2"/>
  <c r="C592" i="2"/>
  <c r="F592" i="2"/>
  <c r="C593" i="2"/>
  <c r="F593" i="2"/>
  <c r="C594" i="2"/>
  <c r="F594" i="2"/>
  <c r="C595" i="2"/>
  <c r="F595" i="2"/>
  <c r="C596" i="2"/>
  <c r="F596" i="2"/>
  <c r="C597" i="2"/>
  <c r="F597" i="2"/>
  <c r="C598" i="2"/>
  <c r="F598" i="2"/>
  <c r="C599" i="2"/>
  <c r="F599" i="2"/>
  <c r="C600" i="2"/>
  <c r="F600" i="2"/>
  <c r="C601" i="2"/>
  <c r="F601" i="2"/>
  <c r="C602" i="2"/>
  <c r="F602" i="2"/>
  <c r="C603" i="2"/>
  <c r="C604" i="2"/>
  <c r="F604" i="2"/>
  <c r="C606" i="2"/>
  <c r="F606" i="2"/>
  <c r="C607" i="2"/>
  <c r="F607" i="2"/>
  <c r="C608" i="2"/>
  <c r="F608" i="2"/>
  <c r="C612" i="2"/>
  <c r="F612" i="2"/>
  <c r="C613" i="2"/>
  <c r="F613" i="2"/>
  <c r="C614" i="2"/>
  <c r="F614" i="2"/>
  <c r="C616" i="2"/>
  <c r="F616" i="2"/>
  <c r="C617" i="2"/>
  <c r="F617" i="2"/>
  <c r="F136" i="2" s="1"/>
  <c r="C618" i="2"/>
  <c r="F618" i="2"/>
  <c r="C620" i="2"/>
  <c r="AA139" i="2" s="1"/>
  <c r="F620" i="2"/>
  <c r="F139" i="2" s="1"/>
  <c r="C621" i="2"/>
  <c r="F621" i="2"/>
  <c r="C622" i="2"/>
  <c r="F622" i="2"/>
  <c r="C623" i="2"/>
  <c r="F623" i="2"/>
  <c r="C624" i="2"/>
  <c r="F624" i="2"/>
  <c r="C625" i="2"/>
  <c r="F625" i="2"/>
  <c r="C626" i="2"/>
  <c r="AA142" i="2" s="1"/>
  <c r="C142" i="2" s="1"/>
  <c r="F626" i="2"/>
  <c r="F142" i="2" s="1"/>
  <c r="C627" i="2"/>
  <c r="F627" i="2"/>
  <c r="C628" i="2"/>
  <c r="F628" i="2"/>
  <c r="F587" i="2"/>
  <c r="C587" i="2"/>
  <c r="S633" i="2"/>
  <c r="AB184" i="1"/>
  <c r="AA136" i="2" l="1"/>
  <c r="C136" i="2" s="1"/>
  <c r="F140" i="2"/>
  <c r="F106" i="2"/>
  <c r="AK106" i="2" s="1"/>
  <c r="C629" i="2"/>
  <c r="Q633" i="2"/>
  <c r="O633" i="2"/>
  <c r="N633" i="2" l="1"/>
  <c r="M633" i="2"/>
  <c r="L633" i="2"/>
  <c r="L1203" i="2" l="1"/>
  <c r="J1203" i="2"/>
  <c r="H1203" i="2"/>
  <c r="G1203" i="2"/>
  <c r="R1203" i="2"/>
  <c r="T1203" i="2"/>
  <c r="C303" i="2"/>
  <c r="F966" i="2" l="1"/>
  <c r="F968" i="2"/>
  <c r="F967" i="2"/>
  <c r="F969" i="2"/>
  <c r="F970" i="2"/>
  <c r="F971" i="2"/>
  <c r="F972" i="2"/>
  <c r="F965" i="2"/>
  <c r="C965" i="2"/>
  <c r="Y977" i="2"/>
  <c r="E571" i="1"/>
  <c r="D571" i="1"/>
  <c r="C968" i="2" l="1"/>
  <c r="C967" i="2"/>
  <c r="C969" i="2"/>
  <c r="C970" i="2"/>
  <c r="C971" i="2"/>
  <c r="C972" i="2"/>
  <c r="F536" i="2"/>
  <c r="C536" i="2"/>
  <c r="C973" i="2" l="1"/>
  <c r="AB571" i="1"/>
  <c r="S629" i="2" l="1"/>
  <c r="E438" i="1" s="1"/>
  <c r="T629" i="2"/>
  <c r="E545" i="1" s="1"/>
  <c r="U629" i="2"/>
  <c r="E599" i="1" s="1"/>
  <c r="S630" i="2"/>
  <c r="D438" i="1" s="1"/>
  <c r="T630" i="2"/>
  <c r="D545" i="1" s="1"/>
  <c r="U630" i="2"/>
  <c r="D599" i="1" s="1"/>
  <c r="L629" i="2"/>
  <c r="E273" i="1" s="1"/>
  <c r="M629" i="2"/>
  <c r="E116" i="1" s="1"/>
  <c r="N629" i="2"/>
  <c r="E293" i="1" s="1"/>
  <c r="O629" i="2"/>
  <c r="E295" i="1" s="1"/>
  <c r="Q629" i="2"/>
  <c r="E323" i="1" s="1"/>
  <c r="L630" i="2"/>
  <c r="D273" i="1" s="1"/>
  <c r="M630" i="2"/>
  <c r="D116" i="1" s="1"/>
  <c r="N630" i="2"/>
  <c r="D293" i="1" s="1"/>
  <c r="O630" i="2"/>
  <c r="D295" i="1" s="1"/>
  <c r="Q630" i="2"/>
  <c r="D323" i="1" s="1"/>
  <c r="G423" i="2" l="1"/>
  <c r="C383" i="2"/>
  <c r="F383" i="2"/>
  <c r="C384" i="2"/>
  <c r="F384" i="2"/>
  <c r="C385" i="2"/>
  <c r="F385" i="2"/>
  <c r="C386" i="2"/>
  <c r="F386" i="2"/>
  <c r="C388" i="2"/>
  <c r="F388" i="2"/>
  <c r="C389" i="2"/>
  <c r="F389" i="2"/>
  <c r="C390" i="2"/>
  <c r="F390" i="2"/>
  <c r="C392" i="2"/>
  <c r="F392" i="2"/>
  <c r="C393" i="2"/>
  <c r="F393" i="2"/>
  <c r="C394" i="2"/>
  <c r="F394" i="2"/>
  <c r="C395" i="2"/>
  <c r="F395" i="2"/>
  <c r="C396" i="2"/>
  <c r="F396" i="2"/>
  <c r="C397" i="2"/>
  <c r="F397" i="2"/>
  <c r="C399" i="2"/>
  <c r="F399" i="2"/>
  <c r="C400" i="2"/>
  <c r="F400" i="2"/>
  <c r="C401" i="2"/>
  <c r="F401" i="2"/>
  <c r="C402" i="2"/>
  <c r="F402" i="2"/>
  <c r="C405" i="2"/>
  <c r="F405" i="2"/>
  <c r="C406" i="2"/>
  <c r="F406" i="2"/>
  <c r="C407" i="2"/>
  <c r="F407" i="2"/>
  <c r="C408" i="2"/>
  <c r="F408" i="2"/>
  <c r="C409" i="2"/>
  <c r="F409" i="2"/>
  <c r="C412" i="2"/>
  <c r="F412" i="2"/>
  <c r="C413" i="2"/>
  <c r="F413" i="2"/>
  <c r="C414" i="2"/>
  <c r="F414" i="2"/>
  <c r="C415" i="2"/>
  <c r="F415" i="2"/>
  <c r="C416" i="2"/>
  <c r="AA141" i="2" s="1"/>
  <c r="C141" i="2" s="1"/>
  <c r="F416" i="2"/>
  <c r="F141" i="2" s="1"/>
  <c r="C417" i="2"/>
  <c r="F417" i="2"/>
  <c r="C418" i="2"/>
  <c r="F418" i="2"/>
  <c r="F382" i="2"/>
  <c r="C382" i="2"/>
  <c r="H423" i="2"/>
  <c r="I423" i="2"/>
  <c r="J423" i="2"/>
  <c r="K423" i="2"/>
  <c r="C419" i="2" l="1"/>
  <c r="H629" i="2"/>
  <c r="H630" i="2"/>
  <c r="K419" i="2" l="1"/>
  <c r="E191" i="1" s="1"/>
  <c r="K420" i="2"/>
  <c r="D191" i="1" s="1"/>
  <c r="L423" i="2"/>
  <c r="M423" i="2"/>
  <c r="N423" i="2"/>
  <c r="O423" i="2"/>
  <c r="P423" i="2"/>
  <c r="Q1357" i="2"/>
  <c r="G1413" i="2"/>
  <c r="R423" i="2"/>
  <c r="S423" i="2"/>
  <c r="T423" i="2"/>
  <c r="U423" i="2"/>
  <c r="V423" i="2"/>
  <c r="W423" i="2"/>
  <c r="X423" i="2" l="1"/>
  <c r="Y423" i="2"/>
  <c r="AA423" i="2"/>
  <c r="U1203" i="2" l="1"/>
  <c r="V790" i="2"/>
  <c r="E596" i="1"/>
  <c r="D596" i="1"/>
  <c r="E385" i="1"/>
  <c r="D385" i="1"/>
  <c r="AB596" i="1"/>
  <c r="AF127" i="2" l="1"/>
  <c r="AE127" i="2"/>
  <c r="AB385" i="1"/>
  <c r="G377" i="2" l="1"/>
  <c r="H37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2" i="2"/>
  <c r="F333" i="2"/>
  <c r="F334" i="2"/>
  <c r="F335" i="2"/>
  <c r="F336" i="2"/>
  <c r="F337" i="2"/>
  <c r="F340" i="2"/>
  <c r="F341" i="2"/>
  <c r="F343" i="2"/>
  <c r="F344" i="2"/>
  <c r="F345" i="2"/>
  <c r="F346" i="2"/>
  <c r="F347" i="2"/>
  <c r="F348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7" i="2"/>
  <c r="F368" i="2"/>
  <c r="F369" i="2"/>
  <c r="F371" i="2"/>
  <c r="F372" i="2"/>
  <c r="F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2" i="2"/>
  <c r="C333" i="2"/>
  <c r="C334" i="2"/>
  <c r="C335" i="2"/>
  <c r="C336" i="2"/>
  <c r="C337" i="2"/>
  <c r="C340" i="2"/>
  <c r="C341" i="2"/>
  <c r="C343" i="2"/>
  <c r="C344" i="2"/>
  <c r="C345" i="2"/>
  <c r="C346" i="2"/>
  <c r="C347" i="2"/>
  <c r="C348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7" i="2"/>
  <c r="C368" i="2"/>
  <c r="C369" i="2"/>
  <c r="C371" i="2"/>
  <c r="C372" i="2"/>
  <c r="C317" i="2"/>
  <c r="C374" i="2" l="1"/>
  <c r="H374" i="2"/>
  <c r="D57" i="1" s="1"/>
  <c r="I377" i="2" l="1"/>
  <c r="F137" i="2"/>
  <c r="AA137" i="2"/>
  <c r="J377" i="2"/>
  <c r="K377" i="2"/>
  <c r="L377" i="2"/>
  <c r="M377" i="2"/>
  <c r="Q377" i="2" l="1"/>
  <c r="R377" i="2"/>
  <c r="T377" i="2"/>
  <c r="U377" i="2"/>
  <c r="V377" i="2"/>
  <c r="W377" i="2"/>
  <c r="X377" i="2"/>
  <c r="N377" i="2"/>
  <c r="O377" i="2" l="1"/>
  <c r="AA419" i="2"/>
  <c r="E304" i="1" s="1"/>
  <c r="AA420" i="2"/>
  <c r="D304" i="1" s="1"/>
  <c r="V1047" i="2" l="1"/>
  <c r="E538" i="1" s="1"/>
  <c r="V1048" i="2"/>
  <c r="D538" i="1" s="1"/>
  <c r="Q1353" i="2"/>
  <c r="E161" i="1" s="1"/>
  <c r="Q1354" i="2"/>
  <c r="D161" i="1" s="1"/>
  <c r="AB161" i="1"/>
  <c r="P790" i="2"/>
  <c r="E202" i="1"/>
  <c r="D202" i="1"/>
  <c r="AB202" i="1" l="1"/>
  <c r="Q503" i="2" l="1"/>
  <c r="F468" i="2"/>
  <c r="F469" i="2"/>
  <c r="F470" i="2"/>
  <c r="F471" i="2"/>
  <c r="F473" i="2"/>
  <c r="F474" i="2"/>
  <c r="F476" i="2"/>
  <c r="F477" i="2"/>
  <c r="F478" i="2"/>
  <c r="F479" i="2"/>
  <c r="F480" i="2"/>
  <c r="F481" i="2"/>
  <c r="F484" i="2"/>
  <c r="F486" i="2"/>
  <c r="F488" i="2"/>
  <c r="F489" i="2"/>
  <c r="F493" i="2"/>
  <c r="F496" i="2"/>
  <c r="F497" i="2"/>
  <c r="F498" i="2"/>
  <c r="F467" i="2"/>
  <c r="Q500" i="2"/>
  <c r="D454" i="1" s="1"/>
  <c r="G500" i="2"/>
  <c r="H499" i="2"/>
  <c r="I499" i="2"/>
  <c r="J499" i="2"/>
  <c r="K499" i="2"/>
  <c r="L499" i="2"/>
  <c r="M499" i="2"/>
  <c r="N499" i="2"/>
  <c r="O499" i="2"/>
  <c r="P499" i="2"/>
  <c r="Q499" i="2"/>
  <c r="E454" i="1" s="1"/>
  <c r="R499" i="2"/>
  <c r="S499" i="2"/>
  <c r="T499" i="2"/>
  <c r="V499" i="2"/>
  <c r="W499" i="2"/>
  <c r="X499" i="2"/>
  <c r="Y499" i="2"/>
  <c r="H500" i="2"/>
  <c r="I500" i="2"/>
  <c r="J500" i="2"/>
  <c r="K500" i="2"/>
  <c r="L500" i="2"/>
  <c r="M500" i="2"/>
  <c r="N500" i="2"/>
  <c r="O500" i="2"/>
  <c r="P500" i="2"/>
  <c r="R500" i="2"/>
  <c r="S500" i="2"/>
  <c r="T500" i="2"/>
  <c r="V500" i="2"/>
  <c r="W500" i="2"/>
  <c r="X500" i="2"/>
  <c r="Y500" i="2"/>
  <c r="G499" i="2"/>
  <c r="C498" i="2"/>
  <c r="C493" i="2"/>
  <c r="C496" i="2"/>
  <c r="AA106" i="2" s="1"/>
  <c r="C106" i="2" s="1"/>
  <c r="AI106" i="2" s="1"/>
  <c r="C469" i="2"/>
  <c r="C467" i="2"/>
  <c r="E500" i="2" l="1"/>
  <c r="Q373" i="2"/>
  <c r="E5" i="1" s="1"/>
  <c r="R373" i="2"/>
  <c r="E24" i="1" s="1"/>
  <c r="S373" i="2"/>
  <c r="E52" i="1" s="1"/>
  <c r="T373" i="2"/>
  <c r="E165" i="1" s="1"/>
  <c r="U373" i="2"/>
  <c r="E266" i="1" s="1"/>
  <c r="V373" i="2"/>
  <c r="E280" i="1" s="1"/>
  <c r="W373" i="2"/>
  <c r="E414" i="1" s="1"/>
  <c r="X373" i="2"/>
  <c r="E590" i="1" s="1"/>
  <c r="Q374" i="2"/>
  <c r="R374" i="2"/>
  <c r="D24" i="1" s="1"/>
  <c r="S374" i="2"/>
  <c r="D52" i="1" s="1"/>
  <c r="T374" i="2"/>
  <c r="D165" i="1" s="1"/>
  <c r="U374" i="2"/>
  <c r="D266" i="1" s="1"/>
  <c r="V374" i="2"/>
  <c r="D280" i="1" s="1"/>
  <c r="W374" i="2"/>
  <c r="D414" i="1" s="1"/>
  <c r="X374" i="2"/>
  <c r="D590" i="1" s="1"/>
  <c r="P149" i="2"/>
  <c r="P39" i="2"/>
  <c r="C457" i="2"/>
  <c r="F457" i="2"/>
  <c r="F430" i="2"/>
  <c r="C430" i="2"/>
  <c r="F458" i="2"/>
  <c r="E262" i="1"/>
  <c r="D262" i="1"/>
  <c r="M39" i="2"/>
  <c r="M149" i="2"/>
  <c r="M79" i="2" l="1"/>
  <c r="M111" i="2" s="1"/>
  <c r="M148" i="2" s="1"/>
  <c r="D232" i="1" s="1"/>
  <c r="D5" i="1"/>
  <c r="P79" i="2"/>
  <c r="P111" i="2" s="1"/>
  <c r="K149" i="2"/>
  <c r="K39" i="2"/>
  <c r="I149" i="2"/>
  <c r="J149" i="2"/>
  <c r="L149" i="2"/>
  <c r="I39" i="2"/>
  <c r="J39" i="2"/>
  <c r="G312" i="2"/>
  <c r="F228" i="2"/>
  <c r="F229" i="2"/>
  <c r="F230" i="2"/>
  <c r="F231" i="2"/>
  <c r="F232" i="2"/>
  <c r="F233" i="2"/>
  <c r="F234" i="2"/>
  <c r="F235" i="2"/>
  <c r="F236" i="2"/>
  <c r="F238" i="2"/>
  <c r="F239" i="2"/>
  <c r="F240" i="2"/>
  <c r="F241" i="2"/>
  <c r="F242" i="2"/>
  <c r="F243" i="2"/>
  <c r="F244" i="2"/>
  <c r="F245" i="2"/>
  <c r="F246" i="2"/>
  <c r="F248" i="2"/>
  <c r="F249" i="2"/>
  <c r="F120" i="2" s="1"/>
  <c r="F250" i="2"/>
  <c r="F251" i="2"/>
  <c r="F38" i="2" s="1"/>
  <c r="AK38" i="2" s="1"/>
  <c r="F252" i="2"/>
  <c r="F253" i="2"/>
  <c r="F254" i="2"/>
  <c r="F255" i="2"/>
  <c r="F256" i="2"/>
  <c r="F257" i="2"/>
  <c r="F258" i="2"/>
  <c r="F259" i="2"/>
  <c r="F260" i="2"/>
  <c r="F261" i="2"/>
  <c r="F264" i="2"/>
  <c r="F265" i="2"/>
  <c r="F267" i="2"/>
  <c r="F127" i="2" s="1"/>
  <c r="F269" i="2"/>
  <c r="F270" i="2"/>
  <c r="F271" i="2"/>
  <c r="F272" i="2"/>
  <c r="F273" i="2"/>
  <c r="F274" i="2"/>
  <c r="F277" i="2"/>
  <c r="F278" i="2"/>
  <c r="F279" i="2"/>
  <c r="F280" i="2"/>
  <c r="F281" i="2"/>
  <c r="F282" i="2"/>
  <c r="F283" i="2"/>
  <c r="F86" i="2" s="1"/>
  <c r="AK86" i="2" s="1"/>
  <c r="F284" i="2"/>
  <c r="F286" i="2"/>
  <c r="F287" i="2"/>
  <c r="F289" i="2"/>
  <c r="F290" i="2"/>
  <c r="F291" i="2"/>
  <c r="F292" i="2"/>
  <c r="F293" i="2"/>
  <c r="F294" i="2"/>
  <c r="F100" i="2" s="1"/>
  <c r="F295" i="2"/>
  <c r="F296" i="2"/>
  <c r="F104" i="2" s="1"/>
  <c r="AK104" i="2" s="1"/>
  <c r="F297" i="2"/>
  <c r="F105" i="2" s="1"/>
  <c r="AK105" i="2" s="1"/>
  <c r="F298" i="2"/>
  <c r="F299" i="2"/>
  <c r="F300" i="2"/>
  <c r="F301" i="2"/>
  <c r="F302" i="2"/>
  <c r="F303" i="2"/>
  <c r="F304" i="2"/>
  <c r="F305" i="2"/>
  <c r="F130" i="2" s="1"/>
  <c r="F306" i="2"/>
  <c r="F307" i="2"/>
  <c r="F135" i="2" s="1"/>
  <c r="F227" i="2"/>
  <c r="C228" i="2"/>
  <c r="C229" i="2"/>
  <c r="C230" i="2"/>
  <c r="C231" i="2"/>
  <c r="C232" i="2"/>
  <c r="C233" i="2"/>
  <c r="C234" i="2"/>
  <c r="C235" i="2"/>
  <c r="C236" i="2"/>
  <c r="C238" i="2"/>
  <c r="C239" i="2"/>
  <c r="C240" i="2"/>
  <c r="C241" i="2"/>
  <c r="C242" i="2"/>
  <c r="C243" i="2"/>
  <c r="C244" i="2"/>
  <c r="C245" i="2"/>
  <c r="C246" i="2"/>
  <c r="C248" i="2"/>
  <c r="C249" i="2"/>
  <c r="AA120" i="2" s="1"/>
  <c r="C120" i="2" s="1"/>
  <c r="C250" i="2"/>
  <c r="C251" i="2"/>
  <c r="AA38" i="2" s="1"/>
  <c r="C252" i="2"/>
  <c r="C253" i="2"/>
  <c r="C254" i="2"/>
  <c r="AA42" i="2" s="1"/>
  <c r="C255" i="2"/>
  <c r="C256" i="2"/>
  <c r="C257" i="2"/>
  <c r="C258" i="2"/>
  <c r="C259" i="2"/>
  <c r="C260" i="2"/>
  <c r="C261" i="2"/>
  <c r="C264" i="2"/>
  <c r="C265" i="2"/>
  <c r="AA57" i="2" s="1"/>
  <c r="C267" i="2"/>
  <c r="AA127" i="2" s="1"/>
  <c r="C127" i="2" s="1"/>
  <c r="C269" i="2"/>
  <c r="C270" i="2"/>
  <c r="C271" i="2"/>
  <c r="C272" i="2"/>
  <c r="C273" i="2"/>
  <c r="C274" i="2"/>
  <c r="C277" i="2"/>
  <c r="C278" i="2"/>
  <c r="C279" i="2"/>
  <c r="C280" i="2"/>
  <c r="C281" i="2"/>
  <c r="C282" i="2"/>
  <c r="C283" i="2"/>
  <c r="C284" i="2"/>
  <c r="C286" i="2"/>
  <c r="C287" i="2"/>
  <c r="C289" i="2"/>
  <c r="C290" i="2"/>
  <c r="C291" i="2"/>
  <c r="C292" i="2"/>
  <c r="C293" i="2"/>
  <c r="C294" i="2"/>
  <c r="AA100" i="2" s="1"/>
  <c r="C295" i="2"/>
  <c r="C296" i="2"/>
  <c r="C297" i="2"/>
  <c r="AA105" i="2" s="1"/>
  <c r="C298" i="2"/>
  <c r="C299" i="2"/>
  <c r="C300" i="2"/>
  <c r="C301" i="2"/>
  <c r="C302" i="2"/>
  <c r="C304" i="2"/>
  <c r="C305" i="2"/>
  <c r="AA130" i="2" s="1"/>
  <c r="C306" i="2"/>
  <c r="C307" i="2"/>
  <c r="C227" i="2"/>
  <c r="I312" i="2"/>
  <c r="H312" i="2"/>
  <c r="F57" i="2" l="1"/>
  <c r="AK57" i="2" s="1"/>
  <c r="F42" i="2"/>
  <c r="AK42" i="2" s="1"/>
  <c r="M147" i="2"/>
  <c r="E232" i="1" s="1"/>
  <c r="P147" i="2"/>
  <c r="E269" i="1" s="1"/>
  <c r="K79" i="2"/>
  <c r="K111" i="2" s="1"/>
  <c r="K148" i="2" s="1"/>
  <c r="D141" i="1" s="1"/>
  <c r="I79" i="2"/>
  <c r="I111" i="2" s="1"/>
  <c r="C308" i="2"/>
  <c r="P148" i="2"/>
  <c r="D269" i="1" s="1"/>
  <c r="J79" i="2"/>
  <c r="J111" i="2" s="1"/>
  <c r="AA126" i="2"/>
  <c r="F126" i="2"/>
  <c r="AA45" i="2"/>
  <c r="F45" i="2"/>
  <c r="AK45" i="2" s="1"/>
  <c r="J312" i="2"/>
  <c r="L312" i="2"/>
  <c r="K312" i="2"/>
  <c r="K147" i="2" l="1"/>
  <c r="E141" i="1" s="1"/>
  <c r="I147" i="2"/>
  <c r="E95" i="1" s="1"/>
  <c r="J147" i="2"/>
  <c r="E117" i="1" s="1"/>
  <c r="J148" i="2"/>
  <c r="D117" i="1" s="1"/>
  <c r="I148" i="2"/>
  <c r="D95" i="1" s="1"/>
  <c r="M312" i="2"/>
  <c r="AA83" i="2" l="1"/>
  <c r="F83" i="2"/>
  <c r="AK83" i="2" s="1"/>
  <c r="AA50" i="2"/>
  <c r="F50" i="2"/>
  <c r="AK50" i="2" s="1"/>
  <c r="L39" i="2" l="1"/>
  <c r="N39" i="2"/>
  <c r="Q39" i="2"/>
  <c r="R39" i="2"/>
  <c r="S39" i="2"/>
  <c r="T39" i="2"/>
  <c r="U39" i="2"/>
  <c r="V39" i="2"/>
  <c r="W39" i="2"/>
  <c r="X39" i="2"/>
  <c r="G39" i="2"/>
  <c r="G79" i="2" s="1"/>
  <c r="G111" i="2" s="1"/>
  <c r="W312" i="2"/>
  <c r="U312" i="2"/>
  <c r="T312" i="2"/>
  <c r="S312" i="2"/>
  <c r="R312" i="2"/>
  <c r="Q312" i="2"/>
  <c r="P312" i="2"/>
  <c r="O312" i="2"/>
  <c r="R79" i="2" l="1"/>
  <c r="R111" i="2" s="1"/>
  <c r="U79" i="2"/>
  <c r="U111" i="2" s="1"/>
  <c r="X79" i="2"/>
  <c r="X111" i="2" s="1"/>
  <c r="X148" i="2" s="1"/>
  <c r="D597" i="1" s="1"/>
  <c r="T79" i="2"/>
  <c r="T111" i="2" s="1"/>
  <c r="N79" i="2"/>
  <c r="N111" i="2" s="1"/>
  <c r="V79" i="2"/>
  <c r="V111" i="2" s="1"/>
  <c r="Q79" i="2"/>
  <c r="Q111" i="2" s="1"/>
  <c r="S79" i="2"/>
  <c r="S111" i="2" s="1"/>
  <c r="L79" i="2"/>
  <c r="L111" i="2" s="1"/>
  <c r="W79" i="2"/>
  <c r="W111" i="2" s="1"/>
  <c r="X147" i="2" l="1"/>
  <c r="E597" i="1" s="1"/>
  <c r="V147" i="2"/>
  <c r="T147" i="2"/>
  <c r="U147" i="2"/>
  <c r="Q147" i="2"/>
  <c r="N147" i="2"/>
  <c r="R147" i="2"/>
  <c r="L147" i="2"/>
  <c r="W147" i="2"/>
  <c r="E587" i="1" s="1"/>
  <c r="S147" i="2"/>
  <c r="W148" i="2"/>
  <c r="D587" i="1" s="1"/>
  <c r="AA104" i="2"/>
  <c r="C104" i="2" s="1"/>
  <c r="AI104" i="2" s="1"/>
  <c r="AA125" i="2"/>
  <c r="F125" i="2"/>
  <c r="H419" i="2" l="1"/>
  <c r="E14" i="1" s="1"/>
  <c r="I419" i="2"/>
  <c r="E32" i="1" s="1"/>
  <c r="J419" i="2"/>
  <c r="E77" i="1" s="1"/>
  <c r="L419" i="2"/>
  <c r="E204" i="1" s="1"/>
  <c r="M419" i="2"/>
  <c r="E275" i="1" s="1"/>
  <c r="N419" i="2"/>
  <c r="E290" i="1" s="1"/>
  <c r="O419" i="2"/>
  <c r="E329" i="1" s="1"/>
  <c r="P419" i="2"/>
  <c r="E350" i="1" s="1"/>
  <c r="R419" i="2"/>
  <c r="E391" i="1" s="1"/>
  <c r="S419" i="2"/>
  <c r="E435" i="1" s="1"/>
  <c r="T419" i="2"/>
  <c r="E442" i="1" s="1"/>
  <c r="U419" i="2"/>
  <c r="E477" i="1" s="1"/>
  <c r="V419" i="2"/>
  <c r="E507" i="1" s="1"/>
  <c r="W419" i="2"/>
  <c r="E511" i="1" s="1"/>
  <c r="X419" i="2"/>
  <c r="E582" i="1" s="1"/>
  <c r="Y419" i="2"/>
  <c r="E589" i="1" s="1"/>
  <c r="H420" i="2"/>
  <c r="D14" i="1" s="1"/>
  <c r="I420" i="2"/>
  <c r="D32" i="1" s="1"/>
  <c r="J420" i="2"/>
  <c r="D77" i="1" s="1"/>
  <c r="L420" i="2"/>
  <c r="M420" i="2"/>
  <c r="D275" i="1" s="1"/>
  <c r="N420" i="2"/>
  <c r="D290" i="1" s="1"/>
  <c r="O420" i="2"/>
  <c r="D329" i="1" s="1"/>
  <c r="P420" i="2"/>
  <c r="R420" i="2"/>
  <c r="S420" i="2"/>
  <c r="D435" i="1" s="1"/>
  <c r="T420" i="2"/>
  <c r="D442" i="1" s="1"/>
  <c r="U420" i="2"/>
  <c r="V420" i="2"/>
  <c r="D507" i="1" s="1"/>
  <c r="W420" i="2"/>
  <c r="D511" i="1" s="1"/>
  <c r="X420" i="2"/>
  <c r="D582" i="1" s="1"/>
  <c r="Y420" i="2"/>
  <c r="D589" i="1" s="1"/>
  <c r="G420" i="2"/>
  <c r="G419" i="2"/>
  <c r="E10" i="1" s="1"/>
  <c r="E958" i="19"/>
  <c r="E420" i="2" l="1"/>
  <c r="D10" i="1"/>
  <c r="D204" i="1"/>
  <c r="D350" i="1"/>
  <c r="D391" i="1"/>
  <c r="D477" i="1"/>
  <c r="AB91" i="1" l="1"/>
  <c r="C486" i="2"/>
  <c r="E946" i="19" l="1"/>
  <c r="C171" i="2" l="1"/>
  <c r="C156" i="2"/>
  <c r="E549" i="1" l="1"/>
  <c r="V148" i="2"/>
  <c r="D549" i="1" s="1"/>
  <c r="H373" i="2"/>
  <c r="E57" i="1" s="1"/>
  <c r="I373" i="2"/>
  <c r="E84" i="1" s="1"/>
  <c r="J373" i="2"/>
  <c r="E283" i="1" s="1"/>
  <c r="K373" i="2"/>
  <c r="E334" i="1" s="1"/>
  <c r="L373" i="2"/>
  <c r="E375" i="1" s="1"/>
  <c r="M373" i="2"/>
  <c r="E558" i="1" s="1"/>
  <c r="N373" i="2"/>
  <c r="E574" i="1" s="1"/>
  <c r="O373" i="2"/>
  <c r="E600" i="1" s="1"/>
  <c r="I374" i="2"/>
  <c r="J374" i="2"/>
  <c r="K374" i="2"/>
  <c r="L374" i="2"/>
  <c r="D375" i="1" s="1"/>
  <c r="M374" i="2"/>
  <c r="N374" i="2"/>
  <c r="D574" i="1" s="1"/>
  <c r="O374" i="2"/>
  <c r="D600" i="1" s="1"/>
  <c r="G374" i="2"/>
  <c r="G373" i="2"/>
  <c r="E18" i="1" s="1"/>
  <c r="D18" i="1" l="1"/>
  <c r="E374" i="2"/>
  <c r="D84" i="1"/>
  <c r="D283" i="1"/>
  <c r="D334" i="1"/>
  <c r="D558" i="1"/>
  <c r="D335" i="6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H215" i="2"/>
  <c r="E80" i="1" s="1"/>
  <c r="I184" i="2"/>
  <c r="I216" i="2" s="1"/>
  <c r="J184" i="2"/>
  <c r="J216" i="2" s="1"/>
  <c r="K184" i="2"/>
  <c r="K215" i="2" s="1"/>
  <c r="L184" i="2"/>
  <c r="L216" i="2" s="1"/>
  <c r="M184" i="2"/>
  <c r="M216" i="2" s="1"/>
  <c r="D276" i="1" s="1"/>
  <c r="N184" i="2"/>
  <c r="N216" i="2" s="1"/>
  <c r="D398" i="1" s="1"/>
  <c r="O184" i="2"/>
  <c r="O215" i="2" s="1"/>
  <c r="E453" i="1" s="1"/>
  <c r="P184" i="2"/>
  <c r="P215" i="2" s="1"/>
  <c r="Q184" i="2"/>
  <c r="Q215" i="2" s="1"/>
  <c r="R184" i="2"/>
  <c r="R216" i="2" s="1"/>
  <c r="G184" i="2"/>
  <c r="G216" i="2" s="1"/>
  <c r="C157" i="2"/>
  <c r="C158" i="2"/>
  <c r="AA11" i="2" s="1"/>
  <c r="C159" i="2"/>
  <c r="C160" i="2"/>
  <c r="C161" i="2"/>
  <c r="C162" i="2"/>
  <c r="C163" i="2"/>
  <c r="C164" i="2"/>
  <c r="C165" i="2"/>
  <c r="C166" i="2"/>
  <c r="C167" i="2"/>
  <c r="C168" i="2"/>
  <c r="C169" i="2"/>
  <c r="C170" i="2"/>
  <c r="AA24" i="2" s="1"/>
  <c r="C172" i="2"/>
  <c r="C173" i="2"/>
  <c r="C174" i="2"/>
  <c r="AA32" i="2" s="1"/>
  <c r="C176" i="2"/>
  <c r="C177" i="2"/>
  <c r="C178" i="2"/>
  <c r="C179" i="2"/>
  <c r="C212" i="2"/>
  <c r="C180" i="2"/>
  <c r="C183" i="2"/>
  <c r="C185" i="2"/>
  <c r="C187" i="2"/>
  <c r="C188" i="2"/>
  <c r="C213" i="2"/>
  <c r="C191" i="2"/>
  <c r="AA74" i="2" s="1"/>
  <c r="C192" i="2"/>
  <c r="C193" i="2"/>
  <c r="AA76" i="2" s="1"/>
  <c r="C194" i="2"/>
  <c r="C214" i="2"/>
  <c r="C196" i="2"/>
  <c r="C197" i="2"/>
  <c r="C198" i="2"/>
  <c r="C199" i="2"/>
  <c r="C201" i="2"/>
  <c r="AA93" i="2" s="1"/>
  <c r="C202" i="2"/>
  <c r="C203" i="2"/>
  <c r="AA95" i="2" s="1"/>
  <c r="C204" i="2"/>
  <c r="AA97" i="2" s="1"/>
  <c r="C205" i="2"/>
  <c r="C206" i="2"/>
  <c r="AA99" i="2" s="1"/>
  <c r="C207" i="2"/>
  <c r="AA101" i="2" s="1"/>
  <c r="C208" i="2"/>
  <c r="C209" i="2"/>
  <c r="C210" i="2"/>
  <c r="C211" i="2"/>
  <c r="F157" i="2"/>
  <c r="F9" i="2" s="1"/>
  <c r="AK9" i="2" s="1"/>
  <c r="F158" i="2"/>
  <c r="F11" i="2" s="1"/>
  <c r="AK11" i="2" s="1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32" i="2" s="1"/>
  <c r="F176" i="2"/>
  <c r="F177" i="2"/>
  <c r="F178" i="2"/>
  <c r="F179" i="2"/>
  <c r="F212" i="2"/>
  <c r="F180" i="2"/>
  <c r="F183" i="2"/>
  <c r="F185" i="2"/>
  <c r="F187" i="2"/>
  <c r="F188" i="2"/>
  <c r="F213" i="2"/>
  <c r="F191" i="2"/>
  <c r="F74" i="2" s="1"/>
  <c r="AK74" i="2" s="1"/>
  <c r="F192" i="2"/>
  <c r="F193" i="2"/>
  <c r="F76" i="2" s="1"/>
  <c r="AK76" i="2" s="1"/>
  <c r="F194" i="2"/>
  <c r="F214" i="2"/>
  <c r="F196" i="2"/>
  <c r="F197" i="2"/>
  <c r="F198" i="2"/>
  <c r="F199" i="2"/>
  <c r="F201" i="2"/>
  <c r="F93" i="2" s="1"/>
  <c r="AK93" i="2" s="1"/>
  <c r="F202" i="2"/>
  <c r="F203" i="2"/>
  <c r="F95" i="2" s="1"/>
  <c r="F204" i="2"/>
  <c r="F97" i="2" s="1"/>
  <c r="F205" i="2"/>
  <c r="F206" i="2"/>
  <c r="F99" i="2" s="1"/>
  <c r="F207" i="2"/>
  <c r="F101" i="2" s="1"/>
  <c r="AK101" i="2" s="1"/>
  <c r="F208" i="2"/>
  <c r="F209" i="2"/>
  <c r="F210" i="2"/>
  <c r="F211" i="2"/>
  <c r="F156" i="2"/>
  <c r="F8" i="2" s="1"/>
  <c r="AK8" i="2" s="1"/>
  <c r="O219" i="2"/>
  <c r="M219" i="2"/>
  <c r="H219" i="2"/>
  <c r="R219" i="2"/>
  <c r="N219" i="2"/>
  <c r="F24" i="2" l="1"/>
  <c r="AK24" i="2" s="1"/>
  <c r="AK95" i="2"/>
  <c r="AK99" i="2"/>
  <c r="AK97" i="2"/>
  <c r="AA9" i="2"/>
  <c r="C215" i="2"/>
  <c r="K216" i="2"/>
  <c r="G215" i="2"/>
  <c r="H216" i="2"/>
  <c r="D80" i="1" s="1"/>
  <c r="Q216" i="2"/>
  <c r="L215" i="2"/>
  <c r="J215" i="2"/>
  <c r="P216" i="2"/>
  <c r="R215" i="2"/>
  <c r="E572" i="1" s="1"/>
  <c r="N215" i="2"/>
  <c r="E398" i="1" s="1"/>
  <c r="O216" i="2"/>
  <c r="D453" i="1" s="1"/>
  <c r="M215" i="2"/>
  <c r="E276" i="1" s="1"/>
  <c r="I215" i="2"/>
  <c r="E25" i="1" s="1"/>
  <c r="D572" i="1"/>
  <c r="I219" i="2"/>
  <c r="D25" i="1"/>
  <c r="E218" i="2" l="1"/>
  <c r="W266" i="2"/>
  <c r="U266" i="2"/>
  <c r="T266" i="2"/>
  <c r="T309" i="2" s="1"/>
  <c r="D440" i="1" s="1"/>
  <c r="S266" i="2"/>
  <c r="R266" i="2"/>
  <c r="Q266" i="2"/>
  <c r="Q309" i="2" s="1"/>
  <c r="D166" i="1" s="1"/>
  <c r="P266" i="2"/>
  <c r="O266" i="2"/>
  <c r="M266" i="2"/>
  <c r="M309" i="2" s="1"/>
  <c r="D591" i="1" s="1"/>
  <c r="L266" i="2"/>
  <c r="L309" i="2" s="1"/>
  <c r="D448" i="1" s="1"/>
  <c r="K266" i="2"/>
  <c r="K309" i="2" s="1"/>
  <c r="D377" i="1" s="1"/>
  <c r="J266" i="2"/>
  <c r="I266" i="2"/>
  <c r="I309" i="2" s="1"/>
  <c r="D219" i="1" s="1"/>
  <c r="H266" i="2"/>
  <c r="H309" i="2" s="1"/>
  <c r="G266" i="2"/>
  <c r="G309" i="2" s="1"/>
  <c r="D142" i="1" l="1"/>
  <c r="D109" i="1"/>
  <c r="J309" i="2"/>
  <c r="R309" i="2"/>
  <c r="S309" i="2"/>
  <c r="U309" i="2"/>
  <c r="D446" i="1" s="1"/>
  <c r="W308" i="2"/>
  <c r="E595" i="1" s="1"/>
  <c r="P308" i="2"/>
  <c r="E91" i="1" s="1"/>
  <c r="P309" i="2"/>
  <c r="O309" i="2"/>
  <c r="D68" i="1" s="1"/>
  <c r="W309" i="2"/>
  <c r="D595" i="1" s="1"/>
  <c r="I308" i="2"/>
  <c r="E219" i="1" s="1"/>
  <c r="M308" i="2"/>
  <c r="E591" i="1" s="1"/>
  <c r="R308" i="2"/>
  <c r="E352" i="1" s="1"/>
  <c r="O308" i="2"/>
  <c r="E68" i="1" s="1"/>
  <c r="G308" i="2"/>
  <c r="E142" i="1" s="1"/>
  <c r="K308" i="2"/>
  <c r="E377" i="1" s="1"/>
  <c r="T308" i="2"/>
  <c r="J308" i="2"/>
  <c r="E253" i="1" s="1"/>
  <c r="S308" i="2"/>
  <c r="H308" i="2"/>
  <c r="E109" i="1" s="1"/>
  <c r="L308" i="2"/>
  <c r="E448" i="1" s="1"/>
  <c r="Q308" i="2"/>
  <c r="E166" i="1" s="1"/>
  <c r="U308" i="2"/>
  <c r="E446" i="1" s="1"/>
  <c r="E309" i="2" l="1"/>
  <c r="D253" i="1"/>
  <c r="D91" i="1"/>
  <c r="D352" i="1"/>
  <c r="E440" i="1"/>
  <c r="E393" i="1"/>
  <c r="D393" i="1"/>
  <c r="C1237" i="2"/>
  <c r="L660" i="2" l="1"/>
  <c r="F638" i="2" l="1"/>
  <c r="F640" i="2"/>
  <c r="F641" i="2"/>
  <c r="F642" i="2"/>
  <c r="F643" i="2"/>
  <c r="F644" i="2"/>
  <c r="F645" i="2"/>
  <c r="F646" i="2"/>
  <c r="F647" i="2"/>
  <c r="F649" i="2"/>
  <c r="F650" i="2"/>
  <c r="F651" i="2"/>
  <c r="F652" i="2"/>
  <c r="F77" i="2" s="1"/>
  <c r="F655" i="2"/>
  <c r="F639" i="2"/>
  <c r="F13" i="2" s="1"/>
  <c r="C639" i="2"/>
  <c r="AA13" i="2" s="1"/>
  <c r="C640" i="2"/>
  <c r="C641" i="2"/>
  <c r="C643" i="2"/>
  <c r="C644" i="2"/>
  <c r="C645" i="2"/>
  <c r="C646" i="2"/>
  <c r="C647" i="2"/>
  <c r="C649" i="2"/>
  <c r="C650" i="2"/>
  <c r="C652" i="2"/>
  <c r="AA77" i="2" s="1"/>
  <c r="C655" i="2"/>
  <c r="C638" i="2"/>
  <c r="L656" i="2"/>
  <c r="E206" i="1" s="1"/>
  <c r="L657" i="2"/>
  <c r="D206" i="1" s="1"/>
  <c r="C656" i="2" l="1"/>
  <c r="E606" i="1"/>
  <c r="AB606" i="1"/>
  <c r="F511" i="2" l="1"/>
  <c r="F512" i="2"/>
  <c r="F14" i="2" s="1"/>
  <c r="F514" i="2"/>
  <c r="F515" i="2"/>
  <c r="F516" i="2"/>
  <c r="F517" i="2"/>
  <c r="F518" i="2"/>
  <c r="F519" i="2"/>
  <c r="F520" i="2"/>
  <c r="F521" i="2"/>
  <c r="F124" i="2" s="1"/>
  <c r="F522" i="2"/>
  <c r="F525" i="2"/>
  <c r="F527" i="2"/>
  <c r="F528" i="2"/>
  <c r="F132" i="2" s="1"/>
  <c r="F529" i="2"/>
  <c r="F530" i="2"/>
  <c r="F531" i="2"/>
  <c r="F534" i="2"/>
  <c r="F535" i="2"/>
  <c r="F96" i="2" s="1"/>
  <c r="AK96" i="2" s="1"/>
  <c r="W542" i="2"/>
  <c r="E517" i="1"/>
  <c r="D517" i="1"/>
  <c r="C512" i="2"/>
  <c r="AA14" i="2" s="1"/>
  <c r="C531" i="2"/>
  <c r="AA90" i="2" s="1"/>
  <c r="C519" i="2"/>
  <c r="F90" i="2" l="1"/>
  <c r="AK90" i="2" s="1"/>
  <c r="E956" i="19"/>
  <c r="E952" i="19" l="1"/>
  <c r="P542" i="2" l="1"/>
  <c r="E101" i="1"/>
  <c r="D101" i="1"/>
  <c r="E138" i="1" l="1"/>
  <c r="D138" i="1"/>
  <c r="M1303" i="2"/>
  <c r="E226" i="1" s="1"/>
  <c r="M1304" i="2"/>
  <c r="D226" i="1" s="1"/>
  <c r="F139" i="8" l="1"/>
  <c r="E139" i="8"/>
  <c r="G139" i="8"/>
  <c r="H139" i="8"/>
  <c r="AB226" i="1"/>
  <c r="E961" i="19" l="1"/>
  <c r="AB140" i="1" l="1"/>
  <c r="Z542" i="2" l="1"/>
  <c r="Y542" i="2"/>
  <c r="X542" i="2"/>
  <c r="V542" i="2"/>
  <c r="U542" i="2"/>
  <c r="T542" i="2"/>
  <c r="S542" i="2"/>
  <c r="R542" i="2"/>
  <c r="Q542" i="2"/>
  <c r="O542" i="2"/>
  <c r="M542" i="2"/>
  <c r="K542" i="2"/>
  <c r="J542" i="2"/>
  <c r="G542" i="2"/>
  <c r="C511" i="2"/>
  <c r="C514" i="2"/>
  <c r="C515" i="2"/>
  <c r="C516" i="2"/>
  <c r="C517" i="2"/>
  <c r="C518" i="2"/>
  <c r="C521" i="2"/>
  <c r="AA124" i="2" s="1"/>
  <c r="C522" i="2"/>
  <c r="C525" i="2"/>
  <c r="C527" i="2"/>
  <c r="C528" i="2"/>
  <c r="AA132" i="2" s="1"/>
  <c r="C132" i="2" s="1"/>
  <c r="C529" i="2"/>
  <c r="C530" i="2"/>
  <c r="C534" i="2"/>
  <c r="C535" i="2"/>
  <c r="AA96" i="2" s="1"/>
  <c r="C510" i="2"/>
  <c r="E576" i="1"/>
  <c r="D576" i="1"/>
  <c r="E223" i="1"/>
  <c r="D223" i="1"/>
  <c r="E26" i="1"/>
  <c r="D26" i="1"/>
  <c r="O832" i="2"/>
  <c r="D588" i="1" s="1"/>
  <c r="M832" i="2"/>
  <c r="D427" i="1" s="1"/>
  <c r="L832" i="2"/>
  <c r="D357" i="1" s="1"/>
  <c r="K832" i="2"/>
  <c r="D358" i="1" s="1"/>
  <c r="J832" i="2"/>
  <c r="D336" i="1" s="1"/>
  <c r="I832" i="2"/>
  <c r="D299" i="1" s="1"/>
  <c r="G832" i="2"/>
  <c r="D92" i="1" s="1"/>
  <c r="O831" i="2"/>
  <c r="E588" i="1" s="1"/>
  <c r="M831" i="2"/>
  <c r="E427" i="1" s="1"/>
  <c r="L831" i="2"/>
  <c r="E357" i="1" s="1"/>
  <c r="K831" i="2"/>
  <c r="E358" i="1" s="1"/>
  <c r="J831" i="2"/>
  <c r="E336" i="1" s="1"/>
  <c r="I831" i="2"/>
  <c r="E299" i="1" s="1"/>
  <c r="G831" i="2"/>
  <c r="E92" i="1" s="1"/>
  <c r="F830" i="2"/>
  <c r="C830" i="2"/>
  <c r="F829" i="2"/>
  <c r="C829" i="2"/>
  <c r="F828" i="2"/>
  <c r="C828" i="2"/>
  <c r="F827" i="2"/>
  <c r="C827" i="2"/>
  <c r="F826" i="2"/>
  <c r="C826" i="2"/>
  <c r="F825" i="2"/>
  <c r="C825" i="2"/>
  <c r="F822" i="2"/>
  <c r="C822" i="2"/>
  <c r="F821" i="2"/>
  <c r="C821" i="2"/>
  <c r="C538" i="2" l="1"/>
  <c r="C831" i="2"/>
  <c r="E832" i="2"/>
  <c r="F549" i="2"/>
  <c r="F550" i="2"/>
  <c r="F551" i="2"/>
  <c r="F552" i="2"/>
  <c r="F548" i="2"/>
  <c r="C549" i="2"/>
  <c r="C550" i="2"/>
  <c r="C551" i="2"/>
  <c r="C552" i="2"/>
  <c r="C548" i="2"/>
  <c r="V557" i="2"/>
  <c r="U557" i="2"/>
  <c r="T557" i="2"/>
  <c r="S557" i="2"/>
  <c r="R557" i="2"/>
  <c r="P557" i="2"/>
  <c r="O557" i="2"/>
  <c r="N557" i="2"/>
  <c r="M557" i="2"/>
  <c r="K557" i="2"/>
  <c r="I557" i="2"/>
  <c r="H557" i="2"/>
  <c r="G557" i="2"/>
  <c r="E54" i="1"/>
  <c r="E73" i="1"/>
  <c r="D54" i="1"/>
  <c r="D73" i="1"/>
  <c r="C553" i="2" l="1"/>
  <c r="AA22" i="2"/>
  <c r="AB59" i="1"/>
  <c r="AB138" i="1"/>
  <c r="H1303" i="2"/>
  <c r="L1303" i="2"/>
  <c r="N1303" i="2"/>
  <c r="O1303" i="2"/>
  <c r="P1303" i="2"/>
  <c r="Q1303" i="2"/>
  <c r="R1303" i="2"/>
  <c r="S1303" i="2"/>
  <c r="T1303" i="2"/>
  <c r="V1303" i="2"/>
  <c r="W1303" i="2"/>
  <c r="H1304" i="2"/>
  <c r="L1304" i="2"/>
  <c r="N1304" i="2"/>
  <c r="O1304" i="2"/>
  <c r="P1304" i="2"/>
  <c r="Q1304" i="2"/>
  <c r="R1304" i="2"/>
  <c r="S1304" i="2"/>
  <c r="T1304" i="2"/>
  <c r="V1304" i="2"/>
  <c r="W1304" i="2"/>
  <c r="G1303" i="2"/>
  <c r="G1304" i="2"/>
  <c r="F1278" i="2"/>
  <c r="F28" i="2" s="1"/>
  <c r="Z1288" i="2"/>
  <c r="AA1288" i="2"/>
  <c r="Z1289" i="2"/>
  <c r="AA1289" i="2"/>
  <c r="Y1288" i="2"/>
  <c r="Y1289" i="2"/>
  <c r="H1288" i="2"/>
  <c r="I1288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G1288" i="2"/>
  <c r="G1289" i="2"/>
  <c r="C1278" i="2"/>
  <c r="AA28" i="2" s="1"/>
  <c r="AE28" i="2"/>
  <c r="AF28" i="2"/>
  <c r="AK28" i="2" l="1"/>
  <c r="E1304" i="2"/>
  <c r="C1303" i="2"/>
  <c r="C28" i="2"/>
  <c r="AI28" i="2" s="1"/>
  <c r="E1289" i="2"/>
  <c r="E957" i="19"/>
  <c r="AB174" i="1" l="1"/>
  <c r="AB44" i="1"/>
  <c r="AB98" i="1" l="1"/>
  <c r="E965" i="19" l="1"/>
  <c r="E977" i="19" l="1"/>
  <c r="E975" i="19"/>
  <c r="V906" i="19"/>
  <c r="V907" i="19" s="1"/>
  <c r="V908" i="19" s="1"/>
  <c r="V909" i="19" s="1"/>
  <c r="V910" i="19" s="1"/>
  <c r="V911" i="19" s="1"/>
  <c r="V912" i="19" s="1"/>
  <c r="V913" i="19" s="1"/>
  <c r="V914" i="19" s="1"/>
  <c r="V915" i="19" s="1"/>
  <c r="V916" i="19" s="1"/>
  <c r="V917" i="19" s="1"/>
  <c r="V918" i="19" s="1"/>
  <c r="V919" i="19" s="1"/>
  <c r="V920" i="19" s="1"/>
  <c r="V921" i="19" s="1"/>
  <c r="V922" i="19" s="1"/>
  <c r="V923" i="19" s="1"/>
  <c r="E136" i="1" l="1"/>
  <c r="E261" i="1"/>
  <c r="E259" i="1"/>
  <c r="D136" i="1"/>
  <c r="D261" i="1"/>
  <c r="D259" i="1"/>
  <c r="F1280" i="2"/>
  <c r="F48" i="2" s="1"/>
  <c r="AK48" i="2" s="1"/>
  <c r="F1281" i="2"/>
  <c r="F1282" i="2"/>
  <c r="F1283" i="2"/>
  <c r="F1284" i="2"/>
  <c r="F1285" i="2"/>
  <c r="F1286" i="2"/>
  <c r="F1287" i="2"/>
  <c r="F1279" i="2"/>
  <c r="C1280" i="2"/>
  <c r="AA48" i="2" s="1"/>
  <c r="C1281" i="2"/>
  <c r="C1282" i="2"/>
  <c r="C1283" i="2"/>
  <c r="C1284" i="2"/>
  <c r="C1285" i="2"/>
  <c r="C1286" i="2"/>
  <c r="C1287" i="2"/>
  <c r="C1279" i="2"/>
  <c r="C1288" i="2" l="1"/>
  <c r="H1232" i="20"/>
  <c r="H1231" i="20"/>
  <c r="E530" i="1" l="1"/>
  <c r="D530" i="1"/>
  <c r="H1357" i="2"/>
  <c r="U1357" i="2"/>
  <c r="M1357" i="2"/>
  <c r="K1357" i="2"/>
  <c r="I1357" i="2"/>
  <c r="N1357" i="2"/>
  <c r="T1357" i="2"/>
  <c r="O1357" i="2"/>
  <c r="G1357" i="2"/>
  <c r="Q977" i="2"/>
  <c r="E489" i="1" l="1"/>
  <c r="D489" i="1"/>
  <c r="AB489" i="1"/>
  <c r="E474" i="1"/>
  <c r="D474" i="1"/>
  <c r="AB474" i="1"/>
  <c r="AB849" i="19" l="1"/>
  <c r="AB852" i="19" s="1"/>
  <c r="E931" i="19" l="1"/>
  <c r="E932" i="19"/>
  <c r="E933" i="19"/>
  <c r="E935" i="19"/>
  <c r="E936" i="19"/>
  <c r="E937" i="19"/>
  <c r="E938" i="19"/>
  <c r="E940" i="19"/>
  <c r="E941" i="19"/>
  <c r="E942" i="19"/>
  <c r="E943" i="19"/>
  <c r="E945" i="19"/>
  <c r="E948" i="19"/>
  <c r="E949" i="19"/>
  <c r="E951" i="19"/>
  <c r="E954" i="19"/>
  <c r="E955" i="19"/>
  <c r="E960" i="19"/>
  <c r="E962" i="19"/>
  <c r="E964" i="19"/>
  <c r="E959" i="19"/>
  <c r="E967" i="19"/>
  <c r="E968" i="19"/>
  <c r="E969" i="19"/>
  <c r="E970" i="19"/>
  <c r="E971" i="19"/>
  <c r="E972" i="19"/>
  <c r="E973" i="19"/>
  <c r="E976" i="19"/>
  <c r="E978" i="19"/>
  <c r="E979" i="19"/>
  <c r="E980" i="19"/>
  <c r="R906" i="19" l="1"/>
  <c r="R907" i="19" s="1"/>
  <c r="R908" i="19" s="1"/>
  <c r="R909" i="19" s="1"/>
  <c r="R910" i="19" s="1"/>
  <c r="R911" i="19" s="1"/>
  <c r="R912" i="19" s="1"/>
  <c r="R913" i="19" s="1"/>
  <c r="R914" i="19" s="1"/>
  <c r="R915" i="19" s="1"/>
  <c r="R916" i="19" s="1"/>
  <c r="R917" i="19" s="1"/>
  <c r="R918" i="19" s="1"/>
  <c r="R919" i="19" s="1"/>
  <c r="R920" i="19" s="1"/>
  <c r="R921" i="19" s="1"/>
  <c r="R922" i="19" s="1"/>
  <c r="R923" i="19" s="1"/>
  <c r="U1413" i="2" l="1"/>
  <c r="T1413" i="2"/>
  <c r="P1413" i="2"/>
  <c r="O1413" i="2"/>
  <c r="N1413" i="2"/>
  <c r="K1413" i="2"/>
  <c r="J1413" i="2"/>
  <c r="I1413" i="2"/>
  <c r="H1413" i="2"/>
  <c r="N906" i="19" l="1"/>
  <c r="N907" i="19" s="1"/>
  <c r="N908" i="19" s="1"/>
  <c r="N909" i="19" s="1"/>
  <c r="N910" i="19" s="1"/>
  <c r="N911" i="19" s="1"/>
  <c r="N912" i="19" s="1"/>
  <c r="N913" i="19" s="1"/>
  <c r="N914" i="19" s="1"/>
  <c r="N915" i="19" s="1"/>
  <c r="N916" i="19" s="1"/>
  <c r="N917" i="19" s="1"/>
  <c r="N918" i="19" s="1"/>
  <c r="N919" i="19" s="1"/>
  <c r="N920" i="19" s="1"/>
  <c r="N921" i="19" s="1"/>
  <c r="N922" i="19" s="1"/>
  <c r="N923" i="19" s="1"/>
  <c r="R883" i="19" l="1"/>
  <c r="R884" i="19" s="1"/>
  <c r="R885" i="19" s="1"/>
  <c r="R886" i="19" s="1"/>
  <c r="R887" i="19" s="1"/>
  <c r="R888" i="19" s="1"/>
  <c r="R889" i="19" s="1"/>
  <c r="R890" i="19" s="1"/>
  <c r="R891" i="19" s="1"/>
  <c r="R892" i="19" s="1"/>
  <c r="R893" i="19" s="1"/>
  <c r="R894" i="19" s="1"/>
  <c r="R895" i="19" s="1"/>
  <c r="R896" i="19" s="1"/>
  <c r="R897" i="19" s="1"/>
  <c r="R898" i="19" s="1"/>
  <c r="R899" i="19" s="1"/>
  <c r="R900" i="19" s="1"/>
  <c r="R901" i="19" s="1"/>
  <c r="L883" i="19"/>
  <c r="L884" i="19" s="1"/>
  <c r="L885" i="19" s="1"/>
  <c r="L886" i="19" s="1"/>
  <c r="L887" i="19" s="1"/>
  <c r="L888" i="19" s="1"/>
  <c r="L889" i="19" s="1"/>
  <c r="L890" i="19" s="1"/>
  <c r="L891" i="19" s="1"/>
  <c r="L892" i="19" s="1"/>
  <c r="L893" i="19" s="1"/>
  <c r="L894" i="19" s="1"/>
  <c r="L895" i="19" s="1"/>
  <c r="L896" i="19" s="1"/>
  <c r="L897" i="19" s="1"/>
  <c r="L898" i="19" s="1"/>
  <c r="L899" i="19" s="1"/>
  <c r="L900" i="19" s="1"/>
  <c r="L901" i="19" s="1"/>
  <c r="P883" i="19" l="1"/>
  <c r="P884" i="19" s="1"/>
  <c r="P885" i="19" s="1"/>
  <c r="P886" i="19" s="1"/>
  <c r="P887" i="19" s="1"/>
  <c r="P888" i="19" s="1"/>
  <c r="P889" i="19" s="1"/>
  <c r="P890" i="19" s="1"/>
  <c r="P891" i="19" s="1"/>
  <c r="P892" i="19" s="1"/>
  <c r="P893" i="19" s="1"/>
  <c r="P894" i="19" s="1"/>
  <c r="P895" i="19" s="1"/>
  <c r="P896" i="19" s="1"/>
  <c r="P897" i="19" s="1"/>
  <c r="P898" i="19" s="1"/>
  <c r="P899" i="19" s="1"/>
  <c r="P900" i="19" s="1"/>
  <c r="P901" i="19" s="1"/>
  <c r="L906" i="19" l="1"/>
  <c r="L907" i="19" s="1"/>
  <c r="L908" i="19" s="1"/>
  <c r="L909" i="19" s="1"/>
  <c r="L910" i="19" s="1"/>
  <c r="L911" i="19" s="1"/>
  <c r="L912" i="19" s="1"/>
  <c r="L913" i="19" s="1"/>
  <c r="L914" i="19" s="1"/>
  <c r="L915" i="19" s="1"/>
  <c r="L916" i="19" s="1"/>
  <c r="L917" i="19" s="1"/>
  <c r="L918" i="19" s="1"/>
  <c r="L919" i="19" s="1"/>
  <c r="L920" i="19" s="1"/>
  <c r="L921" i="19" s="1"/>
  <c r="L922" i="19" s="1"/>
  <c r="L923" i="19" s="1"/>
  <c r="J906" i="19"/>
  <c r="J907" i="19" s="1"/>
  <c r="J908" i="19" s="1"/>
  <c r="J909" i="19" s="1"/>
  <c r="J910" i="19" s="1"/>
  <c r="J911" i="19" s="1"/>
  <c r="J912" i="19" s="1"/>
  <c r="J913" i="19" s="1"/>
  <c r="J914" i="19" s="1"/>
  <c r="J915" i="19" s="1"/>
  <c r="J916" i="19" s="1"/>
  <c r="J917" i="19" s="1"/>
  <c r="J918" i="19" s="1"/>
  <c r="J919" i="19" s="1"/>
  <c r="J920" i="19" s="1"/>
  <c r="J921" i="19" s="1"/>
  <c r="J922" i="19" s="1"/>
  <c r="J923" i="19" s="1"/>
  <c r="AB530" i="1" l="1"/>
  <c r="H883" i="19"/>
  <c r="H884" i="19" s="1"/>
  <c r="H885" i="19" s="1"/>
  <c r="H886" i="19" s="1"/>
  <c r="H887" i="19" s="1"/>
  <c r="H888" i="19" s="1"/>
  <c r="H889" i="19" s="1"/>
  <c r="H890" i="19" s="1"/>
  <c r="H891" i="19" s="1"/>
  <c r="H892" i="19" s="1"/>
  <c r="H893" i="19" s="1"/>
  <c r="H894" i="19" s="1"/>
  <c r="H895" i="19" s="1"/>
  <c r="H896" i="19" s="1"/>
  <c r="H897" i="19" s="1"/>
  <c r="H898" i="19" s="1"/>
  <c r="H899" i="19" s="1"/>
  <c r="H900" i="19" s="1"/>
  <c r="H901" i="19" s="1"/>
  <c r="X883" i="19" l="1"/>
  <c r="X884" i="19" s="1"/>
  <c r="X885" i="19" s="1"/>
  <c r="X886" i="19" s="1"/>
  <c r="X887" i="19" s="1"/>
  <c r="X888" i="19" s="1"/>
  <c r="X889" i="19" s="1"/>
  <c r="X890" i="19" s="1"/>
  <c r="X891" i="19" s="1"/>
  <c r="X892" i="19" s="1"/>
  <c r="X893" i="19" s="1"/>
  <c r="X894" i="19" s="1"/>
  <c r="X895" i="19" s="1"/>
  <c r="X896" i="19" s="1"/>
  <c r="X897" i="19" s="1"/>
  <c r="X898" i="19" s="1"/>
  <c r="X899" i="19" s="1"/>
  <c r="X900" i="19" s="1"/>
  <c r="X901" i="19" s="1"/>
  <c r="A883" i="19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V883" i="19"/>
  <c r="V884" i="19" s="1"/>
  <c r="V885" i="19" s="1"/>
  <c r="V886" i="19" s="1"/>
  <c r="V888" i="19" s="1"/>
  <c r="V889" i="19" s="1"/>
  <c r="V890" i="19" s="1"/>
  <c r="V891" i="19" s="1"/>
  <c r="V892" i="19" s="1"/>
  <c r="V893" i="19" s="1"/>
  <c r="V894" i="19" s="1"/>
  <c r="V895" i="19" s="1"/>
  <c r="V896" i="19" s="1"/>
  <c r="V897" i="19" s="1"/>
  <c r="V898" i="19" s="1"/>
  <c r="V899" i="19" s="1"/>
  <c r="V900" i="19" s="1"/>
  <c r="V901" i="19" s="1"/>
  <c r="AA19" i="2" l="1"/>
  <c r="H1353" i="2"/>
  <c r="I1353" i="2"/>
  <c r="K1353" i="2"/>
  <c r="M1353" i="2"/>
  <c r="N1353" i="2"/>
  <c r="O1353" i="2"/>
  <c r="T1353" i="2"/>
  <c r="U1353" i="2"/>
  <c r="V1353" i="2"/>
  <c r="W1353" i="2"/>
  <c r="H1354" i="2"/>
  <c r="I1354" i="2"/>
  <c r="K1354" i="2"/>
  <c r="M1354" i="2"/>
  <c r="N1354" i="2"/>
  <c r="O1354" i="2"/>
  <c r="T1354" i="2"/>
  <c r="U1354" i="2"/>
  <c r="V1354" i="2"/>
  <c r="D306" i="1" s="1"/>
  <c r="W1354" i="2"/>
  <c r="G1353" i="2"/>
  <c r="G1354" i="2"/>
  <c r="E309" i="1"/>
  <c r="D309" i="1"/>
  <c r="J1051" i="2"/>
  <c r="J1048" i="2"/>
  <c r="F1044" i="2"/>
  <c r="J1022" i="2"/>
  <c r="E397" i="1" s="1"/>
  <c r="J1023" i="2"/>
  <c r="D397" i="1" s="1"/>
  <c r="AB397" i="1"/>
  <c r="E1354" i="2" l="1"/>
  <c r="E306" i="1"/>
  <c r="C1352" i="2"/>
  <c r="F1352" i="2"/>
  <c r="AA8" i="2"/>
  <c r="D170" i="1"/>
  <c r="J1047" i="2"/>
  <c r="E170" i="1" s="1"/>
  <c r="C1044" i="2"/>
  <c r="AB170" i="1"/>
  <c r="F437" i="2" l="1"/>
  <c r="C437" i="2"/>
  <c r="F454" i="2" l="1"/>
  <c r="C454" i="2"/>
  <c r="H1751" i="20" l="1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72" i="20"/>
  <c r="H170" i="20"/>
  <c r="H17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253" i="20"/>
  <c r="H254" i="20"/>
  <c r="H208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06" i="20"/>
  <c r="H207" i="20"/>
  <c r="H173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3" i="20"/>
  <c r="H314" i="20"/>
  <c r="H315" i="20"/>
  <c r="H316" i="20"/>
  <c r="H317" i="20"/>
  <c r="H318" i="20"/>
  <c r="H334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72" i="20"/>
  <c r="H369" i="20"/>
  <c r="H370" i="20"/>
  <c r="H371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471" i="20"/>
  <c r="H472" i="20"/>
  <c r="H473" i="20"/>
  <c r="H474" i="20"/>
  <c r="H423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20" i="20"/>
  <c r="H421" i="20"/>
  <c r="H422" i="20"/>
  <c r="H373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75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60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06" i="20"/>
  <c r="H607" i="20"/>
  <c r="H608" i="20"/>
  <c r="H561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23" i="20"/>
  <c r="H624" i="20"/>
  <c r="H625" i="20"/>
  <c r="H626" i="20"/>
  <c r="H627" i="20"/>
  <c r="H628" i="20"/>
  <c r="H621" i="20"/>
  <c r="H622" i="20"/>
  <c r="H629" i="20"/>
  <c r="H630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9" i="20"/>
  <c r="H688" i="20"/>
  <c r="H690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871" i="20"/>
  <c r="H872" i="20"/>
  <c r="H873" i="20"/>
  <c r="H828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780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74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19" i="20"/>
  <c r="H920" i="20"/>
  <c r="H921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22" i="20"/>
  <c r="H923" i="20"/>
  <c r="H938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9" i="20"/>
  <c r="H940" i="20"/>
  <c r="H941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1011" i="20"/>
  <c r="H1025" i="20"/>
  <c r="H996" i="20"/>
  <c r="H997" i="20"/>
  <c r="H998" i="20"/>
  <c r="H999" i="20"/>
  <c r="H1000" i="20"/>
  <c r="H1001" i="20"/>
  <c r="H1002" i="20"/>
  <c r="H1003" i="20"/>
  <c r="H1004" i="20"/>
  <c r="H1005" i="20"/>
  <c r="H1006" i="20"/>
  <c r="H1007" i="20"/>
  <c r="H1008" i="20"/>
  <c r="H1009" i="20"/>
  <c r="H1010" i="20"/>
  <c r="H1012" i="20"/>
  <c r="H1013" i="20"/>
  <c r="H1014" i="20"/>
  <c r="H1015" i="20"/>
  <c r="H1016" i="20"/>
  <c r="H1017" i="20"/>
  <c r="H1018" i="20"/>
  <c r="H1019" i="20"/>
  <c r="H1020" i="20"/>
  <c r="H1021" i="20"/>
  <c r="H1022" i="20"/>
  <c r="H1023" i="20"/>
  <c r="H1024" i="20"/>
  <c r="H1027" i="20"/>
  <c r="H1028" i="20"/>
  <c r="H1026" i="20"/>
  <c r="H1029" i="20"/>
  <c r="H1030" i="20"/>
  <c r="H1032" i="20"/>
  <c r="H1033" i="20"/>
  <c r="H1034" i="20"/>
  <c r="H1035" i="20"/>
  <c r="H1036" i="20"/>
  <c r="H1037" i="20"/>
  <c r="H1038" i="20"/>
  <c r="H1039" i="20"/>
  <c r="H1040" i="20"/>
  <c r="H1041" i="20"/>
  <c r="H1042" i="20"/>
  <c r="H1043" i="20"/>
  <c r="H1044" i="20"/>
  <c r="H1045" i="20"/>
  <c r="H1046" i="20"/>
  <c r="H1047" i="20"/>
  <c r="H1048" i="20"/>
  <c r="H1049" i="20"/>
  <c r="H1050" i="20"/>
  <c r="H1051" i="20"/>
  <c r="H1052" i="20"/>
  <c r="H1053" i="20"/>
  <c r="H1054" i="20"/>
  <c r="H1055" i="20"/>
  <c r="H1056" i="20"/>
  <c r="H1057" i="20"/>
  <c r="H1058" i="20"/>
  <c r="H1059" i="20"/>
  <c r="H1060" i="20"/>
  <c r="H1061" i="20"/>
  <c r="H1062" i="20"/>
  <c r="H1063" i="20"/>
  <c r="H1064" i="20"/>
  <c r="H1065" i="20"/>
  <c r="H1066" i="20"/>
  <c r="H1067" i="20"/>
  <c r="H1068" i="20"/>
  <c r="H1069" i="20"/>
  <c r="H1070" i="20"/>
  <c r="H1071" i="20"/>
  <c r="H1072" i="20"/>
  <c r="H1073" i="20"/>
  <c r="H1074" i="20"/>
  <c r="H1075" i="20"/>
  <c r="H1076" i="20"/>
  <c r="H1077" i="20"/>
  <c r="H1078" i="20"/>
  <c r="H1079" i="20"/>
  <c r="H1080" i="20"/>
  <c r="H1081" i="20"/>
  <c r="H1082" i="20"/>
  <c r="H1083" i="20"/>
  <c r="H1084" i="20"/>
  <c r="H1085" i="20"/>
  <c r="H1086" i="20"/>
  <c r="H1087" i="20"/>
  <c r="H1088" i="20"/>
  <c r="H1089" i="20"/>
  <c r="H1090" i="20"/>
  <c r="H1091" i="20"/>
  <c r="H1093" i="20"/>
  <c r="H1095" i="20"/>
  <c r="H1096" i="20"/>
  <c r="H1097" i="20"/>
  <c r="H1098" i="20"/>
  <c r="H1099" i="20"/>
  <c r="H1100" i="20"/>
  <c r="H1101" i="20"/>
  <c r="H1102" i="20"/>
  <c r="H1103" i="20"/>
  <c r="H1104" i="20"/>
  <c r="H1105" i="20"/>
  <c r="H1106" i="20"/>
  <c r="H1107" i="20"/>
  <c r="H1108" i="20"/>
  <c r="H1109" i="20"/>
  <c r="H1110" i="20"/>
  <c r="H1111" i="20"/>
  <c r="H1112" i="20"/>
  <c r="H1113" i="20"/>
  <c r="H1114" i="20"/>
  <c r="H1115" i="20"/>
  <c r="H1116" i="20"/>
  <c r="H1117" i="20"/>
  <c r="H1118" i="20"/>
  <c r="H1119" i="20"/>
  <c r="H1120" i="20"/>
  <c r="H1121" i="20"/>
  <c r="H1122" i="20"/>
  <c r="H1123" i="20"/>
  <c r="H1124" i="20"/>
  <c r="H1125" i="20"/>
  <c r="H1126" i="20"/>
  <c r="H1127" i="20"/>
  <c r="H1165" i="20"/>
  <c r="H1166" i="20"/>
  <c r="H1167" i="20"/>
  <c r="H1135" i="20"/>
  <c r="H1137" i="20"/>
  <c r="H1138" i="20"/>
  <c r="H1139" i="20"/>
  <c r="H1140" i="20"/>
  <c r="H1141" i="20"/>
  <c r="H1142" i="20"/>
  <c r="H1143" i="20"/>
  <c r="H1144" i="20"/>
  <c r="H1145" i="20"/>
  <c r="H1146" i="20"/>
  <c r="H1147" i="20"/>
  <c r="H1148" i="20"/>
  <c r="H1149" i="20"/>
  <c r="H1150" i="20"/>
  <c r="H1151" i="20"/>
  <c r="H1152" i="20"/>
  <c r="H1153" i="20"/>
  <c r="H1154" i="20"/>
  <c r="H1155" i="20"/>
  <c r="H1156" i="20"/>
  <c r="H1157" i="20"/>
  <c r="H1158" i="20"/>
  <c r="H1159" i="20"/>
  <c r="H1160" i="20"/>
  <c r="H1161" i="20"/>
  <c r="H1162" i="20"/>
  <c r="H1163" i="20"/>
  <c r="H1164" i="20"/>
  <c r="H1130" i="20"/>
  <c r="H1131" i="20"/>
  <c r="H1132" i="20"/>
  <c r="H1133" i="20"/>
  <c r="H1134" i="20"/>
  <c r="H1129" i="20"/>
  <c r="H1128" i="20"/>
  <c r="H1217" i="20"/>
  <c r="H1168" i="20"/>
  <c r="H1170" i="20"/>
  <c r="H1171" i="20"/>
  <c r="H1172" i="20"/>
  <c r="H1173" i="20"/>
  <c r="H1174" i="20"/>
  <c r="H1175" i="20"/>
  <c r="H1176" i="20"/>
  <c r="H1177" i="20"/>
  <c r="H1178" i="20"/>
  <c r="H1179" i="20"/>
  <c r="H1180" i="20"/>
  <c r="H1181" i="20"/>
  <c r="H1182" i="20"/>
  <c r="H1183" i="20"/>
  <c r="H1184" i="20"/>
  <c r="H1185" i="20"/>
  <c r="H1186" i="20"/>
  <c r="H1187" i="20"/>
  <c r="H1188" i="20"/>
  <c r="H1189" i="20"/>
  <c r="H1190" i="20"/>
  <c r="H1191" i="20"/>
  <c r="H1192" i="20"/>
  <c r="H1193" i="20"/>
  <c r="H1194" i="20"/>
  <c r="H1195" i="20"/>
  <c r="H1196" i="20"/>
  <c r="H1197" i="20"/>
  <c r="H1198" i="20"/>
  <c r="H1199" i="20"/>
  <c r="H1200" i="20"/>
  <c r="H1201" i="20"/>
  <c r="H1202" i="20"/>
  <c r="H1203" i="20"/>
  <c r="H1204" i="20"/>
  <c r="H1205" i="20"/>
  <c r="H1206" i="20"/>
  <c r="H1207" i="20"/>
  <c r="H1208" i="20"/>
  <c r="H1209" i="20"/>
  <c r="H1210" i="20"/>
  <c r="H1211" i="20"/>
  <c r="H1212" i="20"/>
  <c r="H1213" i="20"/>
  <c r="H1214" i="20"/>
  <c r="H1215" i="20"/>
  <c r="H1216" i="20"/>
  <c r="H1219" i="20"/>
  <c r="H1220" i="20"/>
  <c r="H1221" i="20"/>
  <c r="H1222" i="20"/>
  <c r="H1223" i="20"/>
  <c r="H1224" i="20"/>
  <c r="H1225" i="20"/>
  <c r="H1226" i="20"/>
  <c r="H1227" i="20"/>
  <c r="H1228" i="20"/>
  <c r="H1229" i="20"/>
  <c r="H1230" i="20"/>
  <c r="H1233" i="20"/>
  <c r="H1234" i="20"/>
  <c r="H1235" i="20"/>
  <c r="H1236" i="20"/>
  <c r="H1237" i="20"/>
  <c r="H1238" i="20"/>
  <c r="H1239" i="20"/>
  <c r="H1240" i="20"/>
  <c r="H1241" i="20"/>
  <c r="H1242" i="20"/>
  <c r="H1243" i="20"/>
  <c r="H1244" i="20"/>
  <c r="H1245" i="20"/>
  <c r="H1253" i="20"/>
  <c r="H1254" i="20"/>
  <c r="H1246" i="20"/>
  <c r="H1247" i="20"/>
  <c r="H1248" i="20"/>
  <c r="H1249" i="20"/>
  <c r="H1250" i="20"/>
  <c r="H1251" i="20"/>
  <c r="H1252" i="20"/>
  <c r="H1307" i="20"/>
  <c r="H1308" i="20"/>
  <c r="H1258" i="20"/>
  <c r="H1260" i="20"/>
  <c r="H1261" i="20"/>
  <c r="H1262" i="20"/>
  <c r="H1263" i="20"/>
  <c r="H1264" i="20"/>
  <c r="H1265" i="20"/>
  <c r="H1266" i="20"/>
  <c r="H1267" i="20"/>
  <c r="H1268" i="20"/>
  <c r="H1269" i="20"/>
  <c r="H1270" i="20"/>
  <c r="H1271" i="20"/>
  <c r="H1272" i="20"/>
  <c r="H1273" i="20"/>
  <c r="H1274" i="20"/>
  <c r="H1275" i="20"/>
  <c r="H1276" i="20"/>
  <c r="H1277" i="20"/>
  <c r="H1278" i="20"/>
  <c r="H1279" i="20"/>
  <c r="H1280" i="20"/>
  <c r="H1281" i="20"/>
  <c r="H1282" i="20"/>
  <c r="H1283" i="20"/>
  <c r="H1284" i="20"/>
  <c r="H1285" i="20"/>
  <c r="H1286" i="20"/>
  <c r="H1287" i="20"/>
  <c r="H1288" i="20"/>
  <c r="H1289" i="20"/>
  <c r="H1290" i="20"/>
  <c r="H1291" i="20"/>
  <c r="H1292" i="20"/>
  <c r="H1293" i="20"/>
  <c r="H1294" i="20"/>
  <c r="H1295" i="20"/>
  <c r="H1296" i="20"/>
  <c r="H1297" i="20"/>
  <c r="H1298" i="20"/>
  <c r="H1299" i="20"/>
  <c r="H1300" i="20"/>
  <c r="H1301" i="20"/>
  <c r="H1302" i="20"/>
  <c r="H1303" i="20"/>
  <c r="H1304" i="20"/>
  <c r="H1305" i="20"/>
  <c r="H1306" i="20"/>
  <c r="H1255" i="20"/>
  <c r="H1256" i="20"/>
  <c r="H1257" i="20"/>
  <c r="H1309" i="20"/>
  <c r="H1310" i="20"/>
  <c r="H1311" i="20"/>
  <c r="H1312" i="20"/>
  <c r="H1314" i="20"/>
  <c r="H1315" i="20"/>
  <c r="H1316" i="20"/>
  <c r="H1317" i="20"/>
  <c r="H1318" i="20"/>
  <c r="H1319" i="20"/>
  <c r="H1320" i="20"/>
  <c r="H1321" i="20"/>
  <c r="H1322" i="20"/>
  <c r="H1323" i="20"/>
  <c r="H1324" i="20"/>
  <c r="H1325" i="20"/>
  <c r="H1326" i="20"/>
  <c r="H1327" i="20"/>
  <c r="H1328" i="20"/>
  <c r="H1329" i="20"/>
  <c r="H1330" i="20"/>
  <c r="H1331" i="20"/>
  <c r="H1332" i="20"/>
  <c r="H1333" i="20"/>
  <c r="H1334" i="20"/>
  <c r="H1335" i="20"/>
  <c r="H1336" i="20"/>
  <c r="H1337" i="20"/>
  <c r="H1338" i="20"/>
  <c r="H1339" i="20"/>
  <c r="H1340" i="20"/>
  <c r="H1341" i="20"/>
  <c r="H1342" i="20"/>
  <c r="H1343" i="20"/>
  <c r="H1344" i="20"/>
  <c r="H1345" i="20"/>
  <c r="H1346" i="20"/>
  <c r="H1347" i="20"/>
  <c r="H1348" i="20"/>
  <c r="H1349" i="20"/>
  <c r="H1350" i="20"/>
  <c r="H1351" i="20"/>
  <c r="H1352" i="20"/>
  <c r="H1353" i="20"/>
  <c r="H1354" i="20"/>
  <c r="H1355" i="20"/>
  <c r="H1356" i="20"/>
  <c r="H1357" i="20"/>
  <c r="H1358" i="20"/>
  <c r="H1359" i="20"/>
  <c r="H1360" i="20"/>
  <c r="H1361" i="20"/>
  <c r="H1362" i="20"/>
  <c r="H1363" i="20"/>
  <c r="H1364" i="20"/>
  <c r="H1365" i="20"/>
  <c r="H1366" i="20"/>
  <c r="H1367" i="20"/>
  <c r="H1368" i="20"/>
  <c r="H1369" i="20"/>
  <c r="H1370" i="20"/>
  <c r="H1371" i="20"/>
  <c r="H1372" i="20"/>
  <c r="H1373" i="20"/>
  <c r="H1374" i="20"/>
  <c r="H1375" i="20"/>
  <c r="H1394" i="20"/>
  <c r="H1376" i="20"/>
  <c r="H1377" i="20"/>
  <c r="H1378" i="20"/>
  <c r="H1379" i="20"/>
  <c r="H1380" i="20"/>
  <c r="H1381" i="20"/>
  <c r="H1382" i="20"/>
  <c r="H1383" i="20"/>
  <c r="H1384" i="20"/>
  <c r="H1385" i="20"/>
  <c r="H1386" i="20"/>
  <c r="H1387" i="20"/>
  <c r="H1388" i="20"/>
  <c r="H1389" i="20"/>
  <c r="H1390" i="20"/>
  <c r="H1391" i="20"/>
  <c r="H1392" i="20"/>
  <c r="H1393" i="20"/>
  <c r="H1395" i="20"/>
  <c r="H1396" i="20"/>
  <c r="H1397" i="20"/>
  <c r="H1398" i="20"/>
  <c r="H1399" i="20"/>
  <c r="H1400" i="20"/>
  <c r="H1401" i="20"/>
  <c r="H1402" i="20"/>
  <c r="H1403" i="20"/>
  <c r="H1404" i="20"/>
  <c r="H1405" i="20"/>
  <c r="H1406" i="20"/>
  <c r="H1407" i="20"/>
  <c r="H1408" i="20"/>
  <c r="H1409" i="20"/>
  <c r="H1410" i="20"/>
  <c r="H1411" i="20"/>
  <c r="H1412" i="20"/>
  <c r="H1413" i="20"/>
  <c r="H1414" i="20"/>
  <c r="H1415" i="20"/>
  <c r="H1416" i="20"/>
  <c r="H1417" i="20"/>
  <c r="H1418" i="20"/>
  <c r="H1419" i="20"/>
  <c r="H1420" i="20"/>
  <c r="H1421" i="20"/>
  <c r="H1422" i="20"/>
  <c r="H1423" i="20"/>
  <c r="H1462" i="20"/>
  <c r="H1463" i="20"/>
  <c r="H1424" i="20"/>
  <c r="H1426" i="20"/>
  <c r="H1427" i="20"/>
  <c r="H1428" i="20"/>
  <c r="H1429" i="20"/>
  <c r="H1430" i="20"/>
  <c r="H1431" i="20"/>
  <c r="H1432" i="20"/>
  <c r="H1433" i="20"/>
  <c r="H1434" i="20"/>
  <c r="H1435" i="20"/>
  <c r="H1436" i="20"/>
  <c r="H1437" i="20"/>
  <c r="H1438" i="20"/>
  <c r="H1439" i="20"/>
  <c r="H1440" i="20"/>
  <c r="H1441" i="20"/>
  <c r="H1442" i="20"/>
  <c r="H1443" i="20"/>
  <c r="H1444" i="20"/>
  <c r="H1445" i="20"/>
  <c r="H1446" i="20"/>
  <c r="H1447" i="20"/>
  <c r="H1448" i="20"/>
  <c r="H1449" i="20"/>
  <c r="H1450" i="20"/>
  <c r="H1451" i="20"/>
  <c r="H1452" i="20"/>
  <c r="H1453" i="20"/>
  <c r="H1454" i="20"/>
  <c r="H1455" i="20"/>
  <c r="H1456" i="20"/>
  <c r="H1457" i="20"/>
  <c r="H1458" i="20"/>
  <c r="H1459" i="20"/>
  <c r="H1460" i="20"/>
  <c r="H1461" i="20"/>
  <c r="H1464" i="20"/>
  <c r="H1465" i="20"/>
  <c r="H1466" i="20"/>
  <c r="H1467" i="20"/>
  <c r="H1468" i="20"/>
  <c r="H1469" i="20"/>
  <c r="H1470" i="20"/>
  <c r="H1471" i="20"/>
  <c r="H1472" i="20"/>
  <c r="H1473" i="20"/>
  <c r="H1474" i="20"/>
  <c r="H1475" i="20"/>
  <c r="H1476" i="20"/>
  <c r="H1477" i="20"/>
  <c r="H1478" i="20"/>
  <c r="H1479" i="20"/>
  <c r="H1480" i="20"/>
  <c r="H1481" i="20"/>
  <c r="H1512" i="20"/>
  <c r="H1493" i="20"/>
  <c r="H1494" i="20"/>
  <c r="H1495" i="20"/>
  <c r="H1496" i="20"/>
  <c r="H1497" i="20"/>
  <c r="H1498" i="20"/>
  <c r="H1499" i="20"/>
  <c r="H1500" i="20"/>
  <c r="H1501" i="20"/>
  <c r="H1502" i="20"/>
  <c r="H1503" i="20"/>
  <c r="H1504" i="20"/>
  <c r="H1505" i="20"/>
  <c r="H1506" i="20"/>
  <c r="H1507" i="20"/>
  <c r="H1508" i="20"/>
  <c r="H1509" i="20"/>
  <c r="H1510" i="20"/>
  <c r="H1511" i="20"/>
  <c r="H1489" i="20"/>
  <c r="H1490" i="20"/>
  <c r="H1491" i="20"/>
  <c r="H1482" i="20"/>
  <c r="H1483" i="20"/>
  <c r="H1484" i="20"/>
  <c r="H1485" i="20"/>
  <c r="H1486" i="20"/>
  <c r="H1487" i="20"/>
  <c r="H1513" i="20"/>
  <c r="H1554" i="20"/>
  <c r="H1555" i="20"/>
  <c r="H1556" i="20"/>
  <c r="H1557" i="20"/>
  <c r="H1558" i="20"/>
  <c r="H1559" i="20"/>
  <c r="H1560" i="20"/>
  <c r="H1561" i="20"/>
  <c r="H1562" i="20"/>
  <c r="H1563" i="20"/>
  <c r="H1564" i="20"/>
  <c r="H1565" i="20"/>
  <c r="H1566" i="20"/>
  <c r="H1567" i="20"/>
  <c r="H1568" i="20"/>
  <c r="H1569" i="20"/>
  <c r="H1570" i="20"/>
  <c r="H1571" i="20"/>
  <c r="H1572" i="20"/>
  <c r="H1573" i="20"/>
  <c r="H1574" i="20"/>
  <c r="H1575" i="20"/>
  <c r="H1576" i="20"/>
  <c r="H1577" i="20"/>
  <c r="H1578" i="20"/>
  <c r="H1579" i="20"/>
  <c r="H1580" i="20"/>
  <c r="H1581" i="20"/>
  <c r="H1582" i="20"/>
  <c r="H1583" i="20"/>
  <c r="H1584" i="20"/>
  <c r="H1585" i="20"/>
  <c r="H1586" i="20"/>
  <c r="H1587" i="20"/>
  <c r="H1588" i="20"/>
  <c r="H1589" i="20"/>
  <c r="H1590" i="20"/>
  <c r="H1591" i="20"/>
  <c r="H1592" i="20"/>
  <c r="H1593" i="20"/>
  <c r="H1594" i="20"/>
  <c r="H1595" i="20"/>
  <c r="H1596" i="20"/>
  <c r="H1597" i="20"/>
  <c r="H1598" i="20"/>
  <c r="H1514" i="20"/>
  <c r="H1515" i="20"/>
  <c r="H1516" i="20"/>
  <c r="H1517" i="20"/>
  <c r="H1518" i="20"/>
  <c r="H1519" i="20"/>
  <c r="H1520" i="20"/>
  <c r="H1521" i="20"/>
  <c r="H1522" i="20"/>
  <c r="H1523" i="20"/>
  <c r="H1524" i="20"/>
  <c r="H1525" i="20"/>
  <c r="H1526" i="20"/>
  <c r="H1527" i="20"/>
  <c r="H1528" i="20"/>
  <c r="H1529" i="20"/>
  <c r="H1530" i="20"/>
  <c r="H1531" i="20"/>
  <c r="H1532" i="20"/>
  <c r="H1533" i="20"/>
  <c r="H1534" i="20"/>
  <c r="H1535" i="20"/>
  <c r="H1536" i="20"/>
  <c r="H1537" i="20"/>
  <c r="H1538" i="20"/>
  <c r="H1539" i="20"/>
  <c r="H1540" i="20"/>
  <c r="H1541" i="20"/>
  <c r="H1542" i="20"/>
  <c r="H1543" i="20"/>
  <c r="H1544" i="20"/>
  <c r="H1545" i="20"/>
  <c r="H1546" i="20"/>
  <c r="H1547" i="20"/>
  <c r="H1548" i="20"/>
  <c r="H1549" i="20"/>
  <c r="H1550" i="20"/>
  <c r="H1551" i="20"/>
  <c r="H1552" i="20"/>
  <c r="H1601" i="20"/>
  <c r="H1602" i="20"/>
  <c r="H1603" i="20"/>
  <c r="H1604" i="20"/>
  <c r="H1605" i="20"/>
  <c r="H1606" i="20"/>
  <c r="H1607" i="20"/>
  <c r="H1608" i="20"/>
  <c r="H1609" i="20"/>
  <c r="H1610" i="20"/>
  <c r="H1611" i="20"/>
  <c r="H1612" i="20"/>
  <c r="H1613" i="20"/>
  <c r="H1614" i="20"/>
  <c r="H1616" i="20"/>
  <c r="H1617" i="20"/>
  <c r="H1618" i="20"/>
  <c r="H1619" i="20"/>
  <c r="H1620" i="20"/>
  <c r="H1621" i="20"/>
  <c r="H1622" i="20"/>
  <c r="H1624" i="20"/>
  <c r="H1625" i="20"/>
  <c r="H1626" i="20"/>
  <c r="H1623" i="20"/>
  <c r="H1632" i="20"/>
  <c r="H1634" i="20"/>
  <c r="H1635" i="20"/>
  <c r="H1636" i="20"/>
  <c r="H1637" i="20"/>
  <c r="H1638" i="20"/>
  <c r="H1639" i="20"/>
  <c r="H1640" i="20"/>
  <c r="H1641" i="20"/>
  <c r="H1642" i="20"/>
  <c r="H1643" i="20"/>
  <c r="H1627" i="20"/>
  <c r="H1628" i="20"/>
  <c r="H1629" i="20"/>
  <c r="H1630" i="20"/>
  <c r="H1631" i="20"/>
  <c r="H1644" i="20"/>
  <c r="H1645" i="20"/>
  <c r="H1646" i="20"/>
  <c r="H1647" i="20"/>
  <c r="H1648" i="20"/>
  <c r="H1649" i="20"/>
  <c r="H1650" i="20"/>
  <c r="H1651" i="20"/>
  <c r="H1652" i="20"/>
  <c r="H1653" i="20"/>
  <c r="H1654" i="20"/>
  <c r="H1655" i="20"/>
  <c r="H1656" i="20"/>
  <c r="H1708" i="20"/>
  <c r="H1674" i="20"/>
  <c r="H1675" i="20"/>
  <c r="H1676" i="20"/>
  <c r="H1677" i="20"/>
  <c r="H1678" i="20"/>
  <c r="H1679" i="20"/>
  <c r="H1680" i="20"/>
  <c r="H1681" i="20"/>
  <c r="H1682" i="20"/>
  <c r="H1683" i="20"/>
  <c r="H1684" i="20"/>
  <c r="H1685" i="20"/>
  <c r="H1686" i="20"/>
  <c r="H1687" i="20"/>
  <c r="H1688" i="20"/>
  <c r="H1689" i="20"/>
  <c r="H1690" i="20"/>
  <c r="H1691" i="20"/>
  <c r="H1692" i="20"/>
  <c r="H1693" i="20"/>
  <c r="H1694" i="20"/>
  <c r="H1695" i="20"/>
  <c r="H1696" i="20"/>
  <c r="H1697" i="20"/>
  <c r="H1698" i="20"/>
  <c r="H1699" i="20"/>
  <c r="H1700" i="20"/>
  <c r="H1701" i="20"/>
  <c r="H1702" i="20"/>
  <c r="H1703" i="20"/>
  <c r="H1704" i="20"/>
  <c r="H1705" i="20"/>
  <c r="H1706" i="20"/>
  <c r="H1707" i="20"/>
  <c r="H1671" i="20"/>
  <c r="H1667" i="20"/>
  <c r="H1668" i="20"/>
  <c r="H1669" i="20"/>
  <c r="H1663" i="20"/>
  <c r="H1664" i="20"/>
  <c r="H1665" i="20"/>
  <c r="H1659" i="20"/>
  <c r="H1660" i="20"/>
  <c r="H1658" i="20"/>
  <c r="H1710" i="20"/>
  <c r="H1711" i="20"/>
  <c r="H1713" i="20"/>
  <c r="H1714" i="20"/>
  <c r="H1715" i="20"/>
  <c r="H1716" i="20"/>
  <c r="H1717" i="20"/>
  <c r="H1718" i="20"/>
  <c r="H1719" i="20"/>
  <c r="H1720" i="20"/>
  <c r="H1721" i="20"/>
  <c r="H1722" i="20"/>
  <c r="H1723" i="20"/>
  <c r="H1724" i="20"/>
  <c r="H1725" i="20"/>
  <c r="H1726" i="20"/>
  <c r="H1727" i="20"/>
  <c r="H1728" i="20"/>
  <c r="H1729" i="20"/>
  <c r="H1730" i="20"/>
  <c r="H1732" i="20"/>
  <c r="H1733" i="20"/>
  <c r="H1734" i="20"/>
  <c r="H1735" i="20"/>
  <c r="H1736" i="20"/>
  <c r="H1737" i="20"/>
  <c r="H1738" i="20"/>
  <c r="H1739" i="20"/>
  <c r="H1740" i="20"/>
  <c r="H1741" i="20"/>
  <c r="H1742" i="20"/>
  <c r="H1743" i="20"/>
  <c r="H1744" i="20"/>
  <c r="H1745" i="20"/>
  <c r="H1746" i="20"/>
  <c r="H1747" i="20"/>
  <c r="H1748" i="20"/>
  <c r="H1749" i="20"/>
  <c r="H1753" i="20"/>
  <c r="H1755" i="20"/>
  <c r="H1754" i="20"/>
  <c r="H1756" i="20"/>
  <c r="H1757" i="20"/>
  <c r="H1758" i="20"/>
  <c r="H1759" i="20"/>
  <c r="H1760" i="20"/>
  <c r="H1761" i="20"/>
  <c r="H1762" i="20"/>
  <c r="H1765" i="20"/>
  <c r="H1766" i="20"/>
  <c r="H1767" i="20"/>
  <c r="H1768" i="20"/>
  <c r="H1769" i="20"/>
  <c r="H1770" i="20"/>
  <c r="H1771" i="20"/>
  <c r="H1772" i="20"/>
  <c r="H1773" i="20"/>
  <c r="H1774" i="20"/>
  <c r="H1777" i="20"/>
  <c r="H1778" i="20"/>
  <c r="H1779" i="20"/>
  <c r="H1780" i="20"/>
  <c r="H1781" i="20"/>
  <c r="H1782" i="20"/>
  <c r="H1783" i="20"/>
  <c r="H1784" i="20"/>
  <c r="H1785" i="20"/>
  <c r="H1786" i="20"/>
  <c r="H1787" i="20"/>
  <c r="H1788" i="20"/>
  <c r="H1789" i="20"/>
  <c r="H1790" i="20"/>
  <c r="H1791" i="20"/>
  <c r="H1792" i="20"/>
  <c r="H1793" i="20"/>
  <c r="H1794" i="20"/>
  <c r="H1795" i="20"/>
  <c r="H1796" i="20"/>
  <c r="H1797" i="20"/>
  <c r="H1798" i="20"/>
  <c r="H1799" i="20"/>
  <c r="H1800" i="20"/>
  <c r="H1801" i="20"/>
  <c r="H1802" i="20"/>
  <c r="H1803" i="20"/>
  <c r="H1804" i="20"/>
  <c r="H1805" i="20"/>
  <c r="H1807" i="20"/>
  <c r="H1812" i="20"/>
  <c r="H1810" i="20"/>
  <c r="H1813" i="20"/>
  <c r="H1816" i="20"/>
  <c r="H1817" i="20"/>
  <c r="H1818" i="20"/>
  <c r="H1819" i="20"/>
  <c r="H1820" i="20"/>
  <c r="H1821" i="20"/>
  <c r="H1822" i="20"/>
  <c r="H1825" i="20"/>
  <c r="H1826" i="20"/>
  <c r="H1828" i="20"/>
  <c r="H1829" i="20"/>
  <c r="H1830" i="20"/>
  <c r="H1831" i="20"/>
  <c r="H1832" i="20"/>
  <c r="H1833" i="20"/>
  <c r="H1834" i="20"/>
  <c r="H1835" i="20"/>
  <c r="H1836" i="20"/>
  <c r="H1837" i="20"/>
  <c r="H68" i="20"/>
  <c r="E300" i="1" l="1"/>
  <c r="D300" i="1"/>
  <c r="F994" i="2"/>
  <c r="C994" i="2"/>
  <c r="AB300" i="1"/>
  <c r="AB208" i="1"/>
  <c r="AE11" i="2" l="1"/>
  <c r="AF11" i="2"/>
  <c r="E363" i="1" l="1"/>
  <c r="D363" i="1"/>
  <c r="F1065" i="2" l="1"/>
  <c r="C1065" i="2"/>
  <c r="T1072" i="2"/>
  <c r="E485" i="1" s="1"/>
  <c r="T1073" i="2"/>
  <c r="D485" i="1" s="1"/>
  <c r="AE61" i="19" l="1"/>
  <c r="AE60" i="19" s="1"/>
  <c r="AE59" i="19" s="1"/>
  <c r="AE58" i="19" s="1"/>
  <c r="AE57" i="19" s="1"/>
  <c r="AE56" i="19" s="1"/>
  <c r="AE55" i="19" s="1"/>
  <c r="AE54" i="19" s="1"/>
  <c r="AE53" i="19" s="1"/>
  <c r="AE52" i="19" s="1"/>
  <c r="AE51" i="19" s="1"/>
  <c r="AE50" i="19" s="1"/>
  <c r="AE49" i="19" s="1"/>
  <c r="AE48" i="19" s="1"/>
  <c r="AE47" i="19" s="1"/>
  <c r="AE46" i="19" s="1"/>
  <c r="AE45" i="19" s="1"/>
  <c r="AE44" i="19" s="1"/>
  <c r="AE43" i="19" s="1"/>
  <c r="AE42" i="19" s="1"/>
  <c r="AE41" i="19" s="1"/>
  <c r="AE40" i="19" s="1"/>
  <c r="AE39" i="19" s="1"/>
  <c r="AE38" i="19" s="1"/>
  <c r="AE37" i="19" s="1"/>
  <c r="AE36" i="19" s="1"/>
  <c r="AE35" i="19" s="1"/>
  <c r="AE34" i="19" s="1"/>
  <c r="AE33" i="19" s="1"/>
  <c r="AE63" i="19"/>
  <c r="AE64" i="19" s="1"/>
  <c r="AE65" i="19" s="1"/>
  <c r="AE66" i="19" s="1"/>
  <c r="AE67" i="19" s="1"/>
  <c r="AE68" i="19" s="1"/>
  <c r="AE69" i="19" s="1"/>
  <c r="AE70" i="19" s="1"/>
  <c r="AE71" i="19" s="1"/>
  <c r="AE72" i="19" s="1"/>
  <c r="AE73" i="19" s="1"/>
  <c r="AE74" i="19" s="1"/>
  <c r="AE75" i="19" s="1"/>
  <c r="AE76" i="19" s="1"/>
  <c r="AE77" i="19" s="1"/>
  <c r="AE78" i="19" s="1"/>
  <c r="AE79" i="19" s="1"/>
  <c r="AE80" i="19" s="1"/>
  <c r="AE81" i="19" s="1"/>
  <c r="AE116" i="19" l="1"/>
  <c r="AE117" i="19" s="1"/>
  <c r="AE118" i="19" s="1"/>
  <c r="D375" i="19"/>
  <c r="F375" i="19" l="1"/>
  <c r="H375" i="19" s="1"/>
  <c r="J375" i="19" s="1"/>
  <c r="L375" i="19" s="1"/>
  <c r="N375" i="19" s="1"/>
  <c r="P375" i="19" s="1"/>
  <c r="R375" i="19" s="1"/>
  <c r="T375" i="19" s="1"/>
  <c r="V375" i="19" s="1"/>
  <c r="X375" i="19" s="1"/>
  <c r="Z375" i="19" s="1"/>
  <c r="A373" i="19" s="1"/>
  <c r="AA4" i="19" l="1"/>
  <c r="AA5" i="19" s="1"/>
  <c r="AA6" i="19" s="1"/>
  <c r="AA7" i="19" s="1"/>
  <c r="AA8" i="19" s="1"/>
  <c r="AA9" i="19" s="1"/>
  <c r="AA10" i="19" s="1"/>
  <c r="AA11" i="19" s="1"/>
  <c r="AA12" i="19" s="1"/>
  <c r="AA13" i="19" s="1"/>
  <c r="AA14" i="19" s="1"/>
  <c r="AA15" i="19" s="1"/>
  <c r="AA16" i="19" s="1"/>
  <c r="AA17" i="19" s="1"/>
  <c r="AA18" i="19" s="1"/>
  <c r="AA19" i="19" s="1"/>
  <c r="AA20" i="19" s="1"/>
  <c r="AA21" i="19" s="1"/>
  <c r="AA22" i="19" s="1"/>
  <c r="AA23" i="19" s="1"/>
  <c r="AA24" i="19" s="1"/>
  <c r="AA25" i="19" s="1"/>
  <c r="AA26" i="19" s="1"/>
  <c r="AA27" i="19" s="1"/>
  <c r="AA28" i="19" s="1"/>
  <c r="AA29" i="19" s="1"/>
  <c r="AA30" i="19" s="1"/>
  <c r="AA31" i="19" s="1"/>
  <c r="AA32" i="19" s="1"/>
  <c r="AA33" i="19" s="1"/>
  <c r="AA34" i="19" s="1"/>
  <c r="AA35" i="19" s="1"/>
  <c r="AA36" i="19" s="1"/>
  <c r="AA37" i="19" s="1"/>
  <c r="AA38" i="19" s="1"/>
  <c r="AA39" i="19" s="1"/>
  <c r="AA40" i="19" s="1"/>
  <c r="AA41" i="19" s="1"/>
  <c r="AA42" i="19" s="1"/>
  <c r="AA43" i="19" s="1"/>
  <c r="AA44" i="19" s="1"/>
  <c r="AA45" i="19" s="1"/>
  <c r="AA46" i="19" s="1"/>
  <c r="AA47" i="19" s="1"/>
  <c r="AA48" i="19" s="1"/>
  <c r="AA49" i="19" s="1"/>
  <c r="AA50" i="19" s="1"/>
  <c r="AA51" i="19" s="1"/>
  <c r="AA52" i="19" s="1"/>
  <c r="AA53" i="19" s="1"/>
  <c r="AA54" i="19" s="1"/>
  <c r="AA55" i="19" s="1"/>
  <c r="AA56" i="19" s="1"/>
  <c r="AA57" i="19" s="1"/>
  <c r="AA58" i="19" s="1"/>
  <c r="AA59" i="19" s="1"/>
  <c r="AA60" i="19" s="1"/>
  <c r="AA61" i="19" s="1"/>
  <c r="AA62" i="19" s="1"/>
  <c r="AA63" i="19" l="1"/>
  <c r="AA64" i="19" s="1"/>
  <c r="AA65" i="19" s="1"/>
  <c r="AA66" i="19" s="1"/>
  <c r="AA67" i="19" s="1"/>
  <c r="AA68" i="19" s="1"/>
  <c r="AA69" i="19" s="1"/>
  <c r="AA70" i="19" s="1"/>
  <c r="AA71" i="19" s="1"/>
  <c r="AA72" i="19" s="1"/>
  <c r="AA73" i="19" s="1"/>
  <c r="AA74" i="19" s="1"/>
  <c r="AA75" i="19" s="1"/>
  <c r="AA76" i="19" s="1"/>
  <c r="AA77" i="19" s="1"/>
  <c r="AA78" i="19" s="1"/>
  <c r="AA79" i="19" s="1"/>
  <c r="AA80" i="19" s="1"/>
  <c r="AA81" i="19" s="1"/>
  <c r="AA82" i="19" s="1"/>
  <c r="AA83" i="19" s="1"/>
  <c r="AA84" i="19" s="1"/>
  <c r="AA85" i="19" s="1"/>
  <c r="AA86" i="19" s="1"/>
  <c r="AA87" i="19" s="1"/>
  <c r="AA88" i="19" s="1"/>
  <c r="AA89" i="19" s="1"/>
  <c r="AA90" i="19" s="1"/>
  <c r="AA91" i="19" s="1"/>
  <c r="AA92" i="19" s="1"/>
  <c r="AA93" i="19" s="1"/>
  <c r="AA94" i="19" s="1"/>
  <c r="AA95" i="19" s="1"/>
  <c r="AA96" i="19" s="1"/>
  <c r="AA97" i="19" s="1"/>
  <c r="AA98" i="19" s="1"/>
  <c r="AA99" i="19" s="1"/>
  <c r="AA100" i="19" s="1"/>
  <c r="AA101" i="19" s="1"/>
  <c r="AA102" i="19" s="1"/>
  <c r="AA103" i="19" s="1"/>
  <c r="AA104" i="19" s="1"/>
  <c r="AA105" i="19" s="1"/>
  <c r="AA106" i="19" s="1"/>
  <c r="AA107" i="19" s="1"/>
  <c r="AA108" i="19" s="1"/>
  <c r="AA109" i="19" s="1"/>
  <c r="AA110" i="19" s="1"/>
  <c r="AA111" i="19" s="1"/>
  <c r="AA112" i="19" s="1"/>
  <c r="AA113" i="19" s="1"/>
  <c r="AA114" i="19" s="1"/>
  <c r="AA115" i="19" s="1"/>
  <c r="AA116" i="19" s="1"/>
  <c r="AA117" i="19" s="1"/>
  <c r="AA118" i="19" s="1"/>
  <c r="AA119" i="19" s="1"/>
  <c r="AA120" i="19" s="1"/>
  <c r="AA121" i="19" s="1"/>
  <c r="AA122" i="19" s="1"/>
  <c r="AA123" i="19" s="1"/>
  <c r="AA124" i="19" s="1"/>
  <c r="AA125" i="19" s="1"/>
  <c r="AA126" i="19" s="1"/>
  <c r="AA127" i="19" s="1"/>
  <c r="AA128" i="19" s="1"/>
  <c r="AA129" i="19" s="1"/>
  <c r="AA130" i="19" s="1"/>
  <c r="AA131" i="19" s="1"/>
  <c r="AA132" i="19" s="1"/>
  <c r="AA133" i="19" s="1"/>
  <c r="AA134" i="19" s="1"/>
  <c r="AA135" i="19" s="1"/>
  <c r="AA136" i="19" s="1"/>
  <c r="AA137" i="19" s="1"/>
  <c r="AA138" i="19" s="1"/>
  <c r="AA139" i="19" s="1"/>
  <c r="AA140" i="19" s="1"/>
  <c r="AA141" i="19" s="1"/>
  <c r="AA142" i="19" s="1"/>
  <c r="AA143" i="19" s="1"/>
  <c r="AA144" i="19" s="1"/>
  <c r="AA145" i="19" s="1"/>
  <c r="AA146" i="19" s="1"/>
  <c r="AA147" i="19" s="1"/>
  <c r="AA148" i="19" s="1"/>
  <c r="AA149" i="19" s="1"/>
  <c r="AA150" i="19" s="1"/>
  <c r="AA151" i="19" s="1"/>
  <c r="AA152" i="19" s="1"/>
  <c r="AA153" i="19" s="1"/>
  <c r="AA154" i="19" s="1"/>
  <c r="AA155" i="19" s="1"/>
  <c r="AA156" i="19" s="1"/>
  <c r="AA157" i="19" s="1"/>
  <c r="AA158" i="19" s="1"/>
  <c r="AA159" i="19" s="1"/>
  <c r="AA160" i="19" s="1"/>
  <c r="AA161" i="19" s="1"/>
  <c r="AA162" i="19" s="1"/>
  <c r="AA163" i="19" s="1"/>
  <c r="AA164" i="19" s="1"/>
  <c r="AA165" i="19" s="1"/>
  <c r="AA166" i="19" s="1"/>
  <c r="AA167" i="19" s="1"/>
  <c r="AA168" i="19" s="1"/>
  <c r="AA169" i="19" s="1"/>
  <c r="AA170" i="19" s="1"/>
  <c r="AA171" i="19" s="1"/>
  <c r="AA172" i="19" s="1"/>
  <c r="AA173" i="19" s="1"/>
  <c r="AA174" i="19" s="1"/>
  <c r="AA175" i="19" s="1"/>
  <c r="AA176" i="19" s="1"/>
  <c r="AA177" i="19" s="1"/>
  <c r="AA178" i="19" s="1"/>
  <c r="AA179" i="19" s="1"/>
  <c r="AA180" i="19" s="1"/>
  <c r="AA181" i="19" s="1"/>
  <c r="AA182" i="19" s="1"/>
  <c r="AA183" i="19" s="1"/>
  <c r="AA184" i="19" s="1"/>
  <c r="AA185" i="19" s="1"/>
  <c r="AA186" i="19" s="1"/>
  <c r="AA187" i="19" s="1"/>
  <c r="AA188" i="19" s="1"/>
  <c r="AA189" i="19" s="1"/>
  <c r="AA190" i="19" s="1"/>
  <c r="AA191" i="19" s="1"/>
  <c r="AA192" i="19" s="1"/>
  <c r="AA193" i="19" s="1"/>
  <c r="AA194" i="19" s="1"/>
  <c r="AA195" i="19" s="1"/>
  <c r="AA196" i="19" s="1"/>
  <c r="AA197" i="19" s="1"/>
  <c r="AA198" i="19" s="1"/>
  <c r="AA199" i="19" s="1"/>
  <c r="AA200" i="19" s="1"/>
  <c r="AA201" i="19" s="1"/>
  <c r="AA202" i="19" s="1"/>
  <c r="AA203" i="19" s="1"/>
  <c r="AA204" i="19" s="1"/>
  <c r="AA205" i="19" s="1"/>
  <c r="AA206" i="19" s="1"/>
  <c r="AA207" i="19" s="1"/>
  <c r="AA208" i="19" s="1"/>
  <c r="AA209" i="19" s="1"/>
  <c r="AA210" i="19" s="1"/>
  <c r="AA211" i="19" s="1"/>
  <c r="AA212" i="19" s="1"/>
  <c r="AA213" i="19" s="1"/>
  <c r="AA214" i="19" s="1"/>
  <c r="AA215" i="19" s="1"/>
  <c r="AA216" i="19" s="1"/>
  <c r="AA217" i="19" s="1"/>
  <c r="AA218" i="19" s="1"/>
  <c r="AA219" i="19" s="1"/>
  <c r="AA220" i="19" s="1"/>
  <c r="AA221" i="19" s="1"/>
  <c r="AA222" i="19" s="1"/>
  <c r="AA223" i="19" s="1"/>
  <c r="AA224" i="19" s="1"/>
  <c r="AA225" i="19" s="1"/>
  <c r="AA226" i="19" s="1"/>
  <c r="AA227" i="19" s="1"/>
  <c r="AA228" i="19" s="1"/>
  <c r="AA229" i="19" s="1"/>
  <c r="AA230" i="19" s="1"/>
  <c r="AA231" i="19" s="1"/>
  <c r="AA232" i="19" s="1"/>
  <c r="AA233" i="19" s="1"/>
  <c r="AA234" i="19" s="1"/>
  <c r="AA235" i="19" s="1"/>
  <c r="AA236" i="19" s="1"/>
  <c r="AA237" i="19" s="1"/>
  <c r="AA238" i="19" s="1"/>
  <c r="AA239" i="19" s="1"/>
  <c r="AA240" i="19" s="1"/>
  <c r="AA241" i="19" s="1"/>
  <c r="AA242" i="19" s="1"/>
  <c r="AA243" i="19" s="1"/>
  <c r="AA244" i="19" s="1"/>
  <c r="AA245" i="19" s="1"/>
  <c r="AA246" i="19" s="1"/>
  <c r="AA247" i="19" s="1"/>
  <c r="AA248" i="19" s="1"/>
  <c r="AA249" i="19" s="1"/>
  <c r="AA250" i="19" s="1"/>
  <c r="AA251" i="19" s="1"/>
  <c r="AA252" i="19" s="1"/>
  <c r="AA253" i="19" s="1"/>
  <c r="AA254" i="19" s="1"/>
  <c r="AA255" i="19" s="1"/>
  <c r="AA256" i="19" s="1"/>
  <c r="AA257" i="19" s="1"/>
  <c r="AA258" i="19" s="1"/>
  <c r="AA259" i="19" s="1"/>
  <c r="AA260" i="19" s="1"/>
  <c r="AA261" i="19" s="1"/>
  <c r="AA262" i="19" s="1"/>
  <c r="AA263" i="19" s="1"/>
  <c r="AA264" i="19" s="1"/>
  <c r="AA265" i="19" s="1"/>
  <c r="AA266" i="19" s="1"/>
  <c r="AA267" i="19" s="1"/>
  <c r="AA268" i="19" s="1"/>
  <c r="AA269" i="19" s="1"/>
  <c r="AA270" i="19" s="1"/>
  <c r="AA271" i="19" s="1"/>
  <c r="AA272" i="19" s="1"/>
  <c r="AA273" i="19" s="1"/>
  <c r="AA274" i="19" s="1"/>
  <c r="AA275" i="19" s="1"/>
  <c r="AA276" i="19" s="1"/>
  <c r="AA277" i="19" s="1"/>
  <c r="AA278" i="19" s="1"/>
  <c r="AA279" i="19" s="1"/>
  <c r="AA280" i="19" s="1"/>
  <c r="AA281" i="19" s="1"/>
  <c r="AA282" i="19" s="1"/>
  <c r="AA283" i="19" s="1"/>
  <c r="AA284" i="19" s="1"/>
  <c r="AA285" i="19" s="1"/>
  <c r="AA286" i="19" s="1"/>
  <c r="AA287" i="19" s="1"/>
  <c r="AA288" i="19" s="1"/>
  <c r="AA289" i="19" s="1"/>
  <c r="AA290" i="19" s="1"/>
  <c r="AA291" i="19" s="1"/>
  <c r="AA292" i="19" s="1"/>
  <c r="AA293" i="19" s="1"/>
  <c r="AA294" i="19" s="1"/>
  <c r="AA295" i="19" s="1"/>
  <c r="AA296" i="19" s="1"/>
  <c r="AA297" i="19" s="1"/>
  <c r="AA298" i="19" s="1"/>
  <c r="AA299" i="19" s="1"/>
  <c r="AA300" i="19" s="1"/>
  <c r="AA301" i="19" s="1"/>
  <c r="AA302" i="19" s="1"/>
  <c r="AA303" i="19" s="1"/>
  <c r="AA304" i="19" s="1"/>
  <c r="AA305" i="19" s="1"/>
  <c r="AA306" i="19" s="1"/>
  <c r="AA307" i="19" s="1"/>
  <c r="AA308" i="19" s="1"/>
  <c r="AA309" i="19" s="1"/>
  <c r="AA310" i="19" s="1"/>
  <c r="AA311" i="19" s="1"/>
  <c r="AA312" i="19" s="1"/>
  <c r="AA313" i="19" s="1"/>
  <c r="AA314" i="19" s="1"/>
  <c r="AA315" i="19" s="1"/>
  <c r="AA316" i="19" s="1"/>
  <c r="AA317" i="19" s="1"/>
  <c r="AA318" i="19" s="1"/>
  <c r="AA319" i="19" s="1"/>
  <c r="AA320" i="19" s="1"/>
  <c r="AA321" i="19" s="1"/>
  <c r="AA322" i="19" s="1"/>
  <c r="AA323" i="19" s="1"/>
  <c r="AA324" i="19" s="1"/>
  <c r="AA325" i="19" s="1"/>
  <c r="AA326" i="19" s="1"/>
  <c r="AA327" i="19" s="1"/>
  <c r="AA328" i="19" s="1"/>
  <c r="AA329" i="19" s="1"/>
  <c r="AA330" i="19" s="1"/>
  <c r="AA331" i="19" s="1"/>
  <c r="AA332" i="19" s="1"/>
  <c r="AA333" i="19" s="1"/>
  <c r="AA334" i="19" s="1"/>
  <c r="AA335" i="19" s="1"/>
  <c r="AA336" i="19" s="1"/>
  <c r="AA337" i="19" s="1"/>
  <c r="AA338" i="19" s="1"/>
  <c r="AA339" i="19" s="1"/>
  <c r="AA340" i="19" s="1"/>
  <c r="AA341" i="19" s="1"/>
  <c r="AA342" i="19" s="1"/>
  <c r="AA343" i="19" s="1"/>
  <c r="AA344" i="19" s="1"/>
  <c r="AA345" i="19" s="1"/>
  <c r="AA346" i="19" s="1"/>
  <c r="AA347" i="19" s="1"/>
  <c r="AA348" i="19" s="1"/>
  <c r="AA349" i="19" s="1"/>
  <c r="AA350" i="19" s="1"/>
  <c r="AA351" i="19" s="1"/>
  <c r="AA352" i="19" s="1"/>
  <c r="AA353" i="19" s="1"/>
  <c r="AA354" i="19" s="1"/>
  <c r="AA355" i="19" s="1"/>
  <c r="AA356" i="19" s="1"/>
  <c r="AA357" i="19" s="1"/>
  <c r="AA358" i="19" s="1"/>
  <c r="AA359" i="19" s="1"/>
  <c r="AA360" i="19" s="1"/>
  <c r="AA361" i="19" s="1"/>
  <c r="AA362" i="19" s="1"/>
  <c r="AA363" i="19" s="1"/>
  <c r="AA364" i="19" s="1"/>
  <c r="AA365" i="19" s="1"/>
  <c r="AA366" i="19" s="1"/>
  <c r="AA367" i="19" s="1"/>
  <c r="AA368" i="19" s="1"/>
  <c r="AA369" i="19" s="1"/>
  <c r="AB62" i="19"/>
  <c r="E307" i="1" l="1"/>
  <c r="D307" i="1"/>
  <c r="AB307" i="1"/>
  <c r="A4" i="19" l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E279" i="1" l="1"/>
  <c r="D279" i="1"/>
  <c r="AB564" i="1" l="1"/>
  <c r="Y582" i="2" l="1"/>
  <c r="W582" i="2"/>
  <c r="U582" i="2"/>
  <c r="T582" i="2"/>
  <c r="S582" i="2"/>
  <c r="R582" i="2"/>
  <c r="Q582" i="2"/>
  <c r="P582" i="2"/>
  <c r="O582" i="2"/>
  <c r="N582" i="2"/>
  <c r="L582" i="2"/>
  <c r="K582" i="2"/>
  <c r="I582" i="2"/>
  <c r="H582" i="2"/>
  <c r="G582" i="2"/>
  <c r="Y579" i="2"/>
  <c r="D584" i="1" s="1"/>
  <c r="W579" i="2"/>
  <c r="D548" i="1" s="1"/>
  <c r="U579" i="2"/>
  <c r="D496" i="1" s="1"/>
  <c r="T579" i="2"/>
  <c r="D493" i="1" s="1"/>
  <c r="S579" i="2"/>
  <c r="D472" i="1" s="1"/>
  <c r="R579" i="2"/>
  <c r="D421" i="1" s="1"/>
  <c r="Q579" i="2"/>
  <c r="D359" i="1" s="1"/>
  <c r="P579" i="2"/>
  <c r="D355" i="1" s="1"/>
  <c r="O579" i="2"/>
  <c r="D353" i="1" s="1"/>
  <c r="N579" i="2"/>
  <c r="D345" i="1" s="1"/>
  <c r="L579" i="2"/>
  <c r="D246" i="1" s="1"/>
  <c r="K579" i="2"/>
  <c r="D212" i="1" s="1"/>
  <c r="I579" i="2"/>
  <c r="D96" i="1" s="1"/>
  <c r="H579" i="2"/>
  <c r="G579" i="2"/>
  <c r="Y578" i="2"/>
  <c r="E584" i="1" s="1"/>
  <c r="W578" i="2"/>
  <c r="E548" i="1" s="1"/>
  <c r="U578" i="2"/>
  <c r="E496" i="1" s="1"/>
  <c r="T578" i="2"/>
  <c r="E493" i="1" s="1"/>
  <c r="S578" i="2"/>
  <c r="E472" i="1" s="1"/>
  <c r="R578" i="2"/>
  <c r="E421" i="1" s="1"/>
  <c r="Q578" i="2"/>
  <c r="E359" i="1" s="1"/>
  <c r="P578" i="2"/>
  <c r="E355" i="1" s="1"/>
  <c r="O578" i="2"/>
  <c r="E353" i="1" s="1"/>
  <c r="N578" i="2"/>
  <c r="E345" i="1" s="1"/>
  <c r="L578" i="2"/>
  <c r="E246" i="1" s="1"/>
  <c r="K578" i="2"/>
  <c r="E212" i="1" s="1"/>
  <c r="I578" i="2"/>
  <c r="E96" i="1" s="1"/>
  <c r="H578" i="2"/>
  <c r="E37" i="1" s="1"/>
  <c r="G578" i="2"/>
  <c r="E15" i="1" s="1"/>
  <c r="F577" i="2"/>
  <c r="C577" i="2"/>
  <c r="F576" i="2"/>
  <c r="C576" i="2"/>
  <c r="F574" i="2"/>
  <c r="C574" i="2"/>
  <c r="F573" i="2"/>
  <c r="C573" i="2"/>
  <c r="F572" i="2"/>
  <c r="C572" i="2"/>
  <c r="F570" i="2"/>
  <c r="C570" i="2"/>
  <c r="F569" i="2"/>
  <c r="C569" i="2"/>
  <c r="F567" i="2"/>
  <c r="C567" i="2"/>
  <c r="F566" i="2"/>
  <c r="C566" i="2"/>
  <c r="F565" i="2"/>
  <c r="C565" i="2"/>
  <c r="F563" i="2"/>
  <c r="C563" i="2"/>
  <c r="F562" i="2"/>
  <c r="C562" i="2"/>
  <c r="F561" i="2"/>
  <c r="C561" i="2"/>
  <c r="C578" i="2" l="1"/>
  <c r="E579" i="2"/>
  <c r="D37" i="1"/>
  <c r="D36" i="1"/>
  <c r="D15" i="1"/>
  <c r="A25" i="8" l="1"/>
  <c r="A23" i="8"/>
  <c r="E162" i="1"/>
  <c r="D162" i="1"/>
  <c r="AB162" i="1"/>
  <c r="A24" i="8" l="1"/>
  <c r="AB443" i="1"/>
  <c r="C71" i="2" l="1"/>
  <c r="AI71" i="2" s="1"/>
  <c r="AF71" i="2"/>
  <c r="AE71" i="2"/>
  <c r="H132" i="8" l="1"/>
  <c r="H38" i="8"/>
  <c r="H77" i="8"/>
  <c r="H116" i="8"/>
  <c r="H117" i="8"/>
  <c r="AB419" i="1"/>
  <c r="F983" i="2" l="1"/>
  <c r="F30" i="2" s="1"/>
  <c r="AK30" i="2" s="1"/>
  <c r="C983" i="2"/>
  <c r="C473" i="2"/>
  <c r="AF30" i="2"/>
  <c r="AE30" i="2"/>
  <c r="AA30" i="2" l="1"/>
  <c r="C30" i="2" s="1"/>
  <c r="AI30" i="2" s="1"/>
  <c r="C474" i="2"/>
  <c r="F433" i="2"/>
  <c r="F31" i="2" s="1"/>
  <c r="AK31" i="2" s="1"/>
  <c r="C433" i="2"/>
  <c r="AF31" i="2"/>
  <c r="AE31" i="2"/>
  <c r="AA31" i="2" l="1"/>
  <c r="C31" i="2" s="1"/>
  <c r="AI31" i="2" s="1"/>
  <c r="E974" i="2" l="1"/>
  <c r="J790" i="2"/>
  <c r="E381" i="1"/>
  <c r="D381" i="1"/>
  <c r="AB80" i="1"/>
  <c r="AB381" i="1" l="1"/>
  <c r="E369" i="1" l="1"/>
  <c r="D369" i="1"/>
  <c r="AB369" i="1"/>
  <c r="AB309" i="1" l="1"/>
  <c r="E487" i="1" l="1"/>
  <c r="D487" i="1"/>
  <c r="AB487" i="1"/>
  <c r="F248" i="4" l="1"/>
  <c r="F291" i="4"/>
  <c r="C11" i="2" l="1"/>
  <c r="AI11" i="2" s="1"/>
  <c r="A906" i="19" l="1"/>
  <c r="W905" i="19"/>
  <c r="AE95" i="2"/>
  <c r="AF95" i="2"/>
  <c r="W906" i="19" l="1"/>
  <c r="A907" i="19"/>
  <c r="F1123" i="2"/>
  <c r="R1137" i="2"/>
  <c r="E556" i="1" s="1"/>
  <c r="R1138" i="2"/>
  <c r="D556" i="1" s="1"/>
  <c r="AB556" i="1"/>
  <c r="C1130" i="2"/>
  <c r="J1164" i="2"/>
  <c r="E174" i="1" s="1"/>
  <c r="J1165" i="2"/>
  <c r="F1148" i="2"/>
  <c r="C1148" i="2"/>
  <c r="A908" i="19" l="1"/>
  <c r="W907" i="19"/>
  <c r="D174" i="1"/>
  <c r="AE40" i="2"/>
  <c r="AF40" i="2"/>
  <c r="F40" i="2"/>
  <c r="AK40" i="2" s="1"/>
  <c r="AA40" i="2"/>
  <c r="A909" i="19" l="1"/>
  <c r="W908" i="19"/>
  <c r="C40" i="2"/>
  <c r="AI40" i="2" s="1"/>
  <c r="A910" i="19" l="1"/>
  <c r="W909" i="19"/>
  <c r="C95" i="2"/>
  <c r="AI95" i="2" s="1"/>
  <c r="A911" i="19" l="1"/>
  <c r="W910" i="19"/>
  <c r="F796" i="2"/>
  <c r="C796" i="2"/>
  <c r="F1097" i="2"/>
  <c r="F1100" i="2"/>
  <c r="F1101" i="2"/>
  <c r="F1102" i="2"/>
  <c r="F1103" i="2"/>
  <c r="F1104" i="2"/>
  <c r="F1105" i="2"/>
  <c r="F1106" i="2"/>
  <c r="F1108" i="2"/>
  <c r="F1109" i="2"/>
  <c r="F1110" i="2"/>
  <c r="F1111" i="2"/>
  <c r="F1096" i="2"/>
  <c r="C1097" i="2"/>
  <c r="C1100" i="2"/>
  <c r="C1101" i="2"/>
  <c r="C1102" i="2"/>
  <c r="C1103" i="2"/>
  <c r="C1104" i="2"/>
  <c r="C1105" i="2"/>
  <c r="C1108" i="2"/>
  <c r="C1109" i="2"/>
  <c r="C1110" i="2"/>
  <c r="C1111" i="2"/>
  <c r="C1096" i="2"/>
  <c r="C1123" i="2"/>
  <c r="F1126" i="2"/>
  <c r="F1127" i="2"/>
  <c r="F1128" i="2"/>
  <c r="F1129" i="2"/>
  <c r="F1130" i="2"/>
  <c r="F1132" i="2"/>
  <c r="F1135" i="2"/>
  <c r="F1136" i="2"/>
  <c r="A912" i="19" l="1"/>
  <c r="W911" i="19"/>
  <c r="C1115" i="2"/>
  <c r="C1126" i="2"/>
  <c r="C1127" i="2"/>
  <c r="C1128" i="2"/>
  <c r="C1129" i="2"/>
  <c r="C1132" i="2"/>
  <c r="C1135" i="2"/>
  <c r="C1136" i="2"/>
  <c r="I1138" i="2"/>
  <c r="J1138" i="2"/>
  <c r="D194" i="1" s="1"/>
  <c r="L1138" i="2"/>
  <c r="M1138" i="2"/>
  <c r="N1138" i="2"/>
  <c r="D234" i="1" s="1"/>
  <c r="P1138" i="2"/>
  <c r="D518" i="1" s="1"/>
  <c r="G1138" i="2"/>
  <c r="P1137" i="2"/>
  <c r="E518" i="1" s="1"/>
  <c r="L1137" i="2"/>
  <c r="E203" i="1" s="1"/>
  <c r="M1137" i="2"/>
  <c r="E233" i="1" s="1"/>
  <c r="N1137" i="2"/>
  <c r="E234" i="1" s="1"/>
  <c r="G1137" i="2"/>
  <c r="E19" i="1" s="1"/>
  <c r="I1137" i="2"/>
  <c r="E183" i="1" s="1"/>
  <c r="J1137" i="2"/>
  <c r="E194" i="1" s="1"/>
  <c r="W912" i="19" l="1"/>
  <c r="A913" i="19"/>
  <c r="C1137" i="2"/>
  <c r="E1138" i="2"/>
  <c r="D19" i="1"/>
  <c r="D183" i="1"/>
  <c r="D233" i="1"/>
  <c r="D203" i="1"/>
  <c r="AB350" i="1"/>
  <c r="W913" i="19" l="1"/>
  <c r="A914" i="19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9" i="2" s="1"/>
  <c r="F811" i="2"/>
  <c r="F812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AA89" i="2" s="1"/>
  <c r="C811" i="2"/>
  <c r="C812" i="2"/>
  <c r="A915" i="19" l="1"/>
  <c r="W914" i="19"/>
  <c r="S790" i="2"/>
  <c r="R790" i="2"/>
  <c r="Q790" i="2"/>
  <c r="O790" i="2"/>
  <c r="M790" i="2"/>
  <c r="L790" i="2"/>
  <c r="K790" i="2"/>
  <c r="I790" i="2"/>
  <c r="H790" i="2"/>
  <c r="G790" i="2"/>
  <c r="W915" i="19" l="1"/>
  <c r="A916" i="19"/>
  <c r="D228" i="1"/>
  <c r="D229" i="1"/>
  <c r="D321" i="1"/>
  <c r="D196" i="1"/>
  <c r="D240" i="1"/>
  <c r="E228" i="1"/>
  <c r="E229" i="1"/>
  <c r="E321" i="1"/>
  <c r="E196" i="1"/>
  <c r="E240" i="1"/>
  <c r="E113" i="1"/>
  <c r="F1236" i="2"/>
  <c r="F1237" i="2"/>
  <c r="F1238" i="2"/>
  <c r="F1239" i="2"/>
  <c r="F1240" i="2"/>
  <c r="F1242" i="2"/>
  <c r="F1235" i="2"/>
  <c r="F15" i="2" s="1"/>
  <c r="A917" i="19" l="1"/>
  <c r="W916" i="19"/>
  <c r="D113" i="1"/>
  <c r="C1236" i="2"/>
  <c r="C1238" i="2"/>
  <c r="C1239" i="2"/>
  <c r="C1240" i="2"/>
  <c r="C1242" i="2"/>
  <c r="AA94" i="2" s="1"/>
  <c r="C1235" i="2"/>
  <c r="AA15" i="2" s="1"/>
  <c r="A918" i="19" l="1"/>
  <c r="W917" i="19"/>
  <c r="C1244" i="2"/>
  <c r="G325" i="6"/>
  <c r="G326" i="6" s="1"/>
  <c r="G327" i="6" s="1"/>
  <c r="G328" i="6" s="1"/>
  <c r="G329" i="6" s="1"/>
  <c r="G330" i="6" s="1"/>
  <c r="A919" i="19" l="1"/>
  <c r="W918" i="19"/>
  <c r="Q51" i="9"/>
  <c r="Q53" i="9"/>
  <c r="Q58" i="9"/>
  <c r="Q59" i="9"/>
  <c r="Q60" i="9"/>
  <c r="Q61" i="9"/>
  <c r="Q63" i="9"/>
  <c r="Q66" i="9"/>
  <c r="Q67" i="9"/>
  <c r="Q68" i="9"/>
  <c r="Q69" i="9"/>
  <c r="Q70" i="9"/>
  <c r="Q71" i="9"/>
  <c r="Q72" i="9"/>
  <c r="Q78" i="9"/>
  <c r="Q81" i="9"/>
  <c r="Q83" i="9"/>
  <c r="Q86" i="9"/>
  <c r="Q88" i="9"/>
  <c r="Q92" i="9"/>
  <c r="Q103" i="9"/>
  <c r="Q104" i="9"/>
  <c r="Q49" i="9"/>
  <c r="P105" i="9"/>
  <c r="A920" i="19" l="1"/>
  <c r="W919" i="19"/>
  <c r="H115" i="8"/>
  <c r="A921" i="19" l="1"/>
  <c r="W920" i="19"/>
  <c r="AB574" i="1"/>
  <c r="W921" i="19" l="1"/>
  <c r="A922" i="19"/>
  <c r="AB581" i="1"/>
  <c r="A923" i="19" l="1"/>
  <c r="W923" i="19" s="1"/>
  <c r="W922" i="19"/>
  <c r="E163" i="1"/>
  <c r="D163" i="1"/>
  <c r="C1353" i="2" l="1"/>
  <c r="F87" i="4"/>
  <c r="F75" i="4"/>
  <c r="F168" i="4"/>
  <c r="W977" i="2" l="1"/>
  <c r="V977" i="2"/>
  <c r="U977" i="2"/>
  <c r="S977" i="2"/>
  <c r="R977" i="2"/>
  <c r="P977" i="2"/>
  <c r="O977" i="2"/>
  <c r="N977" i="2"/>
  <c r="M977" i="2"/>
  <c r="L977" i="2"/>
  <c r="K977" i="2"/>
  <c r="I977" i="2"/>
  <c r="G977" i="2"/>
  <c r="H977" i="2"/>
  <c r="F114" i="8" l="1"/>
  <c r="H113" i="8"/>
  <c r="E114" i="8"/>
  <c r="G114" i="8" s="1"/>
  <c r="H657" i="2"/>
  <c r="G657" i="2"/>
  <c r="H656" i="2"/>
  <c r="G656" i="2"/>
  <c r="E333" i="1"/>
  <c r="D333" i="1"/>
  <c r="E657" i="2" l="1"/>
  <c r="F244" i="4"/>
  <c r="F212" i="4"/>
  <c r="D120" i="9" l="1"/>
  <c r="I115" i="9"/>
  <c r="AB357" i="1" l="1"/>
  <c r="H1072" i="2" l="1"/>
  <c r="E58" i="1" s="1"/>
  <c r="H1073" i="2"/>
  <c r="D58" i="1" s="1"/>
  <c r="AB58" i="1"/>
  <c r="AB392" i="1" l="1"/>
  <c r="E167" i="1" l="1"/>
  <c r="U957" i="2"/>
  <c r="D167" i="1" s="1"/>
  <c r="AB323" i="1"/>
  <c r="AB166" i="1" l="1"/>
  <c r="AB498" i="1" l="1"/>
  <c r="AB126" i="1"/>
  <c r="H815" i="2"/>
  <c r="I815" i="2"/>
  <c r="K815" i="2"/>
  <c r="L815" i="2"/>
  <c r="M815" i="2"/>
  <c r="N815" i="2"/>
  <c r="O815" i="2"/>
  <c r="R815" i="2"/>
  <c r="D71" i="1" s="1"/>
  <c r="S815" i="2"/>
  <c r="D87" i="1" s="1"/>
  <c r="T815" i="2"/>
  <c r="D124" i="1" s="1"/>
  <c r="U815" i="2"/>
  <c r="D220" i="1" s="1"/>
  <c r="V815" i="2"/>
  <c r="D241" i="1" s="1"/>
  <c r="W815" i="2"/>
  <c r="D305" i="1" s="1"/>
  <c r="X815" i="2"/>
  <c r="D312" i="1" s="1"/>
  <c r="Y815" i="2"/>
  <c r="D344" i="1" s="1"/>
  <c r="AA815" i="2"/>
  <c r="D543" i="1" s="1"/>
  <c r="G815" i="2"/>
  <c r="H814" i="2"/>
  <c r="I814" i="2"/>
  <c r="K814" i="2"/>
  <c r="L814" i="2"/>
  <c r="M814" i="2"/>
  <c r="N814" i="2"/>
  <c r="O814" i="2"/>
  <c r="R814" i="2"/>
  <c r="E71" i="1" s="1"/>
  <c r="S814" i="2"/>
  <c r="E87" i="1" s="1"/>
  <c r="T814" i="2"/>
  <c r="E124" i="1" s="1"/>
  <c r="U814" i="2"/>
  <c r="E220" i="1" s="1"/>
  <c r="V814" i="2"/>
  <c r="W814" i="2"/>
  <c r="E305" i="1" s="1"/>
  <c r="X814" i="2"/>
  <c r="E312" i="1" s="1"/>
  <c r="Y814" i="2"/>
  <c r="E344" i="1" s="1"/>
  <c r="AA814" i="2"/>
  <c r="E543" i="1" s="1"/>
  <c r="G814" i="2"/>
  <c r="E241" i="1" l="1"/>
  <c r="C813" i="2"/>
  <c r="AA108" i="2" s="1"/>
  <c r="F813" i="2"/>
  <c r="F108" i="2" s="1"/>
  <c r="E815" i="2"/>
  <c r="AB485" i="1"/>
  <c r="C814" i="2" l="1"/>
  <c r="AB151" i="1"/>
  <c r="F133" i="8" l="1"/>
  <c r="E133" i="8"/>
  <c r="G133" i="8" s="1"/>
  <c r="H133" i="8"/>
  <c r="H1051" i="2" l="1"/>
  <c r="AB28" i="1"/>
  <c r="H1047" i="2"/>
  <c r="E28" i="1" s="1"/>
  <c r="H1048" i="2"/>
  <c r="D28" i="1" s="1"/>
  <c r="E289" i="1"/>
  <c r="D289" i="1"/>
  <c r="AK89" i="2" l="1"/>
  <c r="H660" i="2"/>
  <c r="G660" i="2"/>
  <c r="F441" i="2" l="1"/>
  <c r="AB163" i="1" l="1"/>
  <c r="G629" i="2" l="1"/>
  <c r="I629" i="2"/>
  <c r="J629" i="2"/>
  <c r="K629" i="2"/>
  <c r="G630" i="2"/>
  <c r="I630" i="2"/>
  <c r="J630" i="2"/>
  <c r="K630" i="2"/>
  <c r="E1371" i="1"/>
  <c r="D1371" i="1"/>
  <c r="AB438" i="1"/>
  <c r="E132" i="1"/>
  <c r="D132" i="1"/>
  <c r="E630" i="2" l="1"/>
  <c r="AB132" i="1"/>
  <c r="AB559" i="1" l="1"/>
  <c r="AB421" i="1"/>
  <c r="F1021" i="2"/>
  <c r="F1159" i="2"/>
  <c r="H877" i="2" l="1"/>
  <c r="I877" i="2"/>
  <c r="K877" i="2"/>
  <c r="L877" i="2"/>
  <c r="M877" i="2"/>
  <c r="O877" i="2"/>
  <c r="P877" i="2"/>
  <c r="Q877" i="2"/>
  <c r="S877" i="2"/>
  <c r="T877" i="2"/>
  <c r="H876" i="2"/>
  <c r="I876" i="2"/>
  <c r="K876" i="2"/>
  <c r="L876" i="2"/>
  <c r="M876" i="2"/>
  <c r="O876" i="2"/>
  <c r="P876" i="2"/>
  <c r="Q876" i="2"/>
  <c r="S876" i="2"/>
  <c r="T876" i="2"/>
  <c r="E877" i="2" l="1"/>
  <c r="P956" i="2"/>
  <c r="E121" i="1" s="1"/>
  <c r="P957" i="2"/>
  <c r="D121" i="1" s="1"/>
  <c r="E214" i="1"/>
  <c r="D214" i="1"/>
  <c r="AB336" i="1"/>
  <c r="F138" i="8"/>
  <c r="E138" i="8"/>
  <c r="G138" i="8" s="1"/>
  <c r="H138" i="8"/>
  <c r="AE116" i="2" l="1"/>
  <c r="AF116" i="2"/>
  <c r="C116" i="2"/>
  <c r="AE121" i="2"/>
  <c r="AF121" i="2"/>
  <c r="F121" i="2"/>
  <c r="C121" i="2"/>
  <c r="AE123" i="2"/>
  <c r="AF123" i="2"/>
  <c r="F123" i="2"/>
  <c r="C123" i="2"/>
  <c r="AE126" i="2"/>
  <c r="AF126" i="2"/>
  <c r="C126" i="2"/>
  <c r="AE139" i="2"/>
  <c r="AF139" i="2"/>
  <c r="F94" i="2" l="1"/>
  <c r="AK94" i="2" s="1"/>
  <c r="AB518" i="1" l="1"/>
  <c r="AB520" i="1"/>
  <c r="F448" i="4" l="1"/>
  <c r="AF61" i="2"/>
  <c r="AE61" i="2"/>
  <c r="F1008" i="2" l="1"/>
  <c r="F1009" i="2"/>
  <c r="F1010" i="2"/>
  <c r="F1011" i="2"/>
  <c r="F1012" i="2"/>
  <c r="F1013" i="2"/>
  <c r="F1014" i="2"/>
  <c r="F1016" i="2"/>
  <c r="F1017" i="2"/>
  <c r="F1018" i="2"/>
  <c r="F1019" i="2"/>
  <c r="F1020" i="2"/>
  <c r="F1006" i="2"/>
  <c r="C1008" i="2"/>
  <c r="C1009" i="2"/>
  <c r="C1010" i="2"/>
  <c r="C1011" i="2"/>
  <c r="C1012" i="2"/>
  <c r="C1013" i="2"/>
  <c r="C1014" i="2"/>
  <c r="C1016" i="2"/>
  <c r="C1017" i="2"/>
  <c r="AA82" i="2" s="1"/>
  <c r="C1018" i="2"/>
  <c r="C1019" i="2"/>
  <c r="C1020" i="2"/>
  <c r="C1021" i="2"/>
  <c r="C1006" i="2"/>
  <c r="U1022" i="2"/>
  <c r="E598" i="1" s="1"/>
  <c r="U1023" i="2"/>
  <c r="D598" i="1" s="1"/>
  <c r="C479" i="2"/>
  <c r="AB214" i="1"/>
  <c r="F82" i="2" l="1"/>
  <c r="AK82" i="2" s="1"/>
  <c r="C1022" i="2"/>
  <c r="F1146" i="2"/>
  <c r="F1149" i="2"/>
  <c r="F1150" i="2"/>
  <c r="F1151" i="2"/>
  <c r="F1153" i="2"/>
  <c r="F1154" i="2"/>
  <c r="F1155" i="2"/>
  <c r="F1157" i="2"/>
  <c r="F64" i="2" s="1"/>
  <c r="AK64" i="2" s="1"/>
  <c r="F1158" i="2"/>
  <c r="F1160" i="2"/>
  <c r="F1161" i="2"/>
  <c r="F1162" i="2"/>
  <c r="F1163" i="2"/>
  <c r="F1145" i="2"/>
  <c r="F17" i="2" s="1"/>
  <c r="AK17" i="2" s="1"/>
  <c r="C1145" i="2"/>
  <c r="V1164" i="2"/>
  <c r="E389" i="1" s="1"/>
  <c r="V1165" i="2"/>
  <c r="D389" i="1" s="1"/>
  <c r="AB389" i="1"/>
  <c r="AB525" i="1"/>
  <c r="AA17" i="2" l="1"/>
  <c r="E286" i="1"/>
  <c r="C480" i="2"/>
  <c r="C481" i="2"/>
  <c r="C484" i="2"/>
  <c r="C488" i="2"/>
  <c r="C489" i="2"/>
  <c r="C490" i="2"/>
  <c r="AA86" i="2" s="1"/>
  <c r="C497" i="2"/>
  <c r="C468" i="2"/>
  <c r="C470" i="2"/>
  <c r="C471" i="2"/>
  <c r="C476" i="2"/>
  <c r="C477" i="2"/>
  <c r="C478" i="2"/>
  <c r="C499" i="2" l="1"/>
  <c r="D286" i="1"/>
  <c r="I113" i="9"/>
  <c r="F147" i="8"/>
  <c r="F140" i="8"/>
  <c r="F137" i="8"/>
  <c r="F116" i="8"/>
  <c r="F132" i="8"/>
  <c r="F131" i="8"/>
  <c r="F130" i="8"/>
  <c r="F129" i="8"/>
  <c r="F128" i="8"/>
  <c r="F127" i="8"/>
  <c r="F126" i="8"/>
  <c r="F113" i="8"/>
  <c r="E147" i="8"/>
  <c r="G147" i="8" s="1"/>
  <c r="H147" i="8"/>
  <c r="E137" i="8"/>
  <c r="G137" i="8" s="1"/>
  <c r="H137" i="8"/>
  <c r="F69" i="4" l="1"/>
  <c r="E153" i="1" l="1"/>
  <c r="D153" i="1"/>
  <c r="E392" i="1"/>
  <c r="D392" i="1"/>
  <c r="F19" i="2" l="1"/>
  <c r="AK19" i="2" s="1"/>
  <c r="E278" i="1"/>
  <c r="D278" i="1"/>
  <c r="AB278" i="1"/>
  <c r="AB15" i="1" l="1"/>
  <c r="AB503" i="1" l="1"/>
  <c r="E503" i="1"/>
  <c r="D503" i="1"/>
  <c r="F1266" i="2"/>
  <c r="C1266" i="2"/>
  <c r="E1042" i="2" l="1"/>
  <c r="F1040" i="2"/>
  <c r="C1041" i="2"/>
  <c r="C1030" i="2"/>
  <c r="C1033" i="2"/>
  <c r="C1040" i="2"/>
  <c r="F1030" i="2"/>
  <c r="F448" i="2"/>
  <c r="C448" i="2"/>
  <c r="F70" i="2"/>
  <c r="AK70" i="2" s="1"/>
  <c r="AF73" i="2"/>
  <c r="AE73" i="2"/>
  <c r="F73" i="2" l="1"/>
  <c r="AK73" i="2" s="1"/>
  <c r="AA73" i="2"/>
  <c r="C73" i="2" s="1"/>
  <c r="AI73" i="2" s="1"/>
  <c r="AB557" i="1"/>
  <c r="F1062" i="2" l="1"/>
  <c r="C1062" i="2"/>
  <c r="M617" i="1" l="1"/>
  <c r="AB209" i="1" l="1"/>
  <c r="A1313" i="1" l="1"/>
  <c r="J1380" i="1"/>
  <c r="K1380" i="1"/>
  <c r="J1381" i="1"/>
  <c r="K1381" i="1"/>
  <c r="J1382" i="1"/>
  <c r="K1382" i="1"/>
  <c r="J1383" i="1"/>
  <c r="K1383" i="1"/>
  <c r="J1384" i="1"/>
  <c r="K1384" i="1"/>
  <c r="J1385" i="1"/>
  <c r="K1385" i="1"/>
  <c r="J1386" i="1"/>
  <c r="K1386" i="1"/>
  <c r="J1388" i="1"/>
  <c r="K1388" i="1"/>
  <c r="J1390" i="1"/>
  <c r="K1390" i="1"/>
  <c r="J1393" i="1"/>
  <c r="K1393" i="1"/>
  <c r="J1392" i="1"/>
  <c r="K1392" i="1"/>
  <c r="J1391" i="1"/>
  <c r="K1391" i="1"/>
  <c r="J1379" i="1"/>
  <c r="K1379" i="1"/>
  <c r="J1387" i="1"/>
  <c r="K1387" i="1"/>
  <c r="J1376" i="1"/>
  <c r="K1376" i="1"/>
  <c r="J1357" i="1"/>
  <c r="K1357" i="1"/>
  <c r="J1358" i="1"/>
  <c r="K1358" i="1"/>
  <c r="J1359" i="1"/>
  <c r="K1359" i="1"/>
  <c r="J1360" i="1"/>
  <c r="K1360" i="1"/>
  <c r="J1361" i="1"/>
  <c r="K1361" i="1"/>
  <c r="J1362" i="1"/>
  <c r="K1362" i="1"/>
  <c r="J1363" i="1"/>
  <c r="K1363" i="1"/>
  <c r="J1364" i="1"/>
  <c r="K1364" i="1"/>
  <c r="J1365" i="1"/>
  <c r="K1365" i="1"/>
  <c r="J1366" i="1"/>
  <c r="K1366" i="1"/>
  <c r="J1367" i="1"/>
  <c r="K1367" i="1"/>
  <c r="E1368" i="1"/>
  <c r="J1368" i="1"/>
  <c r="K1368" i="1"/>
  <c r="E1369" i="1"/>
  <c r="J1369" i="1"/>
  <c r="K1369" i="1"/>
  <c r="J1370" i="1"/>
  <c r="K1370" i="1"/>
  <c r="J1372" i="1"/>
  <c r="K1372" i="1"/>
  <c r="J1373" i="1"/>
  <c r="K1373" i="1"/>
  <c r="J1374" i="1"/>
  <c r="K1374" i="1"/>
  <c r="J1375" i="1"/>
  <c r="K1375" i="1"/>
  <c r="J1377" i="1"/>
  <c r="K1377" i="1"/>
  <c r="J1378" i="1"/>
  <c r="K1378" i="1"/>
  <c r="D1369" i="1"/>
  <c r="D1368" i="1"/>
  <c r="J1342" i="1"/>
  <c r="K1342" i="1"/>
  <c r="J1343" i="1"/>
  <c r="K1343" i="1"/>
  <c r="J1344" i="1"/>
  <c r="K1344" i="1"/>
  <c r="J1345" i="1"/>
  <c r="K1345" i="1"/>
  <c r="J1346" i="1"/>
  <c r="K1346" i="1"/>
  <c r="J1347" i="1"/>
  <c r="K1347" i="1"/>
  <c r="J1348" i="1"/>
  <c r="K1348" i="1"/>
  <c r="J1349" i="1"/>
  <c r="K1349" i="1"/>
  <c r="J1350" i="1"/>
  <c r="K1350" i="1"/>
  <c r="J1351" i="1"/>
  <c r="K1351" i="1"/>
  <c r="J1352" i="1"/>
  <c r="K1352" i="1"/>
  <c r="J1353" i="1"/>
  <c r="K1353" i="1"/>
  <c r="J1354" i="1"/>
  <c r="K1354" i="1"/>
  <c r="J1355" i="1"/>
  <c r="K1355" i="1"/>
  <c r="E1356" i="1"/>
  <c r="J1356" i="1"/>
  <c r="K1356" i="1"/>
  <c r="D1356" i="1"/>
  <c r="J1312" i="1"/>
  <c r="K1312" i="1"/>
  <c r="J1313" i="1"/>
  <c r="K1313" i="1"/>
  <c r="J1314" i="1"/>
  <c r="K1314" i="1"/>
  <c r="E1315" i="1"/>
  <c r="J1315" i="1"/>
  <c r="K1315" i="1"/>
  <c r="J1316" i="1"/>
  <c r="K1316" i="1"/>
  <c r="J1317" i="1"/>
  <c r="K1317" i="1"/>
  <c r="J1318" i="1"/>
  <c r="K1318" i="1"/>
  <c r="J1319" i="1"/>
  <c r="K1319" i="1"/>
  <c r="J1320" i="1"/>
  <c r="K1320" i="1"/>
  <c r="E1321" i="1"/>
  <c r="J1321" i="1"/>
  <c r="K1321" i="1"/>
  <c r="J1322" i="1"/>
  <c r="K1322" i="1"/>
  <c r="J1323" i="1"/>
  <c r="K1323" i="1"/>
  <c r="J1324" i="1"/>
  <c r="K1324" i="1"/>
  <c r="J1325" i="1"/>
  <c r="K1325" i="1"/>
  <c r="J1326" i="1"/>
  <c r="K1326" i="1"/>
  <c r="J1327" i="1"/>
  <c r="K1327" i="1"/>
  <c r="J1328" i="1"/>
  <c r="K1328" i="1"/>
  <c r="J1329" i="1"/>
  <c r="K1329" i="1"/>
  <c r="J1330" i="1"/>
  <c r="K1330" i="1"/>
  <c r="J1331" i="1"/>
  <c r="K1331" i="1"/>
  <c r="J1332" i="1"/>
  <c r="K1332" i="1"/>
  <c r="E1333" i="1"/>
  <c r="J1333" i="1"/>
  <c r="K1333" i="1"/>
  <c r="J1334" i="1"/>
  <c r="K1334" i="1"/>
  <c r="J1335" i="1"/>
  <c r="K1335" i="1"/>
  <c r="J1336" i="1"/>
  <c r="K1336" i="1"/>
  <c r="J1337" i="1"/>
  <c r="K1337" i="1"/>
  <c r="J1338" i="1"/>
  <c r="K1338" i="1"/>
  <c r="J1339" i="1"/>
  <c r="K1339" i="1"/>
  <c r="J1340" i="1"/>
  <c r="K1340" i="1"/>
  <c r="J1341" i="1"/>
  <c r="K1341" i="1"/>
  <c r="D1333" i="1"/>
  <c r="D1321" i="1"/>
  <c r="D1315" i="1"/>
  <c r="B1310" i="1" l="1"/>
  <c r="F783" i="1" l="1"/>
  <c r="G783" i="1"/>
  <c r="H783" i="1"/>
  <c r="I783" i="1"/>
  <c r="C783" i="1"/>
  <c r="B815" i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F793" i="1"/>
  <c r="G793" i="1"/>
  <c r="H793" i="1"/>
  <c r="I793" i="1"/>
  <c r="F794" i="1"/>
  <c r="G794" i="1"/>
  <c r="H794" i="1"/>
  <c r="I794" i="1"/>
  <c r="C794" i="1"/>
  <c r="C793" i="1"/>
  <c r="F772" i="1"/>
  <c r="G772" i="1"/>
  <c r="H772" i="1"/>
  <c r="I772" i="1"/>
  <c r="C772" i="1"/>
  <c r="F150" i="4" l="1"/>
  <c r="E557" i="1" l="1"/>
  <c r="D557" i="1"/>
  <c r="AB153" i="1" l="1"/>
  <c r="H119" i="9" l="1"/>
  <c r="G119" i="9"/>
  <c r="H105" i="9"/>
  <c r="G105" i="9"/>
  <c r="E131" i="8" l="1"/>
  <c r="G131" i="8" s="1"/>
  <c r="E515" i="1"/>
  <c r="D515" i="1"/>
  <c r="F236" i="4" l="1"/>
  <c r="C96" i="2" l="1"/>
  <c r="AI96" i="2" s="1"/>
  <c r="AF96" i="2"/>
  <c r="AE96" i="2"/>
  <c r="E1372" i="1"/>
  <c r="D1372" i="1"/>
  <c r="AB578" i="1"/>
  <c r="W1047" i="2"/>
  <c r="E578" i="1" s="1"/>
  <c r="W1048" i="2"/>
  <c r="D578" i="1" s="1"/>
  <c r="F1037" i="2"/>
  <c r="F49" i="2" s="1"/>
  <c r="AK49" i="2" s="1"/>
  <c r="C1037" i="2"/>
  <c r="AA49" i="2" s="1"/>
  <c r="C49" i="2" s="1"/>
  <c r="F444" i="2" l="1"/>
  <c r="F60" i="2" s="1"/>
  <c r="AK60" i="2" s="1"/>
  <c r="C444" i="2"/>
  <c r="AA60" i="2" s="1"/>
  <c r="AF60" i="2"/>
  <c r="AE60" i="2"/>
  <c r="C60" i="2" l="1"/>
  <c r="C82" i="2"/>
  <c r="AI82" i="2" s="1"/>
  <c r="AF82" i="2"/>
  <c r="AE82" i="2"/>
  <c r="AI60" i="2" l="1"/>
  <c r="AB440" i="1"/>
  <c r="AB121" i="1"/>
  <c r="H35" i="9" l="1"/>
  <c r="AA78" i="2"/>
  <c r="AB114" i="1"/>
  <c r="F187" i="4"/>
  <c r="F189" i="4"/>
  <c r="AB181" i="1" l="1"/>
  <c r="E181" i="1"/>
  <c r="D181" i="1"/>
  <c r="F452" i="2" l="1"/>
  <c r="C452" i="2"/>
  <c r="D497" i="1"/>
  <c r="AB497" i="1"/>
  <c r="AA103" i="2" l="1"/>
  <c r="AF103" i="2"/>
  <c r="AE103" i="2"/>
  <c r="F103" i="2" l="1"/>
  <c r="AK103" i="2" s="1"/>
  <c r="C103" i="2"/>
  <c r="AI103" i="2" s="1"/>
  <c r="AB515" i="1"/>
  <c r="F148" i="4" l="1"/>
  <c r="AB289" i="1" l="1"/>
  <c r="AB50" i="1" l="1"/>
  <c r="AE70" i="2" l="1"/>
  <c r="AF70" i="2"/>
  <c r="C70" i="2"/>
  <c r="AI70" i="2" s="1"/>
  <c r="AB119" i="1" l="1"/>
  <c r="E116" i="8" l="1"/>
  <c r="G116" i="8" s="1"/>
  <c r="H131" i="8"/>
  <c r="F349" i="4" l="1"/>
  <c r="F350" i="4"/>
  <c r="F264" i="4"/>
  <c r="E102" i="1" l="1"/>
  <c r="D102" i="1"/>
  <c r="AB102" i="1"/>
  <c r="AF101" i="2" l="1"/>
  <c r="AE101" i="2"/>
  <c r="C101" i="2" l="1"/>
  <c r="AI101" i="2" s="1"/>
  <c r="AB590" i="1"/>
  <c r="E1349" i="1" l="1"/>
  <c r="D1349" i="1"/>
  <c r="AB553" i="1"/>
  <c r="E553" i="1"/>
  <c r="D553" i="1" l="1"/>
  <c r="E270" i="1"/>
  <c r="D270" i="1" l="1"/>
  <c r="I62" i="9" l="1"/>
  <c r="Q62" i="9" s="1"/>
  <c r="AB193" i="1" l="1"/>
  <c r="E132" i="8"/>
  <c r="G132" i="8" s="1"/>
  <c r="E193" i="1" l="1"/>
  <c r="D193" i="1" l="1"/>
  <c r="AB290" i="1"/>
  <c r="E1392" i="1" l="1"/>
  <c r="D1392" i="1"/>
  <c r="H64" i="8" l="1"/>
  <c r="E128" i="8"/>
  <c r="G128" i="8" s="1"/>
  <c r="H128" i="8"/>
  <c r="F216" i="4" l="1"/>
  <c r="AB306" i="1" l="1"/>
  <c r="F220" i="4"/>
  <c r="F198" i="4"/>
  <c r="I100" i="9" l="1"/>
  <c r="Q100" i="9" s="1"/>
  <c r="E129" i="8" l="1"/>
  <c r="G129" i="8" s="1"/>
  <c r="E113" i="8"/>
  <c r="G113" i="8" s="1"/>
  <c r="H114" i="8"/>
  <c r="E366" i="1"/>
  <c r="D366" i="1"/>
  <c r="E563" i="1"/>
  <c r="D563" i="1"/>
  <c r="AB366" i="1" l="1"/>
  <c r="AB376" i="1"/>
  <c r="AB563" i="1" l="1"/>
  <c r="E1363" i="1" l="1"/>
  <c r="D1363" i="1"/>
  <c r="AB449" i="1"/>
  <c r="E143" i="1"/>
  <c r="D143" i="1"/>
  <c r="F991" i="2"/>
  <c r="C991" i="2"/>
  <c r="F453" i="2"/>
  <c r="C453" i="2"/>
  <c r="AB117" i="1"/>
  <c r="AF130" i="2"/>
  <c r="AE130" i="2"/>
  <c r="F446" i="2"/>
  <c r="C446" i="2"/>
  <c r="E1345" i="1"/>
  <c r="D1345" i="1"/>
  <c r="E449" i="1"/>
  <c r="D449" i="1"/>
  <c r="D783" i="1" l="1"/>
  <c r="E783" i="1"/>
  <c r="E1347" i="1"/>
  <c r="AB143" i="1"/>
  <c r="D1347" i="1" l="1"/>
  <c r="AB599" i="1"/>
  <c r="AB244" i="1" l="1"/>
  <c r="AB377" i="1" l="1"/>
  <c r="C791" i="1" l="1"/>
  <c r="F791" i="1"/>
  <c r="G791" i="1"/>
  <c r="H791" i="1"/>
  <c r="I791" i="1"/>
  <c r="I790" i="1"/>
  <c r="H790" i="1"/>
  <c r="G790" i="1"/>
  <c r="F790" i="1"/>
  <c r="C790" i="1"/>
  <c r="F117" i="2" l="1"/>
  <c r="AA117" i="2"/>
  <c r="C117" i="2" s="1"/>
  <c r="AB40" i="1"/>
  <c r="AB276" i="1" l="1"/>
  <c r="H46" i="9" l="1"/>
  <c r="G46" i="9"/>
  <c r="F136" i="8" l="1"/>
  <c r="E136" i="8"/>
  <c r="G136" i="8" s="1"/>
  <c r="H136" i="8"/>
  <c r="E130" i="8"/>
  <c r="G130" i="8" s="1"/>
  <c r="H130" i="8"/>
  <c r="E140" i="8"/>
  <c r="G140" i="8" s="1"/>
  <c r="H140" i="8"/>
  <c r="AB46" i="1" l="1"/>
  <c r="AF74" i="2" l="1"/>
  <c r="AE74" i="2"/>
  <c r="C74" i="2" l="1"/>
  <c r="AI74" i="2" l="1"/>
  <c r="D15" i="18"/>
  <c r="AK77" i="2"/>
  <c r="AE77" i="2"/>
  <c r="AF77" i="2"/>
  <c r="C77" i="2" l="1"/>
  <c r="AI77" i="2" l="1"/>
  <c r="D17" i="18"/>
  <c r="G17" i="18" s="1"/>
  <c r="E218" i="1"/>
  <c r="AB504" i="1"/>
  <c r="E504" i="1"/>
  <c r="D504" i="1"/>
  <c r="D218" i="1" l="1"/>
  <c r="AB218" i="1"/>
  <c r="AB281" i="1" l="1"/>
  <c r="F51" i="4"/>
  <c r="F480" i="4"/>
  <c r="F58" i="4" l="1"/>
  <c r="F12" i="4"/>
  <c r="E331" i="1" l="1"/>
  <c r="D331" i="1"/>
  <c r="E604" i="1" l="1"/>
  <c r="D604" i="1"/>
  <c r="AB604" i="1"/>
  <c r="X236" i="1" l="1"/>
  <c r="X238" i="1"/>
  <c r="W237" i="1"/>
  <c r="W239" i="1"/>
  <c r="X237" i="1"/>
  <c r="X239" i="1"/>
  <c r="W236" i="1"/>
  <c r="W238" i="1"/>
  <c r="W128" i="1"/>
  <c r="X128" i="1"/>
  <c r="W444" i="1"/>
  <c r="X444" i="1"/>
  <c r="W463" i="1"/>
  <c r="X463" i="1"/>
  <c r="X189" i="1"/>
  <c r="W189" i="1"/>
  <c r="W17" i="1"/>
  <c r="X17" i="1"/>
  <c r="W605" i="1"/>
  <c r="X605" i="1"/>
  <c r="W436" i="1"/>
  <c r="X436" i="1"/>
  <c r="W546" i="1"/>
  <c r="X546" i="1"/>
  <c r="W301" i="1"/>
  <c r="X301" i="1"/>
  <c r="X55" i="1"/>
  <c r="W55" i="1"/>
  <c r="W428" i="1"/>
  <c r="X428" i="1"/>
  <c r="W158" i="1"/>
  <c r="X158" i="1"/>
  <c r="W310" i="1"/>
  <c r="X310" i="1"/>
  <c r="X83" i="1"/>
  <c r="W83" i="1"/>
  <c r="X516" i="1"/>
  <c r="W516" i="1"/>
  <c r="W455" i="1"/>
  <c r="X455" i="1"/>
  <c r="X570" i="1"/>
  <c r="W570" i="1"/>
  <c r="W486" i="1"/>
  <c r="X486" i="1"/>
  <c r="X179" i="1"/>
  <c r="W179" i="1"/>
  <c r="W327" i="1"/>
  <c r="X327" i="1"/>
  <c r="W111" i="1"/>
  <c r="X111" i="1"/>
  <c r="W49" i="1"/>
  <c r="X49" i="1"/>
  <c r="W396" i="1"/>
  <c r="X396" i="1"/>
  <c r="X390" i="1"/>
  <c r="W390" i="1"/>
  <c r="W573" i="1"/>
  <c r="X573" i="1"/>
  <c r="W176" i="1"/>
  <c r="X176" i="1"/>
  <c r="W476" i="1"/>
  <c r="X476" i="1"/>
  <c r="W20" i="1"/>
  <c r="X20" i="1"/>
  <c r="W580" i="1"/>
  <c r="X580" i="1"/>
  <c r="W499" i="1"/>
  <c r="X499" i="1"/>
  <c r="X157" i="1"/>
  <c r="W157" i="1"/>
  <c r="W112" i="1"/>
  <c r="X112" i="1"/>
  <c r="W149" i="1"/>
  <c r="X149" i="1"/>
  <c r="W104" i="1"/>
  <c r="X104" i="1"/>
  <c r="W108" i="1"/>
  <c r="X108" i="1"/>
  <c r="W383" i="1"/>
  <c r="X383" i="1"/>
  <c r="W351" i="1"/>
  <c r="X351" i="1"/>
  <c r="W61" i="1"/>
  <c r="X61" i="1"/>
  <c r="W495" i="1"/>
  <c r="X495" i="1"/>
  <c r="W386" i="1"/>
  <c r="X386" i="1"/>
  <c r="X458" i="1"/>
  <c r="W458" i="1"/>
  <c r="X303" i="1"/>
  <c r="W303" i="1"/>
  <c r="W250" i="1"/>
  <c r="X250" i="1"/>
  <c r="W12" i="1"/>
  <c r="X12" i="1"/>
  <c r="W235" i="1"/>
  <c r="X235" i="1"/>
  <c r="X13" i="1"/>
  <c r="Y13" i="1"/>
  <c r="W195" i="1"/>
  <c r="X195" i="1"/>
  <c r="W539" i="1"/>
  <c r="X539" i="1"/>
  <c r="W48" i="1"/>
  <c r="X48" i="1"/>
  <c r="W529" i="1"/>
  <c r="X529" i="1"/>
  <c r="X538" i="1"/>
  <c r="W538" i="1"/>
  <c r="W265" i="1"/>
  <c r="X265" i="1"/>
  <c r="W125" i="1"/>
  <c r="X125" i="1"/>
  <c r="X500" i="1"/>
  <c r="W500" i="1"/>
  <c r="X217" i="1"/>
  <c r="W217" i="1"/>
  <c r="W373" i="1"/>
  <c r="X373" i="1"/>
  <c r="X322" i="1"/>
  <c r="W322" i="1"/>
  <c r="W277" i="1"/>
  <c r="X277" i="1"/>
  <c r="W34" i="1"/>
  <c r="X34" i="1"/>
  <c r="W461" i="1"/>
  <c r="X461" i="1"/>
  <c r="W264" i="1"/>
  <c r="X264" i="1"/>
  <c r="X222" i="1"/>
  <c r="Y222" i="1"/>
  <c r="W569" i="1"/>
  <c r="X569" i="1"/>
  <c r="W258" i="1"/>
  <c r="X258" i="1"/>
  <c r="W184" i="1"/>
  <c r="X184" i="1"/>
  <c r="W571" i="1"/>
  <c r="X571" i="1"/>
  <c r="W596" i="1"/>
  <c r="X596" i="1"/>
  <c r="W385" i="1"/>
  <c r="X385" i="1"/>
  <c r="W161" i="1"/>
  <c r="X161" i="1"/>
  <c r="W202" i="1"/>
  <c r="X202" i="1"/>
  <c r="W91" i="1"/>
  <c r="X91" i="1"/>
  <c r="W606" i="1"/>
  <c r="X606" i="1"/>
  <c r="W226" i="1"/>
  <c r="X226" i="1"/>
  <c r="W140" i="1"/>
  <c r="X140" i="1"/>
  <c r="W59" i="1"/>
  <c r="X59" i="1"/>
  <c r="W138" i="1"/>
  <c r="X138" i="1"/>
  <c r="W174" i="1"/>
  <c r="X174" i="1"/>
  <c r="X44" i="1"/>
  <c r="W44" i="1"/>
  <c r="X98" i="1"/>
  <c r="W98" i="1"/>
  <c r="W489" i="1"/>
  <c r="X489" i="1"/>
  <c r="W474" i="1"/>
  <c r="X474" i="1"/>
  <c r="W530" i="1"/>
  <c r="X530" i="1"/>
  <c r="X397" i="1"/>
  <c r="W397" i="1"/>
  <c r="W170" i="1"/>
  <c r="X170" i="1"/>
  <c r="W300" i="1"/>
  <c r="X300" i="1"/>
  <c r="W208" i="1"/>
  <c r="X208" i="1"/>
  <c r="W307" i="1"/>
  <c r="X307" i="1"/>
  <c r="W564" i="1"/>
  <c r="X564" i="1"/>
  <c r="W162" i="1"/>
  <c r="X162" i="1"/>
  <c r="W443" i="1"/>
  <c r="X443" i="1"/>
  <c r="W419" i="1"/>
  <c r="X419" i="1"/>
  <c r="W80" i="1"/>
  <c r="X80" i="1"/>
  <c r="W381" i="1"/>
  <c r="X381" i="1"/>
  <c r="W369" i="1"/>
  <c r="X369" i="1"/>
  <c r="W309" i="1"/>
  <c r="X309" i="1"/>
  <c r="W487" i="1"/>
  <c r="X487" i="1"/>
  <c r="W556" i="1"/>
  <c r="X556" i="1"/>
  <c r="W350" i="1"/>
  <c r="X350" i="1"/>
  <c r="W574" i="1"/>
  <c r="X574" i="1"/>
  <c r="X581" i="1"/>
  <c r="W581" i="1"/>
  <c r="W357" i="1"/>
  <c r="X357" i="1"/>
  <c r="W58" i="1"/>
  <c r="X58" i="1"/>
  <c r="W392" i="1"/>
  <c r="X392" i="1"/>
  <c r="X323" i="1"/>
  <c r="W323" i="1"/>
  <c r="W166" i="1"/>
  <c r="X166" i="1"/>
  <c r="W282" i="1"/>
  <c r="X282" i="1"/>
  <c r="W283" i="1"/>
  <c r="X283" i="1"/>
  <c r="W498" i="1"/>
  <c r="X498" i="1"/>
  <c r="W126" i="1"/>
  <c r="X126" i="1"/>
  <c r="W485" i="1"/>
  <c r="X485" i="1"/>
  <c r="W151" i="1"/>
  <c r="X151" i="1"/>
  <c r="W28" i="1"/>
  <c r="X28" i="1"/>
  <c r="W163" i="1"/>
  <c r="X163" i="1"/>
  <c r="W438" i="1"/>
  <c r="X438" i="1"/>
  <c r="W132" i="1"/>
  <c r="X132" i="1"/>
  <c r="W559" i="1"/>
  <c r="X559" i="1"/>
  <c r="W421" i="1"/>
  <c r="X421" i="1"/>
  <c r="W336" i="1"/>
  <c r="X336" i="1"/>
  <c r="W518" i="1"/>
  <c r="X518" i="1"/>
  <c r="W520" i="1"/>
  <c r="X520" i="1"/>
  <c r="W214" i="1"/>
  <c r="X214" i="1"/>
  <c r="W389" i="1"/>
  <c r="X389" i="1"/>
  <c r="X525" i="1"/>
  <c r="W525" i="1"/>
  <c r="W278" i="1"/>
  <c r="X278" i="1"/>
  <c r="W15" i="1"/>
  <c r="X15" i="1"/>
  <c r="X503" i="1"/>
  <c r="W503" i="1"/>
  <c r="W462" i="1"/>
  <c r="X462" i="1"/>
  <c r="W557" i="1"/>
  <c r="X557" i="1"/>
  <c r="W209" i="1"/>
  <c r="X209" i="1"/>
  <c r="X153" i="1"/>
  <c r="W153" i="1"/>
  <c r="X578" i="1"/>
  <c r="W578" i="1"/>
  <c r="W440" i="1"/>
  <c r="X440" i="1"/>
  <c r="W121" i="1"/>
  <c r="X121" i="1"/>
  <c r="W114" i="1"/>
  <c r="X114" i="1"/>
  <c r="W181" i="1"/>
  <c r="X181" i="1"/>
  <c r="W497" i="1"/>
  <c r="X497" i="1"/>
  <c r="W515" i="1"/>
  <c r="X515" i="1"/>
  <c r="W289" i="1"/>
  <c r="X289" i="1"/>
  <c r="W50" i="1"/>
  <c r="X50" i="1"/>
  <c r="W119" i="1"/>
  <c r="X119" i="1"/>
  <c r="W102" i="1"/>
  <c r="X102" i="1"/>
  <c r="W590" i="1"/>
  <c r="X590" i="1"/>
  <c r="W553" i="1"/>
  <c r="X553" i="1"/>
  <c r="W193" i="1"/>
  <c r="X193" i="1"/>
  <c r="W290" i="1"/>
  <c r="X290" i="1"/>
  <c r="W306" i="1"/>
  <c r="X306" i="1"/>
  <c r="W366" i="1"/>
  <c r="X366" i="1"/>
  <c r="W376" i="1"/>
  <c r="X376" i="1"/>
  <c r="W563" i="1"/>
  <c r="X563" i="1"/>
  <c r="W449" i="1"/>
  <c r="X449" i="1"/>
  <c r="W117" i="1"/>
  <c r="X117" i="1"/>
  <c r="W143" i="1"/>
  <c r="X143" i="1"/>
  <c r="W599" i="1"/>
  <c r="X599" i="1"/>
  <c r="W244" i="1"/>
  <c r="X244" i="1"/>
  <c r="X377" i="1"/>
  <c r="W377" i="1"/>
  <c r="W40" i="1"/>
  <c r="X40" i="1"/>
  <c r="W276" i="1"/>
  <c r="X276" i="1"/>
  <c r="W46" i="1"/>
  <c r="X46" i="1"/>
  <c r="W504" i="1"/>
  <c r="X504" i="1"/>
  <c r="W218" i="1"/>
  <c r="X218" i="1"/>
  <c r="W604" i="1"/>
  <c r="W281" i="1"/>
  <c r="X281" i="1"/>
  <c r="X604" i="1"/>
  <c r="F105" i="4"/>
  <c r="F162" i="4"/>
  <c r="F158" i="4"/>
  <c r="F1256" i="2" l="1"/>
  <c r="F1257" i="2"/>
  <c r="F1258" i="2"/>
  <c r="F1259" i="2"/>
  <c r="F1260" i="2"/>
  <c r="F44" i="2" s="1"/>
  <c r="F1261" i="2"/>
  <c r="F1262" i="2"/>
  <c r="F1263" i="2"/>
  <c r="F1264" i="2"/>
  <c r="F1265" i="2"/>
  <c r="F131" i="2" s="1"/>
  <c r="F1267" i="2"/>
  <c r="F1268" i="2"/>
  <c r="F1269" i="2"/>
  <c r="F1255" i="2"/>
  <c r="F18" i="2" s="1"/>
  <c r="AK18" i="2" s="1"/>
  <c r="C1256" i="2"/>
  <c r="AA29" i="2" s="1"/>
  <c r="C1257" i="2"/>
  <c r="C1258" i="2"/>
  <c r="C1259" i="2"/>
  <c r="C1260" i="2"/>
  <c r="AA44" i="2" s="1"/>
  <c r="C1261" i="2"/>
  <c r="C1262" i="2"/>
  <c r="C1263" i="2"/>
  <c r="C1264" i="2"/>
  <c r="C1265" i="2"/>
  <c r="C1267" i="2"/>
  <c r="C1268" i="2"/>
  <c r="C1269" i="2"/>
  <c r="C1255" i="2"/>
  <c r="E90" i="1"/>
  <c r="E399" i="1"/>
  <c r="E535" i="1"/>
  <c r="D90" i="1"/>
  <c r="D399" i="1"/>
  <c r="D535" i="1"/>
  <c r="AK44" i="2" l="1"/>
  <c r="F29" i="2"/>
  <c r="AK29" i="2" s="1"/>
  <c r="C1270" i="2"/>
  <c r="E154" i="1"/>
  <c r="D154" i="1"/>
  <c r="E187" i="1"/>
  <c r="G287" i="6"/>
  <c r="G288" i="6" s="1"/>
  <c r="G289" i="6" s="1"/>
  <c r="G290" i="6" s="1"/>
  <c r="G291" i="6" s="1"/>
  <c r="G292" i="6" s="1"/>
  <c r="G293" i="6" s="1"/>
  <c r="G294" i="6" s="1"/>
  <c r="D187" i="1" l="1"/>
  <c r="AB311" i="1" l="1"/>
  <c r="F154" i="4" l="1"/>
  <c r="F131" i="4"/>
  <c r="D617" i="1" l="1"/>
  <c r="E60" i="1" l="1"/>
  <c r="E103" i="1"/>
  <c r="E291" i="1"/>
  <c r="E316" i="1"/>
  <c r="E384" i="1"/>
  <c r="E404" i="1"/>
  <c r="E490" i="1"/>
  <c r="E82" i="1"/>
  <c r="D60" i="1"/>
  <c r="D103" i="1"/>
  <c r="D291" i="1"/>
  <c r="D316" i="1"/>
  <c r="D384" i="1"/>
  <c r="D404" i="1"/>
  <c r="D490" i="1"/>
  <c r="AB331" i="1"/>
  <c r="AB22" i="1"/>
  <c r="D82" i="1" l="1"/>
  <c r="F129" i="4"/>
  <c r="AB387" i="1" l="1"/>
  <c r="E478" i="1" l="1"/>
  <c r="D478" i="1"/>
  <c r="E147" i="1"/>
  <c r="D147" i="1"/>
  <c r="F988" i="2"/>
  <c r="C988" i="2"/>
  <c r="AB147" i="1"/>
  <c r="E527" i="1" l="1"/>
  <c r="D527" i="1"/>
  <c r="AB527" i="1"/>
  <c r="AB399" i="1"/>
  <c r="AB478" i="1" l="1"/>
  <c r="F307" i="4"/>
  <c r="F217" i="4"/>
  <c r="F111" i="4" l="1"/>
  <c r="H957" i="2" l="1"/>
  <c r="E22" i="1" l="1"/>
  <c r="D22" i="1"/>
  <c r="E46" i="1"/>
  <c r="D46" i="1"/>
  <c r="O956" i="2"/>
  <c r="E119" i="1" s="1"/>
  <c r="O957" i="2"/>
  <c r="D119" i="1" s="1"/>
  <c r="F257" i="4"/>
  <c r="AB101" i="1" l="1"/>
  <c r="AB294" i="1"/>
  <c r="AB430" i="1"/>
  <c r="R1047" i="2"/>
  <c r="E430" i="1" s="1"/>
  <c r="R1048" i="2"/>
  <c r="D430" i="1" s="1"/>
  <c r="E294" i="1" l="1"/>
  <c r="D294" i="1"/>
  <c r="F510" i="2"/>
  <c r="F249" i="4" l="1"/>
  <c r="E482" i="1" l="1"/>
  <c r="D482" i="1"/>
  <c r="AB482" i="1" l="1"/>
  <c r="R28" i="8" l="1"/>
  <c r="B35" i="8" l="1"/>
  <c r="B36" i="8"/>
  <c r="F413" i="4" l="1"/>
  <c r="AK15" i="2" l="1"/>
  <c r="F95" i="4"/>
  <c r="F449" i="2" l="1"/>
  <c r="F431" i="2"/>
  <c r="F435" i="2"/>
  <c r="F34" i="2" s="1"/>
  <c r="AK34" i="2" s="1"/>
  <c r="F436" i="2"/>
  <c r="F35" i="2" s="1"/>
  <c r="AK35" i="2" s="1"/>
  <c r="F438" i="2"/>
  <c r="F439" i="2"/>
  <c r="F440" i="2"/>
  <c r="F443" i="2"/>
  <c r="F58" i="2" s="1"/>
  <c r="F445" i="2"/>
  <c r="F450" i="2"/>
  <c r="F451" i="2"/>
  <c r="C431" i="2"/>
  <c r="C435" i="2"/>
  <c r="C436" i="2"/>
  <c r="AA35" i="2" s="1"/>
  <c r="C438" i="2"/>
  <c r="C439" i="2"/>
  <c r="AA122" i="2" s="1"/>
  <c r="C440" i="2"/>
  <c r="C441" i="2"/>
  <c r="C443" i="2"/>
  <c r="AA58" i="2" s="1"/>
  <c r="C445" i="2"/>
  <c r="AA61" i="2" s="1"/>
  <c r="C449" i="2"/>
  <c r="C450" i="2"/>
  <c r="C451" i="2"/>
  <c r="C458" i="2"/>
  <c r="AK58" i="2" l="1"/>
  <c r="C459" i="2"/>
  <c r="W311" i="1"/>
  <c r="X311" i="1"/>
  <c r="W331" i="1"/>
  <c r="X331" i="1"/>
  <c r="W22" i="1"/>
  <c r="X22" i="1"/>
  <c r="W387" i="1"/>
  <c r="X387" i="1"/>
  <c r="W147" i="1"/>
  <c r="X147" i="1"/>
  <c r="W527" i="1"/>
  <c r="X527" i="1"/>
  <c r="W399" i="1"/>
  <c r="X399" i="1"/>
  <c r="W478" i="1"/>
  <c r="X478" i="1"/>
  <c r="W101" i="1"/>
  <c r="X101" i="1"/>
  <c r="W294" i="1"/>
  <c r="X294" i="1"/>
  <c r="W430" i="1"/>
  <c r="X430" i="1"/>
  <c r="W603" i="1"/>
  <c r="W482" i="1"/>
  <c r="X482" i="1"/>
  <c r="E264" i="1"/>
  <c r="D264" i="1"/>
  <c r="C99" i="2" l="1"/>
  <c r="AI99" i="2" s="1"/>
  <c r="C97" i="2"/>
  <c r="AI97" i="2" s="1"/>
  <c r="F199" i="4" l="1"/>
  <c r="E791" i="1" l="1"/>
  <c r="D791" i="1"/>
  <c r="E1378" i="1"/>
  <c r="D1378" i="1"/>
  <c r="D790" i="1"/>
  <c r="E790" i="1"/>
  <c r="D1366" i="1"/>
  <c r="E1366" i="1"/>
  <c r="D1350" i="1"/>
  <c r="E1350" i="1"/>
  <c r="D1325" i="1"/>
  <c r="E1325" i="1"/>
  <c r="C130" i="2" l="1"/>
  <c r="E772" i="1"/>
  <c r="E1318" i="1"/>
  <c r="D772" i="1"/>
  <c r="D1318" i="1"/>
  <c r="D793" i="1"/>
  <c r="E793" i="1"/>
  <c r="F78" i="2"/>
  <c r="AK78" i="2" s="1"/>
  <c r="R1164" i="2" l="1"/>
  <c r="E178" i="1" s="1"/>
  <c r="K1164" i="2"/>
  <c r="E100" i="1" s="1"/>
  <c r="G1164" i="2"/>
  <c r="E42" i="1" s="1"/>
  <c r="L1164" i="2"/>
  <c r="E175" i="1" s="1"/>
  <c r="P1164" i="2"/>
  <c r="E180" i="1" s="1"/>
  <c r="Q1164" i="2"/>
  <c r="E177" i="1" s="1"/>
  <c r="U1164" i="2"/>
  <c r="E319" i="1" s="1"/>
  <c r="G1165" i="2"/>
  <c r="C1146" i="2"/>
  <c r="AA18" i="2" s="1"/>
  <c r="K1165" i="2"/>
  <c r="D100" i="1" s="1"/>
  <c r="L1165" i="2"/>
  <c r="D175" i="1" s="1"/>
  <c r="P1165" i="2"/>
  <c r="D180" i="1" s="1"/>
  <c r="Q1165" i="2"/>
  <c r="R1165" i="2"/>
  <c r="D178" i="1" s="1"/>
  <c r="U1165" i="2"/>
  <c r="D319" i="1" s="1"/>
  <c r="E1165" i="2" l="1"/>
  <c r="D42" i="1"/>
  <c r="D177" i="1"/>
  <c r="AB175" i="1"/>
  <c r="AB242" i="1" l="1"/>
  <c r="E242" i="1" l="1"/>
  <c r="D242" i="1"/>
  <c r="E1159" i="2" l="1"/>
  <c r="E1158" i="2"/>
  <c r="E1151" i="2"/>
  <c r="E1150" i="2"/>
  <c r="C1149" i="2"/>
  <c r="AA34" i="2" s="1"/>
  <c r="C1150" i="2"/>
  <c r="C1151" i="2"/>
  <c r="C1153" i="2"/>
  <c r="C1154" i="2"/>
  <c r="C1155" i="2"/>
  <c r="C1157" i="2"/>
  <c r="AA64" i="2" s="1"/>
  <c r="C1158" i="2"/>
  <c r="C1159" i="2"/>
  <c r="AA67" i="2" s="1"/>
  <c r="C1160" i="2"/>
  <c r="AA131" i="2" s="1"/>
  <c r="C1161" i="2"/>
  <c r="C1162" i="2"/>
  <c r="C1163" i="2"/>
  <c r="F451" i="4"/>
  <c r="F67" i="2" l="1"/>
  <c r="AK67" i="2" s="1"/>
  <c r="C1164" i="2"/>
  <c r="N25" i="8"/>
  <c r="O25" i="8" s="1"/>
  <c r="P25" i="8" s="1"/>
  <c r="Q25" i="8" s="1"/>
  <c r="C34" i="8"/>
  <c r="I117" i="9" l="1"/>
  <c r="E282" i="1"/>
  <c r="D282" i="1"/>
  <c r="AK108" i="2" l="1"/>
  <c r="AB535" i="1"/>
  <c r="AF136" i="2" l="1"/>
  <c r="AE136" i="2"/>
  <c r="E332" i="1" l="1"/>
  <c r="D332" i="1"/>
  <c r="AB154" i="1"/>
  <c r="F117" i="8"/>
  <c r="E117" i="8"/>
  <c r="G117" i="8" s="1"/>
  <c r="AB332" i="1" l="1"/>
  <c r="F313" i="4" l="1"/>
  <c r="N22" i="8" l="1"/>
  <c r="O22" i="8" s="1"/>
  <c r="P22" i="8" s="1"/>
  <c r="Q22" i="8" s="1"/>
  <c r="AA66" i="2" l="1"/>
  <c r="F66" i="2"/>
  <c r="AK66" i="2" s="1"/>
  <c r="E188" i="1"/>
  <c r="E1336" i="1" s="1"/>
  <c r="D188" i="1"/>
  <c r="D1336" i="1" s="1"/>
  <c r="E127" i="8"/>
  <c r="G127" i="8" s="1"/>
  <c r="H127" i="8"/>
  <c r="AK32" i="2" l="1"/>
  <c r="F10" i="2"/>
  <c r="AK10" i="2" s="1"/>
  <c r="AA135" i="2"/>
  <c r="AA10" i="2"/>
  <c r="W175" i="1" l="1"/>
  <c r="X175" i="1"/>
  <c r="W242" i="1"/>
  <c r="X242" i="1"/>
  <c r="W535" i="1"/>
  <c r="X535" i="1"/>
  <c r="W154" i="1"/>
  <c r="X154" i="1"/>
  <c r="W332" i="1"/>
  <c r="X332" i="1"/>
  <c r="AB451" i="1"/>
  <c r="AB319" i="1"/>
  <c r="C108" i="2"/>
  <c r="AI108" i="2" s="1"/>
  <c r="E199" i="1"/>
  <c r="D199" i="1"/>
  <c r="AB199" i="1"/>
  <c r="F411" i="4" l="1"/>
  <c r="N19" i="8" l="1"/>
  <c r="O19" i="8" s="1"/>
  <c r="P19" i="8" s="1"/>
  <c r="Q19" i="8" s="1"/>
  <c r="AB188" i="1" l="1"/>
  <c r="F108" i="4" l="1"/>
  <c r="F302" i="4"/>
  <c r="F382" i="4"/>
  <c r="F230" i="4"/>
  <c r="F237" i="4"/>
  <c r="F170" i="4"/>
  <c r="E126" i="8" l="1"/>
  <c r="G126" i="8" s="1"/>
  <c r="H126" i="8"/>
  <c r="AB341" i="1" l="1"/>
  <c r="AF137" i="2"/>
  <c r="AE137" i="2"/>
  <c r="E281" i="1" l="1"/>
  <c r="D281" i="1"/>
  <c r="E341" i="1" l="1"/>
  <c r="D341" i="1"/>
  <c r="I1047" i="2"/>
  <c r="K1047" i="2"/>
  <c r="L1047" i="2"/>
  <c r="M1047" i="2"/>
  <c r="N1047" i="2"/>
  <c r="O1047" i="2"/>
  <c r="P1047" i="2"/>
  <c r="Q1047" i="2"/>
  <c r="S1047" i="2"/>
  <c r="T1047" i="2"/>
  <c r="E468" i="1" s="1"/>
  <c r="U1047" i="2"/>
  <c r="X1047" i="2"/>
  <c r="Y1047" i="2"/>
  <c r="I1048" i="2"/>
  <c r="K1048" i="2"/>
  <c r="L1048" i="2"/>
  <c r="M1048" i="2"/>
  <c r="N1048" i="2"/>
  <c r="O1048" i="2"/>
  <c r="P1048" i="2"/>
  <c r="Q1048" i="2"/>
  <c r="S1048" i="2"/>
  <c r="T1048" i="2"/>
  <c r="D468" i="1" s="1"/>
  <c r="U1048" i="2"/>
  <c r="X1048" i="2"/>
  <c r="Y1048" i="2"/>
  <c r="G1047" i="2"/>
  <c r="G1048" i="2"/>
  <c r="F1046" i="2"/>
  <c r="F92" i="2" s="1"/>
  <c r="C1046" i="2"/>
  <c r="AA92" i="2" s="1"/>
  <c r="E1048" i="2" l="1"/>
  <c r="I95" i="9"/>
  <c r="Q95" i="9" s="1"/>
  <c r="F134" i="8" l="1"/>
  <c r="F123" i="8"/>
  <c r="F120" i="8"/>
  <c r="E123" i="8"/>
  <c r="G123" i="8" s="1"/>
  <c r="H123" i="8"/>
  <c r="I789" i="1" l="1"/>
  <c r="H789" i="1"/>
  <c r="I786" i="1"/>
  <c r="H786" i="1"/>
  <c r="E395" i="1" l="1"/>
  <c r="E123" i="1"/>
  <c r="D123" i="1"/>
  <c r="AB120" i="1"/>
  <c r="D395" i="1" l="1"/>
  <c r="AB123" i="1"/>
  <c r="E368" i="1" l="1"/>
  <c r="D368" i="1"/>
  <c r="AB368" i="1"/>
  <c r="F101" i="4" l="1"/>
  <c r="AB159" i="1" l="1"/>
  <c r="F442" i="4"/>
  <c r="F146" i="2"/>
  <c r="AF128" i="2"/>
  <c r="AE128" i="2"/>
  <c r="AF145" i="2"/>
  <c r="AE145" i="2"/>
  <c r="H148" i="2"/>
  <c r="L148" i="2"/>
  <c r="N148" i="2"/>
  <c r="Q148" i="2"/>
  <c r="R148" i="2"/>
  <c r="S148" i="2"/>
  <c r="T148" i="2"/>
  <c r="U148" i="2"/>
  <c r="G148" i="2"/>
  <c r="G147" i="2"/>
  <c r="D147" i="2" s="1"/>
  <c r="C146" i="2"/>
  <c r="AF146" i="2"/>
  <c r="AE146" i="2"/>
  <c r="E148" i="2" l="1"/>
  <c r="AE18" i="2"/>
  <c r="AF18" i="2"/>
  <c r="Q956" i="2"/>
  <c r="E134" i="1" s="1"/>
  <c r="Q957" i="2"/>
  <c r="D134" i="1" s="1"/>
  <c r="E288" i="1"/>
  <c r="D288" i="1"/>
  <c r="H124" i="8"/>
  <c r="E134" i="8"/>
  <c r="G134" i="8" s="1"/>
  <c r="H134" i="8"/>
  <c r="AB288" i="1"/>
  <c r="C18" i="2" l="1"/>
  <c r="AI18" i="2" s="1"/>
  <c r="I80" i="9"/>
  <c r="Q80" i="9" s="1"/>
  <c r="E466" i="1" l="1"/>
  <c r="D466" i="1"/>
  <c r="AB576" i="1" l="1"/>
  <c r="AB279" i="1"/>
  <c r="AB509" i="1" l="1"/>
  <c r="E509" i="1" l="1"/>
  <c r="D509" i="1"/>
  <c r="AB169" i="1" l="1"/>
  <c r="E169" i="1"/>
  <c r="D169" i="1"/>
  <c r="E354" i="1" l="1"/>
  <c r="D354" i="1"/>
  <c r="AB354" i="1"/>
  <c r="R3" i="8"/>
  <c r="E585" i="1"/>
  <c r="D585" i="1"/>
  <c r="AB585" i="1" l="1"/>
  <c r="F22" i="2" l="1"/>
  <c r="AK22" i="2" s="1"/>
  <c r="E423" i="1"/>
  <c r="E201" i="1"/>
  <c r="E53" i="1"/>
  <c r="E315" i="1"/>
  <c r="E417" i="1"/>
  <c r="E324" i="1"/>
  <c r="D423" i="1"/>
  <c r="D533" i="1"/>
  <c r="D554" i="1"/>
  <c r="D201" i="1"/>
  <c r="D53" i="1"/>
  <c r="D315" i="1"/>
  <c r="D417" i="1"/>
  <c r="D324" i="1" l="1"/>
  <c r="E533" i="1"/>
  <c r="E554" i="1"/>
  <c r="AD296" i="10" l="1"/>
  <c r="AC296" i="10"/>
  <c r="AB296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E296" i="10" s="1"/>
  <c r="AD295" i="10"/>
  <c r="AC295" i="10"/>
  <c r="AB295" i="10"/>
  <c r="AA295" i="10"/>
  <c r="Z295" i="10"/>
  <c r="Y295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4" i="10"/>
  <c r="C294" i="10"/>
  <c r="F293" i="10"/>
  <c r="C293" i="10"/>
  <c r="F292" i="10"/>
  <c r="C292" i="10"/>
  <c r="F291" i="10"/>
  <c r="C291" i="10"/>
  <c r="F290" i="10"/>
  <c r="C290" i="10"/>
  <c r="F289" i="10"/>
  <c r="C289" i="10"/>
  <c r="F288" i="10"/>
  <c r="E288" i="10"/>
  <c r="C288" i="10"/>
  <c r="F287" i="10"/>
  <c r="C287" i="10"/>
  <c r="F286" i="10"/>
  <c r="E286" i="10"/>
  <c r="C286" i="10"/>
  <c r="F285" i="10"/>
  <c r="C285" i="10"/>
  <c r="F284" i="10"/>
  <c r="C284" i="10"/>
  <c r="F283" i="10"/>
  <c r="C283" i="10"/>
  <c r="F282" i="10"/>
  <c r="C282" i="10"/>
  <c r="F281" i="10"/>
  <c r="E281" i="10"/>
  <c r="C281" i="10"/>
  <c r="F280" i="10"/>
  <c r="E280" i="10"/>
  <c r="C280" i="10"/>
  <c r="F279" i="10"/>
  <c r="C279" i="10"/>
  <c r="F278" i="10"/>
  <c r="E278" i="10"/>
  <c r="C278" i="10"/>
  <c r="F277" i="10"/>
  <c r="E277" i="10"/>
  <c r="C277" i="10"/>
  <c r="F276" i="10"/>
  <c r="C276" i="10"/>
  <c r="C295" i="10" l="1"/>
  <c r="R1072" i="2"/>
  <c r="E457" i="1" s="1"/>
  <c r="R1073" i="2"/>
  <c r="D457" i="1" s="1"/>
  <c r="E424" i="1" l="1"/>
  <c r="D424" i="1"/>
  <c r="F383" i="4" l="1"/>
  <c r="F387" i="4"/>
  <c r="AB424" i="1"/>
  <c r="G35" i="9" l="1"/>
  <c r="G36" i="9"/>
  <c r="AF135" i="2" l="1"/>
  <c r="AE135" i="2"/>
  <c r="R4" i="8" l="1"/>
  <c r="F256" i="4" l="1"/>
  <c r="F71" i="4"/>
  <c r="F156" i="4" l="1"/>
  <c r="F92" i="4"/>
  <c r="AB280" i="1" l="1"/>
  <c r="E1348" i="1"/>
  <c r="D1348" i="1"/>
  <c r="F79" i="4" l="1"/>
  <c r="E257" i="1"/>
  <c r="D257" i="1"/>
  <c r="AB54" i="1" l="1"/>
  <c r="F22" i="4"/>
  <c r="F135" i="8"/>
  <c r="E149" i="8"/>
  <c r="G149" i="8" s="1"/>
  <c r="H149" i="8"/>
  <c r="E575" i="1" l="1"/>
  <c r="D575" i="1"/>
  <c r="AB42" i="1" l="1"/>
  <c r="H150" i="8" l="1"/>
  <c r="F150" i="8"/>
  <c r="E150" i="8"/>
  <c r="G150" i="8" s="1"/>
  <c r="B294" i="8"/>
  <c r="B293" i="8" s="1"/>
  <c r="AE78" i="2"/>
  <c r="AF78" i="2"/>
  <c r="C78" i="2" l="1"/>
  <c r="AI78" i="2" s="1"/>
  <c r="F1055" i="2" l="1"/>
  <c r="F47" i="4" l="1"/>
  <c r="F1031" i="2" l="1"/>
  <c r="F25" i="2" s="1"/>
  <c r="F1032" i="2"/>
  <c r="F1033" i="2"/>
  <c r="F1034" i="2"/>
  <c r="F1035" i="2"/>
  <c r="F1036" i="2"/>
  <c r="F1038" i="2"/>
  <c r="F1039" i="2"/>
  <c r="F56" i="2" s="1"/>
  <c r="F1041" i="2"/>
  <c r="F61" i="2" s="1"/>
  <c r="F1042" i="2"/>
  <c r="F1043" i="2"/>
  <c r="F75" i="2" s="1"/>
  <c r="AK75" i="2" s="1"/>
  <c r="F1045" i="2"/>
  <c r="F85" i="2" s="1"/>
  <c r="AK85" i="2" s="1"/>
  <c r="K1073" i="2"/>
  <c r="D172" i="1" s="1"/>
  <c r="L1073" i="2"/>
  <c r="D185" i="1" s="1"/>
  <c r="M1073" i="2"/>
  <c r="D227" i="1" s="1"/>
  <c r="N1073" i="2"/>
  <c r="D271" i="1" s="1"/>
  <c r="Q1073" i="2"/>
  <c r="D394" i="1" s="1"/>
  <c r="S1073" i="2"/>
  <c r="D459" i="1" s="1"/>
  <c r="U1073" i="2"/>
  <c r="D512" i="1" s="1"/>
  <c r="V1073" i="2"/>
  <c r="D528" i="1" s="1"/>
  <c r="W1073" i="2"/>
  <c r="D536" i="1" s="1"/>
  <c r="X1073" i="2"/>
  <c r="D583" i="1" s="1"/>
  <c r="G1073" i="2"/>
  <c r="K1072" i="2"/>
  <c r="E172" i="1" s="1"/>
  <c r="L1072" i="2"/>
  <c r="E185" i="1" s="1"/>
  <c r="M1072" i="2"/>
  <c r="E227" i="1" s="1"/>
  <c r="N1072" i="2"/>
  <c r="E271" i="1" s="1"/>
  <c r="Q1072" i="2"/>
  <c r="E394" i="1" s="1"/>
  <c r="S1072" i="2"/>
  <c r="U1072" i="2"/>
  <c r="E512" i="1" s="1"/>
  <c r="V1072" i="2"/>
  <c r="E528" i="1" s="1"/>
  <c r="W1072" i="2"/>
  <c r="E536" i="1" s="1"/>
  <c r="X1072" i="2"/>
  <c r="E583" i="1" s="1"/>
  <c r="E1387" i="1" s="1"/>
  <c r="G1072" i="2"/>
  <c r="E7" i="1" s="1"/>
  <c r="F1056" i="2"/>
  <c r="F1057" i="2"/>
  <c r="F27" i="2" s="1"/>
  <c r="AK27" i="2" s="1"/>
  <c r="F1058" i="2"/>
  <c r="F1059" i="2"/>
  <c r="F1061" i="2"/>
  <c r="F1063" i="2"/>
  <c r="F1064" i="2"/>
  <c r="F59" i="2" s="1"/>
  <c r="AK59" i="2" s="1"/>
  <c r="F1066" i="2"/>
  <c r="F1068" i="2"/>
  <c r="F98" i="2" s="1"/>
  <c r="F1069" i="2"/>
  <c r="F107" i="2" s="1"/>
  <c r="AK107" i="2" s="1"/>
  <c r="F1070" i="2"/>
  <c r="F143" i="2" s="1"/>
  <c r="C1056" i="2"/>
  <c r="AA26" i="2" s="1"/>
  <c r="C1057" i="2"/>
  <c r="AA27" i="2" s="1"/>
  <c r="C1058" i="2"/>
  <c r="C1059" i="2"/>
  <c r="C1061" i="2"/>
  <c r="C1063" i="2"/>
  <c r="C1064" i="2"/>
  <c r="AA59" i="2" s="1"/>
  <c r="C1066" i="2"/>
  <c r="AA65" i="2" s="1"/>
  <c r="C1068" i="2"/>
  <c r="AA98" i="2" s="1"/>
  <c r="C1069" i="2"/>
  <c r="AA107" i="2" s="1"/>
  <c r="C1070" i="2"/>
  <c r="AA143" i="2" s="1"/>
  <c r="D129" i="1"/>
  <c r="D268" i="1"/>
  <c r="D296" i="1"/>
  <c r="D297" i="1"/>
  <c r="D298" i="1"/>
  <c r="D402" i="1"/>
  <c r="D406" i="1"/>
  <c r="D426" i="1"/>
  <c r="D456" i="1"/>
  <c r="D470" i="1"/>
  <c r="D594" i="1"/>
  <c r="D603" i="1"/>
  <c r="E129" i="1"/>
  <c r="E268" i="1"/>
  <c r="E296" i="1"/>
  <c r="E297" i="1"/>
  <c r="E298" i="1"/>
  <c r="E402" i="1"/>
  <c r="E406" i="1"/>
  <c r="E426" i="1"/>
  <c r="E456" i="1"/>
  <c r="E470" i="1"/>
  <c r="E594" i="1"/>
  <c r="E603" i="1"/>
  <c r="E69" i="1"/>
  <c r="F65" i="2" l="1"/>
  <c r="AK65" i="2" s="1"/>
  <c r="F26" i="2"/>
  <c r="C1071" i="2"/>
  <c r="AA110" i="2" s="1"/>
  <c r="F1071" i="2"/>
  <c r="F110" i="2" s="1"/>
  <c r="AK110" i="2" s="1"/>
  <c r="AK98" i="2"/>
  <c r="AK61" i="2"/>
  <c r="C98" i="2"/>
  <c r="AI98" i="2" s="1"/>
  <c r="F37" i="2"/>
  <c r="AK37" i="2" s="1"/>
  <c r="E1073" i="2"/>
  <c r="E460" i="1"/>
  <c r="E459" i="1"/>
  <c r="D69" i="1"/>
  <c r="D7" i="1"/>
  <c r="C1031" i="2"/>
  <c r="AA25" i="2" s="1"/>
  <c r="C1034" i="2"/>
  <c r="C1035" i="2"/>
  <c r="AA37" i="2" s="1"/>
  <c r="C1038" i="2"/>
  <c r="C1039" i="2"/>
  <c r="AA56" i="2" s="1"/>
  <c r="C1043" i="2"/>
  <c r="AA75" i="2" s="1"/>
  <c r="C1045" i="2"/>
  <c r="AA85" i="2" s="1"/>
  <c r="E135" i="8"/>
  <c r="G135" i="8" s="1"/>
  <c r="H135" i="8"/>
  <c r="C1072" i="2" l="1"/>
  <c r="C1047" i="2"/>
  <c r="F112" i="4"/>
  <c r="AB240" i="1" l="1"/>
  <c r="AB395" i="1" l="1"/>
  <c r="F989" i="2"/>
  <c r="C989" i="2"/>
  <c r="AA43" i="2" s="1"/>
  <c r="AB53" i="1" l="1"/>
  <c r="F325" i="4" l="1"/>
  <c r="AB406" i="1"/>
  <c r="AB575" i="1" l="1"/>
  <c r="C125" i="2" l="1"/>
  <c r="AF125" i="2"/>
  <c r="AE125" i="2"/>
  <c r="E1386" i="1" l="1"/>
  <c r="D1386" i="1"/>
  <c r="AB582" i="1"/>
  <c r="R13" i="8"/>
  <c r="N15" i="8"/>
  <c r="O15" i="8" s="1"/>
  <c r="P15" i="8" s="1"/>
  <c r="Q15" i="8" s="1"/>
  <c r="N14" i="8"/>
  <c r="N16" i="8" l="1"/>
  <c r="C129" i="2"/>
  <c r="F129" i="2"/>
  <c r="AF129" i="2"/>
  <c r="AE129" i="2"/>
  <c r="AF14" i="2" l="1"/>
  <c r="AE14" i="2"/>
  <c r="AF13" i="2"/>
  <c r="AE13" i="2"/>
  <c r="C13" i="2" l="1"/>
  <c r="AI13" i="2" s="1"/>
  <c r="AK14" i="2"/>
  <c r="AK13" i="2"/>
  <c r="E460" i="2"/>
  <c r="C14" i="2"/>
  <c r="AI14" i="2" s="1"/>
  <c r="D877" i="2" l="1"/>
  <c r="I1022" i="2"/>
  <c r="E364" i="1" s="1"/>
  <c r="K1022" i="2"/>
  <c r="E409" i="1" s="1"/>
  <c r="L1022" i="2"/>
  <c r="E439" i="1" s="1"/>
  <c r="M1022" i="2"/>
  <c r="E437" i="1" s="1"/>
  <c r="N1022" i="2"/>
  <c r="E505" i="1" s="1"/>
  <c r="O1022" i="2"/>
  <c r="E510" i="1" s="1"/>
  <c r="P1022" i="2"/>
  <c r="E526" i="1" s="1"/>
  <c r="Q1022" i="2"/>
  <c r="E593" i="1" s="1"/>
  <c r="S1022" i="2"/>
  <c r="E586" i="1" s="1"/>
  <c r="T1022" i="2"/>
  <c r="E601" i="1" s="1"/>
  <c r="G1022" i="2"/>
  <c r="E349" i="1" s="1"/>
  <c r="I1023" i="2"/>
  <c r="D364" i="1" s="1"/>
  <c r="K1023" i="2"/>
  <c r="D409" i="1" s="1"/>
  <c r="L1023" i="2"/>
  <c r="D439" i="1" s="1"/>
  <c r="M1023" i="2"/>
  <c r="D437" i="1" s="1"/>
  <c r="N1023" i="2"/>
  <c r="D505" i="1" s="1"/>
  <c r="O1023" i="2"/>
  <c r="D510" i="1" s="1"/>
  <c r="P1023" i="2"/>
  <c r="D526" i="1" s="1"/>
  <c r="Q1023" i="2"/>
  <c r="D593" i="1" s="1"/>
  <c r="S1023" i="2"/>
  <c r="D586" i="1" s="1"/>
  <c r="T1023" i="2"/>
  <c r="D601" i="1" s="1"/>
  <c r="G1023" i="2"/>
  <c r="E1023" i="2" l="1"/>
  <c r="D349" i="1"/>
  <c r="D1387" i="1"/>
  <c r="AB554" i="1"/>
  <c r="AB320" i="1"/>
  <c r="E320" i="1"/>
  <c r="D320" i="1"/>
  <c r="F396" i="4"/>
  <c r="F347" i="4"/>
  <c r="AB584" i="1"/>
  <c r="C43" i="2" l="1"/>
  <c r="AI43" i="2" s="1"/>
  <c r="F152" i="4"/>
  <c r="D492" i="1" l="1"/>
  <c r="AB492" i="1"/>
  <c r="F122" i="8"/>
  <c r="F121" i="8"/>
  <c r="F119" i="8"/>
  <c r="F118" i="8"/>
  <c r="F115" i="8"/>
  <c r="F112" i="8"/>
  <c r="F109" i="8"/>
  <c r="E492" i="1" l="1"/>
  <c r="E497" i="1"/>
  <c r="F1082" i="2"/>
  <c r="F1083" i="2"/>
  <c r="C1082" i="2"/>
  <c r="C1083" i="2"/>
  <c r="E211" i="1"/>
  <c r="D211" i="1"/>
  <c r="AB211" i="1"/>
  <c r="E484" i="1" l="1"/>
  <c r="D484" i="1"/>
  <c r="AB484" i="1" l="1"/>
  <c r="AB405" i="1" l="1"/>
  <c r="W451" i="1" l="1"/>
  <c r="X451" i="1"/>
  <c r="W319" i="1"/>
  <c r="X319" i="1"/>
  <c r="W199" i="1"/>
  <c r="X199" i="1"/>
  <c r="W188" i="1"/>
  <c r="X188" i="1"/>
  <c r="X341" i="1"/>
  <c r="W341" i="1"/>
  <c r="X468" i="1"/>
  <c r="W468" i="1"/>
  <c r="W120" i="1"/>
  <c r="X120" i="1"/>
  <c r="X123" i="1"/>
  <c r="W123" i="1"/>
  <c r="W368" i="1"/>
  <c r="X368" i="1"/>
  <c r="W159" i="1"/>
  <c r="X159" i="1"/>
  <c r="W288" i="1"/>
  <c r="X288" i="1"/>
  <c r="W466" i="1"/>
  <c r="X466" i="1"/>
  <c r="X576" i="1"/>
  <c r="W576" i="1"/>
  <c r="W279" i="1"/>
  <c r="X279" i="1"/>
  <c r="W509" i="1"/>
  <c r="X509" i="1"/>
  <c r="X169" i="1"/>
  <c r="W169" i="1"/>
  <c r="W354" i="1"/>
  <c r="X354" i="1"/>
  <c r="W585" i="1"/>
  <c r="X585" i="1"/>
  <c r="X424" i="1"/>
  <c r="W424" i="1"/>
  <c r="W280" i="1"/>
  <c r="X280" i="1"/>
  <c r="W54" i="1"/>
  <c r="X54" i="1"/>
  <c r="W42" i="1"/>
  <c r="X42" i="1"/>
  <c r="W240" i="1"/>
  <c r="X240" i="1"/>
  <c r="W395" i="1"/>
  <c r="X395" i="1"/>
  <c r="X53" i="1"/>
  <c r="W53" i="1"/>
  <c r="W406" i="1"/>
  <c r="X406" i="1"/>
  <c r="W575" i="1"/>
  <c r="X575" i="1"/>
  <c r="X582" i="1"/>
  <c r="W582" i="1"/>
  <c r="W554" i="1"/>
  <c r="X554" i="1"/>
  <c r="W320" i="1"/>
  <c r="X320" i="1"/>
  <c r="W584" i="1"/>
  <c r="X584" i="1"/>
  <c r="W492" i="1"/>
  <c r="X492" i="1"/>
  <c r="W211" i="1"/>
  <c r="X211" i="1"/>
  <c r="W484" i="1"/>
  <c r="X484" i="1"/>
  <c r="O14" i="8"/>
  <c r="O16" i="8" s="1"/>
  <c r="R12" i="8"/>
  <c r="P14" i="8" l="1"/>
  <c r="AF131" i="2"/>
  <c r="AE131" i="2"/>
  <c r="P16" i="8" l="1"/>
  <c r="Q14" i="8"/>
  <c r="Q16" i="8" s="1"/>
  <c r="C42" i="11"/>
  <c r="Y49" i="11"/>
  <c r="F243" i="4" l="1"/>
  <c r="E121" i="8" l="1"/>
  <c r="G121" i="8" s="1"/>
  <c r="H121" i="8"/>
  <c r="D460" i="1"/>
  <c r="AB598" i="1" l="1"/>
  <c r="N617" i="1" l="1"/>
  <c r="AB296" i="1"/>
  <c r="E119" i="8"/>
  <c r="G119" i="8" s="1"/>
  <c r="H119" i="8"/>
  <c r="W405" i="1" l="1"/>
  <c r="X405" i="1"/>
  <c r="W464" i="1"/>
  <c r="X464" i="1"/>
  <c r="X598" i="1"/>
  <c r="W598" i="1"/>
  <c r="F337" i="4" l="1"/>
  <c r="AF115" i="2" l="1"/>
  <c r="AE115" i="2"/>
  <c r="F115" i="2"/>
  <c r="C115" i="2"/>
  <c r="C138" i="2" l="1"/>
  <c r="F138" i="2"/>
  <c r="AF138" i="2"/>
  <c r="AE138" i="2"/>
  <c r="AF122" i="2"/>
  <c r="AE122" i="2"/>
  <c r="AF124" i="2" l="1"/>
  <c r="AE124" i="2"/>
  <c r="AF134" i="2"/>
  <c r="AE134" i="2"/>
  <c r="AF143" i="2" l="1"/>
  <c r="AE143" i="2"/>
  <c r="AF114" i="2"/>
  <c r="AE114" i="2"/>
  <c r="F114" i="2"/>
  <c r="C114" i="2"/>
  <c r="AF113" i="2"/>
  <c r="AE113" i="2"/>
  <c r="F113" i="2"/>
  <c r="C113" i="2"/>
  <c r="AF119" i="2" l="1"/>
  <c r="AE119" i="2"/>
  <c r="AF118" i="2"/>
  <c r="AE118" i="2"/>
  <c r="R11" i="8" l="1"/>
  <c r="AB344" i="1" l="1"/>
  <c r="R10" i="8" l="1"/>
  <c r="E237" i="1" l="1"/>
  <c r="D237" i="1"/>
  <c r="E120" i="8" l="1"/>
  <c r="G120" i="8" s="1"/>
  <c r="E35" i="1" l="1"/>
  <c r="D35" i="1"/>
  <c r="E313" i="1"/>
  <c r="D313" i="1"/>
  <c r="AB313" i="1"/>
  <c r="AF58" i="2" l="1"/>
  <c r="AE58" i="2"/>
  <c r="C58" i="2" l="1"/>
  <c r="AI58" i="2" s="1"/>
  <c r="F160" i="4"/>
  <c r="AB453" i="1" l="1"/>
  <c r="R6" i="8" l="1"/>
  <c r="R7" i="8"/>
  <c r="R8" i="8"/>
  <c r="R9" i="8"/>
  <c r="R5" i="8"/>
  <c r="F348" i="4" l="1"/>
  <c r="F351" i="4"/>
  <c r="F352" i="4"/>
  <c r="F353" i="4"/>
  <c r="F354" i="4"/>
  <c r="F355" i="4"/>
  <c r="AB470" i="1"/>
  <c r="AB333" i="1" l="1"/>
  <c r="AB457" i="1" l="1"/>
  <c r="D952" i="12" l="1"/>
  <c r="D953" i="12" s="1"/>
  <c r="D954" i="12" s="1"/>
  <c r="D955" i="12" s="1"/>
  <c r="D956" i="12" s="1"/>
  <c r="D957" i="12" s="1"/>
  <c r="D958" i="12" s="1"/>
  <c r="D959" i="12" s="1"/>
  <c r="D960" i="12" s="1"/>
  <c r="D961" i="12" s="1"/>
  <c r="D962" i="12" s="1"/>
  <c r="D963" i="12" s="1"/>
  <c r="D964" i="12" s="1"/>
  <c r="D965" i="12" s="1"/>
  <c r="D966" i="12" s="1"/>
  <c r="D967" i="12" s="1"/>
  <c r="D968" i="12" s="1"/>
  <c r="D969" i="12" s="1"/>
  <c r="D970" i="12" s="1"/>
  <c r="D971" i="12" s="1"/>
  <c r="D972" i="12" s="1"/>
  <c r="D973" i="12" s="1"/>
  <c r="D974" i="12" s="1"/>
  <c r="D975" i="12" s="1"/>
  <c r="D976" i="12" s="1"/>
  <c r="D977" i="12" s="1"/>
  <c r="D978" i="12" s="1"/>
  <c r="D979" i="12" s="1"/>
  <c r="D980" i="12" s="1"/>
  <c r="D981" i="12" s="1"/>
  <c r="D982" i="12" s="1"/>
  <c r="D983" i="12" s="1"/>
  <c r="D984" i="12" s="1"/>
  <c r="D985" i="12" s="1"/>
  <c r="D986" i="12" s="1"/>
  <c r="D987" i="12" s="1"/>
  <c r="D988" i="12" s="1"/>
  <c r="D989" i="12" s="1"/>
  <c r="D990" i="12" s="1"/>
  <c r="D991" i="12" s="1"/>
  <c r="D992" i="12" s="1"/>
  <c r="D993" i="12" s="1"/>
  <c r="D994" i="12" s="1"/>
  <c r="D995" i="12" s="1"/>
  <c r="D996" i="12" s="1"/>
  <c r="D997" i="12" s="1"/>
  <c r="D998" i="12" s="1"/>
  <c r="D999" i="12" s="1"/>
  <c r="D1000" i="12" s="1"/>
  <c r="D1001" i="12" s="1"/>
  <c r="D1002" i="12" s="1"/>
  <c r="D1003" i="12" s="1"/>
  <c r="D1004" i="12" s="1"/>
  <c r="D1005" i="12" s="1"/>
  <c r="D1006" i="12" s="1"/>
  <c r="D1007" i="12" s="1"/>
  <c r="D1008" i="12" s="1"/>
  <c r="D1009" i="12" s="1"/>
  <c r="D1010" i="12" s="1"/>
  <c r="D1011" i="12" s="1"/>
  <c r="D1012" i="12" s="1"/>
  <c r="D1013" i="12" s="1"/>
  <c r="D1014" i="12" s="1"/>
  <c r="D1015" i="12" s="1"/>
  <c r="D1016" i="12" s="1"/>
  <c r="D1017" i="12" s="1"/>
  <c r="D1018" i="12" s="1"/>
  <c r="D1019" i="12" s="1"/>
  <c r="D1020" i="12" s="1"/>
  <c r="D1021" i="12" s="1"/>
  <c r="D1022" i="12" s="1"/>
  <c r="D1023" i="12" s="1"/>
  <c r="D1024" i="12" s="1"/>
  <c r="D1025" i="12" s="1"/>
  <c r="D1026" i="12" s="1"/>
  <c r="D1027" i="12" s="1"/>
  <c r="D1028" i="12" s="1"/>
  <c r="D1029" i="12" s="1"/>
  <c r="D1030" i="12" s="1"/>
  <c r="D1031" i="12" s="1"/>
  <c r="D1032" i="12" s="1"/>
  <c r="D1033" i="12" s="1"/>
  <c r="D1034" i="12" s="1"/>
  <c r="D1035" i="12" s="1"/>
  <c r="D1036" i="12" s="1"/>
  <c r="D1037" i="12" s="1"/>
  <c r="D1038" i="12" s="1"/>
  <c r="D1039" i="12" s="1"/>
  <c r="D1040" i="12" s="1"/>
  <c r="D1041" i="12" s="1"/>
  <c r="D1042" i="12" s="1"/>
  <c r="D1043" i="12" s="1"/>
  <c r="D1044" i="12" s="1"/>
  <c r="D1045" i="12" s="1"/>
  <c r="D1046" i="12" s="1"/>
  <c r="D1047" i="12" s="1"/>
  <c r="D1048" i="12" s="1"/>
  <c r="D1049" i="12" s="1"/>
  <c r="D1050" i="12" s="1"/>
  <c r="D1051" i="12" s="1"/>
  <c r="D1052" i="12" s="1"/>
  <c r="D1053" i="12" s="1"/>
  <c r="D1054" i="12" s="1"/>
  <c r="D1055" i="12" s="1"/>
  <c r="D1056" i="12" s="1"/>
  <c r="D1057" i="12" s="1"/>
  <c r="D1058" i="12" s="1"/>
  <c r="D1059" i="12" s="1"/>
  <c r="D1060" i="12" s="1"/>
  <c r="D1061" i="12" s="1"/>
  <c r="D1062" i="12" s="1"/>
  <c r="D1063" i="12" s="1"/>
  <c r="D1064" i="12" s="1"/>
  <c r="D1065" i="12" s="1"/>
  <c r="D1066" i="12" s="1"/>
  <c r="D1067" i="12" s="1"/>
  <c r="D1068" i="12" s="1"/>
  <c r="D1069" i="12" s="1"/>
  <c r="D1070" i="12" s="1"/>
  <c r="D1071" i="12" s="1"/>
  <c r="D1072" i="12" s="1"/>
  <c r="D1073" i="12" s="1"/>
  <c r="D1074" i="12" s="1"/>
  <c r="D1075" i="12" s="1"/>
  <c r="D1076" i="12" s="1"/>
  <c r="D1077" i="12" s="1"/>
  <c r="D1078" i="12" s="1"/>
  <c r="D1079" i="12" s="1"/>
  <c r="D1080" i="12" s="1"/>
  <c r="D1081" i="12" s="1"/>
  <c r="D1082" i="12" s="1"/>
  <c r="D1083" i="12" s="1"/>
  <c r="D1084" i="12" s="1"/>
  <c r="D1085" i="12" s="1"/>
  <c r="D1086" i="12" s="1"/>
  <c r="D1087" i="12" s="1"/>
  <c r="D1088" i="12" s="1"/>
  <c r="D1089" i="12" s="1"/>
  <c r="D1090" i="12" s="1"/>
  <c r="D1091" i="12" s="1"/>
  <c r="D1092" i="12" s="1"/>
  <c r="D1093" i="12" s="1"/>
  <c r="D1094" i="12" s="1"/>
  <c r="D1095" i="12" s="1"/>
  <c r="D1096" i="12" s="1"/>
  <c r="D1097" i="12" s="1"/>
  <c r="D1098" i="12" s="1"/>
  <c r="D1099" i="12" s="1"/>
  <c r="D1100" i="12" s="1"/>
  <c r="D1101" i="12" s="1"/>
  <c r="D1102" i="12" s="1"/>
  <c r="D1103" i="12" s="1"/>
  <c r="D1104" i="12" s="1"/>
  <c r="D1105" i="12" s="1"/>
  <c r="D1106" i="12" s="1"/>
  <c r="D1107" i="12" s="1"/>
  <c r="D1108" i="12" s="1"/>
  <c r="D1109" i="12" s="1"/>
  <c r="D1110" i="12" s="1"/>
  <c r="D1111" i="12" s="1"/>
  <c r="D1112" i="12" s="1"/>
  <c r="D1113" i="12" s="1"/>
  <c r="D1114" i="12" s="1"/>
  <c r="D1115" i="12" s="1"/>
  <c r="D1116" i="12" s="1"/>
  <c r="D1117" i="12" s="1"/>
  <c r="D1118" i="12" s="1"/>
  <c r="D1119" i="12" s="1"/>
  <c r="D1120" i="12" s="1"/>
  <c r="D1121" i="12" s="1"/>
  <c r="D1122" i="12" s="1"/>
  <c r="D1123" i="12" s="1"/>
  <c r="D1124" i="12" s="1"/>
  <c r="D1125" i="12" s="1"/>
  <c r="D1126" i="12" s="1"/>
  <c r="D1127" i="12" s="1"/>
  <c r="D1128" i="12" s="1"/>
  <c r="D1129" i="12" s="1"/>
  <c r="D1130" i="12" s="1"/>
  <c r="D1131" i="12" s="1"/>
  <c r="D1132" i="12" s="1"/>
  <c r="D1133" i="12" s="1"/>
  <c r="D1134" i="12" s="1"/>
  <c r="D1135" i="12" s="1"/>
  <c r="D1136" i="12" s="1"/>
  <c r="D1137" i="12" s="1"/>
  <c r="D1138" i="12" s="1"/>
  <c r="D1139" i="12" s="1"/>
  <c r="D1140" i="12" s="1"/>
  <c r="D1141" i="12" s="1"/>
  <c r="D1142" i="12" s="1"/>
  <c r="D1143" i="12" s="1"/>
  <c r="D1144" i="12" s="1"/>
  <c r="D1145" i="12" s="1"/>
  <c r="D1146" i="12" s="1"/>
  <c r="D1147" i="12" s="1"/>
  <c r="D1148" i="12" s="1"/>
  <c r="D1149" i="12" s="1"/>
  <c r="D1150" i="12" s="1"/>
  <c r="D1151" i="12" s="1"/>
  <c r="D1152" i="12" s="1"/>
  <c r="D1153" i="12" s="1"/>
  <c r="D1154" i="12" s="1"/>
  <c r="D1155" i="12" s="1"/>
  <c r="D1156" i="12" s="1"/>
  <c r="D1157" i="12" s="1"/>
  <c r="D1158" i="12" s="1"/>
  <c r="D1159" i="12" s="1"/>
  <c r="D1160" i="12" s="1"/>
  <c r="D1161" i="12" s="1"/>
  <c r="D1162" i="12" s="1"/>
  <c r="D1163" i="12" s="1"/>
  <c r="D1164" i="12" s="1"/>
  <c r="D1165" i="12" s="1"/>
  <c r="D1166" i="12" s="1"/>
  <c r="F421" i="4" l="1"/>
  <c r="C35" i="8" l="1"/>
  <c r="C36" i="8"/>
  <c r="D34" i="8"/>
  <c r="G1086" i="2" l="1"/>
  <c r="E43" i="1" s="1"/>
  <c r="G1087" i="2"/>
  <c r="D43" i="1" l="1"/>
  <c r="E966" i="2" l="1"/>
  <c r="F43" i="2" s="1"/>
  <c r="AA12" i="2"/>
  <c r="AB237" i="1"/>
  <c r="AK43" i="2" l="1"/>
  <c r="D491" i="1"/>
  <c r="D473" i="1"/>
  <c r="D467" i="1"/>
  <c r="D432" i="1"/>
  <c r="D403" i="1"/>
  <c r="D367" i="1"/>
  <c r="D361" i="1"/>
  <c r="D360" i="1"/>
  <c r="D342" i="1"/>
  <c r="E491" i="1"/>
  <c r="E473" i="1"/>
  <c r="E467" i="1"/>
  <c r="E432" i="1"/>
  <c r="E403" i="1"/>
  <c r="E367" i="1"/>
  <c r="E361" i="1"/>
  <c r="E360" i="1"/>
  <c r="E342" i="1"/>
  <c r="E330" i="1"/>
  <c r="D330" i="1" l="1"/>
  <c r="AB43" i="1"/>
  <c r="F1081" i="2"/>
  <c r="E1080" i="2"/>
  <c r="C1081" i="2"/>
  <c r="C1085" i="2"/>
  <c r="C1080" i="2"/>
  <c r="F1085" i="2"/>
  <c r="F1080" i="2"/>
  <c r="F414" i="4"/>
  <c r="AA145" i="2" l="1"/>
  <c r="C145" i="2" s="1"/>
  <c r="AA128" i="2"/>
  <c r="C128" i="2" s="1"/>
  <c r="C1086" i="2"/>
  <c r="F128" i="2"/>
  <c r="F56" i="4"/>
  <c r="F277" i="4"/>
  <c r="F276" i="4"/>
  <c r="F271" i="4"/>
  <c r="H36" i="8" l="1"/>
  <c r="H34" i="8"/>
  <c r="H35" i="8" s="1"/>
  <c r="E1352" i="1" l="1"/>
  <c r="D1352" i="1"/>
  <c r="AB47" i="1"/>
  <c r="J956" i="2" l="1"/>
  <c r="E47" i="1" s="1"/>
  <c r="J957" i="2"/>
  <c r="D47" i="1" s="1"/>
  <c r="F26" i="4" l="1"/>
  <c r="AB29" i="1" l="1"/>
  <c r="F336" i="4"/>
  <c r="C83" i="2" l="1"/>
  <c r="AI83" i="2" s="1"/>
  <c r="AF83" i="2"/>
  <c r="AE83" i="2"/>
  <c r="C29" i="2" l="1"/>
  <c r="AI29" i="2" s="1"/>
  <c r="E1342" i="1"/>
  <c r="D1342" i="1"/>
  <c r="AF22" i="2"/>
  <c r="AE22" i="2"/>
  <c r="AB246" i="1" l="1"/>
  <c r="C33" i="11" l="1"/>
  <c r="E93" i="1" l="1"/>
  <c r="D93" i="1"/>
  <c r="AB93" i="1" l="1"/>
  <c r="AA41" i="2" l="1"/>
  <c r="AB215" i="1" l="1"/>
  <c r="AB533" i="1"/>
  <c r="F51" i="2"/>
  <c r="AA51" i="2"/>
  <c r="AA102" i="2"/>
  <c r="E308" i="1"/>
  <c r="E252" i="1"/>
  <c r="D308" i="1"/>
  <c r="AB259" i="1"/>
  <c r="F41" i="2" l="1"/>
  <c r="AK41" i="2" s="1"/>
  <c r="AK100" i="2"/>
  <c r="C744" i="2"/>
  <c r="AK92" i="2"/>
  <c r="F102" i="2"/>
  <c r="AK102" i="2" s="1"/>
  <c r="AK51" i="2"/>
  <c r="AK56" i="2"/>
  <c r="C26" i="2"/>
  <c r="AI26" i="2" s="1"/>
  <c r="C102" i="2"/>
  <c r="D252" i="1"/>
  <c r="E480" i="1"/>
  <c r="D480" i="1"/>
  <c r="AB298" i="1"/>
  <c r="AB426" i="1"/>
  <c r="M1602" i="16"/>
  <c r="M1115" i="16"/>
  <c r="M1053" i="16"/>
  <c r="M899" i="16"/>
  <c r="M568" i="16"/>
  <c r="M223" i="16"/>
  <c r="AI102" i="2" l="1"/>
  <c r="D18" i="18"/>
  <c r="G18" i="18" s="1"/>
  <c r="C877" i="2"/>
  <c r="AB324" i="1"/>
  <c r="F80" i="4" l="1"/>
  <c r="C90" i="2" l="1"/>
  <c r="AI90" i="2" s="1"/>
  <c r="AF90" i="2"/>
  <c r="AE90" i="2"/>
  <c r="AB172" i="1" l="1"/>
  <c r="F12" i="2" l="1"/>
  <c r="AK12" i="2" s="1"/>
  <c r="AB473" i="1"/>
  <c r="F183" i="4" l="1"/>
  <c r="H773" i="1" l="1"/>
  <c r="I773" i="1"/>
  <c r="H774" i="1"/>
  <c r="I774" i="1"/>
  <c r="H775" i="1"/>
  <c r="I775" i="1"/>
  <c r="H776" i="1"/>
  <c r="I776" i="1"/>
  <c r="H777" i="1"/>
  <c r="I777" i="1"/>
  <c r="H778" i="1"/>
  <c r="I778" i="1"/>
  <c r="H779" i="1"/>
  <c r="I779" i="1"/>
  <c r="H780" i="1"/>
  <c r="I780" i="1"/>
  <c r="H781" i="1"/>
  <c r="I781" i="1"/>
  <c r="H782" i="1"/>
  <c r="I782" i="1"/>
  <c r="H784" i="1"/>
  <c r="I784" i="1"/>
  <c r="H785" i="1"/>
  <c r="I785" i="1"/>
  <c r="H787" i="1"/>
  <c r="I787" i="1"/>
  <c r="H788" i="1"/>
  <c r="I788" i="1"/>
  <c r="H792" i="1"/>
  <c r="I792" i="1"/>
  <c r="H795" i="1"/>
  <c r="I795" i="1"/>
  <c r="H796" i="1"/>
  <c r="I796" i="1"/>
  <c r="H797" i="1"/>
  <c r="I797" i="1"/>
  <c r="H798" i="1"/>
  <c r="I798" i="1"/>
  <c r="F773" i="1"/>
  <c r="G773" i="1"/>
  <c r="F774" i="1"/>
  <c r="G774" i="1"/>
  <c r="F775" i="1"/>
  <c r="G775" i="1"/>
  <c r="F776" i="1"/>
  <c r="G776" i="1"/>
  <c r="F777" i="1"/>
  <c r="G777" i="1"/>
  <c r="F778" i="1"/>
  <c r="G778" i="1"/>
  <c r="F779" i="1"/>
  <c r="G779" i="1"/>
  <c r="F780" i="1"/>
  <c r="G780" i="1"/>
  <c r="F781" i="1"/>
  <c r="G781" i="1"/>
  <c r="F782" i="1"/>
  <c r="G782" i="1"/>
  <c r="F784" i="1"/>
  <c r="G784" i="1"/>
  <c r="F785" i="1"/>
  <c r="G785" i="1"/>
  <c r="F786" i="1"/>
  <c r="G786" i="1"/>
  <c r="F787" i="1"/>
  <c r="G787" i="1"/>
  <c r="F788" i="1"/>
  <c r="G788" i="1"/>
  <c r="F789" i="1"/>
  <c r="G789" i="1"/>
  <c r="F792" i="1"/>
  <c r="G792" i="1"/>
  <c r="F795" i="1"/>
  <c r="G795" i="1"/>
  <c r="F796" i="1"/>
  <c r="G796" i="1"/>
  <c r="F797" i="1"/>
  <c r="G797" i="1"/>
  <c r="F798" i="1"/>
  <c r="G798" i="1"/>
  <c r="C798" i="1"/>
  <c r="C797" i="1"/>
  <c r="C796" i="1"/>
  <c r="C795" i="1"/>
  <c r="C792" i="1"/>
  <c r="C789" i="1"/>
  <c r="C788" i="1"/>
  <c r="C787" i="1"/>
  <c r="C786" i="1"/>
  <c r="C785" i="1"/>
  <c r="C784" i="1"/>
  <c r="C782" i="1"/>
  <c r="C781" i="1"/>
  <c r="C780" i="1"/>
  <c r="C779" i="1"/>
  <c r="C778" i="1"/>
  <c r="C777" i="1"/>
  <c r="C776" i="1"/>
  <c r="C775" i="1"/>
  <c r="C774" i="1"/>
  <c r="C773" i="1"/>
  <c r="L1086" i="2" l="1"/>
  <c r="E434" i="1" s="1"/>
  <c r="L1087" i="2"/>
  <c r="D434" i="1" s="1"/>
  <c r="AB434" i="1" l="1"/>
  <c r="F221" i="4" l="1"/>
  <c r="F191" i="4"/>
  <c r="AB35" i="1" l="1"/>
  <c r="AB490" i="1" l="1"/>
  <c r="E1320" i="1" l="1"/>
  <c r="D1320" i="1"/>
  <c r="D340" i="1" l="1"/>
  <c r="D422" i="1"/>
  <c r="D88" i="1"/>
  <c r="D776" i="1" s="1"/>
  <c r="D778" i="1"/>
  <c r="D254" i="1"/>
  <c r="D401" i="1"/>
  <c r="D786" i="1" s="1"/>
  <c r="D408" i="1"/>
  <c r="D797" i="1"/>
  <c r="D27" i="1"/>
  <c r="D79" i="1"/>
  <c r="D51" i="1"/>
  <c r="D182" i="1"/>
  <c r="D207" i="1"/>
  <c r="D256" i="1"/>
  <c r="D374" i="1"/>
  <c r="D407" i="1"/>
  <c r="D412" i="1"/>
  <c r="D420" i="1"/>
  <c r="D441" i="1"/>
  <c r="D445" i="1"/>
  <c r="D513" i="1"/>
  <c r="D560" i="1"/>
  <c r="D568" i="1"/>
  <c r="D775" i="1"/>
  <c r="D777" i="1"/>
  <c r="D152" i="1"/>
  <c r="D1334" i="1" s="1"/>
  <c r="D255" i="1"/>
  <c r="D1355" i="1"/>
  <c r="D506" i="1"/>
  <c r="D1313" i="1"/>
  <c r="D1316" i="1"/>
  <c r="D1319" i="1"/>
  <c r="D1317" i="1"/>
  <c r="D1322" i="1"/>
  <c r="D62" i="1"/>
  <c r="D1324" i="1" s="1"/>
  <c r="D1327" i="1"/>
  <c r="D1329" i="1"/>
  <c r="D110" i="1"/>
  <c r="D1330" i="1" s="1"/>
  <c r="D1332" i="1"/>
  <c r="D190" i="1"/>
  <c r="D1337" i="1" s="1"/>
  <c r="D1358" i="1"/>
  <c r="D1360" i="1"/>
  <c r="D1362" i="1"/>
  <c r="D1365" i="1"/>
  <c r="D1364" i="1"/>
  <c r="D1367" i="1"/>
  <c r="D1370" i="1"/>
  <c r="D1373" i="1"/>
  <c r="D1376" i="1"/>
  <c r="D1380" i="1"/>
  <c r="D1381" i="1"/>
  <c r="D1379" i="1"/>
  <c r="D1382" i="1"/>
  <c r="D1383" i="1"/>
  <c r="D1384" i="1"/>
  <c r="D1388" i="1"/>
  <c r="D514" i="1"/>
  <c r="D532" i="1"/>
  <c r="D247" i="1"/>
  <c r="D274" i="1"/>
  <c r="D267" i="1"/>
  <c r="D508" i="1"/>
  <c r="D544" i="1"/>
  <c r="D346" i="1"/>
  <c r="D197" i="1"/>
  <c r="D416" i="1"/>
  <c r="D521" i="1"/>
  <c r="D555" i="1"/>
  <c r="D81" i="1"/>
  <c r="D137" i="1"/>
  <c r="D317" i="1"/>
  <c r="D425" i="1"/>
  <c r="D566" i="1"/>
  <c r="D592" i="1"/>
  <c r="I957" i="2"/>
  <c r="L957" i="2"/>
  <c r="D74" i="1" s="1"/>
  <c r="M957" i="2"/>
  <c r="D72" i="1" s="1"/>
  <c r="R957" i="2"/>
  <c r="D131" i="1" s="1"/>
  <c r="S957" i="2"/>
  <c r="D127" i="1" s="1"/>
  <c r="T957" i="2"/>
  <c r="D155" i="1" s="1"/>
  <c r="D216" i="1"/>
  <c r="D314" i="1"/>
  <c r="D70" i="1"/>
  <c r="D86" i="1"/>
  <c r="D99" i="1"/>
  <c r="D106" i="1"/>
  <c r="D130" i="1"/>
  <c r="D135" i="1"/>
  <c r="D145" i="1"/>
  <c r="D160" i="1"/>
  <c r="D198" i="1"/>
  <c r="D205" i="1"/>
  <c r="I1087" i="2"/>
  <c r="J1087" i="2"/>
  <c r="D410" i="1" s="1"/>
  <c r="K1087" i="2"/>
  <c r="D325" i="1" s="1"/>
  <c r="M1087" i="2"/>
  <c r="D561" i="1" s="1"/>
  <c r="D8" i="1"/>
  <c r="D67" i="1"/>
  <c r="D133" i="1"/>
  <c r="D148" i="1"/>
  <c r="D225" i="1"/>
  <c r="D380" i="1"/>
  <c r="D382" i="1"/>
  <c r="D450" i="1"/>
  <c r="D519" i="1"/>
  <c r="D415" i="1"/>
  <c r="D418" i="1"/>
  <c r="D541" i="1"/>
  <c r="D23" i="1"/>
  <c r="D164" i="1"/>
  <c r="D285" i="1"/>
  <c r="D260" i="1"/>
  <c r="D577" i="1"/>
  <c r="D338" i="1"/>
  <c r="D118" i="1"/>
  <c r="D465" i="1"/>
  <c r="D400" i="1"/>
  <c r="D1340" i="1"/>
  <c r="D1346" i="1"/>
  <c r="D1344" i="1"/>
  <c r="D1331" i="1"/>
  <c r="D1351" i="1"/>
  <c r="D1361" i="1"/>
  <c r="D1354" i="1"/>
  <c r="D1353" i="1"/>
  <c r="E30" i="1"/>
  <c r="D30" i="1"/>
  <c r="F998" i="2"/>
  <c r="C997" i="2"/>
  <c r="AA87" i="2" s="1"/>
  <c r="AB30" i="1"/>
  <c r="I6" i="5"/>
  <c r="I7" i="5" s="1"/>
  <c r="I8" i="5" s="1"/>
  <c r="I9" i="5" s="1"/>
  <c r="I10" i="5" s="1"/>
  <c r="I11" i="5" s="1"/>
  <c r="I12" i="5" s="1"/>
  <c r="I13" i="5" s="1"/>
  <c r="I14" i="5" s="1"/>
  <c r="I15" i="5" s="1"/>
  <c r="I16" i="5" s="1"/>
  <c r="I17" i="5" s="1"/>
  <c r="E115" i="8"/>
  <c r="G115" i="8" s="1"/>
  <c r="F122" i="2"/>
  <c r="E314" i="1"/>
  <c r="E1370" i="1"/>
  <c r="E1353" i="1"/>
  <c r="E1354" i="1"/>
  <c r="E1361" i="1"/>
  <c r="AB435" i="1"/>
  <c r="AB314" i="1"/>
  <c r="AB480" i="1"/>
  <c r="C9" i="2"/>
  <c r="AI9" i="2" s="1"/>
  <c r="C982" i="2"/>
  <c r="AA23" i="2" s="1"/>
  <c r="C27" i="2"/>
  <c r="AI27" i="2" s="1"/>
  <c r="C985" i="2"/>
  <c r="AA118" i="2" s="1"/>
  <c r="C986" i="2"/>
  <c r="AA119" i="2" s="1"/>
  <c r="C987" i="2"/>
  <c r="AA36" i="2" s="1"/>
  <c r="C38" i="2"/>
  <c r="AI38" i="2" s="1"/>
  <c r="C42" i="2"/>
  <c r="AI42" i="2" s="1"/>
  <c r="C45" i="2"/>
  <c r="AI45" i="2" s="1"/>
  <c r="C990" i="2"/>
  <c r="AA46" i="2" s="1"/>
  <c r="C47" i="2"/>
  <c r="AI47" i="2" s="1"/>
  <c r="C48" i="2"/>
  <c r="AI48" i="2" s="1"/>
  <c r="AI49" i="2"/>
  <c r="C50" i="2"/>
  <c r="AI50" i="2" s="1"/>
  <c r="C124" i="2"/>
  <c r="C57" i="2"/>
  <c r="AI57" i="2" s="1"/>
  <c r="C993" i="2"/>
  <c r="AA62" i="2" s="1"/>
  <c r="C68" i="2"/>
  <c r="AI68" i="2" s="1"/>
  <c r="C76" i="2"/>
  <c r="AI76" i="2" s="1"/>
  <c r="C995" i="2"/>
  <c r="AA134" i="2" s="1"/>
  <c r="C996" i="2"/>
  <c r="C86" i="2"/>
  <c r="AI86" i="2" s="1"/>
  <c r="C998" i="2"/>
  <c r="C93" i="2"/>
  <c r="AI93" i="2" s="1"/>
  <c r="C105" i="2"/>
  <c r="AI105" i="2" s="1"/>
  <c r="C110" i="2"/>
  <c r="E88" i="1"/>
  <c r="E776" i="1" s="1"/>
  <c r="E778" i="1"/>
  <c r="E221" i="1"/>
  <c r="E780" i="1" s="1"/>
  <c r="E254" i="1"/>
  <c r="E782" i="1" s="1"/>
  <c r="E318" i="1"/>
  <c r="E784" i="1" s="1"/>
  <c r="E401" i="1"/>
  <c r="E786" i="1" s="1"/>
  <c r="E408" i="1"/>
  <c r="E413" i="1"/>
  <c r="E787" i="1" s="1"/>
  <c r="E452" i="1"/>
  <c r="E789" i="1" s="1"/>
  <c r="E797" i="1"/>
  <c r="F985" i="2"/>
  <c r="F118" i="2" s="1"/>
  <c r="AB135" i="1"/>
  <c r="E135" i="1"/>
  <c r="E541" i="1"/>
  <c r="AB541" i="1"/>
  <c r="E1312" i="1"/>
  <c r="E6" i="1"/>
  <c r="E8" i="1"/>
  <c r="E9" i="1"/>
  <c r="E1313" i="1"/>
  <c r="E11" i="1"/>
  <c r="E1314" i="1"/>
  <c r="E1316" i="1"/>
  <c r="E23" i="1"/>
  <c r="E1317" i="1"/>
  <c r="E27" i="1"/>
  <c r="E31" i="1"/>
  <c r="E1319" i="1"/>
  <c r="E36" i="1"/>
  <c r="E39" i="1"/>
  <c r="E41" i="1"/>
  <c r="I956" i="2"/>
  <c r="E45" i="1" s="1"/>
  <c r="E51" i="1"/>
  <c r="E1322" i="1"/>
  <c r="E56" i="1"/>
  <c r="E62" i="1"/>
  <c r="E1324" i="1" s="1"/>
  <c r="E67" i="1"/>
  <c r="E775" i="1"/>
  <c r="E70" i="1"/>
  <c r="M956" i="2"/>
  <c r="E72" i="1" s="1"/>
  <c r="E74" i="1"/>
  <c r="E75" i="1"/>
  <c r="E1326" i="1" s="1"/>
  <c r="E1327" i="1"/>
  <c r="E78" i="1"/>
  <c r="E79" i="1"/>
  <c r="E81" i="1"/>
  <c r="E1328" i="1"/>
  <c r="E85" i="1"/>
  <c r="E86" i="1"/>
  <c r="E94" i="1"/>
  <c r="E1329" i="1"/>
  <c r="E97" i="1"/>
  <c r="E99" i="1"/>
  <c r="E106" i="1"/>
  <c r="E107" i="1"/>
  <c r="E777" i="1"/>
  <c r="E110" i="1"/>
  <c r="E1330" i="1" s="1"/>
  <c r="E1331" i="1"/>
  <c r="E118" i="1"/>
  <c r="S956" i="2"/>
  <c r="E127" i="1" s="1"/>
  <c r="E130" i="1"/>
  <c r="R956" i="2"/>
  <c r="E131" i="1" s="1"/>
  <c r="E133" i="1"/>
  <c r="E137" i="1"/>
  <c r="E139" i="1"/>
  <c r="E1332" i="1"/>
  <c r="E144" i="1"/>
  <c r="E145" i="1"/>
  <c r="E146" i="1"/>
  <c r="E148" i="1"/>
  <c r="E152" i="1"/>
  <c r="E1334" i="1" s="1"/>
  <c r="T956" i="2"/>
  <c r="E155" i="1" s="1"/>
  <c r="E160" i="1"/>
  <c r="E164" i="1"/>
  <c r="E1335" i="1"/>
  <c r="E182" i="1"/>
  <c r="E190" i="1"/>
  <c r="E1337" i="1" s="1"/>
  <c r="E1338" i="1"/>
  <c r="I1086" i="2"/>
  <c r="E192" i="1" s="1"/>
  <c r="E197" i="1"/>
  <c r="E198" i="1"/>
  <c r="E1339" i="1"/>
  <c r="E205" i="1"/>
  <c r="E207" i="1"/>
  <c r="E1340" i="1"/>
  <c r="E216" i="1"/>
  <c r="E225" i="1"/>
  <c r="E247" i="1"/>
  <c r="E248" i="1"/>
  <c r="E249" i="1"/>
  <c r="E251" i="1"/>
  <c r="E255" i="1"/>
  <c r="E256" i="1"/>
  <c r="E260" i="1"/>
  <c r="E1344" i="1"/>
  <c r="E267" i="1"/>
  <c r="E274" i="1"/>
  <c r="E1346" i="1"/>
  <c r="E284" i="1"/>
  <c r="E285" i="1"/>
  <c r="E1351" i="1"/>
  <c r="E317" i="1"/>
  <c r="K1086" i="2"/>
  <c r="E325" i="1" s="1"/>
  <c r="E338" i="1"/>
  <c r="E339" i="1"/>
  <c r="E340" i="1"/>
  <c r="E1355" i="1"/>
  <c r="E346" i="1"/>
  <c r="E1358" i="1"/>
  <c r="E1359" i="1"/>
  <c r="E1360" i="1"/>
  <c r="E374" i="1"/>
  <c r="E1362" i="1"/>
  <c r="E380" i="1"/>
  <c r="E382" i="1"/>
  <c r="E1364" i="1"/>
  <c r="E1365" i="1"/>
  <c r="E400" i="1"/>
  <c r="E407" i="1"/>
  <c r="J1086" i="2"/>
  <c r="E410" i="1" s="1"/>
  <c r="E412" i="1"/>
  <c r="E1367" i="1"/>
  <c r="E415" i="1"/>
  <c r="E416" i="1"/>
  <c r="E418" i="1"/>
  <c r="E420" i="1"/>
  <c r="E422" i="1"/>
  <c r="E425" i="1"/>
  <c r="E433" i="1"/>
  <c r="E441" i="1"/>
  <c r="E1373" i="1"/>
  <c r="E445" i="1"/>
  <c r="E1375" i="1"/>
  <c r="E450" i="1"/>
  <c r="E465" i="1"/>
  <c r="E471" i="1"/>
  <c r="E1376" i="1"/>
  <c r="E1379" i="1"/>
  <c r="E1380" i="1"/>
  <c r="E506" i="1"/>
  <c r="E1381" i="1"/>
  <c r="E508" i="1"/>
  <c r="E1382" i="1"/>
  <c r="E513" i="1"/>
  <c r="E514" i="1"/>
  <c r="E519" i="1"/>
  <c r="E521" i="1"/>
  <c r="E531" i="1"/>
  <c r="E532" i="1"/>
  <c r="E544" i="1"/>
  <c r="E1383" i="1"/>
  <c r="E1384" i="1"/>
  <c r="E555" i="1"/>
  <c r="E560" i="1"/>
  <c r="M1086" i="2"/>
  <c r="E561" i="1" s="1"/>
  <c r="E566" i="1"/>
  <c r="E567" i="1"/>
  <c r="E568" i="1"/>
  <c r="E577" i="1"/>
  <c r="E1388" i="1"/>
  <c r="E592" i="1"/>
  <c r="F997" i="2"/>
  <c r="AB526" i="1"/>
  <c r="F301" i="4"/>
  <c r="F297" i="4"/>
  <c r="F366" i="4"/>
  <c r="AB225" i="1"/>
  <c r="AB257" i="1"/>
  <c r="E109" i="8"/>
  <c r="G109" i="8" s="1"/>
  <c r="H109" i="8"/>
  <c r="F987" i="2"/>
  <c r="F36" i="2" s="1"/>
  <c r="AK36" i="2" s="1"/>
  <c r="AB450" i="1"/>
  <c r="AB109" i="1"/>
  <c r="F491" i="4"/>
  <c r="F986" i="2"/>
  <c r="F119" i="2" s="1"/>
  <c r="AB372" i="1"/>
  <c r="AB95" i="1"/>
  <c r="AB353" i="1"/>
  <c r="F982" i="2"/>
  <c r="F23" i="2" s="1"/>
  <c r="AB74" i="1"/>
  <c r="E122" i="8"/>
  <c r="G122" i="8" s="1"/>
  <c r="H122" i="8"/>
  <c r="F996" i="2"/>
  <c r="F16" i="2"/>
  <c r="AK16" i="2" s="1"/>
  <c r="AB31" i="1"/>
  <c r="F226" i="4"/>
  <c r="F127" i="4"/>
  <c r="AK25" i="2"/>
  <c r="AK26" i="2"/>
  <c r="AB491" i="1"/>
  <c r="F24" i="4"/>
  <c r="D36" i="8"/>
  <c r="F294" i="4"/>
  <c r="AB422" i="1"/>
  <c r="AB360" i="1"/>
  <c r="F394" i="4"/>
  <c r="AB536" i="1"/>
  <c r="F273" i="4"/>
  <c r="I39" i="12"/>
  <c r="I20" i="12"/>
  <c r="I21" i="12"/>
  <c r="I27" i="12"/>
  <c r="I52" i="12"/>
  <c r="I53" i="12"/>
  <c r="I38" i="12"/>
  <c r="I42" i="12"/>
  <c r="I18" i="12"/>
  <c r="I55" i="12"/>
  <c r="I33" i="12"/>
  <c r="I34" i="12"/>
  <c r="I49" i="12"/>
  <c r="I30" i="12"/>
  <c r="I31" i="12"/>
  <c r="I15" i="12"/>
  <c r="I16" i="12"/>
  <c r="I10" i="12"/>
  <c r="I11" i="12"/>
  <c r="I46" i="12"/>
  <c r="I47" i="12"/>
  <c r="I7" i="12"/>
  <c r="I26" i="12"/>
  <c r="I25" i="12"/>
  <c r="I41" i="12"/>
  <c r="I37" i="12"/>
  <c r="I24" i="12"/>
  <c r="I45" i="12"/>
  <c r="I58" i="12"/>
  <c r="I8" i="12"/>
  <c r="I36" i="12"/>
  <c r="I5" i="12"/>
  <c r="A12" i="10"/>
  <c r="A11" i="10" s="1"/>
  <c r="A10" i="10" s="1"/>
  <c r="A9" i="10" s="1"/>
  <c r="A8" i="10" s="1"/>
  <c r="A7" i="10" s="1"/>
  <c r="A6" i="10" s="1"/>
  <c r="A5" i="10" s="1"/>
  <c r="A4" i="10" s="1"/>
  <c r="C66" i="10"/>
  <c r="D66" i="10" s="1"/>
  <c r="E66" i="10" s="1"/>
  <c r="F66" i="10" s="1"/>
  <c r="G66" i="10" s="1"/>
  <c r="H66" i="10" s="1"/>
  <c r="I66" i="10" s="1"/>
  <c r="C85" i="10"/>
  <c r="D85" i="10" s="1"/>
  <c r="E85" i="10" s="1"/>
  <c r="F85" i="10" s="1"/>
  <c r="G85" i="10" s="1"/>
  <c r="B246" i="10"/>
  <c r="I108" i="9"/>
  <c r="I109" i="9"/>
  <c r="I50" i="9"/>
  <c r="Q50" i="9" s="1"/>
  <c r="I52" i="9"/>
  <c r="Q52" i="9" s="1"/>
  <c r="I55" i="9"/>
  <c r="Q55" i="9" s="1"/>
  <c r="I56" i="9"/>
  <c r="Q56" i="9" s="1"/>
  <c r="I57" i="9"/>
  <c r="Q57" i="9" s="1"/>
  <c r="I111" i="9"/>
  <c r="I64" i="9"/>
  <c r="Q64" i="9" s="1"/>
  <c r="I112" i="9"/>
  <c r="I65" i="9"/>
  <c r="Q65" i="9" s="1"/>
  <c r="I114" i="9"/>
  <c r="I73" i="9"/>
  <c r="Q73" i="9" s="1"/>
  <c r="I74" i="9"/>
  <c r="Q74" i="9" s="1"/>
  <c r="I76" i="9"/>
  <c r="Q76" i="9" s="1"/>
  <c r="I77" i="9"/>
  <c r="Q77" i="9" s="1"/>
  <c r="I79" i="9"/>
  <c r="Q79" i="9" s="1"/>
  <c r="I82" i="9"/>
  <c r="Q82" i="9" s="1"/>
  <c r="I84" i="9"/>
  <c r="Q84" i="9" s="1"/>
  <c r="I85" i="9"/>
  <c r="Q85" i="9" s="1"/>
  <c r="I87" i="9"/>
  <c r="Q87" i="9" s="1"/>
  <c r="I89" i="9"/>
  <c r="Q89" i="9" s="1"/>
  <c r="I90" i="9"/>
  <c r="Q90" i="9" s="1"/>
  <c r="I91" i="9"/>
  <c r="I93" i="9"/>
  <c r="Q93" i="9" s="1"/>
  <c r="I94" i="9"/>
  <c r="Q94" i="9" s="1"/>
  <c r="I96" i="9"/>
  <c r="Q96" i="9" s="1"/>
  <c r="I118" i="9"/>
  <c r="I98" i="9"/>
  <c r="Q98" i="9" s="1"/>
  <c r="I99" i="9"/>
  <c r="Q99" i="9" s="1"/>
  <c r="I101" i="9"/>
  <c r="Q101" i="9" s="1"/>
  <c r="I102" i="9"/>
  <c r="Q102" i="9" s="1"/>
  <c r="D119" i="9"/>
  <c r="I123" i="9"/>
  <c r="E34" i="8"/>
  <c r="F34" i="8"/>
  <c r="F35" i="8" s="1"/>
  <c r="G34" i="8"/>
  <c r="G35" i="8" s="1"/>
  <c r="E36" i="8"/>
  <c r="F36" i="8"/>
  <c r="G36" i="8"/>
  <c r="E38" i="8"/>
  <c r="G38" i="8" s="1"/>
  <c r="F38" i="8"/>
  <c r="O38" i="8"/>
  <c r="E39" i="8"/>
  <c r="G39" i="8" s="1"/>
  <c r="F39" i="8"/>
  <c r="H39" i="8"/>
  <c r="E40" i="8"/>
  <c r="G40" i="8" s="1"/>
  <c r="F40" i="8"/>
  <c r="H40" i="8"/>
  <c r="K40" i="8"/>
  <c r="E41" i="8"/>
  <c r="G41" i="8" s="1"/>
  <c r="F41" i="8"/>
  <c r="H41" i="8"/>
  <c r="E42" i="8"/>
  <c r="G42" i="8" s="1"/>
  <c r="F42" i="8"/>
  <c r="H42" i="8"/>
  <c r="E43" i="8"/>
  <c r="G43" i="8" s="1"/>
  <c r="F43" i="8"/>
  <c r="H43" i="8"/>
  <c r="K43" i="8"/>
  <c r="E44" i="8"/>
  <c r="G44" i="8" s="1"/>
  <c r="F44" i="8"/>
  <c r="H44" i="8"/>
  <c r="E45" i="8"/>
  <c r="G45" i="8" s="1"/>
  <c r="F45" i="8"/>
  <c r="H45" i="8"/>
  <c r="K45" i="8"/>
  <c r="E46" i="8"/>
  <c r="G46" i="8" s="1"/>
  <c r="F46" i="8"/>
  <c r="H46" i="8"/>
  <c r="K46" i="8"/>
  <c r="E47" i="8"/>
  <c r="G47" i="8" s="1"/>
  <c r="F47" i="8"/>
  <c r="H47" i="8"/>
  <c r="E48" i="8"/>
  <c r="G48" i="8" s="1"/>
  <c r="F48" i="8"/>
  <c r="H48" i="8"/>
  <c r="K48" i="8"/>
  <c r="E49" i="8"/>
  <c r="G49" i="8" s="1"/>
  <c r="F49" i="8"/>
  <c r="H49" i="8"/>
  <c r="E50" i="8"/>
  <c r="G50" i="8" s="1"/>
  <c r="F50" i="8"/>
  <c r="H50" i="8"/>
  <c r="E51" i="8"/>
  <c r="G51" i="8" s="1"/>
  <c r="F51" i="8"/>
  <c r="H51" i="8"/>
  <c r="E52" i="8"/>
  <c r="G52" i="8" s="1"/>
  <c r="F52" i="8"/>
  <c r="H52" i="8"/>
  <c r="E53" i="8"/>
  <c r="G53" i="8" s="1"/>
  <c r="F53" i="8"/>
  <c r="H53" i="8"/>
  <c r="K53" i="8"/>
  <c r="E54" i="8"/>
  <c r="G54" i="8" s="1"/>
  <c r="F54" i="8"/>
  <c r="H54" i="8"/>
  <c r="K54" i="8"/>
  <c r="E55" i="8"/>
  <c r="G55" i="8" s="1"/>
  <c r="F55" i="8"/>
  <c r="H55" i="8"/>
  <c r="K55" i="8"/>
  <c r="E56" i="8"/>
  <c r="G56" i="8" s="1"/>
  <c r="F56" i="8"/>
  <c r="H56" i="8"/>
  <c r="E57" i="8"/>
  <c r="G57" i="8" s="1"/>
  <c r="F57" i="8"/>
  <c r="H57" i="8"/>
  <c r="K57" i="8"/>
  <c r="E58" i="8"/>
  <c r="G58" i="8" s="1"/>
  <c r="F58" i="8"/>
  <c r="H58" i="8"/>
  <c r="E59" i="8"/>
  <c r="G59" i="8" s="1"/>
  <c r="F59" i="8"/>
  <c r="H59" i="8"/>
  <c r="E60" i="8"/>
  <c r="G60" i="8" s="1"/>
  <c r="F60" i="8"/>
  <c r="H60" i="8"/>
  <c r="E61" i="8"/>
  <c r="G61" i="8" s="1"/>
  <c r="F61" i="8"/>
  <c r="H61" i="8"/>
  <c r="K61" i="8"/>
  <c r="E62" i="8"/>
  <c r="G62" i="8" s="1"/>
  <c r="F62" i="8"/>
  <c r="H62" i="8"/>
  <c r="K62" i="8"/>
  <c r="E63" i="8"/>
  <c r="G63" i="8" s="1"/>
  <c r="F63" i="8"/>
  <c r="H63" i="8"/>
  <c r="E64" i="8"/>
  <c r="G64" i="8" s="1"/>
  <c r="F64" i="8"/>
  <c r="E65" i="8"/>
  <c r="G65" i="8" s="1"/>
  <c r="F65" i="8"/>
  <c r="H65" i="8"/>
  <c r="E66" i="8"/>
  <c r="G66" i="8" s="1"/>
  <c r="F66" i="8"/>
  <c r="H66" i="8"/>
  <c r="K66" i="8"/>
  <c r="E67" i="8"/>
  <c r="G67" i="8" s="1"/>
  <c r="F67" i="8"/>
  <c r="H67" i="8"/>
  <c r="J67" i="8"/>
  <c r="J68" i="8" s="1"/>
  <c r="E68" i="8"/>
  <c r="G68" i="8" s="1"/>
  <c r="F68" i="8"/>
  <c r="H68" i="8"/>
  <c r="E69" i="8"/>
  <c r="G69" i="8" s="1"/>
  <c r="F69" i="8"/>
  <c r="H69" i="8"/>
  <c r="E70" i="8"/>
  <c r="G70" i="8" s="1"/>
  <c r="F70" i="8"/>
  <c r="H70" i="8"/>
  <c r="E71" i="8"/>
  <c r="G71" i="8" s="1"/>
  <c r="F71" i="8"/>
  <c r="H71" i="8"/>
  <c r="E72" i="8"/>
  <c r="G72" i="8" s="1"/>
  <c r="F72" i="8"/>
  <c r="H72" i="8"/>
  <c r="E73" i="8"/>
  <c r="G73" i="8" s="1"/>
  <c r="F73" i="8"/>
  <c r="H73" i="8"/>
  <c r="E74" i="8"/>
  <c r="G74" i="8" s="1"/>
  <c r="F74" i="8"/>
  <c r="H74" i="8"/>
  <c r="E75" i="8"/>
  <c r="G75" i="8" s="1"/>
  <c r="F75" i="8"/>
  <c r="H75" i="8"/>
  <c r="E76" i="8"/>
  <c r="G76" i="8" s="1"/>
  <c r="F76" i="8"/>
  <c r="H76" i="8"/>
  <c r="E77" i="8"/>
  <c r="G77" i="8" s="1"/>
  <c r="F77" i="8"/>
  <c r="E78" i="8"/>
  <c r="G78" i="8" s="1"/>
  <c r="F78" i="8"/>
  <c r="H78" i="8"/>
  <c r="E79" i="8"/>
  <c r="G79" i="8" s="1"/>
  <c r="F79" i="8"/>
  <c r="H79" i="8"/>
  <c r="E80" i="8"/>
  <c r="G80" i="8" s="1"/>
  <c r="F80" i="8"/>
  <c r="H80" i="8"/>
  <c r="E81" i="8"/>
  <c r="G81" i="8" s="1"/>
  <c r="F81" i="8"/>
  <c r="H81" i="8"/>
  <c r="E82" i="8"/>
  <c r="G82" i="8" s="1"/>
  <c r="F82" i="8"/>
  <c r="H82" i="8"/>
  <c r="E83" i="8"/>
  <c r="G83" i="8" s="1"/>
  <c r="F83" i="8"/>
  <c r="H83" i="8"/>
  <c r="E84" i="8"/>
  <c r="G84" i="8" s="1"/>
  <c r="F84" i="8"/>
  <c r="H84" i="8"/>
  <c r="E85" i="8"/>
  <c r="G85" i="8" s="1"/>
  <c r="F85" i="8"/>
  <c r="H85" i="8"/>
  <c r="E86" i="8"/>
  <c r="G86" i="8" s="1"/>
  <c r="F86" i="8"/>
  <c r="H86" i="8"/>
  <c r="E87" i="8"/>
  <c r="G87" i="8" s="1"/>
  <c r="F87" i="8"/>
  <c r="H87" i="8"/>
  <c r="E88" i="8"/>
  <c r="G88" i="8" s="1"/>
  <c r="F88" i="8"/>
  <c r="H88" i="8"/>
  <c r="E89" i="8"/>
  <c r="G89" i="8" s="1"/>
  <c r="F89" i="8"/>
  <c r="H89" i="8"/>
  <c r="E90" i="8"/>
  <c r="G90" i="8" s="1"/>
  <c r="F90" i="8"/>
  <c r="H90" i="8"/>
  <c r="E91" i="8"/>
  <c r="G91" i="8" s="1"/>
  <c r="F91" i="8"/>
  <c r="H91" i="8"/>
  <c r="E92" i="8"/>
  <c r="G92" i="8" s="1"/>
  <c r="F92" i="8"/>
  <c r="H92" i="8"/>
  <c r="E93" i="8"/>
  <c r="G93" i="8" s="1"/>
  <c r="F93" i="8"/>
  <c r="H93" i="8"/>
  <c r="E94" i="8"/>
  <c r="G94" i="8" s="1"/>
  <c r="F94" i="8"/>
  <c r="H94" i="8"/>
  <c r="E95" i="8"/>
  <c r="G95" i="8" s="1"/>
  <c r="F95" i="8"/>
  <c r="H95" i="8"/>
  <c r="E96" i="8"/>
  <c r="G96" i="8" s="1"/>
  <c r="F96" i="8"/>
  <c r="H96" i="8"/>
  <c r="E97" i="8"/>
  <c r="G97" i="8" s="1"/>
  <c r="F97" i="8"/>
  <c r="H97" i="8"/>
  <c r="E98" i="8"/>
  <c r="G98" i="8" s="1"/>
  <c r="F98" i="8"/>
  <c r="H98" i="8"/>
  <c r="E99" i="8"/>
  <c r="G99" i="8" s="1"/>
  <c r="F99" i="8"/>
  <c r="H99" i="8"/>
  <c r="E100" i="8"/>
  <c r="G100" i="8" s="1"/>
  <c r="F100" i="8"/>
  <c r="H100" i="8"/>
  <c r="E101" i="8"/>
  <c r="G101" i="8" s="1"/>
  <c r="F101" i="8"/>
  <c r="H101" i="8"/>
  <c r="E102" i="8"/>
  <c r="G102" i="8" s="1"/>
  <c r="F102" i="8"/>
  <c r="H102" i="8"/>
  <c r="E103" i="8"/>
  <c r="G103" i="8" s="1"/>
  <c r="F103" i="8"/>
  <c r="H103" i="8"/>
  <c r="E104" i="8"/>
  <c r="G104" i="8" s="1"/>
  <c r="F104" i="8"/>
  <c r="H104" i="8"/>
  <c r="E105" i="8"/>
  <c r="G105" i="8" s="1"/>
  <c r="F105" i="8"/>
  <c r="H105" i="8"/>
  <c r="E106" i="8"/>
  <c r="G106" i="8" s="1"/>
  <c r="F106" i="8"/>
  <c r="H106" i="8"/>
  <c r="E107" i="8"/>
  <c r="G107" i="8" s="1"/>
  <c r="F107" i="8"/>
  <c r="H107" i="8"/>
  <c r="E108" i="8"/>
  <c r="G108" i="8" s="1"/>
  <c r="F108" i="8"/>
  <c r="H108" i="8"/>
  <c r="E110" i="8"/>
  <c r="G110" i="8" s="1"/>
  <c r="F110" i="8"/>
  <c r="H110" i="8"/>
  <c r="E111" i="8"/>
  <c r="G111" i="8" s="1"/>
  <c r="F111" i="8"/>
  <c r="H111" i="8"/>
  <c r="E112" i="8"/>
  <c r="G112" i="8" s="1"/>
  <c r="H112" i="8"/>
  <c r="E118" i="8"/>
  <c r="G118" i="8" s="1"/>
  <c r="H118" i="8"/>
  <c r="E124" i="8"/>
  <c r="G124" i="8" s="1"/>
  <c r="F124" i="8"/>
  <c r="B173" i="8"/>
  <c r="B174" i="8"/>
  <c r="B175" i="8"/>
  <c r="B176" i="8"/>
  <c r="B177" i="8"/>
  <c r="B182" i="8"/>
  <c r="E201" i="8"/>
  <c r="C254" i="8"/>
  <c r="D254" i="8"/>
  <c r="B256" i="8"/>
  <c r="B257" i="8"/>
  <c r="B258" i="8"/>
  <c r="B259" i="8"/>
  <c r="B260" i="8"/>
  <c r="A2" i="6"/>
  <c r="A3" i="6" s="1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N4" i="6"/>
  <c r="N5" i="6"/>
  <c r="N6" i="6"/>
  <c r="N7" i="6"/>
  <c r="N8" i="6"/>
  <c r="N9" i="6"/>
  <c r="G35" i="6"/>
  <c r="G36" i="6" s="1"/>
  <c r="G38" i="6" s="1"/>
  <c r="G39" i="6" s="1"/>
  <c r="G40" i="6" s="1"/>
  <c r="G41" i="6" s="1"/>
  <c r="Q82" i="6"/>
  <c r="Q83" i="6" s="1"/>
  <c r="Q84" i="6" s="1"/>
  <c r="Q85" i="6" s="1"/>
  <c r="Q86" i="6" s="1"/>
  <c r="Q87" i="6" s="1"/>
  <c r="Q88" i="6" s="1"/>
  <c r="Q89" i="6" s="1"/>
  <c r="Q90" i="6" s="1"/>
  <c r="Q91" i="6" s="1"/>
  <c r="Q92" i="6" s="1"/>
  <c r="Q93" i="6" s="1"/>
  <c r="Q94" i="6" s="1"/>
  <c r="Q95" i="6" s="1"/>
  <c r="Q96" i="6" s="1"/>
  <c r="Q97" i="6" s="1"/>
  <c r="Q98" i="6" s="1"/>
  <c r="Q99" i="6" s="1"/>
  <c r="Q100" i="6" s="1"/>
  <c r="Q101" i="6" s="1"/>
  <c r="Q102" i="6" s="1"/>
  <c r="Q103" i="6" s="1"/>
  <c r="Q104" i="6" s="1"/>
  <c r="Q105" i="6" s="1"/>
  <c r="Q106" i="6" s="1"/>
  <c r="Q107" i="6" s="1"/>
  <c r="Q108" i="6" s="1"/>
  <c r="Q109" i="6" s="1"/>
  <c r="Q110" i="6" s="1"/>
  <c r="Q111" i="6" s="1"/>
  <c r="Q112" i="6" s="1"/>
  <c r="Q113" i="6" s="1"/>
  <c r="Q114" i="6" s="1"/>
  <c r="Q115" i="6" s="1"/>
  <c r="Q116" i="6" s="1"/>
  <c r="Q117" i="6" s="1"/>
  <c r="Q118" i="6" s="1"/>
  <c r="Q119" i="6" s="1"/>
  <c r="Q120" i="6" s="1"/>
  <c r="Q121" i="6" s="1"/>
  <c r="Q122" i="6" s="1"/>
  <c r="Q123" i="6" s="1"/>
  <c r="Q124" i="6" s="1"/>
  <c r="Q125" i="6" s="1"/>
  <c r="Q126" i="6" s="1"/>
  <c r="Q127" i="6" s="1"/>
  <c r="Q128" i="6" s="1"/>
  <c r="Q129" i="6" s="1"/>
  <c r="Q130" i="6" s="1"/>
  <c r="Q131" i="6" s="1"/>
  <c r="Q132" i="6" s="1"/>
  <c r="Q133" i="6" s="1"/>
  <c r="Q134" i="6" s="1"/>
  <c r="Q135" i="6" s="1"/>
  <c r="Q136" i="6" s="1"/>
  <c r="Q137" i="6" s="1"/>
  <c r="Q138" i="6" s="1"/>
  <c r="Q139" i="6" s="1"/>
  <c r="Q140" i="6" s="1"/>
  <c r="Q141" i="6" s="1"/>
  <c r="Q142" i="6" s="1"/>
  <c r="Q143" i="6" s="1"/>
  <c r="Q144" i="6" s="1"/>
  <c r="Q145" i="6" s="1"/>
  <c r="Q146" i="6" s="1"/>
  <c r="Q147" i="6" s="1"/>
  <c r="Q148" i="6" s="1"/>
  <c r="Q149" i="6" s="1"/>
  <c r="Q150" i="6" s="1"/>
  <c r="Q151" i="6" s="1"/>
  <c r="Q152" i="6" s="1"/>
  <c r="Q153" i="6" s="1"/>
  <c r="Q154" i="6" s="1"/>
  <c r="Q155" i="6" s="1"/>
  <c r="Q156" i="6" s="1"/>
  <c r="Q157" i="6" s="1"/>
  <c r="Q158" i="6" s="1"/>
  <c r="Q159" i="6" s="1"/>
  <c r="Q160" i="6" s="1"/>
  <c r="Q161" i="6" s="1"/>
  <c r="Q162" i="6" s="1"/>
  <c r="Q163" i="6" s="1"/>
  <c r="Q164" i="6" s="1"/>
  <c r="Q165" i="6" s="1"/>
  <c r="Q166" i="6" s="1"/>
  <c r="Q167" i="6" s="1"/>
  <c r="Q168" i="6" s="1"/>
  <c r="Q169" i="6" s="1"/>
  <c r="Q170" i="6" s="1"/>
  <c r="Q171" i="6" s="1"/>
  <c r="Q172" i="6" s="1"/>
  <c r="Q173" i="6" s="1"/>
  <c r="Q174" i="6" s="1"/>
  <c r="Q175" i="6" s="1"/>
  <c r="Q176" i="6" s="1"/>
  <c r="D245" i="5"/>
  <c r="F6" i="4"/>
  <c r="F7" i="4"/>
  <c r="F8" i="4"/>
  <c r="F9" i="4"/>
  <c r="F10" i="4"/>
  <c r="F11" i="4"/>
  <c r="F13" i="4"/>
  <c r="F14" i="4"/>
  <c r="F15" i="4"/>
  <c r="F16" i="4"/>
  <c r="F17" i="4"/>
  <c r="F18" i="4"/>
  <c r="F19" i="4"/>
  <c r="F20" i="4"/>
  <c r="F21" i="4"/>
  <c r="F25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8" i="4"/>
  <c r="F49" i="4"/>
  <c r="F50" i="4"/>
  <c r="F52" i="4"/>
  <c r="F53" i="4"/>
  <c r="F54" i="4"/>
  <c r="F55" i="4"/>
  <c r="F57" i="4"/>
  <c r="F59" i="4"/>
  <c r="F60" i="4"/>
  <c r="F61" i="4"/>
  <c r="F62" i="4"/>
  <c r="F63" i="4"/>
  <c r="F64" i="4"/>
  <c r="F68" i="4"/>
  <c r="F65" i="4"/>
  <c r="F66" i="4"/>
  <c r="F67" i="4"/>
  <c r="F70" i="4"/>
  <c r="F72" i="4"/>
  <c r="F73" i="4"/>
  <c r="F74" i="4"/>
  <c r="F77" i="4"/>
  <c r="F76" i="4"/>
  <c r="F78" i="4"/>
  <c r="F81" i="4"/>
  <c r="F82" i="4"/>
  <c r="F83" i="4"/>
  <c r="F84" i="4"/>
  <c r="F85" i="4"/>
  <c r="F86" i="4"/>
  <c r="F88" i="4"/>
  <c r="F89" i="4"/>
  <c r="F90" i="4"/>
  <c r="F91" i="4"/>
  <c r="F93" i="4"/>
  <c r="F94" i="4"/>
  <c r="F96" i="4"/>
  <c r="F97" i="4"/>
  <c r="F98" i="4"/>
  <c r="F99" i="4"/>
  <c r="F102" i="4"/>
  <c r="F100" i="4"/>
  <c r="F103" i="4"/>
  <c r="F104" i="4"/>
  <c r="F106" i="4"/>
  <c r="F107" i="4"/>
  <c r="F110" i="4"/>
  <c r="F109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8" i="4"/>
  <c r="F130" i="4"/>
  <c r="F132" i="4"/>
  <c r="F133" i="4"/>
  <c r="F134" i="4"/>
  <c r="F135" i="4"/>
  <c r="F136" i="4"/>
  <c r="F137" i="4"/>
  <c r="F138" i="4"/>
  <c r="F139" i="4"/>
  <c r="F140" i="4"/>
  <c r="F141" i="4"/>
  <c r="F143" i="4"/>
  <c r="F144" i="4"/>
  <c r="F145" i="4"/>
  <c r="F146" i="4"/>
  <c r="F147" i="4"/>
  <c r="F149" i="4"/>
  <c r="F151" i="4"/>
  <c r="F153" i="4"/>
  <c r="F155" i="4"/>
  <c r="F157" i="4"/>
  <c r="F159" i="4"/>
  <c r="F161" i="4"/>
  <c r="F163" i="4"/>
  <c r="F165" i="4"/>
  <c r="F166" i="4"/>
  <c r="F167" i="4"/>
  <c r="F169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4" i="4"/>
  <c r="F185" i="4"/>
  <c r="F186" i="4"/>
  <c r="F188" i="4"/>
  <c r="F190" i="4"/>
  <c r="F192" i="4"/>
  <c r="F193" i="4"/>
  <c r="F194" i="4"/>
  <c r="F195" i="4"/>
  <c r="F196" i="4"/>
  <c r="F197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3" i="4"/>
  <c r="F214" i="4"/>
  <c r="F215" i="4"/>
  <c r="F218" i="4"/>
  <c r="F219" i="4"/>
  <c r="F222" i="4"/>
  <c r="F223" i="4"/>
  <c r="F224" i="4"/>
  <c r="F225" i="4"/>
  <c r="F227" i="4"/>
  <c r="F228" i="4"/>
  <c r="F229" i="4"/>
  <c r="F231" i="4"/>
  <c r="F232" i="4"/>
  <c r="F233" i="4"/>
  <c r="F234" i="4"/>
  <c r="F235" i="4"/>
  <c r="F238" i="4"/>
  <c r="F239" i="4"/>
  <c r="F240" i="4"/>
  <c r="F241" i="4"/>
  <c r="F242" i="4"/>
  <c r="F245" i="4"/>
  <c r="F246" i="4"/>
  <c r="F247" i="4"/>
  <c r="F250" i="4"/>
  <c r="F251" i="4"/>
  <c r="F252" i="4"/>
  <c r="F253" i="4"/>
  <c r="F254" i="4"/>
  <c r="F255" i="4"/>
  <c r="F258" i="4"/>
  <c r="F259" i="4"/>
  <c r="F260" i="4"/>
  <c r="F261" i="4"/>
  <c r="F262" i="4"/>
  <c r="F263" i="4"/>
  <c r="F265" i="4"/>
  <c r="F266" i="4"/>
  <c r="F267" i="4"/>
  <c r="F268" i="4"/>
  <c r="F269" i="4"/>
  <c r="F270" i="4"/>
  <c r="F272" i="4"/>
  <c r="F274" i="4"/>
  <c r="F275" i="4"/>
  <c r="F279" i="4"/>
  <c r="F278" i="4"/>
  <c r="F280" i="4"/>
  <c r="F281" i="4"/>
  <c r="F282" i="4"/>
  <c r="F283" i="4"/>
  <c r="F285" i="4"/>
  <c r="F284" i="4"/>
  <c r="F286" i="4"/>
  <c r="F287" i="4"/>
  <c r="F288" i="4"/>
  <c r="F289" i="4"/>
  <c r="F290" i="4"/>
  <c r="F292" i="4"/>
  <c r="F293" i="4"/>
  <c r="F295" i="4"/>
  <c r="F296" i="4"/>
  <c r="F298" i="4"/>
  <c r="F299" i="4"/>
  <c r="F300" i="4"/>
  <c r="F303" i="4"/>
  <c r="F304" i="4"/>
  <c r="F305" i="4"/>
  <c r="F306" i="4"/>
  <c r="F308" i="4"/>
  <c r="F309" i="4"/>
  <c r="F310" i="4"/>
  <c r="F311" i="4"/>
  <c r="F312" i="4"/>
  <c r="F314" i="4"/>
  <c r="F317" i="4"/>
  <c r="F315" i="4"/>
  <c r="F316" i="4"/>
  <c r="F318" i="4"/>
  <c r="F319" i="4"/>
  <c r="F320" i="4"/>
  <c r="F321" i="4"/>
  <c r="F322" i="4"/>
  <c r="F323" i="4"/>
  <c r="F324" i="4"/>
  <c r="F326" i="4"/>
  <c r="F327" i="4"/>
  <c r="F328" i="4"/>
  <c r="F329" i="4"/>
  <c r="F330" i="4"/>
  <c r="F331" i="4"/>
  <c r="F332" i="4"/>
  <c r="F333" i="4"/>
  <c r="F334" i="4"/>
  <c r="F335" i="4"/>
  <c r="F338" i="4"/>
  <c r="F339" i="4"/>
  <c r="F340" i="4"/>
  <c r="F341" i="4"/>
  <c r="F342" i="4"/>
  <c r="F343" i="4"/>
  <c r="F344" i="4"/>
  <c r="F345" i="4"/>
  <c r="F346" i="4"/>
  <c r="F356" i="4"/>
  <c r="F357" i="4"/>
  <c r="F358" i="4"/>
  <c r="F359" i="4"/>
  <c r="F360" i="4"/>
  <c r="F361" i="4"/>
  <c r="F362" i="4"/>
  <c r="F363" i="4"/>
  <c r="F365" i="4"/>
  <c r="F375" i="4"/>
  <c r="F376" i="4"/>
  <c r="F377" i="4"/>
  <c r="F378" i="4"/>
  <c r="F379" i="4"/>
  <c r="F380" i="4"/>
  <c r="F381" i="4"/>
  <c r="F384" i="4"/>
  <c r="F385" i="4"/>
  <c r="F386" i="4"/>
  <c r="F388" i="4"/>
  <c r="F389" i="4"/>
  <c r="F390" i="4"/>
  <c r="F391" i="4"/>
  <c r="F392" i="4"/>
  <c r="F393" i="4"/>
  <c r="F395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2" i="4"/>
  <c r="F449" i="4"/>
  <c r="F450" i="4"/>
  <c r="F452" i="4"/>
  <c r="F453" i="4"/>
  <c r="F415" i="4"/>
  <c r="F416" i="4"/>
  <c r="F417" i="4"/>
  <c r="F418" i="4"/>
  <c r="F419" i="4"/>
  <c r="F420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54" i="4"/>
  <c r="F455" i="4"/>
  <c r="F443" i="4"/>
  <c r="F444" i="4"/>
  <c r="F445" i="4"/>
  <c r="F446" i="4"/>
  <c r="F447" i="4"/>
  <c r="F456" i="4"/>
  <c r="F465" i="4"/>
  <c r="F466" i="4"/>
  <c r="F467" i="4"/>
  <c r="F468" i="4"/>
  <c r="F469" i="4"/>
  <c r="F470" i="4"/>
  <c r="F471" i="4"/>
  <c r="F472" i="4"/>
  <c r="F473" i="4"/>
  <c r="F474" i="4"/>
  <c r="F477" i="4"/>
  <c r="F478" i="4"/>
  <c r="F479" i="4"/>
  <c r="F481" i="4"/>
  <c r="F482" i="4"/>
  <c r="F484" i="4"/>
  <c r="F485" i="4"/>
  <c r="F486" i="4"/>
  <c r="F487" i="4"/>
  <c r="F489" i="4"/>
  <c r="F490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C6" i="11"/>
  <c r="Y7" i="11"/>
  <c r="C7" i="11" s="1"/>
  <c r="C8" i="11"/>
  <c r="C9" i="11"/>
  <c r="C10" i="11"/>
  <c r="C11" i="11"/>
  <c r="C12" i="11"/>
  <c r="C13" i="11"/>
  <c r="Y14" i="11"/>
  <c r="C14" i="11" s="1"/>
  <c r="Y15" i="11"/>
  <c r="C15" i="11" s="1"/>
  <c r="C17" i="11"/>
  <c r="C19" i="11"/>
  <c r="C20" i="11"/>
  <c r="C21" i="11"/>
  <c r="C22" i="11"/>
  <c r="C25" i="11"/>
  <c r="C26" i="11"/>
  <c r="C27" i="11"/>
  <c r="C28" i="11"/>
  <c r="C29" i="11"/>
  <c r="C30" i="11"/>
  <c r="C31" i="11"/>
  <c r="C32" i="11"/>
  <c r="C34" i="11"/>
  <c r="C35" i="11"/>
  <c r="C36" i="11"/>
  <c r="C37" i="11"/>
  <c r="C38" i="11"/>
  <c r="C39" i="11"/>
  <c r="C40" i="11"/>
  <c r="C41" i="11"/>
  <c r="C43" i="11"/>
  <c r="C44" i="11"/>
  <c r="C45" i="11"/>
  <c r="C46" i="11"/>
  <c r="C47" i="11"/>
  <c r="C49" i="11"/>
  <c r="C50" i="11"/>
  <c r="C51" i="11"/>
  <c r="AA85" i="11"/>
  <c r="C181" i="11"/>
  <c r="G181" i="11"/>
  <c r="AE8" i="2"/>
  <c r="AF8" i="2"/>
  <c r="AE9" i="2"/>
  <c r="AF9" i="2"/>
  <c r="AE10" i="2"/>
  <c r="AF10" i="2"/>
  <c r="AE12" i="2"/>
  <c r="AF12" i="2"/>
  <c r="AE15" i="2"/>
  <c r="AF15" i="2"/>
  <c r="AE16" i="2"/>
  <c r="AF16" i="2"/>
  <c r="AE17" i="2"/>
  <c r="AF17" i="2"/>
  <c r="AE19" i="2"/>
  <c r="AF19" i="2"/>
  <c r="AE20" i="2"/>
  <c r="AF20" i="2"/>
  <c r="AE23" i="2"/>
  <c r="AF23" i="2"/>
  <c r="AE24" i="2"/>
  <c r="AF24" i="2"/>
  <c r="AE25" i="2"/>
  <c r="AF25" i="2"/>
  <c r="AE26" i="2"/>
  <c r="AF26" i="2"/>
  <c r="AE27" i="2"/>
  <c r="AF27" i="2"/>
  <c r="AE29" i="2"/>
  <c r="AF29" i="2"/>
  <c r="AE32" i="2"/>
  <c r="AF32" i="2"/>
  <c r="AE34" i="2"/>
  <c r="AF34" i="2"/>
  <c r="AE35" i="2"/>
  <c r="AF35" i="2"/>
  <c r="AE36" i="2"/>
  <c r="AF36" i="2"/>
  <c r="AE37" i="2"/>
  <c r="AF37" i="2"/>
  <c r="AE38" i="2"/>
  <c r="AF38" i="2"/>
  <c r="AE41" i="2"/>
  <c r="AF41" i="2"/>
  <c r="AE42" i="2"/>
  <c r="AF42" i="2"/>
  <c r="AE43" i="2"/>
  <c r="AF43" i="2"/>
  <c r="AE45" i="2"/>
  <c r="AF45" i="2"/>
  <c r="F990" i="2"/>
  <c r="F46" i="2" s="1"/>
  <c r="AE46" i="2"/>
  <c r="AF46" i="2"/>
  <c r="F47" i="2"/>
  <c r="AK47" i="2" s="1"/>
  <c r="AE47" i="2"/>
  <c r="AF47" i="2"/>
  <c r="AE48" i="2"/>
  <c r="AF48" i="2"/>
  <c r="AE49" i="2"/>
  <c r="AF49" i="2"/>
  <c r="AE50" i="2"/>
  <c r="AF50" i="2"/>
  <c r="AE51" i="2"/>
  <c r="AF51" i="2"/>
  <c r="AE56" i="2"/>
  <c r="AF56" i="2"/>
  <c r="AE57" i="2"/>
  <c r="AF57" i="2"/>
  <c r="AE59" i="2"/>
  <c r="AF59" i="2"/>
  <c r="F993" i="2"/>
  <c r="F62" i="2" s="1"/>
  <c r="AE62" i="2"/>
  <c r="AF62" i="2"/>
  <c r="AE64" i="2"/>
  <c r="AF64" i="2"/>
  <c r="AE65" i="2"/>
  <c r="AF65" i="2"/>
  <c r="AE66" i="2"/>
  <c r="AF66" i="2"/>
  <c r="AE67" i="2"/>
  <c r="AF67" i="2"/>
  <c r="F68" i="2"/>
  <c r="AK68" i="2" s="1"/>
  <c r="AE68" i="2"/>
  <c r="AF68" i="2"/>
  <c r="AE75" i="2"/>
  <c r="AF75" i="2"/>
  <c r="AE76" i="2"/>
  <c r="AF76" i="2"/>
  <c r="F995" i="2"/>
  <c r="F134" i="2" s="1"/>
  <c r="AE84" i="2"/>
  <c r="AF84" i="2"/>
  <c r="AE85" i="2"/>
  <c r="AF85" i="2"/>
  <c r="AE86" i="2"/>
  <c r="AF86" i="2"/>
  <c r="AE87" i="2"/>
  <c r="AF87" i="2"/>
  <c r="AE88" i="2"/>
  <c r="AF88" i="2"/>
  <c r="AE89" i="2"/>
  <c r="AF89" i="2"/>
  <c r="AE92" i="2"/>
  <c r="AF92" i="2"/>
  <c r="AE93" i="2"/>
  <c r="AF93" i="2"/>
  <c r="AE94" i="2"/>
  <c r="AF94" i="2"/>
  <c r="AE97" i="2"/>
  <c r="AF97" i="2"/>
  <c r="AE98" i="2"/>
  <c r="AF98" i="2"/>
  <c r="AE99" i="2"/>
  <c r="AF99" i="2"/>
  <c r="AE100" i="2"/>
  <c r="AF100" i="2"/>
  <c r="AE102" i="2"/>
  <c r="AF102" i="2"/>
  <c r="AE104" i="2"/>
  <c r="AF104" i="2"/>
  <c r="AE105" i="2"/>
  <c r="AF105" i="2"/>
  <c r="AE107" i="2"/>
  <c r="AF107" i="2"/>
  <c r="AE108" i="2"/>
  <c r="AF108" i="2"/>
  <c r="E1085" i="2"/>
  <c r="F145" i="2" s="1"/>
  <c r="AE110" i="2"/>
  <c r="AF110" i="2"/>
  <c r="G149" i="2"/>
  <c r="H149" i="2"/>
  <c r="N149" i="2"/>
  <c r="Q149" i="2"/>
  <c r="R149" i="2"/>
  <c r="S149" i="2"/>
  <c r="T149" i="2"/>
  <c r="U149" i="2"/>
  <c r="V149" i="2"/>
  <c r="W149" i="2"/>
  <c r="X149" i="2"/>
  <c r="Z5" i="1"/>
  <c r="AB5" i="1"/>
  <c r="Z6" i="1"/>
  <c r="AB6" i="1"/>
  <c r="Z8" i="1"/>
  <c r="AB8" i="1"/>
  <c r="Z9" i="1"/>
  <c r="AB9" i="1"/>
  <c r="Z10" i="1"/>
  <c r="AB10" i="1"/>
  <c r="D11" i="1"/>
  <c r="Z11" i="1"/>
  <c r="AB11" i="1"/>
  <c r="D1314" i="1"/>
  <c r="Z14" i="1"/>
  <c r="AB14" i="1"/>
  <c r="Z16" i="1"/>
  <c r="AB16" i="1"/>
  <c r="Z18" i="1"/>
  <c r="AB18" i="1"/>
  <c r="Z19" i="1"/>
  <c r="AB19" i="1"/>
  <c r="Z23" i="1"/>
  <c r="AB23" i="1"/>
  <c r="Z24" i="1"/>
  <c r="AB24" i="1"/>
  <c r="Z25" i="1"/>
  <c r="AB25" i="1"/>
  <c r="Z26" i="1"/>
  <c r="AB26" i="1"/>
  <c r="Z27" i="1"/>
  <c r="AB27" i="1"/>
  <c r="Z32" i="1"/>
  <c r="AB32" i="1"/>
  <c r="Z33" i="1"/>
  <c r="AB33" i="1"/>
  <c r="Z36" i="1"/>
  <c r="AB36" i="1"/>
  <c r="Z37" i="1"/>
  <c r="AB37" i="1"/>
  <c r="D38" i="1"/>
  <c r="D773" i="1" s="1"/>
  <c r="Z38" i="1"/>
  <c r="AB38" i="1"/>
  <c r="Z39" i="1"/>
  <c r="AB39" i="1"/>
  <c r="Z41" i="1"/>
  <c r="AB41" i="1"/>
  <c r="Z45" i="1"/>
  <c r="AB45" i="1"/>
  <c r="Z51" i="1"/>
  <c r="AB51" i="1"/>
  <c r="L52" i="1"/>
  <c r="S377" i="2" s="1"/>
  <c r="Z52" i="1"/>
  <c r="AB52" i="1"/>
  <c r="Z56" i="1"/>
  <c r="AB56" i="1"/>
  <c r="Z57" i="1"/>
  <c r="AB57" i="1"/>
  <c r="AB60" i="1"/>
  <c r="Z62" i="1"/>
  <c r="AB62" i="1"/>
  <c r="Z63" i="1"/>
  <c r="AB63" i="1"/>
  <c r="L64" i="1"/>
  <c r="AB64" i="1"/>
  <c r="Z65" i="1"/>
  <c r="AB65" i="1"/>
  <c r="Z66" i="1"/>
  <c r="AB66" i="1"/>
  <c r="Z67" i="1"/>
  <c r="AB67" i="1"/>
  <c r="Z68" i="1"/>
  <c r="AB68" i="1"/>
  <c r="AB69" i="1"/>
  <c r="Z70" i="1"/>
  <c r="AB70" i="1"/>
  <c r="Z71" i="1"/>
  <c r="AB71" i="1"/>
  <c r="Z72" i="1"/>
  <c r="AB72" i="1"/>
  <c r="Z73" i="1"/>
  <c r="AB73" i="1"/>
  <c r="D75" i="1"/>
  <c r="D1326" i="1" s="1"/>
  <c r="Z75" i="1"/>
  <c r="AB75" i="1"/>
  <c r="Z77" i="1"/>
  <c r="AB77" i="1"/>
  <c r="D78" i="1"/>
  <c r="Z78" i="1"/>
  <c r="AB78" i="1"/>
  <c r="Z79" i="1"/>
  <c r="AB79" i="1"/>
  <c r="Z81" i="1"/>
  <c r="AB81" i="1"/>
  <c r="Z82" i="1"/>
  <c r="AB82" i="1"/>
  <c r="D1328" i="1"/>
  <c r="Z84" i="1"/>
  <c r="AB84" i="1"/>
  <c r="D85" i="1"/>
  <c r="Z85" i="1"/>
  <c r="AB85" i="1"/>
  <c r="Z86" i="1"/>
  <c r="AB86" i="1"/>
  <c r="AB87" i="1"/>
  <c r="Z88" i="1"/>
  <c r="AB88" i="1"/>
  <c r="AB89" i="1"/>
  <c r="Z90" i="1"/>
  <c r="AB90" i="1"/>
  <c r="Z92" i="1"/>
  <c r="AB92" i="1"/>
  <c r="Z94" i="1"/>
  <c r="AB94" i="1"/>
  <c r="Z96" i="1"/>
  <c r="AB96" i="1"/>
  <c r="D97" i="1"/>
  <c r="Z97" i="1"/>
  <c r="AB97" i="1"/>
  <c r="Z99" i="1"/>
  <c r="AB99" i="1"/>
  <c r="Z100" i="1"/>
  <c r="AB100" i="1"/>
  <c r="Z103" i="1"/>
  <c r="AB103" i="1"/>
  <c r="Z106" i="1"/>
  <c r="AB106" i="1"/>
  <c r="Z107" i="1"/>
  <c r="AB107" i="1"/>
  <c r="Z110" i="1"/>
  <c r="AB110" i="1"/>
  <c r="Z113" i="1"/>
  <c r="AB113" i="1"/>
  <c r="Z116" i="1"/>
  <c r="AB116" i="1"/>
  <c r="Z118" i="1"/>
  <c r="AB118" i="1"/>
  <c r="AB124" i="1"/>
  <c r="Z127" i="1"/>
  <c r="AB127" i="1"/>
  <c r="Z129" i="1"/>
  <c r="AB129" i="1"/>
  <c r="Z130" i="1"/>
  <c r="AB130" i="1"/>
  <c r="Z131" i="1"/>
  <c r="AB131" i="1"/>
  <c r="Z133" i="1"/>
  <c r="AB133" i="1"/>
  <c r="AB134" i="1"/>
  <c r="Z136" i="1"/>
  <c r="AB136" i="1"/>
  <c r="Z137" i="1"/>
  <c r="AB137" i="1"/>
  <c r="D139" i="1"/>
  <c r="Z139" i="1"/>
  <c r="AB139" i="1"/>
  <c r="Z141" i="1"/>
  <c r="AB141" i="1"/>
  <c r="Z142" i="1"/>
  <c r="AB142" i="1"/>
  <c r="Z144" i="1"/>
  <c r="AB144" i="1"/>
  <c r="AB145" i="1"/>
  <c r="D146" i="1"/>
  <c r="Z146" i="1"/>
  <c r="AB146" i="1"/>
  <c r="Z148" i="1"/>
  <c r="AB148" i="1"/>
  <c r="Z152" i="1"/>
  <c r="AB152" i="1"/>
  <c r="Z155" i="1"/>
  <c r="AB155" i="1"/>
  <c r="Z160" i="1"/>
  <c r="AB160" i="1"/>
  <c r="Z164" i="1"/>
  <c r="AB164" i="1"/>
  <c r="D1335" i="1"/>
  <c r="Z165" i="1"/>
  <c r="AB165" i="1"/>
  <c r="Z177" i="1"/>
  <c r="AB177" i="1"/>
  <c r="Z178" i="1"/>
  <c r="AB178" i="1"/>
  <c r="Z180" i="1"/>
  <c r="AB180" i="1"/>
  <c r="Z182" i="1"/>
  <c r="AB182" i="1"/>
  <c r="Z183" i="1"/>
  <c r="AB183" i="1"/>
  <c r="Z185" i="1"/>
  <c r="AB185" i="1"/>
  <c r="Z187" i="1"/>
  <c r="AB187" i="1"/>
  <c r="Z190" i="1"/>
  <c r="AB190" i="1"/>
  <c r="D1338" i="1"/>
  <c r="Z191" i="1"/>
  <c r="AB191" i="1"/>
  <c r="Z192" i="1"/>
  <c r="AB192" i="1"/>
  <c r="Z194" i="1"/>
  <c r="AB194" i="1"/>
  <c r="AB196" i="1"/>
  <c r="AB197" i="1"/>
  <c r="Z198" i="1"/>
  <c r="AB198" i="1"/>
  <c r="Z200" i="1"/>
  <c r="AB200" i="1"/>
  <c r="Z201" i="1"/>
  <c r="AB201" i="1"/>
  <c r="Z203" i="1"/>
  <c r="AB203" i="1"/>
  <c r="AB204" i="1"/>
  <c r="Z205" i="1"/>
  <c r="AB205" i="1"/>
  <c r="Z207" i="1"/>
  <c r="AB207" i="1"/>
  <c r="AB212" i="1"/>
  <c r="Z216" i="1"/>
  <c r="AB216" i="1"/>
  <c r="D1341" i="1"/>
  <c r="Z219" i="1"/>
  <c r="AB219" i="1"/>
  <c r="AB220" i="1"/>
  <c r="D221" i="1"/>
  <c r="D780" i="1" s="1"/>
  <c r="Z221" i="1"/>
  <c r="AB221" i="1"/>
  <c r="Z223" i="1"/>
  <c r="AB223" i="1"/>
  <c r="Z227" i="1"/>
  <c r="AB227" i="1"/>
  <c r="Z228" i="1"/>
  <c r="AB228" i="1"/>
  <c r="Z229" i="1"/>
  <c r="AB229" i="1"/>
  <c r="AB230" i="1"/>
  <c r="Z232" i="1"/>
  <c r="AB232" i="1"/>
  <c r="Z233" i="1"/>
  <c r="AB233" i="1"/>
  <c r="Z234" i="1"/>
  <c r="AB234" i="1"/>
  <c r="Z241" i="1"/>
  <c r="AB241" i="1"/>
  <c r="Z247" i="1"/>
  <c r="AB247" i="1"/>
  <c r="Z248" i="1"/>
  <c r="AB248" i="1"/>
  <c r="D249" i="1"/>
  <c r="Z249" i="1"/>
  <c r="AB249" i="1"/>
  <c r="D251" i="1"/>
  <c r="Z251" i="1"/>
  <c r="AB251" i="1"/>
  <c r="AB252" i="1"/>
  <c r="Z253" i="1"/>
  <c r="AB253" i="1"/>
  <c r="Z254" i="1"/>
  <c r="AB254" i="1"/>
  <c r="Z255" i="1"/>
  <c r="AB255" i="1"/>
  <c r="Z256" i="1"/>
  <c r="AB256" i="1"/>
  <c r="Z260" i="1"/>
  <c r="AB260" i="1"/>
  <c r="Z261" i="1"/>
  <c r="AB261" i="1"/>
  <c r="Z262" i="1"/>
  <c r="AB262" i="1"/>
  <c r="Z263" i="1"/>
  <c r="AB263" i="1"/>
  <c r="Z266" i="1"/>
  <c r="AB266" i="1"/>
  <c r="Z267" i="1"/>
  <c r="AB267" i="1"/>
  <c r="Z268" i="1"/>
  <c r="AB268" i="1"/>
  <c r="Z269" i="1"/>
  <c r="AB269" i="1"/>
  <c r="Z270" i="1"/>
  <c r="AB270" i="1"/>
  <c r="AB271" i="1"/>
  <c r="Z273" i="1"/>
  <c r="AB273" i="1"/>
  <c r="Z274" i="1"/>
  <c r="AB274" i="1"/>
  <c r="Z275" i="1"/>
  <c r="AB275" i="1"/>
  <c r="D284" i="1"/>
  <c r="Z284" i="1"/>
  <c r="AB284" i="1"/>
  <c r="Z285" i="1"/>
  <c r="AB285" i="1"/>
  <c r="Z286" i="1"/>
  <c r="AB286" i="1"/>
  <c r="Z287" i="1"/>
  <c r="AB287" i="1"/>
  <c r="Z291" i="1"/>
  <c r="AB291" i="1"/>
  <c r="Z293" i="1"/>
  <c r="AB293" i="1"/>
  <c r="Z295" i="1"/>
  <c r="AB295" i="1"/>
  <c r="Z297" i="1"/>
  <c r="AB297" i="1"/>
  <c r="Z299" i="1"/>
  <c r="AB299" i="1"/>
  <c r="AB304" i="1"/>
  <c r="Z305" i="1"/>
  <c r="AB305" i="1"/>
  <c r="Z308" i="1"/>
  <c r="AB308" i="1"/>
  <c r="Z312" i="1"/>
  <c r="AB312" i="1"/>
  <c r="Z315" i="1"/>
  <c r="AB315" i="1"/>
  <c r="Z316" i="1"/>
  <c r="AB316" i="1"/>
  <c r="Z317" i="1"/>
  <c r="AB317" i="1"/>
  <c r="D318" i="1"/>
  <c r="D784" i="1" s="1"/>
  <c r="Z318" i="1"/>
  <c r="AB318" i="1"/>
  <c r="Z321" i="1"/>
  <c r="AB321" i="1"/>
  <c r="Z325" i="1"/>
  <c r="AB325" i="1"/>
  <c r="Z326" i="1"/>
  <c r="AB326" i="1"/>
  <c r="Z329" i="1"/>
  <c r="AB329" i="1"/>
  <c r="Z330" i="1"/>
  <c r="AB330" i="1"/>
  <c r="AB334" i="1"/>
  <c r="Z337" i="1"/>
  <c r="AB337" i="1"/>
  <c r="Z338" i="1"/>
  <c r="AB338" i="1"/>
  <c r="D339" i="1"/>
  <c r="Z339" i="1"/>
  <c r="AB339" i="1"/>
  <c r="Z340" i="1"/>
  <c r="AB340" i="1"/>
  <c r="Z342" i="1"/>
  <c r="AB342" i="1"/>
  <c r="Z343" i="1"/>
  <c r="AB343" i="1"/>
  <c r="Z345" i="1"/>
  <c r="AB345" i="1"/>
  <c r="Z346" i="1"/>
  <c r="AB346" i="1"/>
  <c r="Z349" i="1"/>
  <c r="AB349" i="1"/>
  <c r="Z352" i="1"/>
  <c r="AB352" i="1"/>
  <c r="Z355" i="1"/>
  <c r="AB355" i="1"/>
  <c r="Z358" i="1"/>
  <c r="AB358" i="1"/>
  <c r="Z359" i="1"/>
  <c r="AB359" i="1"/>
  <c r="AB361" i="1"/>
  <c r="Z364" i="1"/>
  <c r="AB364" i="1"/>
  <c r="AB367" i="1"/>
  <c r="Z374" i="1"/>
  <c r="AB374" i="1"/>
  <c r="Z375" i="1"/>
  <c r="AB375" i="1"/>
  <c r="Z379" i="1"/>
  <c r="AB379" i="1"/>
  <c r="Z380" i="1"/>
  <c r="AB380" i="1"/>
  <c r="Z382" i="1"/>
  <c r="AB382" i="1"/>
  <c r="Z384" i="1"/>
  <c r="AB384" i="1"/>
  <c r="Z391" i="1"/>
  <c r="AB391" i="1"/>
  <c r="Z393" i="1"/>
  <c r="AB393" i="1"/>
  <c r="Z394" i="1"/>
  <c r="AB394" i="1"/>
  <c r="Z398" i="1"/>
  <c r="AB398" i="1"/>
  <c r="Z400" i="1"/>
  <c r="AB400" i="1"/>
  <c r="Z401" i="1"/>
  <c r="AB401" i="1"/>
  <c r="Z402" i="1"/>
  <c r="AB402" i="1"/>
  <c r="Z403" i="1"/>
  <c r="AB403" i="1"/>
  <c r="Z404" i="1"/>
  <c r="AB404" i="1"/>
  <c r="Z407" i="1"/>
  <c r="AB407" i="1"/>
  <c r="Z408" i="1"/>
  <c r="AB408" i="1"/>
  <c r="Z409" i="1"/>
  <c r="AB409" i="1"/>
  <c r="Z410" i="1"/>
  <c r="AB410" i="1"/>
  <c r="Z412" i="1"/>
  <c r="AB412" i="1"/>
  <c r="D413" i="1"/>
  <c r="D787" i="1" s="1"/>
  <c r="Z413" i="1"/>
  <c r="AB413" i="1"/>
  <c r="Z414" i="1"/>
  <c r="AB414" i="1"/>
  <c r="Z415" i="1"/>
  <c r="AB415" i="1"/>
  <c r="Z416" i="1"/>
  <c r="AB416" i="1"/>
  <c r="Z417" i="1"/>
  <c r="AB417" i="1"/>
  <c r="Z418" i="1"/>
  <c r="AB418" i="1"/>
  <c r="Z420" i="1"/>
  <c r="AB420" i="1"/>
  <c r="AB423" i="1"/>
  <c r="Z425" i="1"/>
  <c r="AB425" i="1"/>
  <c r="Z427" i="1"/>
  <c r="AB427" i="1"/>
  <c r="Z429" i="1"/>
  <c r="AB429" i="1"/>
  <c r="Z431" i="1"/>
  <c r="AB431" i="1"/>
  <c r="AB432" i="1"/>
  <c r="D433" i="1"/>
  <c r="Z433" i="1"/>
  <c r="AB433" i="1"/>
  <c r="Z437" i="1"/>
  <c r="AB437" i="1"/>
  <c r="Z439" i="1"/>
  <c r="AB439" i="1"/>
  <c r="Z441" i="1"/>
  <c r="AB441" i="1"/>
  <c r="Z442" i="1"/>
  <c r="AB442" i="1"/>
  <c r="Z445" i="1"/>
  <c r="AB445" i="1"/>
  <c r="Z446" i="1"/>
  <c r="AB446" i="1"/>
  <c r="Z447" i="1"/>
  <c r="AB447" i="1"/>
  <c r="Z448" i="1"/>
  <c r="AB448" i="1"/>
  <c r="D452" i="1"/>
  <c r="D789" i="1" s="1"/>
  <c r="Z452" i="1"/>
  <c r="AB452" i="1"/>
  <c r="Z454" i="1"/>
  <c r="AB454" i="1"/>
  <c r="AB456" i="1"/>
  <c r="Z459" i="1"/>
  <c r="AB459" i="1"/>
  <c r="Z465" i="1"/>
  <c r="AB465" i="1"/>
  <c r="Z467" i="1"/>
  <c r="AB467" i="1"/>
  <c r="D471" i="1"/>
  <c r="Z471" i="1"/>
  <c r="AB471" i="1"/>
  <c r="Z472" i="1"/>
  <c r="AB472" i="1"/>
  <c r="Z475" i="1"/>
  <c r="AB475" i="1"/>
  <c r="Z477" i="1"/>
  <c r="AB477" i="1"/>
  <c r="Z488" i="1"/>
  <c r="AB488" i="1"/>
  <c r="Z493" i="1"/>
  <c r="AB493" i="1"/>
  <c r="AB494" i="1"/>
  <c r="AB496" i="1"/>
  <c r="Z505" i="1"/>
  <c r="AB505" i="1"/>
  <c r="Z506" i="1"/>
  <c r="AB506" i="1"/>
  <c r="Z507" i="1"/>
  <c r="AB507" i="1"/>
  <c r="Z508" i="1"/>
  <c r="AB508" i="1"/>
  <c r="AB510" i="1"/>
  <c r="Z511" i="1"/>
  <c r="AB511" i="1"/>
  <c r="Z512" i="1"/>
  <c r="AB512" i="1"/>
  <c r="Z513" i="1"/>
  <c r="AB513" i="1"/>
  <c r="Z514" i="1"/>
  <c r="AB514" i="1"/>
  <c r="Z517" i="1"/>
  <c r="AB517" i="1"/>
  <c r="Z519" i="1"/>
  <c r="AB519" i="1"/>
  <c r="AB521" i="1"/>
  <c r="Z523" i="1"/>
  <c r="AB523" i="1"/>
  <c r="Z528" i="1"/>
  <c r="AB528" i="1"/>
  <c r="D531" i="1"/>
  <c r="Z531" i="1"/>
  <c r="AB531" i="1"/>
  <c r="Z532" i="1"/>
  <c r="AB532" i="1"/>
  <c r="Z537" i="1"/>
  <c r="AB537" i="1"/>
  <c r="Z540" i="1"/>
  <c r="AB540" i="1"/>
  <c r="Z543" i="1"/>
  <c r="AB543" i="1"/>
  <c r="Z544" i="1"/>
  <c r="AB544" i="1"/>
  <c r="Z545" i="1"/>
  <c r="AB545" i="1"/>
  <c r="Z548" i="1"/>
  <c r="AB548" i="1"/>
  <c r="Z549" i="1"/>
  <c r="AB549" i="1"/>
  <c r="AB551" i="1"/>
  <c r="Z552" i="1"/>
  <c r="AB552" i="1"/>
  <c r="Z555" i="1"/>
  <c r="AB555" i="1"/>
  <c r="Z558" i="1"/>
  <c r="AB558" i="1"/>
  <c r="Z560" i="1"/>
  <c r="AB560" i="1"/>
  <c r="Z561" i="1"/>
  <c r="AB561" i="1"/>
  <c r="Z562" i="1"/>
  <c r="AB562" i="1"/>
  <c r="Z566" i="1"/>
  <c r="AB566" i="1"/>
  <c r="D567" i="1"/>
  <c r="Z567" i="1"/>
  <c r="AB567" i="1"/>
  <c r="Z568" i="1"/>
  <c r="AB568" i="1"/>
  <c r="Z572" i="1"/>
  <c r="AB572" i="1"/>
  <c r="Z577" i="1"/>
  <c r="AB577" i="1"/>
  <c r="Z583" i="1"/>
  <c r="AB583" i="1"/>
  <c r="Z586" i="1"/>
  <c r="AB586" i="1"/>
  <c r="Z587" i="1"/>
  <c r="AB587" i="1"/>
  <c r="Z588" i="1"/>
  <c r="AB588" i="1"/>
  <c r="Z589" i="1"/>
  <c r="AB589" i="1"/>
  <c r="Z591" i="1"/>
  <c r="AB591" i="1"/>
  <c r="Z592" i="1"/>
  <c r="AB592" i="1"/>
  <c r="Z593" i="1"/>
  <c r="AB593" i="1"/>
  <c r="Z594" i="1"/>
  <c r="AB594" i="1"/>
  <c r="Z595" i="1"/>
  <c r="AB595" i="1"/>
  <c r="Z597" i="1"/>
  <c r="AB597" i="1"/>
  <c r="Z600" i="1"/>
  <c r="AB600" i="1"/>
  <c r="Z601" i="1"/>
  <c r="AB601" i="1"/>
  <c r="Z602" i="1"/>
  <c r="AB602" i="1"/>
  <c r="Z603" i="1"/>
  <c r="AB603" i="1"/>
  <c r="G617" i="1"/>
  <c r="G616" i="1" s="1"/>
  <c r="O617" i="1"/>
  <c r="F753" i="1"/>
  <c r="F754" i="1"/>
  <c r="F755" i="1"/>
  <c r="F756" i="1"/>
  <c r="F757" i="1"/>
  <c r="F87" i="2" l="1"/>
  <c r="AK87" i="2" s="1"/>
  <c r="AA88" i="2"/>
  <c r="C88" i="2" s="1"/>
  <c r="AI88" i="2" s="1"/>
  <c r="F88" i="2"/>
  <c r="AK88" i="2" s="1"/>
  <c r="AK23" i="2"/>
  <c r="AK46" i="2"/>
  <c r="D782" i="1"/>
  <c r="AI110" i="2"/>
  <c r="D14" i="18"/>
  <c r="E230" i="1"/>
  <c r="C955" i="2"/>
  <c r="C956" i="2" s="1"/>
  <c r="F955" i="2"/>
  <c r="F84" i="2" s="1"/>
  <c r="E957" i="2"/>
  <c r="C999" i="2"/>
  <c r="AK62" i="2"/>
  <c r="G152" i="8"/>
  <c r="G153" i="8" s="1"/>
  <c r="C23" i="2"/>
  <c r="AI23" i="2" s="1"/>
  <c r="C139" i="2"/>
  <c r="C62" i="2"/>
  <c r="C137" i="2"/>
  <c r="C87" i="2"/>
  <c r="AI87" i="2" s="1"/>
  <c r="C92" i="2"/>
  <c r="AI92" i="2" s="1"/>
  <c r="E554" i="2"/>
  <c r="C61" i="2"/>
  <c r="AI61" i="2" s="1"/>
  <c r="C44" i="2"/>
  <c r="AI44" i="2" s="1"/>
  <c r="C134" i="2"/>
  <c r="G15" i="18"/>
  <c r="C131" i="2"/>
  <c r="C75" i="2"/>
  <c r="AI75" i="2" s="1"/>
  <c r="C15" i="2"/>
  <c r="AI15" i="2" s="1"/>
  <c r="C118" i="2"/>
  <c r="C119" i="2"/>
  <c r="I105" i="9"/>
  <c r="Q105" i="9" s="1"/>
  <c r="Q91" i="9"/>
  <c r="I106" i="9"/>
  <c r="M106" i="9" s="1"/>
  <c r="C37" i="2"/>
  <c r="E35" i="8"/>
  <c r="I34" i="8"/>
  <c r="I35" i="8" s="1"/>
  <c r="D45" i="1"/>
  <c r="E1000" i="2"/>
  <c r="D1312" i="1"/>
  <c r="C67" i="2"/>
  <c r="AI67" i="2" s="1"/>
  <c r="E785" i="1"/>
  <c r="E1357" i="1"/>
  <c r="E774" i="1"/>
  <c r="E1323" i="1"/>
  <c r="E792" i="1"/>
  <c r="E1385" i="1"/>
  <c r="D795" i="1"/>
  <c r="D1390" i="1"/>
  <c r="D785" i="1"/>
  <c r="D1357" i="1"/>
  <c r="D788" i="1"/>
  <c r="D1374" i="1"/>
  <c r="D781" i="1"/>
  <c r="D1343" i="1"/>
  <c r="E796" i="1"/>
  <c r="E1391" i="1"/>
  <c r="E779" i="1"/>
  <c r="E1341" i="1"/>
  <c r="D798" i="1"/>
  <c r="D1393" i="1"/>
  <c r="D796" i="1"/>
  <c r="D1391" i="1"/>
  <c r="D779" i="1"/>
  <c r="E798" i="1"/>
  <c r="E1393" i="1"/>
  <c r="E788" i="1"/>
  <c r="E1374" i="1"/>
  <c r="E781" i="1"/>
  <c r="E1343" i="1"/>
  <c r="D792" i="1"/>
  <c r="D1385" i="1"/>
  <c r="D774" i="1"/>
  <c r="D1323" i="1"/>
  <c r="E794" i="1"/>
  <c r="D794" i="1"/>
  <c r="C25" i="2"/>
  <c r="AI25" i="2" s="1"/>
  <c r="D107" i="1"/>
  <c r="AA16" i="2"/>
  <c r="C12" i="2"/>
  <c r="AI12" i="2" s="1"/>
  <c r="C122" i="2"/>
  <c r="C35" i="2"/>
  <c r="AI35" i="2" s="1"/>
  <c r="C36" i="2"/>
  <c r="AI36" i="2" s="1"/>
  <c r="C34" i="2"/>
  <c r="AI34" i="2" s="1"/>
  <c r="E1087" i="2"/>
  <c r="D1375" i="1"/>
  <c r="D230" i="1"/>
  <c r="C65" i="2"/>
  <c r="AI65" i="2" s="1"/>
  <c r="C19" i="2"/>
  <c r="AI19" i="2" s="1"/>
  <c r="C143" i="2"/>
  <c r="C135" i="2"/>
  <c r="C89" i="2"/>
  <c r="AI89" i="2" s="1"/>
  <c r="C59" i="2"/>
  <c r="AI59" i="2" s="1"/>
  <c r="C107" i="2"/>
  <c r="AI107" i="2" s="1"/>
  <c r="C85" i="2"/>
  <c r="AI85" i="2" s="1"/>
  <c r="A277" i="6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C94" i="2"/>
  <c r="AI94" i="2" s="1"/>
  <c r="D1359" i="1"/>
  <c r="D9" i="1"/>
  <c r="D248" i="1"/>
  <c r="D1339" i="1"/>
  <c r="D31" i="1"/>
  <c r="D56" i="1"/>
  <c r="W296" i="1"/>
  <c r="X296" i="1"/>
  <c r="C17" i="2"/>
  <c r="AI17" i="2" s="1"/>
  <c r="C8" i="2"/>
  <c r="AI8" i="2" s="1"/>
  <c r="X344" i="1"/>
  <c r="W344" i="1"/>
  <c r="D144" i="1"/>
  <c r="W313" i="1"/>
  <c r="X313" i="1"/>
  <c r="W453" i="1"/>
  <c r="X453" i="1"/>
  <c r="X470" i="1"/>
  <c r="W470" i="1"/>
  <c r="W333" i="1"/>
  <c r="X333" i="1"/>
  <c r="W460" i="1"/>
  <c r="X460" i="1"/>
  <c r="W457" i="1"/>
  <c r="X457" i="1"/>
  <c r="D192" i="1"/>
  <c r="W43" i="1"/>
  <c r="X43" i="1"/>
  <c r="W587" i="1"/>
  <c r="X601" i="1"/>
  <c r="D35" i="8"/>
  <c r="W47" i="1"/>
  <c r="X47" i="1"/>
  <c r="C22" i="2"/>
  <c r="AI22" i="2" s="1"/>
  <c r="D6" i="1"/>
  <c r="X548" i="1"/>
  <c r="W29" i="1"/>
  <c r="X29" i="1"/>
  <c r="X543" i="1"/>
  <c r="X246" i="1"/>
  <c r="W246" i="1"/>
  <c r="W572" i="1"/>
  <c r="X568" i="1"/>
  <c r="X540" i="1"/>
  <c r="W517" i="1"/>
  <c r="W508" i="1"/>
  <c r="X493" i="1"/>
  <c r="D41" i="1"/>
  <c r="W551" i="1"/>
  <c r="X549" i="1"/>
  <c r="W465" i="1"/>
  <c r="W93" i="1"/>
  <c r="X93" i="1"/>
  <c r="X602" i="1"/>
  <c r="W577" i="1"/>
  <c r="X597" i="1"/>
  <c r="W583" i="1"/>
  <c r="W558" i="1"/>
  <c r="X544" i="1"/>
  <c r="X595" i="1"/>
  <c r="W588" i="1"/>
  <c r="X600" i="1"/>
  <c r="W586" i="1"/>
  <c r="X567" i="1"/>
  <c r="W560" i="1"/>
  <c r="X545" i="1"/>
  <c r="W467" i="1"/>
  <c r="X603" i="1"/>
  <c r="W602" i="1"/>
  <c r="W601" i="1"/>
  <c r="W600" i="1"/>
  <c r="W597" i="1"/>
  <c r="W595" i="1"/>
  <c r="X594" i="1"/>
  <c r="X593" i="1"/>
  <c r="X592" i="1"/>
  <c r="X591" i="1"/>
  <c r="W568" i="1"/>
  <c r="W567" i="1"/>
  <c r="X566" i="1"/>
  <c r="X562" i="1"/>
  <c r="W549" i="1"/>
  <c r="W548" i="1"/>
  <c r="W545" i="1"/>
  <c r="W544" i="1"/>
  <c r="W543" i="1"/>
  <c r="W540" i="1"/>
  <c r="X537" i="1"/>
  <c r="W523" i="1"/>
  <c r="W519" i="1"/>
  <c r="X512" i="1"/>
  <c r="X510" i="1"/>
  <c r="W494" i="1"/>
  <c r="X437" i="1"/>
  <c r="W594" i="1"/>
  <c r="W593" i="1"/>
  <c r="W592" i="1"/>
  <c r="W591" i="1"/>
  <c r="X589" i="1"/>
  <c r="W566" i="1"/>
  <c r="W562" i="1"/>
  <c r="X561" i="1"/>
  <c r="W552" i="1"/>
  <c r="W513" i="1"/>
  <c r="X506" i="1"/>
  <c r="X477" i="1"/>
  <c r="X459" i="1"/>
  <c r="W589" i="1"/>
  <c r="X588" i="1"/>
  <c r="X587" i="1"/>
  <c r="X586" i="1"/>
  <c r="X583" i="1"/>
  <c r="X577" i="1"/>
  <c r="X572" i="1"/>
  <c r="W561" i="1"/>
  <c r="X560" i="1"/>
  <c r="X558" i="1"/>
  <c r="W514" i="1"/>
  <c r="X507" i="1"/>
  <c r="X496" i="1"/>
  <c r="D475" i="1"/>
  <c r="D1377" i="1" s="1"/>
  <c r="W215" i="1"/>
  <c r="X215" i="1"/>
  <c r="X533" i="1"/>
  <c r="W533" i="1"/>
  <c r="E38" i="1"/>
  <c r="E773" i="1" s="1"/>
  <c r="W287" i="1"/>
  <c r="X259" i="1"/>
  <c r="W259" i="1"/>
  <c r="C32" i="2"/>
  <c r="AI32" i="2" s="1"/>
  <c r="F758" i="1"/>
  <c r="F759" i="1" s="1"/>
  <c r="F760" i="1" s="1"/>
  <c r="F761" i="1" s="1"/>
  <c r="W555" i="1"/>
  <c r="X552" i="1"/>
  <c r="X551" i="1"/>
  <c r="W532" i="1"/>
  <c r="W531" i="1"/>
  <c r="X528" i="1"/>
  <c r="X521" i="1"/>
  <c r="W511" i="1"/>
  <c r="W505" i="1"/>
  <c r="X471" i="1"/>
  <c r="X456" i="1"/>
  <c r="X454" i="1"/>
  <c r="W452" i="1"/>
  <c r="X448" i="1"/>
  <c r="W427" i="1"/>
  <c r="W404" i="1"/>
  <c r="X375" i="1"/>
  <c r="X233" i="1"/>
  <c r="W223" i="1"/>
  <c r="W528" i="1"/>
  <c r="X523" i="1"/>
  <c r="W521" i="1"/>
  <c r="X519" i="1"/>
  <c r="X517" i="1"/>
  <c r="X514" i="1"/>
  <c r="X513" i="1"/>
  <c r="X494" i="1"/>
  <c r="X475" i="1"/>
  <c r="W472" i="1"/>
  <c r="W471" i="1"/>
  <c r="X467" i="1"/>
  <c r="X465" i="1"/>
  <c r="W456" i="1"/>
  <c r="W454" i="1"/>
  <c r="W423" i="1"/>
  <c r="W339" i="1"/>
  <c r="X338" i="1"/>
  <c r="W185" i="1"/>
  <c r="X298" i="1"/>
  <c r="W298" i="1"/>
  <c r="X555" i="1"/>
  <c r="W537" i="1"/>
  <c r="X532" i="1"/>
  <c r="X531" i="1"/>
  <c r="W512" i="1"/>
  <c r="X511" i="1"/>
  <c r="W507" i="1"/>
  <c r="W506" i="1"/>
  <c r="X505" i="1"/>
  <c r="W496" i="1"/>
  <c r="W493" i="1"/>
  <c r="X488" i="1"/>
  <c r="W441" i="1"/>
  <c r="X439" i="1"/>
  <c r="X152" i="1"/>
  <c r="W116" i="1"/>
  <c r="X447" i="1"/>
  <c r="X433" i="1"/>
  <c r="W253" i="1"/>
  <c r="X426" i="1"/>
  <c r="W426" i="1"/>
  <c r="X446" i="1"/>
  <c r="X432" i="1"/>
  <c r="X57" i="1"/>
  <c r="W324" i="1"/>
  <c r="X324" i="1"/>
  <c r="W172" i="1"/>
  <c r="X172" i="1"/>
  <c r="X8" i="1"/>
  <c r="W473" i="1"/>
  <c r="X473" i="1"/>
  <c r="W510" i="1"/>
  <c r="X508" i="1"/>
  <c r="W488" i="1"/>
  <c r="W477" i="1"/>
  <c r="W475" i="1"/>
  <c r="X472" i="1"/>
  <c r="W459" i="1"/>
  <c r="W448" i="1"/>
  <c r="W447" i="1"/>
  <c r="W425" i="1"/>
  <c r="W407" i="1"/>
  <c r="X379" i="1"/>
  <c r="X361" i="1"/>
  <c r="X346" i="1"/>
  <c r="W254" i="1"/>
  <c r="W219" i="1"/>
  <c r="X216" i="1"/>
  <c r="W197" i="1"/>
  <c r="W187" i="1"/>
  <c r="W180" i="1"/>
  <c r="X178" i="1"/>
  <c r="X155" i="1"/>
  <c r="W145" i="1"/>
  <c r="X92" i="1"/>
  <c r="W90" i="1"/>
  <c r="W418" i="1"/>
  <c r="X417" i="1"/>
  <c r="X416" i="1"/>
  <c r="X415" i="1"/>
  <c r="X414" i="1"/>
  <c r="W408" i="1"/>
  <c r="W402" i="1"/>
  <c r="X401" i="1"/>
  <c r="X400" i="1"/>
  <c r="X394" i="1"/>
  <c r="W382" i="1"/>
  <c r="X380" i="1"/>
  <c r="W352" i="1"/>
  <c r="X349" i="1"/>
  <c r="W342" i="1"/>
  <c r="X334" i="1"/>
  <c r="X312" i="1"/>
  <c r="W308" i="1"/>
  <c r="W255" i="1"/>
  <c r="W220" i="1"/>
  <c r="W190" i="1"/>
  <c r="W182" i="1"/>
  <c r="W164" i="1"/>
  <c r="X160" i="1"/>
  <c r="W124" i="1"/>
  <c r="W106" i="1"/>
  <c r="X79" i="1"/>
  <c r="W75" i="1"/>
  <c r="X73" i="1"/>
  <c r="X18" i="1"/>
  <c r="X452" i="1"/>
  <c r="X445" i="1"/>
  <c r="W442" i="1"/>
  <c r="W439" i="1"/>
  <c r="W437" i="1"/>
  <c r="W433" i="1"/>
  <c r="W432" i="1"/>
  <c r="X431" i="1"/>
  <c r="W420" i="1"/>
  <c r="W417" i="1"/>
  <c r="W416" i="1"/>
  <c r="W415" i="1"/>
  <c r="W414" i="1"/>
  <c r="X413" i="1"/>
  <c r="W403" i="1"/>
  <c r="W401" i="1"/>
  <c r="W400" i="1"/>
  <c r="X398" i="1"/>
  <c r="W384" i="1"/>
  <c r="X325" i="1"/>
  <c r="W321" i="1"/>
  <c r="X318" i="1"/>
  <c r="W297" i="1"/>
  <c r="W275" i="1"/>
  <c r="X274" i="1"/>
  <c r="W256" i="1"/>
  <c r="W249" i="1"/>
  <c r="X248" i="1"/>
  <c r="W221" i="1"/>
  <c r="W183" i="1"/>
  <c r="W133" i="1"/>
  <c r="X131" i="1"/>
  <c r="W113" i="1"/>
  <c r="W97" i="1"/>
  <c r="X96" i="1"/>
  <c r="X87" i="1"/>
  <c r="W86" i="1"/>
  <c r="X85" i="1"/>
  <c r="X69" i="1"/>
  <c r="W68" i="1"/>
  <c r="X19" i="1"/>
  <c r="W536" i="1"/>
  <c r="X6" i="1"/>
  <c r="X62" i="1"/>
  <c r="W63" i="1"/>
  <c r="X64" i="1"/>
  <c r="W67" i="1"/>
  <c r="X72" i="1"/>
  <c r="W103" i="1"/>
  <c r="X110" i="1"/>
  <c r="X113" i="1"/>
  <c r="X116" i="1"/>
  <c r="W118" i="1"/>
  <c r="X136" i="1"/>
  <c r="W137" i="1"/>
  <c r="X139" i="1"/>
  <c r="W144" i="1"/>
  <c r="X164" i="1"/>
  <c r="W165" i="1"/>
  <c r="X177" i="1"/>
  <c r="X180" i="1"/>
  <c r="X182" i="1"/>
  <c r="X183" i="1"/>
  <c r="X185" i="1"/>
  <c r="X187" i="1"/>
  <c r="X190" i="1"/>
  <c r="W191" i="1"/>
  <c r="W192" i="1"/>
  <c r="W196" i="1"/>
  <c r="X203" i="1"/>
  <c r="W204" i="1"/>
  <c r="W205" i="1"/>
  <c r="W207" i="1"/>
  <c r="W212" i="1"/>
  <c r="X219" i="1"/>
  <c r="X220" i="1"/>
  <c r="X221" i="1"/>
  <c r="X223" i="1"/>
  <c r="W227" i="1"/>
  <c r="X232" i="1"/>
  <c r="X247" i="1"/>
  <c r="X249" i="1"/>
  <c r="W251" i="1"/>
  <c r="W252" i="1"/>
  <c r="X253" i="1"/>
  <c r="X254" i="1"/>
  <c r="X255" i="1"/>
  <c r="X256" i="1"/>
  <c r="W260" i="1"/>
  <c r="W261" i="1"/>
  <c r="W262" i="1"/>
  <c r="W263" i="1"/>
  <c r="X273" i="1"/>
  <c r="X275" i="1"/>
  <c r="W284" i="1"/>
  <c r="W286" i="1"/>
  <c r="W295" i="1"/>
  <c r="W305" i="1"/>
  <c r="X330" i="1"/>
  <c r="X339" i="1"/>
  <c r="W340" i="1"/>
  <c r="X352" i="1"/>
  <c r="W355" i="1"/>
  <c r="W358" i="1"/>
  <c r="X382" i="1"/>
  <c r="X384" i="1"/>
  <c r="W391" i="1"/>
  <c r="W393" i="1"/>
  <c r="X402" i="1"/>
  <c r="X403" i="1"/>
  <c r="X404" i="1"/>
  <c r="X407" i="1"/>
  <c r="X408" i="1"/>
  <c r="W409" i="1"/>
  <c r="W410" i="1"/>
  <c r="W412" i="1"/>
  <c r="X418" i="1"/>
  <c r="X420" i="1"/>
  <c r="X423" i="1"/>
  <c r="X425" i="1"/>
  <c r="X427" i="1"/>
  <c r="W429" i="1"/>
  <c r="X441" i="1"/>
  <c r="X442" i="1"/>
  <c r="W445" i="1"/>
  <c r="W446" i="1"/>
  <c r="X422" i="1"/>
  <c r="W360" i="1"/>
  <c r="X536" i="1"/>
  <c r="X5" i="1"/>
  <c r="X10" i="1"/>
  <c r="W11" i="1"/>
  <c r="X14" i="1"/>
  <c r="W16" i="1"/>
  <c r="W24" i="1"/>
  <c r="X25" i="1"/>
  <c r="W26" i="1"/>
  <c r="W27" i="1"/>
  <c r="W33" i="1"/>
  <c r="X39" i="1"/>
  <c r="W41" i="1"/>
  <c r="W51" i="1"/>
  <c r="W66" i="1"/>
  <c r="X71" i="1"/>
  <c r="X82" i="1"/>
  <c r="W84" i="1"/>
  <c r="W88" i="1"/>
  <c r="X89" i="1"/>
  <c r="W100" i="1"/>
  <c r="X129" i="1"/>
  <c r="W130" i="1"/>
  <c r="W142" i="1"/>
  <c r="X191" i="1"/>
  <c r="X192" i="1"/>
  <c r="W194" i="1"/>
  <c r="X201" i="1"/>
  <c r="X204" i="1"/>
  <c r="X205" i="1"/>
  <c r="X207" i="1"/>
  <c r="X212" i="1"/>
  <c r="X227" i="1"/>
  <c r="W228" i="1"/>
  <c r="X229" i="1"/>
  <c r="W230" i="1"/>
  <c r="X241" i="1"/>
  <c r="X251" i="1"/>
  <c r="X252" i="1"/>
  <c r="X260" i="1"/>
  <c r="X261" i="1"/>
  <c r="X262" i="1"/>
  <c r="X263" i="1"/>
  <c r="W266" i="1"/>
  <c r="X267" i="1"/>
  <c r="W268" i="1"/>
  <c r="W269" i="1"/>
  <c r="W270" i="1"/>
  <c r="W271" i="1"/>
  <c r="X284" i="1"/>
  <c r="W285" i="1"/>
  <c r="W293" i="1"/>
  <c r="W304" i="1"/>
  <c r="X316" i="1"/>
  <c r="W317" i="1"/>
  <c r="X329" i="1"/>
  <c r="X358" i="1"/>
  <c r="W359" i="1"/>
  <c r="W364" i="1"/>
  <c r="W367" i="1"/>
  <c r="W374" i="1"/>
  <c r="X391" i="1"/>
  <c r="X393" i="1"/>
  <c r="W394" i="1"/>
  <c r="W398" i="1"/>
  <c r="X409" i="1"/>
  <c r="X410" i="1"/>
  <c r="X412" i="1"/>
  <c r="W413" i="1"/>
  <c r="X429" i="1"/>
  <c r="W431" i="1"/>
  <c r="X9" i="1"/>
  <c r="X16" i="1"/>
  <c r="W18" i="1"/>
  <c r="W19" i="1"/>
  <c r="W23" i="1"/>
  <c r="X26" i="1"/>
  <c r="X27" i="1"/>
  <c r="W32" i="1"/>
  <c r="W37" i="1"/>
  <c r="X38" i="1"/>
  <c r="X41" i="1"/>
  <c r="W45" i="1"/>
  <c r="X52" i="1"/>
  <c r="X60" i="1"/>
  <c r="W65" i="1"/>
  <c r="X70" i="1"/>
  <c r="X81" i="1"/>
  <c r="X84" i="1"/>
  <c r="W85" i="1"/>
  <c r="X94" i="1"/>
  <c r="W96" i="1"/>
  <c r="W99" i="1"/>
  <c r="X127" i="1"/>
  <c r="X130" i="1"/>
  <c r="W131" i="1"/>
  <c r="W134" i="1"/>
  <c r="W146" i="1"/>
  <c r="X148" i="1"/>
  <c r="W152" i="1"/>
  <c r="W155" i="1"/>
  <c r="W160" i="1"/>
  <c r="W198" i="1"/>
  <c r="X200" i="1"/>
  <c r="X230" i="1"/>
  <c r="X234" i="1"/>
  <c r="X268" i="1"/>
  <c r="X269" i="1"/>
  <c r="X270" i="1"/>
  <c r="X271" i="1"/>
  <c r="W291" i="1"/>
  <c r="W299" i="1"/>
  <c r="X315" i="1"/>
  <c r="X317" i="1"/>
  <c r="W318" i="1"/>
  <c r="X326" i="1"/>
  <c r="X337" i="1"/>
  <c r="W338" i="1"/>
  <c r="W343" i="1"/>
  <c r="X345" i="1"/>
  <c r="W346" i="1"/>
  <c r="W349" i="1"/>
  <c r="X359" i="1"/>
  <c r="W361" i="1"/>
  <c r="X364" i="1"/>
  <c r="X367" i="1"/>
  <c r="X374" i="1"/>
  <c r="W375" i="1"/>
  <c r="W379" i="1"/>
  <c r="W380" i="1"/>
  <c r="E1390" i="1"/>
  <c r="W526" i="1"/>
  <c r="W434" i="1"/>
  <c r="X434" i="1"/>
  <c r="X355" i="1"/>
  <c r="W345" i="1"/>
  <c r="X343" i="1"/>
  <c r="X342" i="1"/>
  <c r="X340" i="1"/>
  <c r="W337" i="1"/>
  <c r="W334" i="1"/>
  <c r="W330" i="1"/>
  <c r="W329" i="1"/>
  <c r="W326" i="1"/>
  <c r="W325" i="1"/>
  <c r="X321" i="1"/>
  <c r="W316" i="1"/>
  <c r="W315" i="1"/>
  <c r="W312" i="1"/>
  <c r="X308" i="1"/>
  <c r="X305" i="1"/>
  <c r="X304" i="1"/>
  <c r="X299" i="1"/>
  <c r="X297" i="1"/>
  <c r="X295" i="1"/>
  <c r="X293" i="1"/>
  <c r="X291" i="1"/>
  <c r="X287" i="1"/>
  <c r="X286" i="1"/>
  <c r="X285" i="1"/>
  <c r="W274" i="1"/>
  <c r="W273" i="1"/>
  <c r="W267" i="1"/>
  <c r="X266" i="1"/>
  <c r="W248" i="1"/>
  <c r="W247" i="1"/>
  <c r="W241" i="1"/>
  <c r="W234" i="1"/>
  <c r="W233" i="1"/>
  <c r="W232" i="1"/>
  <c r="W229" i="1"/>
  <c r="X228" i="1"/>
  <c r="W216" i="1"/>
  <c r="W203" i="1"/>
  <c r="W201" i="1"/>
  <c r="W200" i="1"/>
  <c r="X198" i="1"/>
  <c r="X197" i="1"/>
  <c r="X196" i="1"/>
  <c r="X194" i="1"/>
  <c r="W178" i="1"/>
  <c r="W177" i="1"/>
  <c r="X165" i="1"/>
  <c r="W148" i="1"/>
  <c r="X146" i="1"/>
  <c r="X145" i="1"/>
  <c r="X144" i="1"/>
  <c r="X142" i="1"/>
  <c r="X141" i="1"/>
  <c r="W136" i="1"/>
  <c r="X118" i="1"/>
  <c r="X107" i="1"/>
  <c r="X99" i="1"/>
  <c r="X97" i="1"/>
  <c r="X78" i="1"/>
  <c r="W77" i="1"/>
  <c r="W73" i="1"/>
  <c r="W72" i="1"/>
  <c r="W71" i="1"/>
  <c r="W70" i="1"/>
  <c r="W69" i="1"/>
  <c r="X68" i="1"/>
  <c r="X67" i="1"/>
  <c r="X66" i="1"/>
  <c r="X65" i="1"/>
  <c r="W64" i="1"/>
  <c r="X63" i="1"/>
  <c r="W60" i="1"/>
  <c r="W57" i="1"/>
  <c r="X56" i="1"/>
  <c r="X51" i="1"/>
  <c r="X45" i="1"/>
  <c r="W36" i="1"/>
  <c r="W10" i="1"/>
  <c r="W9" i="1"/>
  <c r="W8" i="1"/>
  <c r="W6" i="1"/>
  <c r="W5" i="1"/>
  <c r="W95" i="1"/>
  <c r="X353" i="1"/>
  <c r="X360" i="1"/>
  <c r="W372" i="1"/>
  <c r="X526" i="1"/>
  <c r="W35" i="1"/>
  <c r="X35" i="1"/>
  <c r="W31" i="1"/>
  <c r="X225" i="1"/>
  <c r="X541" i="1"/>
  <c r="E475" i="1"/>
  <c r="E1377" i="1" s="1"/>
  <c r="X450" i="1"/>
  <c r="W314" i="1"/>
  <c r="E254" i="8"/>
  <c r="D39" i="1"/>
  <c r="C66" i="2"/>
  <c r="AI66" i="2" s="1"/>
  <c r="W141" i="1"/>
  <c r="W139" i="1"/>
  <c r="X137" i="1"/>
  <c r="X134" i="1"/>
  <c r="X133" i="1"/>
  <c r="W129" i="1"/>
  <c r="W127" i="1"/>
  <c r="X124" i="1"/>
  <c r="W110" i="1"/>
  <c r="W107" i="1"/>
  <c r="X106" i="1"/>
  <c r="X103" i="1"/>
  <c r="X100" i="1"/>
  <c r="W94" i="1"/>
  <c r="W92" i="1"/>
  <c r="X90" i="1"/>
  <c r="W89" i="1"/>
  <c r="X88" i="1"/>
  <c r="W87" i="1"/>
  <c r="X86" i="1"/>
  <c r="W82" i="1"/>
  <c r="W81" i="1"/>
  <c r="W79" i="1"/>
  <c r="W78" i="1"/>
  <c r="X77" i="1"/>
  <c r="X75" i="1"/>
  <c r="W62" i="1"/>
  <c r="W56" i="1"/>
  <c r="W52" i="1"/>
  <c r="W39" i="1"/>
  <c r="W38" i="1"/>
  <c r="X37" i="1"/>
  <c r="X36" i="1"/>
  <c r="X33" i="1"/>
  <c r="X32" i="1"/>
  <c r="W25" i="1"/>
  <c r="X24" i="1"/>
  <c r="X23" i="1"/>
  <c r="W14" i="1"/>
  <c r="X11" i="1"/>
  <c r="W491" i="1"/>
  <c r="X74" i="1"/>
  <c r="W109" i="1"/>
  <c r="W257" i="1"/>
  <c r="W135" i="1"/>
  <c r="X480" i="1"/>
  <c r="X31" i="1"/>
  <c r="W74" i="1"/>
  <c r="X95" i="1"/>
  <c r="X372" i="1"/>
  <c r="W30" i="1"/>
  <c r="W490" i="1"/>
  <c r="X490" i="1"/>
  <c r="W422" i="1"/>
  <c r="X491" i="1"/>
  <c r="W353" i="1"/>
  <c r="X109" i="1"/>
  <c r="W450" i="1"/>
  <c r="X257" i="1"/>
  <c r="W225" i="1"/>
  <c r="X135" i="1"/>
  <c r="W435" i="1"/>
  <c r="X30" i="1"/>
  <c r="W541" i="1"/>
  <c r="C100" i="2"/>
  <c r="AI100" i="2" s="1"/>
  <c r="C46" i="2"/>
  <c r="AI46" i="2" s="1"/>
  <c r="C41" i="2"/>
  <c r="AI41" i="2" s="1"/>
  <c r="D94" i="1"/>
  <c r="C56" i="2"/>
  <c r="AI56" i="2" s="1"/>
  <c r="C10" i="2"/>
  <c r="AI10" i="2" s="1"/>
  <c r="Z612" i="1"/>
  <c r="Z613" i="1" s="1"/>
  <c r="AA20" i="2"/>
  <c r="C64" i="2"/>
  <c r="AI64" i="2" s="1"/>
  <c r="C24" i="2"/>
  <c r="AI24" i="2" s="1"/>
  <c r="X314" i="1"/>
  <c r="X435" i="1"/>
  <c r="W480" i="1"/>
  <c r="E150" i="2" l="1"/>
  <c r="AA84" i="2"/>
  <c r="AA147" i="2" s="1"/>
  <c r="AK84" i="2"/>
  <c r="D618" i="1"/>
  <c r="E151" i="2" s="1"/>
  <c r="AI37" i="2"/>
  <c r="D16" i="18"/>
  <c r="G16" i="18" s="1"/>
  <c r="C149" i="2"/>
  <c r="AI62" i="2"/>
  <c r="C1411" i="2"/>
  <c r="C16" i="2"/>
  <c r="AI16" i="2" s="1"/>
  <c r="D616" i="1"/>
  <c r="G14" i="18"/>
  <c r="C51" i="2"/>
  <c r="AI51" i="2" s="1"/>
  <c r="I122" i="9"/>
  <c r="I125" i="9" s="1"/>
  <c r="I119" i="9"/>
  <c r="E616" i="1"/>
  <c r="E618" i="1"/>
  <c r="E795" i="1"/>
  <c r="C20" i="2"/>
  <c r="AI20" i="2" s="1"/>
  <c r="C84" i="2" l="1"/>
  <c r="AI84" i="2" s="1"/>
  <c r="AA148" i="2"/>
  <c r="C147" i="2" l="1"/>
  <c r="C150" i="2" s="1"/>
  <c r="C148" i="2"/>
  <c r="I18" i="5"/>
  <c r="I19" i="5" s="1"/>
  <c r="I20" i="5" s="1"/>
  <c r="I21" i="5" s="1"/>
  <c r="I22" i="5" s="1"/>
  <c r="I23" i="5" s="1"/>
  <c r="I24" i="5" s="1"/>
  <c r="I25" i="5" s="1"/>
  <c r="E617" i="1" l="1"/>
  <c r="I26" i="5"/>
  <c r="I27" i="5" s="1"/>
  <c r="I28" i="5" s="1"/>
  <c r="I29" i="5" s="1"/>
  <c r="I30" i="5" s="1"/>
  <c r="I31" i="5" s="1"/>
  <c r="I32" i="5" s="1"/>
  <c r="I33" i="5" l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l="1"/>
  <c r="I45" i="5" s="1"/>
  <c r="I46" i="5" s="1"/>
  <c r="I47" i="5" s="1"/>
  <c r="I48" i="5" s="1"/>
  <c r="I49" i="5" s="1"/>
  <c r="I50" i="5" s="1"/>
  <c r="A1314" i="1"/>
  <c r="A1395" i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I51" i="5" l="1"/>
  <c r="I53" i="5" s="1"/>
  <c r="I52" i="5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A1315" i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I82" i="5" l="1"/>
  <c r="I83" i="5" s="1"/>
  <c r="I84" i="5" s="1"/>
  <c r="I85" i="5" s="1"/>
  <c r="I86" i="5" s="1"/>
  <c r="B1440" i="1"/>
  <c r="I87" i="5" l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E496" i="19"/>
  <c r="E497" i="19" s="1"/>
  <c r="E498" i="19" s="1"/>
  <c r="E499" i="19" s="1"/>
  <c r="E500" i="19" s="1"/>
  <c r="E501" i="19" s="1"/>
  <c r="E502" i="19" s="1"/>
  <c r="E503" i="19" s="1"/>
  <c r="E504" i="19" s="1"/>
  <c r="E505" i="19" s="1"/>
  <c r="E506" i="19" s="1"/>
  <c r="E507" i="19" s="1"/>
  <c r="E508" i="19" s="1"/>
  <c r="E509" i="19" s="1"/>
  <c r="E510" i="19" s="1"/>
  <c r="E511" i="19" s="1"/>
  <c r="E512" i="19" s="1"/>
  <c r="E513" i="19" s="1"/>
  <c r="E514" i="19" s="1"/>
  <c r="E515" i="19" s="1"/>
  <c r="E516" i="19" s="1"/>
  <c r="E517" i="19" s="1"/>
  <c r="E518" i="19" s="1"/>
  <c r="E519" i="19" s="1"/>
  <c r="E520" i="19" s="1"/>
  <c r="E521" i="19" s="1"/>
  <c r="E522" i="19" s="1"/>
  <c r="E523" i="19" s="1"/>
  <c r="E524" i="19" s="1"/>
  <c r="E525" i="19" s="1"/>
  <c r="E526" i="19" s="1"/>
  <c r="E527" i="19" s="1"/>
  <c r="E528" i="19" s="1"/>
  <c r="E529" i="19" s="1"/>
  <c r="E530" i="19" s="1"/>
  <c r="E531" i="19" s="1"/>
  <c r="E532" i="19" s="1"/>
  <c r="E533" i="19" s="1"/>
  <c r="E534" i="19" s="1"/>
  <c r="E535" i="19" s="1"/>
  <c r="E536" i="19" s="1"/>
  <c r="E537" i="19" s="1"/>
  <c r="E538" i="19" s="1"/>
  <c r="E539" i="19" s="1"/>
  <c r="E540" i="19" s="1"/>
  <c r="E541" i="19" s="1"/>
  <c r="E542" i="19" s="1"/>
  <c r="E543" i="19" s="1"/>
  <c r="E544" i="19" s="1"/>
  <c r="E545" i="19" s="1"/>
  <c r="I98" i="5" l="1"/>
  <c r="E546" i="19"/>
  <c r="E547" i="19" s="1"/>
  <c r="E548" i="19" s="1"/>
  <c r="E549" i="19" s="1"/>
  <c r="E550" i="19" s="1"/>
  <c r="E551" i="19" s="1"/>
  <c r="E552" i="19" s="1"/>
  <c r="E553" i="19" s="1"/>
  <c r="E554" i="19" s="1"/>
  <c r="E555" i="19" s="1"/>
  <c r="E556" i="19" s="1"/>
  <c r="E557" i="19" s="1"/>
  <c r="E558" i="19" s="1"/>
  <c r="E559" i="19" s="1"/>
  <c r="E560" i="19" s="1"/>
  <c r="E561" i="19" s="1"/>
  <c r="E562" i="19" s="1"/>
  <c r="E563" i="19" s="1"/>
  <c r="E564" i="19" s="1"/>
  <c r="E565" i="19" s="1"/>
  <c r="E566" i="19" s="1"/>
  <c r="E567" i="19" s="1"/>
  <c r="E568" i="19" s="1"/>
  <c r="I99" i="5" l="1"/>
  <c r="I100" i="5" s="1"/>
  <c r="I101" i="5" s="1"/>
  <c r="E569" i="19"/>
  <c r="E570" i="19" s="1"/>
  <c r="E571" i="19" s="1"/>
  <c r="E572" i="19" s="1"/>
  <c r="E573" i="19" s="1"/>
  <c r="E574" i="19" s="1"/>
  <c r="E575" i="19" s="1"/>
  <c r="E576" i="19" s="1"/>
  <c r="E577" i="19" s="1"/>
  <c r="E578" i="19" s="1"/>
  <c r="E579" i="19" s="1"/>
  <c r="E580" i="19" s="1"/>
  <c r="E581" i="19" s="1"/>
  <c r="E582" i="19" s="1"/>
  <c r="E583" i="19" s="1"/>
  <c r="E584" i="19" s="1"/>
  <c r="E585" i="19" s="1"/>
  <c r="E586" i="19" s="1"/>
  <c r="E587" i="19" s="1"/>
  <c r="E588" i="19" s="1"/>
  <c r="E589" i="19" s="1"/>
  <c r="E590" i="19" s="1"/>
  <c r="I102" i="5" l="1"/>
  <c r="I104" i="5" s="1"/>
  <c r="I106" i="5" s="1"/>
  <c r="I103" i="5"/>
  <c r="I105" i="5" s="1"/>
  <c r="I107" i="5" s="1"/>
  <c r="I108" i="5" s="1"/>
  <c r="E591" i="19"/>
  <c r="E592" i="19" s="1"/>
  <c r="E593" i="19" s="1"/>
  <c r="E594" i="19" s="1"/>
  <c r="E595" i="19" s="1"/>
  <c r="E596" i="19" s="1"/>
  <c r="B1206" i="1" l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E597" i="19"/>
  <c r="E598" i="19" s="1"/>
  <c r="E599" i="19" s="1"/>
  <c r="E600" i="19" s="1"/>
  <c r="E601" i="19" s="1"/>
  <c r="E602" i="19" s="1"/>
  <c r="E603" i="19" s="1"/>
  <c r="E604" i="19" l="1"/>
  <c r="E605" i="19" s="1"/>
  <c r="E606" i="19" s="1"/>
  <c r="E607" i="19" s="1"/>
  <c r="E608" i="19" s="1"/>
  <c r="E609" i="19" s="1"/>
  <c r="E610" i="19" s="1"/>
  <c r="E611" i="19" s="1"/>
  <c r="E612" i="19" s="1"/>
  <c r="E613" i="19" s="1"/>
  <c r="E614" i="19" s="1"/>
  <c r="E615" i="19" s="1"/>
  <c r="E616" i="19" s="1"/>
  <c r="E617" i="19" s="1"/>
  <c r="E618" i="19" s="1"/>
  <c r="E619" i="19" s="1"/>
  <c r="E620" i="19" s="1"/>
  <c r="E621" i="19" s="1"/>
  <c r="E622" i="19" s="1"/>
  <c r="E623" i="19" s="1"/>
  <c r="E624" i="19" s="1"/>
  <c r="E625" i="19" l="1"/>
  <c r="E626" i="19" s="1"/>
  <c r="E627" i="19" s="1"/>
  <c r="E628" i="19" s="1"/>
  <c r="E629" i="19" s="1"/>
  <c r="E630" i="19" s="1"/>
  <c r="E631" i="19" s="1"/>
  <c r="E632" i="19" s="1"/>
  <c r="E633" i="19" s="1"/>
  <c r="E634" i="19" s="1"/>
  <c r="E635" i="19" s="1"/>
  <c r="E636" i="19" s="1"/>
  <c r="E637" i="19" s="1"/>
  <c r="E638" i="19" l="1"/>
  <c r="E639" i="19" s="1"/>
  <c r="E640" i="19" s="1"/>
  <c r="E641" i="19" s="1"/>
  <c r="E642" i="19" s="1"/>
  <c r="E643" i="19" s="1"/>
  <c r="E644" i="19" s="1"/>
  <c r="E645" i="19" s="1"/>
  <c r="E646" i="19" s="1"/>
  <c r="E647" i="19" s="1"/>
  <c r="I109" i="5"/>
  <c r="I110" i="5"/>
  <c r="I111" i="5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3" i="5" l="1"/>
  <c r="I124" i="5" s="1"/>
  <c r="I125" i="5" s="1"/>
  <c r="I126" i="5" s="1"/>
  <c r="I127" i="5" s="1"/>
  <c r="I128" i="5" s="1"/>
  <c r="I129" i="5" s="1"/>
  <c r="I130" i="5" s="1"/>
  <c r="I131" i="5" s="1"/>
  <c r="I122" i="5"/>
  <c r="E648" i="19"/>
  <c r="E649" i="19" s="1"/>
  <c r="E650" i="19" s="1"/>
  <c r="E651" i="19" s="1"/>
  <c r="E652" i="19" s="1"/>
  <c r="E653" i="19" l="1"/>
  <c r="I132" i="5"/>
  <c r="I133" i="5"/>
  <c r="I134" i="5" s="1"/>
  <c r="I135" i="5" s="1"/>
  <c r="I136" i="5" s="1"/>
  <c r="I137" i="5" s="1"/>
  <c r="I138" i="5" s="1"/>
  <c r="I139" i="5" s="1"/>
  <c r="I140" i="5" s="1"/>
  <c r="I141" i="5" s="1"/>
  <c r="I142" i="5" s="1"/>
  <c r="E654" i="19" l="1"/>
  <c r="E655" i="19" s="1"/>
  <c r="E656" i="19" s="1"/>
  <c r="E657" i="19" s="1"/>
  <c r="E658" i="19" s="1"/>
  <c r="E659" i="19" s="1"/>
  <c r="E660" i="19" s="1"/>
  <c r="E661" i="19" s="1"/>
  <c r="E662" i="19" s="1"/>
  <c r="E663" i="19" s="1"/>
  <c r="E664" i="19" s="1"/>
  <c r="E665" i="19" s="1"/>
  <c r="E666" i="19" s="1"/>
  <c r="E667" i="19" s="1"/>
  <c r="E668" i="19" s="1"/>
  <c r="E669" i="19" s="1"/>
  <c r="E670" i="19" s="1"/>
  <c r="E671" i="19" s="1"/>
  <c r="E672" i="19" s="1"/>
  <c r="E673" i="19" s="1"/>
  <c r="E674" i="19" s="1"/>
  <c r="E675" i="19" s="1"/>
  <c r="E676" i="19" s="1"/>
  <c r="E677" i="19" s="1"/>
  <c r="E678" i="19" s="1"/>
  <c r="E679" i="19" s="1"/>
  <c r="E680" i="19" s="1"/>
  <c r="E681" i="19" s="1"/>
  <c r="E682" i="19" s="1"/>
  <c r="E683" i="19" s="1"/>
  <c r="E684" i="19" s="1"/>
  <c r="E685" i="19" s="1"/>
  <c r="E686" i="19" s="1"/>
  <c r="E687" i="19" s="1"/>
  <c r="E688" i="19" s="1"/>
  <c r="E689" i="19" s="1"/>
  <c r="E690" i="19" s="1"/>
  <c r="E691" i="19" s="1"/>
  <c r="E692" i="19" s="1"/>
  <c r="E693" i="19" s="1"/>
  <c r="E694" i="19" s="1"/>
  <c r="E695" i="19" s="1"/>
  <c r="E696" i="19" s="1"/>
  <c r="E697" i="19" s="1"/>
  <c r="E698" i="19" s="1"/>
  <c r="E699" i="19" s="1"/>
  <c r="E700" i="19" s="1"/>
  <c r="E701" i="19" s="1"/>
  <c r="E702" i="19" s="1"/>
  <c r="E703" i="19" s="1"/>
  <c r="E704" i="19" s="1"/>
  <c r="E705" i="19" s="1"/>
  <c r="E706" i="19" s="1"/>
  <c r="E707" i="19" s="1"/>
  <c r="E708" i="19" s="1"/>
  <c r="E709" i="19" s="1"/>
  <c r="E710" i="19" s="1"/>
  <c r="E711" i="19" s="1"/>
  <c r="E712" i="19" s="1"/>
  <c r="E713" i="19" s="1"/>
  <c r="E714" i="19" s="1"/>
  <c r="E715" i="19" s="1"/>
  <c r="E716" i="19" s="1"/>
  <c r="E717" i="19" s="1"/>
  <c r="E718" i="19" s="1"/>
  <c r="E719" i="19" s="1"/>
  <c r="E720" i="19" s="1"/>
  <c r="E721" i="19" s="1"/>
  <c r="E722" i="19" s="1"/>
  <c r="E723" i="19" s="1"/>
  <c r="E724" i="19" s="1"/>
  <c r="E725" i="19" s="1"/>
  <c r="E726" i="19" s="1"/>
  <c r="E727" i="19" s="1"/>
  <c r="E728" i="19" s="1"/>
  <c r="E729" i="19" s="1"/>
  <c r="E730" i="19" s="1"/>
  <c r="E731" i="19" s="1"/>
  <c r="E732" i="19" s="1"/>
  <c r="E733" i="19" s="1"/>
  <c r="E734" i="19" s="1"/>
  <c r="E735" i="19" s="1"/>
  <c r="E736" i="19" s="1"/>
  <c r="E737" i="19" s="1"/>
  <c r="E738" i="19" s="1"/>
  <c r="E739" i="19" s="1"/>
  <c r="E740" i="19" s="1"/>
  <c r="E741" i="19" s="1"/>
  <c r="E742" i="19" s="1"/>
  <c r="E743" i="19" s="1"/>
  <c r="E744" i="19" s="1"/>
  <c r="E745" i="19" s="1"/>
  <c r="E746" i="19" s="1"/>
  <c r="E747" i="19" s="1"/>
  <c r="E748" i="19" s="1"/>
  <c r="E749" i="19" s="1"/>
  <c r="E750" i="19" s="1"/>
  <c r="E751" i="19" s="1"/>
  <c r="E752" i="19" s="1"/>
  <c r="E753" i="19" s="1"/>
  <c r="E754" i="19" s="1"/>
  <c r="E755" i="19" s="1"/>
  <c r="E756" i="19" s="1"/>
  <c r="E757" i="19" s="1"/>
  <c r="E758" i="19" s="1"/>
  <c r="E759" i="19" s="1"/>
  <c r="E760" i="19" s="1"/>
  <c r="E761" i="19" s="1"/>
  <c r="E762" i="19" s="1"/>
  <c r="E763" i="19" s="1"/>
  <c r="E764" i="19" s="1"/>
  <c r="E765" i="19" s="1"/>
  <c r="E766" i="19" s="1"/>
  <c r="E767" i="19" s="1"/>
  <c r="E768" i="19" s="1"/>
  <c r="E769" i="19" s="1"/>
  <c r="E770" i="19" s="1"/>
  <c r="E771" i="19" s="1"/>
  <c r="E772" i="19" s="1"/>
  <c r="E773" i="19" s="1"/>
  <c r="E774" i="19" s="1"/>
  <c r="E775" i="19" s="1"/>
  <c r="E776" i="19" s="1"/>
  <c r="E777" i="19" s="1"/>
  <c r="E778" i="19" s="1"/>
  <c r="E779" i="19" s="1"/>
  <c r="E780" i="19" s="1"/>
  <c r="E781" i="19" s="1"/>
  <c r="E782" i="19" s="1"/>
  <c r="E783" i="19" s="1"/>
  <c r="E784" i="19" s="1"/>
  <c r="E785" i="19" s="1"/>
  <c r="E786" i="19" s="1"/>
  <c r="E787" i="19" s="1"/>
  <c r="E788" i="19" s="1"/>
  <c r="E789" i="19" s="1"/>
  <c r="E790" i="19" s="1"/>
  <c r="E791" i="19" s="1"/>
  <c r="E792" i="19" s="1"/>
  <c r="E793" i="19" s="1"/>
  <c r="E794" i="19" s="1"/>
  <c r="E795" i="19" s="1"/>
  <c r="E796" i="19" s="1"/>
  <c r="E797" i="19" s="1"/>
  <c r="E798" i="19" s="1"/>
  <c r="E799" i="19" s="1"/>
  <c r="E800" i="19" s="1"/>
  <c r="E801" i="19" s="1"/>
  <c r="E802" i="19" s="1"/>
  <c r="E803" i="19" s="1"/>
  <c r="E804" i="19" s="1"/>
  <c r="E805" i="19" s="1"/>
  <c r="E806" i="19" s="1"/>
  <c r="E807" i="19" s="1"/>
  <c r="E808" i="19" s="1"/>
  <c r="E809" i="19" s="1"/>
  <c r="E810" i="19" s="1"/>
  <c r="E811" i="19" s="1"/>
  <c r="E812" i="19" s="1"/>
  <c r="E813" i="19" s="1"/>
  <c r="E814" i="19" s="1"/>
  <c r="E815" i="19" s="1"/>
  <c r="E816" i="19" s="1"/>
  <c r="E817" i="19" s="1"/>
  <c r="E818" i="19" s="1"/>
  <c r="E819" i="19" s="1"/>
  <c r="E820" i="19" s="1"/>
  <c r="E821" i="19" s="1"/>
  <c r="E822" i="19" s="1"/>
  <c r="E823" i="19" s="1"/>
  <c r="I144" i="5"/>
  <c r="I145" i="5" s="1"/>
  <c r="I146" i="5" s="1"/>
  <c r="I147" i="5" s="1"/>
  <c r="I148" i="5" s="1"/>
  <c r="I149" i="5" s="1"/>
  <c r="I150" i="5" s="1"/>
  <c r="I151" i="5" s="1"/>
  <c r="I152" i="5" s="1"/>
  <c r="I153" i="5" s="1"/>
  <c r="I143" i="5"/>
  <c r="I154" i="5" l="1"/>
  <c r="I155" i="5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l="1"/>
  <c r="I188" i="5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l="1"/>
  <c r="I205" i="5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E824" i="19"/>
  <c r="E825" i="19" s="1"/>
  <c r="E826" i="19" s="1"/>
  <c r="E827" i="19" s="1"/>
  <c r="E828" i="19" s="1"/>
  <c r="E829" i="19" s="1"/>
  <c r="E830" i="19" s="1"/>
  <c r="E831" i="19" s="1"/>
  <c r="E832" i="19" s="1"/>
  <c r="E833" i="19" s="1"/>
  <c r="E834" i="19" s="1"/>
  <c r="E835" i="19" s="1"/>
  <c r="E836" i="19" s="1"/>
  <c r="E837" i="19" s="1"/>
  <c r="E838" i="19" s="1"/>
  <c r="E839" i="19" s="1"/>
  <c r="E840" i="19" s="1"/>
  <c r="E841" i="19" s="1"/>
  <c r="E842" i="19" s="1"/>
  <c r="E843" i="19" s="1"/>
  <c r="E844" i="19" s="1"/>
  <c r="E845" i="19" s="1"/>
  <c r="E846" i="19" s="1"/>
  <c r="E847" i="19" s="1"/>
  <c r="E848" i="19" s="1"/>
  <c r="E849" i="19" s="1"/>
  <c r="E850" i="19" s="1"/>
  <c r="E851" i="19" s="1"/>
  <c r="E852" i="19" s="1"/>
  <c r="E853" i="19" s="1"/>
  <c r="E854" i="19" s="1"/>
  <c r="E855" i="19" s="1"/>
  <c r="E856" i="19" s="1"/>
  <c r="E857" i="19" s="1"/>
  <c r="E858" i="19" s="1"/>
  <c r="E859" i="19" s="1"/>
  <c r="E860" i="19" s="1"/>
  <c r="E861" i="19" s="1"/>
  <c r="E862" i="19" s="1"/>
  <c r="E863" i="19" s="1"/>
  <c r="E864" i="19" s="1"/>
  <c r="E865" i="19" s="1"/>
  <c r="E866" i="19" s="1"/>
  <c r="E867" i="19" s="1"/>
  <c r="E868" i="19" s="1"/>
  <c r="E869" i="19" s="1"/>
  <c r="E870" i="19" s="1"/>
  <c r="E871" i="19" s="1"/>
  <c r="E872" i="19" s="1"/>
  <c r="E873" i="19" s="1"/>
  <c r="E874" i="19" s="1"/>
  <c r="E875" i="19" s="1"/>
  <c r="E876" i="19" s="1"/>
  <c r="E877" i="19" s="1"/>
</calcChain>
</file>

<file path=xl/sharedStrings.xml><?xml version="1.0" encoding="utf-8"?>
<sst xmlns="http://schemas.openxmlformats.org/spreadsheetml/2006/main" count="68776" uniqueCount="17364">
  <si>
    <t>Crissy Fields</t>
  </si>
  <si>
    <t>run #255, 218th at Bushy Park</t>
  </si>
  <si>
    <t>first run at new course (Derby)</t>
  </si>
  <si>
    <t>run #301, 237th at Reading</t>
  </si>
  <si>
    <t>run #209, 141st at Reading</t>
  </si>
  <si>
    <t>run #283, 7th at Crane Park</t>
  </si>
  <si>
    <t xml:space="preserve">run #46, 43rd at Harrow  </t>
  </si>
  <si>
    <t>run #42, 41st at Harrow</t>
  </si>
  <si>
    <t>run #9, parkrun pb</t>
  </si>
  <si>
    <t>Bernard Sexton 20:12</t>
  </si>
  <si>
    <t>run #195, F-4</t>
  </si>
  <si>
    <t>200th run at Gunnersbury</t>
  </si>
  <si>
    <t>94th run at Gunnersbury</t>
  </si>
  <si>
    <t>run #3. 2nd at Gadebridge</t>
  </si>
  <si>
    <t>The Ponds, Crosby, Stretford</t>
  </si>
  <si>
    <t>first run at Fulham Palace</t>
  </si>
  <si>
    <t>Bushy pb</t>
  </si>
  <si>
    <t>volunteer set up and pb!</t>
  </si>
  <si>
    <t>run #210</t>
  </si>
  <si>
    <t xml:space="preserve"> and Results processor</t>
  </si>
  <si>
    <t>and Photographer</t>
  </si>
  <si>
    <t>first run at Havant</t>
  </si>
  <si>
    <t>run #181</t>
  </si>
  <si>
    <t>Daniela Mayerova **</t>
  </si>
  <si>
    <t>park #123</t>
  </si>
  <si>
    <t>Ian Cunningham at Colwick</t>
  </si>
  <si>
    <t>age group record</t>
  </si>
  <si>
    <t xml:space="preserve">Bill </t>
  </si>
  <si>
    <t>Poland run#1</t>
  </si>
  <si>
    <t>run #55, course pb</t>
  </si>
  <si>
    <t>Frog Hollow (Melbourne)</t>
  </si>
  <si>
    <t>stop 37 on Tram 19</t>
  </si>
  <si>
    <t>stop 129 on Tram 96</t>
  </si>
  <si>
    <t>50th parkrun</t>
  </si>
  <si>
    <t>OX27 7RD</t>
  </si>
  <si>
    <t>0819am Ilford train from L'Pool St</t>
  </si>
  <si>
    <t>BApark #157</t>
  </si>
  <si>
    <t>21st March 2015</t>
  </si>
  <si>
    <t>*</t>
  </si>
  <si>
    <t>BW at Newcastle</t>
  </si>
  <si>
    <t xml:space="preserve">Cunningham  </t>
  </si>
  <si>
    <t>Brundall</t>
  </si>
  <si>
    <t>Boat Race Sunday</t>
  </si>
  <si>
    <t>38th/58</t>
  </si>
  <si>
    <t>24th/67</t>
  </si>
  <si>
    <t>74th run at Gunnersbury</t>
  </si>
  <si>
    <t>138th run at Gunnersbury</t>
  </si>
  <si>
    <t>Paul.e.timms@ba.com</t>
  </si>
  <si>
    <t>Danny</t>
  </si>
  <si>
    <t>Lawrence</t>
  </si>
  <si>
    <t>Bill Byrne</t>
  </si>
  <si>
    <t>CFP</t>
  </si>
  <si>
    <t>injured !</t>
  </si>
  <si>
    <t>Roger</t>
  </si>
  <si>
    <t>Wiltshire</t>
  </si>
  <si>
    <t>run #35</t>
  </si>
  <si>
    <t>Gunnersbury 64</t>
  </si>
  <si>
    <t>Gunnersbury 71</t>
  </si>
  <si>
    <t xml:space="preserve">Highbury Fields </t>
  </si>
  <si>
    <t>now a full member</t>
  </si>
  <si>
    <t>park #26</t>
  </si>
  <si>
    <t>park #27</t>
  </si>
  <si>
    <t xml:space="preserve">Hilly Fields </t>
  </si>
  <si>
    <t xml:space="preserve">Greenwich </t>
  </si>
  <si>
    <t>Pat Butcher</t>
  </si>
  <si>
    <t>Selwyn Parker</t>
  </si>
  <si>
    <t>3 new parks</t>
  </si>
  <si>
    <t>Thurrock (67)</t>
  </si>
  <si>
    <t>Warburton-Brown</t>
  </si>
  <si>
    <t>BA park #233, run #10</t>
  </si>
  <si>
    <t>J&amp;B Scaife</t>
  </si>
  <si>
    <t>Emily Wrbrtn-Brown</t>
  </si>
  <si>
    <t xml:space="preserve">Emily W-Brown </t>
  </si>
  <si>
    <t xml:space="preserve">Sarah </t>
  </si>
  <si>
    <t>Canons Park</t>
  </si>
  <si>
    <t xml:space="preserve">7.26 train from Hammersmith, </t>
  </si>
  <si>
    <t>run #399</t>
  </si>
  <si>
    <t>HUL</t>
  </si>
  <si>
    <t>19th/993</t>
  </si>
  <si>
    <t>run #162</t>
  </si>
  <si>
    <t>PNO</t>
  </si>
  <si>
    <t>run #170, 149th at Bedfont</t>
  </si>
  <si>
    <t>run #214, 194th at Bedfont</t>
  </si>
  <si>
    <t>run #142, 115th at Bedfont</t>
  </si>
  <si>
    <t>cf pb 25:15, run #63</t>
  </si>
  <si>
    <t>run #107, 7th at Tring</t>
  </si>
  <si>
    <t>F-2, course pb, run #48</t>
  </si>
  <si>
    <t>run #18, 6th at Chichester</t>
  </si>
  <si>
    <t>run #59, 31st at Woking</t>
  </si>
  <si>
    <t>pacing daughter to pb</t>
  </si>
  <si>
    <t>acting tailender, park #68</t>
  </si>
  <si>
    <t>199th run at Gunnersbury</t>
  </si>
  <si>
    <t>M-4, run #5</t>
  </si>
  <si>
    <t>Bedfont pb</t>
  </si>
  <si>
    <t>Run Director</t>
  </si>
  <si>
    <t>run #117, 106th at Bushy</t>
  </si>
  <si>
    <t>run #62, 23rd at Harrogate</t>
  </si>
  <si>
    <t>run #19, 4th at Alice Holt</t>
  </si>
  <si>
    <t>run #197, 55th at Woodley</t>
  </si>
  <si>
    <t>run #78, best time this year</t>
  </si>
  <si>
    <t>run #105, 8th at Northala</t>
  </si>
  <si>
    <t>run #56, 30th at Maidenhead</t>
  </si>
  <si>
    <t>run #272</t>
  </si>
  <si>
    <t>7.06 H&amp;C train from Hsmith</t>
  </si>
  <si>
    <t xml:space="preserve">3 miles </t>
  </si>
  <si>
    <t>v hilly</t>
  </si>
  <si>
    <t>Liverpool St(Overground) to Cheshunt (with bike)</t>
  </si>
  <si>
    <t>run #206</t>
  </si>
  <si>
    <t>20 secs better than his V70-74 record set in 2013 which still stands!</t>
  </si>
  <si>
    <t>GU16 6HY</t>
  </si>
  <si>
    <t>TW9 2SF</t>
  </si>
  <si>
    <t>TW10 6RR</t>
  </si>
  <si>
    <t>Kirsty</t>
  </si>
  <si>
    <t>Greenpoint</t>
  </si>
  <si>
    <t>Greenpoint (Cape Town)</t>
  </si>
  <si>
    <t>GPZ</t>
  </si>
  <si>
    <t>to be run</t>
  </si>
  <si>
    <t>NR31 9HA</t>
  </si>
  <si>
    <t>Eire</t>
  </si>
  <si>
    <t>best time this year (again!)</t>
  </si>
  <si>
    <t>20th/358</t>
  </si>
  <si>
    <t>G'Bury(V)</t>
  </si>
  <si>
    <t>BAL</t>
  </si>
  <si>
    <t xml:space="preserve">22nd/25, </t>
  </si>
  <si>
    <t>152/206</t>
  </si>
  <si>
    <t>started 24/10/15</t>
  </si>
  <si>
    <t>started 2nd May 2015</t>
  </si>
  <si>
    <t>John Taylor</t>
  </si>
  <si>
    <t>Marion Woodhouse</t>
  </si>
  <si>
    <t>Crane Park</t>
  </si>
  <si>
    <t>run #193</t>
  </si>
  <si>
    <t>Colin Russell</t>
  </si>
  <si>
    <t>parkrun pb, club course record</t>
  </si>
  <si>
    <t>Merimbula</t>
  </si>
  <si>
    <t>61 miles by car</t>
  </si>
  <si>
    <t>Thetford</t>
  </si>
  <si>
    <t>IP24 1BB</t>
  </si>
  <si>
    <t>Colchester</t>
  </si>
  <si>
    <t>10.30 a.m.</t>
  </si>
  <si>
    <t>9 a.m.</t>
  </si>
  <si>
    <t>8.45 a.m.</t>
  </si>
  <si>
    <t>10 a.m.</t>
  </si>
  <si>
    <t xml:space="preserve">Reading </t>
  </si>
  <si>
    <t xml:space="preserve">Grovelands </t>
  </si>
  <si>
    <t xml:space="preserve">Ipswich </t>
  </si>
  <si>
    <t xml:space="preserve">St Albans </t>
  </si>
  <si>
    <t>S11 8TA</t>
  </si>
  <si>
    <t>Tfl rail from L'PoolSt or Stratford</t>
  </si>
  <si>
    <t>174 or 498 bus from Romford Stn to Raphael Park</t>
  </si>
  <si>
    <t>Stonehouse</t>
  </si>
  <si>
    <t>GL10 2DG</t>
  </si>
  <si>
    <t>will start 23 July 2016</t>
  </si>
  <si>
    <t>erstwhile member</t>
  </si>
  <si>
    <t>run #214</t>
  </si>
  <si>
    <t>start 10/10/15</t>
  </si>
  <si>
    <t>GL1 3LR</t>
  </si>
  <si>
    <t>2 miles by road and footpaths</t>
  </si>
  <si>
    <t>SW12 9SG</t>
  </si>
  <si>
    <t>Lincoln (Boultham Park)</t>
  </si>
  <si>
    <t>LN6 7SS</t>
  </si>
  <si>
    <t>RGP</t>
  </si>
  <si>
    <t>Reigate Priory</t>
  </si>
  <si>
    <t>DSA</t>
  </si>
  <si>
    <t>25th run at Woodley</t>
  </si>
  <si>
    <t>run #261</t>
  </si>
  <si>
    <t>run #61, F-5</t>
  </si>
  <si>
    <t>BA park #235, park #145</t>
  </si>
  <si>
    <t>or tube, train to Alexandra Palace</t>
  </si>
  <si>
    <t>124th/626</t>
  </si>
  <si>
    <t>run #116, 105th at Bushy</t>
  </si>
  <si>
    <t>run #252, 215th at Bushy</t>
  </si>
  <si>
    <t>run #148, 96th at Bedfont</t>
  </si>
  <si>
    <t>run #160, 110th at Bedfont</t>
  </si>
  <si>
    <t>run #46, best this year</t>
  </si>
  <si>
    <t>first run for 12 weeks</t>
  </si>
  <si>
    <t>run #24, 23rd at Oak Hill</t>
  </si>
  <si>
    <t>198th run at Gunnersbury</t>
  </si>
  <si>
    <t>Event</t>
  </si>
  <si>
    <t>Average</t>
  </si>
  <si>
    <t>All</t>
  </si>
  <si>
    <t>record</t>
  </si>
  <si>
    <t>Record</t>
  </si>
  <si>
    <t>Brockwell Park (Herne Hill)</t>
  </si>
  <si>
    <t>Wepre (Connah's Quay)</t>
  </si>
  <si>
    <t>CH5 4HL</t>
  </si>
  <si>
    <t>WCQ</t>
  </si>
  <si>
    <t>CSB</t>
  </si>
  <si>
    <t xml:space="preserve">started 23rd April </t>
  </si>
  <si>
    <t>run #266, course pb</t>
  </si>
  <si>
    <t>39 miles via West Wickham</t>
  </si>
  <si>
    <t xml:space="preserve">53 miles, 11 miles back to Nissan T Wells </t>
  </si>
  <si>
    <t>Train to Bromley South from Victoria, then bus</t>
  </si>
  <si>
    <t>first female</t>
  </si>
  <si>
    <t>second man</t>
  </si>
  <si>
    <t>125th run</t>
  </si>
  <si>
    <t>42 miles down M3, Fleet services available on return leg</t>
  </si>
  <si>
    <t>GED</t>
  </si>
  <si>
    <t>LIN</t>
  </si>
  <si>
    <t>MMO</t>
  </si>
  <si>
    <t>MKH</t>
  </si>
  <si>
    <t>NRK</t>
  </si>
  <si>
    <t>19th/91 finishers</t>
  </si>
  <si>
    <t>NZA</t>
  </si>
  <si>
    <t>Stevenage</t>
  </si>
  <si>
    <t>SG2 0BL</t>
  </si>
  <si>
    <t>100 up (Pymmes)</t>
  </si>
  <si>
    <t>CR0 5RB</t>
  </si>
  <si>
    <t>SE24 0PA</t>
  </si>
  <si>
    <t>SE21 7BQ</t>
  </si>
  <si>
    <t>Dulwich</t>
  </si>
  <si>
    <t>run #166</t>
  </si>
  <si>
    <t>59th out of 95</t>
  </si>
  <si>
    <t>Gunpowder 104, others nil</t>
  </si>
  <si>
    <t>every five minutes</t>
  </si>
  <si>
    <t xml:space="preserve">David </t>
  </si>
  <si>
    <t>Australia</t>
  </si>
  <si>
    <t>ACT</t>
  </si>
  <si>
    <t>Southsea Esplanade</t>
  </si>
  <si>
    <t>Flat, hard surface</t>
  </si>
  <si>
    <t>CAM</t>
  </si>
  <si>
    <t>GPT</t>
  </si>
  <si>
    <t>Green Point, CPT, RSA</t>
  </si>
  <si>
    <t xml:space="preserve">30' pacer </t>
  </si>
  <si>
    <t>all time parkrun pb</t>
  </si>
  <si>
    <t>30' pacer</t>
  </si>
  <si>
    <t>30th November 2013</t>
  </si>
  <si>
    <t>Colwick (Notts)</t>
  </si>
  <si>
    <t>R44</t>
  </si>
  <si>
    <t>10th/87 (winner &gt; 20 mins)</t>
  </si>
  <si>
    <t>Tuggeranong</t>
  </si>
  <si>
    <t>Rosliston</t>
  </si>
  <si>
    <t>park #150</t>
  </si>
  <si>
    <t>Walsall Arb'tum</t>
  </si>
  <si>
    <t>4th female</t>
  </si>
  <si>
    <t>run#45,park#18, BApark#95</t>
  </si>
  <si>
    <t>TR13 0RD</t>
  </si>
  <si>
    <t>PL30 5AD</t>
  </si>
  <si>
    <t>EX23 9SB</t>
  </si>
  <si>
    <t>run #124, 103rd at CranePark</t>
  </si>
  <si>
    <t>slowest ever run at Woodley</t>
  </si>
  <si>
    <t>run #71, 64th at Upton Court</t>
  </si>
  <si>
    <t>Huntingdon (Hinchingbrooke CP)</t>
  </si>
  <si>
    <t>car with Alan Anderson</t>
  </si>
  <si>
    <t>Jeremy Short 19:53</t>
  </si>
  <si>
    <t>run #215</t>
  </si>
  <si>
    <t>36' pacer, 531st/621</t>
  </si>
  <si>
    <t>Brentwood (72)</t>
  </si>
  <si>
    <t>3 laps</t>
  </si>
  <si>
    <t>Hackney Marshes</t>
  </si>
  <si>
    <t>Wilmslow</t>
  </si>
  <si>
    <t>161st run at Bushy Park</t>
  </si>
  <si>
    <t>28th run at Wycombe Rye</t>
  </si>
  <si>
    <t>same time as last week !</t>
  </si>
  <si>
    <t>run #148</t>
  </si>
  <si>
    <t>park #93, BA park #136</t>
  </si>
  <si>
    <t>run #24</t>
  </si>
  <si>
    <t>119th/229</t>
  </si>
  <si>
    <t>run #2, 1st run at Gadebridge</t>
  </si>
  <si>
    <t>pb at Richmond</t>
  </si>
  <si>
    <t>Ealing Half tomorrow</t>
  </si>
  <si>
    <t>Bob</t>
  </si>
  <si>
    <t>Winning</t>
  </si>
  <si>
    <t>99th run at Reading</t>
  </si>
  <si>
    <t>TW7 4RB</t>
  </si>
  <si>
    <t>Average club best</t>
  </si>
  <si>
    <t>0807 fast train to Bromley South from Victoria, then 119 bus or 146 bus from stop Y</t>
  </si>
  <si>
    <t>Ginninderra</t>
  </si>
  <si>
    <t>Natalie Ruffell 21:17</t>
  </si>
  <si>
    <t>Natalie Ruffell 21:49</t>
  </si>
  <si>
    <t>Natalie Ruffell 21:19</t>
  </si>
  <si>
    <t>Ruffells at Walsall</t>
  </si>
  <si>
    <t>Gunnersbury volunteer</t>
  </si>
  <si>
    <t>run #43</t>
  </si>
  <si>
    <t>club pacemaker</t>
  </si>
  <si>
    <t>only run prior to joining</t>
  </si>
  <si>
    <t>run #1, F-1</t>
  </si>
  <si>
    <t>pb (as usual!)</t>
  </si>
  <si>
    <t>BApark #245, park #24</t>
  </si>
  <si>
    <t>Gunhalin</t>
  </si>
  <si>
    <t>B de Boulogne</t>
  </si>
  <si>
    <t>Mandavit</t>
  </si>
  <si>
    <t>run #99, 1st at Hastings</t>
  </si>
  <si>
    <t>Melton Mowbray</t>
  </si>
  <si>
    <t>Gedling</t>
  </si>
  <si>
    <t>Market Harborough</t>
  </si>
  <si>
    <t>Kingsbury</t>
  </si>
  <si>
    <t>Hackey Marshes</t>
  </si>
  <si>
    <t>PRL</t>
  </si>
  <si>
    <t>KY12 8QH</t>
  </si>
  <si>
    <t>parkrun pb, run #34</t>
  </si>
  <si>
    <t>new member</t>
  </si>
  <si>
    <t>Parramatta</t>
  </si>
  <si>
    <t>PTA</t>
  </si>
  <si>
    <t>club course rec, park #117</t>
  </si>
  <si>
    <t>HRR</t>
  </si>
  <si>
    <t>BA park #217, park #19</t>
  </si>
  <si>
    <r>
      <t>T</t>
    </r>
    <r>
      <rPr>
        <sz val="10"/>
        <rFont val="Arial"/>
        <family val="2"/>
      </rPr>
      <t>elford (Town Park)</t>
    </r>
  </si>
  <si>
    <t>TOR</t>
  </si>
  <si>
    <t>Steve Dodsworth</t>
  </si>
  <si>
    <t>Cranleigh (Bruce McKenzie Field)</t>
  </si>
  <si>
    <t>2.75 laps</t>
  </si>
  <si>
    <t>tarmac</t>
  </si>
  <si>
    <t>0759 train to Clapham, then to Balham (Caterham train) with bike</t>
  </si>
  <si>
    <t>BA park #101, park #70</t>
  </si>
  <si>
    <t>9 runners, two new venues,</t>
  </si>
  <si>
    <t>Alan Anderson on 241</t>
  </si>
  <si>
    <t>Gunnersbury 85</t>
  </si>
  <si>
    <t>run #129, 83rd at Bedfont</t>
  </si>
  <si>
    <t>run #180, 127th at Reading</t>
  </si>
  <si>
    <t>run #274, 26th at Woodley</t>
  </si>
  <si>
    <t>run #186, 44th run at Woodley</t>
  </si>
  <si>
    <t>RH at Ashton Court</t>
  </si>
  <si>
    <t>next Pete Warren 22:43</t>
  </si>
  <si>
    <t>next 24:54</t>
  </si>
  <si>
    <t>many large puddles</t>
  </si>
  <si>
    <t>run #249</t>
  </si>
  <si>
    <t>Runnymede Runner</t>
  </si>
  <si>
    <t>Les Dougnes</t>
  </si>
  <si>
    <t>Les Dougnes (Bordeaux)</t>
  </si>
  <si>
    <t>Cooks River (NSW)</t>
  </si>
  <si>
    <t>France</t>
  </si>
  <si>
    <t>BOD</t>
  </si>
  <si>
    <t>run #208, 140th at Reading</t>
  </si>
  <si>
    <t>first timer at Reading</t>
  </si>
  <si>
    <t>official tailender, run #2</t>
  </si>
  <si>
    <t>numberchecker</t>
  </si>
  <si>
    <t>run #220, 2nd at South Oxhey</t>
  </si>
  <si>
    <t>50th run at High Wycombe</t>
  </si>
  <si>
    <t>Run #24</t>
  </si>
  <si>
    <t xml:space="preserve">run#16 </t>
  </si>
  <si>
    <t>run#4, park#4, parkrun pb</t>
  </si>
  <si>
    <t>run#4, parkrun pb</t>
  </si>
  <si>
    <t>run#59</t>
  </si>
  <si>
    <t>run#52</t>
  </si>
  <si>
    <t>Adrian Haines</t>
  </si>
  <si>
    <t>250 club analysis</t>
  </si>
  <si>
    <t>Darren Wood</t>
  </si>
  <si>
    <t>as at</t>
  </si>
  <si>
    <t>32 miles by road each way</t>
  </si>
  <si>
    <t>Barrow</t>
  </si>
  <si>
    <t>Bolton</t>
  </si>
  <si>
    <t>Burnage</t>
  </si>
  <si>
    <t>run #152</t>
  </si>
  <si>
    <t>run #64</t>
  </si>
  <si>
    <t>age cat record !!!</t>
  </si>
  <si>
    <t>run #20</t>
  </si>
  <si>
    <t>run #61</t>
  </si>
  <si>
    <t>run #42</t>
  </si>
  <si>
    <t>debut at Crane Park</t>
  </si>
  <si>
    <t>Peckham Rye (49)</t>
  </si>
  <si>
    <t>Gnoll (Neath)</t>
  </si>
  <si>
    <t>GNO</t>
  </si>
  <si>
    <t>SA11 3BS</t>
  </si>
  <si>
    <t>Crosby</t>
  </si>
  <si>
    <t>L23 6SX</t>
  </si>
  <si>
    <t>Belton House</t>
  </si>
  <si>
    <t>NG32 2LS</t>
  </si>
  <si>
    <t>BLH</t>
  </si>
  <si>
    <t>Leicester Victoria</t>
  </si>
  <si>
    <t>LEV</t>
  </si>
  <si>
    <t>LE1 7RU</t>
  </si>
  <si>
    <t>RMR</t>
  </si>
  <si>
    <t>LU7 0EB</t>
  </si>
  <si>
    <t>pb</t>
  </si>
  <si>
    <t>run #5</t>
  </si>
  <si>
    <t>Ian Cunningham 99</t>
  </si>
  <si>
    <t>Oliver Mathai</t>
  </si>
  <si>
    <t>Club parkruns 25th June 2011, 23 March 2013</t>
  </si>
  <si>
    <t>started 14th March 2015</t>
  </si>
  <si>
    <t>M30 8AR</t>
  </si>
  <si>
    <t>Worsley Woods (Salford)</t>
  </si>
  <si>
    <t>Pymmes (Enfield)</t>
  </si>
  <si>
    <t>BUC</t>
  </si>
  <si>
    <t>Buckingham</t>
  </si>
  <si>
    <t>Erddig (Wrexham)</t>
  </si>
  <si>
    <t>LL13 0YT</t>
  </si>
  <si>
    <t>Gunnersbury Park (South Ealing)</t>
  </si>
  <si>
    <t>Kingston (Ham)</t>
  </si>
  <si>
    <t>0750 Liverpool St to Brentwood (Tfl rail), then 3 miles cycling</t>
  </si>
  <si>
    <t>CM14 4HH</t>
  </si>
  <si>
    <t>Brentwood Station</t>
  </si>
  <si>
    <t>101st run at Gunnersbury</t>
  </si>
  <si>
    <t>run #43, 40th at Harrow</t>
  </si>
  <si>
    <t>run #56, 28th at Woking</t>
  </si>
  <si>
    <t>Newcastle (Exhibition Park)</t>
  </si>
  <si>
    <t>NE2 4RP</t>
  </si>
  <si>
    <t>club course record, park #46</t>
  </si>
  <si>
    <t>first run at Frimley</t>
  </si>
  <si>
    <t>40th run at Woodley</t>
  </si>
  <si>
    <t>CO1 1YH</t>
  </si>
  <si>
    <t>Gunnersbury 2nd anniversary</t>
  </si>
  <si>
    <t>Albert (Melbourne)</t>
  </si>
  <si>
    <t>run #130, 23rd/136</t>
  </si>
  <si>
    <t>pacer mentoring ?</t>
  </si>
  <si>
    <t>run #59</t>
  </si>
  <si>
    <t>run #255</t>
  </si>
  <si>
    <t>run #300</t>
  </si>
  <si>
    <t>North Beach (ZA)</t>
  </si>
  <si>
    <t>Kathryn</t>
  </si>
  <si>
    <t>DD at Hackney Marshes</t>
  </si>
  <si>
    <t>park #113, BA park #173</t>
  </si>
  <si>
    <t>club parkrun record</t>
  </si>
  <si>
    <t>Ronnie</t>
  </si>
  <si>
    <t>O'Sullivan</t>
  </si>
  <si>
    <t>snooker champion</t>
  </si>
  <si>
    <t>run #364</t>
  </si>
  <si>
    <t>Upton Ct</t>
  </si>
  <si>
    <t>Havant (Staunton Country Park)</t>
  </si>
  <si>
    <t>PO9 5HB</t>
  </si>
  <si>
    <t>Roderick at Hackney Marshes</t>
  </si>
  <si>
    <t>Roderick at Havant</t>
  </si>
  <si>
    <t>run #19, BA park #182</t>
  </si>
  <si>
    <t>run #186</t>
  </si>
  <si>
    <t>run #225, age cat pb (again)</t>
  </si>
  <si>
    <t>run 94</t>
  </si>
  <si>
    <t>run 95</t>
  </si>
  <si>
    <t>Neil Frediani at Wimpole Est</t>
  </si>
  <si>
    <t>sunrise</t>
  </si>
  <si>
    <t>DC</t>
  </si>
  <si>
    <t>Fletchers Cove</t>
  </si>
  <si>
    <t>Valentines</t>
  </si>
  <si>
    <t>Paul Killick</t>
  </si>
  <si>
    <t>Globetrotters</t>
  </si>
  <si>
    <t>started 8 Nov 14</t>
  </si>
  <si>
    <t>run#294</t>
  </si>
  <si>
    <t>course pb, run#98</t>
  </si>
  <si>
    <t>Janet Cunningham 26:55</t>
  </si>
  <si>
    <t>park #19</t>
  </si>
  <si>
    <t>Haylock</t>
  </si>
  <si>
    <t>Oliver</t>
  </si>
  <si>
    <t>Mathai</t>
  </si>
  <si>
    <t>Joe</t>
  </si>
  <si>
    <t>CFp</t>
  </si>
  <si>
    <t>Nolan</t>
  </si>
  <si>
    <t>Gray</t>
  </si>
  <si>
    <t>Tony</t>
  </si>
  <si>
    <t>Barnwell</t>
  </si>
  <si>
    <t>Justine</t>
  </si>
  <si>
    <t>Arnott</t>
  </si>
  <si>
    <t>Helen</t>
  </si>
  <si>
    <t>Smith</t>
  </si>
  <si>
    <t>Toby</t>
  </si>
  <si>
    <t>Houghton</t>
  </si>
  <si>
    <t>Campbelltown</t>
  </si>
  <si>
    <t>Curl Curl</t>
  </si>
  <si>
    <t>Fingal Bay</t>
  </si>
  <si>
    <t>N4 2LA</t>
  </si>
  <si>
    <t>N5 1QZ</t>
  </si>
  <si>
    <t>Glasgow (Pollock Park)</t>
  </si>
  <si>
    <t>Mile End</t>
  </si>
  <si>
    <t>RH10 5PQ</t>
  </si>
  <si>
    <t>Tilgate Park (Crawley)</t>
  </si>
  <si>
    <t xml:space="preserve">Cairns  </t>
  </si>
  <si>
    <t>YO18 7LT</t>
  </si>
  <si>
    <t>Dalby Forest (Pickering)</t>
  </si>
  <si>
    <t>196th/322,</t>
  </si>
  <si>
    <t>Conkers (NW Leicestershire)</t>
  </si>
  <si>
    <t>CNK</t>
  </si>
  <si>
    <t>47th venue</t>
  </si>
  <si>
    <r>
      <t>S</t>
    </r>
    <r>
      <rPr>
        <sz val="10"/>
        <rFont val="Arial"/>
        <family val="2"/>
      </rPr>
      <t>herwood Pines</t>
    </r>
  </si>
  <si>
    <t>run director plus results</t>
  </si>
  <si>
    <t>run #41</t>
  </si>
  <si>
    <t>Homewood (Chertsey)</t>
  </si>
  <si>
    <t>Runnymede</t>
  </si>
  <si>
    <t>KT16 0AG</t>
  </si>
  <si>
    <t>Club parkrun - 17th November 2012</t>
  </si>
  <si>
    <t>run #75, 68th at Upton Court</t>
  </si>
  <si>
    <t>Leytonstone High Road (Overground via Gospel Oak)</t>
  </si>
  <si>
    <t>Congleton</t>
  </si>
  <si>
    <t xml:space="preserve">Westerfolds </t>
  </si>
  <si>
    <t>Westerfolds</t>
  </si>
  <si>
    <t>course pb, club rec(F)</t>
  </si>
  <si>
    <t>Wilmslow (Carrs Park)</t>
  </si>
  <si>
    <t>SK9 4AA</t>
  </si>
  <si>
    <t>TN38 0AG</t>
  </si>
  <si>
    <t>Hastings</t>
  </si>
  <si>
    <t>Raphael (Romford)</t>
  </si>
  <si>
    <t>RM1 4XH</t>
  </si>
  <si>
    <t>W'Wood Scrubs</t>
  </si>
  <si>
    <t>Lee on the Solent</t>
  </si>
  <si>
    <t>PO13 9LB</t>
  </si>
  <si>
    <t>Simon</t>
  </si>
  <si>
    <t>7.59 am train, then 3km bike ride from Vauxhall (past Oval cricket ground)</t>
  </si>
  <si>
    <t xml:space="preserve">bike </t>
  </si>
  <si>
    <t>7.26 Hammersmith &amp; City to Liverpool St.</t>
  </si>
  <si>
    <t>OX2 9AT</t>
  </si>
  <si>
    <t>HCH</t>
  </si>
  <si>
    <t>John Bagley 23:22</t>
  </si>
  <si>
    <t>pb, run #7</t>
  </si>
  <si>
    <t>best parkrun of 2015 so far</t>
  </si>
  <si>
    <t>Market Harborough (Welland Park)</t>
  </si>
  <si>
    <t>NG4 4PE</t>
  </si>
  <si>
    <t>Gedling Country Park (Mapperley)</t>
  </si>
  <si>
    <t>DE22 4NH</t>
  </si>
  <si>
    <t>Andover</t>
  </si>
  <si>
    <t>OX2 8EF</t>
  </si>
  <si>
    <t>RG19 6HN</t>
  </si>
  <si>
    <t>SN5 3NY</t>
  </si>
  <si>
    <t>Albert Park (Melbourne)</t>
  </si>
  <si>
    <t>L8 3SB</t>
  </si>
  <si>
    <t>SK1 4JR</t>
  </si>
  <si>
    <t>BID</t>
  </si>
  <si>
    <t>run#180</t>
  </si>
  <si>
    <t>Tom</t>
  </si>
  <si>
    <t>Rowley</t>
  </si>
  <si>
    <t>park#30</t>
  </si>
  <si>
    <t>run#301</t>
  </si>
  <si>
    <t>run#101</t>
  </si>
  <si>
    <t>run#84</t>
  </si>
  <si>
    <t>ALB</t>
  </si>
  <si>
    <t>BAS</t>
  </si>
  <si>
    <t>HBF</t>
  </si>
  <si>
    <t>OAK</t>
  </si>
  <si>
    <t>run #270</t>
  </si>
  <si>
    <t>run #269</t>
  </si>
  <si>
    <t>100th UK run, 50th UK park</t>
  </si>
  <si>
    <t>club course record (time)</t>
  </si>
  <si>
    <t>first run at Cassiobury</t>
  </si>
  <si>
    <t xml:space="preserve">club course record </t>
  </si>
  <si>
    <t>Rhodes, Bournemouth, Canons</t>
  </si>
  <si>
    <t>105th run at Bedfont</t>
  </si>
  <si>
    <t>run #295</t>
  </si>
  <si>
    <t>2nd run at Bushy, pb</t>
  </si>
  <si>
    <t>SO41 8AA</t>
  </si>
  <si>
    <t>CTR</t>
  </si>
  <si>
    <t>LYW</t>
  </si>
  <si>
    <t>Brighton &amp; Hove, Shrewsbury, Wimbledon, Preston Park, Upton Court, Winchester, Bois de Boulogne</t>
  </si>
  <si>
    <t>Banstead Woods</t>
  </si>
  <si>
    <t>time keeper</t>
  </si>
  <si>
    <t>E Midlands</t>
  </si>
  <si>
    <t>ran VMLM</t>
  </si>
  <si>
    <t>CT9 2JJ</t>
  </si>
  <si>
    <t>park #163</t>
  </si>
  <si>
    <t>plus photographer</t>
  </si>
  <si>
    <t>run #141, best time this year</t>
  </si>
  <si>
    <t>Liverpool Princes</t>
  </si>
  <si>
    <t>NN17 1SZ</t>
  </si>
  <si>
    <t>COR</t>
  </si>
  <si>
    <t>BN1 6LA</t>
  </si>
  <si>
    <t>Preston Park (Brighton)</t>
  </si>
  <si>
    <t>Sittingbourne (Milton Creek CP)</t>
  </si>
  <si>
    <t>run #279, 83rd at Osterley</t>
  </si>
  <si>
    <t>Preston Lancs</t>
  </si>
  <si>
    <t>since improved to 25:58</t>
  </si>
  <si>
    <t>run #58, course pb</t>
  </si>
  <si>
    <t>run #396</t>
  </si>
  <si>
    <t>BA park #243, course pb</t>
  </si>
  <si>
    <t>BApark #242</t>
  </si>
  <si>
    <t>Hanscomb</t>
  </si>
  <si>
    <t>run #220, park #72</t>
  </si>
  <si>
    <t>run #242, 2016 best at Bushy</t>
  </si>
  <si>
    <t>run #57, 10th (M-9)</t>
  </si>
  <si>
    <t>run #289, 25th / 360</t>
  </si>
  <si>
    <t>28 miles each way via M3 (in range)</t>
  </si>
  <si>
    <t>hilly</t>
  </si>
  <si>
    <t>mountainous</t>
  </si>
  <si>
    <t>RH Copenhagen</t>
  </si>
  <si>
    <t>Roderick at Kingsbury Water</t>
  </si>
  <si>
    <t>in Poland</t>
  </si>
  <si>
    <t>Greenwich</t>
  </si>
  <si>
    <t>Paul Williamson</t>
  </si>
  <si>
    <t>Auckland</t>
  </si>
  <si>
    <t>Millwater</t>
  </si>
  <si>
    <t>Hagley</t>
  </si>
  <si>
    <t>80th/157</t>
  </si>
  <si>
    <t>PE15 9LT</t>
  </si>
  <si>
    <t>MCH</t>
  </si>
  <si>
    <t>run #169</t>
  </si>
  <si>
    <t>run #20, best time this year</t>
  </si>
  <si>
    <t>run #233, best time this year</t>
  </si>
  <si>
    <t>park #121</t>
  </si>
  <si>
    <t>park #98, BA park #145</t>
  </si>
  <si>
    <t>61st/187</t>
  </si>
  <si>
    <t>Neil Frediani 100 up</t>
  </si>
  <si>
    <t>3 x hill !!!</t>
  </si>
  <si>
    <t>run#100, course pb</t>
  </si>
  <si>
    <t>age cat record (WV55)</t>
  </si>
  <si>
    <t>pacer, run #128</t>
  </si>
  <si>
    <t>dfyb</t>
  </si>
  <si>
    <t>BSW</t>
  </si>
  <si>
    <t>06/04, 17/8</t>
  </si>
  <si>
    <t>Trees down!</t>
  </si>
  <si>
    <t>Gunnersbury (29' pacer)</t>
  </si>
  <si>
    <t>Paula</t>
  </si>
  <si>
    <t>Robin Campbell</t>
  </si>
  <si>
    <t>my time (since 7/4/14)</t>
  </si>
  <si>
    <t>Bexley (Danson Park)</t>
  </si>
  <si>
    <t>Club parkrun 25 Jan 14</t>
  </si>
  <si>
    <t>BA park #102, park#33</t>
  </si>
  <si>
    <t>run #11, parkrun pb</t>
  </si>
  <si>
    <t>38' pacer !</t>
  </si>
  <si>
    <t xml:space="preserve">Kimberley </t>
  </si>
  <si>
    <t>7.44 from Hammersmith, 8.10 Victoria</t>
  </si>
  <si>
    <t>7.44 train from Hammersmith to Victoria, 8.10 Orpington train to West Dulwich, P13 bus (4 mins) to St Mary's Gate from stop WA</t>
  </si>
  <si>
    <t>Lytham Hall</t>
  </si>
  <si>
    <t>LYH</t>
  </si>
  <si>
    <t>return train 10.15</t>
  </si>
  <si>
    <t>run #156, 1st at Homewood</t>
  </si>
  <si>
    <t>run #216, 4th At Homewood</t>
  </si>
  <si>
    <t>run #226, 1st at Homewood</t>
  </si>
  <si>
    <t>run #171, 1st at Homewood</t>
  </si>
  <si>
    <t>run #245, 1st at Homewood</t>
  </si>
  <si>
    <t>run #366, 1st at Homewood</t>
  </si>
  <si>
    <t xml:space="preserve">run #63, 1st at Homewood </t>
  </si>
  <si>
    <t>run #241, 1st at Homewood</t>
  </si>
  <si>
    <t>run #52, 48th at Harrow</t>
  </si>
  <si>
    <t>age cat record, club record</t>
  </si>
  <si>
    <t>MV60-64</t>
  </si>
  <si>
    <t>run #185, 162nd at Bedfont</t>
  </si>
  <si>
    <t>run #309</t>
  </si>
  <si>
    <t xml:space="preserve">run #216 </t>
  </si>
  <si>
    <t>2016 course best</t>
  </si>
  <si>
    <t>missed pb by 20 secs</t>
  </si>
  <si>
    <t>run #30, 29th at Oak Hill</t>
  </si>
  <si>
    <t>run #432</t>
  </si>
  <si>
    <t>Kettering</t>
  </si>
  <si>
    <t>run #229, 7th at Gunpowder</t>
  </si>
  <si>
    <t>run #38, course pb</t>
  </si>
  <si>
    <t>run #150, 127th at Crane</t>
  </si>
  <si>
    <t xml:space="preserve">Banks  </t>
  </si>
  <si>
    <t>run #67, 40th at Maidenhead</t>
  </si>
  <si>
    <t>run #75, 2nd in Jersey</t>
  </si>
  <si>
    <t>run #7, all at Bracknell</t>
  </si>
  <si>
    <t>Portsmouth Lake</t>
  </si>
  <si>
    <t>run #290</t>
  </si>
  <si>
    <t>Portsmouth LS, Kettering</t>
  </si>
  <si>
    <t>run #28, 5th at Horsham, M-3</t>
  </si>
  <si>
    <t>Gareth Snook</t>
  </si>
  <si>
    <t>Bromley (51)</t>
  </si>
  <si>
    <t>marshal - halfway times</t>
  </si>
  <si>
    <t>PR5 6BY</t>
  </si>
  <si>
    <t>Cuerden Valley (Preston)</t>
  </si>
  <si>
    <t>BB2 2TP</t>
  </si>
  <si>
    <t>BB8 9SF</t>
  </si>
  <si>
    <t>recent colliwobbles</t>
  </si>
  <si>
    <t>run #51</t>
  </si>
  <si>
    <t>27th/235, run #8</t>
  </si>
  <si>
    <t>Great River Swim</t>
  </si>
  <si>
    <t>London Mela 1/9</t>
  </si>
  <si>
    <t>London Cycle Ride</t>
  </si>
  <si>
    <t>Start</t>
  </si>
  <si>
    <t>Depart</t>
  </si>
  <si>
    <t>slow dog !</t>
  </si>
  <si>
    <t>first parkrun since 2010 !</t>
  </si>
  <si>
    <t>Peter Sandery</t>
  </si>
  <si>
    <t>Livonia (DTW)</t>
  </si>
  <si>
    <t>Newport</t>
  </si>
  <si>
    <t>NP10 8YW</t>
  </si>
  <si>
    <t>JUNIOR PARKRUN</t>
  </si>
  <si>
    <t>Alex</t>
  </si>
  <si>
    <t>Philippa</t>
  </si>
  <si>
    <t>course pb, run #20</t>
  </si>
  <si>
    <t>Albury</t>
  </si>
  <si>
    <t>Woodbank</t>
  </si>
  <si>
    <t>Ray Hampton</t>
  </si>
  <si>
    <t xml:space="preserve">Gunnersbury 92 </t>
  </si>
  <si>
    <t>Carpenders Park nearest station</t>
  </si>
  <si>
    <t>John Scaife and Benita Scaife who are also members of Maidenhead AC</t>
  </si>
  <si>
    <t>Orpington  (57)</t>
  </si>
  <si>
    <t>started 21st June 2014</t>
  </si>
  <si>
    <t>run #58, 1st at Riverside</t>
  </si>
  <si>
    <t>DH3 3SJ</t>
  </si>
  <si>
    <t>shampton@sky.com</t>
  </si>
  <si>
    <t>Wimpole Estate (Cambridgeshire)</t>
  </si>
  <si>
    <t>Halket</t>
  </si>
  <si>
    <t>Roderick</t>
  </si>
  <si>
    <t>Hoffman</t>
  </si>
  <si>
    <t>Temple Newsam</t>
  </si>
  <si>
    <t>York</t>
  </si>
  <si>
    <t>John Owen</t>
  </si>
  <si>
    <t>London Borough #27</t>
  </si>
  <si>
    <t>Oak Hill (Barnet)</t>
  </si>
  <si>
    <t>run #329</t>
  </si>
  <si>
    <t>run #204</t>
  </si>
  <si>
    <t>KENT</t>
  </si>
  <si>
    <t>SURREY</t>
  </si>
  <si>
    <t>BUCKS</t>
  </si>
  <si>
    <t>BERKS</t>
  </si>
  <si>
    <t>HANTS</t>
  </si>
  <si>
    <t>SUSSEX</t>
  </si>
  <si>
    <t xml:space="preserve">Linda </t>
  </si>
  <si>
    <t>new member ?</t>
  </si>
  <si>
    <t>1st, UK park #255</t>
  </si>
  <si>
    <r>
      <t xml:space="preserve">Offiah, </t>
    </r>
    <r>
      <rPr>
        <sz val="10"/>
        <rFont val="Arial"/>
        <family val="2"/>
      </rPr>
      <t>MBE</t>
    </r>
  </si>
  <si>
    <t>ANT</t>
  </si>
  <si>
    <t>CFG</t>
  </si>
  <si>
    <t>MUS</t>
  </si>
  <si>
    <t>MUSA</t>
  </si>
  <si>
    <t>VLY</t>
  </si>
  <si>
    <t>Valley</t>
  </si>
  <si>
    <t>WLL</t>
  </si>
  <si>
    <t>WWK</t>
  </si>
  <si>
    <t>Bournemouth</t>
  </si>
  <si>
    <t>Cheltenham</t>
  </si>
  <si>
    <t>Chippenham</t>
  </si>
  <si>
    <t>Gunnersbury 65</t>
  </si>
  <si>
    <t>Gunnersbury 66</t>
  </si>
  <si>
    <t>200th out of 538</t>
  </si>
  <si>
    <t>run #137</t>
  </si>
  <si>
    <t>run #151</t>
  </si>
  <si>
    <t>snap</t>
  </si>
  <si>
    <t>run #64, 15th at Frimley</t>
  </si>
  <si>
    <t>plus token sorting</t>
  </si>
  <si>
    <t>RH at Huntingdon</t>
  </si>
  <si>
    <t>run #1, club course pb (F)</t>
  </si>
  <si>
    <t>run #4</t>
  </si>
  <si>
    <t>Albert MEL</t>
  </si>
  <si>
    <t>Kings Lynn</t>
  </si>
  <si>
    <t>BA park #117</t>
  </si>
  <si>
    <t>car park charges</t>
  </si>
  <si>
    <t>free car parks</t>
  </si>
  <si>
    <t>free car park</t>
  </si>
  <si>
    <t>free car park (4 hours)</t>
  </si>
  <si>
    <t>7.36 Picc line train from Hammersmith</t>
  </si>
  <si>
    <t>then walk along Longbridge Road</t>
  </si>
  <si>
    <t>Burgess Park</t>
  </si>
  <si>
    <t>park #53, club course record</t>
  </si>
  <si>
    <t>run #352</t>
  </si>
  <si>
    <t>age cat 3rd/54 (all time)</t>
  </si>
  <si>
    <t>3rd run at Melton Mowbray</t>
  </si>
  <si>
    <t>course pb on 24th run</t>
  </si>
  <si>
    <t>Luton (Wardown park)</t>
  </si>
  <si>
    <t>LTN</t>
  </si>
  <si>
    <t>LU2 7HA</t>
  </si>
  <si>
    <t>Portobello</t>
  </si>
  <si>
    <t>EH15 1NA</t>
  </si>
  <si>
    <t>Caroline</t>
  </si>
  <si>
    <t>Gunnersbury 100</t>
  </si>
  <si>
    <t>Maidstone/Brierley Forest</t>
  </si>
  <si>
    <t>Chester le Street</t>
  </si>
  <si>
    <t>Fulham Palace (anniv)</t>
  </si>
  <si>
    <t>BR3 5HE</t>
  </si>
  <si>
    <t>BEK</t>
  </si>
  <si>
    <t>8.07 from Victoria to Bromley South, then Thameslink to Ravenbourne</t>
  </si>
  <si>
    <t>top 10, 49th run</t>
  </si>
  <si>
    <t>50th parkrun at Guildford</t>
  </si>
  <si>
    <t>50th parkrun at Upton Court</t>
  </si>
  <si>
    <t>1st run at Catton</t>
  </si>
  <si>
    <t>3rd run at Catton</t>
  </si>
  <si>
    <t>FK1 1YR</t>
  </si>
  <si>
    <t>LRM</t>
  </si>
  <si>
    <t>run #264</t>
  </si>
  <si>
    <t>F-5, run #56</t>
  </si>
  <si>
    <t xml:space="preserve">BA Park #300 </t>
  </si>
  <si>
    <t>free car park (limited space)</t>
  </si>
  <si>
    <t>TN16 2ER</t>
  </si>
  <si>
    <t>Glasgow Pollock Park</t>
  </si>
  <si>
    <t>GTC</t>
  </si>
  <si>
    <t>Janet Smith</t>
  </si>
  <si>
    <t>BA park #236, park #67</t>
  </si>
  <si>
    <t>run #401</t>
  </si>
  <si>
    <t>run #60, equals parkrun pb</t>
  </si>
  <si>
    <t>run #36, 13th at Gunnersbury</t>
  </si>
  <si>
    <t>run #111, 49th at Wycombe</t>
  </si>
  <si>
    <t>record now down to 25:54</t>
  </si>
  <si>
    <t>Durham NC</t>
  </si>
  <si>
    <t>David Duggan</t>
  </si>
  <si>
    <t>Grovelands (40,12)</t>
  </si>
  <si>
    <t>run#56</t>
  </si>
  <si>
    <t>run#179</t>
  </si>
  <si>
    <t>run#164</t>
  </si>
  <si>
    <t>Moors Valley</t>
  </si>
  <si>
    <t>Lowestoft</t>
  </si>
  <si>
    <t>Haigh Woodland</t>
  </si>
  <si>
    <t>Grangemoor</t>
  </si>
  <si>
    <t>Ellon</t>
  </si>
  <si>
    <t xml:space="preserve">run #8 </t>
  </si>
  <si>
    <t xml:space="preserve">Alan 400 </t>
  </si>
  <si>
    <t>Eastbourne</t>
  </si>
  <si>
    <t>Folkestone</t>
  </si>
  <si>
    <t>Great Lines</t>
  </si>
  <si>
    <t>BA park #118</t>
  </si>
  <si>
    <t>Don</t>
  </si>
  <si>
    <t>run #134</t>
  </si>
  <si>
    <t>Harrow L, Chelsmford</t>
  </si>
  <si>
    <t>HarrowLodge</t>
  </si>
  <si>
    <t>Iffley Road</t>
  </si>
  <si>
    <t>TN2 3QA</t>
  </si>
  <si>
    <t>Panshanger (Hertford)</t>
  </si>
  <si>
    <t>social run</t>
  </si>
  <si>
    <t>volunteer results processor</t>
  </si>
  <si>
    <t>run #251</t>
  </si>
  <si>
    <t>Gunnersbury 75</t>
  </si>
  <si>
    <t>Dougnes</t>
  </si>
  <si>
    <t>TLR</t>
  </si>
  <si>
    <t>La Ramee</t>
  </si>
  <si>
    <t>Cross Country (Surrey League) day</t>
  </si>
  <si>
    <t>volunteer</t>
  </si>
  <si>
    <t>NW2 6AY</t>
  </si>
  <si>
    <t>Longrun Meadows (Taunton)</t>
  </si>
  <si>
    <t>89th/517</t>
  </si>
  <si>
    <t>TA1 5AU</t>
  </si>
  <si>
    <t>Rushcliffe (Notts)</t>
  </si>
  <si>
    <t>NG11 6JS</t>
  </si>
  <si>
    <t>RCF</t>
  </si>
  <si>
    <t>BApark #151</t>
  </si>
  <si>
    <t>another pb !</t>
  </si>
  <si>
    <t>Tooting Common (66)</t>
  </si>
  <si>
    <r>
      <t>Chertsey (</t>
    </r>
    <r>
      <rPr>
        <b/>
        <sz val="10"/>
        <rFont val="Arial"/>
        <family val="2"/>
      </rPr>
      <t>Homewood Park</t>
    </r>
    <r>
      <rPr>
        <sz val="10"/>
        <rFont val="Arial"/>
        <family val="2"/>
      </rPr>
      <t>)</t>
    </r>
  </si>
  <si>
    <t>Canons Park (Stanmore)</t>
  </si>
  <si>
    <t>Oldham (Alexandra Park)</t>
  </si>
  <si>
    <t xml:space="preserve">pb </t>
  </si>
  <si>
    <t>Bognor Regis</t>
  </si>
  <si>
    <t>Chichester</t>
  </si>
  <si>
    <t>Eynon</t>
  </si>
  <si>
    <t>Club affiliations</t>
  </si>
  <si>
    <t>Llyn Llech Owain</t>
  </si>
  <si>
    <t>park #94, BApark #137</t>
  </si>
  <si>
    <t>BOS</t>
  </si>
  <si>
    <t>GRM</t>
  </si>
  <si>
    <t>HGH</t>
  </si>
  <si>
    <t>ELL</t>
  </si>
  <si>
    <t>record turnout</t>
  </si>
  <si>
    <t>AHF</t>
  </si>
  <si>
    <t>MKW</t>
  </si>
  <si>
    <t>20th</t>
  </si>
  <si>
    <t>park #141</t>
  </si>
  <si>
    <t>run #234, 3rd at Burgess Pk</t>
  </si>
  <si>
    <t>Wormwood Scrub</t>
  </si>
  <si>
    <t>Penallta</t>
  </si>
  <si>
    <t>plus run report writer</t>
  </si>
  <si>
    <t>best parkrun this year</t>
  </si>
  <si>
    <t>park #167, club course record</t>
  </si>
  <si>
    <t>run #142, 6th at Northala</t>
  </si>
  <si>
    <t>first time at Northala Fields</t>
  </si>
  <si>
    <t>run #302, 238th at Reading</t>
  </si>
  <si>
    <t>1st run at Penallta</t>
  </si>
  <si>
    <t>Enfield Borough pb</t>
  </si>
  <si>
    <t>reverse course (4th anniversary)</t>
  </si>
  <si>
    <t>WAVA% pb, run #174</t>
  </si>
  <si>
    <t>Hannah</t>
  </si>
  <si>
    <t>Oldroyd</t>
  </si>
  <si>
    <t>OL12 9EN</t>
  </si>
  <si>
    <t>Chasetheplace week 2 7,615 in after two weeks</t>
  </si>
  <si>
    <t>Lisa</t>
  </si>
  <si>
    <t>park #32, BA park #148</t>
  </si>
  <si>
    <t>park #100, BApark #149</t>
  </si>
  <si>
    <t>Nationally</t>
  </si>
  <si>
    <t>Barnstable</t>
  </si>
  <si>
    <t>Druridge Bay (Northumberland)</t>
  </si>
  <si>
    <t>Horsham</t>
  </si>
  <si>
    <t>Ayr</t>
  </si>
  <si>
    <t>Kesgrave</t>
  </si>
  <si>
    <t>Cranleigh</t>
  </si>
  <si>
    <t>Wormwood Scrubs (Shepherds Bush)</t>
  </si>
  <si>
    <t>ASCA XC</t>
  </si>
  <si>
    <t>NPT</t>
  </si>
  <si>
    <t>Sarah at Sherwood Pines</t>
  </si>
  <si>
    <t>Hamilton (Victoria)</t>
  </si>
  <si>
    <t>HMV</t>
  </si>
  <si>
    <t>Hamilton Victoria</t>
  </si>
  <si>
    <t>Tranmere at Dag &amp; Red</t>
  </si>
  <si>
    <t>run#132</t>
  </si>
  <si>
    <t>5th place (Dinton Pastures)</t>
  </si>
  <si>
    <t>run #92</t>
  </si>
  <si>
    <t xml:space="preserve">Daniela </t>
  </si>
  <si>
    <t>2nd, age cat record, 81.4%</t>
  </si>
  <si>
    <t>BA park #198. park #125</t>
  </si>
  <si>
    <t>course pb, run #51</t>
  </si>
  <si>
    <t>Dave</t>
  </si>
  <si>
    <t>Dixon</t>
  </si>
  <si>
    <t>Finsbury Park</t>
  </si>
  <si>
    <t>runs</t>
  </si>
  <si>
    <t>Brian</t>
  </si>
  <si>
    <t>Barry</t>
  </si>
  <si>
    <t>Walters</t>
  </si>
  <si>
    <t>John</t>
  </si>
  <si>
    <t>Coffey</t>
  </si>
  <si>
    <t>Alan</t>
  </si>
  <si>
    <t>Anderson</t>
  </si>
  <si>
    <t>Gary</t>
  </si>
  <si>
    <t>Rushmer</t>
  </si>
  <si>
    <t>run #250, with hound</t>
  </si>
  <si>
    <t>improved WAVA%</t>
  </si>
  <si>
    <t>1st Ruffell</t>
  </si>
  <si>
    <t>2nd Ruffell</t>
  </si>
  <si>
    <t>parkrun pb</t>
  </si>
  <si>
    <t>Bushy Park(44,15)</t>
  </si>
  <si>
    <t>Old Deer Park(42,13)</t>
  </si>
  <si>
    <t>New 2 lap course at ODP</t>
  </si>
  <si>
    <t>BOROUGH</t>
  </si>
  <si>
    <t>run #26, 25th at Oak Hill</t>
  </si>
  <si>
    <t>first parkrun this year</t>
  </si>
  <si>
    <t>run #53, 4th at Peterborough</t>
  </si>
  <si>
    <t>run #35, 4th at Wormwood</t>
  </si>
  <si>
    <t>1st run at Riverside</t>
  </si>
  <si>
    <t>run #210, 59th at Woodley</t>
  </si>
  <si>
    <t>Steve Dodsworth 24:40</t>
  </si>
  <si>
    <t>Daniela Mayerova</t>
  </si>
  <si>
    <t>Kerstin Luksch</t>
  </si>
  <si>
    <t>HAV</t>
  </si>
  <si>
    <t>Havant</t>
  </si>
  <si>
    <t>Gary C</t>
  </si>
  <si>
    <t>PO5 3PG</t>
  </si>
  <si>
    <t>BS34 6JX</t>
  </si>
  <si>
    <t>IG1 4SB</t>
  </si>
  <si>
    <t>26' pacer</t>
  </si>
  <si>
    <t>48th/291</t>
  </si>
  <si>
    <t>135th/184</t>
  </si>
  <si>
    <t>40th/56</t>
  </si>
  <si>
    <t>40th/94</t>
  </si>
  <si>
    <t>Ellenbrook Fields (Hatfield)</t>
  </si>
  <si>
    <t>AL10 9EU</t>
  </si>
  <si>
    <t>ELF</t>
  </si>
  <si>
    <t>Guilaine</t>
  </si>
  <si>
    <t>Sheward</t>
  </si>
  <si>
    <t>Walton AC</t>
  </si>
  <si>
    <t>CUL</t>
  </si>
  <si>
    <t>Curl Curl (Sydney)</t>
  </si>
  <si>
    <t>John Scaife</t>
  </si>
  <si>
    <t>Mount Penang</t>
  </si>
  <si>
    <t>MTP</t>
  </si>
  <si>
    <t>Mount Penang (Sydney)</t>
  </si>
  <si>
    <t>BA park #152</t>
  </si>
  <si>
    <t>run #349</t>
  </si>
  <si>
    <t>run #95, 10th/23</t>
  </si>
  <si>
    <t>run #351</t>
  </si>
  <si>
    <t>run #102</t>
  </si>
  <si>
    <t>Banstead Wds</t>
  </si>
  <si>
    <t>Wormwood Sc</t>
  </si>
  <si>
    <t>Car Park charges</t>
  </si>
  <si>
    <t>MV65-69 Southwark agecatrec</t>
  </si>
  <si>
    <t>David</t>
  </si>
  <si>
    <t xml:space="preserve">WAVA </t>
  </si>
  <si>
    <t>200th run at Bushy Park</t>
  </si>
  <si>
    <t>run #175, parkrun pb</t>
  </si>
  <si>
    <t>run #18, 2016 pb</t>
  </si>
  <si>
    <t>Holkham Hall</t>
  </si>
  <si>
    <t>run #139, 93rd at Bedfont</t>
  </si>
  <si>
    <t>run #280, 2016 pb</t>
  </si>
  <si>
    <t>FOR</t>
  </si>
  <si>
    <t>NG9 1LZ</t>
  </si>
  <si>
    <t>NG7 6HB</t>
  </si>
  <si>
    <t>Forest Rec (Nottingham)</t>
  </si>
  <si>
    <t>run #198, 180th at Bushy</t>
  </si>
  <si>
    <t>run #146, 132nd at Bedfont</t>
  </si>
  <si>
    <t>2nd</t>
  </si>
  <si>
    <t xml:space="preserve">1st </t>
  </si>
  <si>
    <t>run #74</t>
  </si>
  <si>
    <t>run #110</t>
  </si>
  <si>
    <t>run #199</t>
  </si>
  <si>
    <t>park #28, inaugural #5</t>
  </si>
  <si>
    <t>27'30" pacer !</t>
  </si>
  <si>
    <t>record now down to 21:40</t>
  </si>
  <si>
    <t>Kimberley Turner</t>
  </si>
  <si>
    <t>first run at Reading</t>
  </si>
  <si>
    <t>CO12 3LJ</t>
  </si>
  <si>
    <t>GCN</t>
  </si>
  <si>
    <t>CO10 0JU</t>
  </si>
  <si>
    <t>run #10. all at Reigate</t>
  </si>
  <si>
    <t>age group score 74.22%</t>
  </si>
  <si>
    <t>CA14 3SA</t>
  </si>
  <si>
    <t>CA11 8UU</t>
  </si>
  <si>
    <t>Penrith (Frenchfield)</t>
  </si>
  <si>
    <t>run #487, 483rd at Bushy</t>
  </si>
  <si>
    <t>run #139, 136th at Bedfont</t>
  </si>
  <si>
    <t>LOW</t>
  </si>
  <si>
    <t>MOV</t>
  </si>
  <si>
    <t>John Coffey at Poole</t>
  </si>
  <si>
    <t>plus dog</t>
  </si>
  <si>
    <t>first run at Cassiobury (+ dog)</t>
  </si>
  <si>
    <t>Peter Pan (Hull West)</t>
  </si>
  <si>
    <t>HU4 6XQ</t>
  </si>
  <si>
    <t>Bury St Edmunds (Nowton Park)</t>
  </si>
  <si>
    <t>Roderick at  Diamond Creek</t>
  </si>
  <si>
    <t>run 92</t>
  </si>
  <si>
    <t>Andrew Jordan 23:55</t>
  </si>
  <si>
    <t>Roderick at La Ramee</t>
  </si>
  <si>
    <t>Alan 410</t>
  </si>
  <si>
    <t>run #35, park #8, club rec</t>
  </si>
  <si>
    <t>run #185</t>
  </si>
  <si>
    <t>Burnley</t>
  </si>
  <si>
    <t>Carlisle</t>
  </si>
  <si>
    <t>another pb by 4 secs</t>
  </si>
  <si>
    <t xml:space="preserve">Roderick at Fulham </t>
  </si>
  <si>
    <t>75th parkrun</t>
  </si>
  <si>
    <t>at 26 Oct 2013</t>
  </si>
  <si>
    <t>RH Melbourne</t>
  </si>
  <si>
    <t>(volunteer)</t>
  </si>
  <si>
    <t>TN17 2SL</t>
  </si>
  <si>
    <t>Adrian Haines 17:27</t>
  </si>
  <si>
    <t>park #30, BApark #146</t>
  </si>
  <si>
    <t>Kertin</t>
  </si>
  <si>
    <t>Hampstead Hth</t>
  </si>
  <si>
    <t>Roundshaw Dn</t>
  </si>
  <si>
    <t>park#32, not flat !</t>
  </si>
  <si>
    <t>park#69</t>
  </si>
  <si>
    <t>BA park #200</t>
  </si>
  <si>
    <t>2 laps</t>
  </si>
  <si>
    <t>1 lap</t>
  </si>
  <si>
    <t>BApark #150</t>
  </si>
  <si>
    <t>BA park #175</t>
  </si>
  <si>
    <t>Highbury</t>
  </si>
  <si>
    <t>Aylesbury</t>
  </si>
  <si>
    <t>188th/1000</t>
  </si>
  <si>
    <t>377th/1000</t>
  </si>
  <si>
    <t>1st female</t>
  </si>
  <si>
    <t>Monica Alonso</t>
  </si>
  <si>
    <t>Old Deer Park</t>
  </si>
  <si>
    <t>Ally Pally</t>
  </si>
  <si>
    <t>Roderick Hoffman</t>
  </si>
  <si>
    <t>Gunnersbury 73</t>
  </si>
  <si>
    <t>Wormwood Scrubs</t>
  </si>
  <si>
    <t>Nonsuch</t>
  </si>
  <si>
    <t>Exeter</t>
  </si>
  <si>
    <t>Glasgow Pollock</t>
  </si>
  <si>
    <t>Hamilton Lake NZ</t>
  </si>
  <si>
    <t>Victor Harbor</t>
  </si>
  <si>
    <t>BA park #215</t>
  </si>
  <si>
    <t>Rushmere (Leighton Buzzard)</t>
  </si>
  <si>
    <t>M21 9TA</t>
  </si>
  <si>
    <t>run #71, 25th at Harrogate</t>
  </si>
  <si>
    <t>run #298</t>
  </si>
  <si>
    <t>Linford Wood (MK)</t>
  </si>
  <si>
    <t>run #215, park #162</t>
  </si>
  <si>
    <t>1st run at Shrewsbury</t>
  </si>
  <si>
    <t>run #42, 39th at Harrow</t>
  </si>
  <si>
    <t>East Midlands</t>
  </si>
  <si>
    <t>Beeston</t>
  </si>
  <si>
    <t>Darley</t>
  </si>
  <si>
    <t>Forest Rec</t>
  </si>
  <si>
    <t>Lincoln</t>
  </si>
  <si>
    <t>Mansfield</t>
  </si>
  <si>
    <t>Maidenhead AC</t>
  </si>
  <si>
    <t>Princes Liverpool</t>
  </si>
  <si>
    <t>snookster@ntlworld.com</t>
  </si>
  <si>
    <t>Timms</t>
  </si>
  <si>
    <t>4th/164</t>
  </si>
  <si>
    <t>run #421</t>
  </si>
  <si>
    <t>run #154</t>
  </si>
  <si>
    <t>Brundall Country Park (Norfolk)</t>
  </si>
  <si>
    <t>EN3 6BW</t>
  </si>
  <si>
    <t>Darlington South</t>
  </si>
  <si>
    <t xml:space="preserve">Fountains Abbey </t>
  </si>
  <si>
    <t>prejoining</t>
  </si>
  <si>
    <t>JB at Crissy Field</t>
  </si>
  <si>
    <t>has also volunteeered over 80 times at parkruns unknown</t>
  </si>
  <si>
    <t>Brighton Preston Pk</t>
  </si>
  <si>
    <t>USA</t>
  </si>
  <si>
    <t>100th run at Bedfont</t>
  </si>
  <si>
    <t>Livonia</t>
  </si>
  <si>
    <t>Michigan</t>
  </si>
  <si>
    <t>Durham</t>
  </si>
  <si>
    <t>North Carolina</t>
  </si>
  <si>
    <t>Florida</t>
  </si>
  <si>
    <t>F-1, leads female points table</t>
  </si>
  <si>
    <t>Andrew W</t>
  </si>
  <si>
    <t>Jordan</t>
  </si>
  <si>
    <t>Andrew Jordan 20:38</t>
  </si>
  <si>
    <t>47 miles via A13, M25, A12</t>
  </si>
  <si>
    <t>51 miles via Nth Circ, M11, M25, A12</t>
  </si>
  <si>
    <t>one lap anticlockwise off-road</t>
  </si>
  <si>
    <t>Surrey League  Lloyd Park</t>
  </si>
  <si>
    <t>run #108</t>
  </si>
  <si>
    <t>run #245</t>
  </si>
  <si>
    <t>run #228</t>
  </si>
  <si>
    <t xml:space="preserve">run #20 </t>
  </si>
  <si>
    <r>
      <t>Y</t>
    </r>
    <r>
      <rPr>
        <sz val="10"/>
        <rFont val="Arial"/>
        <family val="2"/>
      </rPr>
      <t>eovil Montacute</t>
    </r>
  </si>
  <si>
    <t>GU11 2JL</t>
  </si>
  <si>
    <t>RUM</t>
  </si>
  <si>
    <t>Rushmoor (Aldershot)</t>
  </si>
  <si>
    <t>junior, run #8</t>
  </si>
  <si>
    <t>Sarah Gordon</t>
  </si>
  <si>
    <t>course a bit short ?</t>
  </si>
  <si>
    <t>Planned improvements (WEF 1/10/2015)</t>
  </si>
  <si>
    <t>actual</t>
  </si>
  <si>
    <t>so far</t>
  </si>
  <si>
    <t>run #40</t>
  </si>
  <si>
    <t>run #38</t>
  </si>
  <si>
    <t>Clair</t>
  </si>
  <si>
    <t>Southwick</t>
  </si>
  <si>
    <t>90th parkrun</t>
  </si>
  <si>
    <t>19th parkrun</t>
  </si>
  <si>
    <t>47th parkrun</t>
  </si>
  <si>
    <t>RH,RR,NF</t>
  </si>
  <si>
    <t>Oldham</t>
  </si>
  <si>
    <t>382 bus from Southgate</t>
  </si>
  <si>
    <t>third week in a row</t>
  </si>
  <si>
    <t>Gorleston Cliffs</t>
  </si>
  <si>
    <t>marziacoltelli@yahoo.co.uk</t>
  </si>
  <si>
    <t>connormartin@hotmail.com</t>
  </si>
  <si>
    <t>run director , results process</t>
  </si>
  <si>
    <t>run #167, photographer</t>
  </si>
  <si>
    <t>run #305, 241st at Reading</t>
  </si>
  <si>
    <t>run #212, 142nd at Reading</t>
  </si>
  <si>
    <t>run #86, parkrun pb</t>
  </si>
  <si>
    <t>run #81, 30th at Sunderland</t>
  </si>
  <si>
    <t>BA park #289, UK parkrun pb</t>
  </si>
  <si>
    <t>MAD</t>
  </si>
  <si>
    <t xml:space="preserve">Brierley </t>
  </si>
  <si>
    <t>BLF</t>
  </si>
  <si>
    <t>run #304</t>
  </si>
  <si>
    <t>run #428</t>
  </si>
  <si>
    <t>club record at Upton Court</t>
  </si>
  <si>
    <t>20th parkrun venue</t>
  </si>
  <si>
    <t>Peterborough (Ferry Meadows CP)</t>
  </si>
  <si>
    <t>PE2 5UU</t>
  </si>
  <si>
    <t>BA Park #181, park #115</t>
  </si>
  <si>
    <t>run #107</t>
  </si>
  <si>
    <t>run #121</t>
  </si>
  <si>
    <t>"run" #30</t>
  </si>
  <si>
    <t>run #4, park #2</t>
  </si>
  <si>
    <t>run #73</t>
  </si>
  <si>
    <t>summertime only!</t>
  </si>
  <si>
    <t>Started 26 Oct 2013</t>
  </si>
  <si>
    <t>Richard, et al</t>
  </si>
  <si>
    <t>first parkrun since September 2014</t>
  </si>
  <si>
    <t>SO50 9NL</t>
  </si>
  <si>
    <t>AL3 4SW</t>
  </si>
  <si>
    <t>MK41 7SS</t>
  </si>
  <si>
    <t>MK15 0DS</t>
  </si>
  <si>
    <t>FKK</t>
  </si>
  <si>
    <t>Maidenhead #1, run #107</t>
  </si>
  <si>
    <t>run #250</t>
  </si>
  <si>
    <t>MI</t>
  </si>
  <si>
    <t>CA</t>
  </si>
  <si>
    <t>Crissy Field</t>
  </si>
  <si>
    <t>record now down to 21:10</t>
  </si>
  <si>
    <t xml:space="preserve">run #16 </t>
  </si>
  <si>
    <t>28' pacer</t>
  </si>
  <si>
    <t>Bushy</t>
  </si>
  <si>
    <t>Killerton</t>
  </si>
  <si>
    <t>Richmond</t>
  </si>
  <si>
    <t>Gunnersbury Park</t>
  </si>
  <si>
    <t>Root 44 (Western Cape, RSA)</t>
  </si>
  <si>
    <t>HWH</t>
  </si>
  <si>
    <t>Clair Park (Haywards Heath)</t>
  </si>
  <si>
    <t>RH16 3DN</t>
  </si>
  <si>
    <t>7" faster better than last time</t>
  </si>
  <si>
    <t>park #35, club record</t>
  </si>
  <si>
    <t>run #131</t>
  </si>
  <si>
    <t>County Durham</t>
  </si>
  <si>
    <t>Herefordshire</t>
  </si>
  <si>
    <t>Worcestershire</t>
  </si>
  <si>
    <t>Warwickshire</t>
  </si>
  <si>
    <t>Northamptonshire</t>
  </si>
  <si>
    <t>Huntingdonshire</t>
  </si>
  <si>
    <t>Gloucestershire</t>
  </si>
  <si>
    <t>Oxfordshire</t>
  </si>
  <si>
    <t>Bedfordshire</t>
  </si>
  <si>
    <t>Hertfordshire</t>
  </si>
  <si>
    <t>Essex</t>
  </si>
  <si>
    <t>Somerset</t>
  </si>
  <si>
    <t>Berkshire</t>
  </si>
  <si>
    <t>Middlesex</t>
  </si>
  <si>
    <t>Surrey</t>
  </si>
  <si>
    <t>Kent</t>
  </si>
  <si>
    <t>Devon</t>
  </si>
  <si>
    <t>Hampshire</t>
  </si>
  <si>
    <t>Sussex</t>
  </si>
  <si>
    <t>Buckinghamshire</t>
  </si>
  <si>
    <t>Dorset</t>
  </si>
  <si>
    <t>check</t>
  </si>
  <si>
    <t>flat, half grass, half tarmac</t>
  </si>
  <si>
    <t>Syon Lane station</t>
  </si>
  <si>
    <t>TW7 5NT</t>
  </si>
  <si>
    <t xml:space="preserve"> in Florida</t>
  </si>
  <si>
    <t>Pegasus</t>
  </si>
  <si>
    <t>Blenheim</t>
  </si>
  <si>
    <t>Puarenga</t>
  </si>
  <si>
    <t>NZR</t>
  </si>
  <si>
    <t>Western Springs</t>
  </si>
  <si>
    <t>NZE</t>
  </si>
  <si>
    <t>agecatrecord, BApark #115</t>
  </si>
  <si>
    <t>run #50</t>
  </si>
  <si>
    <t>£1.50 car park at Verulamium Museum</t>
  </si>
  <si>
    <t>need bike at far end</t>
  </si>
  <si>
    <t>Roderick at Ayr</t>
  </si>
  <si>
    <t xml:space="preserve">Fulham Palace </t>
  </si>
  <si>
    <t>run #48, 15th/80</t>
  </si>
  <si>
    <t>run #25, all at Bedfont</t>
  </si>
  <si>
    <t>7.29 from Chiswick</t>
  </si>
  <si>
    <t>with bike</t>
  </si>
  <si>
    <t>Hounslow Station</t>
  </si>
  <si>
    <t>TW3 2EB</t>
  </si>
  <si>
    <t>2nd best parkrun time</t>
  </si>
  <si>
    <t>London borough #25</t>
  </si>
  <si>
    <t>RR South Oxhey</t>
  </si>
  <si>
    <t>late start/course setup delay</t>
  </si>
  <si>
    <t>run #326</t>
  </si>
  <si>
    <t>Worcester Woods</t>
  </si>
  <si>
    <t>WR5 2LG</t>
  </si>
  <si>
    <t>WOR</t>
  </si>
  <si>
    <t>Evesham</t>
  </si>
  <si>
    <t>EVE</t>
  </si>
  <si>
    <t>WR11 4BP</t>
  </si>
  <si>
    <t>steep hill</t>
  </si>
  <si>
    <t>Wimpole Estate (Cambs)</t>
  </si>
  <si>
    <t>Southwark Park (Surrey Quays)</t>
  </si>
  <si>
    <t>trailrunner (volunteer)</t>
  </si>
  <si>
    <t>run #109</t>
  </si>
  <si>
    <t>first lady, BA park #177</t>
  </si>
  <si>
    <t>sore back from Friday golf</t>
  </si>
  <si>
    <t>half way time caller outer</t>
  </si>
  <si>
    <t>points table winner (again)</t>
  </si>
  <si>
    <t>BA park #204</t>
  </si>
  <si>
    <t>parkrun id 683</t>
  </si>
  <si>
    <t>33 runs in 2015</t>
  </si>
  <si>
    <t>run #344</t>
  </si>
  <si>
    <t>47 runs in 2015</t>
  </si>
  <si>
    <t>run #178</t>
  </si>
  <si>
    <t>45 runs in 2015</t>
  </si>
  <si>
    <t>49 runs in 2015</t>
  </si>
  <si>
    <t>run #268</t>
  </si>
  <si>
    <t>50 runs in 2015</t>
  </si>
  <si>
    <t>#201</t>
  </si>
  <si>
    <t>#202</t>
  </si>
  <si>
    <t>48 runs in 2015</t>
  </si>
  <si>
    <t>RG6 1PQ</t>
  </si>
  <si>
    <t>Joe Nolan</t>
  </si>
  <si>
    <t>Alan Anderson</t>
  </si>
  <si>
    <t>Leamington</t>
  </si>
  <si>
    <t xml:space="preserve"> </t>
  </si>
  <si>
    <t>Simon Turton</t>
  </si>
  <si>
    <t>Woodley</t>
  </si>
  <si>
    <t>SM3 8AL</t>
  </si>
  <si>
    <t>SW19 5NR</t>
  </si>
  <si>
    <t>GU1 1UP</t>
  </si>
  <si>
    <t>Inverness (Bught Park)</t>
  </si>
  <si>
    <t>Barclay (76)</t>
  </si>
  <si>
    <t>2.5 laps, distance certificate UKA</t>
  </si>
  <si>
    <t>Sarah Gordon 34:55</t>
  </si>
  <si>
    <t>course pb on 25th run</t>
  </si>
  <si>
    <t>47th run at Wycombe Rye</t>
  </si>
  <si>
    <t>30th run at Woodley</t>
  </si>
  <si>
    <t>27th run at Woking</t>
  </si>
  <si>
    <t xml:space="preserve">Tom </t>
  </si>
  <si>
    <t>club course record, park #139</t>
  </si>
  <si>
    <t>2nd lady</t>
  </si>
  <si>
    <t>first</t>
  </si>
  <si>
    <t>Linda Dodsworth pb 26:33</t>
  </si>
  <si>
    <t>Warwick Services</t>
  </si>
  <si>
    <t>74 miles</t>
  </si>
  <si>
    <t>9 miles</t>
  </si>
  <si>
    <t>36 miles</t>
  </si>
  <si>
    <t>63 miles</t>
  </si>
  <si>
    <t>course pb, club record</t>
  </si>
  <si>
    <t>run #95</t>
  </si>
  <si>
    <t>tail runner</t>
  </si>
  <si>
    <t>1st run at South Oxhey</t>
  </si>
  <si>
    <t>Norman</t>
  </si>
  <si>
    <t>run #239, park #78</t>
  </si>
  <si>
    <t>run #214, 2nd at Homewood</t>
  </si>
  <si>
    <t>1st run at Homewood</t>
  </si>
  <si>
    <t>Homewood (Cherstey)</t>
  </si>
  <si>
    <t>Helen Smith</t>
  </si>
  <si>
    <t>run #37, course pb</t>
  </si>
  <si>
    <t>21st run at Poole</t>
  </si>
  <si>
    <t>F-3, female points winner</t>
  </si>
  <si>
    <t>207th run at Gunnersbury</t>
  </si>
  <si>
    <t>2nd run at Evesham</t>
  </si>
  <si>
    <t>paced daughter to pb</t>
  </si>
  <si>
    <t>club record, park #172</t>
  </si>
  <si>
    <t xml:space="preserve">run #50 </t>
  </si>
  <si>
    <t>1st run at Tooting Common</t>
  </si>
  <si>
    <t>course pb, run #243</t>
  </si>
  <si>
    <t>run #261, 224th at Bushy</t>
  </si>
  <si>
    <t>pacing a junior</t>
  </si>
  <si>
    <t>near the back</t>
  </si>
  <si>
    <t>run #307</t>
  </si>
  <si>
    <t xml:space="preserve">run #214 </t>
  </si>
  <si>
    <t>Crissy Field (San Francisco)</t>
  </si>
  <si>
    <t>Barking&amp;Dagenham</t>
  </si>
  <si>
    <t>Redditch (Arrow Valley)</t>
  </si>
  <si>
    <t xml:space="preserve">Roderick </t>
  </si>
  <si>
    <t>run #235</t>
  </si>
  <si>
    <t>Gadebridge (77)</t>
  </si>
  <si>
    <t>run #22, 11th at Rushmoor</t>
  </si>
  <si>
    <t>FRL</t>
  </si>
  <si>
    <t xml:space="preserve">1st female finisher </t>
  </si>
  <si>
    <t>Chris Kelly</t>
  </si>
  <si>
    <t>run #188</t>
  </si>
  <si>
    <t>run #130</t>
  </si>
  <si>
    <t>run #203, 209th/249</t>
  </si>
  <si>
    <t>spectator</t>
  </si>
  <si>
    <t>first run at Bushy</t>
  </si>
  <si>
    <t>run #100, 50th park w/w</t>
  </si>
  <si>
    <t>BRA</t>
  </si>
  <si>
    <t>LST</t>
  </si>
  <si>
    <t>Kingscliff</t>
  </si>
  <si>
    <t>Lake Mac</t>
  </si>
  <si>
    <t>Maitland</t>
  </si>
  <si>
    <t>clocks change tonight</t>
  </si>
  <si>
    <t>Arrow Valley</t>
  </si>
  <si>
    <t>Reddich, near Birmingham</t>
  </si>
  <si>
    <t>volunteer - tail runner</t>
  </si>
  <si>
    <t>A406, A1, A414</t>
  </si>
  <si>
    <t>Crawley AC or even Horsham Joggers</t>
  </si>
  <si>
    <t>employee</t>
  </si>
  <si>
    <t>Yarnell</t>
  </si>
  <si>
    <t>run #97, M-6, course pb</t>
  </si>
  <si>
    <t>run #388</t>
  </si>
  <si>
    <t>F-8, run #57</t>
  </si>
  <si>
    <t>run #3, first since 1/1/14</t>
  </si>
  <si>
    <t>Inaugurals</t>
  </si>
  <si>
    <t>Cockram</t>
  </si>
  <si>
    <t xml:space="preserve">John </t>
  </si>
  <si>
    <t>5th run at Nonsuch</t>
  </si>
  <si>
    <t>Heaton Park</t>
  </si>
  <si>
    <t>Keswick</t>
  </si>
  <si>
    <t>Ormskirk</t>
  </si>
  <si>
    <t>Pendle</t>
  </si>
  <si>
    <t>Preston</t>
  </si>
  <si>
    <t>L11 1EH</t>
  </si>
  <si>
    <t>Didcot (Ladygrove Park)</t>
  </si>
  <si>
    <t>OX11 7AF</t>
  </si>
  <si>
    <t>HG4 3DY</t>
  </si>
  <si>
    <t>0730 Picc line from Hammersmith, change at Holborn (Central Line) 0810 to Ilford from Liverpool St, 10 min walk</t>
  </si>
  <si>
    <t>Colin</t>
  </si>
  <si>
    <t>barcode</t>
  </si>
  <si>
    <t>club course rec, park #44</t>
  </si>
  <si>
    <t>2015 parkrun pb</t>
  </si>
  <si>
    <t>Barry Swindells</t>
  </si>
  <si>
    <t>park #29, club course rec</t>
  </si>
  <si>
    <t>run #168, F-3</t>
  </si>
  <si>
    <t>park#11, club parkrun#83</t>
  </si>
  <si>
    <t>Osterley (trial)</t>
  </si>
  <si>
    <t>tripped</t>
  </si>
  <si>
    <t>course pb by 6 secs</t>
  </si>
  <si>
    <t>RH at Panshanger</t>
  </si>
  <si>
    <t>Dublin Marlay</t>
  </si>
  <si>
    <t>flat</t>
  </si>
  <si>
    <t>grass</t>
  </si>
  <si>
    <t>TRN</t>
  </si>
  <si>
    <t>Tring Park</t>
  </si>
  <si>
    <t>single lap</t>
  </si>
  <si>
    <t>HP23 6AP</t>
  </si>
  <si>
    <t>free carpark</t>
  </si>
  <si>
    <t>Harcourt Hill (Oxford)</t>
  </si>
  <si>
    <t>F-3, run #184</t>
  </si>
  <si>
    <t>run #410, 188th at Gunnsbury</t>
  </si>
  <si>
    <t>POK</t>
  </si>
  <si>
    <t>run #23, 12th at Rushmoor</t>
  </si>
  <si>
    <t>Poolsbrook (Sarah Gordon)</t>
  </si>
  <si>
    <t>paced daughter to a pb</t>
  </si>
  <si>
    <t>run #61, 34th at Maidenhead</t>
  </si>
  <si>
    <t>run #44, 16th at Maidenhead</t>
  </si>
  <si>
    <t>run #52, 16th at Maidenhead</t>
  </si>
  <si>
    <t>run #25, 4th week in a row</t>
  </si>
  <si>
    <t>1st run at Isle of Wight</t>
  </si>
  <si>
    <t>with junior companion</t>
  </si>
  <si>
    <t>46th run at Wycombe Rye</t>
  </si>
  <si>
    <t>33rd run at Braunstone</t>
  </si>
  <si>
    <t>park #156</t>
  </si>
  <si>
    <t>best agegrade this year</t>
  </si>
  <si>
    <t>BA club best time (F)</t>
  </si>
  <si>
    <t>Kesgrave (Suffolk)</t>
  </si>
  <si>
    <t>Killerton (Exeter)</t>
  </si>
  <si>
    <t>all grass, flat</t>
  </si>
  <si>
    <t>Robert</t>
  </si>
  <si>
    <t>2014 sb</t>
  </si>
  <si>
    <t>YO23 1EX</t>
  </si>
  <si>
    <t>DAF</t>
  </si>
  <si>
    <t>Great Notley (Braintree)</t>
  </si>
  <si>
    <t>record now down to 19:47</t>
  </si>
  <si>
    <t>pb, run #309</t>
  </si>
  <si>
    <t>London Mela, No run at Gunnersbury</t>
  </si>
  <si>
    <t>AND</t>
  </si>
  <si>
    <t>parkrun pb, run #27</t>
  </si>
  <si>
    <t>RED</t>
  </si>
  <si>
    <t>BApark #167</t>
  </si>
  <si>
    <t>STC</t>
  </si>
  <si>
    <t>run #221</t>
  </si>
  <si>
    <t>run #131, 89th at Bedfont</t>
  </si>
  <si>
    <t>run #189, 176th at Bedfont</t>
  </si>
  <si>
    <t>7.34 from Gunnersbury (with bike) (wet)</t>
  </si>
  <si>
    <t>Thurrock (Orsett Heath)</t>
  </si>
  <si>
    <t>Ave</t>
  </si>
  <si>
    <t>Darlington (Sth)</t>
  </si>
  <si>
    <t>NG10 4AA</t>
  </si>
  <si>
    <t>Northala (inaugural)</t>
  </si>
  <si>
    <t xml:space="preserve">Pymmes </t>
  </si>
  <si>
    <t>park #65, M25 fully stuffed</t>
  </si>
  <si>
    <t>improves age cat record</t>
  </si>
  <si>
    <t>club park #78</t>
  </si>
  <si>
    <t>HAN</t>
  </si>
  <si>
    <t>Barry Curtis</t>
  </si>
  <si>
    <t>Auckland area</t>
  </si>
  <si>
    <t>Dunedin</t>
  </si>
  <si>
    <t xml:space="preserve">Gunpowder </t>
  </si>
  <si>
    <t>Hamilton Lake (NZ)</t>
  </si>
  <si>
    <t>run #38, 4th at Guildford</t>
  </si>
  <si>
    <t>run #51, 20th at Sunderland</t>
  </si>
  <si>
    <t>run #276</t>
  </si>
  <si>
    <t>run #202, 184th at Bushy</t>
  </si>
  <si>
    <t>park #142, Bapark #226</t>
  </si>
  <si>
    <t>Bideford (Victoria Park)</t>
  </si>
  <si>
    <t>EX39 2QQ</t>
  </si>
  <si>
    <t>Torridge District Council</t>
  </si>
  <si>
    <t>Pay &amp; Display car parking</t>
  </si>
  <si>
    <t>starts 2/4/16</t>
  </si>
  <si>
    <t>S43 3WL</t>
  </si>
  <si>
    <t>Poolsbrook CP (Staveley, Derbyshire)</t>
  </si>
  <si>
    <t>quite close to M1 jct 29a</t>
  </si>
  <si>
    <t>MV80-84</t>
  </si>
  <si>
    <t>William Blair 24:52</t>
  </si>
  <si>
    <t>E3 4HL</t>
  </si>
  <si>
    <t>Roy Lilley 17:00 / Caroline Cockram 23:09</t>
  </si>
  <si>
    <t>Course notes</t>
  </si>
  <si>
    <t>Non member notes</t>
  </si>
  <si>
    <t>run #305</t>
  </si>
  <si>
    <t>Northala Fields</t>
  </si>
  <si>
    <t>UB5 6AH</t>
  </si>
  <si>
    <t>Northala Fields (Northolt)</t>
  </si>
  <si>
    <t>NOF</t>
  </si>
  <si>
    <t>Peckham Rye</t>
  </si>
  <si>
    <t>PEC</t>
  </si>
  <si>
    <t>1st runner with barcode!</t>
  </si>
  <si>
    <t>Neil Frediani at Colchester</t>
  </si>
  <si>
    <t>Four new parks</t>
  </si>
  <si>
    <t>Chichester (Oaklands Park)</t>
  </si>
  <si>
    <t>PO19 6AP</t>
  </si>
  <si>
    <t>Burgess (52,20)</t>
  </si>
  <si>
    <t>35th</t>
  </si>
  <si>
    <t>10:30 – Hampstead Heath parkrun</t>
  </si>
  <si>
    <t>12:00 – Ally Pally parkrun</t>
  </si>
  <si>
    <t>run #31, 8th at Maidenhead</t>
  </si>
  <si>
    <t>Woodhouse Moor (Leeds)</t>
  </si>
  <si>
    <t>EBN</t>
  </si>
  <si>
    <t>Eastbourne (Shinewater Park)</t>
  </si>
  <si>
    <t>BN23 8EJ</t>
  </si>
  <si>
    <t>park #66, club course record</t>
  </si>
  <si>
    <t xml:space="preserve">run #284 </t>
  </si>
  <si>
    <t>practice 25' pacer run</t>
  </si>
  <si>
    <t>marshalling tomorrow</t>
  </si>
  <si>
    <t>best WMA score at Black Park</t>
  </si>
  <si>
    <t>run #174</t>
  </si>
  <si>
    <t>the steep hill is still there !</t>
  </si>
  <si>
    <t>in range on full battery (return)</t>
  </si>
  <si>
    <t>prospective new member</t>
  </si>
  <si>
    <t>Brian Tyrrell</t>
  </si>
  <si>
    <t>Brockwell Park (Brixton/Herne Hill)</t>
  </si>
  <si>
    <t>Lloyd Park (Croydon)</t>
  </si>
  <si>
    <t>Portsmouth Lakeside</t>
  </si>
  <si>
    <t>Tewkesbury Vinyards</t>
  </si>
  <si>
    <t>8th run at Leicester Vic</t>
  </si>
  <si>
    <t>Club course record</t>
  </si>
  <si>
    <t>Club course record (F)</t>
  </si>
  <si>
    <t>1st run at Fritton Lake</t>
  </si>
  <si>
    <t>1st run at Folkestone</t>
  </si>
  <si>
    <t>Trish McCabe</t>
  </si>
  <si>
    <t>9th run at Northala Fields</t>
  </si>
  <si>
    <t>1st run at Osterley Park</t>
  </si>
  <si>
    <t>1st run at Wimpole Estate</t>
  </si>
  <si>
    <t>best 2016 run at Gunnersbury</t>
  </si>
  <si>
    <t xml:space="preserve">OX14 3HR                                                                                                                                                                                                       </t>
  </si>
  <si>
    <t>SP10 3LF</t>
  </si>
  <si>
    <t>run #416</t>
  </si>
  <si>
    <t>CAN</t>
  </si>
  <si>
    <t>CHY</t>
  </si>
  <si>
    <t>HAD</t>
  </si>
  <si>
    <t>1st (F)</t>
  </si>
  <si>
    <t>Congleton (Astbury Mere)</t>
  </si>
  <si>
    <t>S80 3AZ</t>
  </si>
  <si>
    <t>CLU</t>
  </si>
  <si>
    <t>BEE</t>
  </si>
  <si>
    <t>Beeston (Notts)</t>
  </si>
  <si>
    <t>Colin Haylock</t>
  </si>
  <si>
    <t>NN1 4LG</t>
  </si>
  <si>
    <t>Barry Island</t>
  </si>
  <si>
    <t>Montsouris (PAR)</t>
  </si>
  <si>
    <t>1st run at Barry Island</t>
  </si>
  <si>
    <t>BYI</t>
  </si>
  <si>
    <t>2 laps, no dogs</t>
  </si>
  <si>
    <t>run #68, 41st at Maidenhead</t>
  </si>
  <si>
    <t>run #52, 20th at Maidenhead</t>
  </si>
  <si>
    <t>run #62, 21st at Maidenhead</t>
  </si>
  <si>
    <t>run #52, 25th at Northala</t>
  </si>
  <si>
    <t>run #91, 29th at Harrogate</t>
  </si>
  <si>
    <t>run #86, 28th at Harrogate</t>
  </si>
  <si>
    <t>run #310</t>
  </si>
  <si>
    <t>run #367</t>
  </si>
  <si>
    <t>run #291</t>
  </si>
  <si>
    <t>a bad week to choose WC !</t>
  </si>
  <si>
    <t>tailrunner (42:48)</t>
  </si>
  <si>
    <t>CET</t>
  </si>
  <si>
    <t>Montsouris (Paris)</t>
  </si>
  <si>
    <t>Barry I</t>
  </si>
  <si>
    <t>MON</t>
  </si>
  <si>
    <t>Montsouris</t>
  </si>
  <si>
    <t>M-1, 5th parc en France</t>
  </si>
  <si>
    <t>run #57, 10 years of parkrunning</t>
  </si>
  <si>
    <t>now down ro 21:38 but record has improved to 20:25</t>
  </si>
  <si>
    <t>Margate (Walpole Bay)</t>
  </si>
  <si>
    <t>Finish tokens</t>
  </si>
  <si>
    <t>run #99</t>
  </si>
  <si>
    <t>best time for over a year</t>
  </si>
  <si>
    <t>?</t>
  </si>
  <si>
    <t>Kleanthos</t>
  </si>
  <si>
    <t>1987 Munchman winner</t>
  </si>
  <si>
    <t>Gadebridge (Hemel Hempstead)</t>
  </si>
  <si>
    <t>HP1 3AQ</t>
  </si>
  <si>
    <t>96th run at Gunnersbury</t>
  </si>
  <si>
    <t>run #2</t>
  </si>
  <si>
    <t>Tail runner volunteeer</t>
  </si>
  <si>
    <t>run #6, 5th at March</t>
  </si>
  <si>
    <t>Princes(LPL)</t>
  </si>
  <si>
    <t>Withenshawe</t>
  </si>
  <si>
    <t>Albert Park Melbourne</t>
  </si>
  <si>
    <t>Albert - Melbourne</t>
  </si>
  <si>
    <t>Total runs by BA runners* at each park</t>
  </si>
  <si>
    <t>CR6 9YB</t>
  </si>
  <si>
    <t>Riddlesdown (Warlingham)</t>
  </si>
  <si>
    <t>Stretford (Longford Park)</t>
  </si>
  <si>
    <t>Glossop (Derbyshire)</t>
  </si>
  <si>
    <t>Carlisle, Jersey, Swansea Bay</t>
  </si>
  <si>
    <t>Russell</t>
  </si>
  <si>
    <t>Gunnersbury 88</t>
  </si>
  <si>
    <t>run #85, park #51</t>
  </si>
  <si>
    <t>Hatfield Forest (Bishops Stortford)</t>
  </si>
  <si>
    <t>Brundall (Norfolk)</t>
  </si>
  <si>
    <t>BDL</t>
  </si>
  <si>
    <t>20th/382, BApark #142</t>
  </si>
  <si>
    <t>started 18/4/15</t>
  </si>
  <si>
    <t>volunteer tail runner</t>
  </si>
  <si>
    <t>BNP</t>
  </si>
  <si>
    <t>0814 (Sutton) train from Clapham (0744 train from Chiswick)</t>
  </si>
  <si>
    <t>2nd finisher !, BA park#184</t>
  </si>
  <si>
    <t>Roderick in France</t>
  </si>
  <si>
    <t xml:space="preserve">Southwark </t>
  </si>
  <si>
    <t>run #85</t>
  </si>
  <si>
    <t>park #103</t>
  </si>
  <si>
    <t>backup timer</t>
  </si>
  <si>
    <t>Wandsworth</t>
  </si>
  <si>
    <t>new pb</t>
  </si>
  <si>
    <t>Mohamed</t>
  </si>
  <si>
    <t>course record</t>
  </si>
  <si>
    <t>run #386</t>
  </si>
  <si>
    <t>tube or train, overground to Surrey Quays</t>
  </si>
  <si>
    <t>Gunnersbury(52)</t>
  </si>
  <si>
    <t>Duggan</t>
  </si>
  <si>
    <t>Hilly Fields (Lewisham)</t>
  </si>
  <si>
    <t>park #24</t>
  </si>
  <si>
    <t>Hanley</t>
  </si>
  <si>
    <t>Catton</t>
  </si>
  <si>
    <t>Fritton Lake</t>
  </si>
  <si>
    <t>Gorleston</t>
  </si>
  <si>
    <t>run #80</t>
  </si>
  <si>
    <t>Gunnersbury (49)</t>
  </si>
  <si>
    <t>Club parkrun 13th July 2013</t>
  </si>
  <si>
    <t>Hackney Marsh</t>
  </si>
  <si>
    <t>2014 sb, park#34</t>
  </si>
  <si>
    <t xml:space="preserve">Gareth </t>
  </si>
  <si>
    <t>Hobby</t>
  </si>
  <si>
    <t>photographer</t>
  </si>
  <si>
    <t>Joseph</t>
  </si>
  <si>
    <t>Aspinall</t>
  </si>
  <si>
    <t>record now down to 25:53</t>
  </si>
  <si>
    <t>MV75-79 new agecatrec</t>
  </si>
  <si>
    <t>barcode scanning</t>
  </si>
  <si>
    <t>Durham  (England)</t>
  </si>
  <si>
    <t>John Lennon 28:21</t>
  </si>
  <si>
    <t>sreeram.sethuraman@amadeus.com</t>
  </si>
  <si>
    <t>hammer_rosie@hotmail.co.uk</t>
  </si>
  <si>
    <t>Tonbridge</t>
  </si>
  <si>
    <t>TON</t>
  </si>
  <si>
    <t>TN9 1HR</t>
  </si>
  <si>
    <t>return train 10.09</t>
  </si>
  <si>
    <t>Oak Hill (East Barnet)</t>
  </si>
  <si>
    <t>EN4 8JS</t>
  </si>
  <si>
    <t>Gunpowder (Waltham Abbey)</t>
  </si>
  <si>
    <t>EN9 3GP</t>
  </si>
  <si>
    <t>RG21 4AG</t>
  </si>
  <si>
    <t>Ellesmere Port</t>
  </si>
  <si>
    <t>CH65 6QY</t>
  </si>
  <si>
    <t>starts 18/10/14</t>
  </si>
  <si>
    <t>ELP</t>
  </si>
  <si>
    <t>funnel management</t>
  </si>
  <si>
    <t>John Lennon is also a member of Sunbury Skiff Club</t>
  </si>
  <si>
    <t>South Oxhey</t>
  </si>
  <si>
    <t>where ?</t>
  </si>
  <si>
    <t>best time</t>
  </si>
  <si>
    <t>Daniel</t>
  </si>
  <si>
    <t>Clark</t>
  </si>
  <si>
    <t>Turton</t>
  </si>
  <si>
    <t>"Other" Park appearances</t>
  </si>
  <si>
    <t>run #18, park #11</t>
  </si>
  <si>
    <t>run #43, park #22</t>
  </si>
  <si>
    <t>East Coast Park (Singapore)</t>
  </si>
  <si>
    <t>pb, improves age cat rec</t>
  </si>
  <si>
    <t>started 17th May 2014</t>
  </si>
  <si>
    <t>OHM</t>
  </si>
  <si>
    <t>OL8 2BH</t>
  </si>
  <si>
    <t>leads female points table</t>
  </si>
  <si>
    <t>run #315</t>
  </si>
  <si>
    <t>park #76</t>
  </si>
  <si>
    <t>BA park #111</t>
  </si>
  <si>
    <t>run #89</t>
  </si>
  <si>
    <t>London Borough#21 (of 28)</t>
  </si>
  <si>
    <t>Denis</t>
  </si>
  <si>
    <t>Foxley</t>
  </si>
  <si>
    <t>Dublin St Annes</t>
  </si>
  <si>
    <t>BA park #214, new country</t>
  </si>
  <si>
    <t xml:space="preserve">Volunteer  </t>
  </si>
  <si>
    <t>run #116, 96th at Crane Park</t>
  </si>
  <si>
    <t>Three Rivers (Herts)</t>
  </si>
  <si>
    <t>Cassiobury (Watford)</t>
  </si>
  <si>
    <t>FIN</t>
  </si>
  <si>
    <t>run #168</t>
  </si>
  <si>
    <t>Bushy debut</t>
  </si>
  <si>
    <t>run #225</t>
  </si>
  <si>
    <t>run #223</t>
  </si>
  <si>
    <t>run #205</t>
  </si>
  <si>
    <t>run#70</t>
  </si>
  <si>
    <t>run #333</t>
  </si>
  <si>
    <t>run #347</t>
  </si>
  <si>
    <t>run #164</t>
  </si>
  <si>
    <t>run #142</t>
  </si>
  <si>
    <t>run #93</t>
  </si>
  <si>
    <t>ABI</t>
  </si>
  <si>
    <t>BRU</t>
  </si>
  <si>
    <t>ALP</t>
  </si>
  <si>
    <t>WSC</t>
  </si>
  <si>
    <t>PRI</t>
  </si>
  <si>
    <t>WBK</t>
  </si>
  <si>
    <t>WLY</t>
  </si>
  <si>
    <t>OXF</t>
  </si>
  <si>
    <t>GLS</t>
  </si>
  <si>
    <t>NBY</t>
  </si>
  <si>
    <t>NHT</t>
  </si>
  <si>
    <t>SAL</t>
  </si>
  <si>
    <t>forgot barcode!</t>
  </si>
  <si>
    <t>Bedfont lakes</t>
  </si>
  <si>
    <t>CWK</t>
  </si>
  <si>
    <t>Colwick</t>
  </si>
  <si>
    <t>CCC</t>
  </si>
  <si>
    <t>NG2 4BH</t>
  </si>
  <si>
    <t>Raphael</t>
  </si>
  <si>
    <t>PEB</t>
  </si>
  <si>
    <t>run #231, 197th at Bushy Park</t>
  </si>
  <si>
    <t>run #203</t>
  </si>
  <si>
    <t>run #255, 239th at Black Park</t>
  </si>
  <si>
    <t>run #39, 5th at Guildford</t>
  </si>
  <si>
    <t xml:space="preserve">Heslop  </t>
  </si>
  <si>
    <t>run #398</t>
  </si>
  <si>
    <t>run#50</t>
  </si>
  <si>
    <t>RR at Bath Skyline</t>
  </si>
  <si>
    <t>Critchlow</t>
  </si>
  <si>
    <t>Watford (Cassiobury Pk)</t>
  </si>
  <si>
    <t>HOW</t>
  </si>
  <si>
    <t>Fulham Palace(anniv)</t>
  </si>
  <si>
    <t>Robert Fleming</t>
  </si>
  <si>
    <t>Gunnersbury (41)</t>
  </si>
  <si>
    <t>Gunnersbury (42)</t>
  </si>
  <si>
    <t>MV75, 50 years of running</t>
  </si>
  <si>
    <t>every day</t>
  </si>
  <si>
    <t>run #219</t>
  </si>
  <si>
    <t>Bolton (Leverhulme Park)</t>
  </si>
  <si>
    <t>BL2 6EX</t>
  </si>
  <si>
    <t>Burnley (Towneley Park)</t>
  </si>
  <si>
    <t>BB11 3RQ</t>
  </si>
  <si>
    <t>CA2 6JP</t>
  </si>
  <si>
    <t>L12 0HB</t>
  </si>
  <si>
    <t>nb golf on Friday</t>
  </si>
  <si>
    <t>R Tunbridge Wells</t>
  </si>
  <si>
    <t>42 miles  down A2/A289</t>
  </si>
  <si>
    <t>Nose Hill (Calgary)</t>
  </si>
  <si>
    <t>first parkrun in Canada</t>
  </si>
  <si>
    <t xml:space="preserve">run #25 </t>
  </si>
  <si>
    <r>
      <t>T</t>
    </r>
    <r>
      <rPr>
        <sz val="10"/>
        <rFont val="Arial"/>
        <family val="2"/>
      </rPr>
      <t>ees Barrage</t>
    </r>
  </si>
  <si>
    <t>Concord (Sheffield)</t>
  </si>
  <si>
    <t>Madge</t>
  </si>
  <si>
    <t>Bradsell</t>
  </si>
  <si>
    <t>2nd/2 VW80, run #320</t>
  </si>
  <si>
    <t>1st/1 VM75, run #1</t>
  </si>
  <si>
    <t>17th/142, run #97</t>
  </si>
  <si>
    <t>16th/243, run #212</t>
  </si>
  <si>
    <t>Two countries course</t>
  </si>
  <si>
    <t>Banstead  &amp;  Reigate</t>
  </si>
  <si>
    <t>(Sutton)</t>
  </si>
  <si>
    <t xml:space="preserve">Black Park </t>
  </si>
  <si>
    <t>Bushy Park (Hampton/Teddington)</t>
  </si>
  <si>
    <t>KT8 9DD</t>
  </si>
  <si>
    <t>reverse course</t>
  </si>
  <si>
    <t>Albert Park Middlesbrough</t>
  </si>
  <si>
    <t>ALM</t>
  </si>
  <si>
    <t>10 mile warmup!</t>
  </si>
  <si>
    <t>park #120</t>
  </si>
  <si>
    <t>Krakow</t>
  </si>
  <si>
    <t>4th / 75, BApark #193</t>
  </si>
  <si>
    <t>BApark #192</t>
  </si>
  <si>
    <t>KRK</t>
  </si>
  <si>
    <t>Krakow, Poland</t>
  </si>
  <si>
    <t>plus pre-event set up</t>
  </si>
  <si>
    <t>Long Eaton (Notts)</t>
  </si>
  <si>
    <t>run #266</t>
  </si>
  <si>
    <t>first time at Bognor</t>
  </si>
  <si>
    <t>2015 pb</t>
  </si>
  <si>
    <t>run #389</t>
  </si>
  <si>
    <t>run #194</t>
  </si>
  <si>
    <t>and only 7 secs off course pb</t>
  </si>
  <si>
    <t>Habgood</t>
  </si>
  <si>
    <t>run #87, park #53</t>
  </si>
  <si>
    <t>Highlands (Melbourne)</t>
  </si>
  <si>
    <t>Valley Newtownabbey</t>
  </si>
  <si>
    <t>WARR Chicago (Sat)</t>
  </si>
  <si>
    <t>Sittingbourne</t>
  </si>
  <si>
    <t>Harwich</t>
  </si>
  <si>
    <t>at sea !</t>
  </si>
  <si>
    <t>Seven Sisters (rail) northbound</t>
  </si>
  <si>
    <t>BSH</t>
  </si>
  <si>
    <t>RDG</t>
  </si>
  <si>
    <t>BLK</t>
  </si>
  <si>
    <t>CRN</t>
  </si>
  <si>
    <t>FRY</t>
  </si>
  <si>
    <t>GUN</t>
  </si>
  <si>
    <t>ODP</t>
  </si>
  <si>
    <t>WYC</t>
  </si>
  <si>
    <t>RCH</t>
  </si>
  <si>
    <t>KNG</t>
  </si>
  <si>
    <t>GUL</t>
  </si>
  <si>
    <t>NON</t>
  </si>
  <si>
    <t>KIL</t>
  </si>
  <si>
    <t>BApark #159, park #108</t>
  </si>
  <si>
    <t>enlisted as an associate member 20th March 2016</t>
  </si>
  <si>
    <t>Sarah Gordon 34:36</t>
  </si>
  <si>
    <t>Gunnersbury 76</t>
  </si>
  <si>
    <t>Gunnersbury 77</t>
  </si>
  <si>
    <t>parkruns</t>
  </si>
  <si>
    <t>Harrow</t>
  </si>
  <si>
    <t>N22 7AY</t>
  </si>
  <si>
    <t>or car</t>
  </si>
  <si>
    <t>run #38. 10th at Maidenhead</t>
  </si>
  <si>
    <t>1st run at Poole</t>
  </si>
  <si>
    <t>run #46, course pb</t>
  </si>
  <si>
    <t>run #199, BA park #244</t>
  </si>
  <si>
    <t>Nicola</t>
  </si>
  <si>
    <t>WHM</t>
  </si>
  <si>
    <t>sets club female park pb</t>
  </si>
  <si>
    <t>Hill</t>
  </si>
  <si>
    <t>Sinton-Hewitt</t>
  </si>
  <si>
    <t>first lady again !</t>
  </si>
  <si>
    <t>record still standing after one year!</t>
  </si>
  <si>
    <t>Colin Bloomfield</t>
  </si>
  <si>
    <t>Susan Cover</t>
  </si>
  <si>
    <t>Average time</t>
  </si>
  <si>
    <t>BIK</t>
  </si>
  <si>
    <t>NR11 6NF</t>
  </si>
  <si>
    <t>first parkrun since 6th September</t>
  </si>
  <si>
    <t>started 1 Nov 14</t>
  </si>
  <si>
    <t>started 8th Nov 2014</t>
  </si>
  <si>
    <t>alternative postcode IG11 8TA</t>
  </si>
  <si>
    <t>0736 H&amp;C from Hammersmith 58 mins</t>
  </si>
  <si>
    <t>agegroup record recaptured</t>
  </si>
  <si>
    <t>yet another new BA park !</t>
  </si>
  <si>
    <t>RR Cassiobury</t>
  </si>
  <si>
    <t>Finsbury Pk (48,18)</t>
  </si>
  <si>
    <t>KBW</t>
  </si>
  <si>
    <t>run #42, 11th run at Black Park</t>
  </si>
  <si>
    <t>EGL</t>
  </si>
  <si>
    <t>Widnes</t>
  </si>
  <si>
    <t>Witton</t>
  </si>
  <si>
    <t>7.37 from Victoria to Bromley (Rainham), 7.58 to Swanley (with bike)</t>
  </si>
  <si>
    <t>run #17, 14th at Guildford</t>
  </si>
  <si>
    <t>HPL</t>
  </si>
  <si>
    <t>Hartlepool (Maritime Avenue)</t>
  </si>
  <si>
    <t>TS24 0XF</t>
  </si>
  <si>
    <t>Three laps</t>
  </si>
  <si>
    <t>big car park £3</t>
  </si>
  <si>
    <t>250th park reached</t>
  </si>
  <si>
    <t>Shorne Woods (70)</t>
  </si>
  <si>
    <t>run #194, 52nd at Woodley</t>
  </si>
  <si>
    <t>run #35, 32nd at Harrow</t>
  </si>
  <si>
    <t>run #24, 23rd at Cassiobury</t>
  </si>
  <si>
    <t>trail runner</t>
  </si>
  <si>
    <t>run #19, 18th at Oak Hill</t>
  </si>
  <si>
    <t>Harrow Recreation</t>
  </si>
  <si>
    <t>run #62, park #34</t>
  </si>
  <si>
    <t>tail runner (volunteer)</t>
  </si>
  <si>
    <t>RH at Harlow</t>
  </si>
  <si>
    <t>parks run so far</t>
  </si>
  <si>
    <t>1st time at Tilgate, club rec(F)</t>
  </si>
  <si>
    <t>Six new parks visited !</t>
  </si>
  <si>
    <t>BApark #166, UKpark #99</t>
  </si>
  <si>
    <t>pacer, Ealing Half tomorrow</t>
  </si>
  <si>
    <t>Ruffells at Hanley</t>
  </si>
  <si>
    <t>14th run at Old Deer Park</t>
  </si>
  <si>
    <t>Runs outside M25</t>
  </si>
  <si>
    <t>first time at Old Deer Park</t>
  </si>
  <si>
    <t>started 21 Feb 15</t>
  </si>
  <si>
    <t>Wanstead Flats</t>
  </si>
  <si>
    <t>E11 3QD</t>
  </si>
  <si>
    <t>Valentines (Redbridge)</t>
  </si>
  <si>
    <t>Barking</t>
  </si>
  <si>
    <t>IG11 9UN</t>
  </si>
  <si>
    <t>118th</t>
  </si>
  <si>
    <t>51st/105</t>
  </si>
  <si>
    <t>64th/154</t>
  </si>
  <si>
    <t>Poole</t>
  </si>
  <si>
    <t>POL</t>
  </si>
  <si>
    <t>Sth Manchester</t>
  </si>
  <si>
    <t>park #52 (UK 50)</t>
  </si>
  <si>
    <t>run #29</t>
  </si>
  <si>
    <t>Brandon Country P</t>
  </si>
  <si>
    <t>Steve</t>
  </si>
  <si>
    <t>Newell</t>
  </si>
  <si>
    <t>Neil</t>
  </si>
  <si>
    <t>Frediani</t>
  </si>
  <si>
    <t>Melanie</t>
  </si>
  <si>
    <t>moving to a new park on 10 Sep 2016</t>
  </si>
  <si>
    <t>Porirua (Wellington)</t>
  </si>
  <si>
    <t>Wallace</t>
  </si>
  <si>
    <t>Waterworks</t>
  </si>
  <si>
    <t>Most recent at top</t>
  </si>
  <si>
    <t>50th run at Gunnersbury</t>
  </si>
  <si>
    <t>Orpington</t>
  </si>
  <si>
    <t>BR6 9DH</t>
  </si>
  <si>
    <t>49th parkrun (worldwide)</t>
  </si>
  <si>
    <t>London</t>
  </si>
  <si>
    <t>Pontypool</t>
  </si>
  <si>
    <t>Brueton</t>
  </si>
  <si>
    <t>Cannon Hill</t>
  </si>
  <si>
    <t>Kingsbury Water</t>
  </si>
  <si>
    <t>started 14/11/15</t>
  </si>
  <si>
    <t>course pb, best WAVA %</t>
  </si>
  <si>
    <t>age cat rec</t>
  </si>
  <si>
    <t>First run for a year - welcome back!</t>
  </si>
  <si>
    <t>pb and club record at St Albans</t>
  </si>
  <si>
    <t>new venue for BA runners (in Southwark)</t>
  </si>
  <si>
    <t>20th parkrun</t>
  </si>
  <si>
    <t>30th parkrun</t>
  </si>
  <si>
    <t>Bedford</t>
  </si>
  <si>
    <t>Basingstoke</t>
  </si>
  <si>
    <t>Roderick Coventry (49)</t>
  </si>
  <si>
    <t>Roderick Concord (50)</t>
  </si>
  <si>
    <t>Gladstone Park(39,11)</t>
  </si>
  <si>
    <t>Concord</t>
  </si>
  <si>
    <t>Gladstone</t>
  </si>
  <si>
    <t>Armagh</t>
  </si>
  <si>
    <t>Tollcross (GLA)</t>
  </si>
  <si>
    <t>New BA parkrun (#98)</t>
  </si>
  <si>
    <t>Putney Vale(L)/Oxshott(M)</t>
  </si>
  <si>
    <t>36 miles via A406, A1(M)</t>
  </si>
  <si>
    <t>Hanbury Hall</t>
  </si>
  <si>
    <t>will start 2 July</t>
  </si>
  <si>
    <t>WR9 7EA</t>
  </si>
  <si>
    <t>Polly Adams</t>
  </si>
  <si>
    <t>Alan Collis</t>
  </si>
  <si>
    <t>Penallta (Caerphilly)</t>
  </si>
  <si>
    <t>park #69, club course rec(F)</t>
  </si>
  <si>
    <t>Gregory</t>
  </si>
  <si>
    <t>Bailey</t>
  </si>
  <si>
    <t>run #114, park #114</t>
  </si>
  <si>
    <t>run #37, F-9</t>
  </si>
  <si>
    <t>run #55, F-4</t>
  </si>
  <si>
    <t>run #203, F-90</t>
  </si>
  <si>
    <t>run #138</t>
  </si>
  <si>
    <t xml:space="preserve">Richard </t>
  </si>
  <si>
    <t>Three Rivers</t>
  </si>
  <si>
    <t>Tooting</t>
  </si>
  <si>
    <t>run #115</t>
  </si>
  <si>
    <t>NonSuch</t>
  </si>
  <si>
    <t>started 28 Feb 2015</t>
  </si>
  <si>
    <t>Shorne Woods, Great Lines</t>
  </si>
  <si>
    <t>Royal T Wells</t>
  </si>
  <si>
    <t>NSW (Coast - Sth)</t>
  </si>
  <si>
    <t>ran without canine escort</t>
  </si>
  <si>
    <t>anti-clockwise</t>
  </si>
  <si>
    <t>Bowral NSW</t>
  </si>
  <si>
    <t>309th out of 371 in 30:16, puddles</t>
  </si>
  <si>
    <t>2014 pb</t>
  </si>
  <si>
    <t>TFL rail to Cheshunt with bike</t>
  </si>
  <si>
    <t>Just over M25 beyond Orpington (or Knockolt)</t>
  </si>
  <si>
    <t>N8 8QG</t>
  </si>
  <si>
    <t>Gunnersbury (anniv)</t>
  </si>
  <si>
    <t>8.02 a.m. train from Chiswick to Whitton via Hounslow then bike, bike home</t>
  </si>
  <si>
    <t>Started 9th November 2013</t>
  </si>
  <si>
    <t>21 miles each way - within range</t>
  </si>
  <si>
    <t>Matt</t>
  </si>
  <si>
    <t>Gardner</t>
  </si>
  <si>
    <t>run #44, parkrun pb</t>
  </si>
  <si>
    <t>week 4</t>
  </si>
  <si>
    <t>week 5</t>
  </si>
  <si>
    <t>Glasgow Springburn</t>
  </si>
  <si>
    <t>GGS</t>
  </si>
  <si>
    <t>Penrith</t>
  </si>
  <si>
    <t>123rd run at Reading</t>
  </si>
  <si>
    <t>started 11th July 2015</t>
  </si>
  <si>
    <t>started 18/7/15</t>
  </si>
  <si>
    <t>HOV</t>
  </si>
  <si>
    <t>age</t>
  </si>
  <si>
    <t>PO8 0QE</t>
  </si>
  <si>
    <t>28/3, 05/9</t>
  </si>
  <si>
    <t>CM20 2QD</t>
  </si>
  <si>
    <t>VW60 age cat rec</t>
  </si>
  <si>
    <t>holder</t>
  </si>
  <si>
    <t>Paul Matthews</t>
  </si>
  <si>
    <t>Howard Gold</t>
  </si>
  <si>
    <t>127th/206, run #60</t>
  </si>
  <si>
    <t xml:space="preserve">BA park #218,park#48,run#98 </t>
  </si>
  <si>
    <t>pb on 50th run!</t>
  </si>
  <si>
    <t>(Cautious run)</t>
  </si>
  <si>
    <t xml:space="preserve">pb  </t>
  </si>
  <si>
    <t>Brockwell</t>
  </si>
  <si>
    <t>Gunnersbury (60)</t>
  </si>
  <si>
    <t>run#95</t>
  </si>
  <si>
    <t>run #187</t>
  </si>
  <si>
    <t>TF3 4JQ</t>
  </si>
  <si>
    <t>Ashton Court (Bristol)</t>
  </si>
  <si>
    <t>BS41 9JN</t>
  </si>
  <si>
    <t>target</t>
  </si>
  <si>
    <t>surplus</t>
  </si>
  <si>
    <t>average improvement required</t>
  </si>
  <si>
    <t>HAS</t>
  </si>
  <si>
    <t>RAP</t>
  </si>
  <si>
    <t>SED</t>
  </si>
  <si>
    <t>SHR</t>
  </si>
  <si>
    <t>MAL</t>
  </si>
  <si>
    <t>MAI</t>
  </si>
  <si>
    <t>SIY</t>
  </si>
  <si>
    <t>TEW</t>
  </si>
  <si>
    <t>GLN</t>
  </si>
  <si>
    <t>GLK</t>
  </si>
  <si>
    <t>club record (all genders!)</t>
  </si>
  <si>
    <t>Markeaton (formerly Darley)</t>
  </si>
  <si>
    <t>run #359</t>
  </si>
  <si>
    <t>run #176</t>
  </si>
  <si>
    <t>run #116, 48th at  Black Patk</t>
  </si>
  <si>
    <t>run #144, 121st at Crane Park</t>
  </si>
  <si>
    <t>first run at Tees Barrage</t>
  </si>
  <si>
    <t>TS18 2QW</t>
  </si>
  <si>
    <t>TEE</t>
  </si>
  <si>
    <t>first run at Guildford</t>
  </si>
  <si>
    <t>pre event set up</t>
  </si>
  <si>
    <t xml:space="preserve">run #10 </t>
  </si>
  <si>
    <t>Gunnersbury 67</t>
  </si>
  <si>
    <t>Gunnersbury 68</t>
  </si>
  <si>
    <t>STE</t>
  </si>
  <si>
    <t>2 laps round lakes</t>
  </si>
  <si>
    <t>Ellenbrook Fields</t>
  </si>
  <si>
    <t xml:space="preserve">run #13 </t>
  </si>
  <si>
    <t>run #103</t>
  </si>
  <si>
    <t>park #59</t>
  </si>
  <si>
    <t xml:space="preserve">Kerstin </t>
  </si>
  <si>
    <t xml:space="preserve">Roderiick </t>
  </si>
  <si>
    <t>Robert F</t>
  </si>
  <si>
    <t>Hird</t>
  </si>
  <si>
    <t>at 28th June</t>
  </si>
  <si>
    <t xml:space="preserve">Alan </t>
  </si>
  <si>
    <t>Winchester</t>
  </si>
  <si>
    <t>WIN</t>
  </si>
  <si>
    <t>club record at St Albans</t>
  </si>
  <si>
    <t>SO23 7DD</t>
  </si>
  <si>
    <t>Inside M25</t>
  </si>
  <si>
    <t>out and back on tarmac, close to the sea</t>
  </si>
  <si>
    <t>Ian Higgins</t>
  </si>
  <si>
    <t>Ruffells Panshanger</t>
  </si>
  <si>
    <t>Dublin - Malahide</t>
  </si>
  <si>
    <t>Dublin Waterstown</t>
  </si>
  <si>
    <t>DWT</t>
  </si>
  <si>
    <t>Dublin Malahide</t>
  </si>
  <si>
    <t>DMH</t>
  </si>
  <si>
    <t>0750 District Line to Mile End</t>
  </si>
  <si>
    <t>freewheeling</t>
  </si>
  <si>
    <t>Simon Greenhill</t>
  </si>
  <si>
    <t>Kirsty Bangham</t>
  </si>
  <si>
    <t>Ramona Thevenet</t>
  </si>
  <si>
    <t>John P Woods</t>
  </si>
  <si>
    <t>Colin Harris</t>
  </si>
  <si>
    <t>Barbara Allen</t>
  </si>
  <si>
    <t>age cat rec, MV80-84</t>
  </si>
  <si>
    <t>Chase the Place week 1</t>
  </si>
  <si>
    <t>Epping Forest</t>
  </si>
  <si>
    <t>Started 3rd November 2012</t>
  </si>
  <si>
    <t>Bath Skyline</t>
  </si>
  <si>
    <t>park #100</t>
  </si>
  <si>
    <t>about 2.8 laps</t>
  </si>
  <si>
    <t>Harrow (Recreation Ground)</t>
  </si>
  <si>
    <t>Harrow R</t>
  </si>
  <si>
    <t xml:space="preserve">Riddlesdown </t>
  </si>
  <si>
    <t>Milan Nord</t>
  </si>
  <si>
    <t>run #260, 223rd at Bushy</t>
  </si>
  <si>
    <t>run #306</t>
  </si>
  <si>
    <t>run #126, 35th at Braunstone</t>
  </si>
  <si>
    <t>F-2, run #200</t>
  </si>
  <si>
    <t>run #429</t>
  </si>
  <si>
    <t>new member, run #6</t>
  </si>
  <si>
    <t>run #148, 125th at Crane Park</t>
  </si>
  <si>
    <t>Homewood(inaugural)</t>
  </si>
  <si>
    <t>run #238, new longer course!</t>
  </si>
  <si>
    <t>Galston</t>
  </si>
  <si>
    <t>Galston, NSW</t>
  </si>
  <si>
    <t>Homewood</t>
  </si>
  <si>
    <t>venue pb</t>
  </si>
  <si>
    <t>next 23:48</t>
  </si>
  <si>
    <t>Castle Demense (Co Cork)</t>
  </si>
  <si>
    <t>CDK</t>
  </si>
  <si>
    <t>Matt Gardner</t>
  </si>
  <si>
    <t>Chinese NY</t>
  </si>
  <si>
    <t>run#304</t>
  </si>
  <si>
    <t>10" slower than last week</t>
  </si>
  <si>
    <t xml:space="preserve">pb   </t>
  </si>
  <si>
    <t>run #116</t>
  </si>
  <si>
    <t>park #7</t>
  </si>
  <si>
    <t>run#5, club park#92, park#4</t>
  </si>
  <si>
    <t>BDB</t>
  </si>
  <si>
    <t>Club parkrun 31 August 2013 (inaugural)</t>
  </si>
  <si>
    <t>Alan Anderson on 242, Alan Friar on 94</t>
  </si>
  <si>
    <t>10 runners, 1 new venue</t>
  </si>
  <si>
    <t>simulating runner giving up after two laps!</t>
  </si>
  <si>
    <t>dnf</t>
  </si>
  <si>
    <t>100th run at Bushy (30' pacer)</t>
  </si>
  <si>
    <t>General strategy</t>
  </si>
  <si>
    <t>Cornwall Park</t>
  </si>
  <si>
    <t>by August 2013</t>
  </si>
  <si>
    <t>Total parks</t>
  </si>
  <si>
    <t>Current score</t>
  </si>
  <si>
    <t>club course record (F), pb</t>
  </si>
  <si>
    <t>BA park #100, park#19</t>
  </si>
  <si>
    <t>summer course</t>
  </si>
  <si>
    <t>very hilly</t>
  </si>
  <si>
    <t>Perth</t>
  </si>
  <si>
    <t xml:space="preserve">Roy </t>
  </si>
  <si>
    <t>Adrian Haines(Gatwick) is now a member of Crawley AC and Horsham Joggers and is an associate member</t>
  </si>
  <si>
    <t>South Manchester(Platt Fields Park)</t>
  </si>
  <si>
    <t>Pretty flat, significant proportion on grass</t>
  </si>
  <si>
    <t>OST</t>
  </si>
  <si>
    <t>Waddon Station</t>
  </si>
  <si>
    <t>CR0 4UP</t>
  </si>
  <si>
    <t>DMY</t>
  </si>
  <si>
    <t>Guidford</t>
  </si>
  <si>
    <t>started 20 Feb 16</t>
  </si>
  <si>
    <t>33 miles by M4, M25, A41</t>
  </si>
  <si>
    <t>40 miles by direct route</t>
  </si>
  <si>
    <t>park #29, club park #91</t>
  </si>
  <si>
    <t>run#298</t>
  </si>
  <si>
    <t>run#123</t>
  </si>
  <si>
    <t>Chadderton Hall</t>
  </si>
  <si>
    <t>OL1 2RG</t>
  </si>
  <si>
    <t>CHH</t>
  </si>
  <si>
    <t>GUE</t>
  </si>
  <si>
    <t>started 19th March</t>
  </si>
  <si>
    <t>volunteer 18</t>
  </si>
  <si>
    <t>KEG</t>
  </si>
  <si>
    <t>IP5 2EN</t>
  </si>
  <si>
    <t>Harwich (Cliff Park)</t>
  </si>
  <si>
    <t>Inaugural May 2013</t>
  </si>
  <si>
    <t>Tailend sweeper</t>
  </si>
  <si>
    <t>Queen Eliz</t>
  </si>
  <si>
    <t>BMD</t>
  </si>
  <si>
    <t>Maldon Prom</t>
  </si>
  <si>
    <t>Corby</t>
  </si>
  <si>
    <t>run #136, 124th at Bedfont</t>
  </si>
  <si>
    <t>run #260</t>
  </si>
  <si>
    <t>20th run at Reading</t>
  </si>
  <si>
    <t>Daventry (Country Park)</t>
  </si>
  <si>
    <t>Ireland</t>
  </si>
  <si>
    <t>also a volunteer!</t>
  </si>
  <si>
    <t>Fulham Pal</t>
  </si>
  <si>
    <t>Luton (Wardown Park)</t>
  </si>
  <si>
    <t>37 miles by road</t>
  </si>
  <si>
    <t>7.4 miles by road</t>
  </si>
  <si>
    <t>funnel manager</t>
  </si>
  <si>
    <t>run #16</t>
  </si>
  <si>
    <t>Tom Casserley</t>
  </si>
  <si>
    <t>run #177</t>
  </si>
  <si>
    <t>plus barcode scanning</t>
  </si>
  <si>
    <t>first ever parkrun</t>
  </si>
  <si>
    <t>new BA park(#77)</t>
  </si>
  <si>
    <t>Chase the Place week 4</t>
  </si>
  <si>
    <t>pb double points !</t>
  </si>
  <si>
    <t>75th run at Gunnersbury</t>
  </si>
  <si>
    <t>no pb this week !</t>
  </si>
  <si>
    <t>slowed by canine pit-stop</t>
  </si>
  <si>
    <t>equals pb</t>
  </si>
  <si>
    <t>parkrun pb (park #14)</t>
  </si>
  <si>
    <t>29:08Gunnersbury Century (reverse course)</t>
  </si>
  <si>
    <t>EDI</t>
  </si>
  <si>
    <t>Clermont Waterfront</t>
  </si>
  <si>
    <t>4th/202</t>
  </si>
  <si>
    <t>first parkrun since July 14</t>
  </si>
  <si>
    <t>new BA course record</t>
  </si>
  <si>
    <t>Walsall Arbor</t>
  </si>
  <si>
    <t>Ruffells</t>
  </si>
  <si>
    <t>run #9, first run at Southsea</t>
  </si>
  <si>
    <t>412th/623</t>
  </si>
  <si>
    <t>run #191, 49th at Woodley</t>
  </si>
  <si>
    <t>BA park #208, park #130</t>
  </si>
  <si>
    <t>new agegroup course record</t>
  </si>
  <si>
    <t>Belfast Victoria</t>
  </si>
  <si>
    <t>Ballymena Ecos</t>
  </si>
  <si>
    <t>Ashton Ct (Bristol)</t>
  </si>
  <si>
    <t>Mosman (Sydney)</t>
  </si>
  <si>
    <t>run #10, course pb</t>
  </si>
  <si>
    <t>another minute better</t>
  </si>
  <si>
    <t>25' pacer</t>
  </si>
  <si>
    <t>run #101</t>
  </si>
  <si>
    <t>Snow on ground in London area.  Wormwood Scrubs cancelled</t>
  </si>
  <si>
    <t>WAL</t>
  </si>
  <si>
    <t>E17 4HS</t>
  </si>
  <si>
    <t>Brundall Park</t>
  </si>
  <si>
    <t>park #73</t>
  </si>
  <si>
    <t>30th/40</t>
  </si>
  <si>
    <t>club course record, park #41</t>
  </si>
  <si>
    <t>first run was 28 May 2011</t>
  </si>
  <si>
    <t>Club parkrun -28th January 2012, 6th April 2013</t>
  </si>
  <si>
    <t>MV    70</t>
  </si>
  <si>
    <t>Gunnersbury 87</t>
  </si>
  <si>
    <t>best time so far 2014</t>
  </si>
  <si>
    <t>7th volunteer duty this year!</t>
  </si>
  <si>
    <t>Emily Warburton-Brown 25:39</t>
  </si>
  <si>
    <t>Surrey League Coulsdon (L)</t>
  </si>
  <si>
    <t>park #75</t>
  </si>
  <si>
    <t>park #38</t>
  </si>
  <si>
    <t>run #48</t>
  </si>
  <si>
    <t>3rd place (out of 20), run#48</t>
  </si>
  <si>
    <t>CM77 7FS</t>
  </si>
  <si>
    <t>Caroline Yarnell 22:13</t>
  </si>
  <si>
    <t>for Cassiobury see Watford</t>
  </si>
  <si>
    <t>Curl Curl (John Fisher Pk, SYD)</t>
  </si>
  <si>
    <t>BApark #162, park #57</t>
  </si>
  <si>
    <t>Gunnersbury (61)</t>
  </si>
  <si>
    <t>Singapore</t>
  </si>
  <si>
    <t>7.44 train to Waterloo, 8.20 Train to Ladywell from Waterloo East (towards Hayes)(walk)</t>
  </si>
  <si>
    <t>John Hanscomb</t>
  </si>
  <si>
    <t>Durham (North Carolina)</t>
  </si>
  <si>
    <t>SG14 2AR</t>
  </si>
  <si>
    <t>Hampton</t>
  </si>
  <si>
    <t>Steve James</t>
  </si>
  <si>
    <t>WPE</t>
  </si>
  <si>
    <t>run #227</t>
  </si>
  <si>
    <t>run #153</t>
  </si>
  <si>
    <t>Highbury Fields (Islington)</t>
  </si>
  <si>
    <t>Ally Pally (Hornsey/Muswell Hill)</t>
  </si>
  <si>
    <t>Northala Cfp</t>
  </si>
  <si>
    <t>CK at Hanley</t>
  </si>
  <si>
    <t>cruise</t>
  </si>
  <si>
    <t>Gunnersbury(29'pacer)</t>
  </si>
  <si>
    <t>Broxbourne - Herts</t>
  </si>
  <si>
    <t>London Borough #24</t>
  </si>
  <si>
    <t>run #200</t>
  </si>
  <si>
    <t>Ben Chaytor</t>
  </si>
  <si>
    <t>Richard Fletcher</t>
  </si>
  <si>
    <t>34miles by car</t>
  </si>
  <si>
    <t>100% charge</t>
  </si>
  <si>
    <t>Piers Keenleyside (50) pb!</t>
  </si>
  <si>
    <t>Burgess (49,19)</t>
  </si>
  <si>
    <t>Piers</t>
  </si>
  <si>
    <t>first time at Maidenhead</t>
  </si>
  <si>
    <t>age cat record, course pb</t>
  </si>
  <si>
    <t>Divert via South Mimms an option on return</t>
  </si>
  <si>
    <t>27 miles via Nth Circ and M1</t>
  </si>
  <si>
    <t>26 miles via A3, A243, M25</t>
  </si>
  <si>
    <t>23 miles via M3, M25 (leave jct 11), A320. Big free car park</t>
  </si>
  <si>
    <t>27 miles via Nth Circ and M40</t>
  </si>
  <si>
    <t>16 miles</t>
  </si>
  <si>
    <t>Free car park</t>
  </si>
  <si>
    <t>Kingston</t>
  </si>
  <si>
    <t>KT2 5BH</t>
  </si>
  <si>
    <t>Concorde Club</t>
  </si>
  <si>
    <t>distance</t>
  </si>
  <si>
    <t>TW5 9PQ</t>
  </si>
  <si>
    <t>PML</t>
  </si>
  <si>
    <t>PO6 3EN</t>
  </si>
  <si>
    <t>run #277, 27th at Woodley</t>
  </si>
  <si>
    <t>run #189, 47th at Woodley</t>
  </si>
  <si>
    <t>Bapark #227</t>
  </si>
  <si>
    <t>run #263, 253rd at Bushy</t>
  </si>
  <si>
    <t>next 28:12</t>
  </si>
  <si>
    <t>!</t>
  </si>
  <si>
    <t>next 23:25 John Coffey</t>
  </si>
  <si>
    <t>Oakhill</t>
  </si>
  <si>
    <t>WARR in Dublin Sunday 5th October</t>
  </si>
  <si>
    <t>run#125, course pb</t>
  </si>
  <si>
    <t>run#91</t>
  </si>
  <si>
    <t>0744 Overground from Gunnersbury to Homerton, then bike(about a mile)</t>
  </si>
  <si>
    <t>Gunnersbury(58)</t>
  </si>
  <si>
    <t>Derek Blackmore</t>
  </si>
  <si>
    <t>Paul D Viveash</t>
  </si>
  <si>
    <t>Mike Bryant</t>
  </si>
  <si>
    <t>David Worth</t>
  </si>
  <si>
    <t>club course rec</t>
  </si>
  <si>
    <t>run #183</t>
  </si>
  <si>
    <t>run #191</t>
  </si>
  <si>
    <t>Chris Kelly #300</t>
  </si>
  <si>
    <t>BA park #278, park #16</t>
  </si>
  <si>
    <t>park #16 , run #73</t>
  </si>
  <si>
    <t xml:space="preserve">South Manchester   </t>
  </si>
  <si>
    <t>plus 3 at Colby and 1 each at Bushy, Havant, Bognor Regis  and Lanhydrock</t>
  </si>
  <si>
    <t>parkruns in mainland Great Britain outside England</t>
  </si>
  <si>
    <t>W Midlands</t>
  </si>
  <si>
    <t>next Roy Whillier 24:39</t>
  </si>
  <si>
    <t>run #189, 171st at Bushy</t>
  </si>
  <si>
    <t>run #499, 487th at Bushy</t>
  </si>
  <si>
    <t>46 miles with Nissan Tunbridge Wells ideally placed</t>
  </si>
  <si>
    <t>run #50, Wellington, NZ</t>
  </si>
  <si>
    <t>run #296</t>
  </si>
  <si>
    <t>run #175</t>
  </si>
  <si>
    <t>run #160</t>
  </si>
  <si>
    <t>run #14</t>
  </si>
  <si>
    <t>only 2 secs off a pb !</t>
  </si>
  <si>
    <t>FAR</t>
  </si>
  <si>
    <t>Fareham</t>
  </si>
  <si>
    <t>PO16 7BE</t>
  </si>
  <si>
    <t>starts 9th April 2016</t>
  </si>
  <si>
    <t>GY3 5BY</t>
  </si>
  <si>
    <t>BA park #230</t>
  </si>
  <si>
    <t>run #49, course pb</t>
  </si>
  <si>
    <t>first run for 2 months</t>
  </si>
  <si>
    <t>Great Notley (near Braintree)</t>
  </si>
  <si>
    <t>run #86</t>
  </si>
  <si>
    <t>Black park</t>
  </si>
  <si>
    <t>inaugural age cat record</t>
  </si>
  <si>
    <t>3 laps, leave M40 at J15, car park £1 / hour</t>
  </si>
  <si>
    <t>Stratford upon Avon</t>
  </si>
  <si>
    <t>SAV</t>
  </si>
  <si>
    <t>SIT</t>
  </si>
  <si>
    <t>Reigate &amp; Banstead SY)</t>
  </si>
  <si>
    <t>run #230</t>
  </si>
  <si>
    <t>stroll near the back</t>
  </si>
  <si>
    <t>3rd run at Woking</t>
  </si>
  <si>
    <t>1st run at Cranleigh</t>
  </si>
  <si>
    <t>Cwmbran</t>
  </si>
  <si>
    <t>Croxteth</t>
  </si>
  <si>
    <t>??:??</t>
  </si>
  <si>
    <t>107th/195</t>
  </si>
  <si>
    <t>2013 female points winner</t>
  </si>
  <si>
    <t>Chris Stockwell</t>
  </si>
  <si>
    <t>Piers at Northallerton</t>
  </si>
  <si>
    <r>
      <t xml:space="preserve">Dartford </t>
    </r>
    <r>
      <rPr>
        <sz val="10"/>
        <rFont val="Arial"/>
        <family val="2"/>
      </rPr>
      <t>(inside M25)</t>
    </r>
  </si>
  <si>
    <t>Caroline Cockram at Tooting</t>
  </si>
  <si>
    <t>run #5, 3rd at Frimley</t>
  </si>
  <si>
    <t>CM22 6NE</t>
  </si>
  <si>
    <t>HAT</t>
  </si>
  <si>
    <t>NG24 4AU</t>
  </si>
  <si>
    <t>SW11 1TN</t>
  </si>
  <si>
    <t>Balham station</t>
  </si>
  <si>
    <t>Tim Hawkes 20:46</t>
  </si>
  <si>
    <t xml:space="preserve">Jeremy </t>
  </si>
  <si>
    <t>1st v40 female</t>
  </si>
  <si>
    <t>Dulwich (52)</t>
  </si>
  <si>
    <t>Pymmes (53)</t>
  </si>
  <si>
    <t>Runnymede Runners</t>
  </si>
  <si>
    <t>Sue</t>
  </si>
  <si>
    <t>Mowle</t>
  </si>
  <si>
    <r>
      <t>E</t>
    </r>
    <r>
      <rPr>
        <sz val="10"/>
        <rFont val="Arial"/>
        <family val="2"/>
      </rPr>
      <t>astleigh</t>
    </r>
  </si>
  <si>
    <r>
      <t>H</t>
    </r>
    <r>
      <rPr>
        <sz val="10"/>
        <rFont val="Arial"/>
        <family val="2"/>
      </rPr>
      <t>ackney Marshes</t>
    </r>
  </si>
  <si>
    <t>first female, run#27</t>
  </si>
  <si>
    <t>run #81, all at Bedfont</t>
  </si>
  <si>
    <t>50th run at Bedfont</t>
  </si>
  <si>
    <t>run #21, all at Bedfont</t>
  </si>
  <si>
    <t>25th run at Guildford</t>
  </si>
  <si>
    <t>run #49</t>
  </si>
  <si>
    <t>ERD</t>
  </si>
  <si>
    <t>Krakow "B"</t>
  </si>
  <si>
    <t>Rising Sun</t>
  </si>
  <si>
    <t>NE12 9SS</t>
  </si>
  <si>
    <t>RIS</t>
  </si>
  <si>
    <t>run#140</t>
  </si>
  <si>
    <t>Nonsuch Park (Ewell/Cheam)</t>
  </si>
  <si>
    <t>Bennett</t>
  </si>
  <si>
    <t>Brighton &amp; Hove</t>
  </si>
  <si>
    <t>club course record, park #43</t>
  </si>
  <si>
    <t>Co. Dublin</t>
  </si>
  <si>
    <t>Cork/Kerry</t>
  </si>
  <si>
    <t>Cork</t>
  </si>
  <si>
    <t>New Zealand</t>
  </si>
  <si>
    <t xml:space="preserve">Kingston </t>
  </si>
  <si>
    <t>Wythenshaw</t>
  </si>
  <si>
    <t>New BA parkrun(#99)</t>
  </si>
  <si>
    <t>Canterbury, Yeovil</t>
  </si>
  <si>
    <t>IC, EG</t>
  </si>
  <si>
    <t>awaydays</t>
  </si>
  <si>
    <t>park #15</t>
  </si>
  <si>
    <t>Fulham Palace (56)</t>
  </si>
  <si>
    <t>Black Park (58, 25)</t>
  </si>
  <si>
    <t>Fulham Palace (59)</t>
  </si>
  <si>
    <t>417th/623</t>
  </si>
  <si>
    <t>run #246</t>
  </si>
  <si>
    <t>congratulations!</t>
  </si>
  <si>
    <t>run #27</t>
  </si>
  <si>
    <t>10th/113</t>
  </si>
  <si>
    <t>12th/180</t>
  </si>
  <si>
    <t>3rd/55</t>
  </si>
  <si>
    <t>(again)</t>
  </si>
  <si>
    <t>record now down to 22:36</t>
  </si>
  <si>
    <t>record now down to 18:38</t>
  </si>
  <si>
    <t>course pb, run#11</t>
  </si>
  <si>
    <t>HAH</t>
  </si>
  <si>
    <t>crow</t>
  </si>
  <si>
    <t>Upper Warlingham station</t>
  </si>
  <si>
    <t>CR3 0EP</t>
  </si>
  <si>
    <t>a bit hilly</t>
  </si>
  <si>
    <t>RH Margate, RH Lyme Park</t>
  </si>
  <si>
    <t>Lyme Park</t>
  </si>
  <si>
    <t>CPH Amager Strandpark</t>
  </si>
  <si>
    <t>6.59 from Chiswick</t>
  </si>
  <si>
    <t>5km to get there sticking close to river</t>
  </si>
  <si>
    <t>park #23</t>
  </si>
  <si>
    <t>48th parkrun</t>
  </si>
  <si>
    <t xml:space="preserve">park #58  </t>
  </si>
  <si>
    <t>St Peters</t>
  </si>
  <si>
    <t>NSW (Newcastle)</t>
  </si>
  <si>
    <t>NSW (Sydney)</t>
  </si>
  <si>
    <t>Hatfield Forest</t>
  </si>
  <si>
    <t>Brierley Forest</t>
  </si>
  <si>
    <t>NG17 2PL</t>
  </si>
  <si>
    <t>2 laps, free parking</t>
  </si>
  <si>
    <t>Chase the place sponsored by Lucozade (week 1 = 24 November 2012)</t>
  </si>
  <si>
    <t>run #14, 12th at Curl Curl</t>
  </si>
  <si>
    <t>CV37 7LS</t>
  </si>
  <si>
    <t>Aylesbury (Quarrendon Comm Ctr)</t>
  </si>
  <si>
    <t>started 21st February 2015</t>
  </si>
  <si>
    <t>Princes, Liverpool</t>
  </si>
  <si>
    <t>Bridget</t>
  </si>
  <si>
    <t>Janice Jones 27:06</t>
  </si>
  <si>
    <t>Andrew Eynon 26:54</t>
  </si>
  <si>
    <t>run #5, 3rd F, pb</t>
  </si>
  <si>
    <t>Curl Curl (NSW)</t>
  </si>
  <si>
    <t>park #86, BA park #127</t>
  </si>
  <si>
    <t>Medina IOW</t>
  </si>
  <si>
    <t>Tamar Lakes</t>
  </si>
  <si>
    <t>Daventry</t>
  </si>
  <si>
    <t>Matt Gardner also ran at Crissy Field after he resigned</t>
  </si>
  <si>
    <t>RSA</t>
  </si>
  <si>
    <t>DAS</t>
  </si>
  <si>
    <t>DL1 5TG</t>
  </si>
  <si>
    <t>2.95 laps</t>
  </si>
  <si>
    <t>97% on grass</t>
  </si>
  <si>
    <t>09:00 – Gladstone parkrun</t>
  </si>
  <si>
    <t>BVD</t>
  </si>
  <si>
    <t>Tfl Rail from Liverpool St to Brentwood with bike</t>
  </si>
  <si>
    <t>club course record, run #40</t>
  </si>
  <si>
    <t>Surrey League at Lightwater (M,L)</t>
  </si>
  <si>
    <t>Club run at Woodley</t>
  </si>
  <si>
    <t>Kat</t>
  </si>
  <si>
    <t>Northallerton</t>
  </si>
  <si>
    <t>NAL</t>
  </si>
  <si>
    <t>DL6 2UU</t>
  </si>
  <si>
    <t>BA park #191</t>
  </si>
  <si>
    <t>BA park #190, park #13</t>
  </si>
  <si>
    <t>Funnel Manager</t>
  </si>
  <si>
    <t>run #10, parkrun pb</t>
  </si>
  <si>
    <t>run #13, course pb</t>
  </si>
  <si>
    <t>Dave Dixon</t>
  </si>
  <si>
    <t>run #198</t>
  </si>
  <si>
    <t>20' pacer ?</t>
  </si>
  <si>
    <t>Barclay Park</t>
  </si>
  <si>
    <t>park #56</t>
  </si>
  <si>
    <t>South Oxhey  (56)</t>
  </si>
  <si>
    <t>RH at Banbury</t>
  </si>
  <si>
    <t>7.44 ex Gunnersbury with bike</t>
  </si>
  <si>
    <t>Maria</t>
  </si>
  <si>
    <t>Jovani</t>
  </si>
  <si>
    <t>F-1, Speedbird 5km r/u</t>
  </si>
  <si>
    <t>run #493</t>
  </si>
  <si>
    <t>run #147, 100th at Bedfont</t>
  </si>
  <si>
    <t>run #290, 228th at Reading</t>
  </si>
  <si>
    <t>run #23, first of 2016</t>
  </si>
  <si>
    <t>Jacqui</t>
  </si>
  <si>
    <t>Musselwhite</t>
  </si>
  <si>
    <t>run #49, best time this year</t>
  </si>
  <si>
    <t>run #273</t>
  </si>
  <si>
    <t>F-1, run #44, parkrun pb</t>
  </si>
  <si>
    <t>24' pacer</t>
  </si>
  <si>
    <t>run #63, 3rd at Preston</t>
  </si>
  <si>
    <t>run #21</t>
  </si>
  <si>
    <t>run #131, 109th at Crane Pk</t>
  </si>
  <si>
    <t>run #20, course pb</t>
  </si>
  <si>
    <t>best time this year at Woodley</t>
  </si>
  <si>
    <t>run #15, 13th at Peckham</t>
  </si>
  <si>
    <t>run #48, 24th at Woking</t>
  </si>
  <si>
    <t>run #106, 7th at Leicester Vic</t>
  </si>
  <si>
    <t xml:space="preserve">Canons </t>
  </si>
  <si>
    <t>Hadleigh</t>
  </si>
  <si>
    <t>1st run in Edinburgh</t>
  </si>
  <si>
    <t>BA member</t>
  </si>
  <si>
    <t>date</t>
  </si>
  <si>
    <t xml:space="preserve">Steve Newell </t>
  </si>
  <si>
    <t>run#92, points table leader</t>
  </si>
  <si>
    <t>LW11 3WX</t>
  </si>
  <si>
    <t>BTF HQ Loughborough</t>
  </si>
  <si>
    <t xml:space="preserve">Upton Court </t>
  </si>
  <si>
    <t>Cassiobury (58)</t>
  </si>
  <si>
    <t>Riddlesdown (59)</t>
  </si>
  <si>
    <t>7th/18, park #153</t>
  </si>
  <si>
    <t>Toulouse La Ramee</t>
  </si>
  <si>
    <t>run #243,club course record</t>
  </si>
  <si>
    <t>La Ramee (TLS)</t>
  </si>
  <si>
    <t>run #221.90th at Gunnersbury</t>
  </si>
  <si>
    <t>new venue for BA runners</t>
  </si>
  <si>
    <t>best BA time at Oak Hill</t>
  </si>
  <si>
    <t>per run</t>
  </si>
  <si>
    <t>run #88, Epsom Allsorts</t>
  </si>
  <si>
    <t>Ipswich</t>
  </si>
  <si>
    <t>course pb, age cat rec</t>
  </si>
  <si>
    <t>99th run at Gunnersbury</t>
  </si>
  <si>
    <t>4 laps on grass, slopes, tight turns</t>
  </si>
  <si>
    <t>flat, tarmac</t>
  </si>
  <si>
    <t>run #126</t>
  </si>
  <si>
    <t>BUN</t>
  </si>
  <si>
    <t>record now down to 20:27</t>
  </si>
  <si>
    <t>Luton Wardown</t>
  </si>
  <si>
    <t>Vincent Murphy</t>
  </si>
  <si>
    <t>run#97, BA park#93</t>
  </si>
  <si>
    <t>The Ponds</t>
  </si>
  <si>
    <t>BA Park #297</t>
  </si>
  <si>
    <t>TPO</t>
  </si>
  <si>
    <t>12th parkrun in NSW</t>
  </si>
  <si>
    <t>The Ponds, NSW</t>
  </si>
  <si>
    <t>park#61,BA parkrun#81</t>
  </si>
  <si>
    <t>age cat record</t>
  </si>
  <si>
    <t>Roderick at Southsea</t>
  </si>
  <si>
    <t>150th parkrun</t>
  </si>
  <si>
    <t>35 miles by direct route through London</t>
  </si>
  <si>
    <t>33 miles through London, 45 miles round North Circular</t>
  </si>
  <si>
    <t>St Peters SYD</t>
  </si>
  <si>
    <t>Gunnersbury parkrunner of the month (January)</t>
  </si>
  <si>
    <t>Feltham Station</t>
  </si>
  <si>
    <t>49th parkrun</t>
  </si>
  <si>
    <t>run #392</t>
  </si>
  <si>
    <t>record now down to 19:22</t>
  </si>
  <si>
    <t>491st out of 650</t>
  </si>
  <si>
    <t>15th run at Woking</t>
  </si>
  <si>
    <t>Root 44</t>
  </si>
  <si>
    <t>Stockwell</t>
  </si>
  <si>
    <t>Benita</t>
  </si>
  <si>
    <t>Scaife</t>
  </si>
  <si>
    <t>run #36</t>
  </si>
  <si>
    <t>Reigate (69)</t>
  </si>
  <si>
    <t>First run by</t>
  </si>
  <si>
    <t>staff, not a club member</t>
  </si>
  <si>
    <t>WSLXC Mitcham Common</t>
  </si>
  <si>
    <t>SP1 2LW</t>
  </si>
  <si>
    <t>Torrens</t>
  </si>
  <si>
    <t>run #397</t>
  </si>
  <si>
    <t>Bernard</t>
  </si>
  <si>
    <t>Sexton</t>
  </si>
  <si>
    <t>SK4 3EA</t>
  </si>
  <si>
    <t>or 0750  Piccadilly/Central</t>
  </si>
  <si>
    <t>Ashton Court</t>
  </si>
  <si>
    <t>Rushmoor</t>
  </si>
  <si>
    <t>91 miles</t>
  </si>
  <si>
    <t>Clonakilty</t>
  </si>
  <si>
    <t>Griffeen</t>
  </si>
  <si>
    <t>first run at Harrow</t>
  </si>
  <si>
    <t>St Albans (Verulamium Park)</t>
  </si>
  <si>
    <t>Harrow Lodge (Elm Park/Hornchurch)</t>
  </si>
  <si>
    <t>HRL</t>
  </si>
  <si>
    <t>RM11 1JU</t>
  </si>
  <si>
    <t>District Line to Elm Park</t>
  </si>
  <si>
    <t>Steve Newell at Gunnersbury</t>
  </si>
  <si>
    <t>average</t>
  </si>
  <si>
    <t>48th Venue</t>
  </si>
  <si>
    <t>SA14 7NF</t>
  </si>
  <si>
    <t>49th run at Gunnersbury</t>
  </si>
  <si>
    <t>slowed down by tired dog!</t>
  </si>
  <si>
    <t>age cat record, BA park #97</t>
  </si>
  <si>
    <t>parkrun debut</t>
  </si>
  <si>
    <t>Margate</t>
  </si>
  <si>
    <t>run #15, 12th at Cardiff</t>
  </si>
  <si>
    <t>first run at Cardiff</t>
  </si>
  <si>
    <t>run #303, 239th at Reading</t>
  </si>
  <si>
    <t>park #168, club course rec</t>
  </si>
  <si>
    <t xml:space="preserve">run #27 </t>
  </si>
  <si>
    <t>F-2, run #197</t>
  </si>
  <si>
    <t>M-9, parkrun pb</t>
  </si>
  <si>
    <t>cf pb 22:55</t>
  </si>
  <si>
    <t>tailrunner (almost last)</t>
  </si>
  <si>
    <t>run #117, 51st at Wycombe R</t>
  </si>
  <si>
    <t>3rd week in a row</t>
  </si>
  <si>
    <t>best at Woodley this year</t>
  </si>
  <si>
    <t>run #122, 6th at Daventry</t>
  </si>
  <si>
    <t>now level with Ron Hill at Woodbank</t>
  </si>
  <si>
    <t>March</t>
  </si>
  <si>
    <t>Stratford on Avon</t>
  </si>
  <si>
    <t>Ludlow</t>
  </si>
  <si>
    <t>ME10 2DE</t>
  </si>
  <si>
    <t>250=</t>
  </si>
  <si>
    <t>run #140</t>
  </si>
  <si>
    <t>run #282</t>
  </si>
  <si>
    <t>run #213, 88th at Gunnersbury</t>
  </si>
  <si>
    <t>F-4, run #177</t>
  </si>
  <si>
    <t>Raphael Park</t>
  </si>
  <si>
    <t>park #146, club course record</t>
  </si>
  <si>
    <t>run #331</t>
  </si>
  <si>
    <t>run #179</t>
  </si>
  <si>
    <t>run #167</t>
  </si>
  <si>
    <t>Chris</t>
  </si>
  <si>
    <t>Kelly</t>
  </si>
  <si>
    <t>Friar</t>
  </si>
  <si>
    <t>March, Rosliston</t>
  </si>
  <si>
    <t>agecatrec, BApark #140</t>
  </si>
  <si>
    <t xml:space="preserve"> 49th park</t>
  </si>
  <si>
    <t>Queen Elizabeth Country Park (Horndean)</t>
  </si>
  <si>
    <t>Waterworks Belfast</t>
  </si>
  <si>
    <t>BT15 2HF</t>
  </si>
  <si>
    <t>Wallace Park (Lisburn)</t>
  </si>
  <si>
    <t>BT27 4AN</t>
  </si>
  <si>
    <t>BT41 4DQ</t>
  </si>
  <si>
    <t>Carrickfergus</t>
  </si>
  <si>
    <t>BT38 7HP</t>
  </si>
  <si>
    <t>Valley  (Newtonabbey)</t>
  </si>
  <si>
    <t>BT36 7LJ</t>
  </si>
  <si>
    <t>MUSA (Cookstown)</t>
  </si>
  <si>
    <t>BT80 8SD</t>
  </si>
  <si>
    <t>Brockwell Park (50)</t>
  </si>
  <si>
    <t>Gunnersbury 72</t>
  </si>
  <si>
    <t>EASTER</t>
  </si>
  <si>
    <t>Tranmere at Stevenage (Friday, 1500)</t>
  </si>
  <si>
    <t>run #34</t>
  </si>
  <si>
    <t>mid Marathon training</t>
  </si>
  <si>
    <t>DUR</t>
  </si>
  <si>
    <t>BOH</t>
  </si>
  <si>
    <t>BApark #116, park #78</t>
  </si>
  <si>
    <t>club record, park #79</t>
  </si>
  <si>
    <t>run #66</t>
  </si>
  <si>
    <t>pb, run #3</t>
  </si>
  <si>
    <t>BXY</t>
  </si>
  <si>
    <t>TW14 8QA</t>
  </si>
  <si>
    <t>first anniversary run</t>
  </si>
  <si>
    <t>Sydney Striders</t>
  </si>
  <si>
    <t>park #105</t>
  </si>
  <si>
    <t>S5 6AE</t>
  </si>
  <si>
    <t>age cat pb</t>
  </si>
  <si>
    <t>funnell manager</t>
  </si>
  <si>
    <t>first run as VM50</t>
  </si>
  <si>
    <t>first run at Woodley</t>
  </si>
  <si>
    <t>Gary Rushmer leads the way for seven members on a damp morning.</t>
  </si>
  <si>
    <r>
      <t xml:space="preserve">run #50, </t>
    </r>
    <r>
      <rPr>
        <sz val="9"/>
        <rFont val="Arial"/>
        <family val="2"/>
      </rPr>
      <t>best time this year</t>
    </r>
  </si>
  <si>
    <t>Tranmere at Kingsmeadow 3 p.m.</t>
  </si>
  <si>
    <t>Cheadle Hulme</t>
  </si>
  <si>
    <t>CHU</t>
  </si>
  <si>
    <t>run#292</t>
  </si>
  <si>
    <t>ST1 4DX</t>
  </si>
  <si>
    <t>best agegrade in 2013</t>
  </si>
  <si>
    <t>Bramhall</t>
  </si>
  <si>
    <t>BRH</t>
  </si>
  <si>
    <t>Roderick at Malling</t>
  </si>
  <si>
    <t>Bradford</t>
  </si>
  <si>
    <t>park #88, BA park #131</t>
  </si>
  <si>
    <t>Halloween run</t>
  </si>
  <si>
    <t>Southwark (Surrey Quays)</t>
  </si>
  <si>
    <t>1.66 laps</t>
  </si>
  <si>
    <t>BA club course rec, park#18</t>
  </si>
  <si>
    <t>pb, club course rec</t>
  </si>
  <si>
    <t>BApark #169, UK park #100</t>
  </si>
  <si>
    <t>started 19th Oct 2013</t>
  </si>
  <si>
    <t>run #192</t>
  </si>
  <si>
    <t>park #109, BApark #160</t>
  </si>
  <si>
    <t>run #30</t>
  </si>
  <si>
    <r>
      <t>D</t>
    </r>
    <r>
      <rPr>
        <sz val="10"/>
        <rFont val="Arial"/>
        <family val="2"/>
      </rPr>
      <t>artford (Central Park)</t>
    </r>
  </si>
  <si>
    <t>Didcot</t>
  </si>
  <si>
    <t>Alice Holt Forest</t>
  </si>
  <si>
    <t>Bowral</t>
  </si>
  <si>
    <t>BOW</t>
  </si>
  <si>
    <t>BA park #180, parkrun pb</t>
  </si>
  <si>
    <t>run #201</t>
  </si>
  <si>
    <t>run #6, pb</t>
  </si>
  <si>
    <t>park #23, run #242</t>
  </si>
  <si>
    <t>run #419, 208th at Bushy Park</t>
  </si>
  <si>
    <t>run #393 (pb 31:23)</t>
  </si>
  <si>
    <t>run #201, 22nd at Richmond</t>
  </si>
  <si>
    <t>run #141</t>
  </si>
  <si>
    <t>run #245, 230th at Black Park</t>
  </si>
  <si>
    <t>BApark #171</t>
  </si>
  <si>
    <t>Matt Gardner 22:07 (pre-joining)</t>
  </si>
  <si>
    <t>Wormwood Scr</t>
  </si>
  <si>
    <t>DD wins at Castle Demense</t>
  </si>
  <si>
    <t xml:space="preserve">Root 44 </t>
  </si>
  <si>
    <t>Perry Hall (Perry Barr)</t>
  </si>
  <si>
    <t>B42 1RS</t>
  </si>
  <si>
    <t>PYB</t>
  </si>
  <si>
    <t>Perry Hall</t>
  </si>
  <si>
    <t>first parkrun for four months</t>
  </si>
  <si>
    <t>92nd/384</t>
  </si>
  <si>
    <t>181st/267</t>
  </si>
  <si>
    <t>46th/126</t>
  </si>
  <si>
    <t>21st/131</t>
  </si>
  <si>
    <t>Lewisham</t>
  </si>
  <si>
    <t>Croydon</t>
  </si>
  <si>
    <t>Barnett</t>
  </si>
  <si>
    <t>park #58</t>
  </si>
  <si>
    <t>run #361</t>
  </si>
  <si>
    <t>near Stansted Airport</t>
  </si>
  <si>
    <t>up M11</t>
  </si>
  <si>
    <t>Valentines (54)</t>
  </si>
  <si>
    <t>Maidenhead (55)</t>
  </si>
  <si>
    <t>started 21st March 2015</t>
  </si>
  <si>
    <t>run #356</t>
  </si>
  <si>
    <t>7.29 train</t>
  </si>
  <si>
    <t>Wormwood (47,17)</t>
  </si>
  <si>
    <t>"National Average" calculation</t>
  </si>
  <si>
    <t>km</t>
  </si>
  <si>
    <t>years</t>
  </si>
  <si>
    <t>secs</t>
  </si>
  <si>
    <t>days</t>
  </si>
  <si>
    <t>KA7 4NQ</t>
  </si>
  <si>
    <t>Northampton</t>
  </si>
  <si>
    <t>run #208, 19th/98</t>
  </si>
  <si>
    <t>station postcode SE15 5DQ</t>
  </si>
  <si>
    <t>SE15 3UA</t>
  </si>
  <si>
    <t>340th/1705 !</t>
  </si>
  <si>
    <t>Cassiobury</t>
  </si>
  <si>
    <t>three laps on grass with slopes</t>
  </si>
  <si>
    <t>SK13 7SH</t>
  </si>
  <si>
    <t>Jersey</t>
  </si>
  <si>
    <t>JE3 7LZ</t>
  </si>
  <si>
    <t>start 26/9/15</t>
  </si>
  <si>
    <t>Malling (Kent)</t>
  </si>
  <si>
    <t>ME20 6AA</t>
  </si>
  <si>
    <t>start 3/10/15</t>
  </si>
  <si>
    <t>BT17 0HW</t>
  </si>
  <si>
    <t>first run at Richmond, 274th parkrun altogether</t>
  </si>
  <si>
    <t>CF36 3YW</t>
  </si>
  <si>
    <t>Piers in Hobart</t>
  </si>
  <si>
    <t>Hobart (Tasmania)</t>
  </si>
  <si>
    <t>run #65</t>
  </si>
  <si>
    <t>run #393, age cat rec</t>
  </si>
  <si>
    <t>run #236, 202nd at Bushy</t>
  </si>
  <si>
    <t>Ikea Lakeside, Heron Way West Thurrock</t>
  </si>
  <si>
    <t>RM20 3WJ</t>
  </si>
  <si>
    <t>Moto Thurrock (M25)</t>
  </si>
  <si>
    <t>5 miles</t>
  </si>
  <si>
    <t>RM16 3BG</t>
  </si>
  <si>
    <t>ME8 8PQ</t>
  </si>
  <si>
    <t>Moto Medway East</t>
  </si>
  <si>
    <t>Great Lines 7 miles</t>
  </si>
  <si>
    <t>M2 Westbound</t>
  </si>
  <si>
    <t>Bird</t>
  </si>
  <si>
    <t>MV65-69 Root 44 agecatrec</t>
  </si>
  <si>
    <t>melholman@googlemail.com</t>
  </si>
  <si>
    <t>Roy</t>
  </si>
  <si>
    <t>Lilley</t>
  </si>
  <si>
    <t>Kingsway (Gloucester)</t>
  </si>
  <si>
    <t>GL2 2SN</t>
  </si>
  <si>
    <t>started 6/6/15</t>
  </si>
  <si>
    <t>Salisbury</t>
  </si>
  <si>
    <t>Ben Chaytow</t>
  </si>
  <si>
    <t>course pb</t>
  </si>
  <si>
    <t>Roy12002uk@yahoo.co.uk</t>
  </si>
  <si>
    <t xml:space="preserve">dmayerova@gmail.com </t>
  </si>
  <si>
    <t>Rimmer</t>
  </si>
  <si>
    <t>10krimmer@tiscali.co.uk</t>
  </si>
  <si>
    <t>Mulbarton</t>
  </si>
  <si>
    <t>Norwich</t>
  </si>
  <si>
    <t>Peterborough</t>
  </si>
  <si>
    <t>Sheringham</t>
  </si>
  <si>
    <t>Southend</t>
  </si>
  <si>
    <t>2014 pb (just)</t>
  </si>
  <si>
    <t>run #219, park #71</t>
  </si>
  <si>
    <t xml:space="preserve">Chris </t>
  </si>
  <si>
    <t>run #160, 140th at Bedfont</t>
  </si>
  <si>
    <t>run #143, 140th at Bedfont</t>
  </si>
  <si>
    <t>run #206, 188th at Bedfont</t>
  </si>
  <si>
    <t>run director + results</t>
  </si>
  <si>
    <t>249th run at Black Park</t>
  </si>
  <si>
    <t>run #251, 235th at Black Park</t>
  </si>
  <si>
    <t>0746 H&amp;C to Baker St, then Met Line to Harrow-on-the-Hill</t>
  </si>
  <si>
    <t>0731 H&amp;C round to Baker St, then Met line to Watford, then walk</t>
  </si>
  <si>
    <t>Harrow (60)</t>
  </si>
  <si>
    <t>0726 H&amp;C</t>
  </si>
  <si>
    <t>L'pool St to Enfield Lock, bike</t>
  </si>
  <si>
    <t>10.00 a.m.</t>
  </si>
  <si>
    <t>run #55</t>
  </si>
  <si>
    <t>Ipswich (Chantry Park)</t>
  </si>
  <si>
    <t>IP2 0BS</t>
  </si>
  <si>
    <t>IPS</t>
  </si>
  <si>
    <t>Alice Holt Forest (Farnham, Surrey)</t>
  </si>
  <si>
    <t>Heathrow Beer Festival</t>
  </si>
  <si>
    <t>run #71</t>
  </si>
  <si>
    <t>TS1 3LB</t>
  </si>
  <si>
    <t>Delamere</t>
  </si>
  <si>
    <t>DEL</t>
  </si>
  <si>
    <t>run#5</t>
  </si>
  <si>
    <t>run#28</t>
  </si>
  <si>
    <t>HU13 0HB</t>
  </si>
  <si>
    <t>Watergrove (Rochdale)</t>
  </si>
  <si>
    <t>run #6, best parkrun WAVA%</t>
  </si>
  <si>
    <t>256th/338, BApark #144</t>
  </si>
  <si>
    <t>Natalie Ruffell</t>
  </si>
  <si>
    <t>St Helens</t>
  </si>
  <si>
    <t>Warrington</t>
  </si>
  <si>
    <t>Workington</t>
  </si>
  <si>
    <t>Worsley Woods</t>
  </si>
  <si>
    <t>NW England</t>
  </si>
  <si>
    <t>TW2 6DF</t>
  </si>
  <si>
    <t>W12 0DF</t>
  </si>
  <si>
    <t>run #192, 177th at Bedfont</t>
  </si>
  <si>
    <t>Bridget Ruffell 28:11</t>
  </si>
  <si>
    <t>park #39, club course rec</t>
  </si>
  <si>
    <t>17th, club course record</t>
  </si>
  <si>
    <t>first parkrun in almost three years</t>
  </si>
  <si>
    <t xml:space="preserve">28' pacer </t>
  </si>
  <si>
    <t>run #373</t>
  </si>
  <si>
    <t>BRC</t>
  </si>
  <si>
    <t>Caroline Wilson</t>
  </si>
  <si>
    <t>run#299</t>
  </si>
  <si>
    <t>run #149</t>
  </si>
  <si>
    <t>run #150</t>
  </si>
  <si>
    <t>Savill Garden Jun</t>
  </si>
  <si>
    <r>
      <t>O</t>
    </r>
    <r>
      <rPr>
        <sz val="10"/>
        <rFont val="Arial"/>
        <family val="2"/>
      </rPr>
      <t>ak Hill (East Barnet)</t>
    </r>
  </si>
  <si>
    <t>nasty cough</t>
  </si>
  <si>
    <t>with AA by car</t>
  </si>
  <si>
    <t>Longrun Meadow - Caroline Cockram</t>
  </si>
  <si>
    <t>21st park</t>
  </si>
  <si>
    <t xml:space="preserve">Osterley </t>
  </si>
  <si>
    <t>B &amp; Hove</t>
  </si>
  <si>
    <t>Bevendean</t>
  </si>
  <si>
    <t>Hove Prom</t>
  </si>
  <si>
    <t>Preston Pk</t>
  </si>
  <si>
    <t>Liz</t>
  </si>
  <si>
    <t>Latter</t>
  </si>
  <si>
    <t>Marion</t>
  </si>
  <si>
    <t>Woodhouse</t>
  </si>
  <si>
    <t>Luke</t>
  </si>
  <si>
    <t>Grant</t>
  </si>
  <si>
    <t>Strydom</t>
  </si>
  <si>
    <t>Hillier</t>
  </si>
  <si>
    <t>then a short walk</t>
  </si>
  <si>
    <t>2015 parkrun sb</t>
  </si>
  <si>
    <t>Bicester</t>
  </si>
  <si>
    <t>BIC</t>
  </si>
  <si>
    <t>OX26 6SX</t>
  </si>
  <si>
    <t>Maidenhead (Braywick Park)</t>
  </si>
  <si>
    <t>MDH</t>
  </si>
  <si>
    <t>SL6 1BN</t>
  </si>
  <si>
    <t>SouthEast</t>
  </si>
  <si>
    <t>Gunnersbury 63</t>
  </si>
  <si>
    <t>Kingsbury W</t>
  </si>
  <si>
    <t xml:space="preserve">Anniversary run </t>
  </si>
  <si>
    <t>Wepre (Connagh's Quay)</t>
  </si>
  <si>
    <t>721st out of  1000 in 29:16</t>
  </si>
  <si>
    <t xml:space="preserve">Marion </t>
  </si>
  <si>
    <t>run #118</t>
  </si>
  <si>
    <t>Denis Foxley</t>
  </si>
  <si>
    <t>token sorting</t>
  </si>
  <si>
    <t>Burnage (Manchester)</t>
  </si>
  <si>
    <t>3 laps (triangular)</t>
  </si>
  <si>
    <t>Bristol</t>
  </si>
  <si>
    <t>club female best at Bedfont</t>
  </si>
  <si>
    <t>run#293</t>
  </si>
  <si>
    <t>Huntingdon</t>
  </si>
  <si>
    <t>PE29 6DB</t>
  </si>
  <si>
    <t>HUN</t>
  </si>
  <si>
    <t>Exeter Riverside - Caroline Cockram</t>
  </si>
  <si>
    <t>first time at Harlow, 5th/72</t>
  </si>
  <si>
    <t>100th male finisher</t>
  </si>
  <si>
    <t>run #380</t>
  </si>
  <si>
    <t>1st run at Newbury</t>
  </si>
  <si>
    <t>90th run at Crane Park</t>
  </si>
  <si>
    <t>run #62</t>
  </si>
  <si>
    <t>run #346</t>
  </si>
  <si>
    <t>parkrun pb, run #36</t>
  </si>
  <si>
    <t>run #409</t>
  </si>
  <si>
    <t>run #67, parkrun pb</t>
  </si>
  <si>
    <t>yet another pb</t>
  </si>
  <si>
    <t>23' minute pacer ?</t>
  </si>
  <si>
    <t>run #350</t>
  </si>
  <si>
    <t>2kg overweight after cruise !</t>
  </si>
  <si>
    <t>Steep hills, off road</t>
  </si>
  <si>
    <t>Alan Friar on 99</t>
  </si>
  <si>
    <t>Claire Killen</t>
  </si>
  <si>
    <t>parkruns in Northern Ireland</t>
  </si>
  <si>
    <t xml:space="preserve">Caroline </t>
  </si>
  <si>
    <t>PRIOR</t>
  </si>
  <si>
    <t>RUN</t>
  </si>
  <si>
    <t>TO</t>
  </si>
  <si>
    <t>run #118, best for a while</t>
  </si>
  <si>
    <t>124th run at Reading</t>
  </si>
  <si>
    <t>4th run at Guildford</t>
  </si>
  <si>
    <t>1st run at Braunstone</t>
  </si>
  <si>
    <t>BA park #201</t>
  </si>
  <si>
    <t>BA park #202</t>
  </si>
  <si>
    <t>first ever parkrun, age 75+</t>
  </si>
  <si>
    <t>inaugural, BA park #203</t>
  </si>
  <si>
    <t>BA park #220</t>
  </si>
  <si>
    <t>BA park #219</t>
  </si>
  <si>
    <t>6th June 2015</t>
  </si>
  <si>
    <t>record now down to 27:00</t>
  </si>
  <si>
    <t>108th/157</t>
  </si>
  <si>
    <t>36th/117</t>
  </si>
  <si>
    <t>run #81</t>
  </si>
  <si>
    <t>130th/379</t>
  </si>
  <si>
    <t>14th/210</t>
  </si>
  <si>
    <t>Gunnersbury 74</t>
  </si>
  <si>
    <t>run #60, F-3</t>
  </si>
  <si>
    <t>run #226</t>
  </si>
  <si>
    <t>run #56, 7th (M-6)</t>
  </si>
  <si>
    <t>run #147</t>
  </si>
  <si>
    <t>first run at Black Park</t>
  </si>
  <si>
    <t xml:space="preserve"> started 4th June 2016</t>
  </si>
  <si>
    <t>BN3 2FR</t>
  </si>
  <si>
    <t>Hove Promenade</t>
  </si>
  <si>
    <t>BA best (F) at Black Park</t>
  </si>
  <si>
    <t>first run for 6 months</t>
  </si>
  <si>
    <t>jetlagged, 521 runners!</t>
  </si>
  <si>
    <t>8th/133</t>
  </si>
  <si>
    <t>17th/133</t>
  </si>
  <si>
    <t>park #99</t>
  </si>
  <si>
    <t>run #27, 4th at Horsham</t>
  </si>
  <si>
    <t>Surrey League (Epsom Downs)</t>
  </si>
  <si>
    <t>Southend (Gunners Pk)</t>
  </si>
  <si>
    <t>ave kph</t>
  </si>
  <si>
    <t>single clockwise lap</t>
  </si>
  <si>
    <t>8 miles to Bicester parkrun</t>
  </si>
  <si>
    <t>first run at Luton</t>
  </si>
  <si>
    <t>run #18, parkrun pb</t>
  </si>
  <si>
    <t>6th run at Guildford</t>
  </si>
  <si>
    <t>run #104, 43rd at Wycombe</t>
  </si>
  <si>
    <t>run #130, 108th at Crane</t>
  </si>
  <si>
    <t>parkrun pw</t>
  </si>
  <si>
    <t>+1</t>
  </si>
  <si>
    <t>Club parkrun - 17th March 2012</t>
  </si>
  <si>
    <t>run #228, 6th at Guildford</t>
  </si>
  <si>
    <t>Harlow (Town Park)</t>
  </si>
  <si>
    <t>run #56</t>
  </si>
  <si>
    <t>10th/129</t>
  </si>
  <si>
    <t>DID</t>
  </si>
  <si>
    <t>Wargrave Harriers Resigned - rejoined BA)</t>
  </si>
  <si>
    <t>Harrow  Rec</t>
  </si>
  <si>
    <t>Linda at Sunderland</t>
  </si>
  <si>
    <t xml:space="preserve">Maidenhead </t>
  </si>
  <si>
    <t>Lewisham station SE13 7RY</t>
  </si>
  <si>
    <t>then walk about a mile</t>
  </si>
  <si>
    <t>Lyme Park (Cheshire)</t>
  </si>
  <si>
    <t>MGW</t>
  </si>
  <si>
    <t>Parkruns</t>
  </si>
  <si>
    <t>Richmond Park</t>
  </si>
  <si>
    <t>park #83</t>
  </si>
  <si>
    <t>Walking Association !</t>
  </si>
  <si>
    <t>Andrew Jordan</t>
  </si>
  <si>
    <t>Kerstin</t>
  </si>
  <si>
    <t>Luksch</t>
  </si>
  <si>
    <t>Bryn Bach</t>
  </si>
  <si>
    <t>Colby</t>
  </si>
  <si>
    <t>first run at Rushmoor</t>
  </si>
  <si>
    <t>Southwark</t>
  </si>
  <si>
    <t>Islington</t>
  </si>
  <si>
    <t>Haringey</t>
  </si>
  <si>
    <t>Bromley</t>
  </si>
  <si>
    <t>Hounslow</t>
  </si>
  <si>
    <t>parkrun pb, club park #79</t>
  </si>
  <si>
    <t>x6- Scott Davison</t>
  </si>
  <si>
    <t>x6- Marion Taylor</t>
  </si>
  <si>
    <t>record now down to 23:16</t>
  </si>
  <si>
    <t>pre-event set-up</t>
  </si>
  <si>
    <t>first run was 10 November 2012</t>
  </si>
  <si>
    <t>Brighton&amp;Hove</t>
  </si>
  <si>
    <t>Burnage (Heaton Mersey)</t>
  </si>
  <si>
    <t>Whitley Bay</t>
  </si>
  <si>
    <t>Pennington Flash</t>
  </si>
  <si>
    <t>£2.50 car park</t>
  </si>
  <si>
    <t>10th run at Wycombe Rye</t>
  </si>
  <si>
    <t>Overground to Hampstead Heath (24 mins from Gunnersbury, dep 8:04)</t>
  </si>
  <si>
    <t xml:space="preserve">Neil </t>
  </si>
  <si>
    <t>Richmond Pk</t>
  </si>
  <si>
    <t>run #91, 20th at St Albans</t>
  </si>
  <si>
    <t>run #136, + pre-event set-up</t>
  </si>
  <si>
    <t>run #150, +volunteer coordinator</t>
  </si>
  <si>
    <t>run #246, 210th at Bushy</t>
  </si>
  <si>
    <t>run #292</t>
  </si>
  <si>
    <r>
      <t>run #200</t>
    </r>
    <r>
      <rPr>
        <sz val="9"/>
        <rFont val="Arial"/>
        <family val="2"/>
      </rPr>
      <t>, 133rd at Reading</t>
    </r>
  </si>
  <si>
    <t>Gunnersbury 97,24</t>
  </si>
  <si>
    <t>Old Deer park</t>
  </si>
  <si>
    <t>2 laps, £3 Nat Trust carpark (free for NT members)</t>
  </si>
  <si>
    <t>150th run at Bushy, 175th parkrun</t>
  </si>
  <si>
    <t>BApark #143</t>
  </si>
  <si>
    <t>39th/193,</t>
  </si>
  <si>
    <t>1 lap anticlockwise from visitor centre</t>
  </si>
  <si>
    <t>Knockholt station TN14 7HR (station beyond Orpington)</t>
  </si>
  <si>
    <t>NE9 5AX</t>
  </si>
  <si>
    <t>Gateshead (Saltwell Park)</t>
  </si>
  <si>
    <t>GAS</t>
  </si>
  <si>
    <t>cycle from Waddon station</t>
  </si>
  <si>
    <t>ECOS Ballymena</t>
  </si>
  <si>
    <t>Has a pb of 23:49 at Gunpowder</t>
  </si>
  <si>
    <t>Bordeaux - Les Dougnes</t>
  </si>
  <si>
    <t>BA park #185</t>
  </si>
  <si>
    <t>Hobart</t>
  </si>
  <si>
    <t>BA park #221</t>
  </si>
  <si>
    <t>HOB</t>
  </si>
  <si>
    <t>Thurrock</t>
  </si>
  <si>
    <t>2 laps on grass</t>
  </si>
  <si>
    <t>RM16 4XH</t>
  </si>
  <si>
    <t>THU</t>
  </si>
  <si>
    <t>SSE</t>
  </si>
  <si>
    <t>run #195</t>
  </si>
  <si>
    <t xml:space="preserve">Harrow Rec #1 </t>
  </si>
  <si>
    <t>12th run at Guildford</t>
  </si>
  <si>
    <t>three laps, hard surface, flat</t>
  </si>
  <si>
    <t>55 miles via M4, M25, A41</t>
  </si>
  <si>
    <t>Watford</t>
  </si>
  <si>
    <t>run #103, 7th at Northala</t>
  </si>
  <si>
    <t>Neil Sunderland</t>
  </si>
  <si>
    <t>Barclay Park (Hoddesdon, Herts)</t>
  </si>
  <si>
    <t>EN11 8PY</t>
  </si>
  <si>
    <t>Cherwell Valley Services (M40, J10)</t>
  </si>
  <si>
    <t>Thames Crescent</t>
  </si>
  <si>
    <t>CV35 0AA</t>
  </si>
  <si>
    <t>Warwick Services (Southbound)</t>
  </si>
  <si>
    <t xml:space="preserve">27 miles </t>
  </si>
  <si>
    <t>crow flies</t>
  </si>
  <si>
    <t>by road</t>
  </si>
  <si>
    <t>23 miles</t>
  </si>
  <si>
    <t>Chamberlain</t>
  </si>
  <si>
    <t>Christopher</t>
  </si>
  <si>
    <t>Elagin Ostrov</t>
  </si>
  <si>
    <t>run #244</t>
  </si>
  <si>
    <t>Venue</t>
  </si>
  <si>
    <t>RR,RH</t>
  </si>
  <si>
    <t>new BArunner course</t>
  </si>
  <si>
    <t>TAL</t>
  </si>
  <si>
    <t>TAT</t>
  </si>
  <si>
    <t>run #32, 7th at Maidenhead</t>
  </si>
  <si>
    <t>run #70, 63rd at Upton Court</t>
  </si>
  <si>
    <t>Cairns Esplanade (Queensland, Au)</t>
  </si>
  <si>
    <t>out and back along riverside path</t>
  </si>
  <si>
    <t>NZG</t>
  </si>
  <si>
    <t>Gall</t>
  </si>
  <si>
    <t>WARR photographer, run #3</t>
  </si>
  <si>
    <t>has also run at Route 44</t>
  </si>
  <si>
    <t>hh:04,hh:09</t>
  </si>
  <si>
    <t>Cannon Hill (Birmingham)</t>
  </si>
  <si>
    <t>Gunnersbury(43)</t>
  </si>
  <si>
    <t>Alan Friar (100), Kerstin (50)</t>
  </si>
  <si>
    <t>run #9, 8th at March</t>
  </si>
  <si>
    <t>RLI</t>
  </si>
  <si>
    <t>run #208, 5th at Guildford</t>
  </si>
  <si>
    <t xml:space="preserve">F-1, </t>
  </si>
  <si>
    <t>run #407, 185th at Gunnsbury</t>
  </si>
  <si>
    <t>run #218, 89th at Gunnsbury</t>
  </si>
  <si>
    <t>run #129, first run at Bracknell</t>
  </si>
  <si>
    <t>run #241, 206th at Bushy Park</t>
  </si>
  <si>
    <t>M-9, club course record</t>
  </si>
  <si>
    <t>Cairns</t>
  </si>
  <si>
    <t>BA park #222</t>
  </si>
  <si>
    <t>CAI</t>
  </si>
  <si>
    <t>Ikea Tottenham</t>
  </si>
  <si>
    <t>Emily</t>
  </si>
  <si>
    <t>Warburton -B</t>
  </si>
  <si>
    <t>ECO</t>
  </si>
  <si>
    <t>BT43 7QA</t>
  </si>
  <si>
    <t>LLW</t>
  </si>
  <si>
    <t>Ecos Ballymena</t>
  </si>
  <si>
    <t>50% grass</t>
  </si>
  <si>
    <t>BWD</t>
  </si>
  <si>
    <t>22nd/43</t>
  </si>
  <si>
    <t>park #104</t>
  </si>
  <si>
    <t>92nd run at Gunnersbury</t>
  </si>
  <si>
    <t>F-5, 185th run at Gunnersbury</t>
  </si>
  <si>
    <t>7.47 from Turnham Green</t>
  </si>
  <si>
    <t>parkrun 11th Anniversary</t>
  </si>
  <si>
    <t>Gunnersbury (Pacer) (51)</t>
  </si>
  <si>
    <t>winter course</t>
  </si>
  <si>
    <t>Singapore (no run)</t>
  </si>
  <si>
    <t>&gt;</t>
  </si>
  <si>
    <t>run #253</t>
  </si>
  <si>
    <t>100th/1210</t>
  </si>
  <si>
    <t>run #135</t>
  </si>
  <si>
    <t>125th run at Reading</t>
  </si>
  <si>
    <t>run #92, 42nd at Black Park</t>
  </si>
  <si>
    <t>2nd run at South Manchester</t>
  </si>
  <si>
    <t>13th/131</t>
  </si>
  <si>
    <t>BA park #205, park #9</t>
  </si>
  <si>
    <t>8th run at Woking</t>
  </si>
  <si>
    <t>run #38, 15th at Maidenhead</t>
  </si>
  <si>
    <t>park #18</t>
  </si>
  <si>
    <t>100th run at Bedfont Lakes</t>
  </si>
  <si>
    <t>Newark</t>
  </si>
  <si>
    <t>Rushcliffe</t>
  </si>
  <si>
    <t>Blickling</t>
  </si>
  <si>
    <t>Ormeau</t>
  </si>
  <si>
    <t>Portrush</t>
  </si>
  <si>
    <t>Little Stoke</t>
  </si>
  <si>
    <t>Longrun Meadow</t>
  </si>
  <si>
    <t>Parke (Bovey Tracey)</t>
  </si>
  <si>
    <t>PBT</t>
  </si>
  <si>
    <t>LA12 8NN</t>
  </si>
  <si>
    <t>volunteer co-ordinator</t>
  </si>
  <si>
    <t>29 miles each way</t>
  </si>
  <si>
    <t>41 miles by road each way single lap free carpark</t>
  </si>
  <si>
    <t>38 miles by road</t>
  </si>
  <si>
    <t>Tring (inaugural)</t>
  </si>
  <si>
    <t>BA park #138</t>
  </si>
  <si>
    <t>age category record</t>
  </si>
  <si>
    <t>run #81, 2015 pb</t>
  </si>
  <si>
    <t>top 10, club course record</t>
  </si>
  <si>
    <t>run #402</t>
  </si>
  <si>
    <t>run #126, 105th at Crane Park</t>
  </si>
  <si>
    <t>run #192, 50th at Woodley</t>
  </si>
  <si>
    <t>run #154, first ever at Bognor</t>
  </si>
  <si>
    <t>escort runner</t>
  </si>
  <si>
    <t>run #208</t>
  </si>
  <si>
    <t>Lesley</t>
  </si>
  <si>
    <t>or W3 bus from Wood Green</t>
  </si>
  <si>
    <t>park #51</t>
  </si>
  <si>
    <t xml:space="preserve">Lloyd </t>
  </si>
  <si>
    <t>new course</t>
  </si>
  <si>
    <t>BBY</t>
  </si>
  <si>
    <t>Great Lines (Gillingham)</t>
  </si>
  <si>
    <t>ME7 1HF</t>
  </si>
  <si>
    <t>Livonia (Michigan, USA)</t>
  </si>
  <si>
    <t>7.26 from Hammersmith To Southwark, then Waterloo East</t>
  </si>
  <si>
    <t>Strathclyde CP</t>
  </si>
  <si>
    <t>Gadebridge</t>
  </si>
  <si>
    <t>Gorlston Cliffs</t>
  </si>
  <si>
    <t>BApark #165</t>
  </si>
  <si>
    <t>GOR</t>
  </si>
  <si>
    <t>LS2 3AP</t>
  </si>
  <si>
    <t>lead bike and token sorting</t>
  </si>
  <si>
    <t>run #500</t>
  </si>
  <si>
    <t>improvement continues</t>
  </si>
  <si>
    <t>run #202</t>
  </si>
  <si>
    <t>run #79</t>
  </si>
  <si>
    <t>Roderick at Harcourt Hill</t>
  </si>
  <si>
    <t>Holman</t>
  </si>
  <si>
    <t>Clara</t>
  </si>
  <si>
    <t>29' pacer</t>
  </si>
  <si>
    <t>Tilgate</t>
  </si>
  <si>
    <t>BHV</t>
  </si>
  <si>
    <t>Adrian</t>
  </si>
  <si>
    <t>Haines</t>
  </si>
  <si>
    <t>Andrew Clowes 23:27</t>
  </si>
  <si>
    <t>Janice</t>
  </si>
  <si>
    <t>Jones</t>
  </si>
  <si>
    <t>Isle of Wght</t>
  </si>
  <si>
    <t>ABZ</t>
  </si>
  <si>
    <t>Hazlehead (Aberdeen)</t>
  </si>
  <si>
    <t>ABH</t>
  </si>
  <si>
    <t>AB15 8BJ</t>
  </si>
  <si>
    <t>DDC</t>
  </si>
  <si>
    <t>DD2 4TF</t>
  </si>
  <si>
    <t>IV3 5SR</t>
  </si>
  <si>
    <t>M-2, run #58</t>
  </si>
  <si>
    <t>course pb, club course record</t>
  </si>
  <si>
    <t>first parkrun since January</t>
  </si>
  <si>
    <t>run #411</t>
  </si>
  <si>
    <t>run #106,  4th at Wycombe</t>
  </si>
  <si>
    <t>run #132, 110th at Crane Pk</t>
  </si>
  <si>
    <t>best time of 2016</t>
  </si>
  <si>
    <t>ELO</t>
  </si>
  <si>
    <t>BEH</t>
  </si>
  <si>
    <t>Vera</t>
  </si>
  <si>
    <t>Simms</t>
  </si>
  <si>
    <t>run #12, 2nd at Harrow</t>
  </si>
  <si>
    <t>BApark #163</t>
  </si>
  <si>
    <t>BApark #164</t>
  </si>
  <si>
    <t>MV80</t>
  </si>
  <si>
    <t>none</t>
  </si>
  <si>
    <t>park #12</t>
  </si>
  <si>
    <t>South Island</t>
  </si>
  <si>
    <t>Hamilton Lake</t>
  </si>
  <si>
    <t>North Island</t>
  </si>
  <si>
    <t>Gunnersbury 98</t>
  </si>
  <si>
    <t>Gunnersbury 99</t>
  </si>
  <si>
    <t>Gunnersbury 95,23</t>
  </si>
  <si>
    <t>Hammersmith</t>
  </si>
  <si>
    <t>District Line towards Victoria</t>
  </si>
  <si>
    <t>Big turnout at Bushy</t>
  </si>
  <si>
    <t>run #67, 4th at Bushy</t>
  </si>
  <si>
    <t>run #65, 60th at Cardiff</t>
  </si>
  <si>
    <t>run #363</t>
  </si>
  <si>
    <t>park #169, Bapark #288</t>
  </si>
  <si>
    <t>parkrun agegroup% best</t>
  </si>
  <si>
    <t>1st run at Newcastle</t>
  </si>
  <si>
    <t>run #427</t>
  </si>
  <si>
    <t>33' pacer, volunteer #23</t>
  </si>
  <si>
    <t>run #85, course pb</t>
  </si>
  <si>
    <t>run #119</t>
  </si>
  <si>
    <t>1st run at Osterley</t>
  </si>
  <si>
    <t>run #47, 21st at Northala</t>
  </si>
  <si>
    <t>1st run at Barclay, club record</t>
  </si>
  <si>
    <t>1st UKrun since Boxing Day 15</t>
  </si>
  <si>
    <t>1st run at Evesham, club rec</t>
  </si>
  <si>
    <t>Roderick at Basildon</t>
  </si>
  <si>
    <t>Shorne Woods (Gravesend)</t>
  </si>
  <si>
    <t>SHW</t>
  </si>
  <si>
    <t>DA12 3HX</t>
  </si>
  <si>
    <t>best</t>
  </si>
  <si>
    <t>Volunteer(3)</t>
  </si>
  <si>
    <t>next Derek Baker 23:32</t>
  </si>
  <si>
    <t>Upton Court</t>
  </si>
  <si>
    <t>CR5 3NR</t>
  </si>
  <si>
    <t>bike via Twickenham, Teddington</t>
  </si>
  <si>
    <t>bike (A316)</t>
  </si>
  <si>
    <t>pb, 22nd/80</t>
  </si>
  <si>
    <t>run #53</t>
  </si>
  <si>
    <t>Chase the place week 4, down to 3724</t>
  </si>
  <si>
    <t>854 runners</t>
  </si>
  <si>
    <t>Cornwall Pk AKL</t>
  </si>
  <si>
    <t>Cornwall</t>
  </si>
  <si>
    <t>Blair</t>
  </si>
  <si>
    <t>Antrim</t>
  </si>
  <si>
    <t>Rushmoor (Aldershot/Farnborough)</t>
  </si>
  <si>
    <t>District Line OK</t>
  </si>
  <si>
    <t>Country</t>
  </si>
  <si>
    <t>Region</t>
  </si>
  <si>
    <t>Park</t>
  </si>
  <si>
    <t>park #62</t>
  </si>
  <si>
    <t>Clumber Park (Notts)</t>
  </si>
  <si>
    <t>Kingsway</t>
  </si>
  <si>
    <t xml:space="preserve">park #152 </t>
  </si>
  <si>
    <t>Albury Wodonga</t>
  </si>
  <si>
    <t>Belmont</t>
  </si>
  <si>
    <t>Blackbutt</t>
  </si>
  <si>
    <t>Associate Members</t>
  </si>
  <si>
    <t>F</t>
  </si>
  <si>
    <t>juliebarclay@hotmail.co.uk</t>
  </si>
  <si>
    <t>started 13/6/2015</t>
  </si>
  <si>
    <t>Glover</t>
  </si>
  <si>
    <t>Gunnersbury(45)</t>
  </si>
  <si>
    <t>Nonsuch (46,17)</t>
  </si>
  <si>
    <t>best this year</t>
  </si>
  <si>
    <t>half hour happiness</t>
  </si>
  <si>
    <t>2nd in points table</t>
  </si>
  <si>
    <t>Others</t>
  </si>
  <si>
    <t>park #91, BA park #134</t>
  </si>
  <si>
    <t>TEL</t>
  </si>
  <si>
    <t>BA park #241</t>
  </si>
  <si>
    <t>South Shields (Leas Park)</t>
  </si>
  <si>
    <t>SSL</t>
  </si>
  <si>
    <t>NE34 6SS</t>
  </si>
  <si>
    <t>run #12, club course record</t>
  </si>
  <si>
    <t>run #44,22nd at Woking</t>
  </si>
  <si>
    <t>SO15 7NN</t>
  </si>
  <si>
    <t xml:space="preserve">Oak Hill </t>
  </si>
  <si>
    <t>Lullingstone (Kent)</t>
  </si>
  <si>
    <t>LUL</t>
  </si>
  <si>
    <t>DA4 0JF</t>
  </si>
  <si>
    <t xml:space="preserve">Leicester Vic  </t>
  </si>
  <si>
    <t>Paramatta</t>
  </si>
  <si>
    <t>Sandon Point</t>
  </si>
  <si>
    <t>Horsham (Horsham Park)</t>
  </si>
  <si>
    <t>run #120, park#28</t>
  </si>
  <si>
    <t>park #18, run #123</t>
  </si>
  <si>
    <t>LLO</t>
  </si>
  <si>
    <t>HAC</t>
  </si>
  <si>
    <t>PYM</t>
  </si>
  <si>
    <t>RID</t>
  </si>
  <si>
    <t>Newent</t>
  </si>
  <si>
    <t>Parke</t>
  </si>
  <si>
    <t>Pomphrey Hill</t>
  </si>
  <si>
    <t>Started 7th September 2013</t>
  </si>
  <si>
    <t>SE16 2PE</t>
  </si>
  <si>
    <t>7.34 train from Gunnersbury/bike, change stations at West Hampstead</t>
  </si>
  <si>
    <t>run #123</t>
  </si>
  <si>
    <t>run #120, 83rd at Bedfont</t>
  </si>
  <si>
    <t>MPL</t>
  </si>
  <si>
    <t>Walthamstow</t>
  </si>
  <si>
    <t>park #17, club park #89</t>
  </si>
  <si>
    <t>run #126, 94th at Gunnersbury</t>
  </si>
  <si>
    <t>198th run at Bushy Park</t>
  </si>
  <si>
    <t>run #217, next to last</t>
  </si>
  <si>
    <t>tailrunner, run #196</t>
  </si>
  <si>
    <t>1st place</t>
  </si>
  <si>
    <t>BA park #199</t>
  </si>
  <si>
    <t>John Scaife at Brundall</t>
  </si>
  <si>
    <t>run #224</t>
  </si>
  <si>
    <t>F-3, run #182</t>
  </si>
  <si>
    <t>run #286, 4th run at Bedfont</t>
  </si>
  <si>
    <t>run #345</t>
  </si>
  <si>
    <t>34 miles</t>
  </si>
  <si>
    <t>40 miles</t>
  </si>
  <si>
    <t>52 miles</t>
  </si>
  <si>
    <t>Wellington</t>
  </si>
  <si>
    <t>Porirua</t>
  </si>
  <si>
    <t>Cannock Chase</t>
  </si>
  <si>
    <t>Llanelli Coast</t>
  </si>
  <si>
    <t>SEF</t>
  </si>
  <si>
    <t>Stretford</t>
  </si>
  <si>
    <t>Queensland</t>
  </si>
  <si>
    <t>Tasmania</t>
  </si>
  <si>
    <t>HA8 6RH</t>
  </si>
  <si>
    <t>will start 8th October</t>
  </si>
  <si>
    <t>Canons Park stn on Jubilee line</t>
  </si>
  <si>
    <t>run #117, 97th at Crane Park</t>
  </si>
  <si>
    <t>Reading</t>
  </si>
  <si>
    <t>Melanie Holman</t>
  </si>
  <si>
    <t>Elstree &amp; Borehamwood station</t>
  </si>
  <si>
    <t>WD6 3LS</t>
  </si>
  <si>
    <t>also photographer</t>
  </si>
  <si>
    <t>also token sorting</t>
  </si>
  <si>
    <t>run #11, all at Harrow</t>
  </si>
  <si>
    <t>Malling</t>
  </si>
  <si>
    <t>Gunnersbury Park (Brentford/Acton)</t>
  </si>
  <si>
    <t>Hounslow/Ealing</t>
  </si>
  <si>
    <t>Epsom &amp; Ewell</t>
  </si>
  <si>
    <t>SHT</t>
  </si>
  <si>
    <t>run #264, course pb</t>
  </si>
  <si>
    <r>
      <t xml:space="preserve">for inclusion or exclusion please contact Steve Newell   </t>
    </r>
    <r>
      <rPr>
        <b/>
        <u/>
        <sz val="10"/>
        <color indexed="12"/>
        <rFont val="Arial"/>
        <family val="2"/>
      </rPr>
      <t>steve-newell@blueyonder.co.uk</t>
    </r>
  </si>
  <si>
    <t>Janice Jones 28:41</t>
  </si>
  <si>
    <t>Bill</t>
  </si>
  <si>
    <t>Byrne</t>
  </si>
  <si>
    <t>Geoff</t>
  </si>
  <si>
    <t>Miles</t>
  </si>
  <si>
    <t>Stragglers</t>
  </si>
  <si>
    <t>park #43</t>
  </si>
  <si>
    <t>run #46</t>
  </si>
  <si>
    <t>several</t>
  </si>
  <si>
    <t>run #98</t>
  </si>
  <si>
    <t>Westport</t>
  </si>
  <si>
    <t>run #370</t>
  </si>
  <si>
    <t>Matt Gardner for a while but he has now joined Fulham Running Club</t>
  </si>
  <si>
    <t>BA park #183</t>
  </si>
  <si>
    <t>run #15, course pb</t>
  </si>
  <si>
    <t>Jeremy Short</t>
  </si>
  <si>
    <t>updated</t>
  </si>
  <si>
    <t>park #68</t>
  </si>
  <si>
    <t>E Warburton-Brown</t>
  </si>
  <si>
    <t>YRK</t>
  </si>
  <si>
    <t>first run at York</t>
  </si>
  <si>
    <t>MOS</t>
  </si>
  <si>
    <t>Justine Arnott 27:38</t>
  </si>
  <si>
    <t>East Coast Pk</t>
  </si>
  <si>
    <t>Natalie, Richard</t>
  </si>
  <si>
    <t>Santa Run</t>
  </si>
  <si>
    <t>and then to Liverpool</t>
  </si>
  <si>
    <t>Alternative icy conditions course</t>
  </si>
  <si>
    <t xml:space="preserve">Adrian </t>
  </si>
  <si>
    <t>run #413, 191st at Gunsbury</t>
  </si>
  <si>
    <t>Lee</t>
  </si>
  <si>
    <t>Jenkins</t>
  </si>
  <si>
    <t>out and back by River Taff</t>
  </si>
  <si>
    <t>Bernard Sexton joined on 18/12/2013.  He ran at Leamington on four occasions prior to joining, the first on 4/06/11, the fastest (20:12) on 11/06/11</t>
  </si>
  <si>
    <t>Preston (Lancs)</t>
  </si>
  <si>
    <t>Brian Bennett</t>
  </si>
  <si>
    <t>best ever parkrun age grade</t>
  </si>
  <si>
    <t>PK at Bushy Park</t>
  </si>
  <si>
    <t xml:space="preserve">run #3  </t>
  </si>
  <si>
    <t>park #60 (worldwide)</t>
  </si>
  <si>
    <t>pb, run #2</t>
  </si>
  <si>
    <t>run #196</t>
  </si>
  <si>
    <t>DY14 9XQ</t>
  </si>
  <si>
    <t>run #207</t>
  </si>
  <si>
    <t>Harrogate</t>
  </si>
  <si>
    <t>Hull</t>
  </si>
  <si>
    <t>Humber Bridge</t>
  </si>
  <si>
    <t>Chase the Place week 3</t>
  </si>
  <si>
    <t>Gunnersbury volunteer (lead bike)</t>
  </si>
  <si>
    <t>Mike</t>
  </si>
  <si>
    <t>Cherwell Valley (M40/A43)</t>
  </si>
  <si>
    <t>SG8 0BW</t>
  </si>
  <si>
    <t>run #125, park #89</t>
  </si>
  <si>
    <t>pb, Ealing Half tomorrow</t>
  </si>
  <si>
    <t xml:space="preserve">Kelly </t>
  </si>
  <si>
    <t>Winnings at Colby</t>
  </si>
  <si>
    <t>White</t>
  </si>
  <si>
    <t>Olympic Triathlete 2012</t>
  </si>
  <si>
    <t>record now down to 24:49</t>
  </si>
  <si>
    <t xml:space="preserve">run #9 </t>
  </si>
  <si>
    <t>2nd run at Havant</t>
  </si>
  <si>
    <t>run #52, park #6</t>
  </si>
  <si>
    <t>run #220</t>
  </si>
  <si>
    <t>run #159</t>
  </si>
  <si>
    <t>Harrow (run #2)</t>
  </si>
  <si>
    <t xml:space="preserve">Harrow  </t>
  </si>
  <si>
    <t>Portobello (Figgate Park)</t>
  </si>
  <si>
    <t>PBL</t>
  </si>
  <si>
    <t>Livonia, MI</t>
  </si>
  <si>
    <t>Mayerova</t>
  </si>
  <si>
    <t>Alice</t>
  </si>
  <si>
    <t>Banks</t>
  </si>
  <si>
    <t>run #1</t>
  </si>
  <si>
    <t>Alice Banks</t>
  </si>
  <si>
    <t>run #2, club course pb(F)</t>
  </si>
  <si>
    <t>Deby Helsdon</t>
  </si>
  <si>
    <t>Annette Knight</t>
  </si>
  <si>
    <t>run #53, 28th at Maidenhead</t>
  </si>
  <si>
    <t>Birkenhead</t>
  </si>
  <si>
    <t>run #24, 23rd at Harrow</t>
  </si>
  <si>
    <t>run #66, age cat record</t>
  </si>
  <si>
    <t>F1, BA park #240</t>
  </si>
  <si>
    <t>Gunnersbury 91 &amp; 21</t>
  </si>
  <si>
    <t>7.57 Picc train from Hammersmith</t>
  </si>
  <si>
    <t>record now down to 22:43</t>
  </si>
  <si>
    <t>result in doubt</t>
  </si>
  <si>
    <t>run#274</t>
  </si>
  <si>
    <t>Pennifold</t>
  </si>
  <si>
    <t>first run at Belton House</t>
  </si>
  <si>
    <t>Daneila Mayerova</t>
  </si>
  <si>
    <t>or Canada Water</t>
  </si>
  <si>
    <t>four new parks</t>
  </si>
  <si>
    <t>Steve Newell has run 29:00</t>
  </si>
  <si>
    <t xml:space="preserve">Vince </t>
  </si>
  <si>
    <t>run #324</t>
  </si>
  <si>
    <t>started 20/6/2015, two laps of reservoir, £2.50 car park (for parkrunners)</t>
  </si>
  <si>
    <t>record now down to 17:47</t>
  </si>
  <si>
    <t>run #83</t>
  </si>
  <si>
    <t>hill training for afters!</t>
  </si>
  <si>
    <t>pb, MK marathon on Monday</t>
  </si>
  <si>
    <t>Orpington Station</t>
  </si>
  <si>
    <t>Strathclyde</t>
  </si>
  <si>
    <t>(no bike)</t>
  </si>
  <si>
    <t>148th/245</t>
  </si>
  <si>
    <t>23rd/320</t>
  </si>
  <si>
    <t>337th/437</t>
  </si>
  <si>
    <t>154th/417</t>
  </si>
  <si>
    <t>improved her own record by a minute!</t>
  </si>
  <si>
    <t>Mick</t>
  </si>
  <si>
    <t>run #22</t>
  </si>
  <si>
    <t>run #5, pb</t>
  </si>
  <si>
    <t xml:space="preserve">Ian Cunningham 250 </t>
  </si>
  <si>
    <t>Roderick at Gedling (#197)</t>
  </si>
  <si>
    <t>best ever WAVA% at parkrun</t>
  </si>
  <si>
    <t>4th time at Northala Fields</t>
  </si>
  <si>
    <t>Falkirk (Callendar Park)</t>
  </si>
  <si>
    <t>Geoffrey Currell</t>
  </si>
  <si>
    <t>with Roderick from Concorde Club</t>
  </si>
  <si>
    <t>Alice Holt</t>
  </si>
  <si>
    <t>tail marshall</t>
  </si>
  <si>
    <t>barcode scanner</t>
  </si>
  <si>
    <t>Club parkrun - 2 Feb 2013</t>
  </si>
  <si>
    <t>Club run May 2012</t>
  </si>
  <si>
    <t>Alice Holt Forest (Farnham,Sy)</t>
  </si>
  <si>
    <t>Liverpool (Princes)</t>
  </si>
  <si>
    <t>Roderick in Dublin</t>
  </si>
  <si>
    <t>Dublin St Anne's</t>
  </si>
  <si>
    <t>run #271, 217th at Reading</t>
  </si>
  <si>
    <t>Gedling Country Park (Nottingham)</t>
  </si>
  <si>
    <t>CLW</t>
  </si>
  <si>
    <t>Clermont Waterfront (Florida)</t>
  </si>
  <si>
    <t>NR26 8TL</t>
  </si>
  <si>
    <t>FTL</t>
  </si>
  <si>
    <t>SHM</t>
  </si>
  <si>
    <t>beat previous record by over 10 minutes!</t>
  </si>
  <si>
    <t>15th run at Bedfont</t>
  </si>
  <si>
    <t>100th run at Reading</t>
  </si>
  <si>
    <t>98th run at Bushy</t>
  </si>
  <si>
    <t>pb (yet again)</t>
  </si>
  <si>
    <t>run #116, 105th run at BL</t>
  </si>
  <si>
    <t>District Line ok</t>
  </si>
  <si>
    <t xml:space="preserve">Benita </t>
  </si>
  <si>
    <t>Fell Foot</t>
  </si>
  <si>
    <t>Fell Foot (Windermere)</t>
  </si>
  <si>
    <t>FFO</t>
  </si>
  <si>
    <t>run #322</t>
  </si>
  <si>
    <t>Caroline Cockram 24:01</t>
  </si>
  <si>
    <t>RH Ipswich</t>
  </si>
  <si>
    <r>
      <t>I</t>
    </r>
    <r>
      <rPr>
        <sz val="10"/>
        <rFont val="Arial"/>
        <family val="2"/>
      </rPr>
      <t>pswich (Chantry Park)</t>
    </r>
  </si>
  <si>
    <t>Tony down to 29:27</t>
  </si>
  <si>
    <t>SW16 1RT</t>
  </si>
  <si>
    <t>G'bury (V)</t>
  </si>
  <si>
    <t>Hanley (Stoke-on-Trent)</t>
  </si>
  <si>
    <t>Volunteer</t>
  </si>
  <si>
    <t>Gunsbury(v)</t>
  </si>
  <si>
    <t>Harrow-on-the-Hill station</t>
  </si>
  <si>
    <t>HA1 1AA</t>
  </si>
  <si>
    <t>Great Notley</t>
  </si>
  <si>
    <t>run #50, BA park #113</t>
  </si>
  <si>
    <t>BA female course record</t>
  </si>
  <si>
    <t>started 21 June 2014</t>
  </si>
  <si>
    <t>GNL</t>
  </si>
  <si>
    <t>Fleming</t>
  </si>
  <si>
    <t>South Manchester</t>
  </si>
  <si>
    <t>Scott Davison</t>
  </si>
  <si>
    <t>Bedfont</t>
  </si>
  <si>
    <t>Black Pk</t>
  </si>
  <si>
    <t>first parkrun for 17 months</t>
  </si>
  <si>
    <t>run #133, 90th at Bedfont</t>
  </si>
  <si>
    <t>run #135, 87th at Bedfont</t>
  </si>
  <si>
    <t>week 6</t>
  </si>
  <si>
    <t>7.31 H&amp;C train to Baker Street, 7.57 Met Line to Watford (arr 8.38), then walk</t>
  </si>
  <si>
    <t>bestever agegrade score</t>
  </si>
  <si>
    <t>much better than Wednesday</t>
  </si>
  <si>
    <t>best 2015 age grade</t>
  </si>
  <si>
    <t>best Yeovil agegrade score</t>
  </si>
  <si>
    <t>3 more seconds off!</t>
  </si>
  <si>
    <t>run #9</t>
  </si>
  <si>
    <t>Ecos</t>
  </si>
  <si>
    <t>Roderick, Steve</t>
  </si>
  <si>
    <t>then a gentle stroll</t>
  </si>
  <si>
    <t>not many contours !</t>
  </si>
  <si>
    <t>kms by road</t>
  </si>
  <si>
    <t>Overground ok</t>
  </si>
  <si>
    <t>run #241, 155th at Bedfont</t>
  </si>
  <si>
    <t>1st run at Exeter, run #143</t>
  </si>
  <si>
    <t>run #257, 220th at Bushy</t>
  </si>
  <si>
    <t>best parkrun since April 2016</t>
  </si>
  <si>
    <t>parkrun pb, 200th at Bedfont</t>
  </si>
  <si>
    <t>run #420, 197th at Gunnersbury</t>
  </si>
  <si>
    <t>Dodsworths at Southport</t>
  </si>
  <si>
    <t>run #145 plus pre-event set-up</t>
  </si>
  <si>
    <t>run#40</t>
  </si>
  <si>
    <t>run#66</t>
  </si>
  <si>
    <t>Amager Strand</t>
  </si>
  <si>
    <t>WV1 4PN</t>
  </si>
  <si>
    <t>4th, course pb</t>
  </si>
  <si>
    <t xml:space="preserve">Dave </t>
  </si>
  <si>
    <t>Toddington Services could be useful (southbound not working 15 Mar 2016)</t>
  </si>
  <si>
    <r>
      <t>R</t>
    </r>
    <r>
      <rPr>
        <sz val="10"/>
        <rFont val="Arial"/>
        <family val="2"/>
      </rPr>
      <t>aphael (Romford)</t>
    </r>
  </si>
  <si>
    <t>Root 44 (Western Cape)</t>
  </si>
  <si>
    <r>
      <t>W</t>
    </r>
    <r>
      <rPr>
        <sz val="10"/>
        <rFont val="Arial"/>
        <family val="2"/>
      </rPr>
      <t>alsall Arboretum</t>
    </r>
  </si>
  <si>
    <t>Royal Tunbridge Wells</t>
  </si>
  <si>
    <t>TN2 3QN</t>
  </si>
  <si>
    <t>Yeovil</t>
  </si>
  <si>
    <t>Sinton Hewitt</t>
  </si>
  <si>
    <t>course pb, run #245</t>
  </si>
  <si>
    <t>pb for Daniel Clark at Bedfont</t>
  </si>
  <si>
    <t>Arrow Valley (Redditch)</t>
  </si>
  <si>
    <t>B98 0LJ</t>
  </si>
  <si>
    <t>Cannon Hill (Edgbaston)</t>
  </si>
  <si>
    <t>B5 7QU</t>
  </si>
  <si>
    <t xml:space="preserve">1 lap </t>
  </si>
  <si>
    <t>run #263</t>
  </si>
  <si>
    <t>first run at St Albans</t>
  </si>
  <si>
    <t>WRR</t>
  </si>
  <si>
    <t>WRB</t>
  </si>
  <si>
    <t>Martin</t>
  </si>
  <si>
    <t>Connor</t>
  </si>
  <si>
    <t>Albert Middlesbrough</t>
  </si>
  <si>
    <t>run#53</t>
  </si>
  <si>
    <t>NR6 7DB</t>
  </si>
  <si>
    <t>Catton (Norwich)</t>
  </si>
  <si>
    <t>North Beach (Durban, RSA)</t>
  </si>
  <si>
    <t>NBZ</t>
  </si>
  <si>
    <t>BA park #109</t>
  </si>
  <si>
    <t>run #47, park #20, BApk #107</t>
  </si>
  <si>
    <t>run #301</t>
  </si>
  <si>
    <t>Hills</t>
  </si>
  <si>
    <t>Surrey League</t>
  </si>
  <si>
    <t>Thomas Reynolds</t>
  </si>
  <si>
    <t>Aylesbury (Quarrington Community Ctr)</t>
  </si>
  <si>
    <t>Wimpole Est</t>
  </si>
  <si>
    <t>new BA park</t>
  </si>
  <si>
    <t>74th/104</t>
  </si>
  <si>
    <t>first result in !</t>
  </si>
  <si>
    <t>PAN</t>
  </si>
  <si>
    <t>EX5 3LE</t>
  </si>
  <si>
    <t>Caroline Cockram  (associate member) is also a member of Runnymede Runners</t>
  </si>
  <si>
    <t>Ian Cockram  (associate member) is also a member of Runnymede Runners</t>
  </si>
  <si>
    <t>31' pacer</t>
  </si>
  <si>
    <t>Burnham&amp;Highbridge (Apex Park)</t>
  </si>
  <si>
    <t>100th parkrun</t>
  </si>
  <si>
    <t>run #320</t>
  </si>
  <si>
    <t>park #80, BA park #120</t>
  </si>
  <si>
    <t>IP29 5LU</t>
  </si>
  <si>
    <t>two laps, carpark £1</t>
  </si>
  <si>
    <t>volunteer cooordinator</t>
  </si>
  <si>
    <t>Camperdown (Dundee)</t>
  </si>
  <si>
    <t>Eglingon</t>
  </si>
  <si>
    <t>run #231</t>
  </si>
  <si>
    <t>469th/659</t>
  </si>
  <si>
    <t>37th out of 69</t>
  </si>
  <si>
    <t>Walk from Elmfield Ave</t>
  </si>
  <si>
    <t>St Albans parkrun</t>
  </si>
  <si>
    <t>9 miles by road</t>
  </si>
  <si>
    <t>Parramatta, Ormeau</t>
  </si>
  <si>
    <t>BA park #178</t>
  </si>
  <si>
    <t>BA XC Champs 1030 Cranford Pk SUNDAY</t>
  </si>
  <si>
    <t>Southwark (54,22)</t>
  </si>
  <si>
    <t>ASH</t>
  </si>
  <si>
    <t>Ashford (Kent)</t>
  </si>
  <si>
    <t>TN24 0PS</t>
  </si>
  <si>
    <t>3 + 1 runners</t>
  </si>
  <si>
    <t>38' pacer, run #249</t>
  </si>
  <si>
    <t>run#99, BA park #96</t>
  </si>
  <si>
    <t>parks total 35</t>
  </si>
  <si>
    <t>run #358</t>
  </si>
  <si>
    <t>32' pacer mentor ?</t>
  </si>
  <si>
    <t>Queen Eliz CP</t>
  </si>
  <si>
    <t>seriously hilly</t>
  </si>
  <si>
    <t>BA park #189</t>
  </si>
  <si>
    <t>B&amp;H</t>
  </si>
  <si>
    <t>TA8 1LT</t>
  </si>
  <si>
    <t>Time a bit suspect</t>
  </si>
  <si>
    <t>Julie Barclay 21:17</t>
  </si>
  <si>
    <t>Saturday timetables</t>
  </si>
  <si>
    <t>Dublin - St Anne's</t>
  </si>
  <si>
    <t>run #8</t>
  </si>
  <si>
    <t>run #70</t>
  </si>
  <si>
    <t>new member ? Run #1</t>
  </si>
  <si>
    <t>daughter of member</t>
  </si>
  <si>
    <t>RH2 7RL</t>
  </si>
  <si>
    <t>M-8, run #108</t>
  </si>
  <si>
    <t>8th/141</t>
  </si>
  <si>
    <t>run #395</t>
  </si>
  <si>
    <t>run #97, 39th run at Wycombe</t>
  </si>
  <si>
    <t>park #140</t>
  </si>
  <si>
    <t>Bracknell (71)</t>
  </si>
  <si>
    <t>Ellenbrook</t>
  </si>
  <si>
    <t xml:space="preserve">run #158, 5th run at Bushy </t>
  </si>
  <si>
    <t>run #489</t>
  </si>
  <si>
    <t>run #144</t>
  </si>
  <si>
    <t xml:space="preserve">Tony </t>
  </si>
  <si>
    <t>park #70. BA park #=250</t>
  </si>
  <si>
    <t>BApark #=250</t>
  </si>
  <si>
    <t>BApark #=250 (inaugural)</t>
  </si>
  <si>
    <t>M-1, BApark #=250</t>
  </si>
  <si>
    <t>run #264, 248th at Black Park</t>
  </si>
  <si>
    <t>run #102, 45th at Black Park</t>
  </si>
  <si>
    <t>run #48, 30th at Black Park</t>
  </si>
  <si>
    <t>run #130, 96th at Gunnersbury</t>
  </si>
  <si>
    <t>run #406</t>
  </si>
  <si>
    <t>NWN</t>
  </si>
  <si>
    <t>run #2, pb</t>
  </si>
  <si>
    <t>run #7, pb</t>
  </si>
  <si>
    <t>run #41, 18th at Maidenhead</t>
  </si>
  <si>
    <t>run #95, 6th at Cassiobury</t>
  </si>
  <si>
    <t>run #28, 1st run at Norwich</t>
  </si>
  <si>
    <t>J Scaife at Norwich</t>
  </si>
  <si>
    <t>Club parkrun 26th May 2012</t>
  </si>
  <si>
    <t>UPT</t>
  </si>
  <si>
    <t>Upton Court (Slough)</t>
  </si>
  <si>
    <t>Upton Court (Langley/Slough)</t>
  </si>
  <si>
    <t>Gunnersbury 78</t>
  </si>
  <si>
    <t>804th/1104</t>
  </si>
  <si>
    <t>24th/148</t>
  </si>
  <si>
    <t>park #31, BApark #147</t>
  </si>
  <si>
    <t>TQ13 9JQ</t>
  </si>
  <si>
    <t>SS13 1SD</t>
  </si>
  <si>
    <t>5 miles south of Norwich</t>
  </si>
  <si>
    <t>Norwich (Eaton Park)</t>
  </si>
  <si>
    <t>3.5 laps</t>
  </si>
  <si>
    <t>NR4 7AX</t>
  </si>
  <si>
    <t>MUL</t>
  </si>
  <si>
    <t>NOW</t>
  </si>
  <si>
    <t>Clair (HH)</t>
  </si>
  <si>
    <t>Ian</t>
  </si>
  <si>
    <t>Started on 16th August 2014</t>
  </si>
  <si>
    <t>best time since 2011 !</t>
  </si>
  <si>
    <t>BA course record</t>
  </si>
  <si>
    <t>15th run at Gunnersbury</t>
  </si>
  <si>
    <t>159th run at Gunnersbury</t>
  </si>
  <si>
    <t>run #13</t>
  </si>
  <si>
    <t>run #32</t>
  </si>
  <si>
    <t>run #57</t>
  </si>
  <si>
    <t>FY8 4JX</t>
  </si>
  <si>
    <t>will start 28 November 2015</t>
  </si>
  <si>
    <t>christmas run</t>
  </si>
  <si>
    <r>
      <t>C</t>
    </r>
    <r>
      <rPr>
        <sz val="10"/>
        <rFont val="Arial"/>
        <family val="2"/>
      </rPr>
      <t>ambridge (Milton Park)</t>
    </r>
  </si>
  <si>
    <t>Brighouse</t>
  </si>
  <si>
    <t>HD6 4AF</t>
  </si>
  <si>
    <t>under 31</t>
  </si>
  <si>
    <t>under 32</t>
  </si>
  <si>
    <t>under 33</t>
  </si>
  <si>
    <t>Gunnersbury 84</t>
  </si>
  <si>
    <t>Chase the Place week 7</t>
  </si>
  <si>
    <t>Southsea</t>
  </si>
  <si>
    <t>parkrun pb, BA park#80</t>
  </si>
  <si>
    <t>Mostly on paths, quite hilly</t>
  </si>
  <si>
    <t>Pretty flat, can be muddy</t>
  </si>
  <si>
    <t>Walthamstow (Highams Park)</t>
  </si>
  <si>
    <t>Some places very muddy</t>
  </si>
  <si>
    <t>Stather</t>
  </si>
  <si>
    <t>Paul</t>
  </si>
  <si>
    <t>Knechtl</t>
  </si>
  <si>
    <t>Jeremy Short 18:42</t>
  </si>
  <si>
    <t>Elsa</t>
  </si>
  <si>
    <t>Curran</t>
  </si>
  <si>
    <t>Wargrave Harriers</t>
  </si>
  <si>
    <t>Judy</t>
  </si>
  <si>
    <t>Joan</t>
  </si>
  <si>
    <t>James</t>
  </si>
  <si>
    <t>run #37</t>
  </si>
  <si>
    <t>50th/90, first 2015 parkrun</t>
  </si>
  <si>
    <t>107th/223</t>
  </si>
  <si>
    <t>28th/155</t>
  </si>
  <si>
    <t>6th/99</t>
  </si>
  <si>
    <t>first run since June 2014</t>
  </si>
  <si>
    <t>Planned volunteering</t>
  </si>
  <si>
    <t>WV55-59</t>
  </si>
  <si>
    <t>Caroline Yarnell</t>
  </si>
  <si>
    <t>next 25:05</t>
  </si>
  <si>
    <t>Caroline Yarnell 23:13</t>
  </si>
  <si>
    <t>pb (as usual)</t>
  </si>
  <si>
    <t>run #369</t>
  </si>
  <si>
    <t>park #64, BA park #188</t>
  </si>
  <si>
    <t>BA park #187</t>
  </si>
  <si>
    <t>Jasver Singh-Modaher</t>
  </si>
  <si>
    <t>Stephen Warner</t>
  </si>
  <si>
    <t>John Williams</t>
  </si>
  <si>
    <t>Scaifes at Panania</t>
  </si>
  <si>
    <t>F-1, course record, park #41</t>
  </si>
  <si>
    <t>BA park #231</t>
  </si>
  <si>
    <t>Halloween mask!</t>
  </si>
  <si>
    <t>KYN</t>
  </si>
  <si>
    <t>PE30 5NG</t>
  </si>
  <si>
    <t>NE26 1SZ</t>
  </si>
  <si>
    <t>WHB</t>
  </si>
  <si>
    <t>Barry W</t>
  </si>
  <si>
    <t>Dodsworths at Ripon</t>
  </si>
  <si>
    <t>10th run at Crane Park</t>
  </si>
  <si>
    <t>7th run at Crane Park</t>
  </si>
  <si>
    <r>
      <t>I</t>
    </r>
    <r>
      <rPr>
        <sz val="10"/>
        <rFont val="Arial"/>
        <family val="2"/>
      </rPr>
      <t>sle of Wight (Medina)</t>
    </r>
  </si>
  <si>
    <t>112th run at Bedfont Lakes</t>
  </si>
  <si>
    <t>191st run at Bedfont Lakes</t>
  </si>
  <si>
    <t>week 2</t>
  </si>
  <si>
    <t>week 3</t>
  </si>
  <si>
    <t>record now down to 18:57</t>
  </si>
  <si>
    <t>HU8 8JU</t>
  </si>
  <si>
    <t>2+ laps</t>
  </si>
  <si>
    <t>Nottinghamshire</t>
  </si>
  <si>
    <t>Shropshire</t>
  </si>
  <si>
    <t>Staffordshire</t>
  </si>
  <si>
    <t>Leicestershire</t>
  </si>
  <si>
    <t>Rutland</t>
  </si>
  <si>
    <t>Cambridgeshire</t>
  </si>
  <si>
    <t>East Herts</t>
  </si>
  <si>
    <t>St Albans - Herts</t>
  </si>
  <si>
    <t>Dacorum - Herts</t>
  </si>
  <si>
    <t>Cobham Services could be useful</t>
  </si>
  <si>
    <t>275th parkrun</t>
  </si>
  <si>
    <t>canine assistance?</t>
  </si>
  <si>
    <t>RUT</t>
  </si>
  <si>
    <t>Rutland Water</t>
  </si>
  <si>
    <t>tokens</t>
  </si>
  <si>
    <t>1 x wee hill</t>
  </si>
  <si>
    <t>Gunnersbury (volunteer)</t>
  </si>
  <si>
    <t>WAN</t>
  </si>
  <si>
    <t>BEC</t>
  </si>
  <si>
    <t>GRW</t>
  </si>
  <si>
    <t>VAL</t>
  </si>
  <si>
    <t>BAR</t>
  </si>
  <si>
    <t>Lancaster (Williamson Park)</t>
  </si>
  <si>
    <t>start date 9 Jan 2016</t>
  </si>
  <si>
    <t>EH54 7DN</t>
  </si>
  <si>
    <t>Livingston (Almondvale Park)</t>
  </si>
  <si>
    <t>LAP</t>
  </si>
  <si>
    <t>LAC</t>
  </si>
  <si>
    <t>4 laps</t>
  </si>
  <si>
    <t>5th in alltime  agegroup list out of 108</t>
  </si>
  <si>
    <t>Lloyd</t>
  </si>
  <si>
    <t>SL3 7LT</t>
  </si>
  <si>
    <t>M25 2GT</t>
  </si>
  <si>
    <t>HEA</t>
  </si>
  <si>
    <t xml:space="preserve">parkrun UK </t>
  </si>
  <si>
    <t>Saturdays only</t>
  </si>
  <si>
    <t xml:space="preserve">0746 train from Barnes Bridge to Clapham, East Croydon, then tram </t>
  </si>
  <si>
    <t>Triathlon World Championship Hyde Park</t>
  </si>
  <si>
    <t>Parramatta (Sydney)</t>
  </si>
  <si>
    <t>RIP</t>
  </si>
  <si>
    <t>Inaugural 26 January  2013, mostly on grass, can be very muddy</t>
  </si>
  <si>
    <t>Club run 2 Feb13</t>
  </si>
  <si>
    <t>All on tarmac paths</t>
  </si>
  <si>
    <t>run #63, F-1</t>
  </si>
  <si>
    <t>run #216, park #40</t>
  </si>
  <si>
    <t>Rex Toop</t>
  </si>
  <si>
    <t>0746 District Line from Hammersmith to Victoria, 0810 Orpington train from Victoria to Herne Hill</t>
  </si>
  <si>
    <t>park #96</t>
  </si>
  <si>
    <t>park #50, Lon Bor #28/28</t>
  </si>
  <si>
    <t>Fulham Palace (inaugural) (23)</t>
  </si>
  <si>
    <t>Cunningham</t>
  </si>
  <si>
    <t>Lydney UK</t>
  </si>
  <si>
    <t>starts 2nd January 2016</t>
  </si>
  <si>
    <t>GL16 7JT</t>
  </si>
  <si>
    <t>Forest of Dean (near Coleford)</t>
  </si>
  <si>
    <t>LYD</t>
  </si>
  <si>
    <t>FOD</t>
  </si>
  <si>
    <t>GL15 5RH</t>
  </si>
  <si>
    <t>Fletchers Cove (Washington DC)</t>
  </si>
  <si>
    <t>FCO</t>
  </si>
  <si>
    <t>out and back along Chesapeake &amp; Ohio canal towpath - flat</t>
  </si>
  <si>
    <t xml:space="preserve">Valentines </t>
  </si>
  <si>
    <t xml:space="preserve">Woodley </t>
  </si>
  <si>
    <t>SL3 6DS</t>
  </si>
  <si>
    <t>Wormwood Scrubs (White City/ E Acton)</t>
  </si>
  <si>
    <t xml:space="preserve">Bushy </t>
  </si>
  <si>
    <t>failed</t>
  </si>
  <si>
    <t>attempts</t>
  </si>
  <si>
    <t>Helen Smith at Guildford</t>
  </si>
  <si>
    <t>run #385</t>
  </si>
  <si>
    <t>Fielding</t>
  </si>
  <si>
    <t>Ian Cockram 23:09</t>
  </si>
  <si>
    <t>F-3, run #187</t>
  </si>
  <si>
    <t>best parkrun WAVA %</t>
  </si>
  <si>
    <t>Fletcher</t>
  </si>
  <si>
    <t>PNA</t>
  </si>
  <si>
    <t>Clermont W'front</t>
  </si>
  <si>
    <t>F-2</t>
  </si>
  <si>
    <t>out and back along railway path</t>
  </si>
  <si>
    <t>Pennington Flash (Leigh)</t>
  </si>
  <si>
    <t>WN7 4JY</t>
  </si>
  <si>
    <t>pb, club course record</t>
  </si>
  <si>
    <t>scanner</t>
  </si>
  <si>
    <t>Gunnersbury 69</t>
  </si>
  <si>
    <t>HOR</t>
  </si>
  <si>
    <t>started 26 July 2014</t>
  </si>
  <si>
    <t>Reigate Priory (outside M25)</t>
  </si>
  <si>
    <t>Lullingstone</t>
  </si>
  <si>
    <t>5.25 laps, inclines</t>
  </si>
  <si>
    <t>1min better than last week</t>
  </si>
  <si>
    <t>37' pacer</t>
  </si>
  <si>
    <t xml:space="preserve">Piers </t>
  </si>
  <si>
    <t>Welwyn Hatfield</t>
  </si>
  <si>
    <t>Gunnersbury 90</t>
  </si>
  <si>
    <t>Enfield</t>
  </si>
  <si>
    <t>Newham</t>
  </si>
  <si>
    <t>Redbridge</t>
  </si>
  <si>
    <t>Clubrun at Bedfont</t>
  </si>
  <si>
    <t>PRB</t>
  </si>
  <si>
    <t>Terry Vaughan</t>
  </si>
  <si>
    <t>starts 14th May 2016</t>
  </si>
  <si>
    <t>Fountains Abbey</t>
  </si>
  <si>
    <t>Edinburgh (Cramond)</t>
  </si>
  <si>
    <t>run #211, 13th/271</t>
  </si>
  <si>
    <t>V70 pb</t>
  </si>
  <si>
    <t>Becky</t>
  </si>
  <si>
    <t>Thurtell</t>
  </si>
  <si>
    <t>Dartford Train to Welling from Waterloo East (0805)</t>
  </si>
  <si>
    <t>cycle over footbridge over River Lea</t>
  </si>
  <si>
    <t>at 25 Jan 2014</t>
  </si>
  <si>
    <t>Wolverhampton</t>
  </si>
  <si>
    <t>BA park #153</t>
  </si>
  <si>
    <t>BApark #154</t>
  </si>
  <si>
    <t>SPT</t>
  </si>
  <si>
    <t>Gatwick</t>
  </si>
  <si>
    <t>Manchester</t>
  </si>
  <si>
    <t>former member</t>
  </si>
  <si>
    <t>contractor</t>
  </si>
  <si>
    <t>junior</t>
  </si>
  <si>
    <t>Bere Island</t>
  </si>
  <si>
    <t>Knocknacarra</t>
  </si>
  <si>
    <t>3rd / 234</t>
  </si>
  <si>
    <t>1.9 laps</t>
  </si>
  <si>
    <t>Plym Valley</t>
  </si>
  <si>
    <t>Penrose</t>
  </si>
  <si>
    <t>Daniela at Ashton Court</t>
  </si>
  <si>
    <t>0724 train from Hammersmith</t>
  </si>
  <si>
    <t>run #100</t>
  </si>
  <si>
    <t>timekeeping</t>
  </si>
  <si>
    <t>GreenBelt</t>
  </si>
  <si>
    <t>BA park #106</t>
  </si>
  <si>
    <t>by car</t>
  </si>
  <si>
    <t>started 3rd May 2014</t>
  </si>
  <si>
    <t>Relay</t>
  </si>
  <si>
    <t>CRY</t>
  </si>
  <si>
    <t>CO15 1BW</t>
  </si>
  <si>
    <t>Alan Anderson 80th birthday run</t>
  </si>
  <si>
    <t>Victoria Line Northbound</t>
  </si>
  <si>
    <t xml:space="preserve">Finsbury Park </t>
  </si>
  <si>
    <t>13 mins</t>
  </si>
  <si>
    <t>Seven Sisters</t>
  </si>
  <si>
    <t>17 minutes</t>
  </si>
  <si>
    <t>frequency</t>
  </si>
  <si>
    <t>33' pacer mentor</t>
  </si>
  <si>
    <t>and volunteering too</t>
  </si>
  <si>
    <t>Albert Middle'bro</t>
  </si>
  <si>
    <t>Watford (Cassiobury Park)</t>
  </si>
  <si>
    <t>park #171,Bapark #292</t>
  </si>
  <si>
    <t>BA park #293</t>
  </si>
  <si>
    <t>new parkrun in Australia</t>
  </si>
  <si>
    <t>run #145, 2016 parkrun sb</t>
  </si>
  <si>
    <t>park #180</t>
  </si>
  <si>
    <t>GAL</t>
  </si>
  <si>
    <t>Galston (New South Wales)</t>
  </si>
  <si>
    <t>Italy</t>
  </si>
  <si>
    <t>MLN</t>
  </si>
  <si>
    <t>Milano Nord</t>
  </si>
  <si>
    <t>Galston, Milan, Homewood</t>
  </si>
  <si>
    <t>Gunnersbury96(anniv)</t>
  </si>
  <si>
    <t>Beckenham</t>
  </si>
  <si>
    <t>first run at Richmond</t>
  </si>
  <si>
    <t>4th park in four weeks, run #30</t>
  </si>
  <si>
    <t>Cowell</t>
  </si>
  <si>
    <t>pre-event setup</t>
  </si>
  <si>
    <t>Stuart</t>
  </si>
  <si>
    <t>Hayes</t>
  </si>
  <si>
    <t>started 5/4/14</t>
  </si>
  <si>
    <t>started 5/4/14, 3 laps</t>
  </si>
  <si>
    <t>Windsor, Slough, Eton &amp; Hounslow</t>
  </si>
  <si>
    <t>Woking AC</t>
  </si>
  <si>
    <t>Westbrook</t>
  </si>
  <si>
    <t>Gill</t>
  </si>
  <si>
    <t>age cat record MV75</t>
  </si>
  <si>
    <t>Linda</t>
  </si>
  <si>
    <t>Derek</t>
  </si>
  <si>
    <t>Baker</t>
  </si>
  <si>
    <t>run #112</t>
  </si>
  <si>
    <t>RH at Livonia (USA)</t>
  </si>
  <si>
    <t>Barry Curtis (Auckland)</t>
  </si>
  <si>
    <t>Cornwall Park (Auckland)</t>
  </si>
  <si>
    <t>Western Springs (Auckland)</t>
  </si>
  <si>
    <t>Millwater (Auckland)</t>
  </si>
  <si>
    <t>Kapiti Coast (Wellington)</t>
  </si>
  <si>
    <t>Lower Hutt (Wellington)</t>
  </si>
  <si>
    <t>London Borough #26/28</t>
  </si>
  <si>
    <t>or</t>
  </si>
  <si>
    <t>run#45</t>
  </si>
  <si>
    <t>CW8 2JD</t>
  </si>
  <si>
    <t>Paul Timms 22:40</t>
  </si>
  <si>
    <t>Moscow area</t>
  </si>
  <si>
    <t>Severnoe Tushino</t>
  </si>
  <si>
    <t>Yeovil Montacute</t>
  </si>
  <si>
    <t>YEO</t>
  </si>
  <si>
    <t>TA15 6XP</t>
  </si>
  <si>
    <t>RTW</t>
  </si>
  <si>
    <t>7.29 to CLJ, East Grinstead train to Upper Warlingham with bike</t>
  </si>
  <si>
    <t>46th different venue</t>
  </si>
  <si>
    <t>Gun'sbury</t>
  </si>
  <si>
    <t>equals course pb</t>
  </si>
  <si>
    <t>Hammersmith 7.25</t>
  </si>
  <si>
    <t>7.29 Train to Clapham, East Croydon,(towards Tattenham Corner) to Chipstead arr 0827 then walk a mile, return train 1003</t>
  </si>
  <si>
    <t>back-up timer</t>
  </si>
  <si>
    <t>Natalie at Croxteth</t>
  </si>
  <si>
    <t>3rd run at Wycombe Rye</t>
  </si>
  <si>
    <t>4th run at Wycombe</t>
  </si>
  <si>
    <t>45th run at Wycombe</t>
  </si>
  <si>
    <t>run #43, first of 2016</t>
  </si>
  <si>
    <t>first run at Cranleigh</t>
  </si>
  <si>
    <t>Ian Cockram</t>
  </si>
  <si>
    <t>229th run at Reading</t>
  </si>
  <si>
    <t>run #275</t>
  </si>
  <si>
    <t>110th run at Bedfont Lakes</t>
  </si>
  <si>
    <t>run #199, best this year</t>
  </si>
  <si>
    <t>run #80, best this year</t>
  </si>
  <si>
    <t>run #65, course pb</t>
  </si>
  <si>
    <t>1st run at Buckingham</t>
  </si>
  <si>
    <t>Surrey League (Richmond Park)</t>
  </si>
  <si>
    <t>Dodsworth</t>
  </si>
  <si>
    <t>QE Country Park</t>
  </si>
  <si>
    <t>run #27, park #8</t>
  </si>
  <si>
    <t>run #52, club record</t>
  </si>
  <si>
    <t>run #128</t>
  </si>
  <si>
    <t>Figure of 8 plus one big loop, undulating</t>
  </si>
  <si>
    <t>BA park #176</t>
  </si>
  <si>
    <t>Crissy Field (SFO)</t>
  </si>
  <si>
    <t>Crissy Field(SFO)</t>
  </si>
  <si>
    <t>BBP</t>
  </si>
  <si>
    <t>run #18</t>
  </si>
  <si>
    <t>WV50-54</t>
  </si>
  <si>
    <t>EX2 8DU</t>
  </si>
  <si>
    <t>EXE</t>
  </si>
  <si>
    <t>just back from cruise</t>
  </si>
  <si>
    <t>Hadleigh (Essex)</t>
  </si>
  <si>
    <t>SS7 2PP</t>
  </si>
  <si>
    <t>Wotton</t>
  </si>
  <si>
    <t>GL12 8JW</t>
  </si>
  <si>
    <t>WOT</t>
  </si>
  <si>
    <t>starts 22 Oct 16</t>
  </si>
  <si>
    <t>Sreeram</t>
  </si>
  <si>
    <t>Sethuraman</t>
  </si>
  <si>
    <t>Leads female points table</t>
  </si>
  <si>
    <t>run #238</t>
  </si>
  <si>
    <t>Gunnersbury 89</t>
  </si>
  <si>
    <t>Gunnersbury 93</t>
  </si>
  <si>
    <t>club record</t>
  </si>
  <si>
    <t>run #25</t>
  </si>
  <si>
    <t>run #146</t>
  </si>
  <si>
    <t>park #85, BA park #126</t>
  </si>
  <si>
    <t>3 laps, steep slopes. Tarmac &amp; grass</t>
  </si>
  <si>
    <t>Williams</t>
  </si>
  <si>
    <t>run #571, SM30-34</t>
  </si>
  <si>
    <t>Ilford AC, MV75-79</t>
  </si>
  <si>
    <t xml:space="preserve"> 7.34 am Overground to Blackhorse Road, then bike</t>
  </si>
  <si>
    <t>E17 4HR</t>
  </si>
  <si>
    <t>parkrun.au pb, park#65</t>
  </si>
  <si>
    <t>Jonathan</t>
  </si>
  <si>
    <t>Cox</t>
  </si>
  <si>
    <t>WD18 7HY</t>
  </si>
  <si>
    <t>Richard, Roderick</t>
  </si>
  <si>
    <t>100=</t>
  </si>
  <si>
    <t>Chase the Place week 8</t>
  </si>
  <si>
    <t>Claire</t>
  </si>
  <si>
    <t>BA park #84</t>
  </si>
  <si>
    <t>Reading(v)</t>
  </si>
  <si>
    <t>Vince</t>
  </si>
  <si>
    <t>Richard at Southwick</t>
  </si>
  <si>
    <t>x1- Roderick Hoffman</t>
  </si>
  <si>
    <t>record now down to 22:17</t>
  </si>
  <si>
    <t>Keith Spacie</t>
  </si>
  <si>
    <t>Chris Ford</t>
  </si>
  <si>
    <t>run #34, first parkrun this year</t>
  </si>
  <si>
    <t>tail runner (43:20), "run" #85</t>
  </si>
  <si>
    <t>pacer ?</t>
  </si>
  <si>
    <t>5th/99</t>
  </si>
  <si>
    <t>Roundhay</t>
  </si>
  <si>
    <t>Croxteth Hall</t>
  </si>
  <si>
    <r>
      <t>G</t>
    </r>
    <r>
      <rPr>
        <sz val="10"/>
        <rFont val="Arial"/>
        <family val="2"/>
      </rPr>
      <t>adebridge (Hemel Hempstead)</t>
    </r>
  </si>
  <si>
    <t>Poland run#2</t>
  </si>
  <si>
    <t>Cooks River</t>
  </si>
  <si>
    <t>Surrey League (Oxshott)</t>
  </si>
  <si>
    <t>only 10 miles beyond Loughborough</t>
  </si>
  <si>
    <t>Dublin</t>
  </si>
  <si>
    <t>52 miles to Evesham parkrun</t>
  </si>
  <si>
    <t>club course rec (F)</t>
  </si>
  <si>
    <t>97th run at Bushy</t>
  </si>
  <si>
    <t>98th run at Reading</t>
  </si>
  <si>
    <t>run #128, 70th at Bushy Park</t>
  </si>
  <si>
    <t>Krakov</t>
  </si>
  <si>
    <t>Folkstone</t>
  </si>
  <si>
    <t>Lee on Solent</t>
  </si>
  <si>
    <t>Preston Park</t>
  </si>
  <si>
    <t>ME14 3AU</t>
  </si>
  <si>
    <t>CT12 5JB</t>
  </si>
  <si>
    <t>18.00 - Hackney Marshes</t>
  </si>
  <si>
    <t>Richmond Park (60)</t>
  </si>
  <si>
    <t>David Duggan 26:44</t>
  </si>
  <si>
    <t>Lillydale Lake (Melbourne)</t>
  </si>
  <si>
    <t>Maribymong (Melbourne)</t>
  </si>
  <si>
    <t>run #230, 7th at Guildford</t>
  </si>
  <si>
    <t>Gunnersbury (46)</t>
  </si>
  <si>
    <t>Gunnersbury (47)</t>
  </si>
  <si>
    <t>Gunnersbury (48)</t>
  </si>
  <si>
    <t>Tony Hird</t>
  </si>
  <si>
    <t>Romford station</t>
  </si>
  <si>
    <t>RM1 1SX</t>
  </si>
  <si>
    <t>Roundshaw D</t>
  </si>
  <si>
    <t>best time this year</t>
  </si>
  <si>
    <t>best ever age grade score at Woking (after four weeks)</t>
  </si>
  <si>
    <t>next 27:24</t>
  </si>
  <si>
    <t>Warrington (Victoria Park)</t>
  </si>
  <si>
    <t>Wandsworth Town</t>
  </si>
  <si>
    <t>SW18 1SU</t>
  </si>
  <si>
    <t>Ganavan Sands (Oban)</t>
  </si>
  <si>
    <t>PA34 5TB</t>
  </si>
  <si>
    <t>will start 20th August 2016</t>
  </si>
  <si>
    <t>GAN</t>
  </si>
  <si>
    <t>Gareth</t>
  </si>
  <si>
    <t>Snook</t>
  </si>
  <si>
    <t>Bushy Pk</t>
  </si>
  <si>
    <t>Concorde "5" next day</t>
  </si>
  <si>
    <t>25 miles</t>
  </si>
  <si>
    <t>A406, A1</t>
  </si>
  <si>
    <t>Swanley Station</t>
  </si>
  <si>
    <t>BR8 7BY</t>
  </si>
  <si>
    <t>19th run at Harrow</t>
  </si>
  <si>
    <t>run #13, all at Harrow</t>
  </si>
  <si>
    <t>run #382</t>
  </si>
  <si>
    <t>sore back from Friday golfing</t>
  </si>
  <si>
    <t>3rd run at Kingston</t>
  </si>
  <si>
    <t>29th</t>
  </si>
  <si>
    <t>Harcourt Hill</t>
  </si>
  <si>
    <t>7.44  Overground train from Gunnersbury, Willesden - Carpenders Pk + bike</t>
  </si>
  <si>
    <t>run #117</t>
  </si>
  <si>
    <t>Finish token Support</t>
  </si>
  <si>
    <t>scanning</t>
  </si>
  <si>
    <t>and pre-event set up</t>
  </si>
  <si>
    <t>run #140, 128th at Bedfont</t>
  </si>
  <si>
    <t>pb by 30 seconds</t>
  </si>
  <si>
    <t>club course rec, park #73</t>
  </si>
  <si>
    <t>run #49, BA park #112</t>
  </si>
  <si>
    <t>CGT</t>
  </si>
  <si>
    <t>2 anticlockwise laps, flat</t>
  </si>
  <si>
    <t>starts 16 April</t>
  </si>
  <si>
    <t>best WAVA score at Black Park since 2009</t>
  </si>
  <si>
    <t>20th run at Black Park</t>
  </si>
  <si>
    <t>26th/104</t>
  </si>
  <si>
    <t>231st/360</t>
  </si>
  <si>
    <t>run #142, 120th at Crane Park</t>
  </si>
  <si>
    <t>four laps anticlockwise</t>
  </si>
  <si>
    <t>car park £2</t>
  </si>
  <si>
    <t>Treherne</t>
  </si>
  <si>
    <t>Elsa Curran 20:46</t>
  </si>
  <si>
    <t>(143 runners)</t>
  </si>
  <si>
    <t>Ciaran Murphy</t>
  </si>
  <si>
    <t>WARR Dubai (Friday)</t>
  </si>
  <si>
    <t>Albert Melbourne</t>
  </si>
  <si>
    <t>pacing a friend</t>
  </si>
  <si>
    <t>run #8 , equals pb</t>
  </si>
  <si>
    <t>knocked off the perch!</t>
  </si>
  <si>
    <t>2 laps ++</t>
  </si>
  <si>
    <t>Eglington (Irvine)</t>
  </si>
  <si>
    <t>run #259, 66th at Osterley</t>
  </si>
  <si>
    <t>run #384</t>
  </si>
  <si>
    <t xml:space="preserve">run #121, 100th run at Crane </t>
  </si>
  <si>
    <t>run #224, first at Crane Park</t>
  </si>
  <si>
    <t>Bedgebury Pinetum</t>
  </si>
  <si>
    <t>Qu Elizabeth</t>
  </si>
  <si>
    <t>started 27th Feb 16</t>
  </si>
  <si>
    <t>Maurice Sharp</t>
  </si>
  <si>
    <t>best 2015 parkrun</t>
  </si>
  <si>
    <t>Stamford Park</t>
  </si>
  <si>
    <t>Watergrove</t>
  </si>
  <si>
    <t>46" better than last week</t>
  </si>
  <si>
    <t>Herts</t>
  </si>
  <si>
    <t>0746 Picc train from Hammersmith, change at Green Park, Canning Town</t>
  </si>
  <si>
    <t>Lower Hutt</t>
  </si>
  <si>
    <t>BApark #158</t>
  </si>
  <si>
    <t>3 laps, mixed terrain, fairly flat</t>
  </si>
  <si>
    <t>Richard</t>
  </si>
  <si>
    <t>Ruffell</t>
  </si>
  <si>
    <t>Graham</t>
  </si>
  <si>
    <t>QECP</t>
  </si>
  <si>
    <t>R TunbridgeWells(75)</t>
  </si>
  <si>
    <t>Hamilton (Victoria, AU)</t>
  </si>
  <si>
    <t>SEN</t>
  </si>
  <si>
    <t>SS3 9HQ</t>
  </si>
  <si>
    <t>Southend (Gunners Park, Shoebury)</t>
  </si>
  <si>
    <t>RH at Southend</t>
  </si>
  <si>
    <t>overdistance due flooding</t>
  </si>
  <si>
    <t>run #241, 226th at Black Park</t>
  </si>
  <si>
    <t>run #16, 13th at Guildford</t>
  </si>
  <si>
    <t>run #29, 17th at Woking</t>
  </si>
  <si>
    <t>run #114, 94th at Crane Park</t>
  </si>
  <si>
    <t>BA Park #207, park #47</t>
  </si>
  <si>
    <t>run #54, 6th at Frimley</t>
  </si>
  <si>
    <t>run #11, 6th at Gunnersbury</t>
  </si>
  <si>
    <t>run #384, 164th at Gunsbury</t>
  </si>
  <si>
    <t>run #270, 29' pacer ?</t>
  </si>
  <si>
    <t>run #299, 3rd at Sth Manch'r</t>
  </si>
  <si>
    <t>run #25, 24th at Oak Hill</t>
  </si>
  <si>
    <t>best age grade at Northala</t>
  </si>
  <si>
    <t>run #58, 30th at Woking</t>
  </si>
  <si>
    <t>1st run at Gt Notley, park #165</t>
  </si>
  <si>
    <t>1st at Poolsbrook, park #67</t>
  </si>
  <si>
    <t>park #64</t>
  </si>
  <si>
    <t>run #47</t>
  </si>
  <si>
    <t>Lead Bike</t>
  </si>
  <si>
    <t>run#305</t>
  </si>
  <si>
    <t>run#296</t>
  </si>
  <si>
    <t>run#142</t>
  </si>
  <si>
    <t>109th</t>
  </si>
  <si>
    <t>run#143</t>
  </si>
  <si>
    <t>run#297</t>
  </si>
  <si>
    <t>run#31</t>
  </si>
  <si>
    <t>started 11th April 2015</t>
  </si>
  <si>
    <t xml:space="preserve">Mark </t>
  </si>
  <si>
    <t>7.44 train to Waterloo, 8.20 Train to Ladywell from Waterloo East (towards Hayes)</t>
  </si>
  <si>
    <t xml:space="preserve">Ian </t>
  </si>
  <si>
    <t>lead bike</t>
  </si>
  <si>
    <t>Brandon Country Park (Suffolk)</t>
  </si>
  <si>
    <t>BCP</t>
  </si>
  <si>
    <t>IP27 0SU</t>
  </si>
  <si>
    <t>Fulham Palace</t>
  </si>
  <si>
    <t>SW6 6EA</t>
  </si>
  <si>
    <t>20Jul,21Sep</t>
  </si>
  <si>
    <t>FHP</t>
  </si>
  <si>
    <t>Cheltenham (Pittville Park)</t>
  </si>
  <si>
    <t>GL50 4RN</t>
  </si>
  <si>
    <t>A316, M3, A331  Fleet services available with a small diversion</t>
  </si>
  <si>
    <t>54 miles M4</t>
  </si>
  <si>
    <t>50 miles M4, A4130</t>
  </si>
  <si>
    <t>new associate member</t>
  </si>
  <si>
    <t>Bowral, Didcot, Larne</t>
  </si>
  <si>
    <t>Michael</t>
  </si>
  <si>
    <t>Saasha</t>
  </si>
  <si>
    <t>Natalie Ruffell 22:25</t>
  </si>
  <si>
    <t>Natalie Ruffell 20:53</t>
  </si>
  <si>
    <t>Crow flies</t>
  </si>
  <si>
    <t>(kms)</t>
  </si>
  <si>
    <t>W3 8LQ</t>
  </si>
  <si>
    <t>HP11 1QX</t>
  </si>
  <si>
    <t>Anniversary run</t>
  </si>
  <si>
    <t>trains ok</t>
  </si>
  <si>
    <t>run #146, 143rd at Bedfont</t>
  </si>
  <si>
    <t>run #229</t>
  </si>
  <si>
    <t>run #357</t>
  </si>
  <si>
    <t>run #190</t>
  </si>
  <si>
    <t>run #114</t>
  </si>
  <si>
    <t>Lunt</t>
  </si>
  <si>
    <t>run #233</t>
  </si>
  <si>
    <t>park #4</t>
  </si>
  <si>
    <t>PO21 1HW</t>
  </si>
  <si>
    <t>BOG</t>
  </si>
  <si>
    <t>Sr'ram Sethuraman</t>
  </si>
  <si>
    <t>multi lap, flat</t>
  </si>
  <si>
    <t>Chris Kelly 19:19 at Woodley, Reading cancelled till 2013</t>
  </si>
  <si>
    <t>run # 1</t>
  </si>
  <si>
    <t>GL20 5PG</t>
  </si>
  <si>
    <t>Tewkesbury</t>
  </si>
  <si>
    <t>Daniela at Cairns</t>
  </si>
  <si>
    <t>BA park #224, run #49</t>
  </si>
  <si>
    <t>run #23, 22nd at Harrow</t>
  </si>
  <si>
    <t>run #30. 27th at Harrow</t>
  </si>
  <si>
    <t>run#39</t>
  </si>
  <si>
    <t>ACB</t>
  </si>
  <si>
    <t>Weymouth</t>
  </si>
  <si>
    <t>131st run at Bedfont</t>
  </si>
  <si>
    <t>Marple</t>
  </si>
  <si>
    <t>run #7, 6th run at March</t>
  </si>
  <si>
    <t>run #25, 24th at Harrow</t>
  </si>
  <si>
    <t>run #100, course pb</t>
  </si>
  <si>
    <t>Woodhouse Moor</t>
  </si>
  <si>
    <t>will start 13 August 2016</t>
  </si>
  <si>
    <t>started 30th April 2016</t>
  </si>
  <si>
    <t>Club parkruns 6th August 2011, 27th April 2013, 30th July 2016</t>
  </si>
  <si>
    <t>run #28</t>
  </si>
  <si>
    <t>22nd Aug 2015</t>
  </si>
  <si>
    <t>run #151, leads points table</t>
  </si>
  <si>
    <t>294th/304</t>
  </si>
  <si>
    <t>marshal</t>
  </si>
  <si>
    <t>Debbie</t>
  </si>
  <si>
    <t>Heldson</t>
  </si>
  <si>
    <t>fastest BA parkun this year</t>
  </si>
  <si>
    <t>run #414</t>
  </si>
  <si>
    <t>better than last week</t>
  </si>
  <si>
    <t>run #146, 21st Bushy park</t>
  </si>
  <si>
    <t>run #280</t>
  </si>
  <si>
    <t>run #216</t>
  </si>
  <si>
    <t>Run #50, all at Bedfont</t>
  </si>
  <si>
    <t>Charlotte</t>
  </si>
  <si>
    <t>RH at Reigate Priory</t>
  </si>
  <si>
    <t>Gunnersbury 79</t>
  </si>
  <si>
    <t xml:space="preserve">Dennis </t>
  </si>
  <si>
    <t>run #156, 137th at Bedfont</t>
  </si>
  <si>
    <t>run #283, 223rd at Reading</t>
  </si>
  <si>
    <t>run #261, 245th at Black Park</t>
  </si>
  <si>
    <t>run #17, 16th at Oak Hill</t>
  </si>
  <si>
    <t>run#403, 181 at Gunnersbury</t>
  </si>
  <si>
    <t>442nd out of 686</t>
  </si>
  <si>
    <t>run #127, 106th at Crane Pk</t>
  </si>
  <si>
    <t>run #73, 66th at Upton Court</t>
  </si>
  <si>
    <t>Steve Dodsworth 24:58, Linda Dodsworth 28:40</t>
  </si>
  <si>
    <t>Hapgood</t>
  </si>
  <si>
    <t>139th run at Reading</t>
  </si>
  <si>
    <t>run #60, 33rd at Maidenhead</t>
  </si>
  <si>
    <t>family pacer</t>
  </si>
  <si>
    <t>run #71, 4th at Yeovil</t>
  </si>
  <si>
    <t>South East</t>
  </si>
  <si>
    <t>Aldenham Country Pk (Elstree)</t>
  </si>
  <si>
    <t>Bushy park</t>
  </si>
  <si>
    <t>NW3 1NT</t>
  </si>
  <si>
    <t>park #107</t>
  </si>
  <si>
    <t>started at the back!</t>
  </si>
  <si>
    <t>20 miler tomorrow !</t>
  </si>
  <si>
    <t>parkrun pb, run #9</t>
  </si>
  <si>
    <t>(Newham) (Anniversary)</t>
  </si>
  <si>
    <t>two weeks in a row</t>
  </si>
  <si>
    <t>Clapham Junction</t>
  </si>
  <si>
    <t>SW11 2QP</t>
  </si>
  <si>
    <t>Funnel manager</t>
  </si>
  <si>
    <t>run #405</t>
  </si>
  <si>
    <t>BA park #248</t>
  </si>
  <si>
    <t>run #102, 5th at Leicester Vic</t>
  </si>
  <si>
    <t>run #30, 3rd at Fulham Palace</t>
  </si>
  <si>
    <t>run #101, 42nd at Wycombe</t>
  </si>
  <si>
    <t>BA park #247</t>
  </si>
  <si>
    <t>run #304, 240th at Reading</t>
  </si>
  <si>
    <t>run #84, 33rd at Sunderland</t>
  </si>
  <si>
    <t>first run at ODP in 2.5 years</t>
  </si>
  <si>
    <t>run #198, F-3</t>
  </si>
  <si>
    <t>run #426, 203rd at Gunnsbury</t>
  </si>
  <si>
    <t>course pb, club record (F)</t>
  </si>
  <si>
    <t>1st run at Sherwood Pines</t>
  </si>
  <si>
    <t>SHP</t>
  </si>
  <si>
    <t>Clacton Sea Front</t>
  </si>
  <si>
    <t>Sherwood Pines</t>
  </si>
  <si>
    <t>5th/111</t>
  </si>
  <si>
    <t>53rd run in 2015</t>
  </si>
  <si>
    <t>Minehead</t>
  </si>
  <si>
    <t>TA24 5AP</t>
  </si>
  <si>
    <t>MIH</t>
  </si>
  <si>
    <t>MK18 1RP</t>
  </si>
  <si>
    <t>XC later on ?</t>
  </si>
  <si>
    <t>neil.frediani@ba.com</t>
  </si>
  <si>
    <t>West Midlands</t>
  </si>
  <si>
    <t>Bromley station BR1 1LX</t>
  </si>
  <si>
    <t>only</t>
  </si>
  <si>
    <t xml:space="preserve">2 laps </t>
  </si>
  <si>
    <t>LA1 3DY</t>
  </si>
  <si>
    <t>run #9, Adrian's sister</t>
  </si>
  <si>
    <t>run #111,  101st at Bushy</t>
  </si>
  <si>
    <t>bridge</t>
  </si>
  <si>
    <t>M11</t>
  </si>
  <si>
    <t>Ellenbrook (74)</t>
  </si>
  <si>
    <t>33' pacer</t>
  </si>
  <si>
    <t>Guernsey</t>
  </si>
  <si>
    <t>first run at Mulbarton</t>
  </si>
  <si>
    <t>Janet at Tollcross (GLA)</t>
  </si>
  <si>
    <t>Cornwall Park (Auckland, NZ)</t>
  </si>
  <si>
    <t>Cornwall Park (NZ)</t>
  </si>
  <si>
    <t>B76 0DY</t>
  </si>
  <si>
    <t>SK12 2NS</t>
  </si>
  <si>
    <t>Bagley</t>
  </si>
  <si>
    <t>run#41</t>
  </si>
  <si>
    <t>Chester</t>
  </si>
  <si>
    <t>CH2 1UL</t>
  </si>
  <si>
    <t>Lymington Woodside</t>
  </si>
  <si>
    <t>park #173</t>
  </si>
  <si>
    <t>Homewood (79)</t>
  </si>
  <si>
    <t>BA park #298, park #20</t>
  </si>
  <si>
    <t>run #84, park #20</t>
  </si>
  <si>
    <t>run #308</t>
  </si>
  <si>
    <t>Teresa</t>
  </si>
  <si>
    <t>race director</t>
  </si>
  <si>
    <t>run 170</t>
  </si>
  <si>
    <t>run #215, 145th at Reading</t>
  </si>
  <si>
    <t>2nd run at Brueton</t>
  </si>
  <si>
    <t>208th run at Gunnersbury</t>
  </si>
  <si>
    <t>record turnout 465</t>
  </si>
  <si>
    <t>Homewood Park</t>
  </si>
  <si>
    <t>3rd run at Homewood, pb</t>
  </si>
  <si>
    <t>24th run at Northala</t>
  </si>
  <si>
    <t xml:space="preserve">run #18 </t>
  </si>
  <si>
    <t>run #62, 32nd at Woking</t>
  </si>
  <si>
    <t>run #289</t>
  </si>
  <si>
    <t xml:space="preserve">run #30 </t>
  </si>
  <si>
    <t xml:space="preserve">run #84   </t>
  </si>
  <si>
    <t>Harrow Rec #1</t>
  </si>
  <si>
    <t>run #237</t>
  </si>
  <si>
    <t>Riverside, Co Durham</t>
  </si>
  <si>
    <t>Temple Newsham</t>
  </si>
  <si>
    <t>records as on the day he joined 3rd March 2016</t>
  </si>
  <si>
    <t>(59 runs)</t>
  </si>
  <si>
    <t>Wandsworth/Merton</t>
  </si>
  <si>
    <t>Gladstone Park</t>
  </si>
  <si>
    <t>SE5 8BB</t>
  </si>
  <si>
    <t>from Denmark Hill</t>
  </si>
  <si>
    <t>Shrewsbury</t>
  </si>
  <si>
    <t>Telford</t>
  </si>
  <si>
    <t>Wellington, New Zealand</t>
  </si>
  <si>
    <t>run #184</t>
  </si>
  <si>
    <t xml:space="preserve">Scott </t>
  </si>
  <si>
    <t>run #132</t>
  </si>
  <si>
    <t>run director</t>
  </si>
  <si>
    <t>park #126</t>
  </si>
  <si>
    <t>park # 25</t>
  </si>
  <si>
    <t>10th run at Poole</t>
  </si>
  <si>
    <t>9th run at Nonsuch</t>
  </si>
  <si>
    <t>New age category course record</t>
  </si>
  <si>
    <t>Kapiti Coast</t>
  </si>
  <si>
    <t>NZB</t>
  </si>
  <si>
    <t>NZC</t>
  </si>
  <si>
    <t>NZW</t>
  </si>
  <si>
    <t>NZM</t>
  </si>
  <si>
    <t>NZH</t>
  </si>
  <si>
    <t>Medway Tunnel is free</t>
  </si>
  <si>
    <t>BApark #161, park #110</t>
  </si>
  <si>
    <t>Riverside</t>
  </si>
  <si>
    <t>Sedgefield</t>
  </si>
  <si>
    <t>South Shields</t>
  </si>
  <si>
    <t>Sunderland</t>
  </si>
  <si>
    <t>Albert (Middlesbrough)</t>
  </si>
  <si>
    <t>winner!</t>
  </si>
  <si>
    <t>Roundshaw</t>
  </si>
  <si>
    <t>park #95, BApark #139</t>
  </si>
  <si>
    <t>Danny Norman</t>
  </si>
  <si>
    <t>first run at Old Deer Park</t>
  </si>
  <si>
    <t>run #5,first run in USA</t>
  </si>
  <si>
    <t>St Peters (SYD)</t>
  </si>
  <si>
    <t>1st parkrun in Australia</t>
  </si>
  <si>
    <t>run #391</t>
  </si>
  <si>
    <t>Bevendean Down</t>
  </si>
  <si>
    <t>BN2 4TF</t>
  </si>
  <si>
    <t>undulating grass, two clockwise laps</t>
  </si>
  <si>
    <t>Reigate</t>
  </si>
  <si>
    <t>improves on her agecatrec</t>
  </si>
  <si>
    <t>run #21, 15th at Tilgate</t>
  </si>
  <si>
    <t>run #199, 2nd at Gladstone</t>
  </si>
  <si>
    <t>Rosliston (Swadlingcote)</t>
  </si>
  <si>
    <t>DE12 8JX</t>
  </si>
  <si>
    <t>twisty, turny, scenic</t>
  </si>
  <si>
    <t>Hanley (Stock-on-Trent)</t>
  </si>
  <si>
    <t>Citypark, Colin Glen, Comber, Derry City</t>
  </si>
  <si>
    <t>La Ramee (Toulouse)</t>
  </si>
  <si>
    <t>Mandavit (Bordeaux)</t>
  </si>
  <si>
    <t>CA12 9NF</t>
  </si>
  <si>
    <t>BA Clubs Walking Section</t>
  </si>
  <si>
    <t>Fiona</t>
  </si>
  <si>
    <t>Harrington</t>
  </si>
  <si>
    <t>BA park #170</t>
  </si>
  <si>
    <t>run #139</t>
  </si>
  <si>
    <t>run #29, all at Bedfont</t>
  </si>
  <si>
    <t>run #182, 129th at Reading</t>
  </si>
  <si>
    <t>Aldenham (Elstree)</t>
  </si>
  <si>
    <t>Hagley (Christchurch)</t>
  </si>
  <si>
    <t>NZ</t>
  </si>
  <si>
    <t>E. Warburton-Brown</t>
  </si>
  <si>
    <t>John Lennon</t>
  </si>
  <si>
    <t>park #148</t>
  </si>
  <si>
    <t>BA park #246, course pb</t>
  </si>
  <si>
    <t>Brandon</t>
  </si>
  <si>
    <t>Southwick (Wiltshire)</t>
  </si>
  <si>
    <t>Panshanger</t>
  </si>
  <si>
    <t>Ellesmere Port (Whitby Park)</t>
  </si>
  <si>
    <t>started 18/10/14</t>
  </si>
  <si>
    <t>started 11/10/14</t>
  </si>
  <si>
    <t>Surrey League (Farthing Downs,Lloyd Park)</t>
  </si>
  <si>
    <t>Almost 3 laps, country park</t>
  </si>
  <si>
    <t>sunset</t>
  </si>
  <si>
    <t>CZN</t>
  </si>
  <si>
    <t>Cieszyn (Poland/Czech Republic)</t>
  </si>
  <si>
    <t>Gary at Sittingbourne</t>
  </si>
  <si>
    <t>Daniela in St Petersburg</t>
  </si>
  <si>
    <t>2 laps with hills</t>
  </si>
  <si>
    <t>per km</t>
  </si>
  <si>
    <t>per mile</t>
  </si>
  <si>
    <t>park #25</t>
  </si>
  <si>
    <t>Janet</t>
  </si>
  <si>
    <t>Wythenshawe</t>
  </si>
  <si>
    <t>WYT</t>
  </si>
  <si>
    <t>M23 0AB</t>
  </si>
  <si>
    <t>Wythenshawe Park</t>
  </si>
  <si>
    <t>Julie</t>
  </si>
  <si>
    <t>21/2, 11/4</t>
  </si>
  <si>
    <t>run #156</t>
  </si>
  <si>
    <t>TW13 4BY</t>
  </si>
  <si>
    <t>Gunnersbury (62)</t>
  </si>
  <si>
    <t>Ben</t>
  </si>
  <si>
    <t>Chaytow</t>
  </si>
  <si>
    <t>2013/14 points table winner (F)</t>
  </si>
  <si>
    <t>park #92, BApark #135</t>
  </si>
  <si>
    <t>run#167</t>
  </si>
  <si>
    <t>Lame Dog ?</t>
  </si>
  <si>
    <t>10th/110</t>
  </si>
  <si>
    <t>47th/153</t>
  </si>
  <si>
    <t>run #76</t>
  </si>
  <si>
    <t>1st anniversary event</t>
  </si>
  <si>
    <t>run #11</t>
  </si>
  <si>
    <t>Grovelands (Winchmore Hill)</t>
  </si>
  <si>
    <t>Coventry</t>
  </si>
  <si>
    <t>Conkers</t>
  </si>
  <si>
    <t>COV</t>
  </si>
  <si>
    <t>CKR</t>
  </si>
  <si>
    <t>CCD</t>
  </si>
  <si>
    <t>Porthcawl</t>
  </si>
  <si>
    <t>PTC</t>
  </si>
  <si>
    <r>
      <t>A</t>
    </r>
    <r>
      <rPr>
        <sz val="10"/>
        <rFont val="Arial"/>
        <family val="2"/>
      </rPr>
      <t>bingdon</t>
    </r>
  </si>
  <si>
    <r>
      <t>B</t>
    </r>
    <r>
      <rPr>
        <sz val="10"/>
        <rFont val="Arial"/>
        <family val="2"/>
      </rPr>
      <t>alyang Sanctuary (Geelong)</t>
    </r>
  </si>
  <si>
    <t>Highbury Fields (24)</t>
  </si>
  <si>
    <t>Cambs</t>
  </si>
  <si>
    <t>Suffolk</t>
  </si>
  <si>
    <t>Norfolk</t>
  </si>
  <si>
    <t>Wimpole Estate</t>
  </si>
  <si>
    <t>started 26/9/15</t>
  </si>
  <si>
    <r>
      <t>J</t>
    </r>
    <r>
      <rPr>
        <sz val="10"/>
        <rFont val="Arial"/>
        <family val="2"/>
      </rPr>
      <t>ersey</t>
    </r>
  </si>
  <si>
    <t>Balyang Sanctuary (Geelong)</t>
  </si>
  <si>
    <t>Alan 250</t>
  </si>
  <si>
    <t>Stewart Rose</t>
  </si>
  <si>
    <t>Alex Williamson</t>
  </si>
  <si>
    <t>Liz Collison</t>
  </si>
  <si>
    <t>Frimley</t>
  </si>
  <si>
    <t>SM7 2BY</t>
  </si>
  <si>
    <t>E9 5PF</t>
  </si>
  <si>
    <t>Pymmes Park (Edmonton)</t>
  </si>
  <si>
    <t>N18 2UG</t>
  </si>
  <si>
    <t>out and back (once)</t>
  </si>
  <si>
    <t>run #259, 243rd at Black Park</t>
  </si>
  <si>
    <t>30th run at Harrow</t>
  </si>
  <si>
    <t>BA park #237</t>
  </si>
  <si>
    <t>BA park #239</t>
  </si>
  <si>
    <t>5 new parks</t>
  </si>
  <si>
    <t>St Albans (68)</t>
  </si>
  <si>
    <t>Moors Valley (Ringwood)</t>
  </si>
  <si>
    <t>run #176, parkrun pb</t>
  </si>
  <si>
    <t>Michelle</t>
  </si>
  <si>
    <t>Dillon</t>
  </si>
  <si>
    <t>M -1</t>
  </si>
  <si>
    <t xml:space="preserve">F -1, </t>
  </si>
  <si>
    <t>ALW</t>
  </si>
  <si>
    <t>Holkham</t>
  </si>
  <si>
    <t>B&amp;J Scaife</t>
  </si>
  <si>
    <t>run #342</t>
  </si>
  <si>
    <t>CT5 2DN</t>
  </si>
  <si>
    <t>PEG</t>
  </si>
  <si>
    <t>LOS</t>
  </si>
  <si>
    <t>Anna</t>
  </si>
  <si>
    <t>run #30, 1st run in 2016</t>
  </si>
  <si>
    <t>run #297, 234th at Reading</t>
  </si>
  <si>
    <t>run #205, 137th at Reading</t>
  </si>
  <si>
    <t>run #112, 47th at Black Park</t>
  </si>
  <si>
    <t>run #75, 29th at Sunderland</t>
  </si>
  <si>
    <t>run #70, 25th at Sunderland</t>
  </si>
  <si>
    <t>1st run at Hampstead</t>
  </si>
  <si>
    <t>106th run at Bedfont</t>
  </si>
  <si>
    <t>3rd run at Hampstead</t>
  </si>
  <si>
    <t>1st run at La Ramee</t>
  </si>
  <si>
    <t>34th run at Braunstone</t>
  </si>
  <si>
    <t>Mkt Harborough</t>
  </si>
  <si>
    <t>2nd run at Mkt Harborough</t>
  </si>
  <si>
    <t>1st run at Bradford</t>
  </si>
  <si>
    <t>F-2, 188th run at Gunnersbury</t>
  </si>
  <si>
    <t>run #417, 195th at Gunsbury</t>
  </si>
  <si>
    <t>19th run at Poole</t>
  </si>
  <si>
    <t>1st run at Stevenage</t>
  </si>
  <si>
    <t>1st run at Mkt Harborough</t>
  </si>
  <si>
    <t>117th run at Crane Park</t>
  </si>
  <si>
    <t>78th run at Upton Court</t>
  </si>
  <si>
    <t>104th run at Bushy</t>
  </si>
  <si>
    <t>Gunnersbury pb</t>
  </si>
  <si>
    <t xml:space="preserve">Robbie </t>
  </si>
  <si>
    <t>1st run at Blickling</t>
  </si>
  <si>
    <t>CV32 4EW</t>
  </si>
  <si>
    <t>just outside M25</t>
  </si>
  <si>
    <t>Yorks, NE England</t>
  </si>
  <si>
    <t>X</t>
  </si>
  <si>
    <t>Clapham Chasers</t>
  </si>
  <si>
    <t>park #65, club park #90</t>
  </si>
  <si>
    <t>park #87, BA park #128</t>
  </si>
  <si>
    <t>7.44 from Hammmersmith</t>
  </si>
  <si>
    <t xml:space="preserve">Brighton&amp;Hove </t>
  </si>
  <si>
    <t>RH12 2DF</t>
  </si>
  <si>
    <t>CT20 2DZ</t>
  </si>
  <si>
    <t>Ham &amp; Fulham</t>
  </si>
  <si>
    <t>TW2 7LG</t>
  </si>
  <si>
    <t>Whitton</t>
  </si>
  <si>
    <t>Southport</t>
  </si>
  <si>
    <t>Worthing</t>
  </si>
  <si>
    <t>Gorlston Cliffs (Great Yarmouth)</t>
  </si>
  <si>
    <t>NR30 2ER</t>
  </si>
  <si>
    <t>Mount Gambier (South Australia)</t>
  </si>
  <si>
    <t>park #33</t>
  </si>
  <si>
    <t>park #34</t>
  </si>
  <si>
    <t>park #101</t>
  </si>
  <si>
    <t>park #102</t>
  </si>
  <si>
    <t>30 minute pacer</t>
  </si>
  <si>
    <t>Holkham Hall (Wells next the Sea)</t>
  </si>
  <si>
    <t>Em Warbrtn-Brown</t>
  </si>
  <si>
    <t>Beckenham Place</t>
  </si>
  <si>
    <t>run #196, 54th at Woodley</t>
  </si>
  <si>
    <t>run #77, 70th at Upton Court</t>
  </si>
  <si>
    <t>post event close down</t>
  </si>
  <si>
    <t>Marathon tomorrow</t>
  </si>
  <si>
    <t>volunteeer</t>
  </si>
  <si>
    <t>27' pacer, run #190</t>
  </si>
  <si>
    <t>run #330</t>
  </si>
  <si>
    <t>leads points table week 50</t>
  </si>
  <si>
    <t>run #84</t>
  </si>
  <si>
    <t>run #219, 188th at Bushy</t>
  </si>
  <si>
    <t>8.14 Overground to Brondesbury Park (0830) with bike</t>
  </si>
  <si>
    <t>cycle home</t>
  </si>
  <si>
    <t>run #163</t>
  </si>
  <si>
    <t>5th/202</t>
  </si>
  <si>
    <t>run #15</t>
  </si>
  <si>
    <t>26' pacer's mentor</t>
  </si>
  <si>
    <t>SE20 8DT</t>
  </si>
  <si>
    <t>Crystal Palace</t>
  </si>
  <si>
    <t>4th/65</t>
  </si>
  <si>
    <t>(9 behind AA)</t>
  </si>
  <si>
    <t>Gunnersbury(44)</t>
  </si>
  <si>
    <t>Roderick, Daniela Singapore</t>
  </si>
  <si>
    <t>3rd run at Rushmoor</t>
  </si>
  <si>
    <t>run #19</t>
  </si>
  <si>
    <t>NET</t>
  </si>
  <si>
    <t>200th parkrun at Reading</t>
  </si>
  <si>
    <t>start lamppost 5</t>
  </si>
  <si>
    <t>Paul Watt</t>
  </si>
  <si>
    <t>Four members running inaugural</t>
  </si>
  <si>
    <t>Janet Smith at Peterborough</t>
  </si>
  <si>
    <t>run#98</t>
  </si>
  <si>
    <t>run#137</t>
  </si>
  <si>
    <t>course pb, agecatrec</t>
  </si>
  <si>
    <t>run#27</t>
  </si>
  <si>
    <t>Gunnersbury(59)</t>
  </si>
  <si>
    <t>F-3, run #185</t>
  </si>
  <si>
    <t>Elagin Ostrov (St Petersburg, RU)</t>
  </si>
  <si>
    <t>Elagin Ostrov (St Petersburg)</t>
  </si>
  <si>
    <t>taking it easy</t>
  </si>
  <si>
    <t>Merritt</t>
  </si>
  <si>
    <t>11th consecutive pb. MV75</t>
  </si>
  <si>
    <t>Diamond Creek (Melbourne)</t>
  </si>
  <si>
    <t>Diamond Creek</t>
  </si>
  <si>
    <t>record now down to 19:08</t>
  </si>
  <si>
    <t>BWL</t>
  </si>
  <si>
    <t>parkrun pb, run#5, park#5</t>
  </si>
  <si>
    <t>run#141</t>
  </si>
  <si>
    <t>run#44</t>
  </si>
  <si>
    <t>GU10 4LS</t>
  </si>
  <si>
    <t>Cobham</t>
  </si>
  <si>
    <t>Sth Mimms</t>
  </si>
  <si>
    <t>Clackett</t>
  </si>
  <si>
    <t>QE 2</t>
  </si>
  <si>
    <t>BA park #179</t>
  </si>
  <si>
    <t>The serious tourists</t>
  </si>
  <si>
    <t>Alan Friar</t>
  </si>
  <si>
    <t>LA13 3DT</t>
  </si>
  <si>
    <t>cancellation confusion</t>
  </si>
  <si>
    <t>199th run at Bushy Park</t>
  </si>
  <si>
    <t>Evans</t>
  </si>
  <si>
    <t>run #137, 134th at Bedfont</t>
  </si>
  <si>
    <t>(Stansted)</t>
  </si>
  <si>
    <t>inaugural, BA park #225</t>
  </si>
  <si>
    <t>Telford (Town Park)</t>
  </si>
  <si>
    <t>park #40</t>
  </si>
  <si>
    <t>pb, run #16</t>
  </si>
  <si>
    <t>run #220, 21st run at Bushy</t>
  </si>
  <si>
    <t>run #138, 90th run at Bedfont</t>
  </si>
  <si>
    <t>Eloise</t>
  </si>
  <si>
    <t>Beds</t>
  </si>
  <si>
    <t>Gunpowder course pb</t>
  </si>
  <si>
    <t>Wimbledon Common</t>
  </si>
  <si>
    <t>St Albans</t>
  </si>
  <si>
    <t>Banbury (Spiceball Park)</t>
  </si>
  <si>
    <t>WES</t>
  </si>
  <si>
    <t>started 1/11/14</t>
  </si>
  <si>
    <t>first timer</t>
  </si>
  <si>
    <t>JW14</t>
  </si>
  <si>
    <t xml:space="preserve">Total Runners </t>
  </si>
  <si>
    <t>now on 99 runs</t>
  </si>
  <si>
    <t>Dublin - Marlay</t>
  </si>
  <si>
    <t>Surrey League Cranford Park</t>
  </si>
  <si>
    <t>volunteer tailrunner, run #7</t>
  </si>
  <si>
    <t>first sub 30' parkrun, run #14</t>
  </si>
  <si>
    <t>Three attend inaugural at Upton Court.  Alan Anderson up to 244.</t>
  </si>
  <si>
    <t>Chase the Place week 5, down to 2778</t>
  </si>
  <si>
    <t>Chase the Place week 6 (final), down to 2367</t>
  </si>
  <si>
    <t>John Coffey</t>
  </si>
  <si>
    <t>Club run at Richmond</t>
  </si>
  <si>
    <t>NSW (Coast - Nth)</t>
  </si>
  <si>
    <t>NSW (well inland)</t>
  </si>
  <si>
    <t>run #17</t>
  </si>
  <si>
    <t>Northern Territory</t>
  </si>
  <si>
    <t>Darwin</t>
  </si>
  <si>
    <t xml:space="preserve">Co. Kildare </t>
  </si>
  <si>
    <t>Co. Mayo</t>
  </si>
  <si>
    <t>run #189</t>
  </si>
  <si>
    <t xml:space="preserve">Roger </t>
  </si>
  <si>
    <t>run #171</t>
  </si>
  <si>
    <t>13th</t>
  </si>
  <si>
    <t>run #45</t>
  </si>
  <si>
    <t>Duncan</t>
  </si>
  <si>
    <t>Wright</t>
  </si>
  <si>
    <t>run #26</t>
  </si>
  <si>
    <t>Roderick at Falkirk</t>
  </si>
  <si>
    <t>Bushy Park 1</t>
  </si>
  <si>
    <t>Bushy Park 2</t>
  </si>
  <si>
    <t>Longest Day schedule 23rd June 2013</t>
  </si>
  <si>
    <t>(anticlockwise)</t>
  </si>
  <si>
    <t>started 8th November 2014</t>
  </si>
  <si>
    <t>Ecos (Ballymena)</t>
  </si>
  <si>
    <t>Falkirk</t>
  </si>
  <si>
    <t>Greenock</t>
  </si>
  <si>
    <t>run #277</t>
  </si>
  <si>
    <t>run #19, parkrun pb</t>
  </si>
  <si>
    <t>run #76, course pb</t>
  </si>
  <si>
    <t>Maidstone</t>
  </si>
  <si>
    <t>Netley Abbey</t>
  </si>
  <si>
    <t>Pegwell Bay</t>
  </si>
  <si>
    <t>Shorne Woods</t>
  </si>
  <si>
    <t>Southampton</t>
  </si>
  <si>
    <t>Whitstable</t>
  </si>
  <si>
    <t>Blandford</t>
  </si>
  <si>
    <t>AYR</t>
  </si>
  <si>
    <t>Ayr (Rozelle Park)</t>
  </si>
  <si>
    <t>(Ealing)</t>
  </si>
  <si>
    <t>run #242</t>
  </si>
  <si>
    <t>first run at Bracknell</t>
  </si>
  <si>
    <t>Crane Park (Whitton)</t>
  </si>
  <si>
    <t>Harlow</t>
  </si>
  <si>
    <t>Brentwood</t>
  </si>
  <si>
    <t>CM14 5QS</t>
  </si>
  <si>
    <t>Brentwood (Weald Park)</t>
  </si>
  <si>
    <t>Old Deer Park (Richmond)</t>
  </si>
  <si>
    <t>car park £1/hour, £3 all day</t>
  </si>
  <si>
    <t>Wyre Forest (Worcs)</t>
  </si>
  <si>
    <t>first run since Olympics!</t>
  </si>
  <si>
    <t>OX16 2QU</t>
  </si>
  <si>
    <t>GU6 8JL</t>
  </si>
  <si>
    <t>start 24 Oct 2015.  Car park £1 with parkrun barcode</t>
  </si>
  <si>
    <t>run 96</t>
  </si>
  <si>
    <t>club course record, park#15</t>
  </si>
  <si>
    <t>run 51</t>
  </si>
  <si>
    <t>Ronald Seddon</t>
  </si>
  <si>
    <t>pre-event set up</t>
  </si>
  <si>
    <t>Fudge</t>
  </si>
  <si>
    <t>BST</t>
  </si>
  <si>
    <t>run #42, club course record</t>
  </si>
  <si>
    <t>BMY</t>
  </si>
  <si>
    <t>Exeter Riverside</t>
  </si>
  <si>
    <t>Forest of Dean</t>
  </si>
  <si>
    <t>course pb by 2 mins</t>
  </si>
  <si>
    <t>Little Stoke (Bristol)</t>
  </si>
  <si>
    <t>Tooting Bec Lido carpark</t>
  </si>
  <si>
    <t>John Pratt</t>
  </si>
  <si>
    <t>Swansea Bay</t>
  </si>
  <si>
    <t>Barnet</t>
  </si>
  <si>
    <t>Hillingdon</t>
  </si>
  <si>
    <t>Ealing</t>
  </si>
  <si>
    <t>Kensington/Chelsea</t>
  </si>
  <si>
    <t>Westminster</t>
  </si>
  <si>
    <t>Hammersmith/Fulham</t>
  </si>
  <si>
    <t>Merton</t>
  </si>
  <si>
    <t>Sutton</t>
  </si>
  <si>
    <t>Bexley</t>
  </si>
  <si>
    <t>City</t>
  </si>
  <si>
    <t>new park for him</t>
  </si>
  <si>
    <t>next Pat Butcher 23:59</t>
  </si>
  <si>
    <t xml:space="preserve">Jonathan </t>
  </si>
  <si>
    <t>NCL</t>
  </si>
  <si>
    <t>volunteer tailender</t>
  </si>
  <si>
    <t>plus volunteering</t>
  </si>
  <si>
    <t>38th of 41 finishers</t>
  </si>
  <si>
    <t>BA park #195</t>
  </si>
  <si>
    <t>Tony Hird/Roderick</t>
  </si>
  <si>
    <t>Half hard surface, half XC.  Hills and quite long grass in places.</t>
  </si>
  <si>
    <t>Grovelands</t>
  </si>
  <si>
    <t>Roderick 50 UK</t>
  </si>
  <si>
    <t>Hammersmith &amp; Fulham</t>
  </si>
  <si>
    <t>Southampton, Daventry, Harrow, Woking, Longrun Meadow</t>
  </si>
  <si>
    <t>Fountains Abbey, Fulham Palace, Banstead Woods, Queen Elizabeth, Telford, Darlington South</t>
  </si>
  <si>
    <t>Trish</t>
  </si>
  <si>
    <t>McCabe</t>
  </si>
  <si>
    <t>Cootehill</t>
  </si>
  <si>
    <t>COH</t>
  </si>
  <si>
    <t>Czech Rep</t>
  </si>
  <si>
    <t>Cootehill (Ireland)</t>
  </si>
  <si>
    <t>Maureen</t>
  </si>
  <si>
    <t>Parks only run by members prior to joining</t>
  </si>
  <si>
    <t>F-3, run #174</t>
  </si>
  <si>
    <t>run #400</t>
  </si>
  <si>
    <t>Bois de Boulougne</t>
  </si>
  <si>
    <t>SWW</t>
  </si>
  <si>
    <t>Aylesbury Inaugural</t>
  </si>
  <si>
    <t>Steph Owen</t>
  </si>
  <si>
    <t>Ashford</t>
  </si>
  <si>
    <t>Scott</t>
  </si>
  <si>
    <t>Davison</t>
  </si>
  <si>
    <t>Lissa</t>
  </si>
  <si>
    <t>Pritchard</t>
  </si>
  <si>
    <t>Monica</t>
  </si>
  <si>
    <t>Alonso</t>
  </si>
  <si>
    <t>Natal</t>
  </si>
  <si>
    <t>Green Point</t>
  </si>
  <si>
    <t>Neil Frediani</t>
  </si>
  <si>
    <t>Newport (Tredegar House CP)</t>
  </si>
  <si>
    <t>District Line closed east of Aldgate</t>
  </si>
  <si>
    <t>Surrey league round 4</t>
  </si>
  <si>
    <t>run #97</t>
  </si>
  <si>
    <t>run #94</t>
  </si>
  <si>
    <t>run #10</t>
  </si>
  <si>
    <t>run #297</t>
  </si>
  <si>
    <t xml:space="preserve">Beeston         </t>
  </si>
  <si>
    <t>Roderick ran at Walthamstow (inaugural)</t>
  </si>
  <si>
    <t>run #145</t>
  </si>
  <si>
    <t>128th/186</t>
  </si>
  <si>
    <t>Caroline Cockram</t>
  </si>
  <si>
    <t>DAV</t>
  </si>
  <si>
    <t>Southwick (Trowbridge, Wilts)</t>
  </si>
  <si>
    <t>BA14 9QD</t>
  </si>
  <si>
    <t>SW12 9HJ</t>
  </si>
  <si>
    <t>CTH</t>
  </si>
  <si>
    <t>BR6 0SX</t>
  </si>
  <si>
    <t>Sevenoaks - Kent</t>
  </si>
  <si>
    <t>Gravesham - Kent</t>
  </si>
  <si>
    <t>49th run</t>
  </si>
  <si>
    <t>best agegrade</t>
  </si>
  <si>
    <t>%</t>
  </si>
  <si>
    <t>Glasgow (Pollock)</t>
  </si>
  <si>
    <t>end July 2014</t>
  </si>
  <si>
    <t>Osterley (53,21)</t>
  </si>
  <si>
    <t>first run since 11th May, now level with John Coffey on 132</t>
  </si>
  <si>
    <t>run #82</t>
  </si>
  <si>
    <t>park #122</t>
  </si>
  <si>
    <t>Weymouth (Lodmoor Country Park)</t>
  </si>
  <si>
    <t>WEY</t>
  </si>
  <si>
    <t>DT4 7SX</t>
  </si>
  <si>
    <t>AYL</t>
  </si>
  <si>
    <t>HP19 9HH</t>
  </si>
  <si>
    <t>Davies</t>
  </si>
  <si>
    <t>first parkrun for 14 months</t>
  </si>
  <si>
    <t>Ham Heath</t>
  </si>
  <si>
    <t>Wanstead</t>
  </si>
  <si>
    <t>Lloyd Pk</t>
  </si>
  <si>
    <t>Crystal P</t>
  </si>
  <si>
    <t>Burgess</t>
  </si>
  <si>
    <t>Finsbury P</t>
  </si>
  <si>
    <t>dob 7/9/48</t>
  </si>
  <si>
    <t>Harrow L</t>
  </si>
  <si>
    <t>Riddlesdn</t>
  </si>
  <si>
    <t>Inaugural</t>
  </si>
  <si>
    <t>cycle from Welling station</t>
  </si>
  <si>
    <t>Peter Pan</t>
  </si>
  <si>
    <t>Pontefract</t>
  </si>
  <si>
    <t>Rother Valley</t>
  </si>
  <si>
    <t>Lennon</t>
  </si>
  <si>
    <t>LE15 8HD</t>
  </si>
  <si>
    <t>Piers Keenleyside</t>
  </si>
  <si>
    <t>1 x short lap, 3 x longer laps (anticlockwise)</t>
  </si>
  <si>
    <t>Levison</t>
  </si>
  <si>
    <t>Alastair</t>
  </si>
  <si>
    <t>Heslop</t>
  </si>
  <si>
    <t xml:space="preserve">volunteer </t>
  </si>
  <si>
    <t>FL</t>
  </si>
  <si>
    <t>M-2, club course record</t>
  </si>
  <si>
    <t>F-4, run #74</t>
  </si>
  <si>
    <t>park #40, BApark #119</t>
  </si>
  <si>
    <t>(Bexley)</t>
  </si>
  <si>
    <t>run #180</t>
  </si>
  <si>
    <t>park #8, run #13</t>
  </si>
  <si>
    <t>run #197</t>
  </si>
  <si>
    <t>run #319,</t>
  </si>
  <si>
    <t>100th (/ 217)</t>
  </si>
  <si>
    <t>run #67</t>
  </si>
  <si>
    <t>park #53</t>
  </si>
  <si>
    <t>run #60</t>
  </si>
  <si>
    <t>run #338</t>
  </si>
  <si>
    <t>Matthew</t>
  </si>
  <si>
    <t>JM11-14</t>
  </si>
  <si>
    <t>Old Deer P</t>
  </si>
  <si>
    <t>MV50-54</t>
  </si>
  <si>
    <t>park #41</t>
  </si>
  <si>
    <t>park #81</t>
  </si>
  <si>
    <t>11th run at Wycombe Rye</t>
  </si>
  <si>
    <t>Glasgow Tollcross</t>
  </si>
  <si>
    <t>GLA Tollcross</t>
  </si>
  <si>
    <t>started 26th April 2014</t>
  </si>
  <si>
    <t>HERTS</t>
  </si>
  <si>
    <t>ESSEX</t>
  </si>
  <si>
    <t>LFW</t>
  </si>
  <si>
    <t>Linford Wood (Milton Keynes)</t>
  </si>
  <si>
    <t>MK14 6GE</t>
  </si>
  <si>
    <t>joined 20 April 2016</t>
  </si>
  <si>
    <t>Old Deer  Park</t>
  </si>
  <si>
    <t>plus</t>
  </si>
  <si>
    <t>Osterley, Forest Rec, Alice Holt, Sedgefield, Nonsuch, Maidenhead, Perry Hall, Bexley</t>
  </si>
  <si>
    <t xml:space="preserve">7.44 train to Clapham, 8.11(Sutton) train to Waddon (0836), then about a mile, take bike </t>
  </si>
  <si>
    <t>Kevin</t>
  </si>
  <si>
    <t>Holland</t>
  </si>
  <si>
    <t>0746 train to Syon Lane, then cycle</t>
  </si>
  <si>
    <t>North London schedule</t>
  </si>
  <si>
    <t>SW London</t>
  </si>
  <si>
    <t>Russia</t>
  </si>
  <si>
    <t>Kolomenskoe</t>
  </si>
  <si>
    <t>£1.50 for one hour, £2.50 for 2 hours</t>
  </si>
  <si>
    <t>Run director</t>
  </si>
  <si>
    <t>3 laps, inaugural held on 31st August 2013</t>
  </si>
  <si>
    <t>1002nd, pw at Bushy</t>
  </si>
  <si>
    <t>7th</t>
  </si>
  <si>
    <t>run #3, park #3</t>
  </si>
  <si>
    <t>run #111</t>
  </si>
  <si>
    <t>first parkrun of 2015</t>
  </si>
  <si>
    <t>BH15 2SF</t>
  </si>
  <si>
    <t>started 5/7/14</t>
  </si>
  <si>
    <t>Dartford</t>
  </si>
  <si>
    <t>DA1 1JP</t>
  </si>
  <si>
    <t>just inside M25</t>
  </si>
  <si>
    <t>run#96</t>
  </si>
  <si>
    <t>Dave Tyas 250</t>
  </si>
  <si>
    <t>run#183</t>
  </si>
  <si>
    <t>John&amp;Benita Scaife</t>
  </si>
  <si>
    <t>CK at ODP (244)</t>
  </si>
  <si>
    <t>run #85, best parkrun WAVA%</t>
  </si>
  <si>
    <t>run #265, 213th at Reading</t>
  </si>
  <si>
    <t>CF11 0SR</t>
  </si>
  <si>
    <t>SA2 0AY</t>
  </si>
  <si>
    <t>NG21 9JL</t>
  </si>
  <si>
    <t>BH24 2ET</t>
  </si>
  <si>
    <t>NR33 0BS</t>
  </si>
  <si>
    <t>WN2 1PE</t>
  </si>
  <si>
    <t>AB41 8LG</t>
  </si>
  <si>
    <t>starts 17/10/15</t>
  </si>
  <si>
    <t>PE21 9LR</t>
  </si>
  <si>
    <t>C Kelly</t>
  </si>
  <si>
    <t>run #412, 190th at Gunnsbury</t>
  </si>
  <si>
    <t>run #32, course pb, 45th/63</t>
  </si>
  <si>
    <t>F-1</t>
  </si>
  <si>
    <t>1st run at Croxteth</t>
  </si>
  <si>
    <t>NZD</t>
  </si>
  <si>
    <t>Harlow (Town park)</t>
  </si>
  <si>
    <t>HLO</t>
  </si>
  <si>
    <t>Jane</t>
  </si>
  <si>
    <t>0757 Gravesend train from Waterloo East to Dartford then 10 min walk</t>
  </si>
  <si>
    <t>run #88, park #54</t>
  </si>
  <si>
    <t>Hamilton LakeNZ &amp;Victor Harbor</t>
  </si>
  <si>
    <t>Victor Harbor SA</t>
  </si>
  <si>
    <t>run #232</t>
  </si>
  <si>
    <t>Maidenhead</t>
  </si>
  <si>
    <t>BA park # 156, park #106</t>
  </si>
  <si>
    <t>John Lennon 31:47</t>
  </si>
  <si>
    <t>BA park #234, park #19</t>
  </si>
  <si>
    <t>Harrogate (The Stray)</t>
  </si>
  <si>
    <t>Marion Taylor</t>
  </si>
  <si>
    <t>Wimbledon (43,14)</t>
  </si>
  <si>
    <t>Victor Harbor (South Australia)</t>
  </si>
  <si>
    <t>VHS</t>
  </si>
  <si>
    <t>Lochiel (Adelaide)</t>
  </si>
  <si>
    <t>Mount Baker (Adelaide)</t>
  </si>
  <si>
    <t>Murray Bridge (Adelaide)</t>
  </si>
  <si>
    <t>Torrens (Adelaide)</t>
  </si>
  <si>
    <t>run #52</t>
  </si>
  <si>
    <t>Watt</t>
  </si>
  <si>
    <t>HA1 4HZ</t>
  </si>
  <si>
    <t>Volunteer of the Year!</t>
  </si>
  <si>
    <t>Francis</t>
  </si>
  <si>
    <t>Thomason</t>
  </si>
  <si>
    <t>LBH</t>
  </si>
  <si>
    <t>Darren</t>
  </si>
  <si>
    <t>Wood</t>
  </si>
  <si>
    <t>run #564, 257th at Bushy Park</t>
  </si>
  <si>
    <t>run #500, 488th at Bushy</t>
  </si>
  <si>
    <t>run #408</t>
  </si>
  <si>
    <t>run #248, 26' pacer</t>
  </si>
  <si>
    <t>fastest parkrun in 2016 so far</t>
  </si>
  <si>
    <t>run #231, tail runner</t>
  </si>
  <si>
    <t>run #210,  + pre-event set-up</t>
  </si>
  <si>
    <t>run #293</t>
  </si>
  <si>
    <t>run #73, 28th at Sunderland</t>
  </si>
  <si>
    <t>run #68, 24th at Sunderland</t>
  </si>
  <si>
    <t xml:space="preserve">run #40 </t>
  </si>
  <si>
    <t>run #414, 192nd at Gunsbury</t>
  </si>
  <si>
    <t>run #202, 58th at Woodley</t>
  </si>
  <si>
    <t xml:space="preserve">course pb </t>
  </si>
  <si>
    <t>first run at Gedling</t>
  </si>
  <si>
    <t>Gedling CP (Notts)</t>
  </si>
  <si>
    <t>Brandon Cntry Pk</t>
  </si>
  <si>
    <t>first female finisher</t>
  </si>
  <si>
    <t>Ruffells at Brandon Park</t>
  </si>
  <si>
    <t>KA12 8TA</t>
  </si>
  <si>
    <t>PH1 5HS</t>
  </si>
  <si>
    <t>G21 3UB</t>
  </si>
  <si>
    <t>G14 9NW</t>
  </si>
  <si>
    <t>Glasgow Victoria</t>
  </si>
  <si>
    <t>GGV</t>
  </si>
  <si>
    <t>PER</t>
  </si>
  <si>
    <t>Club parkrun  - 18th August 2012</t>
  </si>
  <si>
    <t>Club parkrun - 6 October 2012</t>
  </si>
  <si>
    <t>Club parkrun at Kingston</t>
  </si>
  <si>
    <t>Steve Newell</t>
  </si>
  <si>
    <t>Winchester Services on M3</t>
  </si>
  <si>
    <t>TEM</t>
  </si>
  <si>
    <t>and Halloween run</t>
  </si>
  <si>
    <t>run#54</t>
  </si>
  <si>
    <t>Great River Swim Day</t>
  </si>
  <si>
    <t>run#36</t>
  </si>
  <si>
    <t>Met Line ok</t>
  </si>
  <si>
    <t>Raphael (61)</t>
  </si>
  <si>
    <t>L'pool Princes</t>
  </si>
  <si>
    <t>Turner</t>
  </si>
  <si>
    <t>Kimberley</t>
  </si>
  <si>
    <t>park #42</t>
  </si>
  <si>
    <t>TS21 2DN</t>
  </si>
  <si>
    <t>SY1 1RN</t>
  </si>
  <si>
    <t>look out for</t>
  </si>
  <si>
    <t>due soon</t>
  </si>
  <si>
    <t>ORP</t>
  </si>
  <si>
    <t>St Helens (Victoria Park)</t>
  </si>
  <si>
    <t>Roundshaw Downs (Croydon Airport)</t>
  </si>
  <si>
    <t>Horsham Joggers</t>
  </si>
  <si>
    <t>CAS</t>
  </si>
  <si>
    <t>run #288, 226th at Reading</t>
  </si>
  <si>
    <t>run #408, best for 3 months</t>
  </si>
  <si>
    <t>started 10/10/15</t>
  </si>
  <si>
    <t>run #262</t>
  </si>
  <si>
    <t>Hull (East Park)</t>
  </si>
  <si>
    <t>F-3, first run at Cassiobury</t>
  </si>
  <si>
    <t>Sheffield Hallam (Endcliffe Park)</t>
  </si>
  <si>
    <t>average pb</t>
  </si>
  <si>
    <t>park total</t>
  </si>
  <si>
    <t>Next likely parks</t>
  </si>
  <si>
    <t>5 laps!</t>
  </si>
  <si>
    <t>COP</t>
  </si>
  <si>
    <t>DRU</t>
  </si>
  <si>
    <t>FOK</t>
  </si>
  <si>
    <t>Lead bike</t>
  </si>
  <si>
    <t>x</t>
  </si>
  <si>
    <t>Buckinghm</t>
  </si>
  <si>
    <t>East Coast Park</t>
  </si>
  <si>
    <t>Gordon</t>
  </si>
  <si>
    <t>Basingstoke (War Memorial Park)</t>
  </si>
  <si>
    <r>
      <t>F</t>
    </r>
    <r>
      <rPr>
        <sz val="10"/>
        <rFont val="Arial"/>
        <family val="2"/>
      </rPr>
      <t>alkirk (Callendar Park)</t>
    </r>
  </si>
  <si>
    <t>100th run at Gunnersbury</t>
  </si>
  <si>
    <t xml:space="preserve">Crane Park </t>
  </si>
  <si>
    <t>x5- Chris Kelly</t>
  </si>
  <si>
    <t>x4- Monica Alonso</t>
  </si>
  <si>
    <t>run #301, park 142 (tbc)</t>
  </si>
  <si>
    <t xml:space="preserve">run #4 </t>
  </si>
  <si>
    <t>Chaytor</t>
  </si>
  <si>
    <t>M</t>
  </si>
  <si>
    <t>BA</t>
  </si>
  <si>
    <t>benchaytor@gmail.com</t>
  </si>
  <si>
    <t>Marzia</t>
  </si>
  <si>
    <t>Coltelli</t>
  </si>
  <si>
    <t>Darlington South Park</t>
  </si>
  <si>
    <t>Druridge Bay</t>
  </si>
  <si>
    <t>Gateshead</t>
  </si>
  <si>
    <t>Hartlepool</t>
  </si>
  <si>
    <t>Newcastle</t>
  </si>
  <si>
    <t>GDY</t>
  </si>
  <si>
    <t>Gdansk</t>
  </si>
  <si>
    <t>BA park#94</t>
  </si>
  <si>
    <t>only 2015 run at Black Park</t>
  </si>
  <si>
    <t>first run at Oxford</t>
  </si>
  <si>
    <t>run #390</t>
  </si>
  <si>
    <t>record attendance 197</t>
  </si>
  <si>
    <t>Bois de Boulogne</t>
  </si>
  <si>
    <t>G32 7YH</t>
  </si>
  <si>
    <t>Ireland (rep of)</t>
  </si>
  <si>
    <t>Ardgillan</t>
  </si>
  <si>
    <t>Castle Demense</t>
  </si>
  <si>
    <t>Castlebar</t>
  </si>
  <si>
    <t>agegroup course pb</t>
  </si>
  <si>
    <t>24 miles</t>
  </si>
  <si>
    <t>Tonbridge, Brockenhurst</t>
  </si>
  <si>
    <t>finish tokens</t>
  </si>
  <si>
    <t>19th</t>
  </si>
  <si>
    <t>having a slow week!</t>
  </si>
  <si>
    <t>0734 train from Gunnersbury</t>
  </si>
  <si>
    <t>56 mins</t>
  </si>
  <si>
    <t>NE61 5BX</t>
  </si>
  <si>
    <t>North Beach ZA</t>
  </si>
  <si>
    <t>Gunpowder</t>
  </si>
  <si>
    <t>Malahide</t>
  </si>
  <si>
    <t>Marlay</t>
  </si>
  <si>
    <t>Naas</t>
  </si>
  <si>
    <t>St Annes</t>
  </si>
  <si>
    <t>Lanhydrock</t>
  </si>
  <si>
    <t>run #137, 125th at Bedfont</t>
  </si>
  <si>
    <t>run #121, 84th at Bedfont</t>
  </si>
  <si>
    <t>Gunnersbury 86 &amp; 20</t>
  </si>
  <si>
    <t>Cairns (Queensland)</t>
  </si>
  <si>
    <t>Pontypridd</t>
  </si>
  <si>
    <t>Started 5th October 2013</t>
  </si>
  <si>
    <t>TR at Sutton 1215 ko</t>
  </si>
  <si>
    <t>7.29 from Chiswick to Waterloo, 8.18 from Waterloo East to Orpington (Hastings) arr 8.38, 11 min bike ride</t>
  </si>
  <si>
    <t>Haywards Heath</t>
  </si>
  <si>
    <t>Walsall Arboretum</t>
  </si>
  <si>
    <t>WS1 2QG</t>
  </si>
  <si>
    <t>Daniela</t>
  </si>
  <si>
    <t>run #31</t>
  </si>
  <si>
    <t>20th/102</t>
  </si>
  <si>
    <t>Club parkrun - 1st October 2011,</t>
  </si>
  <si>
    <t>club rec</t>
  </si>
  <si>
    <t xml:space="preserve">Aldenham </t>
  </si>
  <si>
    <t>Gunnersbury 83</t>
  </si>
  <si>
    <t>run #39</t>
  </si>
  <si>
    <t>Started 2nd August 2014</t>
  </si>
  <si>
    <t>next 23:19</t>
  </si>
  <si>
    <t>Epping Forest/Enfield</t>
  </si>
  <si>
    <t>swim 1230</t>
  </si>
  <si>
    <t>Gunnersbury 70</t>
  </si>
  <si>
    <t>parkrun pb, age cat rec</t>
  </si>
  <si>
    <t>South Africa (park #56)</t>
  </si>
  <si>
    <t>Jeremy</t>
  </si>
  <si>
    <t>Short</t>
  </si>
  <si>
    <t>club course record (F)</t>
  </si>
  <si>
    <t>injured, worn out!</t>
  </si>
  <si>
    <t>Simon Ashford</t>
  </si>
  <si>
    <t>run #10, BA park #130</t>
  </si>
  <si>
    <t>run #190, best time this year</t>
  </si>
  <si>
    <t>run #375</t>
  </si>
  <si>
    <t>Canterbury</t>
  </si>
  <si>
    <t>CT2 7NW</t>
  </si>
  <si>
    <t>CNH</t>
  </si>
  <si>
    <t>CBY</t>
  </si>
  <si>
    <t>Killerton (Deer Park near Exeter)</t>
  </si>
  <si>
    <t>TN17 2SJ</t>
  </si>
  <si>
    <t>Bedgebury Pinetum (Goudhurst)</t>
  </si>
  <si>
    <t>Canada</t>
  </si>
  <si>
    <t>BC</t>
  </si>
  <si>
    <t>NHC</t>
  </si>
  <si>
    <t>Nose Hill</t>
  </si>
  <si>
    <t>OKK</t>
  </si>
  <si>
    <t>Nose Hill Calgary</t>
  </si>
  <si>
    <t>Okanagen (Kelowna BC)</t>
  </si>
  <si>
    <t>AB</t>
  </si>
  <si>
    <t>Nose Hill (Calgary, Alberta)</t>
  </si>
  <si>
    <t>107th/602, member ????</t>
  </si>
  <si>
    <t>run #158</t>
  </si>
  <si>
    <t>2nd run this month</t>
  </si>
  <si>
    <t>Helsdon</t>
  </si>
  <si>
    <t xml:space="preserve">run #21 </t>
  </si>
  <si>
    <t>193rd run at Gunnersbury</t>
  </si>
  <si>
    <t xml:space="preserve">Gary </t>
  </si>
  <si>
    <t>park #158</t>
  </si>
  <si>
    <t>BA park #268</t>
  </si>
  <si>
    <t>Enniskillen, Falls, Limavady</t>
  </si>
  <si>
    <t>record now down to 25:07</t>
  </si>
  <si>
    <t xml:space="preserve">flat </t>
  </si>
  <si>
    <t>CM9 5JQ</t>
  </si>
  <si>
    <t>DUM</t>
  </si>
  <si>
    <t>Tail runner, 197th</t>
  </si>
  <si>
    <t>run #239</t>
  </si>
  <si>
    <t>COG</t>
  </si>
  <si>
    <t>JER</t>
  </si>
  <si>
    <t>St Anne's</t>
  </si>
  <si>
    <t>Bracknell</t>
  </si>
  <si>
    <t>RG40 3EE</t>
  </si>
  <si>
    <t>run #340</t>
  </si>
  <si>
    <t>9th/94</t>
  </si>
  <si>
    <t>run #88</t>
  </si>
  <si>
    <t>Warbrtn-Brown</t>
  </si>
  <si>
    <t>7.21 H&amp;C train to L'pool st, 8.00 Shenfield train to Romford (via Stratford)</t>
  </si>
  <si>
    <t>Keenleyside</t>
  </si>
  <si>
    <t>BApark #168 ?????</t>
  </si>
  <si>
    <t>Waine</t>
  </si>
  <si>
    <t xml:space="preserve">Osterley Inaugural </t>
  </si>
  <si>
    <t>run #115, 25th/115</t>
  </si>
  <si>
    <t>7th/72</t>
  </si>
  <si>
    <t>Coburg (Melbourne)</t>
  </si>
  <si>
    <t>Jells (Melbourne)</t>
  </si>
  <si>
    <t>start lamppost 8</t>
  </si>
  <si>
    <t>Tailrunner, run #4</t>
  </si>
  <si>
    <t>run #288</t>
  </si>
  <si>
    <t>BA park #295</t>
  </si>
  <si>
    <t>F-2, run #83</t>
  </si>
  <si>
    <t>run #18, 17th at Oak Hill</t>
  </si>
  <si>
    <t>247th run at Black Park</t>
  </si>
  <si>
    <t>run #285</t>
  </si>
  <si>
    <t>run #143</t>
  </si>
  <si>
    <t>club course record</t>
  </si>
  <si>
    <t>SK6 5DU</t>
  </si>
  <si>
    <t>Marple (Stockport)</t>
  </si>
  <si>
    <t>Tim</t>
  </si>
  <si>
    <t>Hawkes</t>
  </si>
  <si>
    <t>274th/462</t>
  </si>
  <si>
    <t>CAT</t>
  </si>
  <si>
    <t>Harrow Lodge (Hornchurch)</t>
  </si>
  <si>
    <t>Mosman</t>
  </si>
  <si>
    <t>Newy</t>
  </si>
  <si>
    <t>Grovelands (Enfield)</t>
  </si>
  <si>
    <t>WA10 2UE</t>
  </si>
  <si>
    <t>SHE</t>
  </si>
  <si>
    <t>run #155, 4th at Bushy</t>
  </si>
  <si>
    <t>Banbury</t>
  </si>
  <si>
    <t>next 23:26</t>
  </si>
  <si>
    <t>William Hunter</t>
  </si>
  <si>
    <t>Natalie</t>
  </si>
  <si>
    <t>C Kelly 150</t>
  </si>
  <si>
    <t>Wormwood Scubs</t>
  </si>
  <si>
    <t>long grass !</t>
  </si>
  <si>
    <t>Gdynia</t>
  </si>
  <si>
    <t>GDA</t>
  </si>
  <si>
    <t>BOL</t>
  </si>
  <si>
    <t>BUL</t>
  </si>
  <si>
    <t>CAR</t>
  </si>
  <si>
    <t>CUE</t>
  </si>
  <si>
    <t>LOG</t>
  </si>
  <si>
    <t>OMK</t>
  </si>
  <si>
    <t>PND</t>
  </si>
  <si>
    <t>PNN</t>
  </si>
  <si>
    <t>PNR</t>
  </si>
  <si>
    <t>WGR</t>
  </si>
  <si>
    <t>WID</t>
  </si>
  <si>
    <t>WTO</t>
  </si>
  <si>
    <t>WKT</t>
  </si>
  <si>
    <t>WLW</t>
  </si>
  <si>
    <t>Carlisle (Chances Park)</t>
  </si>
  <si>
    <t>Copenhagen Amager Strandpark</t>
  </si>
  <si>
    <t>Denmark</t>
  </si>
  <si>
    <t>Poland</t>
  </si>
  <si>
    <t>Reigate &amp; Banstead</t>
  </si>
  <si>
    <t>YEM</t>
  </si>
  <si>
    <t>BR2 9EJ</t>
  </si>
  <si>
    <t>park #135</t>
  </si>
  <si>
    <t>plus being a marshal</t>
  </si>
  <si>
    <t>plus Barnwells</t>
  </si>
  <si>
    <t>BCH</t>
  </si>
  <si>
    <t>run #136, 9th at Crane Park</t>
  </si>
  <si>
    <t>2 laps, sandy paths, undulating, quite tough (R Ruffell Aug 2015)  "Watch out for adders, don't tread on them!"</t>
  </si>
  <si>
    <t>PPD</t>
  </si>
  <si>
    <t>CF37 4PE</t>
  </si>
  <si>
    <t>pb, F-2</t>
  </si>
  <si>
    <t>first run at Gunnersbury</t>
  </si>
  <si>
    <t>run #227, 195th at Bushy</t>
  </si>
  <si>
    <t>tailrunner, 425th</t>
  </si>
  <si>
    <t>run #35, 1st at Guildford</t>
  </si>
  <si>
    <t>run #148, 10th at Crane Park</t>
  </si>
  <si>
    <t>run #381</t>
  </si>
  <si>
    <t>run #225, park #170</t>
  </si>
  <si>
    <t>undulating</t>
  </si>
  <si>
    <t>run #125, park #72</t>
  </si>
  <si>
    <t>run #237, park #77</t>
  </si>
  <si>
    <t>run #147, 124th at Crane Park</t>
  </si>
  <si>
    <t>run #143, 2nd finisher</t>
  </si>
  <si>
    <t>run #286, 1st run at Osterley</t>
  </si>
  <si>
    <t>started 27/09/14</t>
  </si>
  <si>
    <t>started 4/10/14</t>
  </si>
  <si>
    <t>Simon Ashford at Chichester</t>
  </si>
  <si>
    <t>LE3 1JS</t>
  </si>
  <si>
    <t>Grovelands (Southgate/Winchmore Hill)</t>
  </si>
  <si>
    <t>Burgess Park (Camberwell)</t>
  </si>
  <si>
    <t>SE5 7LA</t>
  </si>
  <si>
    <t>bike</t>
  </si>
  <si>
    <t>DLR to Royal Albert</t>
  </si>
  <si>
    <t>Car</t>
  </si>
  <si>
    <t>Guildford (Stoke Park)</t>
  </si>
  <si>
    <t>7.44 train from Chiswick to Clap Jun, then Overground to Peckham Rye (take bike)</t>
  </si>
  <si>
    <t>course pb, F-3, BA park #211</t>
  </si>
  <si>
    <t>Highlands</t>
  </si>
  <si>
    <t>MV70-74</t>
  </si>
  <si>
    <t>MV55-59</t>
  </si>
  <si>
    <t>MV75-79</t>
  </si>
  <si>
    <t>NZK</t>
  </si>
  <si>
    <t>NZL</t>
  </si>
  <si>
    <t>NZP</t>
  </si>
  <si>
    <t>undulating, mostly on grass</t>
  </si>
  <si>
    <t>Marion Woodhouse0:30</t>
  </si>
  <si>
    <t>Wormwood</t>
  </si>
  <si>
    <t>MV45-49</t>
  </si>
  <si>
    <t>venue agecat record</t>
  </si>
  <si>
    <t>parkrun pb and venue agecat record</t>
  </si>
  <si>
    <t>C Kelly pb</t>
  </si>
  <si>
    <t>New Years Day 2015</t>
  </si>
  <si>
    <t>NR13 5RF</t>
  </si>
  <si>
    <t>Rushmere</t>
  </si>
  <si>
    <t>run #217</t>
  </si>
  <si>
    <t>Brockwell Park</t>
  </si>
  <si>
    <t>run 93</t>
  </si>
  <si>
    <t>WD19 4LT</t>
  </si>
  <si>
    <t>SOX</t>
  </si>
  <si>
    <t>B &amp; J Scaife</t>
  </si>
  <si>
    <t>Gladstone Park (Dollis Hill)</t>
  </si>
  <si>
    <t>Rainham station RM13 9YH</t>
  </si>
  <si>
    <t>or 0747 from Turnham Green (Westbound), A tion Town, Rayners Lane</t>
  </si>
  <si>
    <t>3rd anniversary run</t>
  </si>
  <si>
    <t>Waltham F</t>
  </si>
  <si>
    <t>Ham &amp; Ful</t>
  </si>
  <si>
    <t>Ken &amp; Ch</t>
  </si>
  <si>
    <t>Westmin</t>
  </si>
  <si>
    <t>Tower H</t>
  </si>
  <si>
    <t xml:space="preserve">Lambeth </t>
  </si>
  <si>
    <t>Woodley nominated as club parkrun</t>
  </si>
  <si>
    <t>park #98, first woman</t>
  </si>
  <si>
    <t>EH4 6NU</t>
  </si>
  <si>
    <t>Scotland</t>
  </si>
  <si>
    <t>from Chiswick</t>
  </si>
  <si>
    <t xml:space="preserve">from Hillpark Green </t>
  </si>
  <si>
    <t>EH4 7TB</t>
  </si>
  <si>
    <t>Cuerden Valley</t>
  </si>
  <si>
    <t>RH in Paris</t>
  </si>
  <si>
    <r>
      <t>run #50</t>
    </r>
    <r>
      <rPr>
        <sz val="9"/>
        <rFont val="Arial"/>
        <family val="2"/>
      </rPr>
      <t>, 25th at Maidenhead</t>
    </r>
  </si>
  <si>
    <t>run #98, 6th at Northala Fields</t>
  </si>
  <si>
    <t>run #66, 19th at Upton Court</t>
  </si>
  <si>
    <t>run #135, 8th at Crane Park</t>
  </si>
  <si>
    <t>F-4</t>
  </si>
  <si>
    <t>Basildon (Northlands Park)</t>
  </si>
  <si>
    <t>Wolverhampton (West Park)</t>
  </si>
  <si>
    <t>NR14 8AE</t>
  </si>
  <si>
    <t>3.75 laps of Mulbarton Common</t>
  </si>
  <si>
    <t>NN11 4FP</t>
  </si>
  <si>
    <t>RH at Dunfermline</t>
  </si>
  <si>
    <t>Dunfermline</t>
  </si>
  <si>
    <t>Lullingstone (73)</t>
  </si>
  <si>
    <t>152nd parkrun</t>
  </si>
  <si>
    <t>Black Park</t>
  </si>
  <si>
    <t>Richard Ruffell</t>
  </si>
  <si>
    <t>Eddie Giles</t>
  </si>
  <si>
    <t>fairly flat</t>
  </si>
  <si>
    <t>Caroline Cockram 23:09</t>
  </si>
  <si>
    <t>Caroline Cockram 23:51</t>
  </si>
  <si>
    <t>Caroline Cockram 30:57</t>
  </si>
  <si>
    <t>Caroline Cockram 27:13</t>
  </si>
  <si>
    <t>PPB</t>
  </si>
  <si>
    <t xml:space="preserve">Preston, Lancs    </t>
  </si>
  <si>
    <t>PR1 4LX</t>
  </si>
  <si>
    <t>SR3 1PD</t>
  </si>
  <si>
    <t>parkrun pb, club course pb</t>
  </si>
  <si>
    <t>will start 11 June 2016</t>
  </si>
  <si>
    <t>BN11 2EN</t>
  </si>
  <si>
    <t>PR9 9ND</t>
  </si>
  <si>
    <t>WTH</t>
  </si>
  <si>
    <t>started 21st May 2016</t>
  </si>
  <si>
    <t>7.44 Overground from Gunnersbury, 8.11 from Willesden Jct to Harrow &amp; Wealdstone (with bike)</t>
  </si>
  <si>
    <t>43 miles by road (A13)</t>
  </si>
  <si>
    <t>SWA</t>
  </si>
  <si>
    <t>GLA</t>
  </si>
  <si>
    <t>TIL</t>
  </si>
  <si>
    <t>WIM</t>
  </si>
  <si>
    <t>BFD</t>
  </si>
  <si>
    <t>SWI</t>
  </si>
  <si>
    <t>EAS</t>
  </si>
  <si>
    <t>GUP</t>
  </si>
  <si>
    <t>BFL</t>
  </si>
  <si>
    <t>LEM</t>
  </si>
  <si>
    <t>Parks</t>
  </si>
  <si>
    <t>BUG</t>
  </si>
  <si>
    <t>RSD</t>
  </si>
  <si>
    <t>GRO</t>
  </si>
  <si>
    <t>MIL</t>
  </si>
  <si>
    <t>HIL</t>
  </si>
  <si>
    <t>run #136</t>
  </si>
  <si>
    <t>run #279</t>
  </si>
  <si>
    <t>run #12, 1st at Southport</t>
  </si>
  <si>
    <t>Kingston / Richmond</t>
  </si>
  <si>
    <t>Brent</t>
  </si>
  <si>
    <t>Richmond / Hounslow</t>
  </si>
  <si>
    <t>Camden</t>
  </si>
  <si>
    <t>Lambeth</t>
  </si>
  <si>
    <t>A21</t>
  </si>
  <si>
    <t>M20</t>
  </si>
  <si>
    <t>M2</t>
  </si>
  <si>
    <t>4 new parks</t>
  </si>
  <si>
    <t>John Isaacs</t>
  </si>
  <si>
    <t>CFC</t>
  </si>
  <si>
    <t>Chelmsford Central</t>
  </si>
  <si>
    <r>
      <t>V</t>
    </r>
    <r>
      <rPr>
        <sz val="10"/>
        <rFont val="Arial"/>
        <family val="2"/>
      </rPr>
      <t>alentines (Redbridge)</t>
    </r>
  </si>
  <si>
    <t>Hackney</t>
  </si>
  <si>
    <t>Wormwd</t>
  </si>
  <si>
    <t>Gunsbury</t>
  </si>
  <si>
    <t>27' pacer</t>
  </si>
  <si>
    <t>and barcode scanner</t>
  </si>
  <si>
    <t>Bromley (Norman Park)</t>
  </si>
  <si>
    <t>Basildon</t>
  </si>
  <si>
    <t>East England</t>
  </si>
  <si>
    <t>DUB St Anne's</t>
  </si>
  <si>
    <t>park #82, BA park #121</t>
  </si>
  <si>
    <t>(cf Alan anderson 344)</t>
  </si>
  <si>
    <t>15 behind Alan Anderson</t>
  </si>
  <si>
    <t>handicapped by slow dog</t>
  </si>
  <si>
    <t>from East Croydon Station</t>
  </si>
  <si>
    <t>Inaugural 18 May 2013</t>
  </si>
  <si>
    <t>course pb, run #72</t>
  </si>
  <si>
    <t>Club parkrun  1st June 2013</t>
  </si>
  <si>
    <t>Queen Eliz (45,16)</t>
  </si>
  <si>
    <t>CR0 1LF</t>
  </si>
  <si>
    <t>CW12 4FP</t>
  </si>
  <si>
    <t>3 flat fast laps of Astbury Mere</t>
  </si>
  <si>
    <t>1st</t>
  </si>
  <si>
    <t>run #222</t>
  </si>
  <si>
    <t>tapering !</t>
  </si>
  <si>
    <t>run #234</t>
  </si>
  <si>
    <t>run #157</t>
  </si>
  <si>
    <t>John Lennon 29:54</t>
  </si>
  <si>
    <t>run #501, park #183</t>
  </si>
  <si>
    <t>park #171</t>
  </si>
  <si>
    <t>twice in a month!</t>
  </si>
  <si>
    <t>1st place , pb</t>
  </si>
  <si>
    <t>park #18, BA park #108</t>
  </si>
  <si>
    <t>Gunnersbury (Santa Run)</t>
  </si>
  <si>
    <t>Crane Park/2</t>
  </si>
  <si>
    <t>Kingston/2</t>
  </si>
  <si>
    <t>again!</t>
  </si>
  <si>
    <t>Wycombe</t>
  </si>
  <si>
    <t xml:space="preserve">Bedfont </t>
  </si>
  <si>
    <t>CDF</t>
  </si>
  <si>
    <t>Cardiff</t>
  </si>
  <si>
    <t>CF14 3AT</t>
  </si>
  <si>
    <t>Cardiff (Bute Park)</t>
  </si>
  <si>
    <t>QEC</t>
  </si>
  <si>
    <t>first ever parkrun, club best</t>
  </si>
  <si>
    <t>RHampton, R Wiltshire</t>
  </si>
  <si>
    <t>unofficial pacing</t>
  </si>
  <si>
    <t>tender tendon</t>
  </si>
  <si>
    <t>"tourist"</t>
  </si>
  <si>
    <t>301st BA run at Bedfont</t>
  </si>
  <si>
    <t>2.9 laps with undulations</t>
  </si>
  <si>
    <t>extra hills!</t>
  </si>
  <si>
    <t>Woking</t>
  </si>
  <si>
    <t>GU22 9BA</t>
  </si>
  <si>
    <t>WOK</t>
  </si>
  <si>
    <t>report writer</t>
  </si>
  <si>
    <t>back into it now!</t>
  </si>
  <si>
    <t>a rare outing</t>
  </si>
  <si>
    <t>inaugural</t>
  </si>
  <si>
    <t>Black Park cfp</t>
  </si>
  <si>
    <t>Brighton &amp; Hove (Hove Park)</t>
  </si>
  <si>
    <t>BN3 7PN</t>
  </si>
  <si>
    <t>M25</t>
  </si>
  <si>
    <t>Identified as future Club featured parkrun</t>
  </si>
  <si>
    <t>run #72, 65th at Upton Court</t>
  </si>
  <si>
    <t>run #14, 13th at Oak Hill</t>
  </si>
  <si>
    <t>run #62, 55th at Guildford</t>
  </si>
  <si>
    <t>run #24, 12th at Guildford</t>
  </si>
  <si>
    <t xml:space="preserve">run #22 </t>
  </si>
  <si>
    <t>33' pacer, 91st run at Gunsbury</t>
  </si>
  <si>
    <t>club course record, park #155</t>
  </si>
  <si>
    <t>BSE</t>
  </si>
  <si>
    <t>1st run at Bury St Edmunds</t>
  </si>
  <si>
    <t>run #165, 12th at Crane Park</t>
  </si>
  <si>
    <t>run #134, 112th at Crane Park</t>
  </si>
  <si>
    <t>course pb (club record)</t>
  </si>
  <si>
    <t>1st run at Guernsey</t>
  </si>
  <si>
    <t>park #17</t>
  </si>
  <si>
    <t>G41 4AT</t>
  </si>
  <si>
    <t>900th/1104</t>
  </si>
  <si>
    <t>run #2 (Gatwick staff)</t>
  </si>
  <si>
    <t>BTH</t>
  </si>
  <si>
    <t>BA2 7BR</t>
  </si>
  <si>
    <t>WD18 7LB</t>
  </si>
  <si>
    <t>Hockley Woods</t>
  </si>
  <si>
    <t>SS5 4RN</t>
  </si>
  <si>
    <t>WAT</t>
  </si>
  <si>
    <t>Chasetheplace week 1 17,337 in the game</t>
  </si>
  <si>
    <t xml:space="preserve">Chasetheplace week 3 4,910 still in after three weeks </t>
  </si>
  <si>
    <t>week 1</t>
  </si>
  <si>
    <t>Boston (Witham Way CP)</t>
  </si>
  <si>
    <t>run #12</t>
  </si>
  <si>
    <t>Flatish 2 laps, XC</t>
  </si>
  <si>
    <t>Barclay</t>
  </si>
  <si>
    <t>FV50-54</t>
  </si>
  <si>
    <t>Julie Barclay</t>
  </si>
  <si>
    <t>pb, agecat record</t>
  </si>
  <si>
    <t>G'powder(v)</t>
  </si>
  <si>
    <t>x3- Alan Anderson</t>
  </si>
  <si>
    <t>Chase the Place week 6</t>
  </si>
  <si>
    <t>3rd place</t>
  </si>
  <si>
    <t>BA park #197, park #124</t>
  </si>
  <si>
    <t>14Feb,19Sep</t>
  </si>
  <si>
    <t>run #212</t>
  </si>
  <si>
    <t>run #129</t>
  </si>
  <si>
    <t>RH at Netley Abbey</t>
  </si>
  <si>
    <t xml:space="preserve">Sreeram </t>
  </si>
  <si>
    <t>run #360</t>
  </si>
  <si>
    <t>CLG</t>
  </si>
  <si>
    <t>25th April 2015</t>
  </si>
  <si>
    <t>Milton Keynes (Willen Lake)</t>
  </si>
  <si>
    <t>Portsmouth L</t>
  </si>
  <si>
    <t>Croxteth Hall (Merseyside)</t>
  </si>
  <si>
    <t>CXT</t>
  </si>
  <si>
    <t>park #37, BA park #110</t>
  </si>
  <si>
    <t>run #348, 221st at Bedfont</t>
  </si>
  <si>
    <t>run#295</t>
  </si>
  <si>
    <t>Four laps, undulating.  Started July 2013</t>
  </si>
  <si>
    <t>run #32, 29th at Harrow</t>
  </si>
  <si>
    <t>Flat, 3 triangular laps + start/finish straight</t>
  </si>
  <si>
    <t>St Peters Sydney</t>
  </si>
  <si>
    <t>Tooting Common</t>
  </si>
  <si>
    <t xml:space="preserve">Wandsworth </t>
  </si>
  <si>
    <t>park #69</t>
  </si>
  <si>
    <t>shadow run director</t>
  </si>
  <si>
    <t>membership status query</t>
  </si>
  <si>
    <t>baac#</t>
  </si>
  <si>
    <t>id</t>
  </si>
  <si>
    <t>GAD</t>
  </si>
  <si>
    <t>WIL</t>
  </si>
  <si>
    <t>STA</t>
  </si>
  <si>
    <t>&lt; 100</t>
  </si>
  <si>
    <t>BApark #141</t>
  </si>
  <si>
    <t>Dag &amp; Red v TR  1730 pm</t>
  </si>
  <si>
    <t>TR v Wrexham 1215</t>
  </si>
  <si>
    <t>Epsom Allsorts</t>
  </si>
  <si>
    <t>KET</t>
  </si>
  <si>
    <t>Kettering (Wicksteed Park)</t>
  </si>
  <si>
    <t>NN15 6NJ</t>
  </si>
  <si>
    <t>will start 24 Sept 2016</t>
  </si>
  <si>
    <t>SUSPENDED INDEFINITELY</t>
  </si>
  <si>
    <t>volunteer course set-up</t>
  </si>
  <si>
    <t>Gunnersbury 94, 22</t>
  </si>
  <si>
    <t>Markeaton</t>
  </si>
  <si>
    <t>Tees Barrage</t>
  </si>
  <si>
    <t>run #46, course agegroup pb</t>
  </si>
  <si>
    <t>volunteer tailrunner</t>
  </si>
  <si>
    <t>run #34, club course rec (F)</t>
  </si>
  <si>
    <t>run #60, 20th at Poole</t>
  </si>
  <si>
    <t>Markeaton (Darley)</t>
  </si>
  <si>
    <t>MKN</t>
  </si>
  <si>
    <t>leads points table (just)</t>
  </si>
  <si>
    <t>4th week in a row at Woking</t>
  </si>
  <si>
    <t>RR Ellesmere Port, RH Daventry</t>
  </si>
  <si>
    <t>x2- Tim Hawkes</t>
  </si>
  <si>
    <t>course pb, age cat record</t>
  </si>
  <si>
    <t>Alison</t>
  </si>
  <si>
    <t>Fisk</t>
  </si>
  <si>
    <t>Average borough pb</t>
  </si>
  <si>
    <t>Triathlon World Series (Hyde Park)</t>
  </si>
  <si>
    <t>Grays</t>
  </si>
  <si>
    <t>GMT</t>
  </si>
  <si>
    <t>48th run</t>
  </si>
  <si>
    <t>DCK</t>
  </si>
  <si>
    <t>BKL</t>
  </si>
  <si>
    <t>St Andrews (Craigtoun Park)</t>
  </si>
  <si>
    <t>SAC</t>
  </si>
  <si>
    <t>INV</t>
  </si>
  <si>
    <t>KY2 5PH</t>
  </si>
  <si>
    <t>Kirkcaldy (Beveridge Park)</t>
  </si>
  <si>
    <t>KKC</t>
  </si>
  <si>
    <t>KY16 8NX</t>
  </si>
  <si>
    <t>coaching junior to pb</t>
  </si>
  <si>
    <t>run #258, 221st at Bushy</t>
  </si>
  <si>
    <t>park #6, BA park #129</t>
  </si>
  <si>
    <t>next 23:10, 6th Paul Westbrook 28:15</t>
  </si>
  <si>
    <t>Toilet on platform 6</t>
  </si>
  <si>
    <t>Bridget Ruffell 27:59</t>
  </si>
  <si>
    <t>200th run at Black Park</t>
  </si>
  <si>
    <t>no pb this week!</t>
  </si>
  <si>
    <t>83.76% magnicient</t>
  </si>
  <si>
    <t>club course record, 3rd pos</t>
  </si>
  <si>
    <t>went off course, lost time</t>
  </si>
  <si>
    <t>Bedfont Lakes (Feltham/Ashford)</t>
  </si>
  <si>
    <t>Roderick at Conkers</t>
  </si>
  <si>
    <t>John Wheatley</t>
  </si>
  <si>
    <t>Westerfolds (Melbourne)</t>
  </si>
  <si>
    <t>RH at Cranleigh</t>
  </si>
  <si>
    <t>wet hilly tarmac</t>
  </si>
  <si>
    <t>clockwise variant</t>
  </si>
  <si>
    <t>train Mortlake -Teddington</t>
  </si>
  <si>
    <t>Tring</t>
  </si>
  <si>
    <t>run #259</t>
  </si>
  <si>
    <t>run #211</t>
  </si>
  <si>
    <t>first time at Burgess Park</t>
  </si>
  <si>
    <t>run #61, 54th at Guildford</t>
  </si>
  <si>
    <t>run #21, 10th at Guildford</t>
  </si>
  <si>
    <t>run #225, 197th at Busjy</t>
  </si>
  <si>
    <t>KLY</t>
  </si>
  <si>
    <t>196th run at Gunnersbury</t>
  </si>
  <si>
    <t>too heavy, too hot !</t>
  </si>
  <si>
    <t>Linford Wood</t>
  </si>
  <si>
    <t>Burnham &amp; H'Brge</t>
  </si>
  <si>
    <t>1st run at Fareham</t>
  </si>
  <si>
    <t>1st run at B&amp;H</t>
  </si>
  <si>
    <t>Burnham &amp; Highbridge</t>
  </si>
  <si>
    <t>Burnham &amp; Highbr</t>
  </si>
  <si>
    <t>Rushmere, Lee on the Solent</t>
  </si>
  <si>
    <t>run #202, 1st at Havant</t>
  </si>
  <si>
    <t>run #261, park #27</t>
  </si>
  <si>
    <t>RH at Lullingstone</t>
  </si>
  <si>
    <t>Graham Jenkins</t>
  </si>
  <si>
    <t>run #39, 25th at Black Park</t>
  </si>
  <si>
    <t>Clumber Park</t>
  </si>
  <si>
    <t>LYM</t>
  </si>
  <si>
    <t>Guernsey (Pembrook Bay)</t>
  </si>
  <si>
    <t>No dogs or buggies</t>
  </si>
  <si>
    <t>1 lap though forest, car park £3</t>
  </si>
  <si>
    <t xml:space="preserve"> started in 19 March 2016</t>
  </si>
  <si>
    <t>Dodsworths</t>
  </si>
  <si>
    <t>Leicester Vic</t>
  </si>
  <si>
    <t>Sarah Gordon 37:52</t>
  </si>
  <si>
    <t>"=parkrun pb"</t>
  </si>
  <si>
    <t>Ray</t>
  </si>
  <si>
    <t>96th/957, run #171</t>
  </si>
  <si>
    <t>run #161</t>
  </si>
  <si>
    <t>run #105</t>
  </si>
  <si>
    <t>DFL</t>
  </si>
  <si>
    <t>Dunfermline (Pittencrief park)</t>
  </si>
  <si>
    <t>Aberdeen (Beach Esplanade)</t>
  </si>
  <si>
    <t>AB24 1XN</t>
  </si>
  <si>
    <t>run #126 plus volunteering</t>
  </si>
  <si>
    <t>run #254</t>
  </si>
  <si>
    <t>1" slower than last week</t>
  </si>
  <si>
    <t>Gunpowder 109, Barclay 1</t>
  </si>
  <si>
    <t>"Hillingdon Triathletes"</t>
  </si>
  <si>
    <t>run #33</t>
  </si>
  <si>
    <t>run #68</t>
  </si>
  <si>
    <t>59 miles by road</t>
  </si>
  <si>
    <t>20th/43</t>
  </si>
  <si>
    <t>240th/297</t>
  </si>
  <si>
    <t>run #218</t>
  </si>
  <si>
    <t>16th/141</t>
  </si>
  <si>
    <t>run #404</t>
  </si>
  <si>
    <t>W4 2RU</t>
  </si>
  <si>
    <t>flies</t>
  </si>
  <si>
    <t>Steve Newell at Home</t>
  </si>
  <si>
    <t>Sharon Kassemzadeh 21:56</t>
  </si>
  <si>
    <t>Brion</t>
  </si>
  <si>
    <t>Sarah Gordon 38:21</t>
  </si>
  <si>
    <t xml:space="preserve">Mile End        </t>
  </si>
  <si>
    <t>plus volunteer photographer</t>
  </si>
  <si>
    <t>4th run at Old Deer Park</t>
  </si>
  <si>
    <t>6th anniversary</t>
  </si>
  <si>
    <t>Steph</t>
  </si>
  <si>
    <t>Owen</t>
  </si>
  <si>
    <t>Poolsbrook</t>
  </si>
  <si>
    <t>Chase the Place 2014 sponsored by Lucozade, started 26 Oct 2013</t>
  </si>
  <si>
    <t>Gunn'sbury</t>
  </si>
  <si>
    <t>week 7</t>
  </si>
  <si>
    <t>week 8</t>
  </si>
  <si>
    <t>week6</t>
  </si>
  <si>
    <t>30' pacer, run #334</t>
  </si>
  <si>
    <t>late notification #171</t>
  </si>
  <si>
    <t>started 2nd November 2013</t>
  </si>
  <si>
    <t>Gunnersbury 80</t>
  </si>
  <si>
    <t>Gunnersbury 81</t>
  </si>
  <si>
    <t>Alan 248</t>
  </si>
  <si>
    <t>Alan 246</t>
  </si>
  <si>
    <t>Alan 245</t>
  </si>
  <si>
    <t>run #127</t>
  </si>
  <si>
    <t>run #252</t>
  </si>
  <si>
    <t>run #124</t>
  </si>
  <si>
    <t>38 miles.  Check out Nissan dealers in Surrey! Reported to include some hills !</t>
  </si>
  <si>
    <t>31 miles</t>
  </si>
  <si>
    <t>43 miles</t>
  </si>
  <si>
    <t>run #213</t>
  </si>
  <si>
    <t>Seaton, Devon</t>
  </si>
  <si>
    <t>EX12 2LL</t>
  </si>
  <si>
    <t>starts 12 Nov 16</t>
  </si>
  <si>
    <t>tarmac, 2 /3  laps of lakes</t>
  </si>
  <si>
    <t>run #3</t>
  </si>
  <si>
    <t>run #23</t>
  </si>
  <si>
    <t>RM2 5AJ</t>
  </si>
  <si>
    <t>Burgess (Camberwell)</t>
  </si>
  <si>
    <t>Colchester Castle</t>
  </si>
  <si>
    <t>other</t>
  </si>
  <si>
    <t xml:space="preserve">Steve </t>
  </si>
  <si>
    <t>2013 pb</t>
  </si>
  <si>
    <t>run#43, pb</t>
  </si>
  <si>
    <t>23rd run at Gunpowder</t>
  </si>
  <si>
    <t>Gunpowder BA Clubs</t>
  </si>
  <si>
    <t>Course pbs</t>
  </si>
  <si>
    <t>Wimbledon Com</t>
  </si>
  <si>
    <t>Queen Elizabeth</t>
  </si>
  <si>
    <t xml:space="preserve">Nonsuch </t>
  </si>
  <si>
    <t>park #154</t>
  </si>
  <si>
    <t>park #74</t>
  </si>
  <si>
    <t>female points leader</t>
  </si>
  <si>
    <t>Queen Elizabeth Country Park</t>
  </si>
  <si>
    <t>Maidstone M2 Eastbound</t>
  </si>
  <si>
    <t>gareth.hobby@baesystems.com</t>
  </si>
  <si>
    <t>LE13 1HX</t>
  </si>
  <si>
    <t>LE16 9DR</t>
  </si>
  <si>
    <t>run #90</t>
  </si>
  <si>
    <t>BA park #114, park #77</t>
  </si>
  <si>
    <t>just back from Australia</t>
  </si>
  <si>
    <t>Osterley</t>
  </si>
  <si>
    <t>Osterley Park (Isleworth)</t>
  </si>
  <si>
    <t>TW7 4RD</t>
  </si>
  <si>
    <t>Osterley Park</t>
  </si>
  <si>
    <t>PLT</t>
  </si>
  <si>
    <t>Gareth Snook at Penallta</t>
  </si>
  <si>
    <t>CF82 7PG</t>
  </si>
  <si>
    <t>Discount parking possible in café, otherwise £3</t>
  </si>
  <si>
    <t>64 miles via M4, M25, M1</t>
  </si>
  <si>
    <t>Historic Counties of England</t>
  </si>
  <si>
    <t>Northumberland</t>
  </si>
  <si>
    <t>Cumberland</t>
  </si>
  <si>
    <t>Westmoreland</t>
  </si>
  <si>
    <t>Yorkshire</t>
  </si>
  <si>
    <t>Lancashire</t>
  </si>
  <si>
    <t>Cheshire</t>
  </si>
  <si>
    <t>Derbyshire</t>
  </si>
  <si>
    <t>Lincolnshire</t>
  </si>
  <si>
    <t>Bradford (Lister Park)</t>
  </si>
  <si>
    <t>BD9 4LR</t>
  </si>
  <si>
    <t>BAD</t>
  </si>
  <si>
    <t>run #113</t>
  </si>
  <si>
    <t>12th</t>
  </si>
  <si>
    <t>Hertsmere</t>
  </si>
  <si>
    <t>Aldenham (64)</t>
  </si>
  <si>
    <t>Dartford (65)</t>
  </si>
  <si>
    <t>115th run at Reading</t>
  </si>
  <si>
    <t>Newark (Sconce &amp; Devon Park)</t>
  </si>
  <si>
    <t>37 miles via A3, A24</t>
  </si>
  <si>
    <t>7.44 train from Hammersmith, change at Victoria &amp; then Seven Sisters(rail, 8.32) to Silver Street</t>
  </si>
  <si>
    <t>Banstead</t>
  </si>
  <si>
    <t>Wimbledon</t>
  </si>
  <si>
    <t>William</t>
  </si>
  <si>
    <t>but not the course record</t>
  </si>
  <si>
    <t>Strathclyde Country Park</t>
  </si>
  <si>
    <t>volunteer coordinator</t>
  </si>
  <si>
    <t>220th run at "Reading"</t>
  </si>
  <si>
    <t>48th run at Woodley</t>
  </si>
  <si>
    <t>first run at East Coast Park</t>
  </si>
  <si>
    <t>Panania</t>
  </si>
  <si>
    <t>Benita&amp;JohnScaife</t>
  </si>
  <si>
    <t>Tamar Trails</t>
  </si>
  <si>
    <t>due to start 29/10/2016</t>
  </si>
  <si>
    <t>PL19 8JE</t>
  </si>
  <si>
    <t>4 miles from Tavistock</t>
  </si>
  <si>
    <t>Richmond Olympic (Vancouver BC)</t>
  </si>
  <si>
    <t>ROV</t>
  </si>
  <si>
    <t>run#300</t>
  </si>
  <si>
    <t>run#64</t>
  </si>
  <si>
    <t>run#21, pw</t>
  </si>
  <si>
    <t>91st run at Crane Park</t>
  </si>
  <si>
    <t>run #63</t>
  </si>
  <si>
    <t>started 6/9/14</t>
  </si>
  <si>
    <t>now 5th/194 in agegroup</t>
  </si>
  <si>
    <t>Dave Dixon at Finsbury (pb)</t>
  </si>
  <si>
    <t>timekeeper</t>
  </si>
  <si>
    <t>NR23 1AB</t>
  </si>
  <si>
    <t>will start 5th Dec 2015</t>
  </si>
  <si>
    <t>Holkham Hall, Wells next the Sea</t>
  </si>
  <si>
    <t>HHH</t>
  </si>
  <si>
    <t>410 miles by road</t>
  </si>
  <si>
    <t>started 31/10/15</t>
  </si>
  <si>
    <t>started 7/11/15</t>
  </si>
  <si>
    <t>run #91</t>
  </si>
  <si>
    <t xml:space="preserve">Guildford </t>
  </si>
  <si>
    <t>Upton Court (50,20)</t>
  </si>
  <si>
    <t>Gunnersbury (50)</t>
  </si>
  <si>
    <t>16:30 – Highbury Fields parkrun</t>
  </si>
  <si>
    <t>SHH</t>
  </si>
  <si>
    <t xml:space="preserve">Joan </t>
  </si>
  <si>
    <t>female points table leader</t>
  </si>
  <si>
    <t>IOW</t>
  </si>
  <si>
    <r>
      <t>S</t>
    </r>
    <r>
      <rPr>
        <sz val="10"/>
        <rFont val="Arial"/>
        <family val="2"/>
      </rPr>
      <t>horne Woods (Gravesend)</t>
    </r>
  </si>
  <si>
    <r>
      <t>P</t>
    </r>
    <r>
      <rPr>
        <sz val="10"/>
        <rFont val="Arial"/>
        <family val="2"/>
      </rPr>
      <t>anania</t>
    </r>
  </si>
  <si>
    <t>South Manchester(Platt Field)</t>
  </si>
  <si>
    <t>Benita Scaife 32:14</t>
  </si>
  <si>
    <t>Brown</t>
  </si>
  <si>
    <t>Westmorland</t>
  </si>
  <si>
    <t>Newent (Forest of Dean)</t>
  </si>
  <si>
    <t>GL18 1QF</t>
  </si>
  <si>
    <t>run #192, 174th at Bushy</t>
  </si>
  <si>
    <t>25' pacer, run #244</t>
  </si>
  <si>
    <t>run #96,  22 at St Albans</t>
  </si>
  <si>
    <t>run #124, 85th at Bedfont</t>
  </si>
  <si>
    <t>course pb, 11th run at Poole</t>
  </si>
  <si>
    <t>run #5, all at Chichester</t>
  </si>
  <si>
    <t xml:space="preserve">Valley </t>
  </si>
  <si>
    <t>Eddie</t>
  </si>
  <si>
    <t>Giles</t>
  </si>
  <si>
    <t>Mark</t>
  </si>
  <si>
    <t>Taylor</t>
  </si>
  <si>
    <t>Gunnersbury</t>
  </si>
  <si>
    <t>2 parks in Australia</t>
  </si>
  <si>
    <t>volunteer 19</t>
  </si>
  <si>
    <t>F-4, run #165</t>
  </si>
  <si>
    <t>run #387</t>
  </si>
  <si>
    <t>Valley (Newtownabbey Co Antrim)</t>
  </si>
  <si>
    <t>HLV</t>
  </si>
  <si>
    <t>first parkrun for 53 weeks</t>
  </si>
  <si>
    <t>Chelmsford</t>
  </si>
  <si>
    <t>WIT</t>
  </si>
  <si>
    <t>Long Eaton</t>
  </si>
  <si>
    <t>to 21 November 2015</t>
  </si>
  <si>
    <t>8.12 Liv St. to Enfield Lock (with bike)</t>
  </si>
  <si>
    <t>Tower Hamlets</t>
  </si>
  <si>
    <t>Geoff Miles</t>
  </si>
  <si>
    <t>G Snook pb at Cardiff</t>
  </si>
  <si>
    <t>sb</t>
  </si>
  <si>
    <t>1/1, 1/6</t>
  </si>
  <si>
    <t>hrs</t>
  </si>
  <si>
    <t>mins</t>
  </si>
  <si>
    <t>Clonakilty (Co Cork)</t>
  </si>
  <si>
    <t>Sedgefield (Co Durham)</t>
  </si>
  <si>
    <t>JOINING</t>
  </si>
  <si>
    <t>BT6 8LT</t>
  </si>
  <si>
    <t>car</t>
  </si>
  <si>
    <t>Chase the Place week 2</t>
  </si>
  <si>
    <t>run#60</t>
  </si>
  <si>
    <t xml:space="preserve">Lissa </t>
  </si>
  <si>
    <t>run #182</t>
  </si>
  <si>
    <t>Paul Timms</t>
  </si>
  <si>
    <t>parkrun pb, club course rec</t>
  </si>
  <si>
    <t>14th/129, club course rec</t>
  </si>
  <si>
    <t>(flooded !)</t>
  </si>
  <si>
    <t>MV70-74 record</t>
  </si>
  <si>
    <t>No run at Gunnersbury or Osterley</t>
  </si>
  <si>
    <t>WYF</t>
  </si>
  <si>
    <t>Cruise from 4th-20th</t>
  </si>
  <si>
    <t>Canons Park(78)</t>
  </si>
  <si>
    <t>M-8, first run at Woodley</t>
  </si>
  <si>
    <t>51st run at Woodley</t>
  </si>
  <si>
    <t>29th run at Woodley</t>
  </si>
  <si>
    <t>run #46, 23rd at Woking</t>
  </si>
  <si>
    <t>run #101, 4th at Leicester Vic</t>
  </si>
  <si>
    <t>run #311, park #123</t>
  </si>
  <si>
    <t>Pomfrey Hill</t>
  </si>
  <si>
    <t>park #42, BA park #186</t>
  </si>
  <si>
    <t>PFH</t>
  </si>
  <si>
    <t>Pomfrey Hill (Bristol)</t>
  </si>
  <si>
    <t>BS16 9NF</t>
  </si>
  <si>
    <t>POM</t>
  </si>
  <si>
    <t>(Havering) Concorde "5" on Sunday 15th</t>
  </si>
  <si>
    <t>CRF</t>
  </si>
  <si>
    <t>Moto Medway West</t>
  </si>
  <si>
    <t>N18 3HF</t>
  </si>
  <si>
    <t>Natalie Ruffell 21:30</t>
  </si>
  <si>
    <t>hill x 3</t>
  </si>
  <si>
    <t>Chase the Place week 5</t>
  </si>
  <si>
    <t>best ever age% at Gunnersbury(76.31%)</t>
  </si>
  <si>
    <t xml:space="preserve">Natalie </t>
  </si>
  <si>
    <t>age cat rec, course pb</t>
  </si>
  <si>
    <t>Timekeeper</t>
  </si>
  <si>
    <t>RH at Hatfield Forest</t>
  </si>
  <si>
    <t>went by car</t>
  </si>
  <si>
    <t>1st run at Penrose</t>
  </si>
  <si>
    <t>same time as last week!</t>
  </si>
  <si>
    <t>Gunpowder (62)</t>
  </si>
  <si>
    <t>Banstead Woods(63)</t>
  </si>
  <si>
    <t>13:30 – Oak Hill parkrun</t>
  </si>
  <si>
    <t>15:00 – Finsbury parkrun</t>
  </si>
  <si>
    <t>run #240</t>
  </si>
  <si>
    <t>run #383</t>
  </si>
  <si>
    <t>93rd run at Crane Park</t>
  </si>
  <si>
    <t>undulating figure-of-eight</t>
  </si>
  <si>
    <t>BA park #206, park #129</t>
  </si>
  <si>
    <t>16th run at Maidenhead</t>
  </si>
  <si>
    <t>185th run at Bushy</t>
  </si>
  <si>
    <t>RH at Brentwood</t>
  </si>
  <si>
    <t>London Borough pbs</t>
  </si>
  <si>
    <t>run #106</t>
  </si>
  <si>
    <t>run #69</t>
  </si>
  <si>
    <t>Thetford (Abbey Meadows)</t>
  </si>
  <si>
    <t>THE</t>
  </si>
  <si>
    <t>Killen</t>
  </si>
  <si>
    <t>1st run at Ormeau</t>
  </si>
  <si>
    <t>Wilson</t>
  </si>
  <si>
    <t>ORM</t>
  </si>
  <si>
    <t>course pb, BA course rec</t>
  </si>
  <si>
    <t>run #108, park #74</t>
  </si>
  <si>
    <t>Brandon Country Park</t>
  </si>
  <si>
    <t>Bury St Edmunds</t>
  </si>
  <si>
    <t>BH7 6JD</t>
  </si>
  <si>
    <t>run #182, 171st at Bedfont</t>
  </si>
  <si>
    <t>3 laps plus a start/finish straight</t>
  </si>
  <si>
    <t>Sharon</t>
  </si>
  <si>
    <t>Kassemzadeh</t>
  </si>
  <si>
    <t>WV60-64</t>
  </si>
  <si>
    <t>Sharon Kassemzadeh</t>
  </si>
  <si>
    <t xml:space="preserve">Foxley </t>
  </si>
  <si>
    <t>Ormeau (South Belfast)</t>
  </si>
  <si>
    <t>run #190, first at Wycombe</t>
  </si>
  <si>
    <t>4 trains per 10 minutes</t>
  </si>
  <si>
    <t>15 mins</t>
  </si>
  <si>
    <t>Allow 5 mins to transfer from underground station</t>
  </si>
  <si>
    <t>Andrew Eynon 17:56</t>
  </si>
  <si>
    <t>Jeremy Short 21:21</t>
  </si>
  <si>
    <t>Andrew</t>
  </si>
  <si>
    <t>Paul Timms 23:39</t>
  </si>
  <si>
    <t>Glasgow</t>
  </si>
  <si>
    <t>Swindon</t>
  </si>
  <si>
    <t>Wycombe Rye</t>
  </si>
  <si>
    <t>Highbury Fields</t>
  </si>
  <si>
    <t>Amager Strandpark</t>
  </si>
  <si>
    <t>Braunstone</t>
  </si>
  <si>
    <t>133rd parkrun</t>
  </si>
  <si>
    <t>injured at 3km</t>
  </si>
  <si>
    <t>Sth Oxhey</t>
  </si>
  <si>
    <t>started 20/9/14</t>
  </si>
  <si>
    <t>Victoria</t>
  </si>
  <si>
    <t>ECP</t>
  </si>
  <si>
    <t>Rhodes</t>
  </si>
  <si>
    <t>Rhodes (Concord West, NSW)</t>
  </si>
  <si>
    <t>RHO</t>
  </si>
  <si>
    <t>Fountains Abbey (Ripon)</t>
  </si>
  <si>
    <t>HG1 1LX</t>
  </si>
  <si>
    <t>Robbie</t>
  </si>
  <si>
    <t>Stewart</t>
  </si>
  <si>
    <t>had BA slot in London Marathon</t>
  </si>
  <si>
    <t>SO31 5GA</t>
  </si>
  <si>
    <t>pb at Wycombe Rye</t>
  </si>
  <si>
    <t>run #72</t>
  </si>
  <si>
    <t>Cambridge</t>
  </si>
  <si>
    <t>Cambridge (Milton Park)</t>
  </si>
  <si>
    <t>CB24 6AZ</t>
  </si>
  <si>
    <t>SSQ</t>
  </si>
  <si>
    <t>9 x 250 shirt runners there today</t>
  </si>
  <si>
    <t>BT40 2LF</t>
  </si>
  <si>
    <t>LAR</t>
  </si>
  <si>
    <t>ECOS(Ballymena), Larne</t>
  </si>
  <si>
    <t>Wilson &amp; Killen</t>
  </si>
  <si>
    <t>M1</t>
  </si>
  <si>
    <t>A1</t>
  </si>
  <si>
    <t>M23</t>
  </si>
  <si>
    <t>A3</t>
  </si>
  <si>
    <t>M3</t>
  </si>
  <si>
    <t>32' pacer</t>
  </si>
  <si>
    <t>8th/41</t>
  </si>
  <si>
    <t>age cat rec, BApark #174</t>
  </si>
  <si>
    <t>Raphael (run #6)</t>
  </si>
  <si>
    <t>FA Cup 3rd Round</t>
  </si>
  <si>
    <t>run #173</t>
  </si>
  <si>
    <t>improves age cat rec</t>
  </si>
  <si>
    <t>12th/348</t>
  </si>
  <si>
    <t>pb, run #4</t>
  </si>
  <si>
    <t>run #6</t>
  </si>
  <si>
    <t>run #54</t>
  </si>
  <si>
    <t>finish token support</t>
  </si>
  <si>
    <t>Train to Clapham, Stoneleigh then walk about a mile</t>
  </si>
  <si>
    <t>212th out of 276 in 29:51</t>
  </si>
  <si>
    <t>New BA parkrun course</t>
  </si>
  <si>
    <t>result discrepancy</t>
  </si>
  <si>
    <t>Black Park (Iver Heath)</t>
  </si>
  <si>
    <t>Bedfont Lakes(41,13)</t>
  </si>
  <si>
    <t>Not maintained as regularly as the "Runners" worksheet</t>
  </si>
  <si>
    <t>nth claim runners</t>
  </si>
  <si>
    <t>Isle of Wight</t>
  </si>
  <si>
    <t>parkrun pb, run #90</t>
  </si>
  <si>
    <t>Casssiobury</t>
  </si>
  <si>
    <t>1st, age cat rec (MV50)</t>
  </si>
  <si>
    <t>WD6 3BX</t>
  </si>
  <si>
    <t>probably a bit nearer</t>
  </si>
  <si>
    <t>CH41 0EZ</t>
  </si>
  <si>
    <t>Birkenhead Park</t>
  </si>
  <si>
    <t>BKH</t>
  </si>
  <si>
    <t>7.34 from Gunnersbury</t>
  </si>
  <si>
    <t>Harrow, Riddlesdown</t>
  </si>
  <si>
    <t>150th run at Gunnersbury</t>
  </si>
  <si>
    <t>run #243</t>
  </si>
  <si>
    <t>run #165</t>
  </si>
  <si>
    <t>26th/109</t>
  </si>
  <si>
    <t>run #247</t>
  </si>
  <si>
    <t>Drumchapel</t>
  </si>
  <si>
    <t>Liverpool Triathlon</t>
  </si>
  <si>
    <t>Alice Holt For</t>
  </si>
  <si>
    <t>first run at Northala Fields</t>
  </si>
  <si>
    <t>run #125</t>
  </si>
  <si>
    <t>Gunpowder 105, others nil</t>
  </si>
  <si>
    <t>Joan Foxley 32:42</t>
  </si>
  <si>
    <t>run #75</t>
  </si>
  <si>
    <t>South Bucks</t>
  </si>
  <si>
    <t>Slough/Windsr&amp; M'Head</t>
  </si>
  <si>
    <t>Waltham Forest</t>
  </si>
  <si>
    <t>Havering</t>
  </si>
  <si>
    <t>Barking &amp; Dagenham</t>
  </si>
  <si>
    <t>Overground to Blackhorse Rd</t>
  </si>
  <si>
    <t>run #200,  course pb</t>
  </si>
  <si>
    <t>* To be counted in the "parks run total" there must have been at least one run by a person who was a member (full or associate) on the date of the run.</t>
  </si>
  <si>
    <t>from Southgate station</t>
  </si>
  <si>
    <t>N14 5BH</t>
  </si>
  <si>
    <t>run #325</t>
  </si>
  <si>
    <t>run #172</t>
  </si>
  <si>
    <t>Joanne</t>
  </si>
  <si>
    <t>run #248</t>
  </si>
  <si>
    <t>run #58</t>
  </si>
  <si>
    <t>tailrunner</t>
  </si>
  <si>
    <t>Llyn Llech Owain Country Park</t>
  </si>
  <si>
    <t>started 27/9/13</t>
  </si>
  <si>
    <t>NC</t>
  </si>
  <si>
    <t>On the new course at "Dinton Pastures"</t>
  </si>
  <si>
    <t>Durban N Bch</t>
  </si>
  <si>
    <t>anniv</t>
  </si>
  <si>
    <t>run#83, all at Bedfont</t>
  </si>
  <si>
    <t>2.75 clockwise laps</t>
  </si>
  <si>
    <t>CM1 2RY</t>
  </si>
  <si>
    <t>MV65-69</t>
  </si>
  <si>
    <t>Southwark Park</t>
  </si>
  <si>
    <t>Trelissick</t>
  </si>
  <si>
    <t>will start 3rd December 2016</t>
  </si>
  <si>
    <t>South West</t>
  </si>
  <si>
    <t>83 miles drive but recharge in Salisbury possible.</t>
  </si>
  <si>
    <t>SK7 3NX</t>
  </si>
  <si>
    <t>Bramhall (Stockport)</t>
  </si>
  <si>
    <t>park #16, BA park# 213</t>
  </si>
  <si>
    <t>run #120</t>
  </si>
  <si>
    <t>late starter, actual time 26:47</t>
  </si>
  <si>
    <t>Great Hollands Recreation Ground Wokingham</t>
  </si>
  <si>
    <t>run #171, 150th at Bedfont</t>
  </si>
  <si>
    <t>2 new parks</t>
  </si>
  <si>
    <t>BA park #228</t>
  </si>
  <si>
    <t>BA park #229</t>
  </si>
  <si>
    <t>RIV</t>
  </si>
  <si>
    <t>Riverside Park (Chester-le-Street)</t>
  </si>
  <si>
    <t>Ecotricity fast charging points</t>
  </si>
  <si>
    <t>??</t>
  </si>
  <si>
    <t>F-2, course age cat record</t>
  </si>
  <si>
    <t>club run 28th March 2015</t>
  </si>
  <si>
    <t>Windsor &amp; Maidenhead</t>
  </si>
  <si>
    <t>run #133</t>
  </si>
  <si>
    <t>parkruns in East Midlands</t>
  </si>
  <si>
    <t>Luton</t>
  </si>
  <si>
    <t>Overground to Crouch Hill with bike</t>
  </si>
  <si>
    <t>Northala</t>
  </si>
  <si>
    <t>Peckham</t>
  </si>
  <si>
    <t>3rd</t>
  </si>
  <si>
    <t>445th out of 675</t>
  </si>
  <si>
    <t>Petra</t>
  </si>
  <si>
    <t>Otto</t>
  </si>
  <si>
    <t>record now down to 26:09</t>
  </si>
  <si>
    <t xml:space="preserve">run director and results </t>
  </si>
  <si>
    <t>pacer</t>
  </si>
  <si>
    <t>Run report writer</t>
  </si>
  <si>
    <t>tailrunner, run #150</t>
  </si>
  <si>
    <t>Duncan Wright 19:13</t>
  </si>
  <si>
    <t>park #9</t>
  </si>
  <si>
    <t>Kertin Luksch</t>
  </si>
  <si>
    <t>run #255, 246th at Bushy</t>
  </si>
  <si>
    <t>run #47, 15th at Poole</t>
  </si>
  <si>
    <t>first run at Crissy Field</t>
  </si>
  <si>
    <t>Triathlon Course(Loughborough)</t>
  </si>
  <si>
    <t xml:space="preserve">Cunningham    </t>
  </si>
  <si>
    <t>70-74 agecatrecord</t>
  </si>
  <si>
    <t>Greenwich, Hilly Fields 117,118</t>
  </si>
  <si>
    <t>park #14</t>
  </si>
  <si>
    <t>Sreeram Sethuraman</t>
  </si>
  <si>
    <t>25th/62</t>
  </si>
  <si>
    <t>run #44</t>
  </si>
  <si>
    <t>SS at Bognor Regis</t>
  </si>
  <si>
    <t>park #36, BApark #155</t>
  </si>
  <si>
    <t>Serious hills!</t>
  </si>
  <si>
    <t>Crane Pk</t>
  </si>
  <si>
    <t>SW20-24</t>
  </si>
  <si>
    <t>most recent</t>
  </si>
  <si>
    <t>parkrun</t>
  </si>
  <si>
    <t>South Africa</t>
  </si>
  <si>
    <t>Wales</t>
  </si>
  <si>
    <t>BA park #209, park #131</t>
  </si>
  <si>
    <t>BA park #212, park #132</t>
  </si>
  <si>
    <t>BA park #216, park #134</t>
  </si>
  <si>
    <t>Aldenham</t>
  </si>
  <si>
    <t>WD6 3BA</t>
  </si>
  <si>
    <t>F-1, run #196</t>
  </si>
  <si>
    <t>run #424</t>
  </si>
  <si>
    <t>run #164, 114th at Bedfont</t>
  </si>
  <si>
    <t>run #360, 227th at Bedfont</t>
  </si>
  <si>
    <t>99th at Bedfont</t>
  </si>
  <si>
    <t>run #118, 107th at Bushy</t>
  </si>
  <si>
    <t>run #212, 191st at Bushy</t>
  </si>
  <si>
    <t>run #256</t>
  </si>
  <si>
    <t>Wormwood Scrubs, Riddlesdown, Brockwell, Frimley, Exeter Riverside, Northala,</t>
  </si>
  <si>
    <t>N52.14, W0.05</t>
  </si>
  <si>
    <t>Tyas</t>
  </si>
  <si>
    <t>Barnsley</t>
  </si>
  <si>
    <t>Sheffield Hallam</t>
  </si>
  <si>
    <t>Huddersfield</t>
  </si>
  <si>
    <t xml:space="preserve">Colette </t>
  </si>
  <si>
    <t>O'Neill</t>
  </si>
  <si>
    <t>Colette</t>
  </si>
  <si>
    <t>Hillingdon Triathletes</t>
  </si>
  <si>
    <t>run #141, 95th at Bedfont</t>
  </si>
  <si>
    <t>run #62, 57th at Cardiff</t>
  </si>
  <si>
    <t>CR0 4RR</t>
  </si>
  <si>
    <t>N14 6RA</t>
  </si>
  <si>
    <t>Finsbury</t>
  </si>
  <si>
    <t>Southport (Hesketh Park)</t>
  </si>
  <si>
    <t>SOP</t>
  </si>
  <si>
    <t>Caroline Yarnell 23:51</t>
  </si>
  <si>
    <t>run #113, 49th at Wycombe</t>
  </si>
  <si>
    <t>OakHill</t>
  </si>
  <si>
    <t>run #284, 2nd at Jersey</t>
  </si>
  <si>
    <t>Caroline Cockram 26:30</t>
  </si>
  <si>
    <t>DAR</t>
  </si>
  <si>
    <t>Caroline Cockram 25:45</t>
  </si>
  <si>
    <t>Great Cornard</t>
  </si>
  <si>
    <t>BR3 5HG</t>
  </si>
  <si>
    <t>run #55, 2nd time at Fulham</t>
  </si>
  <si>
    <t>12 miles to Banbury pakrun</t>
  </si>
  <si>
    <t>run #103, park #52</t>
  </si>
  <si>
    <t>results processor</t>
  </si>
  <si>
    <t>Birkenhead, South Shields</t>
  </si>
  <si>
    <t>1st run at Killerton</t>
  </si>
  <si>
    <t>13th run at Crane Park, pb</t>
  </si>
  <si>
    <t>115th run at Crane Park</t>
  </si>
  <si>
    <t>1st run at Bicester</t>
  </si>
  <si>
    <t>148th at Bedfont Lakes</t>
  </si>
  <si>
    <t>run #122</t>
  </si>
  <si>
    <t>run #125, 93rd Gunnersbury</t>
  </si>
  <si>
    <t>run #15, 11th at Gunnersbury</t>
  </si>
  <si>
    <t>Cassiobury Park</t>
  </si>
  <si>
    <t>run #21, 20th at Cassiobury</t>
  </si>
  <si>
    <t>miles</t>
  </si>
  <si>
    <t>Round Britain</t>
  </si>
  <si>
    <t>Cruising</t>
  </si>
  <si>
    <t>Runners</t>
  </si>
  <si>
    <t>Runs</t>
  </si>
  <si>
    <t>Fastest</t>
  </si>
  <si>
    <t>Time</t>
  </si>
  <si>
    <t>Male</t>
  </si>
  <si>
    <t>Female</t>
  </si>
  <si>
    <t>Barry Walters</t>
  </si>
  <si>
    <t>Ian Cunningham</t>
  </si>
  <si>
    <t>Bedfont Lakes</t>
  </si>
  <si>
    <t>Gary Rushmer</t>
  </si>
  <si>
    <t>Bushy Park</t>
  </si>
  <si>
    <t>Paul Knechtl</t>
  </si>
  <si>
    <t>Katherine Stather</t>
  </si>
  <si>
    <t>park #63</t>
  </si>
  <si>
    <t>Edinburgh</t>
  </si>
  <si>
    <t>CFp 8th March 2014</t>
  </si>
  <si>
    <t>COO</t>
  </si>
  <si>
    <t>New South Wales</t>
  </si>
  <si>
    <t>SUN</t>
  </si>
  <si>
    <t>Benita Scaife</t>
  </si>
  <si>
    <t>J &amp; B Scaife</t>
  </si>
  <si>
    <t>Killen &amp; Wilson</t>
  </si>
  <si>
    <t>Gloucester North</t>
  </si>
  <si>
    <t>Colin Glen, Belfast</t>
  </si>
  <si>
    <t>34' pacer (trainee)</t>
  </si>
  <si>
    <t>run #394</t>
  </si>
  <si>
    <t>new member, BA park #223</t>
  </si>
  <si>
    <t>HRG</t>
  </si>
  <si>
    <t>Linda Dodsworth</t>
  </si>
  <si>
    <t>DE12 6GA</t>
  </si>
  <si>
    <t>CV3 6PT</t>
  </si>
  <si>
    <t>Three more parks</t>
  </si>
  <si>
    <t>run #4, all at Chichester</t>
  </si>
  <si>
    <t>F-3</t>
  </si>
  <si>
    <t>Surrey League at Roundshaw Downs (M)</t>
  </si>
  <si>
    <t>Derry City</t>
  </si>
  <si>
    <t>Larne</t>
  </si>
  <si>
    <t>swim 1220</t>
  </si>
  <si>
    <t>Justine Arnott was once a member and ran at Strathclyde Country Park but her club affiliation had expired beforehand.</t>
  </si>
  <si>
    <t>Club parkrun - 10th December 2011, 29th December 2012</t>
  </si>
  <si>
    <t>SMC</t>
  </si>
  <si>
    <t>M14 6HS</t>
  </si>
  <si>
    <t>run #170</t>
  </si>
  <si>
    <t>run #104</t>
  </si>
  <si>
    <t>run #96</t>
  </si>
  <si>
    <t>run #78</t>
  </si>
  <si>
    <t>sore leg</t>
  </si>
  <si>
    <t>Greenwich (Avery Hill Park)</t>
  </si>
  <si>
    <t>SE9 2PQ</t>
  </si>
  <si>
    <t>SE4 1LE</t>
  </si>
  <si>
    <t>Hilly Fields( Lewisham)</t>
  </si>
  <si>
    <t>Old Deer Park (birthday run) 101</t>
  </si>
  <si>
    <t>Chris Kelly 250</t>
  </si>
  <si>
    <t>by car (with Alan Anderson)</t>
  </si>
  <si>
    <t>Aldenham Country Park (Elstree)</t>
  </si>
  <si>
    <t>ADH</t>
  </si>
  <si>
    <t>run #93, 85th at Upton Court</t>
  </si>
  <si>
    <t>run #48, 22nd at Northala</t>
  </si>
  <si>
    <t>run #19, 7th at Chichester</t>
  </si>
  <si>
    <t>run #110, 8th at Cassiobury</t>
  </si>
  <si>
    <t>BR6 7TA</t>
  </si>
  <si>
    <t>WA4 1DG</t>
  </si>
  <si>
    <t>WA8 6PX</t>
  </si>
  <si>
    <t>Widnes (Victoria Park)</t>
  </si>
  <si>
    <t>L39 4QP</t>
  </si>
  <si>
    <t>On a roll!</t>
  </si>
  <si>
    <t>clocks change</t>
  </si>
  <si>
    <t>Mount Edgcumbe</t>
  </si>
  <si>
    <t>Paris (Bois de Boulogne)</t>
  </si>
  <si>
    <t>PL10 1HZ</t>
  </si>
  <si>
    <t>MEG</t>
  </si>
  <si>
    <t>TOO</t>
  </si>
  <si>
    <t>Guildford</t>
  </si>
  <si>
    <t>Frimley Lodge</t>
  </si>
  <si>
    <t>Clara Halket</t>
  </si>
  <si>
    <t>Milton Keynes</t>
  </si>
  <si>
    <t>Steve Taylor</t>
  </si>
  <si>
    <t>(own time, missed funnel, lost finishing place !)</t>
  </si>
  <si>
    <t>Harrow Rec</t>
  </si>
  <si>
    <t>Guildford(v)</t>
  </si>
  <si>
    <t>Cieszyn</t>
  </si>
  <si>
    <t>Barnard</t>
  </si>
  <si>
    <t>Tony Barnwell</t>
  </si>
  <si>
    <t>Abingdon</t>
  </si>
  <si>
    <t>Hampstead Heath</t>
  </si>
  <si>
    <t>Newbury</t>
  </si>
  <si>
    <t>1st run in almost two years</t>
  </si>
  <si>
    <t>Eastleigh</t>
  </si>
  <si>
    <t>Oxford</t>
  </si>
  <si>
    <t>Woodbank (Stockport)</t>
  </si>
  <si>
    <t>Princes (Liverpool)</t>
  </si>
  <si>
    <t>started 4th April 2015</t>
  </si>
  <si>
    <t>Ian Cunningham 100</t>
  </si>
  <si>
    <t>at 2nd March 2013</t>
  </si>
  <si>
    <t>at 27th April 2013</t>
  </si>
  <si>
    <t>1 lap, flat</t>
  </si>
  <si>
    <t>first time at Upton Court</t>
  </si>
  <si>
    <t>run #7</t>
  </si>
  <si>
    <t>Cieszyn (Poland/Czech border)</t>
  </si>
  <si>
    <t>3 laps a/c</t>
  </si>
  <si>
    <t>under  29</t>
  </si>
  <si>
    <t>under 30</t>
  </si>
  <si>
    <t>parkruns in NW England</t>
  </si>
  <si>
    <t>Ron</t>
  </si>
  <si>
    <t>4th/123 female runners</t>
  </si>
  <si>
    <t>Sarah</t>
  </si>
  <si>
    <t>Brockenhurst</t>
  </si>
  <si>
    <t>BHC</t>
  </si>
  <si>
    <t>Brockenhurst (College)</t>
  </si>
  <si>
    <t>SO42 7ZE</t>
  </si>
  <si>
    <t>Ealing Half marathon on 28th</t>
  </si>
  <si>
    <t>8.10 Piccadilly train from Hammersmith, change at Green Park</t>
  </si>
  <si>
    <t>St Peters (Sydney)</t>
  </si>
  <si>
    <t>7.29 train to Clapham, then East Grinstead train to Upper Warlingham (with bike) arr 8.23</t>
  </si>
  <si>
    <t>WVH</t>
  </si>
  <si>
    <r>
      <t>Q</t>
    </r>
    <r>
      <rPr>
        <sz val="10"/>
        <rFont val="Arial"/>
        <family val="2"/>
      </rPr>
      <t>. Elizabeth Cntry Pk (Hants)</t>
    </r>
  </si>
  <si>
    <r>
      <t>U</t>
    </r>
    <r>
      <rPr>
        <sz val="10"/>
        <rFont val="Arial"/>
        <family val="2"/>
      </rPr>
      <t>pton Court (Langley)</t>
    </r>
  </si>
  <si>
    <t>Gunpowder (inside M25)</t>
  </si>
  <si>
    <t>run #77</t>
  </si>
  <si>
    <t>Clacket Lane services (Wesbound)</t>
  </si>
  <si>
    <t>South Mimms</t>
  </si>
  <si>
    <t>EN6 3QQ</t>
  </si>
  <si>
    <t xml:space="preserve">Edinburgh </t>
  </si>
  <si>
    <t>run #222, 142nd at Bedfont</t>
  </si>
  <si>
    <t>run #54, 29th at Maidenhead</t>
  </si>
  <si>
    <t>next 29.52 (John Alan Rose)</t>
  </si>
  <si>
    <t>RG5 4JZ</t>
  </si>
  <si>
    <t>E6 5LT</t>
  </si>
  <si>
    <t>Beckton</t>
  </si>
  <si>
    <t>B91 3HW</t>
  </si>
  <si>
    <t>Brueton (Solihull)</t>
  </si>
  <si>
    <t>run #195, 93rd at Woodley</t>
  </si>
  <si>
    <t>run #76, 69th at Upton Court</t>
  </si>
  <si>
    <t>back up timer / photographer</t>
  </si>
  <si>
    <t>best time so far in 2016</t>
  </si>
  <si>
    <t>run #271</t>
  </si>
  <si>
    <t>F-3, run 69</t>
  </si>
  <si>
    <t>run #287</t>
  </si>
  <si>
    <t>first run at Rosliston</t>
  </si>
  <si>
    <t xml:space="preserve">run #28 </t>
  </si>
  <si>
    <t>run #100, best time in 2016</t>
  </si>
  <si>
    <t>Hilly Fields</t>
  </si>
  <si>
    <t>Lloyd Park</t>
  </si>
  <si>
    <t>Roundshaw Downs</t>
  </si>
  <si>
    <t>Oak Hill</t>
  </si>
  <si>
    <t>Pymmes</t>
  </si>
  <si>
    <t>Riddlesdown</t>
  </si>
  <si>
    <t>Harrow Lodge</t>
  </si>
  <si>
    <t>DA6 8HL</t>
  </si>
  <si>
    <t>467th out 553 in 30:00</t>
  </si>
  <si>
    <t>Stamford Park (Stalybridge)</t>
  </si>
  <si>
    <t>SK15 1NH</t>
  </si>
  <si>
    <t>Malahyde</t>
  </si>
  <si>
    <t>park #90</t>
  </si>
  <si>
    <t>Livonia, Michigan, USA</t>
  </si>
  <si>
    <t>LIM</t>
  </si>
  <si>
    <t>M-6, run #4</t>
  </si>
  <si>
    <t>run #435</t>
  </si>
  <si>
    <t>run #94, park #21</t>
  </si>
  <si>
    <t>Montsouris, Barry Island</t>
  </si>
  <si>
    <t>tailrunner + collect signage</t>
  </si>
  <si>
    <t>run #89, park #21</t>
  </si>
  <si>
    <t>club rec(F)</t>
  </si>
  <si>
    <t>run #265</t>
  </si>
  <si>
    <t>run #33, 22nd at Rushmoor</t>
  </si>
  <si>
    <t>run #175, 1st at Rushmoor</t>
  </si>
  <si>
    <t>run #121, 110th at  Bushy</t>
  </si>
  <si>
    <t>run #248, 22nd at Bushy</t>
  </si>
  <si>
    <t>run #369, 62nd at Bushy</t>
  </si>
  <si>
    <t>run #131, 4th at Mel Mowbray</t>
  </si>
  <si>
    <t>run #313, 248th at Reading</t>
  </si>
  <si>
    <t>run #216, 149th at Reading</t>
  </si>
  <si>
    <t>Bedgebury P</t>
  </si>
  <si>
    <t>Adian</t>
  </si>
  <si>
    <t>run #65, 33rd at Woking</t>
  </si>
  <si>
    <t>run #219, 7th at Homewood</t>
  </si>
  <si>
    <t>run #96, 88th at Upton Court</t>
  </si>
  <si>
    <t>run #55, 23rd at Maidenhead</t>
  </si>
  <si>
    <t>run #65, 23rd at Maidenhead</t>
  </si>
  <si>
    <t>late across start line</t>
  </si>
  <si>
    <t>run #20, 18th at Peckham</t>
  </si>
  <si>
    <t>pacing team manager</t>
  </si>
  <si>
    <t>run #151, 109th at Gunnbury</t>
  </si>
  <si>
    <t>3rd run at Evesham</t>
  </si>
  <si>
    <t>F-1, 202nd run at Gunsbury</t>
  </si>
  <si>
    <t>run #152, 129th at Crane</t>
  </si>
  <si>
    <t>club course record, park #176</t>
  </si>
  <si>
    <t>50th run at Harrow</t>
  </si>
  <si>
    <t>49th run at Harrow</t>
  </si>
  <si>
    <t>run #188, 165th at Bedfont</t>
  </si>
  <si>
    <t>barcode scanner monitor</t>
  </si>
  <si>
    <t>2nd run at Homewood</t>
  </si>
  <si>
    <t>run #29 , 3rd at Homewood</t>
  </si>
  <si>
    <t>run #9, all at Bracknell</t>
  </si>
  <si>
    <t>run #123, 56th at Wycombe</t>
  </si>
  <si>
    <t>23rd run at Richmond Park</t>
  </si>
  <si>
    <t>9th run at Leicester Victoria</t>
  </si>
  <si>
    <t>Ian Cockram 23:45</t>
  </si>
  <si>
    <t>run #244, 97th at Gunnersby</t>
  </si>
  <si>
    <t>2 clockwise laps</t>
  </si>
  <si>
    <t>Rugby</t>
  </si>
  <si>
    <t>RUG</t>
  </si>
  <si>
    <t>CV21 3SD</t>
  </si>
  <si>
    <t>winter course, 3 sausage laps</t>
  </si>
  <si>
    <t>run #32, 31st at Oak Hill</t>
  </si>
  <si>
    <t>run #233, park #177</t>
  </si>
  <si>
    <t>BT56 8AF</t>
  </si>
  <si>
    <t>course is on sand !</t>
  </si>
  <si>
    <t>number checker</t>
  </si>
  <si>
    <t>run #220, 8th at Homewood</t>
  </si>
  <si>
    <t>run #10, all at Bracknell</t>
  </si>
  <si>
    <t>run #30, 14th at Guildford</t>
  </si>
  <si>
    <t>run #71, 56th at Guildford</t>
  </si>
  <si>
    <t>M-6, run #62</t>
  </si>
  <si>
    <t>run #149, 146th at Bedfont</t>
  </si>
  <si>
    <t>run #231, 209th at Bedfont</t>
  </si>
  <si>
    <t>run #62, 2nd run of 2016</t>
  </si>
  <si>
    <t>course pb, parkrun uk pb</t>
  </si>
  <si>
    <t>run #153, 130th at Crane Park</t>
  </si>
  <si>
    <t>run #314</t>
  </si>
  <si>
    <t>run #132, 37th at Braunstone</t>
  </si>
  <si>
    <t>run #66, 22nd at Poole</t>
  </si>
  <si>
    <t>USH</t>
  </si>
  <si>
    <t>park #175</t>
  </si>
  <si>
    <t>run #220, 150th at Reading</t>
  </si>
  <si>
    <t>Club records, 10 runners or more</t>
  </si>
  <si>
    <t>CO5 8UE</t>
  </si>
  <si>
    <t>Mersea Island</t>
  </si>
  <si>
    <t>98th run at Gunnersbury</t>
  </si>
  <si>
    <t>run #436</t>
  </si>
  <si>
    <t>run #54, 27th at Northala</t>
  </si>
  <si>
    <t>run director, results processor</t>
  </si>
  <si>
    <t>run #293, 10th at Crane</t>
  </si>
  <si>
    <t>run #371</t>
  </si>
  <si>
    <t>plus photos and run reporter</t>
  </si>
  <si>
    <t>run #267</t>
  </si>
  <si>
    <t>250th run at Reading</t>
  </si>
  <si>
    <t>run #221, 151st at Reading</t>
  </si>
  <si>
    <t>run #11, all at Bracknell</t>
  </si>
  <si>
    <t>run #223, 20th at Peckham</t>
  </si>
  <si>
    <t>BA park #301, park #73</t>
  </si>
  <si>
    <t>1st run at Rugby, park #74</t>
  </si>
  <si>
    <t>9th run at Homewood</t>
  </si>
  <si>
    <t>9th run at Fulham Palace</t>
  </si>
  <si>
    <t>run #437</t>
  </si>
  <si>
    <t>run #152, 110th at Gunsbury</t>
  </si>
  <si>
    <t>run #154, 131st at Crane</t>
  </si>
  <si>
    <t>Shoulder</t>
  </si>
  <si>
    <t>run #372</t>
  </si>
  <si>
    <t>4th run at Bedfont</t>
  </si>
  <si>
    <t>run #52, 2nd at Woodley</t>
  </si>
  <si>
    <t>2nd place in age cat (all time)</t>
  </si>
  <si>
    <t>run #316</t>
  </si>
  <si>
    <t>run #111, 1st at Richmond</t>
  </si>
  <si>
    <t>Warbrtn Brown</t>
  </si>
  <si>
    <t>run #134, 10th at Leicester Vic</t>
  </si>
  <si>
    <t>run #7, parkrun pb</t>
  </si>
  <si>
    <t>club rec (F)</t>
  </si>
  <si>
    <t>run #67, 34th at Woking</t>
  </si>
  <si>
    <t>1st run at Druridge Bay</t>
  </si>
  <si>
    <t>BA park #308</t>
  </si>
  <si>
    <t>Druridge Bay (Morpeth)</t>
  </si>
  <si>
    <t xml:space="preserve">run #67  </t>
  </si>
  <si>
    <t>moving to Dulwich in January window</t>
  </si>
  <si>
    <t>farewell appearance ?</t>
  </si>
  <si>
    <t>S &amp; L Dodsworth</t>
  </si>
  <si>
    <t>has also run once at Woking.</t>
  </si>
  <si>
    <t>run #5, parkrun pb</t>
  </si>
  <si>
    <t>run #153, 7th at Northala</t>
  </si>
  <si>
    <t>run #317</t>
  </si>
  <si>
    <t>run #112, 1st run at Reading</t>
  </si>
  <si>
    <t>2 new parks in 2 days</t>
  </si>
  <si>
    <t>run #161, 22nd at Bushy</t>
  </si>
  <si>
    <t>run #269, 231st at Bushy</t>
  </si>
  <si>
    <t>run #222, 192nd at Bushy</t>
  </si>
  <si>
    <t>run #373, 8th at Crane</t>
  </si>
  <si>
    <t>run #164, 15th at Crane</t>
  </si>
  <si>
    <t>run #178, 11th at Crane</t>
  </si>
  <si>
    <t>run #252, 8th at Crane</t>
  </si>
  <si>
    <t>course pb, club course rec(F)</t>
  </si>
  <si>
    <t>by one second !</t>
  </si>
  <si>
    <t>Emily W-Brown</t>
  </si>
  <si>
    <t>run #123, 8th at Walsall</t>
  </si>
  <si>
    <t>fourth consecutive xmas run at Walsall, fastest so far</t>
  </si>
  <si>
    <t>Roding Valley</t>
  </si>
  <si>
    <t>IG10 3BS</t>
  </si>
  <si>
    <t>7.33 Piccadilly from Hammersmith, Change at Holborn, Central Line to Loughton</t>
  </si>
  <si>
    <t>10th this year</t>
  </si>
  <si>
    <t>20th this year</t>
  </si>
  <si>
    <t>30th this year</t>
  </si>
  <si>
    <t>40th this year</t>
  </si>
  <si>
    <t>40th run this year</t>
  </si>
  <si>
    <t>48th run this year</t>
  </si>
  <si>
    <t>30th run this year</t>
  </si>
  <si>
    <t>run #438</t>
  </si>
  <si>
    <t>run #248, 99th at Gunsbury</t>
  </si>
  <si>
    <t>run #270, 232nd at Bushy</t>
  </si>
  <si>
    <t>1st run at Bushy Park</t>
  </si>
  <si>
    <t>run #433</t>
  </si>
  <si>
    <t>M-2, parkrun pb</t>
  </si>
  <si>
    <t>run #234, 212th at Bedfont</t>
  </si>
  <si>
    <t>run #59, all at Bedfont</t>
  </si>
  <si>
    <t>run #318</t>
  </si>
  <si>
    <t>run #99, 38th at Sunderland</t>
  </si>
  <si>
    <t xml:space="preserve">run #59 </t>
  </si>
  <si>
    <t>I &amp; C Cockram</t>
  </si>
  <si>
    <t>LAN</t>
  </si>
  <si>
    <t>BA park#309</t>
  </si>
  <si>
    <t>1st ever run at Woking</t>
  </si>
  <si>
    <t>run #86, 13th at Woking</t>
  </si>
  <si>
    <t>run #56, 29th at Northala</t>
  </si>
  <si>
    <t>run #12, all at Bracknell</t>
  </si>
  <si>
    <t>run #100, 91st at Upton Court</t>
  </si>
  <si>
    <t>run #155</t>
  </si>
  <si>
    <t>39th run at Braunstone</t>
  </si>
  <si>
    <t>run #11, 2nd at Southsea</t>
  </si>
  <si>
    <t>1st run at Lanhydrock</t>
  </si>
  <si>
    <t>run #94, 34th at Sunderland</t>
  </si>
  <si>
    <t>27th run at Maidenhead</t>
  </si>
  <si>
    <t>HUM</t>
  </si>
  <si>
    <t>Rushmer III</t>
  </si>
  <si>
    <t>dob 29/9/2011</t>
  </si>
  <si>
    <r>
      <rPr>
        <b/>
        <sz val="10"/>
        <rFont val="Arial"/>
        <family val="2"/>
      </rPr>
      <t>L</t>
    </r>
    <r>
      <rPr>
        <sz val="10"/>
        <rFont val="Arial"/>
        <family val="2"/>
      </rPr>
      <t>anhydrock</t>
    </r>
  </si>
  <si>
    <t>48th this year</t>
  </si>
  <si>
    <t>7 non running volunteer days = 51</t>
  </si>
  <si>
    <t>49th run this year</t>
  </si>
  <si>
    <t>plus 4 non running volunteer days</t>
  </si>
  <si>
    <t>park #179, run #235</t>
  </si>
  <si>
    <t>46th run this year</t>
  </si>
  <si>
    <t>PEP</t>
  </si>
  <si>
    <t>Albert Middlesbro</t>
  </si>
  <si>
    <t>9 a.m. start</t>
  </si>
  <si>
    <t xml:space="preserve">Emily </t>
  </si>
  <si>
    <t>9 a.m. start, resigned ??</t>
  </si>
  <si>
    <t>Humber  Bridge</t>
  </si>
  <si>
    <t>1st run at Cassiobury</t>
  </si>
  <si>
    <t>M-5</t>
  </si>
  <si>
    <t>Gary (senior)</t>
  </si>
  <si>
    <t>Martin Connor (19:41)</t>
  </si>
  <si>
    <t>park #181</t>
  </si>
  <si>
    <t>run #271, 11th at Nonsuch</t>
  </si>
  <si>
    <t>1st run at Bracknell</t>
  </si>
  <si>
    <t>1st run at Upton Court</t>
  </si>
  <si>
    <t>1st run at Maidenhead</t>
  </si>
  <si>
    <t>1st senior parkrun</t>
  </si>
  <si>
    <t>Well done granddad</t>
  </si>
  <si>
    <t>I  &amp; C Cockram</t>
  </si>
  <si>
    <t>park #50, BA park</t>
  </si>
  <si>
    <t>park #46</t>
  </si>
  <si>
    <t>Club record Barry Walters 20:55</t>
  </si>
  <si>
    <t>run  #60, 4 secs off a pb</t>
  </si>
  <si>
    <t>2nd run at South Oxhey</t>
  </si>
  <si>
    <t>run #294, 274th at Bushy</t>
  </si>
  <si>
    <t>best in age group by 3 mins!</t>
  </si>
  <si>
    <t>run #37, 25th at Rushmoor</t>
  </si>
  <si>
    <t>Darren Wood (Hart Road Runners) also did the Rushmoor, Frimley Double and has now run 595 parkruns!</t>
  </si>
  <si>
    <t>18th run at Rushmoor</t>
  </si>
  <si>
    <t xml:space="preserve">best runs by members this year </t>
  </si>
  <si>
    <t>fastest BA parkun this year so far</t>
  </si>
  <si>
    <t>1st at Albert</t>
  </si>
  <si>
    <t>park #75, BA park #310</t>
  </si>
  <si>
    <t>park #76, BA park #314</t>
  </si>
  <si>
    <t>BA park #313</t>
  </si>
  <si>
    <t>Gary K (junior)</t>
  </si>
  <si>
    <t>run #101, BA park #311</t>
  </si>
  <si>
    <t>park #58, club course rec</t>
  </si>
  <si>
    <t>club course record, park #54</t>
  </si>
  <si>
    <t>park #55</t>
  </si>
  <si>
    <t>park #57</t>
  </si>
  <si>
    <t>park #60</t>
  </si>
  <si>
    <t>or train to Putney, 93 bus to Parkside Hospital or free car park when not too busy</t>
  </si>
  <si>
    <t>6th new park in a row</t>
  </si>
  <si>
    <t>KT16 0NQ</t>
  </si>
  <si>
    <t>run #39, 4th at Tilgate</t>
  </si>
  <si>
    <t>run #321, 3rd at Gunnersbury</t>
  </si>
  <si>
    <t>run #238, 4th at Gunnersbury</t>
  </si>
  <si>
    <t>run #168, 1st at Gunnersbury</t>
  </si>
  <si>
    <t>park #16</t>
  </si>
  <si>
    <t>run #19, 12th at Gunnersbury</t>
  </si>
  <si>
    <t>run #237, 2nd at Gunnersbury</t>
  </si>
  <si>
    <t>run #439, 216th at Gunnersbury</t>
  </si>
  <si>
    <t>run #250, 100th at Gunnersbury</t>
  </si>
  <si>
    <t>run #260, 1st at Gunnersbury</t>
  </si>
  <si>
    <t>has a BA London Marathon place</t>
  </si>
  <si>
    <t>HAG</t>
  </si>
  <si>
    <t>Hagley (Christchurch, NZ)</t>
  </si>
  <si>
    <t>first run in New Zealand</t>
  </si>
  <si>
    <t>NZY</t>
  </si>
  <si>
    <t>WCP</t>
  </si>
  <si>
    <t>run #102, 31st Harrogate</t>
  </si>
  <si>
    <t>run #97, 30th at Harrogate</t>
  </si>
  <si>
    <t>run #35, 34th at Oak Hill</t>
  </si>
  <si>
    <t>run #139, 40th at Braunstone</t>
  </si>
  <si>
    <t>BA park #316</t>
  </si>
  <si>
    <t>Hagley (NZ)</t>
  </si>
  <si>
    <t>run #224, 61st at Woodley</t>
  </si>
  <si>
    <t>run #102, 92nd at Upton Court</t>
  </si>
  <si>
    <t>run #89, course pb</t>
  </si>
  <si>
    <t>New Course at Ottershaw</t>
  </si>
  <si>
    <t>Channel Isles</t>
  </si>
  <si>
    <t xml:space="preserve">Maureen </t>
  </si>
  <si>
    <t>run #64, 63rd at Bushy</t>
  </si>
  <si>
    <t>Ruffles - Hagley, Forest of Dean</t>
  </si>
  <si>
    <t>at 21 Nov 2015</t>
  </si>
  <si>
    <t>2017 Results</t>
  </si>
  <si>
    <t>ROD</t>
  </si>
  <si>
    <t>Note</t>
  </si>
  <si>
    <t>Gary K Rushmer was aged 5 years 95 days when he ran at Fulham Palace parkrun (full 5km course in 42:17)</t>
  </si>
  <si>
    <t>Bestwood Village</t>
  </si>
  <si>
    <t>Glossop</t>
  </si>
  <si>
    <t>F-4, run #208</t>
  </si>
  <si>
    <t>run #154, 111th at Gunnersbury</t>
  </si>
  <si>
    <t>CCH</t>
  </si>
  <si>
    <t>WS12 4PW</t>
  </si>
  <si>
    <t>run #376, 63rd at Bushy</t>
  </si>
  <si>
    <t>run #256, 23rd at Bushy</t>
  </si>
  <si>
    <t>run #124, 112th at Bushy</t>
  </si>
  <si>
    <t>first run at Richmond Park</t>
  </si>
  <si>
    <t>run #322, 255th at Reading</t>
  </si>
  <si>
    <t>Gunnersbury (V#25)</t>
  </si>
  <si>
    <t>run #36, 35th at Oak Hill</t>
  </si>
  <si>
    <t>run #296, 12th at Crane Park</t>
  </si>
  <si>
    <t>clinging to BA membership?</t>
  </si>
  <si>
    <t>run #157, 134th at Crane Park</t>
  </si>
  <si>
    <t>run #154, 3rd at Crane Park</t>
  </si>
  <si>
    <t>run #183, 2nd run at Northala</t>
  </si>
  <si>
    <t>run #103, 93rd at Upton Court</t>
  </si>
  <si>
    <t>run #62, 4th at Wycombe</t>
  </si>
  <si>
    <t>run #72, 6th at Wycombe</t>
  </si>
  <si>
    <t>run #58, 36th at Black Park</t>
  </si>
  <si>
    <t>run #103, 2nd at Sth Shields</t>
  </si>
  <si>
    <t>run #98, 2nd at Sth Shields</t>
  </si>
  <si>
    <t>volunteer #25(tailrunner)</t>
  </si>
  <si>
    <t>1st run at Fareham, park #182</t>
  </si>
  <si>
    <t>park #77, BA park #317</t>
  </si>
  <si>
    <t>run #440, best for 3 months</t>
  </si>
  <si>
    <t>St Peters (Syd)</t>
  </si>
  <si>
    <t>first run at Woking</t>
  </si>
  <si>
    <t>first winter run at Woking</t>
  </si>
  <si>
    <t>run #71, 36th at Woking</t>
  </si>
  <si>
    <t>run #34, 4th at Woking</t>
  </si>
  <si>
    <t>first parkrun since 2014</t>
  </si>
  <si>
    <t>first parkrun for a year</t>
  </si>
  <si>
    <t>keeping up with grandson</t>
  </si>
  <si>
    <t>first parkrun for five years</t>
  </si>
  <si>
    <t>run #225, 10th at Woking</t>
  </si>
  <si>
    <t>MV90-94</t>
  </si>
  <si>
    <t>Tom Rowley</t>
  </si>
  <si>
    <t>run #90, 14th at Woking</t>
  </si>
  <si>
    <t>run #40, 2nd at Woking</t>
  </si>
  <si>
    <t>run #73, 4th at Catton</t>
  </si>
  <si>
    <t>Chamberlin</t>
  </si>
  <si>
    <t>run #153, 40th at Bushy, pb</t>
  </si>
  <si>
    <t>run #172, 16th at Crane Park</t>
  </si>
  <si>
    <t>run #159, 136th at Crane Park</t>
  </si>
  <si>
    <t>run #101, 3rd at Ripon</t>
  </si>
  <si>
    <t>run #73, 45th at Maidenhead</t>
  </si>
  <si>
    <t>run #155, 4th at Evesham</t>
  </si>
  <si>
    <t>run #21, 2nd at Evesham</t>
  </si>
  <si>
    <t>run #242, park #184</t>
  </si>
  <si>
    <t>run #41, 27th at Rushmoor</t>
  </si>
  <si>
    <t>run #91, 19th at Rushmoor</t>
  </si>
  <si>
    <t>run #211, 207th at Gunnersbury</t>
  </si>
  <si>
    <t>run #443, 220th at Gunnersbury</t>
  </si>
  <si>
    <t>run #7, 6th at Bedfont</t>
  </si>
  <si>
    <t>run #162, 107th at Bedfont</t>
  </si>
  <si>
    <t>run #186, 128th at Bedfont</t>
  </si>
  <si>
    <t>run #259, 162nd at Bedfont</t>
  </si>
  <si>
    <t>run #379, 236th at Bedfont</t>
  </si>
  <si>
    <t>run #155, 151st at Bedfont</t>
  </si>
  <si>
    <t xml:space="preserve">run #126, 114th at Bushy </t>
  </si>
  <si>
    <t>run #275, 234th at Bushy</t>
  </si>
  <si>
    <t>run #600</t>
  </si>
  <si>
    <t>Great Lines (Medway)</t>
  </si>
  <si>
    <t>GLM</t>
  </si>
  <si>
    <t>M-2, run #32, 20th at Tilgate</t>
  </si>
  <si>
    <t>6th run at Bushy</t>
  </si>
  <si>
    <t>64th run at Bushy</t>
  </si>
  <si>
    <t>39th run at Bushy</t>
  </si>
  <si>
    <t>256th run at Reading</t>
  </si>
  <si>
    <t>56th run at Harrow</t>
  </si>
  <si>
    <t>5th run at Old Deer Park</t>
  </si>
  <si>
    <t>218th run at Gunnersbury</t>
  </si>
  <si>
    <t>31st run at Harrogate</t>
  </si>
  <si>
    <t>23rd run at Poole</t>
  </si>
  <si>
    <t>58th run at Wycombe</t>
  </si>
  <si>
    <t>1st run at Great Lines</t>
  </si>
  <si>
    <t>1st run at ECP</t>
  </si>
  <si>
    <t>2nd run at Salisbury, pb</t>
  </si>
  <si>
    <t>1st run at Malling, club rec(F)</t>
  </si>
  <si>
    <t>135th run at Crane Park</t>
  </si>
  <si>
    <t>61st run at Crane Park</t>
  </si>
  <si>
    <t>15th run at Crane Park</t>
  </si>
  <si>
    <t>14th run at Crane Park</t>
  </si>
  <si>
    <t>13th run at Crane Park</t>
  </si>
  <si>
    <t>Paul Timms still holds club record with 22:31</t>
  </si>
  <si>
    <t>4th run at ODP, club rec(F)</t>
  </si>
  <si>
    <t>32nd run at Harrogate, pb</t>
  </si>
  <si>
    <t>Great Lines(Medway)</t>
  </si>
  <si>
    <t>Gunnersbury vol(26)</t>
  </si>
  <si>
    <t>2nd run at Tooting Common</t>
  </si>
  <si>
    <t>3rd run at tooting Common</t>
  </si>
  <si>
    <t>219th at Gunnersbury</t>
  </si>
  <si>
    <t>127th run at Bedfont</t>
  </si>
  <si>
    <t>213th run at Bedfont</t>
  </si>
  <si>
    <t>129th run at Bedfont</t>
  </si>
  <si>
    <t>much older than last week</t>
  </si>
  <si>
    <t>113th run at Bushy Park</t>
  </si>
  <si>
    <t>59th run at Wycombe</t>
  </si>
  <si>
    <t>36th run at Oak Hill</t>
  </si>
  <si>
    <t>40th run at Sunderland</t>
  </si>
  <si>
    <t>Lesley Chamberlin 27:42</t>
  </si>
  <si>
    <t>EX32 9AX</t>
  </si>
  <si>
    <t>Leslie Chamberlin ran there prior to joining</t>
  </si>
  <si>
    <t>BRP</t>
  </si>
  <si>
    <t>Barnstaple (Rock Park)</t>
  </si>
  <si>
    <t>Lesley Chamberlin 27:47 (23/05/2015)</t>
  </si>
  <si>
    <t>Emily Warburton-Brown who resigned December 2016 to join Dulwich AC</t>
  </si>
  <si>
    <t>Rickmansworth</t>
  </si>
  <si>
    <t>WD3 1NF</t>
  </si>
  <si>
    <t>nb new location</t>
  </si>
  <si>
    <t>Homewood (Chertsey) Ottershaw mem fld</t>
  </si>
  <si>
    <t>report writer/photos</t>
  </si>
  <si>
    <t>BWV</t>
  </si>
  <si>
    <t>Bestwood Village (Notts)</t>
  </si>
  <si>
    <t>NG6 8UE</t>
  </si>
  <si>
    <t xml:space="preserve">Evans </t>
  </si>
  <si>
    <t>F-3, run #212</t>
  </si>
  <si>
    <t>run #444</t>
  </si>
  <si>
    <t>run #241</t>
  </si>
  <si>
    <t>run #225, 62nd at Woodley</t>
  </si>
  <si>
    <t>1st run at Hove Promenade</t>
  </si>
  <si>
    <t>run #154, parkrun pb</t>
  </si>
  <si>
    <t>RIK</t>
  </si>
  <si>
    <t>1st run at Bestwood, park #78</t>
  </si>
  <si>
    <t>park #185, Bapark #319</t>
  </si>
  <si>
    <t>Bapark #320</t>
  </si>
  <si>
    <t>DE75 7GX</t>
  </si>
  <si>
    <t>Shipley Country Park (Derbyshire)</t>
  </si>
  <si>
    <t>start date 25/2/17</t>
  </si>
  <si>
    <t>2 laps round lakes plus a flat finish</t>
  </si>
  <si>
    <t>Gunnersbury 102</t>
  </si>
  <si>
    <t>Belfast Victoria Park</t>
  </si>
  <si>
    <t>BFV</t>
  </si>
  <si>
    <t>SHY</t>
  </si>
  <si>
    <t>Shipley</t>
  </si>
  <si>
    <t>MAN</t>
  </si>
  <si>
    <t>GOP</t>
  </si>
  <si>
    <t>pre-joining runs</t>
  </si>
  <si>
    <t>A - K</t>
  </si>
  <si>
    <t xml:space="preserve">  Brierley Forest</t>
  </si>
  <si>
    <t>Boston</t>
  </si>
  <si>
    <t xml:space="preserve"> L- Z</t>
  </si>
  <si>
    <t>M-4, club record</t>
  </si>
  <si>
    <t>new two lap course</t>
  </si>
  <si>
    <t>60th run at Wycombe</t>
  </si>
  <si>
    <t>run #445</t>
  </si>
  <si>
    <t>another pb</t>
  </si>
  <si>
    <t>196th run at Bushy</t>
  </si>
  <si>
    <t>run #162, 41st at Braunstone</t>
  </si>
  <si>
    <t>run #38, 37th at Oak Hill</t>
  </si>
  <si>
    <t>park #186, BA park #321</t>
  </si>
  <si>
    <t>BT4 1JT</t>
  </si>
  <si>
    <t>run #75, 31st at Maidenhead</t>
  </si>
  <si>
    <t>run #33, 6th at Horsham</t>
  </si>
  <si>
    <t>run #60, 1st at Homewood</t>
  </si>
  <si>
    <t>RH at Belfast Victoria</t>
  </si>
  <si>
    <t>Gunnersbury 103</t>
  </si>
  <si>
    <t>Andrew Mason</t>
  </si>
  <si>
    <t>David Tyas</t>
  </si>
  <si>
    <t>John Woods</t>
  </si>
  <si>
    <t>F-3, 1st run at Homewood</t>
  </si>
  <si>
    <t>run #157, 3rd at Osterley</t>
  </si>
  <si>
    <t>run #78, 7th at Osterley</t>
  </si>
  <si>
    <t>run #209</t>
  </si>
  <si>
    <t>Vogrie Country Park Midlothian</t>
  </si>
  <si>
    <t>VOG</t>
  </si>
  <si>
    <t>EH23 4NU</t>
  </si>
  <si>
    <t>start date 11/3/17</t>
  </si>
  <si>
    <t xml:space="preserve">Armagh, Bangor, </t>
  </si>
  <si>
    <t>Aamir MURTAZA</t>
  </si>
  <si>
    <t>Aaron CHAI</t>
  </si>
  <si>
    <t>Adam BULL</t>
  </si>
  <si>
    <t>Adam MOGER</t>
  </si>
  <si>
    <t>Adam WRIGHT</t>
  </si>
  <si>
    <t>Adrian LEACH</t>
  </si>
  <si>
    <t>Adrian STOTT</t>
  </si>
  <si>
    <t>Aeronwy CRAIG</t>
  </si>
  <si>
    <t>Al CHAPMAN</t>
  </si>
  <si>
    <t>Alan Geoffrey CHAPMAN</t>
  </si>
  <si>
    <t>Alan ANDERSON</t>
  </si>
  <si>
    <t>Alan BURRELL</t>
  </si>
  <si>
    <t>Alan CHARLESWORTH</t>
  </si>
  <si>
    <t>Alan COLLIS</t>
  </si>
  <si>
    <t>Alan DOLTON</t>
  </si>
  <si>
    <t>Alan FIELD</t>
  </si>
  <si>
    <t>Alan ICETON</t>
  </si>
  <si>
    <t>Alan LEES</t>
  </si>
  <si>
    <t>Alan NIBLOCK</t>
  </si>
  <si>
    <t>Alan RICHARDSON</t>
  </si>
  <si>
    <t>Alan WILCOX</t>
  </si>
  <si>
    <t>Alastair John MACLACHLAN</t>
  </si>
  <si>
    <t>Alethia REID</t>
  </si>
  <si>
    <t>Alex CHUNG</t>
  </si>
  <si>
    <t>Alex WILLIAMSON</t>
  </si>
  <si>
    <t>Alexandra MASON</t>
  </si>
  <si>
    <t>Alison ALLEN</t>
  </si>
  <si>
    <t>Alison BOYLE</t>
  </si>
  <si>
    <t>Alison JAMES</t>
  </si>
  <si>
    <t>Alison LENAGHAN</t>
  </si>
  <si>
    <t>Alistair WOOD</t>
  </si>
  <si>
    <t>Allan BRAY</t>
  </si>
  <si>
    <t>Allan KUHAR</t>
  </si>
  <si>
    <t>Allen MULLISS</t>
  </si>
  <si>
    <t>Allison ROLFE</t>
  </si>
  <si>
    <t>Alun NASH</t>
  </si>
  <si>
    <t>Alyson HOGARTH LAYDON</t>
  </si>
  <si>
    <t>Amanda Dorothy CRITCHELL</t>
  </si>
  <si>
    <t>Amanda Jane BIRKBY</t>
  </si>
  <si>
    <t>Amanda WOODHAM</t>
  </si>
  <si>
    <t>Andrew K DAVIES</t>
  </si>
  <si>
    <t>Andrew Kew BROWN</t>
  </si>
  <si>
    <t>Andrew P NICHOLLS</t>
  </si>
  <si>
    <t>Andrew S F CARTER</t>
  </si>
  <si>
    <t>Andrew Stephen CORDES</t>
  </si>
  <si>
    <t>Andrew Stuart BRAISTED</t>
  </si>
  <si>
    <t>Andrew Trevor HART</t>
  </si>
  <si>
    <t>Andrew ALLEN</t>
  </si>
  <si>
    <t>Andrew CROSSLEY</t>
  </si>
  <si>
    <t>Andrew DOBSON</t>
  </si>
  <si>
    <t>Andrew FEATHERSTONE</t>
  </si>
  <si>
    <t>Andrew FIRTH</t>
  </si>
  <si>
    <t>Andrew GRANT</t>
  </si>
  <si>
    <t>Andrew HALL</t>
  </si>
  <si>
    <t>Andrew HOWARD</t>
  </si>
  <si>
    <t>Andrew LAMBERT</t>
  </si>
  <si>
    <t>Andrew LANE</t>
  </si>
  <si>
    <t>Andrew LITTLE</t>
  </si>
  <si>
    <t>Andrew MASON</t>
  </si>
  <si>
    <t>Andrew MCGRATH</t>
  </si>
  <si>
    <t>Andrew MCLEOD</t>
  </si>
  <si>
    <t>Andrew MELBOURNE</t>
  </si>
  <si>
    <t>Andrew NORMAN</t>
  </si>
  <si>
    <t>Andrew RODWELL</t>
  </si>
  <si>
    <t>Andrew SMITH</t>
  </si>
  <si>
    <t>Andrew STALLEY</t>
  </si>
  <si>
    <t>Andrew TOMLINSON</t>
  </si>
  <si>
    <t>Andrew WYETH</t>
  </si>
  <si>
    <t>Andy ARCHER</t>
  </si>
  <si>
    <t>Andy CULLEN</t>
  </si>
  <si>
    <t>Andy DAVIES</t>
  </si>
  <si>
    <t>Andy GARDINER</t>
  </si>
  <si>
    <t>Andy LANE</t>
  </si>
  <si>
    <t>Andy LINKENS</t>
  </si>
  <si>
    <t>Andy MAXTON</t>
  </si>
  <si>
    <t>Andy ROBSON</t>
  </si>
  <si>
    <t>Andy RUSSELL</t>
  </si>
  <si>
    <t>Andy SMITH</t>
  </si>
  <si>
    <t>Andy TURNER</t>
  </si>
  <si>
    <t>Andy WILKINSON</t>
  </si>
  <si>
    <t>Andy YOUNG</t>
  </si>
  <si>
    <t>Ange NORRIS</t>
  </si>
  <si>
    <t>Angela BOWKETT</t>
  </si>
  <si>
    <t>Angie HART</t>
  </si>
  <si>
    <t>Anita BETTS</t>
  </si>
  <si>
    <t>Anita FLACK</t>
  </si>
  <si>
    <t>Ann EKE</t>
  </si>
  <si>
    <t>Ann LUCKOCK</t>
  </si>
  <si>
    <t>Anna MCENTEGGART</t>
  </si>
  <si>
    <t>Annabel THORNE</t>
  </si>
  <si>
    <t>Anne NEWBERY</t>
  </si>
  <si>
    <t>Anne ROBERTSON</t>
  </si>
  <si>
    <t>Anne ROBSON</t>
  </si>
  <si>
    <t>Annette SHRIMPTON</t>
  </si>
  <si>
    <t>Anthony GOULDING</t>
  </si>
  <si>
    <t>Anthony HARRIS</t>
  </si>
  <si>
    <t>Anthony QUINN</t>
  </si>
  <si>
    <t>Antony SMITH</t>
  </si>
  <si>
    <t>Arielle Rosa ELTON-WALTERS</t>
  </si>
  <si>
    <t>Austin MOLNAR</t>
  </si>
  <si>
    <t>Austin WILSON</t>
  </si>
  <si>
    <t>Baljit DHANDA</t>
  </si>
  <si>
    <t>Barbara ALLEN</t>
  </si>
  <si>
    <t>Barbara SHUTTLEWORTH</t>
  </si>
  <si>
    <t>Barbro JULIN</t>
  </si>
  <si>
    <t>Barnet HEELEY</t>
  </si>
  <si>
    <t>Barney GILLIGAN</t>
  </si>
  <si>
    <t>Barrington MUDD</t>
  </si>
  <si>
    <t>Barry CHAMBERS</t>
  </si>
  <si>
    <t>Barry DUNNE</t>
  </si>
  <si>
    <t>Barry HIPWELL</t>
  </si>
  <si>
    <t>Barry KING</t>
  </si>
  <si>
    <t>Barry LONG</t>
  </si>
  <si>
    <t>Barry SHACKLETON</t>
  </si>
  <si>
    <t>Becky THURTELL</t>
  </si>
  <si>
    <t>Ben THORNTON</t>
  </si>
  <si>
    <t>Benjamin WILLIAMSON</t>
  </si>
  <si>
    <t>Benjamino GREGORY</t>
  </si>
  <si>
    <t>Bernadette BUTLER</t>
  </si>
  <si>
    <t>Bernard BLUNDELL</t>
  </si>
  <si>
    <t>Bernie HILL</t>
  </si>
  <si>
    <t>Bernie MULVANY</t>
  </si>
  <si>
    <t>Bianca HOLLIS</t>
  </si>
  <si>
    <t>Bill ARNOLD</t>
  </si>
  <si>
    <t>Billy SKINNER</t>
  </si>
  <si>
    <t>Bob ANDERSON</t>
  </si>
  <si>
    <t>Bob BANNISTER</t>
  </si>
  <si>
    <t>Bob BELL</t>
  </si>
  <si>
    <t>Bob ENGEL</t>
  </si>
  <si>
    <t>Bob HARDMAN</t>
  </si>
  <si>
    <t>Bob SEARLES</t>
  </si>
  <si>
    <t>Brett HUTCHINS</t>
  </si>
  <si>
    <t>Brian T SMITH</t>
  </si>
  <si>
    <t>Brian COWELL</t>
  </si>
  <si>
    <t>Brian FORRESTER</t>
  </si>
  <si>
    <t>Brian FRIEND</t>
  </si>
  <si>
    <t>Brian HOLDEN</t>
  </si>
  <si>
    <t>Brian LONGMAN</t>
  </si>
  <si>
    <t>Brian PETERS</t>
  </si>
  <si>
    <t>Brian PLATT</t>
  </si>
  <si>
    <t>Brian PURNELL</t>
  </si>
  <si>
    <t>Bridget PEACOCK</t>
  </si>
  <si>
    <t>Bruce CLARK</t>
  </si>
  <si>
    <t>Bruce FORDYCE</t>
  </si>
  <si>
    <t>Bryony TRAFFORD-SMITH</t>
  </si>
  <si>
    <t>Carl HEAPS</t>
  </si>
  <si>
    <t>Carl HILL</t>
  </si>
  <si>
    <t>Carmen PALMER</t>
  </si>
  <si>
    <t>Carol Diane BULL</t>
  </si>
  <si>
    <t>Carol Margaret DICKINSON</t>
  </si>
  <si>
    <t>Carol AIKIN</t>
  </si>
  <si>
    <t>Carol COOMBS</t>
  </si>
  <si>
    <t>Carol HATCH</t>
  </si>
  <si>
    <t>Carol MUIR</t>
  </si>
  <si>
    <t>Carol PATON</t>
  </si>
  <si>
    <t>Caroline BEECHEY</t>
  </si>
  <si>
    <t>Caroline COCKRAM</t>
  </si>
  <si>
    <t>Caroline WOOD</t>
  </si>
  <si>
    <t>Carolyn LOCKETT</t>
  </si>
  <si>
    <t>Carrie Ann MURPHY</t>
  </si>
  <si>
    <t>Cathy FRASER</t>
  </si>
  <si>
    <t>Charles Edward WHITE</t>
  </si>
  <si>
    <t>Charles GREEN</t>
  </si>
  <si>
    <t>Charles HAMPDEN-SMITH</t>
  </si>
  <si>
    <t>Charles LAWRIE</t>
  </si>
  <si>
    <t>Charles WORTH</t>
  </si>
  <si>
    <t>Charlie BATHO</t>
  </si>
  <si>
    <t>Cheryl MORROD</t>
  </si>
  <si>
    <t>Chris J MOORE</t>
  </si>
  <si>
    <t>Chris John SMITH</t>
  </si>
  <si>
    <t>Chris BEARD</t>
  </si>
  <si>
    <t>Chris CAMACHO</t>
  </si>
  <si>
    <t>Chris CHESTNEY</t>
  </si>
  <si>
    <t>Chris COWELL</t>
  </si>
  <si>
    <t>Chris DENT</t>
  </si>
  <si>
    <t>Chris FURNESS</t>
  </si>
  <si>
    <t>Chris HAMMERTON</t>
  </si>
  <si>
    <t>Chris HOWARTH</t>
  </si>
  <si>
    <t>Chris JONES</t>
  </si>
  <si>
    <t>Chris NEWMAN</t>
  </si>
  <si>
    <t>Chris ORANGE</t>
  </si>
  <si>
    <t>Chris PILLEY</t>
  </si>
  <si>
    <t>Chris TYRRELL</t>
  </si>
  <si>
    <t>Christian MORRIS</t>
  </si>
  <si>
    <t>Christine GIBBONS</t>
  </si>
  <si>
    <t>Christopher A SAWYER</t>
  </si>
  <si>
    <t>Christopher T KELLY</t>
  </si>
  <si>
    <t>Christopher JOHNSON</t>
  </si>
  <si>
    <t>Ciaran MURPHY</t>
  </si>
  <si>
    <t>Claire BELL</t>
  </si>
  <si>
    <t>Claire DEACON</t>
  </si>
  <si>
    <t>Clare ALLEN</t>
  </si>
  <si>
    <t>Clare CAVE</t>
  </si>
  <si>
    <t>Clare MILSOM</t>
  </si>
  <si>
    <t>Clare PARISH</t>
  </si>
  <si>
    <t>Claus WAGNER</t>
  </si>
  <si>
    <t>Clive LESTER</t>
  </si>
  <si>
    <t>Colin Stanley GARROD</t>
  </si>
  <si>
    <t>Colin BRASSINGTON</t>
  </si>
  <si>
    <t>Colin DAVIES</t>
  </si>
  <si>
    <t>Colin DINWOODIE</t>
  </si>
  <si>
    <t>Colin HADDICK</t>
  </si>
  <si>
    <t>Colin HARRIS</t>
  </si>
  <si>
    <t>Colin LARGE</t>
  </si>
  <si>
    <t>Colin PRICE</t>
  </si>
  <si>
    <t>Colin RUMSEY</t>
  </si>
  <si>
    <t>Colin TRAER</t>
  </si>
  <si>
    <t>Craig Alan SMITH</t>
  </si>
  <si>
    <t>Craig LIGHTFOOT</t>
  </si>
  <si>
    <t>Craig SUDDABY</t>
  </si>
  <si>
    <t>Cristiano BONATO</t>
  </si>
  <si>
    <t>Dale DURRANS</t>
  </si>
  <si>
    <t>Dan MACKENZIE</t>
  </si>
  <si>
    <t>Dan MAHER</t>
  </si>
  <si>
    <t>Daniel Ryan MORGAN</t>
  </si>
  <si>
    <t>Daniel BOULTER</t>
  </si>
  <si>
    <t>Daniel LUFFMAN</t>
  </si>
  <si>
    <t>Daniel PARISH</t>
  </si>
  <si>
    <t>Danny HUTTON</t>
  </si>
  <si>
    <t>Darko CALINA</t>
  </si>
  <si>
    <t>Darren BARNES</t>
  </si>
  <si>
    <t>Darren ROLFE</t>
  </si>
  <si>
    <t>Daryl CATLIN</t>
  </si>
  <si>
    <t>Dave James GRIFFITHS</t>
  </si>
  <si>
    <t>Dave John WILLIAMSON</t>
  </si>
  <si>
    <t>Dave BUSH</t>
  </si>
  <si>
    <t>Dave CARROLL</t>
  </si>
  <si>
    <t>Dave HALL</t>
  </si>
  <si>
    <t>Dave HARVEY</t>
  </si>
  <si>
    <t>Dave LLEWELLYN</t>
  </si>
  <si>
    <t>Dave MITCHELL</t>
  </si>
  <si>
    <t>Dave SENNECK</t>
  </si>
  <si>
    <t>Dave THOMAS</t>
  </si>
  <si>
    <t>Dave WILSON</t>
  </si>
  <si>
    <t>David Anthony BIRKBY</t>
  </si>
  <si>
    <t>David Anthony MORGAN</t>
  </si>
  <si>
    <t>David Ashley CRACKNELL</t>
  </si>
  <si>
    <t>David Charles JONES</t>
  </si>
  <si>
    <t>David E WILLIAMS</t>
  </si>
  <si>
    <t>David Hugh HAWKINS</t>
  </si>
  <si>
    <t>David Lewy LEWIS</t>
  </si>
  <si>
    <t>David M MCGUIRE</t>
  </si>
  <si>
    <t>David R HUGHES</t>
  </si>
  <si>
    <t>David V MATTHEWS</t>
  </si>
  <si>
    <t>David AINSLEY</t>
  </si>
  <si>
    <t>David ALDERSON</t>
  </si>
  <si>
    <t>David APPLEYARD</t>
  </si>
  <si>
    <t>David ARMISTEAD</t>
  </si>
  <si>
    <t>David BALES</t>
  </si>
  <si>
    <t>David BARCLAY</t>
  </si>
  <si>
    <t>David BULLAS</t>
  </si>
  <si>
    <t>David FREEMAN</t>
  </si>
  <si>
    <t>David GRAY</t>
  </si>
  <si>
    <t>David HARPIN</t>
  </si>
  <si>
    <t>David HEATH</t>
  </si>
  <si>
    <t>David KEMP</t>
  </si>
  <si>
    <t>David KLEIN</t>
  </si>
  <si>
    <t>David LENAGHAN</t>
  </si>
  <si>
    <t>David LIMBRICK</t>
  </si>
  <si>
    <t>David LLOYD</t>
  </si>
  <si>
    <t>David MORRIS</t>
  </si>
  <si>
    <t>David PINK</t>
  </si>
  <si>
    <t>David PIPER</t>
  </si>
  <si>
    <t>David PORTER</t>
  </si>
  <si>
    <t>David PROCTOR</t>
  </si>
  <si>
    <t>David ROWE</t>
  </si>
  <si>
    <t>David RYDER</t>
  </si>
  <si>
    <t>David SANSOM</t>
  </si>
  <si>
    <t>David TYAS</t>
  </si>
  <si>
    <t>David VENTER</t>
  </si>
  <si>
    <t>David WALMSLEY</t>
  </si>
  <si>
    <t>David WALMSLEY SENIOR</t>
  </si>
  <si>
    <t>David WATKINS</t>
  </si>
  <si>
    <t>David WHITMORE</t>
  </si>
  <si>
    <t>David WOMERSLEY</t>
  </si>
  <si>
    <t>David WORRALL</t>
  </si>
  <si>
    <t>David WORTH</t>
  </si>
  <si>
    <t>David WRIGHT</t>
  </si>
  <si>
    <t>Davie BLACK</t>
  </si>
  <si>
    <t>Dawn Teresa ASH</t>
  </si>
  <si>
    <t>Debbie AARDVARK SMITH</t>
  </si>
  <si>
    <t>Debbie BROWN</t>
  </si>
  <si>
    <t>Debbie GLITHERO</t>
  </si>
  <si>
    <t>Declan FLYNN</t>
  </si>
  <si>
    <t>Denis THOMPSON</t>
  </si>
  <si>
    <t>Dennis WILLIAMS</t>
  </si>
  <si>
    <t>Derek BLACKMORE</t>
  </si>
  <si>
    <t>Derek MURISON</t>
  </si>
  <si>
    <t>Derek SHAND</t>
  </si>
  <si>
    <t>Des HUSIN</t>
  </si>
  <si>
    <t>Desmond DAVIES</t>
  </si>
  <si>
    <t>Diana WELLS</t>
  </si>
  <si>
    <t>Diane AYKROYD</t>
  </si>
  <si>
    <t>Diane BUNCH</t>
  </si>
  <si>
    <t>Diane MAWER</t>
  </si>
  <si>
    <t>Dieter H MEYER</t>
  </si>
  <si>
    <t>Dominic SHIELDS</t>
  </si>
  <si>
    <t>Douglas A D GRANT</t>
  </si>
  <si>
    <t>Duncan Ian BROWN</t>
  </si>
  <si>
    <t>Duncan BALL</t>
  </si>
  <si>
    <t>Duncan GRANT</t>
  </si>
  <si>
    <t>Duncan MALLISON</t>
  </si>
  <si>
    <t>Duncan SHUTTLEWORTH</t>
  </si>
  <si>
    <t>Dzintars GAVARS</t>
  </si>
  <si>
    <t>Eddie MEEHAN</t>
  </si>
  <si>
    <t>Edward R TAKATA</t>
  </si>
  <si>
    <t>Edward BRUNSKILL</t>
  </si>
  <si>
    <t>Edward DONOVAN</t>
  </si>
  <si>
    <t>Eileen DEYES</t>
  </si>
  <si>
    <t>Elaine Woody REDDYHOFF</t>
  </si>
  <si>
    <t>Elaine BRASSINGTON</t>
  </si>
  <si>
    <t>Elaine STONE</t>
  </si>
  <si>
    <t>Elio ZENTILIN</t>
  </si>
  <si>
    <t>Elizabeth MASON</t>
  </si>
  <si>
    <t>Emily-Hannah WILLETT</t>
  </si>
  <si>
    <t>Emma DRAKE</t>
  </si>
  <si>
    <t>Eoin STOCKDALE</t>
  </si>
  <si>
    <t>Eric SHAWDON</t>
  </si>
  <si>
    <t>Erin JOHNSON CADDELL</t>
  </si>
  <si>
    <t>Eugenio CARMO</t>
  </si>
  <si>
    <t>Eva EVANS</t>
  </si>
  <si>
    <t>Ewen GIBSON</t>
  </si>
  <si>
    <t>Fay MCARTHUR</t>
  </si>
  <si>
    <t>Federico WITT</t>
  </si>
  <si>
    <t>Fiona MACNEIL</t>
  </si>
  <si>
    <t>Francesca CARTER</t>
  </si>
  <si>
    <t>Frank PODD</t>
  </si>
  <si>
    <t>Franz WERNDLE</t>
  </si>
  <si>
    <t>Fred CROFT</t>
  </si>
  <si>
    <t>G. Louise AYLING</t>
  </si>
  <si>
    <t>Gareth COYLE</t>
  </si>
  <si>
    <t>Gareth JONES</t>
  </si>
  <si>
    <t>Gary CHEESMAN</t>
  </si>
  <si>
    <t>Gary NEWMAN</t>
  </si>
  <si>
    <t>Gary ROBINSON</t>
  </si>
  <si>
    <t>Gary ROSTRON</t>
  </si>
  <si>
    <t>Gary SLATER</t>
  </si>
  <si>
    <t>Gavin PRINCE</t>
  </si>
  <si>
    <t>Geoff FISHER</t>
  </si>
  <si>
    <t>Geoff MANNS</t>
  </si>
  <si>
    <t>Geoff MILES</t>
  </si>
  <si>
    <t>Geoff OLIVER</t>
  </si>
  <si>
    <t>Geoff WRIGHT</t>
  </si>
  <si>
    <t>George William HURST</t>
  </si>
  <si>
    <t>George FROGLEY</t>
  </si>
  <si>
    <t>George KAINYEK</t>
  </si>
  <si>
    <t>George NICHOLSON</t>
  </si>
  <si>
    <t>George TIPPING</t>
  </si>
  <si>
    <t>Georgina SELWAY</t>
  </si>
  <si>
    <t>Geraldine BOUTTELL</t>
  </si>
  <si>
    <t>Gerry KEEGAN</t>
  </si>
  <si>
    <t>Ghualm MURTAZA</t>
  </si>
  <si>
    <t>Giles PEARSON</t>
  </si>
  <si>
    <t>Gill DICKINSON</t>
  </si>
  <si>
    <t>Gill WILSON</t>
  </si>
  <si>
    <t>Gillian D COOK</t>
  </si>
  <si>
    <t>Gillian M ANDERSON</t>
  </si>
  <si>
    <t>Gillian ADAMSON</t>
  </si>
  <si>
    <t>Gina HOPKINS</t>
  </si>
  <si>
    <t>Glyn SANSOM</t>
  </si>
  <si>
    <t>Glyn WATKINS</t>
  </si>
  <si>
    <t>Gordon MATHERS</t>
  </si>
  <si>
    <t>Gordon WILSON</t>
  </si>
  <si>
    <t>Graeme ADDISON</t>
  </si>
  <si>
    <t>Graeme PERT</t>
  </si>
  <si>
    <t>Graham CLARK</t>
  </si>
  <si>
    <t>Graham CRAWFORTH</t>
  </si>
  <si>
    <t>Graham HARRISON</t>
  </si>
  <si>
    <t>Graham HAVERCROFT</t>
  </si>
  <si>
    <t>Graham MCDERMID</t>
  </si>
  <si>
    <t>Graham PAWLEY</t>
  </si>
  <si>
    <t>Graham SHAW</t>
  </si>
  <si>
    <t>Graham THORNE</t>
  </si>
  <si>
    <t>Graham TITCOMBE</t>
  </si>
  <si>
    <t>Graham TYLER</t>
  </si>
  <si>
    <t>Grant RUSSELL</t>
  </si>
  <si>
    <t>Greg BARBER</t>
  </si>
  <si>
    <t>Greg MCCLURE</t>
  </si>
  <si>
    <t>Greta JONES</t>
  </si>
  <si>
    <t>Guilaine SHEWARD</t>
  </si>
  <si>
    <t>Gwyn JONES</t>
  </si>
  <si>
    <t>Hannah MACLEOD</t>
  </si>
  <si>
    <t>Hannah OLDROYD</t>
  </si>
  <si>
    <t>Hans DUGGAL</t>
  </si>
  <si>
    <t>Harry HARRISON</t>
  </si>
  <si>
    <t>Hayden MATTHEWS</t>
  </si>
  <si>
    <t>Hazel COCKERILL</t>
  </si>
  <si>
    <t>Heather HOUGHTON</t>
  </si>
  <si>
    <t>Heather PEARSON</t>
  </si>
  <si>
    <t>Helen P JONES</t>
  </si>
  <si>
    <t>Helen GARDINER</t>
  </si>
  <si>
    <t>Helen HENRY</t>
  </si>
  <si>
    <t>Helen LANE</t>
  </si>
  <si>
    <t>Helene Sofia MULLER</t>
  </si>
  <si>
    <t>Henrik MULLER</t>
  </si>
  <si>
    <t>Henry MARTIN</t>
  </si>
  <si>
    <t>Hilary ROBINSON</t>
  </si>
  <si>
    <t>Howard WILCOX</t>
  </si>
  <si>
    <t>Hugh SMITH</t>
  </si>
  <si>
    <t>Hugh WOOLHOUSE</t>
  </si>
  <si>
    <t>Iain G HALL</t>
  </si>
  <si>
    <t>Ian G CLARKE</t>
  </si>
  <si>
    <t>Ian G HARRHY</t>
  </si>
  <si>
    <t>Ian J STOKES</t>
  </si>
  <si>
    <t>Ian Keith TAYLOR</t>
  </si>
  <si>
    <t>Ian N TAYLOR</t>
  </si>
  <si>
    <t>Ian Robert CARLTON</t>
  </si>
  <si>
    <t>Ian CHANT</t>
  </si>
  <si>
    <t>Ian COCKRAM</t>
  </si>
  <si>
    <t>Ian CUNNINGHAM</t>
  </si>
  <si>
    <t>Ian DEVOY</t>
  </si>
  <si>
    <t>Ian GIGGS</t>
  </si>
  <si>
    <t>Ian HIGGINS</t>
  </si>
  <si>
    <t>Ian NEVILLE</t>
  </si>
  <si>
    <t>Ian PARKER</t>
  </si>
  <si>
    <t>Ian RIGGS</t>
  </si>
  <si>
    <t>Ian SANDERSON</t>
  </si>
  <si>
    <t>Ian SHORTHOUSE</t>
  </si>
  <si>
    <t>Ian WYNNES</t>
  </si>
  <si>
    <t>Ingrid WAGNER</t>
  </si>
  <si>
    <t>Irene MILLER</t>
  </si>
  <si>
    <t>Isaac JOHNSON CADDELL</t>
  </si>
  <si>
    <t>Isobel MUIR</t>
  </si>
  <si>
    <t>Ivan BEAUMONT</t>
  </si>
  <si>
    <t>Ivor CARDWELL</t>
  </si>
  <si>
    <t>Jack KENNEDY</t>
  </si>
  <si>
    <t>Jacqueline CHANG</t>
  </si>
  <si>
    <t>Jacqui ARMSTRONG</t>
  </si>
  <si>
    <t>James BALL</t>
  </si>
  <si>
    <t>James BARBER</t>
  </si>
  <si>
    <t>James COBB</t>
  </si>
  <si>
    <t>James COOPER</t>
  </si>
  <si>
    <t>James DALGLIESH</t>
  </si>
  <si>
    <t>James DUNDAS</t>
  </si>
  <si>
    <t>James HOPPE</t>
  </si>
  <si>
    <t>James HUGHES</t>
  </si>
  <si>
    <t>James KEMP</t>
  </si>
  <si>
    <t>James MALCOLM</t>
  </si>
  <si>
    <t>James MASTERS</t>
  </si>
  <si>
    <t>James OGDEN</t>
  </si>
  <si>
    <t>James RUSSELL</t>
  </si>
  <si>
    <t>James TARRAN</t>
  </si>
  <si>
    <t>James WALLACE</t>
  </si>
  <si>
    <t>Jan CARROLL</t>
  </si>
  <si>
    <t>Jan HICKMAN</t>
  </si>
  <si>
    <t>Jan NORTH</t>
  </si>
  <si>
    <t>Jan SUDDABY</t>
  </si>
  <si>
    <t>Jane Louise ABUSHAL</t>
  </si>
  <si>
    <t>Jane FULLER</t>
  </si>
  <si>
    <t>Janet SANDERSON</t>
  </si>
  <si>
    <t>Janice MARSHALL</t>
  </si>
  <si>
    <t>Jason EAST</t>
  </si>
  <si>
    <t>Jason VENKATASAMY</t>
  </si>
  <si>
    <t>Jayne HURRELL</t>
  </si>
  <si>
    <t>Jaz BANGERH</t>
  </si>
  <si>
    <t>Jean WITHINGTON</t>
  </si>
  <si>
    <t>Jeff HENDERSON</t>
  </si>
  <si>
    <t>Jeffrey COX</t>
  </si>
  <si>
    <t>Jenni OWENS</t>
  </si>
  <si>
    <t>Jennie JUPP</t>
  </si>
  <si>
    <t>Jennifer HATCH</t>
  </si>
  <si>
    <t>Jennifer MELBOURNE</t>
  </si>
  <si>
    <t>Jenny COONEY</t>
  </si>
  <si>
    <t>Jenny LENG</t>
  </si>
  <si>
    <t>Jenny ZAREMBA</t>
  </si>
  <si>
    <t>Jeremy EDWARDS</t>
  </si>
  <si>
    <t>Jeremy HAWKE</t>
  </si>
  <si>
    <t>Jeremy LANGDON</t>
  </si>
  <si>
    <t>Jeremy LOCKETT</t>
  </si>
  <si>
    <t>Jeremy PALMER</t>
  </si>
  <si>
    <t>Jeremy SPOONCER</t>
  </si>
  <si>
    <t>Jerzy KROL</t>
  </si>
  <si>
    <t>Jessica RYAN</t>
  </si>
  <si>
    <t>Jill ABEL</t>
  </si>
  <si>
    <t>Jim CLINTON</t>
  </si>
  <si>
    <t>Jim COLLARD</t>
  </si>
  <si>
    <t>Jim DESMOND</t>
  </si>
  <si>
    <t>Jim HARRIES</t>
  </si>
  <si>
    <t>Jim MITCHINSON</t>
  </si>
  <si>
    <t>Jim STEPHENSON</t>
  </si>
  <si>
    <t>Jimmy HUDSON</t>
  </si>
  <si>
    <t>Jin JHOOTI</t>
  </si>
  <si>
    <t>Jo LONGMUIR</t>
  </si>
  <si>
    <t>Jo QUANTRILL</t>
  </si>
  <si>
    <t>Joanne GREEN</t>
  </si>
  <si>
    <t>Joanne SCANTLEBURY</t>
  </si>
  <si>
    <t>Joanne SINTON-HEWITT</t>
  </si>
  <si>
    <t>Joanne WOODWARD</t>
  </si>
  <si>
    <t>Joe KIRKWOOD</t>
  </si>
  <si>
    <t>Joe MCGLYNN</t>
  </si>
  <si>
    <t>Joe NOLAN</t>
  </si>
  <si>
    <t>Joe PRUDHAM</t>
  </si>
  <si>
    <t>Joel GIDDINGS</t>
  </si>
  <si>
    <t>John Charles NORRIS</t>
  </si>
  <si>
    <t>John G HOWARTH</t>
  </si>
  <si>
    <t>John Gerard MURPHY</t>
  </si>
  <si>
    <t>John Henry RAMSDEN</t>
  </si>
  <si>
    <t>John P WOODS</t>
  </si>
  <si>
    <t>John Philip CARTER</t>
  </si>
  <si>
    <t>John S BAKER</t>
  </si>
  <si>
    <t>John BAILEY</t>
  </si>
  <si>
    <t>John BALL</t>
  </si>
  <si>
    <t>John BLAMPIED</t>
  </si>
  <si>
    <t>John BROOM</t>
  </si>
  <si>
    <t>John BUCKLEY</t>
  </si>
  <si>
    <t>John CARROLL</t>
  </si>
  <si>
    <t>John CONSTERDINE</t>
  </si>
  <si>
    <t>John COOPER</t>
  </si>
  <si>
    <t>John DIAMANTE</t>
  </si>
  <si>
    <t>John EVERITT</t>
  </si>
  <si>
    <t>John GRAY</t>
  </si>
  <si>
    <t>John GREAVES</t>
  </si>
  <si>
    <t>John HANNAN</t>
  </si>
  <si>
    <t>John HARGEST</t>
  </si>
  <si>
    <t>John ISAACS</t>
  </si>
  <si>
    <t>John KRAUSE</t>
  </si>
  <si>
    <t>John LAST</t>
  </si>
  <si>
    <t>John MACINNES</t>
  </si>
  <si>
    <t>John MACMILLAN</t>
  </si>
  <si>
    <t>John MASON</t>
  </si>
  <si>
    <t>John MATTHEWS</t>
  </si>
  <si>
    <t>John PARRY</t>
  </si>
  <si>
    <t>John PATON</t>
  </si>
  <si>
    <t>John PENNEY</t>
  </si>
  <si>
    <t>John ROBSON</t>
  </si>
  <si>
    <t>John ROSS</t>
  </si>
  <si>
    <t>John SABOURIN</t>
  </si>
  <si>
    <t>John SMITH</t>
  </si>
  <si>
    <t>John SOFTLEY</t>
  </si>
  <si>
    <t>John SUTTON</t>
  </si>
  <si>
    <t>John TUSSLER</t>
  </si>
  <si>
    <t>John WILKINS</t>
  </si>
  <si>
    <t>Jon GLADWIN</t>
  </si>
  <si>
    <t>Jon SAMUEL</t>
  </si>
  <si>
    <t>Jonathan Mark PEGG</t>
  </si>
  <si>
    <t>Jonathan COX</t>
  </si>
  <si>
    <t>Jonathan DICKINSON</t>
  </si>
  <si>
    <t>Jonathan ESCALANTE-PHILLIPS</t>
  </si>
  <si>
    <t>Jonathan MELUNSKY</t>
  </si>
  <si>
    <t>Jose Manuel PABON</t>
  </si>
  <si>
    <t>Joseph CHANG</t>
  </si>
  <si>
    <t>Joshua NORMAN</t>
  </si>
  <si>
    <t>Joyce MORRISON</t>
  </si>
  <si>
    <t>Jud KIRK</t>
  </si>
  <si>
    <t>Julia MASON</t>
  </si>
  <si>
    <t>Julian Michael BOON</t>
  </si>
  <si>
    <t>Julian ABBOTT</t>
  </si>
  <si>
    <t>Julie GARNER</t>
  </si>
  <si>
    <t>Julie MELOTTE</t>
  </si>
  <si>
    <t>Julie SALVIDGE</t>
  </si>
  <si>
    <t>June REID</t>
  </si>
  <si>
    <t>Justin PARRIS</t>
  </si>
  <si>
    <t>K PHAM</t>
  </si>
  <si>
    <t>Karen BENSON</t>
  </si>
  <si>
    <t>Karen BOLTON</t>
  </si>
  <si>
    <t>Karen CHART</t>
  </si>
  <si>
    <t>Karen LARKIN</t>
  </si>
  <si>
    <t>Karen LAWRENCE</t>
  </si>
  <si>
    <t>Karen MCGUIGAN</t>
  </si>
  <si>
    <t>Karl TAYLOR</t>
  </si>
  <si>
    <t>Kate KNIGHT</t>
  </si>
  <si>
    <t>Kath OWEN</t>
  </si>
  <si>
    <t>Kathryn AGER</t>
  </si>
  <si>
    <t>Kathryn ROGERS</t>
  </si>
  <si>
    <t>Katie SAMUELSON</t>
  </si>
  <si>
    <t>Kay JEFFERIES</t>
  </si>
  <si>
    <t>Kaye QUINN</t>
  </si>
  <si>
    <t>Keith BOOTH</t>
  </si>
  <si>
    <t>Keith CONKERTON</t>
  </si>
  <si>
    <t>Keith ELLIS</t>
  </si>
  <si>
    <t>Keith HAWORTH</t>
  </si>
  <si>
    <t>Keith WALKER</t>
  </si>
  <si>
    <t>Keith WHITAKER</t>
  </si>
  <si>
    <t>Kelly DODDS</t>
  </si>
  <si>
    <t>Kelvin GOWER</t>
  </si>
  <si>
    <t>Ken BARKER</t>
  </si>
  <si>
    <t>Ken FOX</t>
  </si>
  <si>
    <t>Ken LIVINGSTONE</t>
  </si>
  <si>
    <t>Ken PEARSON</t>
  </si>
  <si>
    <t>Ken WRIGHT</t>
  </si>
  <si>
    <t>Kenneth WARNER</t>
  </si>
  <si>
    <t>Kenton BATT</t>
  </si>
  <si>
    <t>Kevan WILKINSON</t>
  </si>
  <si>
    <t>Kevin Anthony JONES</t>
  </si>
  <si>
    <t>Kevin Charles LISTER</t>
  </si>
  <si>
    <t>Kevin R R JONES</t>
  </si>
  <si>
    <t>Kevin BURNETT</t>
  </si>
  <si>
    <t>Kevin BUSH</t>
  </si>
  <si>
    <t>Kevin CHURCH</t>
  </si>
  <si>
    <t>Kevin DARGUE</t>
  </si>
  <si>
    <t>Kevin DOYLE</t>
  </si>
  <si>
    <t>Kevin FURLONG</t>
  </si>
  <si>
    <t>Kevin HUGHES</t>
  </si>
  <si>
    <t>Kevin STONE</t>
  </si>
  <si>
    <t>Kevin WHEELER</t>
  </si>
  <si>
    <t>Kevin YATES</t>
  </si>
  <si>
    <t>Kieran BEECH</t>
  </si>
  <si>
    <t>Kieron BRICE</t>
  </si>
  <si>
    <t>Kim LAUSTSEN</t>
  </si>
  <si>
    <t>King Keung LAU</t>
  </si>
  <si>
    <t>Kirsty BANGHAM</t>
  </si>
  <si>
    <t>Kristy GUNERATNE</t>
  </si>
  <si>
    <t>Krzysztof KLAWIKOWSKI</t>
  </si>
  <si>
    <t>Laura FOSTER</t>
  </si>
  <si>
    <t>Laura HAWKINS</t>
  </si>
  <si>
    <t>Laura WELSH</t>
  </si>
  <si>
    <t>Laurence DUFFY</t>
  </si>
  <si>
    <t>Laurence LEASK</t>
  </si>
  <si>
    <t>Lawrence ROOKE</t>
  </si>
  <si>
    <t>Leigh STEERE</t>
  </si>
  <si>
    <t>Len VORALIA</t>
  </si>
  <si>
    <t>Les BROWN</t>
  </si>
  <si>
    <t>Les HASWELL</t>
  </si>
  <si>
    <t>Lesley AIREY</t>
  </si>
  <si>
    <t>Lesley PYMM</t>
  </si>
  <si>
    <t>Lewis JONES</t>
  </si>
  <si>
    <t>Linda CROOK</t>
  </si>
  <si>
    <t>Linda GLENDINNING</t>
  </si>
  <si>
    <t>Linda PHILLIPS</t>
  </si>
  <si>
    <t>Lisa Margaret THOMAS</t>
  </si>
  <si>
    <t>Liz COLLISON</t>
  </si>
  <si>
    <t>Liz GREEN</t>
  </si>
  <si>
    <t>Liz JONES</t>
  </si>
  <si>
    <t>Liz ROBSON</t>
  </si>
  <si>
    <t>Liz ZASS</t>
  </si>
  <si>
    <t>Lizzie Ruth WILSON</t>
  </si>
  <si>
    <t>Lizzie WILKINSON</t>
  </si>
  <si>
    <t>Lok LI</t>
  </si>
  <si>
    <t>Lorraine BAILEY</t>
  </si>
  <si>
    <t>Louise SMITH</t>
  </si>
  <si>
    <t>Lucy PAYNE</t>
  </si>
  <si>
    <t>Luke ARBOUINE</t>
  </si>
  <si>
    <t>Luke SIGGS</t>
  </si>
  <si>
    <t>Lynn BRASTOCK</t>
  </si>
  <si>
    <t>Lynn NEWMAN</t>
  </si>
  <si>
    <t>Madge BRADSELL</t>
  </si>
  <si>
    <t>Maggie HUNT</t>
  </si>
  <si>
    <t>Maggie JONES</t>
  </si>
  <si>
    <t>Malcolm Edwin BROWN</t>
  </si>
  <si>
    <t>Malcolm J TAYLOR</t>
  </si>
  <si>
    <t>Malcolm Robert BOOKER</t>
  </si>
  <si>
    <t>Malcolm BELL</t>
  </si>
  <si>
    <t>Malcolm COLES</t>
  </si>
  <si>
    <t>Malcolm DICKSON</t>
  </si>
  <si>
    <t>Marcus ELWES</t>
  </si>
  <si>
    <t>Margaret FLETCHER</t>
  </si>
  <si>
    <t>Margaret HUSEIN</t>
  </si>
  <si>
    <t>Margaret MARDALL</t>
  </si>
  <si>
    <t>Margaret MYERS</t>
  </si>
  <si>
    <t>Margaret PHILLIPS</t>
  </si>
  <si>
    <t>Maria BALL</t>
  </si>
  <si>
    <t>Maria LAWRENCE</t>
  </si>
  <si>
    <t>Maria SPARKS</t>
  </si>
  <si>
    <t>Marjory BLUER</t>
  </si>
  <si>
    <t>Mark A JENNINGS</t>
  </si>
  <si>
    <t>Mark Anthony TRAVERS</t>
  </si>
  <si>
    <t>Mark F TAYLOR</t>
  </si>
  <si>
    <t>Mark John RALPH</t>
  </si>
  <si>
    <t>Mark Philip William ROBSON</t>
  </si>
  <si>
    <t>Mark COLBY</t>
  </si>
  <si>
    <t>Mark CURTIS</t>
  </si>
  <si>
    <t>Mark GADIE</t>
  </si>
  <si>
    <t>Mark GRACE</t>
  </si>
  <si>
    <t>Mark GRATTON</t>
  </si>
  <si>
    <t>Mark HILL</t>
  </si>
  <si>
    <t>Mark JEFFERY</t>
  </si>
  <si>
    <t>Mark MALHAM</t>
  </si>
  <si>
    <t>Mark MATHEWS</t>
  </si>
  <si>
    <t>Mark SHEPHERD</t>
  </si>
  <si>
    <t>Mark SHERWOOD</t>
  </si>
  <si>
    <t>Mark STEPHENSON</t>
  </si>
  <si>
    <t>Mark STEVENS</t>
  </si>
  <si>
    <t>Mark SYMES</t>
  </si>
  <si>
    <t>Mark THOMPSON</t>
  </si>
  <si>
    <t>Mark TIDSWELL</t>
  </si>
  <si>
    <t>Mark TILLER</t>
  </si>
  <si>
    <t>Martin Conroy WILSON</t>
  </si>
  <si>
    <t>Martin Moose WILLIAMS</t>
  </si>
  <si>
    <t>Martin GLADDERS</t>
  </si>
  <si>
    <t>Martin HAZELL</t>
  </si>
  <si>
    <t>Martin HOWMAN</t>
  </si>
  <si>
    <t>Martin LAWRENCE</t>
  </si>
  <si>
    <t>Martin MABBUTT</t>
  </si>
  <si>
    <t>Martin PEARSON</t>
  </si>
  <si>
    <t>Martin STOCKHAM</t>
  </si>
  <si>
    <t>Martin VALKENBURG</t>
  </si>
  <si>
    <t>Mary GIBSON</t>
  </si>
  <si>
    <t>Mary LORD</t>
  </si>
  <si>
    <t>Matt HOLLAND</t>
  </si>
  <si>
    <t>Matt LANE</t>
  </si>
  <si>
    <t>Matt PILLINGER</t>
  </si>
  <si>
    <t>Matthew Robert WATERIDGE</t>
  </si>
  <si>
    <t>Matthew AKPAN</t>
  </si>
  <si>
    <t>Matthew HACK</t>
  </si>
  <si>
    <t>Matthew HARWOOD</t>
  </si>
  <si>
    <t>Matthew JONES</t>
  </si>
  <si>
    <t>Matthew SALISBURY</t>
  </si>
  <si>
    <t>Matthew SUTTON</t>
  </si>
  <si>
    <t>Matthew WHITLOCKE</t>
  </si>
  <si>
    <t>Matthew WILDE</t>
  </si>
  <si>
    <t>Matthew WRIGHT</t>
  </si>
  <si>
    <t>Max MACMENEMEY</t>
  </si>
  <si>
    <t>Mel SMITH</t>
  </si>
  <si>
    <t>Melvin TRUNDLEY</t>
  </si>
  <si>
    <t>Melvyn BURTON</t>
  </si>
  <si>
    <t>Meryll CRIPPS</t>
  </si>
  <si>
    <t>Meshal ABUSHAL</t>
  </si>
  <si>
    <t>Mette FURSTENBERG</t>
  </si>
  <si>
    <t>Michael James RICHARDSON</t>
  </si>
  <si>
    <t>Michael Paul BROWN</t>
  </si>
  <si>
    <t>Michael BISSET</t>
  </si>
  <si>
    <t>Michael CHILDS</t>
  </si>
  <si>
    <t>Michael DALE</t>
  </si>
  <si>
    <t>Michael ELWELL</t>
  </si>
  <si>
    <t>Michael GIBBONS</t>
  </si>
  <si>
    <t>Michael GLAZEBROOK</t>
  </si>
  <si>
    <t>Michael MCCARTHY</t>
  </si>
  <si>
    <t>Michael PAGE</t>
  </si>
  <si>
    <t>Michael SIKORA</t>
  </si>
  <si>
    <t>Michael WHITE</t>
  </si>
  <si>
    <t>Michael WILLIAMS</t>
  </si>
  <si>
    <t>Michelle MADDOCKS</t>
  </si>
  <si>
    <t>Michelle MUSTARD</t>
  </si>
  <si>
    <t>Mick STAINES</t>
  </si>
  <si>
    <t>Mick WORSFOLD</t>
  </si>
  <si>
    <t>Micky WHEELER</t>
  </si>
  <si>
    <t>Mike James TAYLOR</t>
  </si>
  <si>
    <t>Mike ANDERSON</t>
  </si>
  <si>
    <t>Mike BALDWIN</t>
  </si>
  <si>
    <t>Mike BREWER</t>
  </si>
  <si>
    <t>Mike BRYANT</t>
  </si>
  <si>
    <t>Mike CLARK</t>
  </si>
  <si>
    <t>Mike DENNISON</t>
  </si>
  <si>
    <t>Mike ELLIOTT</t>
  </si>
  <si>
    <t>Mike FORDER</t>
  </si>
  <si>
    <t>Mike JONES</t>
  </si>
  <si>
    <t>Mike KNOX</t>
  </si>
  <si>
    <t>Mike MASON</t>
  </si>
  <si>
    <t>Mike MURRAY</t>
  </si>
  <si>
    <t>Murray PEEBLES</t>
  </si>
  <si>
    <t>Nathan MAYOH</t>
  </si>
  <si>
    <t>Nathan SHACKLEY</t>
  </si>
  <si>
    <t>Naz ZAMEER</t>
  </si>
  <si>
    <t>Neal HEDLEY</t>
  </si>
  <si>
    <t>Neil CHAPMAN</t>
  </si>
  <si>
    <t>Neil CHESTERTON</t>
  </si>
  <si>
    <t>Neil DAVIES</t>
  </si>
  <si>
    <t>Neil LAWSON</t>
  </si>
  <si>
    <t>Neil TILEY</t>
  </si>
  <si>
    <t>Neil YOUNG</t>
  </si>
  <si>
    <t>Nevil HENRY</t>
  </si>
  <si>
    <t>Neville TAYLOR</t>
  </si>
  <si>
    <t>Nicholas Gregory MCCALL</t>
  </si>
  <si>
    <t>Nicholas DYER</t>
  </si>
  <si>
    <t>Nicholas FOSTER</t>
  </si>
  <si>
    <t>Nick J HAIGH</t>
  </si>
  <si>
    <t>Nick DRY</t>
  </si>
  <si>
    <t>Nick GREATOREX</t>
  </si>
  <si>
    <t>Nick MCKAY</t>
  </si>
  <si>
    <t>Nick OVERY</t>
  </si>
  <si>
    <t>Nick RICHES</t>
  </si>
  <si>
    <t>Nick SHAKESBY</t>
  </si>
  <si>
    <t>Nick WALSHE</t>
  </si>
  <si>
    <t>Nick WHITE</t>
  </si>
  <si>
    <t>Nick WILLIAMS</t>
  </si>
  <si>
    <t>Nick WRIGHT</t>
  </si>
  <si>
    <t>Nicky BEST</t>
  </si>
  <si>
    <t>Nicola EL KADIRI</t>
  </si>
  <si>
    <t>Nicola FORWOOD</t>
  </si>
  <si>
    <t>Nicola LLOYD</t>
  </si>
  <si>
    <t>Nicola PEARSON</t>
  </si>
  <si>
    <t>Nicola TARRANT</t>
  </si>
  <si>
    <t>Nicola WHITBY</t>
  </si>
  <si>
    <t>Nigel BOARD</t>
  </si>
  <si>
    <t>Nigel BULMER</t>
  </si>
  <si>
    <t>Nigel DOXFORD</t>
  </si>
  <si>
    <t>Nigel POOLE</t>
  </si>
  <si>
    <t>Nigel SHEPPARD</t>
  </si>
  <si>
    <t>Ole HAGENSEN</t>
  </si>
  <si>
    <t>Oliver M WILLIAMS</t>
  </si>
  <si>
    <t>Olov HANSEN</t>
  </si>
  <si>
    <t>Otto BENZ</t>
  </si>
  <si>
    <t>Otto FREDERIKSEN</t>
  </si>
  <si>
    <t>Pam LOVE</t>
  </si>
  <si>
    <t>Pat CLIFF</t>
  </si>
  <si>
    <t>Pat HEWLETT</t>
  </si>
  <si>
    <t>Pat KIMPTON</t>
  </si>
  <si>
    <t>Pat MCGRATH</t>
  </si>
  <si>
    <t>Pat WALSH</t>
  </si>
  <si>
    <t>Patricia CUE</t>
  </si>
  <si>
    <t>Paul Andrew JOHNSON</t>
  </si>
  <si>
    <t>Paul D VIVEASH</t>
  </si>
  <si>
    <t>Paul Edward BEARD</t>
  </si>
  <si>
    <t>Paul M.J. GROVES</t>
  </si>
  <si>
    <t>Paul William SMITH</t>
  </si>
  <si>
    <t>Paul BARBER</t>
  </si>
  <si>
    <t>Paul BELCHER</t>
  </si>
  <si>
    <t>Paul BODDEY</t>
  </si>
  <si>
    <t>Paul CASWELL</t>
  </si>
  <si>
    <t>Paul CHRISTON</t>
  </si>
  <si>
    <t>Paul COOK</t>
  </si>
  <si>
    <t>Paul CORNOCK</t>
  </si>
  <si>
    <t>Paul CREGG</t>
  </si>
  <si>
    <t>Paul CRIPPS</t>
  </si>
  <si>
    <t>Paul DAVIES</t>
  </si>
  <si>
    <t>Paul FALLOWS</t>
  </si>
  <si>
    <t>Paul FIELDING</t>
  </si>
  <si>
    <t>Paul FORSHAW</t>
  </si>
  <si>
    <t>Paul FREYNE</t>
  </si>
  <si>
    <t>Paul HARPER</t>
  </si>
  <si>
    <t>Paul HOUSTON</t>
  </si>
  <si>
    <t>Paul KEMP</t>
  </si>
  <si>
    <t>Paul MORRIS</t>
  </si>
  <si>
    <t>Paul MUSTARD</t>
  </si>
  <si>
    <t>Paul NORRIS</t>
  </si>
  <si>
    <t>Paul ROSTERN</t>
  </si>
  <si>
    <t>Paul SANDERSON</t>
  </si>
  <si>
    <t>Paul SINTON-HEWITT</t>
  </si>
  <si>
    <t>Paul SLATFORD</t>
  </si>
  <si>
    <t>Paul TRANTER</t>
  </si>
  <si>
    <t>Paul TREMERE</t>
  </si>
  <si>
    <t>Paul WOODWARD</t>
  </si>
  <si>
    <t>Paul WOODYATT</t>
  </si>
  <si>
    <t>Paul ZARA</t>
  </si>
  <si>
    <t>Paula FUDGE</t>
  </si>
  <si>
    <t>Paula SPEECHLEY</t>
  </si>
  <si>
    <t>Pauline BLAKE</t>
  </si>
  <si>
    <t>Pauline LEEVES</t>
  </si>
  <si>
    <t>Per SØRENSEN</t>
  </si>
  <si>
    <t>Pete SCOLLS</t>
  </si>
  <si>
    <t>Pete TWIGG</t>
  </si>
  <si>
    <t>Peter Alasdair Fergus COLLINS</t>
  </si>
  <si>
    <t>Peter Gordon SMITH</t>
  </si>
  <si>
    <t>Peter James OLIVER</t>
  </si>
  <si>
    <t>Peter John ANDERSON</t>
  </si>
  <si>
    <t>Peter William GUNNELL</t>
  </si>
  <si>
    <t>Peter BROADBENT</t>
  </si>
  <si>
    <t>Peter CHIVERTON</t>
  </si>
  <si>
    <t>Peter COLLINS</t>
  </si>
  <si>
    <t>Peter DRY</t>
  </si>
  <si>
    <t>Peter FORDHAM</t>
  </si>
  <si>
    <t>Peter GEORGIADES</t>
  </si>
  <si>
    <t>Peter HARRIS</t>
  </si>
  <si>
    <t>Peter LEY</t>
  </si>
  <si>
    <t>Peter MANNION</t>
  </si>
  <si>
    <t>Peter MEADS</t>
  </si>
  <si>
    <t>Peter MITCHELL</t>
  </si>
  <si>
    <t>Peter SAMUELSON</t>
  </si>
  <si>
    <t>Peter SPEECHLEY</t>
  </si>
  <si>
    <t>Peter WALSH</t>
  </si>
  <si>
    <t>Peter WEDDERBURN</t>
  </si>
  <si>
    <t>Peter WOODWARD</t>
  </si>
  <si>
    <t>Peter WOOLL</t>
  </si>
  <si>
    <t>Phil BAILEY</t>
  </si>
  <si>
    <t>Phil BLUER</t>
  </si>
  <si>
    <t>Phil BRISTOW</t>
  </si>
  <si>
    <t>Phil JARVIS</t>
  </si>
  <si>
    <t>Phil NASH</t>
  </si>
  <si>
    <t>Philip JACKSON</t>
  </si>
  <si>
    <t>Philip NORTH</t>
  </si>
  <si>
    <t>Philip POTTER</t>
  </si>
  <si>
    <t>Philip TOSH</t>
  </si>
  <si>
    <t>Philip WILLIAMSON</t>
  </si>
  <si>
    <t>Philip WOOLHOUSE</t>
  </si>
  <si>
    <t>Phillip BEARMAN (SNR)</t>
  </si>
  <si>
    <t>Phillip LAURIER</t>
  </si>
  <si>
    <t>Phyll DOUGLAS</t>
  </si>
  <si>
    <t>Phyllis FLYNN</t>
  </si>
  <si>
    <t>Polly ADAMS</t>
  </si>
  <si>
    <t>Rachel Louise LONERGAN</t>
  </si>
  <si>
    <t>Rachel ALLEN</t>
  </si>
  <si>
    <t>Rachel BENTLEY</t>
  </si>
  <si>
    <t>Rachel BRICE</t>
  </si>
  <si>
    <t>Raj PATEL</t>
  </si>
  <si>
    <t>Ralph DAWKINS</t>
  </si>
  <si>
    <t>Ramona THEVENET</t>
  </si>
  <si>
    <t>Ravinder SAINI</t>
  </si>
  <si>
    <t>Ray EVANS</t>
  </si>
  <si>
    <t>Rex TOOP</t>
  </si>
  <si>
    <t>Rhys Thomas WILLIAMS</t>
  </si>
  <si>
    <t>Ria TRUNDLEY</t>
  </si>
  <si>
    <t>Rich NEISH</t>
  </si>
  <si>
    <t>Richard A HALL</t>
  </si>
  <si>
    <t>Richard Anthony JOHNSON</t>
  </si>
  <si>
    <t>Richard Michael BARKER</t>
  </si>
  <si>
    <t>Richard BARKER</t>
  </si>
  <si>
    <t>Richard BARMAN</t>
  </si>
  <si>
    <t>Richard BOESE</t>
  </si>
  <si>
    <t>Richard FITZPATRICK</t>
  </si>
  <si>
    <t>Richard FYVIE</t>
  </si>
  <si>
    <t>Richard HAMMER</t>
  </si>
  <si>
    <t>Richard LAMBERT</t>
  </si>
  <si>
    <t>Richard MAYNEORD</t>
  </si>
  <si>
    <t>Richard MCCHESNEY</t>
  </si>
  <si>
    <t>Richard PITCAIRN-KNOWLES</t>
  </si>
  <si>
    <t>Richard STADDEN</t>
  </si>
  <si>
    <t>Richard TANNER</t>
  </si>
  <si>
    <t>Richard WARD</t>
  </si>
  <si>
    <t>Richard WILDER</t>
  </si>
  <si>
    <t>Rick A CLARKE</t>
  </si>
  <si>
    <t>Rick EVANS</t>
  </si>
  <si>
    <t>Rob S JONES</t>
  </si>
  <si>
    <t>Rob BROWN</t>
  </si>
  <si>
    <t>Rob HOLDSWORTH</t>
  </si>
  <si>
    <t>Rob KELLY</t>
  </si>
  <si>
    <t>Rob TURNER</t>
  </si>
  <si>
    <t>Rob WALKER</t>
  </si>
  <si>
    <t>Robert Andrew JONES</t>
  </si>
  <si>
    <t>Robert Andrew PHILLIPS</t>
  </si>
  <si>
    <t>Robert BEEBY</t>
  </si>
  <si>
    <t>Robert CURRIE</t>
  </si>
  <si>
    <t>Robert LOVEGROVE</t>
  </si>
  <si>
    <t>Robert NICHOLS</t>
  </si>
  <si>
    <t>Robert SPENCER</t>
  </si>
  <si>
    <t>Robert SWEENEY</t>
  </si>
  <si>
    <t>Robert TRIBE</t>
  </si>
  <si>
    <t>Robert TYSON</t>
  </si>
  <si>
    <t>Robin HOLMES</t>
  </si>
  <si>
    <t>Rod FRASER</t>
  </si>
  <si>
    <t>Rod MAIN</t>
  </si>
  <si>
    <t>Rodney FREEBURN</t>
  </si>
  <si>
    <t>Roger Graham NELSON</t>
  </si>
  <si>
    <t>Roger S WILSON</t>
  </si>
  <si>
    <t>Roger BRYANT</t>
  </si>
  <si>
    <t>Roger FOORD</t>
  </si>
  <si>
    <t>Roger HARRIS</t>
  </si>
  <si>
    <t>Roger THOMAS</t>
  </si>
  <si>
    <t>Roger WHITEHEAD</t>
  </si>
  <si>
    <t>Rory WADDELL</t>
  </si>
  <si>
    <t>Ros CRANSTON</t>
  </si>
  <si>
    <t>Roseanne LIGHTFOOT</t>
  </si>
  <si>
    <t>Rosemary EGBE</t>
  </si>
  <si>
    <t>Ross GIGGINS</t>
  </si>
  <si>
    <t>Roy HUGGINS</t>
  </si>
  <si>
    <t>Roy REEDER</t>
  </si>
  <si>
    <t>Royston HACKETT</t>
  </si>
  <si>
    <t>Rupert MCLEOD</t>
  </si>
  <si>
    <t>Rupert QUESTED</t>
  </si>
  <si>
    <t>Russell GARDHAM</t>
  </si>
  <si>
    <t>Russell HARMSWORTH</t>
  </si>
  <si>
    <t>Ruth BENZIMRA</t>
  </si>
  <si>
    <t>Ruth HUTTON</t>
  </si>
  <si>
    <t>Ruth MAHON</t>
  </si>
  <si>
    <t>Sally WILDER</t>
  </si>
  <si>
    <t>Sally WOODWARD GENTLE</t>
  </si>
  <si>
    <t>Santosh RAI</t>
  </si>
  <si>
    <t>Sarah E J MAYALL</t>
  </si>
  <si>
    <t>Sarah Louisa FILMER</t>
  </si>
  <si>
    <t>Sarah ALDRIDGE</t>
  </si>
  <si>
    <t>Sarah RUSSELL</t>
  </si>
  <si>
    <t>Sarah TOCK</t>
  </si>
  <si>
    <t>Sarj Singh BASRA</t>
  </si>
  <si>
    <t>Sarmid AL-KAMIL</t>
  </si>
  <si>
    <t>Scott MCMILLAN</t>
  </si>
  <si>
    <t>Sean EGAN</t>
  </si>
  <si>
    <t>Sean GIBSON</t>
  </si>
  <si>
    <t>Sean PARRY</t>
  </si>
  <si>
    <t>Shane MCDERMOTT</t>
  </si>
  <si>
    <t>Sharon GAYTER</t>
  </si>
  <si>
    <t>Sharon ROWE</t>
  </si>
  <si>
    <t>Sheila FERGUSSON</t>
  </si>
  <si>
    <t>Sheila JONES</t>
  </si>
  <si>
    <t>Shirley Rose GIBSON</t>
  </si>
  <si>
    <t>Sian DOWNING</t>
  </si>
  <si>
    <t>Simon John HARVEY</t>
  </si>
  <si>
    <t>Simon ARMOUR</t>
  </si>
  <si>
    <t>Simon COWIE</t>
  </si>
  <si>
    <t>Simon GREENHILL</t>
  </si>
  <si>
    <t>Simon HAZEL</t>
  </si>
  <si>
    <t>Simon KIMPTON</t>
  </si>
  <si>
    <t>Simon KING</t>
  </si>
  <si>
    <t>Simon NEWTON</t>
  </si>
  <si>
    <t>Simon PHILLIPS</t>
  </si>
  <si>
    <t>Simon PORTER</t>
  </si>
  <si>
    <t>Soheel BHANDARI</t>
  </si>
  <si>
    <t>Sophie MCKAY</t>
  </si>
  <si>
    <t>Stephen ADU</t>
  </si>
  <si>
    <t>Stephen COONEY</t>
  </si>
  <si>
    <t>Stephen DAVIES</t>
  </si>
  <si>
    <t>Stephen GLACKIN</t>
  </si>
  <si>
    <t>Stephen HEWETT</t>
  </si>
  <si>
    <t>Stephen KNOTT</t>
  </si>
  <si>
    <t>Stephen MOORE</t>
  </si>
  <si>
    <t>Stephen O'HARA</t>
  </si>
  <si>
    <t>Steve P SMITH</t>
  </si>
  <si>
    <t>Steve BREAGAN</t>
  </si>
  <si>
    <t>Steve CLARKE</t>
  </si>
  <si>
    <t>Steve COCHRANE</t>
  </si>
  <si>
    <t>Steve DARBY</t>
  </si>
  <si>
    <t>Steve FAIRCLOUGH</t>
  </si>
  <si>
    <t>Steve HAAKE</t>
  </si>
  <si>
    <t>Steve HATCH</t>
  </si>
  <si>
    <t>Steve HOLDEN</t>
  </si>
  <si>
    <t>Steve HULL</t>
  </si>
  <si>
    <t>Steve MILLER</t>
  </si>
  <si>
    <t>Steve NEWELL</t>
  </si>
  <si>
    <t>Steve PARSONS</t>
  </si>
  <si>
    <t>Steve TILL</t>
  </si>
  <si>
    <t>Steve WOOD</t>
  </si>
  <si>
    <t>Steven ANDERSON</t>
  </si>
  <si>
    <t>Steven STOCKWELL</t>
  </si>
  <si>
    <t>Stewart HOLMES</t>
  </si>
  <si>
    <t>Stewart ROSE</t>
  </si>
  <si>
    <t>Stuart Alan HUMPHRIES</t>
  </si>
  <si>
    <t>Stuart R EVANS</t>
  </si>
  <si>
    <t>Stuart BAKER</t>
  </si>
  <si>
    <t>Stuart DRISKILL</t>
  </si>
  <si>
    <t>Stuart LODGE</t>
  </si>
  <si>
    <t>Stuart LOGAN</t>
  </si>
  <si>
    <t>Stuart THOMPSON</t>
  </si>
  <si>
    <t>Sue BRUMWELL</t>
  </si>
  <si>
    <t>Sue DIBB</t>
  </si>
  <si>
    <t>Sue GRAHAM-KAHN</t>
  </si>
  <si>
    <t>Sue HAMMERTON</t>
  </si>
  <si>
    <t>Sue MCINTYRE</t>
  </si>
  <si>
    <t>Sue ROTHWELL</t>
  </si>
  <si>
    <t>Sue ROUND</t>
  </si>
  <si>
    <t>Sue WILSHERE</t>
  </si>
  <si>
    <t>Susan Jane HARVEY</t>
  </si>
  <si>
    <t>Susan BRYAN</t>
  </si>
  <si>
    <t>Susan ESSLEMONT</t>
  </si>
  <si>
    <t>Susanne LAUSTSEN</t>
  </si>
  <si>
    <t>Suzan BAKER</t>
  </si>
  <si>
    <t>Suzanne SHARMAN</t>
  </si>
  <si>
    <t>Suzie LONGSTAFF</t>
  </si>
  <si>
    <t>Tabatha SIMS</t>
  </si>
  <si>
    <t>Ted FRASER</t>
  </si>
  <si>
    <t>Terence Anthony HENSTOCK</t>
  </si>
  <si>
    <t>Terry BRAVERMAN</t>
  </si>
  <si>
    <t>Terry BRIGHTWELL</t>
  </si>
  <si>
    <t>Terry LAWRENCE</t>
  </si>
  <si>
    <t>Theresa MASON</t>
  </si>
  <si>
    <t>Thomas C WILKINSON</t>
  </si>
  <si>
    <t>Tim BLACKWELL</t>
  </si>
  <si>
    <t>Tim BLOSS</t>
  </si>
  <si>
    <t>Tim MCINTYRE</t>
  </si>
  <si>
    <t>Tim NEWSAM</t>
  </si>
  <si>
    <t>Tim SEDDON</t>
  </si>
  <si>
    <t>Tim WASHBROOK</t>
  </si>
  <si>
    <t>Tim WOOD</t>
  </si>
  <si>
    <t>Timothy CUMMINS</t>
  </si>
  <si>
    <t>Timothy WILLIAMS</t>
  </si>
  <si>
    <t>Tom CHURCHILL</t>
  </si>
  <si>
    <t>Tom FALLON</t>
  </si>
  <si>
    <t>Toni CALLEN</t>
  </si>
  <si>
    <t>Tony CHAPMAN</t>
  </si>
  <si>
    <t>Tony DAGLISH</t>
  </si>
  <si>
    <t>Tony GALLILEE</t>
  </si>
  <si>
    <t>Tony HART</t>
  </si>
  <si>
    <t>Tony MERRITT</t>
  </si>
  <si>
    <t>Tony PHILLIPS</t>
  </si>
  <si>
    <t>Tony REID</t>
  </si>
  <si>
    <t>Tony SLATER</t>
  </si>
  <si>
    <t>Tony STREAMS</t>
  </si>
  <si>
    <t>Tony WRIGHT</t>
  </si>
  <si>
    <t>Tracy FRASER</t>
  </si>
  <si>
    <t>Tracy RANKIN</t>
  </si>
  <si>
    <t>Tracy SMITH</t>
  </si>
  <si>
    <t>Trevor CLARK</t>
  </si>
  <si>
    <t>Trevor MORRIS</t>
  </si>
  <si>
    <t>Trevor ROSE</t>
  </si>
  <si>
    <t>Tunde ADEYEMO</t>
  </si>
  <si>
    <t>Ursula ELWELL</t>
  </si>
  <si>
    <t>Vickie HALLAM</t>
  </si>
  <si>
    <t>Victoria DICK</t>
  </si>
  <si>
    <t>Vince ELLERBY</t>
  </si>
  <si>
    <t>Vince GANNON</t>
  </si>
  <si>
    <t>Vince HOWLEY</t>
  </si>
  <si>
    <t>Vincent ALCOCK</t>
  </si>
  <si>
    <t>Vinny JONES</t>
  </si>
  <si>
    <t>Viraf CAPTAIN</t>
  </si>
  <si>
    <t>Wally GARROD</t>
  </si>
  <si>
    <t>Walter CORMACK</t>
  </si>
  <si>
    <t>Walter THORPE</t>
  </si>
  <si>
    <t>Warren HARDCASTLE</t>
  </si>
  <si>
    <t>Warren ROBERTSON</t>
  </si>
  <si>
    <t>Wayne KING-FARLOW</t>
  </si>
  <si>
    <t>Wayne SARTEN</t>
  </si>
  <si>
    <t>Wendy FOXALL</t>
  </si>
  <si>
    <t>Wendy HEATHCOTE</t>
  </si>
  <si>
    <t>Wendy ROBERTSON</t>
  </si>
  <si>
    <t>Wendy SUTTON</t>
  </si>
  <si>
    <t>Wendy TOREVELL</t>
  </si>
  <si>
    <t>Will FULLER</t>
  </si>
  <si>
    <t>Will RUSSELL</t>
  </si>
  <si>
    <t>William REID</t>
  </si>
  <si>
    <t>William SHIPPIN</t>
  </si>
  <si>
    <t>Wole ODELE</t>
  </si>
  <si>
    <t>Yucel ERKAN</t>
  </si>
  <si>
    <t>Yvonne BAKER</t>
  </si>
  <si>
    <t>Zoe Alison FAIZ</t>
  </si>
  <si>
    <t>Zoe DENNISON</t>
  </si>
  <si>
    <t>Zoe GARDHAM</t>
  </si>
  <si>
    <t>23rd Feb 2017</t>
  </si>
  <si>
    <t>"250 Club"</t>
  </si>
  <si>
    <t>run #381, 2nd at Fulham</t>
  </si>
  <si>
    <t>first run at Fulham</t>
  </si>
  <si>
    <t>run #242, course pb</t>
  </si>
  <si>
    <t>run# 228, 197th at Bushy</t>
  </si>
  <si>
    <t>run #278</t>
  </si>
  <si>
    <t>run #446</t>
  </si>
  <si>
    <t>first run at Bicester</t>
  </si>
  <si>
    <t>run #327</t>
  </si>
  <si>
    <t>on temporary course at Dinton Pastures</t>
  </si>
  <si>
    <t>run #226, 63rd at Woodley</t>
  </si>
  <si>
    <t>run #105, 95th at Upton Court</t>
  </si>
  <si>
    <t>run #107, 41st at Sunderland</t>
  </si>
  <si>
    <t>run #102, 37th at Sunderland</t>
  </si>
  <si>
    <t>run #67, 61st at Harrow</t>
  </si>
  <si>
    <t>run #24, 1st at Durham</t>
  </si>
  <si>
    <t>13th out of 349, club record</t>
  </si>
  <si>
    <t>run #78, 3rd at Salisbury</t>
  </si>
  <si>
    <t>run #143, 11th at Leicester Vic</t>
  </si>
  <si>
    <t>Janet Smith is an associate member and also a member of Datchet Dashers, formerly with Windsor, Slough, Eton and Hounslow</t>
  </si>
  <si>
    <t>John Taylor at Durham</t>
  </si>
  <si>
    <t>plus short report writer</t>
  </si>
  <si>
    <t>Gunnersbury 104, 27</t>
  </si>
  <si>
    <t>run director/funnel manager</t>
  </si>
  <si>
    <t>run #73, 4th at Homewood</t>
  </si>
  <si>
    <t>run #35, 5th at Homewood</t>
  </si>
  <si>
    <t>first run at Roundhay</t>
  </si>
  <si>
    <t>ROH</t>
  </si>
  <si>
    <t>S&amp;L Dodsworth</t>
  </si>
  <si>
    <t>LS8 2ER</t>
  </si>
  <si>
    <t>Roundhay, Leeds</t>
  </si>
  <si>
    <t>Roundhay (Leeds)</t>
  </si>
  <si>
    <t>started 4/3/2017</t>
  </si>
  <si>
    <t>inaugural, 359th/456 runners</t>
  </si>
  <si>
    <t>F-5, run #214</t>
  </si>
  <si>
    <t xml:space="preserve">Kathryn </t>
  </si>
  <si>
    <t>Marathon des Sables entrant</t>
  </si>
  <si>
    <t>run #447</t>
  </si>
  <si>
    <t>run #59, 32nd at Northala</t>
  </si>
  <si>
    <t>run #129, 11th at Northala</t>
  </si>
  <si>
    <t>run #176, 2nd at Old Deer Pk</t>
  </si>
  <si>
    <t>run #243, 2nd at old Deer Pk</t>
  </si>
  <si>
    <t>run #229, 198th at Bushy</t>
  </si>
  <si>
    <t>run #302</t>
  </si>
  <si>
    <t>run #7, 3rd at Bedfont</t>
  </si>
  <si>
    <t>previous runs in 2011 and 2014</t>
  </si>
  <si>
    <t>first parkrun for 8 weeks</t>
  </si>
  <si>
    <t>260th run at Reading</t>
  </si>
  <si>
    <t>42nd run at Braunstone</t>
  </si>
  <si>
    <t>1st run at Hull</t>
  </si>
  <si>
    <t>Gary Rushmer holds club record</t>
  </si>
  <si>
    <t>2017 at Gunnersbury</t>
  </si>
  <si>
    <t>1km</t>
  </si>
  <si>
    <t>2km</t>
  </si>
  <si>
    <t>3km</t>
  </si>
  <si>
    <t>4km</t>
  </si>
  <si>
    <t>5km</t>
  </si>
  <si>
    <t>Tomtom</t>
  </si>
  <si>
    <t>total</t>
  </si>
  <si>
    <t>Gunnersbury 105</t>
  </si>
  <si>
    <t>WHY</t>
  </si>
  <si>
    <t>Whiteley Meadowside</t>
  </si>
  <si>
    <t>starts 1 April 2017</t>
  </si>
  <si>
    <t>PO15 7PD</t>
  </si>
  <si>
    <t>Roderick at Great Lines</t>
  </si>
  <si>
    <t>F-2, run #215</t>
  </si>
  <si>
    <t>run #448</t>
  </si>
  <si>
    <t>1st run at Northala</t>
  </si>
  <si>
    <t>M-9, run 12</t>
  </si>
  <si>
    <t>run #303</t>
  </si>
  <si>
    <t xml:space="preserve">Grant </t>
  </si>
  <si>
    <t>run #230, 199th at Bushy Pk</t>
  </si>
  <si>
    <t>run #279, 238th at Bushy</t>
  </si>
  <si>
    <t>run #30, best age grade score</t>
  </si>
  <si>
    <t>run #68, 62nd at Harrow</t>
  </si>
  <si>
    <t>park #80, Lon-done restored</t>
  </si>
  <si>
    <t>run #130, 61st at Wycombe</t>
  </si>
  <si>
    <t>KEK</t>
  </si>
  <si>
    <t>run #329, 261st at Reading</t>
  </si>
  <si>
    <t>Leslie</t>
  </si>
  <si>
    <t>1st run at Kingston</t>
  </si>
  <si>
    <t>2nd run at Kingston</t>
  </si>
  <si>
    <t>run #145, 43rd at Braunstone</t>
  </si>
  <si>
    <t>7th out of 136 in MV60-64 all time list</t>
  </si>
  <si>
    <t>run #74, 24th at Poole</t>
  </si>
  <si>
    <t>only run in 2016</t>
  </si>
  <si>
    <t>first run at Burgess Park</t>
  </si>
  <si>
    <t xml:space="preserve">run #7 </t>
  </si>
  <si>
    <t>1st run at Bedfont, park #32</t>
  </si>
  <si>
    <t>1st run at Bedfont, park #38</t>
  </si>
  <si>
    <t>1st run at Thurrock, club rec</t>
  </si>
  <si>
    <t>run #304, 20th at Crane Park</t>
  </si>
  <si>
    <t>33rd run at Harrogate</t>
  </si>
  <si>
    <t>32nd run at Harrogate</t>
  </si>
  <si>
    <t>run #449</t>
  </si>
  <si>
    <t>F-2, course pb</t>
  </si>
  <si>
    <t>run #62, 2nd at Homewood</t>
  </si>
  <si>
    <t>run #146, 44th at Braunstone</t>
  </si>
  <si>
    <t>1st run at Glossop</t>
  </si>
  <si>
    <t>run #197, 172nd at Bedfont</t>
  </si>
  <si>
    <t>Bedfont Lakes #400</t>
  </si>
  <si>
    <t>run #257, 106th at Gunsbury</t>
  </si>
  <si>
    <t>run #231, 200th at Bushy</t>
  </si>
  <si>
    <t>run #280, 239th at Bushy</t>
  </si>
  <si>
    <t>run #166, plus event set up</t>
  </si>
  <si>
    <t>run #178, plus  event set up</t>
  </si>
  <si>
    <t>record now down to 28:11</t>
  </si>
  <si>
    <t>record now down to 28:16</t>
  </si>
  <si>
    <t>record now down to 22:53</t>
  </si>
  <si>
    <t>return train 1009</t>
  </si>
  <si>
    <t>Gunnersbury 106</t>
  </si>
  <si>
    <t>Piers at Glossop</t>
  </si>
  <si>
    <t>Dodsworths at Roundhay</t>
  </si>
  <si>
    <t>Rickmansworth (81)</t>
  </si>
  <si>
    <t>Roding Valley (82)</t>
  </si>
  <si>
    <t>Former members</t>
  </si>
  <si>
    <t>Bloomfield</t>
  </si>
  <si>
    <t>Yet to Renew</t>
  </si>
  <si>
    <t>Associate</t>
  </si>
  <si>
    <t>Full</t>
  </si>
  <si>
    <t>Affiliated</t>
  </si>
  <si>
    <t>Godfrey</t>
  </si>
  <si>
    <t>Other Club</t>
  </si>
  <si>
    <t>Ketterick</t>
  </si>
  <si>
    <t>Elizabeth</t>
  </si>
  <si>
    <t>B J</t>
  </si>
  <si>
    <t>Singh</t>
  </si>
  <si>
    <t>Stephen</t>
  </si>
  <si>
    <t>Waite</t>
  </si>
  <si>
    <t>Warner</t>
  </si>
  <si>
    <t>never done a parkrun</t>
  </si>
  <si>
    <t>age cat rec, club course rec</t>
  </si>
  <si>
    <t>run #75, 25th at Poole</t>
  </si>
  <si>
    <t>record is 870 set last August</t>
  </si>
  <si>
    <t>12th run at Leicester Victoria</t>
  </si>
  <si>
    <t>park #188, Bapark #327</t>
  </si>
  <si>
    <t>F-2, run #217</t>
  </si>
  <si>
    <t>run #450</t>
  </si>
  <si>
    <t>run #258</t>
  </si>
  <si>
    <t>run #161, 114th at Gunsbury</t>
  </si>
  <si>
    <t>best run at Bushy this year</t>
  </si>
  <si>
    <t>Waterworks, BFS</t>
  </si>
  <si>
    <t>run #22, 12th at Waterworks</t>
  </si>
  <si>
    <t>run #35, 18th at Waterworks</t>
  </si>
  <si>
    <t>pacing group system manager</t>
  </si>
  <si>
    <t>Richard Ruffell has also joined Shires Triers (for duathlon/triathlon events)</t>
  </si>
  <si>
    <t>7.41 from Hammersmith to Baker St, Met Line to Rickmansworth</t>
  </si>
  <si>
    <t>run #259, park #81</t>
  </si>
  <si>
    <t>run #247, park #189</t>
  </si>
  <si>
    <t>run #194, park #31</t>
  </si>
  <si>
    <t>HUD</t>
  </si>
  <si>
    <t>run #160, 156th at Bedfont</t>
  </si>
  <si>
    <t>run #164, 141st at Crane Park</t>
  </si>
  <si>
    <t>run #148, park #79</t>
  </si>
  <si>
    <t>run #167, 1st at Huddersfield</t>
  </si>
  <si>
    <t>HD1 4HS</t>
  </si>
  <si>
    <t>run by the Dodsworths the day after they resigned!</t>
  </si>
  <si>
    <t>F-4, run  #218</t>
  </si>
  <si>
    <t>run #451</t>
  </si>
  <si>
    <t>run #179, 9th at Bushy Park</t>
  </si>
  <si>
    <t>run #107, 97th at Upton Court</t>
  </si>
  <si>
    <t>run #77, 47th at Maidenhead</t>
  </si>
  <si>
    <t>run #332</t>
  </si>
  <si>
    <t>Waterworks BFS</t>
  </si>
  <si>
    <t>run #23, 13th at Waterworks</t>
  </si>
  <si>
    <t>run #36, 19th at Waterworks</t>
  </si>
  <si>
    <t>run #306, 22nd at Crane Park</t>
  </si>
  <si>
    <t>run #68, park #33</t>
  </si>
  <si>
    <t>run #81, park 39</t>
  </si>
  <si>
    <t>Norris</t>
  </si>
  <si>
    <t>M-1, run #93, 14th at Sth Oxy</t>
  </si>
  <si>
    <t>Neil Frediani at Huddersfield</t>
  </si>
  <si>
    <t>Roderick at Lowestoft</t>
  </si>
  <si>
    <t>Gunnersbury 107</t>
  </si>
  <si>
    <t>Alan 450</t>
  </si>
  <si>
    <t>Green Belt Relay w/e</t>
  </si>
  <si>
    <t>WOW</t>
  </si>
  <si>
    <t>Steve and Linda Dodsworth resigned on 31st March 2017 and then ran at Worsley Woods the next day.</t>
  </si>
  <si>
    <t>Steve Dodsworth 21:40, Linda Dodsworth 44:30</t>
  </si>
  <si>
    <t>Inside M25 complete again</t>
  </si>
  <si>
    <t>park #80</t>
  </si>
  <si>
    <t>0:27:06, BST</t>
  </si>
  <si>
    <t>first run of the year</t>
  </si>
  <si>
    <t>run #39, 2nd at Riddlesdown</t>
  </si>
  <si>
    <t>run #233, 11th at Woking</t>
  </si>
  <si>
    <t>run #77, 39th at Woking</t>
  </si>
  <si>
    <t>run #63, 3rd at Homewood</t>
  </si>
  <si>
    <t>10 min walk</t>
  </si>
  <si>
    <t>run #56, 55th at Harrow</t>
  </si>
  <si>
    <t>run #452</t>
  </si>
  <si>
    <t>run #219, 213rd at Gunnersby</t>
  </si>
  <si>
    <t>2nd run at Clermont (Orlando)</t>
  </si>
  <si>
    <t>club course record, and he ran it even faster in 2014, it wasn't a course pb</t>
  </si>
  <si>
    <t>run #186, park #186</t>
  </si>
  <si>
    <t>run #283</t>
  </si>
  <si>
    <t>run #248, park #190</t>
  </si>
  <si>
    <t>run #55, 10th at Upton Court</t>
  </si>
  <si>
    <t>run #108, 98th at Upton Court</t>
  </si>
  <si>
    <t>park #62, club course record</t>
  </si>
  <si>
    <t>run #133, 63rd at Wycombe</t>
  </si>
  <si>
    <t>attendance over 400 for 10th time this year.</t>
  </si>
  <si>
    <t>Valley BFS</t>
  </si>
  <si>
    <t>run #37, 5th at Valley</t>
  </si>
  <si>
    <t>run #24, 4th at Valley</t>
  </si>
  <si>
    <t>RVI</t>
  </si>
  <si>
    <t>Roosevelt Island, DC</t>
  </si>
  <si>
    <t>started August 2016</t>
  </si>
  <si>
    <t>Shepton Mallett (Collett Park)</t>
  </si>
  <si>
    <t>BA4 5PJ</t>
  </si>
  <si>
    <t>starts 29th April 2017</t>
  </si>
  <si>
    <t>Ray Hampton is also a member of Stockport Harriers</t>
  </si>
  <si>
    <t>Julie Barclay 23:11, Caroline Cockram 24:36</t>
  </si>
  <si>
    <t>plus 3 at Colby, and I each at Bushy, Frim;ey,  Gnoll, Havant, Lanhydrock, 6 at Bognor Regis and 4 at Llanelli Coast</t>
  </si>
  <si>
    <t>run #57, 56th at Harrow</t>
  </si>
  <si>
    <t>run #70, 64th at Harrow</t>
  </si>
  <si>
    <t>run #453</t>
  </si>
  <si>
    <t>run #261, 108th at Gunsbury</t>
  </si>
  <si>
    <t>best time at Bushy in 2017</t>
  </si>
  <si>
    <t>club record(F)</t>
  </si>
  <si>
    <t>run #40, 26th at Banstead</t>
  </si>
  <si>
    <t>run #14, parkrun p.b.</t>
  </si>
  <si>
    <t>park #63, club record</t>
  </si>
  <si>
    <t>club record(F), run #93</t>
  </si>
  <si>
    <t>run #181, 18th at Crane Park</t>
  </si>
  <si>
    <t>run #227. 64th at Woodley</t>
  </si>
  <si>
    <t>99th run at Upton Court</t>
  </si>
  <si>
    <t>4th run at Fulham Palace</t>
  </si>
  <si>
    <t>course p.b., club record</t>
  </si>
  <si>
    <t>park #191, run #249,club rec</t>
  </si>
  <si>
    <t>run #307, 23rd at Crane Park</t>
  </si>
  <si>
    <t>run #34, 21st at Tilgate</t>
  </si>
  <si>
    <t>Gunnersbury 108</t>
  </si>
  <si>
    <t>tomtom</t>
  </si>
  <si>
    <t>45th run at Braunstone</t>
  </si>
  <si>
    <t>Ramona</t>
  </si>
  <si>
    <t>Thevenet</t>
  </si>
  <si>
    <t>park #100 = Cowell Club</t>
  </si>
  <si>
    <t xml:space="preserve">Ian Keith </t>
  </si>
  <si>
    <t>2 laps (almost)</t>
  </si>
  <si>
    <t>Bedfont Anniversary</t>
  </si>
  <si>
    <t>run #15, 12th at March</t>
  </si>
  <si>
    <t>8.17 Train to Feltham and then cycle</t>
  </si>
  <si>
    <t>8.17 train to Syon Lane and cycle</t>
  </si>
  <si>
    <t>69 miles by car</t>
  </si>
  <si>
    <t>SEC</t>
  </si>
  <si>
    <t>Secunda</t>
  </si>
  <si>
    <t>FV60-64</t>
  </si>
  <si>
    <t>Secunda (ZA)</t>
  </si>
  <si>
    <t>BA Park #330, age cat rec</t>
  </si>
  <si>
    <t>Alice Banks at Secunda</t>
  </si>
  <si>
    <t>Janice Jones</t>
  </si>
  <si>
    <t>run #162, 499th, trail runner</t>
  </si>
  <si>
    <t>run #274</t>
  </si>
  <si>
    <t>run #454, age cat record</t>
  </si>
  <si>
    <t>3rd /336</t>
  </si>
  <si>
    <t>in MV50-54 list</t>
  </si>
  <si>
    <t>run #058</t>
  </si>
  <si>
    <t>run #070</t>
  </si>
  <si>
    <t>run #079, club record(F)</t>
  </si>
  <si>
    <t>run #080, club record</t>
  </si>
  <si>
    <t>run #081</t>
  </si>
  <si>
    <t>run #083</t>
  </si>
  <si>
    <t>run #035, first run as V50</t>
  </si>
  <si>
    <t>run #041, pb, club record (F)</t>
  </si>
  <si>
    <t>club photographer</t>
  </si>
  <si>
    <t>volunteer at Bushy Next Week</t>
  </si>
  <si>
    <t>run #132, 119th at Bushy</t>
  </si>
  <si>
    <t>run #236, 204th at Bushy</t>
  </si>
  <si>
    <t>run #334, 266th at Reading</t>
  </si>
  <si>
    <t>1st run at Guildford</t>
  </si>
  <si>
    <t>run #389, 6th at Kingston</t>
  </si>
  <si>
    <t>run #268, 6th at Kingston</t>
  </si>
  <si>
    <t>run #151, 46th at Braunstone</t>
  </si>
  <si>
    <t>proper course, better time</t>
  </si>
  <si>
    <t>run #455</t>
  </si>
  <si>
    <t>run #29, 18th at Gunnersbury</t>
  </si>
  <si>
    <t>1st run at Harrogate</t>
  </si>
  <si>
    <t xml:space="preserve">parkrun debut, welcome </t>
  </si>
  <si>
    <t>run #165, 142nd at Crane Pk</t>
  </si>
  <si>
    <t>run #228, 65th at Woodley</t>
  </si>
  <si>
    <t>park #192</t>
  </si>
  <si>
    <t>Ormeau BFS</t>
  </si>
  <si>
    <t>1st parkrun in Northern Ireland</t>
  </si>
  <si>
    <t>volunteer Bushy Park</t>
  </si>
  <si>
    <t>best WAVA score at Peterborough</t>
  </si>
  <si>
    <t>run #400, park #200</t>
  </si>
  <si>
    <t>run #395, park #182</t>
  </si>
  <si>
    <t>F-3, run #223</t>
  </si>
  <si>
    <t>run #456</t>
  </si>
  <si>
    <t>562 finishers - record</t>
  </si>
  <si>
    <t>and photographer</t>
  </si>
  <si>
    <t>Gary (junior)</t>
  </si>
  <si>
    <t>Gary (granddad)</t>
  </si>
  <si>
    <t>1st run at Rushmoor</t>
  </si>
  <si>
    <t>still holds club record with 20:28</t>
  </si>
  <si>
    <t>run #237, 205th at Bushy Park</t>
  </si>
  <si>
    <t>best time at Reading for years</t>
  </si>
  <si>
    <t>run #81, 6th at Salisbury</t>
  </si>
  <si>
    <t>run #72, 35th at Maidenhead</t>
  </si>
  <si>
    <t>run #85, 37th at Maidenhead</t>
  </si>
  <si>
    <t>run #229, 66th at Woodley</t>
  </si>
  <si>
    <t>Shipley (Derbys)</t>
  </si>
  <si>
    <t>Shipley Country Park</t>
  </si>
  <si>
    <t>run #66, 1st at Brueton</t>
  </si>
  <si>
    <t>WARR</t>
  </si>
  <si>
    <t>Sarah at Shipley</t>
  </si>
  <si>
    <t>Roderick Fletchers Cove</t>
  </si>
  <si>
    <t>1st run at Shipley, park #81</t>
  </si>
  <si>
    <t>Crusher</t>
  </si>
  <si>
    <t>McBones</t>
  </si>
  <si>
    <t>ranked 4th / 100 in age category</t>
  </si>
  <si>
    <t>PEA</t>
  </si>
  <si>
    <t>Peacehaven</t>
  </si>
  <si>
    <t>BN10 8RJ</t>
  </si>
  <si>
    <t>over 70 miles by road</t>
  </si>
  <si>
    <t>South Norwood Country Park</t>
  </si>
  <si>
    <t>tripped on tree route hidden by leaves</t>
  </si>
  <si>
    <t>Gunnersbury 109</t>
  </si>
  <si>
    <t>Gunnersbury 110</t>
  </si>
  <si>
    <t>01/04, 6/5</t>
  </si>
  <si>
    <t>and new runners briefing</t>
  </si>
  <si>
    <t>run #264, 3rd at Bedfont</t>
  </si>
  <si>
    <t>1st dry run at Bedfont on 8th anniversary</t>
  </si>
  <si>
    <t>run #238, 206th at Bushy</t>
  </si>
  <si>
    <t>run #133, 120 th at Bushy</t>
  </si>
  <si>
    <t>run #31, 2nd run of 2017</t>
  </si>
  <si>
    <t>run #336, 288th at Reading</t>
  </si>
  <si>
    <t>run #230, 154th at Reading</t>
  </si>
  <si>
    <t>run #276, 258th at Black Park</t>
  </si>
  <si>
    <t>run #72, 66th at Harrow</t>
  </si>
  <si>
    <t>run #61, 60th at Harrow</t>
  </si>
  <si>
    <t>Knowsley</t>
  </si>
  <si>
    <t>run #457</t>
  </si>
  <si>
    <t>F-3, run #224</t>
  </si>
  <si>
    <t>1st run at Kettering</t>
  </si>
  <si>
    <t>run #137, 65th at Wycombe</t>
  </si>
  <si>
    <t>run #167, 144th at Crane Park</t>
  </si>
  <si>
    <t>run #311, 27th at Crane Park</t>
  </si>
  <si>
    <t>run #189, 3rd at Osterley</t>
  </si>
  <si>
    <t>age cat rec (MV80)</t>
  </si>
  <si>
    <t>David Barnard</t>
  </si>
  <si>
    <t>run #73, 36th at Maidenhead</t>
  </si>
  <si>
    <t>run #86, 38th at Maidenhead</t>
  </si>
  <si>
    <t>6th of 496 in his new age group</t>
  </si>
  <si>
    <t>M-2, 1st run at Tilgate as 50-y-o</t>
  </si>
  <si>
    <t>run #203, 178th at Bedfont</t>
  </si>
  <si>
    <t>run #200 and report writer</t>
  </si>
  <si>
    <t>KNO</t>
  </si>
  <si>
    <t>TRK</t>
  </si>
  <si>
    <t>L35 3RG</t>
  </si>
  <si>
    <t>Trelissick (Truro)</t>
  </si>
  <si>
    <t>TR3 6QL</t>
  </si>
  <si>
    <t>Roderick 250</t>
  </si>
  <si>
    <t>park #64, BApark #333</t>
  </si>
  <si>
    <t>park #82, BApark #335</t>
  </si>
  <si>
    <t>1st at Whitstable, BApark 334</t>
  </si>
  <si>
    <t>Clair (Haywards Heath)</t>
  </si>
  <si>
    <t>L to Z</t>
  </si>
  <si>
    <t>Bannister</t>
  </si>
  <si>
    <t>Anne</t>
  </si>
  <si>
    <t xml:space="preserve">Anne </t>
  </si>
  <si>
    <t>Gunnersbury 111</t>
  </si>
  <si>
    <t>Worcester Pitchcroft</t>
  </si>
  <si>
    <t>WPC</t>
  </si>
  <si>
    <t>WR1 3EJ</t>
  </si>
  <si>
    <t>will start 10 June 2017</t>
  </si>
  <si>
    <t>UHP</t>
  </si>
  <si>
    <t>BH17 7BJ</t>
  </si>
  <si>
    <t>will start 3rd June 2017</t>
  </si>
  <si>
    <t>ARM</t>
  </si>
  <si>
    <t xml:space="preserve">Ben </t>
  </si>
  <si>
    <t>long run tomorrow!</t>
  </si>
  <si>
    <t>run #458</t>
  </si>
  <si>
    <t>run #265, 109th at Gunsbury</t>
  </si>
  <si>
    <t>run #201, 1st at Aldenham</t>
  </si>
  <si>
    <t>run #204, 13th at Crane Park</t>
  </si>
  <si>
    <t>run #312, 275th at Buahy Park</t>
  </si>
  <si>
    <t>run #12, 9th at Chichester</t>
  </si>
  <si>
    <t>run #8 (all at Chichester)</t>
  </si>
  <si>
    <t>best WAVA% at Maidenhead</t>
  </si>
  <si>
    <t>run #87</t>
  </si>
  <si>
    <t>run #154, course pb</t>
  </si>
  <si>
    <t>run #43, course pb</t>
  </si>
  <si>
    <t>Whiteley</t>
  </si>
  <si>
    <t>park #19, Bapark #336</t>
  </si>
  <si>
    <t>record 244 runners at Harrow</t>
  </si>
  <si>
    <t>run #16, 13th at March</t>
  </si>
  <si>
    <t>A to K</t>
  </si>
  <si>
    <t>Wepre Park (Connagh's Quay)</t>
  </si>
  <si>
    <t>Wepre</t>
  </si>
  <si>
    <t>NOS</t>
  </si>
  <si>
    <t>Nostell (Wakefield)</t>
  </si>
  <si>
    <t>WF4 1QE</t>
  </si>
  <si>
    <t>Y</t>
  </si>
  <si>
    <t>run #459</t>
  </si>
  <si>
    <t>Bideford</t>
  </si>
  <si>
    <t>110th run at Gunnersbury</t>
  </si>
  <si>
    <t>volunter</t>
  </si>
  <si>
    <t>run #391 &amp; pacer</t>
  </si>
  <si>
    <t>run #271 &amp; pacer</t>
  </si>
  <si>
    <t>run #186, 4th at Osterley</t>
  </si>
  <si>
    <t>run #205, 14th at Crane Park</t>
  </si>
  <si>
    <t>run #287, 243rd at Bushy</t>
  </si>
  <si>
    <t>run #32, 3rd this year</t>
  </si>
  <si>
    <t>best ever WAVA% at Banstead</t>
  </si>
  <si>
    <t>run #337</t>
  </si>
  <si>
    <t>best this year so far</t>
  </si>
  <si>
    <t>run #138, 66th at Wycombe</t>
  </si>
  <si>
    <t>park #194, Bapark #338</t>
  </si>
  <si>
    <t>7th run at Daventry, course pb</t>
  </si>
  <si>
    <t>run #83, 8th at Salisbury</t>
  </si>
  <si>
    <t>park #8, Bapark #337</t>
  </si>
  <si>
    <t>run #313</t>
  </si>
  <si>
    <t>Nostell</t>
  </si>
  <si>
    <t xml:space="preserve"> 27/05/2017</t>
  </si>
  <si>
    <t>stumble</t>
  </si>
  <si>
    <t>J Coffey at Bideford</t>
  </si>
  <si>
    <t>Bushy 3</t>
  </si>
  <si>
    <t>Albert(M'bro)</t>
  </si>
  <si>
    <t>run #62, 17th at Gunnersbury</t>
  </si>
  <si>
    <t>run #40, first in 2017</t>
  </si>
  <si>
    <t>run #460, 363rd/512</t>
  </si>
  <si>
    <t>2nd biggest attendance ever, only 2nd time over 500</t>
  </si>
  <si>
    <t>best time at Bushy this year</t>
  </si>
  <si>
    <t>run #158, 44th at Bushy</t>
  </si>
  <si>
    <t>run #170, 112th a Bedfont</t>
  </si>
  <si>
    <t>run #275, 234th at Bedfont</t>
  </si>
  <si>
    <t>run #83, 9th at Black Park</t>
  </si>
  <si>
    <t>best at Black Park for 3 years</t>
  </si>
  <si>
    <t>steadily recovering, 2017 best</t>
  </si>
  <si>
    <t>run #73, 67th at Harrow</t>
  </si>
  <si>
    <t>run #63, 62nd at Harrow</t>
  </si>
  <si>
    <t>1st run at Congleton</t>
  </si>
  <si>
    <t>run #78, 26th at Poole</t>
  </si>
  <si>
    <t>run #3, pb</t>
  </si>
  <si>
    <t>run #206, 15th at Crane Park</t>
  </si>
  <si>
    <t>first run at Crane since 2012</t>
  </si>
  <si>
    <t>run #231, 67th at Woodley</t>
  </si>
  <si>
    <t>North Beach</t>
  </si>
  <si>
    <t>1st run at Nth Beach(Durban)</t>
  </si>
  <si>
    <t>550th/2082</t>
  </si>
  <si>
    <t>3rd run at North Beach</t>
  </si>
  <si>
    <t>Brandon C P</t>
  </si>
  <si>
    <t>1st run at Brandon, park #195</t>
  </si>
  <si>
    <t>run #13, 10th at Chichester</t>
  </si>
  <si>
    <t>F-1, course pb</t>
  </si>
  <si>
    <t>Upton House (Poole)</t>
  </si>
  <si>
    <t>over 300 at Upton House inaugural, &lt;3 miles away.</t>
  </si>
  <si>
    <t>run #89, 5th at Catton</t>
  </si>
  <si>
    <t>retains club record 28:41 set in 2014</t>
  </si>
  <si>
    <t>Gorky Park</t>
  </si>
  <si>
    <t>Gorky Park (Moscow)</t>
  </si>
  <si>
    <t>GOY</t>
  </si>
  <si>
    <t>out and back along Moscow River</t>
  </si>
  <si>
    <t>1st run in Russia</t>
  </si>
  <si>
    <t>BApark #239</t>
  </si>
  <si>
    <t>Gorky</t>
  </si>
  <si>
    <t>CM12 0BW</t>
  </si>
  <si>
    <t>Billericay (Lake Meadows)</t>
  </si>
  <si>
    <t>BIY</t>
  </si>
  <si>
    <t>South Norwood</t>
  </si>
  <si>
    <t>Black Park pacer day</t>
  </si>
  <si>
    <t>Gareth at Gorky Park</t>
  </si>
  <si>
    <t>starts 24/6/17</t>
  </si>
  <si>
    <t>Brentwood Station now served by Tfl</t>
  </si>
  <si>
    <t>5 mile bike ride from Shenfield</t>
  </si>
  <si>
    <t>Billericay</t>
  </si>
  <si>
    <t>four laps</t>
  </si>
  <si>
    <t>Woodhouse Moor(83)</t>
  </si>
  <si>
    <t>park #83, 1st in Yorkshire</t>
  </si>
  <si>
    <t>proud parent #1</t>
  </si>
  <si>
    <t>proud parent #2</t>
  </si>
  <si>
    <t>run #339</t>
  </si>
  <si>
    <t>run #74, 68th at Harrow</t>
  </si>
  <si>
    <t>club course record, park #65</t>
  </si>
  <si>
    <t>47th run at Braunstone</t>
  </si>
  <si>
    <t>3rd run at Ricky</t>
  </si>
  <si>
    <t>club course record, park #196</t>
  </si>
  <si>
    <t>run #461</t>
  </si>
  <si>
    <t>3rd consecutive week</t>
  </si>
  <si>
    <t>run #393, 9th at Crane Park</t>
  </si>
  <si>
    <t>run #272, 9th at Crane Park</t>
  </si>
  <si>
    <t>run #63, 35th at Northala</t>
  </si>
  <si>
    <t>run #97. 24th at Rushmoor</t>
  </si>
  <si>
    <t>M-1, pb, run #14</t>
  </si>
  <si>
    <t>50th run at Maidenhead</t>
  </si>
  <si>
    <t>1st run at Northala, park #20</t>
  </si>
  <si>
    <t>run #97, 24th at Rushmoor</t>
  </si>
  <si>
    <t>RG9 1UU</t>
  </si>
  <si>
    <t>33 miles by car M4 to jct 8/9, etc</t>
  </si>
  <si>
    <t>RR at Cannock Chase</t>
  </si>
  <si>
    <t>Salisbury (84)</t>
  </si>
  <si>
    <t>Overground/Tfl rail to Shenfield then four mile bike ride.</t>
  </si>
  <si>
    <t>Yorkshire and Humber</t>
  </si>
  <si>
    <t>prior to joining</t>
  </si>
  <si>
    <t>Ripon</t>
  </si>
  <si>
    <t>NE England (Tyne, Wear, Tees, Durham, Northumberland)</t>
  </si>
  <si>
    <t>Albert(Mbro)</t>
  </si>
  <si>
    <t xml:space="preserve">Durham </t>
  </si>
  <si>
    <t xml:space="preserve">Newcastle  </t>
  </si>
  <si>
    <t>run prior to joining</t>
  </si>
  <si>
    <r>
      <t>Hyde Park</t>
    </r>
    <r>
      <rPr>
        <sz val="10"/>
        <rFont val="Arial"/>
        <family val="2"/>
      </rPr>
      <t xml:space="preserve"> Triathlon</t>
    </r>
  </si>
  <si>
    <r>
      <t xml:space="preserve">Weymouth </t>
    </r>
    <r>
      <rPr>
        <sz val="10"/>
        <rFont val="Arial"/>
        <family val="2"/>
      </rPr>
      <t>Triathlon</t>
    </r>
  </si>
  <si>
    <t>SE25 4QL</t>
  </si>
  <si>
    <t>SNW</t>
  </si>
  <si>
    <t>THIS BIG SECTION HAS BEEN SPLIT  (I) North East England, (ii) Yorkshire and Humber</t>
  </si>
  <si>
    <t>Sth Norwood</t>
  </si>
  <si>
    <t>Salisbury reunion</t>
  </si>
  <si>
    <t>plus post event closedown</t>
  </si>
  <si>
    <t>run #280, 264th at Black Park</t>
  </si>
  <si>
    <t>run #75, 69th at Harrow</t>
  </si>
  <si>
    <t>run #7, 4th at Hackney</t>
  </si>
  <si>
    <t>run #243, 7th at Guildford</t>
  </si>
  <si>
    <t>48th run at Braunstone</t>
  </si>
  <si>
    <t>1st and 8th July no event at Guildford</t>
  </si>
  <si>
    <t>run #140, 4th at Ricksworth</t>
  </si>
  <si>
    <t>run #462, 238th at Gunn'sbury</t>
  </si>
  <si>
    <t>Poppy</t>
  </si>
  <si>
    <t>Egerton</t>
  </si>
  <si>
    <t>run #10, JW11-14</t>
  </si>
  <si>
    <t xml:space="preserve">Andrew </t>
  </si>
  <si>
    <t>"10" shirt</t>
  </si>
  <si>
    <t>run #268, park #84</t>
  </si>
  <si>
    <t>run #84, 9th at Salisbury</t>
  </si>
  <si>
    <t>run #257, park #197</t>
  </si>
  <si>
    <t>run #57, park #24, club record</t>
  </si>
  <si>
    <t>run #5 , all at Riddlesdown</t>
  </si>
  <si>
    <t>1st run at Northala, park #13</t>
  </si>
  <si>
    <t>run #64, 36th at Northala</t>
  </si>
  <si>
    <t>3rd anniversary run at Northala</t>
  </si>
  <si>
    <t>run #394, 1st at Tring</t>
  </si>
  <si>
    <t>run #273, 1st at Tring</t>
  </si>
  <si>
    <t>old friend, new member</t>
  </si>
  <si>
    <t>run #314, 29th at Crane</t>
  </si>
  <si>
    <t>run #7, 4th at Hackney Marsh</t>
  </si>
  <si>
    <t>above</t>
  </si>
  <si>
    <t>BEI</t>
  </si>
  <si>
    <t>Bere Island Co Cork</t>
  </si>
  <si>
    <t>Gorky Park Moscow</t>
  </si>
  <si>
    <t>first parkrun in Wales</t>
  </si>
  <si>
    <t>3rd run on Jersey</t>
  </si>
  <si>
    <t>Una</t>
  </si>
  <si>
    <t>Hutchinson</t>
  </si>
  <si>
    <t>first run at Reigate</t>
  </si>
  <si>
    <t>run #65, 37th at Northala</t>
  </si>
  <si>
    <t>first run at Woodley in 2017</t>
  </si>
  <si>
    <t>run #141, 67th at Wycombe</t>
  </si>
  <si>
    <t xml:space="preserve">run #6   </t>
  </si>
  <si>
    <t>first run at Rickmansworth</t>
  </si>
  <si>
    <t>Arlene</t>
  </si>
  <si>
    <t>Gallagher</t>
  </si>
  <si>
    <t>run #463</t>
  </si>
  <si>
    <t>49th run at Braunstone</t>
  </si>
  <si>
    <t>first parkrun on a small island</t>
  </si>
  <si>
    <t xml:space="preserve">Ben   </t>
  </si>
  <si>
    <t>plus three other Chaytows</t>
  </si>
  <si>
    <t>run #460</t>
  </si>
  <si>
    <t>tailrunner (volunteer)</t>
  </si>
  <si>
    <t>first parkrun anywhere</t>
  </si>
  <si>
    <t>Wepre (85)</t>
  </si>
  <si>
    <t>Roderick Bere Island</t>
  </si>
  <si>
    <t>BR5 2QB</t>
  </si>
  <si>
    <t>Hoblingwell</t>
  </si>
  <si>
    <t>run #464, 209th at Bushy</t>
  </si>
  <si>
    <t>run #270, 3rd at Bushy</t>
  </si>
  <si>
    <t>run #291, 247th at Bushy</t>
  </si>
  <si>
    <t>run #135, 122nd at Bushy</t>
  </si>
  <si>
    <t>Henley on Thames</t>
  </si>
  <si>
    <t>inaugural at Henley</t>
  </si>
  <si>
    <t>HOT</t>
  </si>
  <si>
    <t>Henley, Hadleigh</t>
  </si>
  <si>
    <t>Alice Banks at inaugural 1st July 2017</t>
  </si>
  <si>
    <t>started 1st July 2017</t>
  </si>
  <si>
    <t>1st run at Rickmansworth</t>
  </si>
  <si>
    <t>run #257</t>
  </si>
  <si>
    <t>run #18, MV75 (oldest runner)</t>
  </si>
  <si>
    <t>run #142, 50th at Black Park</t>
  </si>
  <si>
    <t>run #42, 19th at Gunnersbury</t>
  </si>
  <si>
    <t>F-3, run #227</t>
  </si>
  <si>
    <t>run #169, 146th at Crane</t>
  </si>
  <si>
    <t>run #66, 38th at Northala</t>
  </si>
  <si>
    <t>run #79, 40th at Woking</t>
  </si>
  <si>
    <t>first run at Bushy Park</t>
  </si>
  <si>
    <t>Natalie Ruffell is a member of Clapham Chasers and was an associate member of BAAC for a while</t>
  </si>
  <si>
    <t>HWL</t>
  </si>
  <si>
    <t>SG12 0ES</t>
  </si>
  <si>
    <t>Westmill (Ware, Herts)</t>
  </si>
  <si>
    <t>Burnham on Crouch</t>
  </si>
  <si>
    <t>CM0 8HS</t>
  </si>
  <si>
    <t>Westmill Farm (Ware, Herts)</t>
  </si>
  <si>
    <t>BOC</t>
  </si>
  <si>
    <t>WFW</t>
  </si>
  <si>
    <t>run #259, park #199</t>
  </si>
  <si>
    <t>"100" plan</t>
  </si>
  <si>
    <t>Westmill</t>
  </si>
  <si>
    <t>Henley</t>
  </si>
  <si>
    <t>17 miles round A406 to A10, then 16 more miles</t>
  </si>
  <si>
    <t>Jonathan Cox 20:33</t>
  </si>
  <si>
    <t>Her time was 33:33 (1st Jan 2015).</t>
  </si>
  <si>
    <t>Sarah Gordon ran at Cannon Hill before joining .</t>
  </si>
  <si>
    <t>Jonathan Cox ran his fastest at Cannon Hill before joining and has a pb there of 20:33</t>
  </si>
  <si>
    <t>Jonathan Cox</t>
  </si>
  <si>
    <t>Caldicot</t>
  </si>
  <si>
    <t>NP26 3UN</t>
  </si>
  <si>
    <t>starts 29 July 2017</t>
  </si>
  <si>
    <t>Heartwood Forest</t>
  </si>
  <si>
    <t>AL4 9DQ</t>
  </si>
  <si>
    <t>HWF</t>
  </si>
  <si>
    <t>run #465, 240th at Gunnsbury</t>
  </si>
  <si>
    <t>run #271, 111th at Gunnsbury</t>
  </si>
  <si>
    <t>run #169, 121st at Gunnsbury</t>
  </si>
  <si>
    <t>tailwalker</t>
  </si>
  <si>
    <t>run #343, 273rd at Reading</t>
  </si>
  <si>
    <t>run #234, 157th at Reading</t>
  </si>
  <si>
    <t>run #13, 1st at Homewood</t>
  </si>
  <si>
    <t>run #6, 1st at Homewood</t>
  </si>
  <si>
    <t>run #84, 1st at Homewood</t>
  </si>
  <si>
    <t>run #292, 3rd at Homewood</t>
  </si>
  <si>
    <t>run #153, 2nd at Homewood</t>
  </si>
  <si>
    <t>run #172, 2nd at Homewood</t>
  </si>
  <si>
    <t>run #68, 1st at Norwich</t>
  </si>
  <si>
    <t>run #242, 8th at Guildford</t>
  </si>
  <si>
    <t>run #80, 8th at Guildford</t>
  </si>
  <si>
    <t>run #88, 1st at Bracknell</t>
  </si>
  <si>
    <t>run #143, 68th at Wycombe</t>
  </si>
  <si>
    <t>Ch de P de Bresse</t>
  </si>
  <si>
    <t>CPB</t>
  </si>
  <si>
    <t>Ch Bresse</t>
  </si>
  <si>
    <t>Chateau de Pierre de Bresse</t>
  </si>
  <si>
    <t>3rd parkrun in France</t>
  </si>
  <si>
    <t>run #80, 42nd at Maidenhead</t>
  </si>
  <si>
    <t>run #93, 43rd at Maidenhead</t>
  </si>
  <si>
    <t>Bapark #344</t>
  </si>
  <si>
    <t>60km south of Dijon</t>
  </si>
  <si>
    <t>run #317, 32nd at Crane</t>
  </si>
  <si>
    <t>multiple</t>
  </si>
  <si>
    <t>Sreeram Sethuraman switched to Datchet Dashers in the summer of 2017.</t>
  </si>
  <si>
    <t xml:space="preserve">  South Norwood</t>
  </si>
  <si>
    <t>or Thameslink via Blackfriars</t>
  </si>
  <si>
    <t>M-8, pb (and loads more!)</t>
  </si>
  <si>
    <t>run #81, 41st at Woking</t>
  </si>
  <si>
    <t>run #67, 39th at Northala</t>
  </si>
  <si>
    <t>run #192, 2nd at Homewood</t>
  </si>
  <si>
    <t>run #208, 2nd at Homewood</t>
  </si>
  <si>
    <t>run #89, 3rd at Wycombe</t>
  </si>
  <si>
    <t>course pb , parkrun sb</t>
  </si>
  <si>
    <t>course distance has been corrected.</t>
  </si>
  <si>
    <t>run #466</t>
  </si>
  <si>
    <t>run #260, 2nd at Leamington</t>
  </si>
  <si>
    <t>run #173, 114th at Bedfont</t>
  </si>
  <si>
    <t>a real gentleman</t>
  </si>
  <si>
    <t xml:space="preserve">run #81 </t>
  </si>
  <si>
    <t>1st time on new course, tripped on tree root.</t>
  </si>
  <si>
    <t>first run at Homewood</t>
  </si>
  <si>
    <t>run #280, 2nd at Homewood</t>
  </si>
  <si>
    <t>M-8, pb,  club course rec</t>
  </si>
  <si>
    <t>now 5th out of 513 in MV50 group at Tilgate</t>
  </si>
  <si>
    <t>run #37, 23rd at Tilgate</t>
  </si>
  <si>
    <t>3rd run at Tooting Common</t>
  </si>
  <si>
    <t>run #49, 9th at Frimley</t>
  </si>
  <si>
    <t>run #48, 33rd at Rushmoor</t>
  </si>
  <si>
    <t>run #69, 37th at Black Park</t>
  </si>
  <si>
    <t>Tooting Common 3</t>
  </si>
  <si>
    <t>Chateau Pierre Bresse</t>
  </si>
  <si>
    <t>PK pb</t>
  </si>
  <si>
    <t>Ch Pierre de Bresse</t>
  </si>
  <si>
    <t>or cycle from Wandsworth Town</t>
  </si>
  <si>
    <t>Heartwood</t>
  </si>
  <si>
    <t>Linda Dodsworth and Steve Dodsworth have now joined Sunderland Strollers</t>
  </si>
  <si>
    <t>Barnstaple Rock Park</t>
  </si>
  <si>
    <t>LL57 4HT</t>
  </si>
  <si>
    <t>PYN</t>
  </si>
  <si>
    <t>Penrhyn (Gwynnedd)</t>
  </si>
  <si>
    <t>Penrhyn (nr Bangor, N Wales)</t>
  </si>
  <si>
    <t>Penrhyn</t>
  </si>
  <si>
    <t>1st run at Rising Sun</t>
  </si>
  <si>
    <t>1st run in Wales</t>
  </si>
  <si>
    <t>run #284</t>
  </si>
  <si>
    <t>run #78, course pb</t>
  </si>
  <si>
    <t>run #145, 6th at Ricky</t>
  </si>
  <si>
    <t>run #66, course pb</t>
  </si>
  <si>
    <t xml:space="preserve">Mike </t>
  </si>
  <si>
    <t>run #319, 277th at Bushy</t>
  </si>
  <si>
    <t>run #294</t>
  </si>
  <si>
    <t>run #161, 47th at Bushy</t>
  </si>
  <si>
    <t>1st run as VM60</t>
  </si>
  <si>
    <t>run #467</t>
  </si>
  <si>
    <t>park #200</t>
  </si>
  <si>
    <t>run #36, 1st at Penrhyn</t>
  </si>
  <si>
    <t>park #84</t>
  </si>
  <si>
    <t>run #236, 69th at Woodley</t>
  </si>
  <si>
    <t>0724 District Line Hammersmith to Victoria, 0752 SE Trains to Ashford Int (via Bromley South) to St Mary Cray, rtn at 1013 or 1022</t>
  </si>
  <si>
    <t>Beckenham Place 2</t>
  </si>
  <si>
    <t>Gunnersbury 112</t>
  </si>
  <si>
    <t>Roderick park#200</t>
  </si>
  <si>
    <t>Old Deer Pk</t>
  </si>
  <si>
    <t>Crane</t>
  </si>
  <si>
    <t>Hoblingwell (86)</t>
  </si>
  <si>
    <t>RH5 6AA</t>
  </si>
  <si>
    <t>Mole Valley</t>
  </si>
  <si>
    <t>South Norwood (87)</t>
  </si>
  <si>
    <t>Burnham &amp; HB</t>
  </si>
  <si>
    <t>Torbay Velopark</t>
  </si>
  <si>
    <t>Seaton</t>
  </si>
  <si>
    <t>Lydney</t>
  </si>
  <si>
    <t>Upton House</t>
  </si>
  <si>
    <t>parkruns in southwest England</t>
  </si>
  <si>
    <t>still be run</t>
  </si>
  <si>
    <t>uk parkrun pb</t>
  </si>
  <si>
    <t>Caroline Yarnell 23:02</t>
  </si>
  <si>
    <t>Ian Cockram 25:00</t>
  </si>
  <si>
    <t>Willoughby NSW</t>
  </si>
  <si>
    <t>WOY</t>
  </si>
  <si>
    <t>Willoughby</t>
  </si>
  <si>
    <t xml:space="preserve"> Queens, Stormont</t>
  </si>
  <si>
    <t>Willoughby (NSW)</t>
  </si>
  <si>
    <t>Bapark #347</t>
  </si>
  <si>
    <t>run #83, 13th in NSW</t>
  </si>
  <si>
    <t>run #96, 13th in NSW</t>
  </si>
  <si>
    <t>run #468</t>
  </si>
  <si>
    <t>run #90, 1st at Tring</t>
  </si>
  <si>
    <t>run #200, park #200</t>
  </si>
  <si>
    <t>park #201, Bapark #348</t>
  </si>
  <si>
    <t>MAP</t>
  </si>
  <si>
    <t>run #281</t>
  </si>
  <si>
    <t>run #397 &amp; pacer</t>
  </si>
  <si>
    <t>run #174 &amp; event set-up</t>
  </si>
  <si>
    <t>run #74 (all at Bedfont)</t>
  </si>
  <si>
    <t xml:space="preserve">Ben  </t>
  </si>
  <si>
    <t>run #171, 17th at Bushy</t>
  </si>
  <si>
    <t>run #320, 33rd at Crane</t>
  </si>
  <si>
    <t>Chris Kelly holds club rec 19:56</t>
  </si>
  <si>
    <t>1st run at Oxford, park #30</t>
  </si>
  <si>
    <t>run #285, 267th at Black Park</t>
  </si>
  <si>
    <t>run #70, 1st at Bracknell</t>
  </si>
  <si>
    <t>275th run at Reading</t>
  </si>
  <si>
    <t>run #9, all at Riddlesdown</t>
  </si>
  <si>
    <t>run #237, 70th at Woodley</t>
  </si>
  <si>
    <t>run #68, 40th at Northala</t>
  </si>
  <si>
    <t>run #82, 42nd at Woking</t>
  </si>
  <si>
    <t>run #295, 250th at Bushy</t>
  </si>
  <si>
    <t>Dolls Point</t>
  </si>
  <si>
    <t>run #84,1st at Dolls Point</t>
  </si>
  <si>
    <t>run #97, BA Park #349</t>
  </si>
  <si>
    <t>14th park in New South Wales</t>
  </si>
  <si>
    <t>DOL</t>
  </si>
  <si>
    <t xml:space="preserve">Bestwood </t>
  </si>
  <si>
    <t>run #173, 5th at Evesham</t>
  </si>
  <si>
    <t>run #38, 3rd at Evesham</t>
  </si>
  <si>
    <t>Sarah Craggs</t>
  </si>
  <si>
    <t>run #214, 183rd at Bedfont</t>
  </si>
  <si>
    <t>M-1, club record</t>
  </si>
  <si>
    <t>F-1, run #100, club record(F)</t>
  </si>
  <si>
    <t>run #172, 1st at Black Park</t>
  </si>
  <si>
    <t>run #282, course pb</t>
  </si>
  <si>
    <t>run #91, 10th at Black Park</t>
  </si>
  <si>
    <t>11th/134 in WV60 age cat list at Black Park</t>
  </si>
  <si>
    <t>run #69, 5th at Black Park</t>
  </si>
  <si>
    <t>run #195, course pb</t>
  </si>
  <si>
    <t>run #248, 1st at Black Park</t>
  </si>
  <si>
    <t>run #263, 5th at Black Park</t>
  </si>
  <si>
    <t>run #211, 4th at Black Park</t>
  </si>
  <si>
    <t>run #83, 1st at Black Park</t>
  </si>
  <si>
    <t>run #36, 1st at Black Park</t>
  </si>
  <si>
    <t>run #469, 2nd at Black Park</t>
  </si>
  <si>
    <t>run #71, 38th at Black Park</t>
  </si>
  <si>
    <t>run #275, 3rd at Black Park</t>
  </si>
  <si>
    <t>run #2, parkrun pb</t>
  </si>
  <si>
    <t>first run since February</t>
  </si>
  <si>
    <t xml:space="preserve">Caroline  </t>
  </si>
  <si>
    <t>BA park #350</t>
  </si>
  <si>
    <t>run #10, all at Riddlesdown</t>
  </si>
  <si>
    <t>improves WAVA score</t>
  </si>
  <si>
    <t xml:space="preserve">run #172, 148th at Crane </t>
  </si>
  <si>
    <t>run #86, 10th at Salisbury</t>
  </si>
  <si>
    <t>Piers' brother, run #1</t>
  </si>
  <si>
    <t>Piers' sister, run #5</t>
  </si>
  <si>
    <t>Piers' nephew(junior), run #1</t>
  </si>
  <si>
    <t>short course, not timed</t>
  </si>
  <si>
    <t>8th/692 in age group at Black Park</t>
  </si>
  <si>
    <t>Homewood - see Chertsey</t>
  </si>
  <si>
    <t>Willoughby, Maldon Prom</t>
  </si>
  <si>
    <t>Dolls Point, Sth Norwood</t>
  </si>
  <si>
    <t>Started 8th July 2017</t>
  </si>
  <si>
    <t>Westmill Farm</t>
  </si>
  <si>
    <t>Westmill Farm (Ware)</t>
  </si>
  <si>
    <t>Rooty Hill</t>
  </si>
  <si>
    <t>run #85, parkrun pb, park #38</t>
  </si>
  <si>
    <t>run #98, park #44</t>
  </si>
  <si>
    <t>RYH</t>
  </si>
  <si>
    <t>Bellars</t>
  </si>
  <si>
    <t>updated August 2017</t>
  </si>
  <si>
    <t>she does (have a barcode)</t>
  </si>
  <si>
    <t>Four new parks!</t>
  </si>
  <si>
    <t>run #470</t>
  </si>
  <si>
    <t>park #85, first in USA</t>
  </si>
  <si>
    <t>park #86, BA park #354</t>
  </si>
  <si>
    <t>vol</t>
  </si>
  <si>
    <t>run #38, 24th at Tilgate</t>
  </si>
  <si>
    <t>BA park #352</t>
  </si>
  <si>
    <t>BA park #353</t>
  </si>
  <si>
    <t>parkrun debut, club record</t>
  </si>
  <si>
    <t>course pb, club record(F)</t>
  </si>
  <si>
    <t>run #85, 11th at Osterley</t>
  </si>
  <si>
    <t>run #144, 119th at Bedfont</t>
  </si>
  <si>
    <t>1st in age group</t>
  </si>
  <si>
    <t>run #196, 19th at Crane</t>
  </si>
  <si>
    <t>run #47, 28th at Banstead</t>
  </si>
  <si>
    <t>run #146, 7th at Rickmanswth</t>
  </si>
  <si>
    <t>run #286, 268th at Black Park</t>
  </si>
  <si>
    <t>run #92, club record (F)</t>
  </si>
  <si>
    <t>Tim Bellars</t>
  </si>
  <si>
    <t>DCY</t>
  </si>
  <si>
    <t>UK</t>
  </si>
  <si>
    <t>BT47 3GY</t>
  </si>
  <si>
    <t>postcode is for airport</t>
  </si>
  <si>
    <t>South Wales to run</t>
  </si>
  <si>
    <t>Riverfront</t>
  </si>
  <si>
    <t>Merthyr</t>
  </si>
  <si>
    <t>Maesteg</t>
  </si>
  <si>
    <t>Gnoll</t>
  </si>
  <si>
    <t>Cheadle Hulme (Bruntwood Park)</t>
  </si>
  <si>
    <t>SK8 1HX</t>
  </si>
  <si>
    <t>was relaunched at Bruntwood Park in March 2017</t>
  </si>
  <si>
    <t>East Grinstead</t>
  </si>
  <si>
    <t>RH19 3LS</t>
  </si>
  <si>
    <t>start date 9/9/17</t>
  </si>
  <si>
    <t>EGS</t>
  </si>
  <si>
    <t>Menai</t>
  </si>
  <si>
    <t>MEN</t>
  </si>
  <si>
    <t>Menai  (Sydney)</t>
  </si>
  <si>
    <t>run #471</t>
  </si>
  <si>
    <t>run #197, 10th at Bushy</t>
  </si>
  <si>
    <t>run #249, 212th at Bushy</t>
  </si>
  <si>
    <t>Wimbledon Comm</t>
  </si>
  <si>
    <t>1st ever run at Wimbledon</t>
  </si>
  <si>
    <t>COL</t>
  </si>
  <si>
    <t>Colby (Pembrokeshire)</t>
  </si>
  <si>
    <t>SA67 8PP</t>
  </si>
  <si>
    <t>run #93, 1st run at Colby</t>
  </si>
  <si>
    <t>run #68, 64th at Harrow</t>
  </si>
  <si>
    <t>run #80, 71st Harrow</t>
  </si>
  <si>
    <t>run #72, 2nd at Maidenhead</t>
  </si>
  <si>
    <t>F-3, run #102</t>
  </si>
  <si>
    <t>park #23, club course record</t>
  </si>
  <si>
    <t>1st run at Wimbledon</t>
  </si>
  <si>
    <t>run #321, 34th at Crane</t>
  </si>
  <si>
    <t>run #20, m-7</t>
  </si>
  <si>
    <t>run #216, 185th at Bedfont</t>
  </si>
  <si>
    <t>run #174, 169th at Bedfont</t>
  </si>
  <si>
    <t>run #277, sb</t>
  </si>
  <si>
    <t>run #399, 6th at Old Deer Pk</t>
  </si>
  <si>
    <t>run #18, 1st at Newport</t>
  </si>
  <si>
    <t>run #265, park #203</t>
  </si>
  <si>
    <t>run #147, 69th at Wycombe</t>
  </si>
  <si>
    <t>149th run at Crane Park</t>
  </si>
  <si>
    <t>run #70, 41st at Northala</t>
  </si>
  <si>
    <t>run #22, 19th at March</t>
  </si>
  <si>
    <t>Clover Point</t>
  </si>
  <si>
    <t>CLP</t>
  </si>
  <si>
    <t>run #86, 12th at Osterley</t>
  </si>
  <si>
    <t>Penalta</t>
  </si>
  <si>
    <t>invalid barcode</t>
  </si>
  <si>
    <t>BA park #358</t>
  </si>
  <si>
    <t>Moving to Castle Park, Bishops Stortford on 23/9/17</t>
  </si>
  <si>
    <t>MilocarianXC</t>
  </si>
  <si>
    <t>Four more new parks</t>
  </si>
  <si>
    <t>Gunnersbury 114</t>
  </si>
  <si>
    <t>run #26, 23rd at Curl Curl</t>
  </si>
  <si>
    <t>Hot !</t>
  </si>
  <si>
    <t>1st run at Harrow, park #23</t>
  </si>
  <si>
    <t>best ever age grade score at a parkrun</t>
  </si>
  <si>
    <t>run #348</t>
  </si>
  <si>
    <t>M-5, run #8, 5th at Hackney</t>
  </si>
  <si>
    <t>Richard Ruffell holds club rec with 20:40</t>
  </si>
  <si>
    <t>1st run at St Albans</t>
  </si>
  <si>
    <t>8th run at Rickmansworth</t>
  </si>
  <si>
    <t>6th run of 2017</t>
  </si>
  <si>
    <t>run #472</t>
  </si>
  <si>
    <t>lon-done status re-instated</t>
  </si>
  <si>
    <t>run #400, 1st at Mile End</t>
  </si>
  <si>
    <t>M-6, 1st run at South Oxhey</t>
  </si>
  <si>
    <t>Richard Ruffell holds club record with 22:02</t>
  </si>
  <si>
    <t>11th run at Salisbury</t>
  </si>
  <si>
    <t>run #23, 20th at March</t>
  </si>
  <si>
    <t>park #204</t>
  </si>
  <si>
    <t>run #87, 13th at Osterley</t>
  </si>
  <si>
    <t>F-1, course pb, age cat rec</t>
  </si>
  <si>
    <t>John Coffey #250</t>
  </si>
  <si>
    <t>run #280, club rec(F)</t>
  </si>
  <si>
    <t>7.29 District Line from Hammersmith, 7.54 Swanley Train to Beckenham Junction, tram to Harringtpn Road</t>
  </si>
  <si>
    <t>closed down by local council</t>
  </si>
  <si>
    <t>Petra Otto</t>
  </si>
  <si>
    <t>Ian Cockram, Caroline Cockram</t>
  </si>
  <si>
    <t>run #70, course pb</t>
  </si>
  <si>
    <t>run #81, 4th at Ricky</t>
  </si>
  <si>
    <t>run #279, 16th at ODP</t>
  </si>
  <si>
    <t>run #267, park #205</t>
  </si>
  <si>
    <t>WMF</t>
  </si>
  <si>
    <t>run #88, 14th at Osterley</t>
  </si>
  <si>
    <t>Heritage Harbor, IL</t>
  </si>
  <si>
    <t>F-1, first US parkrun</t>
  </si>
  <si>
    <t>M-8, first US parkrun</t>
  </si>
  <si>
    <t>run #176, 2nd at Fulham Pal</t>
  </si>
  <si>
    <t>HHI</t>
  </si>
  <si>
    <t>Heritage Harbor, IL, USA</t>
  </si>
  <si>
    <t>1st run at Rother Valley</t>
  </si>
  <si>
    <t>RVY</t>
  </si>
  <si>
    <t xml:space="preserve">Julie </t>
  </si>
  <si>
    <t>Lonehill, ZA</t>
  </si>
  <si>
    <t>LOH</t>
  </si>
  <si>
    <t>Lonehill</t>
  </si>
  <si>
    <t>8 a.m. BST + 1</t>
  </si>
  <si>
    <t>James Shoulder</t>
  </si>
  <si>
    <t>BA park #359</t>
  </si>
  <si>
    <t>BA park #360</t>
  </si>
  <si>
    <t>BA park #361</t>
  </si>
  <si>
    <t>BA park #362</t>
  </si>
  <si>
    <t xml:space="preserve">run #176 </t>
  </si>
  <si>
    <t xml:space="preserve">run #176  </t>
  </si>
  <si>
    <t>run #147, parkrun pb</t>
  </si>
  <si>
    <t>run #299</t>
  </si>
  <si>
    <t>run #251, 2017 sb</t>
  </si>
  <si>
    <t>best run as VM75 (Alan Anderson best was 24:58)</t>
  </si>
  <si>
    <t>Reading celebrates 400th</t>
  </si>
  <si>
    <t>age grade equals 2017 best</t>
  </si>
  <si>
    <t>run #95, 11th at Black Park</t>
  </si>
  <si>
    <t>33' pacer mentoring</t>
  </si>
  <si>
    <t>run #149, 70th at Wycombe</t>
  </si>
  <si>
    <t>run #241, 72nd at Woodley</t>
  </si>
  <si>
    <t>run #71, 42nd at Northala</t>
  </si>
  <si>
    <t>park #67, club course record</t>
  </si>
  <si>
    <t>four further parks</t>
  </si>
  <si>
    <t>run #70, 1st at Cranleigh</t>
  </si>
  <si>
    <t>Burnham&amp;Highbridge</t>
  </si>
  <si>
    <t>1st run at B&amp;H, park #86</t>
  </si>
  <si>
    <t>run #88, 12th at Salisbury</t>
  </si>
  <si>
    <t>run #24, 21st at March</t>
  </si>
  <si>
    <t>run #9, 1st at Clover Point</t>
  </si>
  <si>
    <t>run #16, 3rd at Clover Point</t>
  </si>
  <si>
    <t>IL</t>
  </si>
  <si>
    <t>Lonehill (Jo'Burg)</t>
  </si>
  <si>
    <t>Frimley (88)</t>
  </si>
  <si>
    <t>run #280, 1st at Frimley Lodge</t>
  </si>
  <si>
    <t>Quirk</t>
  </si>
  <si>
    <t>run #100, 94th at Frimley</t>
  </si>
  <si>
    <t>run #75, first at Bedfont Lakes</t>
  </si>
  <si>
    <t xml:space="preserve">Gary K </t>
  </si>
  <si>
    <t xml:space="preserve">Gary   </t>
  </si>
  <si>
    <t>run #54, 2nd at Black Park</t>
  </si>
  <si>
    <t>F-2, run #104</t>
  </si>
  <si>
    <t>run #150, 9th at Rickmans</t>
  </si>
  <si>
    <t>run #71, 5th at Rickmans</t>
  </si>
  <si>
    <t>run #46. 23rd at Gunnersbury</t>
  </si>
  <si>
    <t>run #473, 247th at Gunsbury</t>
  </si>
  <si>
    <t>"run" #177, tailwalker</t>
  </si>
  <si>
    <t>run #163, 14th at Leicester Vic</t>
  </si>
  <si>
    <t>run #16, 12th at Bushy</t>
  </si>
  <si>
    <t>run #68, 66th at Bushy</t>
  </si>
  <si>
    <t>run #89, 15th at Osterley</t>
  </si>
  <si>
    <t>run #4, pb (age 5yr 345days)</t>
  </si>
  <si>
    <t>cfp</t>
  </si>
  <si>
    <t>Clare Castle</t>
  </si>
  <si>
    <t>CO10 8NW</t>
  </si>
  <si>
    <t>S26 5PQ</t>
  </si>
  <si>
    <t>Castle Park</t>
  </si>
  <si>
    <t>CM23 2DL</t>
  </si>
  <si>
    <t>Castle Park (Bishops Stortford)</t>
  </si>
  <si>
    <t>replacement for Hatfield Forest</t>
  </si>
  <si>
    <t>51.9 from Chiswick</t>
  </si>
  <si>
    <t>Nonsuch 2</t>
  </si>
  <si>
    <t>started 9/9/17</t>
  </si>
  <si>
    <t xml:space="preserve">45 miles by road (North Circular, M11 as far as Jct 7) </t>
  </si>
  <si>
    <t>ecotricity at Birchanger Services by junction 8</t>
  </si>
  <si>
    <t>Gunnersbury 113 + V</t>
  </si>
  <si>
    <t>run #231, 224th at Gunnersbury</t>
  </si>
  <si>
    <t>run #281, 2017 sb</t>
  </si>
  <si>
    <t>run #474, 248th at Gunnersbury</t>
  </si>
  <si>
    <t>run #82, 72nd at Harrow</t>
  </si>
  <si>
    <t>run #2,club course record</t>
  </si>
  <si>
    <t>best so far as VM60</t>
  </si>
  <si>
    <t>best time so far this year</t>
  </si>
  <si>
    <t>run #218, 187th at Bedfont</t>
  </si>
  <si>
    <t>run #75, 6th at Peterborough</t>
  </si>
  <si>
    <t>F-1, age category record</t>
  </si>
  <si>
    <t>M-4, club course record</t>
  </si>
  <si>
    <t>run #41, 40th at Oak Hill</t>
  </si>
  <si>
    <t>run #151, 71st at Wycombe</t>
  </si>
  <si>
    <t>Conkers, NW Leics</t>
  </si>
  <si>
    <t>run #242, 73rd at Woodley</t>
  </si>
  <si>
    <t>run #323, 278th at Bushy</t>
  </si>
  <si>
    <t>run #72, 43rd at Northala</t>
  </si>
  <si>
    <t>Gunnersbury 115</t>
  </si>
  <si>
    <t>VW50-54</t>
  </si>
  <si>
    <t>course has now been lengthened</t>
  </si>
  <si>
    <t>Gunnersbury 117</t>
  </si>
  <si>
    <t>cfp BL pacer day</t>
  </si>
  <si>
    <t>Newbiggin-by-the-sea</t>
  </si>
  <si>
    <t>NE64 6DB</t>
  </si>
  <si>
    <t>start date 14/10/17</t>
  </si>
  <si>
    <t>NBG</t>
  </si>
  <si>
    <t>F-4, run #232</t>
  </si>
  <si>
    <t>run #475</t>
  </si>
  <si>
    <t>Erddig Hall (Wrexham)</t>
  </si>
  <si>
    <t>Erddig</t>
  </si>
  <si>
    <t>new BA park #</t>
  </si>
  <si>
    <t>run #26, 23rd at March</t>
  </si>
  <si>
    <t>run #165, 8th at Daventry</t>
  </si>
  <si>
    <t>run #84, 43rd at Woking</t>
  </si>
  <si>
    <t>run #243, 74th at Woodley</t>
  </si>
  <si>
    <t>run #283, 10th at Crane Park</t>
  </si>
  <si>
    <t>M-9, run #17</t>
  </si>
  <si>
    <t>run #76, 59th at Guildford</t>
  </si>
  <si>
    <t>run #21, 16th at Guildford</t>
  </si>
  <si>
    <t>1st run at Heartwood</t>
  </si>
  <si>
    <t>10th run at Rickmansworth</t>
  </si>
  <si>
    <t>Richmond Olympic</t>
  </si>
  <si>
    <t>pacific time</t>
  </si>
  <si>
    <t>1st run in Canada</t>
  </si>
  <si>
    <t>run #90,1st at Knocknacarra</t>
  </si>
  <si>
    <t>run #103,1st at Knocknacarra</t>
  </si>
  <si>
    <t>KCG</t>
  </si>
  <si>
    <t>Knocknacarra (Galway)</t>
  </si>
  <si>
    <t>bestever agegrade score at Tilgate</t>
  </si>
  <si>
    <t>Claire Killen ran at Armagh after membership lapsed</t>
  </si>
  <si>
    <t>now up to 4th in VM50 agegroup all time list at Tilgate</t>
  </si>
  <si>
    <t>East Grinstead (89)</t>
  </si>
  <si>
    <t>three new parks</t>
  </si>
  <si>
    <t>or train to Cheam, walk a bit less than a mile</t>
  </si>
  <si>
    <t>Epsom&amp;Ewell</t>
  </si>
  <si>
    <t>Bishops S</t>
  </si>
  <si>
    <t>Richmond Olympic (Vancouver)</t>
  </si>
  <si>
    <t>Hyndburn (Accrington)</t>
  </si>
  <si>
    <t>HYN</t>
  </si>
  <si>
    <t>Hyndburn (Clayton-le-Moors)</t>
  </si>
  <si>
    <t>BB5 5SD</t>
  </si>
  <si>
    <t>start date 21/10/2017</t>
  </si>
  <si>
    <t>improves club record</t>
  </si>
  <si>
    <t>BA park #366</t>
  </si>
  <si>
    <t>run #85, 44th at Woking</t>
  </si>
  <si>
    <t>Jill</t>
  </si>
  <si>
    <t>run #2, pb(by over 3 minutes)</t>
  </si>
  <si>
    <t>run #97, 53rd at Maidenhead</t>
  </si>
  <si>
    <t>run #89, 13th at Salisbury</t>
  </si>
  <si>
    <t>1st run on Jersey</t>
  </si>
  <si>
    <t>1st run on Jersey, club rec</t>
  </si>
  <si>
    <t>1st run on Jersey, club rec(F)</t>
  </si>
  <si>
    <t>run #202, 3rd on Jersey</t>
  </si>
  <si>
    <t>run #176, 151st at Crane</t>
  </si>
  <si>
    <t>run #325, 5th at Cannon Hill</t>
  </si>
  <si>
    <t>run #12 (all at Riddlesdown)</t>
  </si>
  <si>
    <t>run #270, 2nd at Bracknell</t>
  </si>
  <si>
    <t>run #47, 24th at Gunnersbury</t>
  </si>
  <si>
    <t>run #476, 250th at Gunnersbury</t>
  </si>
  <si>
    <t>run #42, 41st at Oak Hill</t>
  </si>
  <si>
    <t>Victoria Pritchard was first across the line in 17:43, sets a new female course record</t>
  </si>
  <si>
    <t>17th run at Guildford</t>
  </si>
  <si>
    <t>missed a course pb by 11 seconds but best age grade score at a parkrun</t>
  </si>
  <si>
    <t>51st run at Black Park</t>
  </si>
  <si>
    <t>Bushy Park run #700</t>
  </si>
  <si>
    <t>run #220, 189th at Bedfont</t>
  </si>
  <si>
    <t>best age grade %</t>
  </si>
  <si>
    <t>best time at Rushmoor for almost a year</t>
  </si>
  <si>
    <t>run #27, 24th at March</t>
  </si>
  <si>
    <t>recharge in Crawley if necessary</t>
  </si>
  <si>
    <t>41 miles via Burgh Heath, M25,A22</t>
  </si>
  <si>
    <t>Big group in Jersey</t>
  </si>
  <si>
    <t>Richmond Park 24</t>
  </si>
  <si>
    <t>Bushy will celebrate 13th anniversary next week</t>
  </si>
  <si>
    <t>others</t>
  </si>
  <si>
    <t>1st parkrun in Singapore</t>
  </si>
  <si>
    <t>Jude</t>
  </si>
  <si>
    <t>Carter-Murphy</t>
  </si>
  <si>
    <t>run #477</t>
  </si>
  <si>
    <t>run #403</t>
  </si>
  <si>
    <t>plus post event clear-up</t>
  </si>
  <si>
    <t>run #353, 282nd at Reading</t>
  </si>
  <si>
    <t>run #293, 35' pacer</t>
  </si>
  <si>
    <t>run #179, 1st run at Southsea</t>
  </si>
  <si>
    <t>50th run at Braunstone</t>
  </si>
  <si>
    <t>1st run at RTW, club rec (F)</t>
  </si>
  <si>
    <t>best time since May</t>
  </si>
  <si>
    <t>75th run at Woodley</t>
  </si>
  <si>
    <t>1st run at Bideford, clubrec(F)</t>
  </si>
  <si>
    <t>1st run at Yeovil</t>
  </si>
  <si>
    <t>run #106, 29th at Rushmoor</t>
  </si>
  <si>
    <t>Under 35 miles each way by car</t>
  </si>
  <si>
    <t>near Melbourne</t>
  </si>
  <si>
    <t>Studley</t>
  </si>
  <si>
    <t>Newport Lakes</t>
  </si>
  <si>
    <t>Parkville</t>
  </si>
  <si>
    <t>Coburg</t>
  </si>
  <si>
    <t>Maribyrnong</t>
  </si>
  <si>
    <t>Altona Beach</t>
  </si>
  <si>
    <t>Darebin</t>
  </si>
  <si>
    <t>Karkarook</t>
  </si>
  <si>
    <t>Brimbank</t>
  </si>
  <si>
    <t>Lalor</t>
  </si>
  <si>
    <t>Point Cook</t>
  </si>
  <si>
    <t>Wyndham Vale</t>
  </si>
  <si>
    <t>Heartwood (90)</t>
  </si>
  <si>
    <t>ASCA in Dublin</t>
  </si>
  <si>
    <t>Clacton Seafront</t>
  </si>
  <si>
    <t>94 miles by car</t>
  </si>
  <si>
    <t>started 14 May 2016</t>
  </si>
  <si>
    <t>CSF</t>
  </si>
  <si>
    <t>2 miles from Jct 7 on A1(M)</t>
  </si>
  <si>
    <t>started Jul 2017</t>
  </si>
  <si>
    <t>30.2 miles via NCR, M1</t>
  </si>
  <si>
    <t>started 15 July 2017</t>
  </si>
  <si>
    <t>Normandy Hall ( Lincs)</t>
  </si>
  <si>
    <t>DN15 9HU</t>
  </si>
  <si>
    <t>58 miles by car</t>
  </si>
  <si>
    <t>42 miles by car</t>
  </si>
  <si>
    <t>LDL</t>
  </si>
  <si>
    <t>Lillydale Lake</t>
  </si>
  <si>
    <t>another Melbourne parkrun</t>
  </si>
  <si>
    <t>run #14, park #6</t>
  </si>
  <si>
    <t>run #286</t>
  </si>
  <si>
    <t>most prolific MV75 at BL</t>
  </si>
  <si>
    <t>3rd run as MV75</t>
  </si>
  <si>
    <t>2017 sb</t>
  </si>
  <si>
    <t>XC at Wimbledon in afternoon</t>
  </si>
  <si>
    <t>F-2, run #235</t>
  </si>
  <si>
    <t>run #404, 4th at Gunnersbury</t>
  </si>
  <si>
    <t>best age grade score at Gunnersbury over 6 years</t>
  </si>
  <si>
    <t>run #478</t>
  </si>
  <si>
    <t>park #22, club course rec(F)</t>
  </si>
  <si>
    <t>run #354, 283rd a Reading</t>
  </si>
  <si>
    <t>run #245, 160th at Reading</t>
  </si>
  <si>
    <t>run #23, 1 sec off  a pb</t>
  </si>
  <si>
    <t>1st anniversary run, only 77 runners</t>
  </si>
  <si>
    <t>run #74, 45th at Northala</t>
  </si>
  <si>
    <t>run #87, 26th at Woking</t>
  </si>
  <si>
    <t>run #90, 14th at Salisbury</t>
  </si>
  <si>
    <t>1st at Rushmoor, park #26</t>
  </si>
  <si>
    <t>run #92, Bapark #368</t>
  </si>
  <si>
    <t>run #105, Bapark #368</t>
  </si>
  <si>
    <t>Bapark #367</t>
  </si>
  <si>
    <t>7 a.m.</t>
  </si>
  <si>
    <t>DAN</t>
  </si>
  <si>
    <t>Darwin, NT</t>
  </si>
  <si>
    <t>NT</t>
  </si>
  <si>
    <t>Hatfield For</t>
  </si>
  <si>
    <t>Hatfield Forest (discontinued)</t>
  </si>
  <si>
    <t>run #30, 27th at Curl Curl</t>
  </si>
  <si>
    <t>run #179, club course rec</t>
  </si>
  <si>
    <t>will start 4th November 2017</t>
  </si>
  <si>
    <t>NOH</t>
  </si>
  <si>
    <t>run #28, 25th at March</t>
  </si>
  <si>
    <t>M-6, 1st run at Crane Park</t>
  </si>
  <si>
    <t>run #327, 37th at Crane</t>
  </si>
  <si>
    <t>Caroline Cockram 30:04</t>
  </si>
  <si>
    <t>Tannum Sands</t>
  </si>
  <si>
    <t>TAN</t>
  </si>
  <si>
    <t>Tannum Sands (Queensland)</t>
  </si>
  <si>
    <t>Nonsuch Park</t>
  </si>
  <si>
    <t>run #479, 1st at Nonsuch</t>
  </si>
  <si>
    <t>run #285, 2nd at Nonsuch</t>
  </si>
  <si>
    <t>run #303, 12th at Nonsuch</t>
  </si>
  <si>
    <t>run #161, 12th at Nonsuch</t>
  </si>
  <si>
    <t>1st at Nonsuch, club rec(F)</t>
  </si>
  <si>
    <t>run #256, 219th at Bushy</t>
  </si>
  <si>
    <t>1st run in Queensland, AU</t>
  </si>
  <si>
    <t>M-6, 6th run at Hackney</t>
  </si>
  <si>
    <t>by almost three minutes</t>
  </si>
  <si>
    <t>3rd run at Homewood,  pb</t>
  </si>
  <si>
    <t>4th run at Homewood, pb</t>
  </si>
  <si>
    <t>run #246, 76th at Woodley</t>
  </si>
  <si>
    <t>run #168, 15th at Leicester Vic</t>
  </si>
  <si>
    <t>Hermanus, ZA</t>
  </si>
  <si>
    <t>Hermanus</t>
  </si>
  <si>
    <t>HER</t>
  </si>
  <si>
    <t>run #59, 1st at Forest of Dean</t>
  </si>
  <si>
    <t>run #236</t>
  </si>
  <si>
    <t>run #180, 2nd at Oxford</t>
  </si>
  <si>
    <t>run #79, 7th at Peterborough</t>
  </si>
  <si>
    <t>run #328, 38th at Crane Park</t>
  </si>
  <si>
    <t>Route44</t>
  </si>
  <si>
    <t>park #33, BA park #370</t>
  </si>
  <si>
    <t>Surrey League (M)</t>
  </si>
  <si>
    <t>Gunnersbury 121</t>
  </si>
  <si>
    <t>More in Sydney</t>
  </si>
  <si>
    <t>Kamay</t>
  </si>
  <si>
    <t>Cronulla</t>
  </si>
  <si>
    <t>run #31, 28th at Curl Curl</t>
  </si>
  <si>
    <t>run #273, park #209</t>
  </si>
  <si>
    <t>attendance 307</t>
  </si>
  <si>
    <t>run #480</t>
  </si>
  <si>
    <t>run #288, 24th at Bushy</t>
  </si>
  <si>
    <t>run #163, 48th at Bushy</t>
  </si>
  <si>
    <t xml:space="preserve">run #48 </t>
  </si>
  <si>
    <t xml:space="preserve">run #288 </t>
  </si>
  <si>
    <t>run #76, 70th at Harrow</t>
  </si>
  <si>
    <t>4th run at South Manchester</t>
  </si>
  <si>
    <t>10 runs in 7 years, two in successive weeks!</t>
  </si>
  <si>
    <t>Riddlesdwn</t>
  </si>
  <si>
    <t>1st run at Tilgate</t>
  </si>
  <si>
    <t>run #75, 46th at Northala</t>
  </si>
  <si>
    <t>paced wife to pb</t>
  </si>
  <si>
    <t>run #91, 15th at Salisbury</t>
  </si>
  <si>
    <t>run #329, 39th at Crane</t>
  </si>
  <si>
    <t>run #90, 63rd at Crane</t>
  </si>
  <si>
    <t>run #29, parkrun pb</t>
  </si>
  <si>
    <t>barcodeconfirmation awaited</t>
  </si>
  <si>
    <t>barcode bother resolved</t>
  </si>
  <si>
    <t>Surrey League(M,W)</t>
  </si>
  <si>
    <t>Surrey League(W)</t>
  </si>
  <si>
    <t>run #481</t>
  </si>
  <si>
    <t>2nd anniversary</t>
  </si>
  <si>
    <t>2nd/112 in his current agegroup, leader is Mark Kleanthos winner of the BA Munchman duathlon in 1987 (30 years ago)</t>
  </si>
  <si>
    <t>run #25, 20th at Bedfont</t>
  </si>
  <si>
    <t>run #14, all at Riddlesdown</t>
  </si>
  <si>
    <t>run #421, park #217</t>
  </si>
  <si>
    <t>run #274, park #210</t>
  </si>
  <si>
    <t>run #5, park #5, club record</t>
  </si>
  <si>
    <t>1st run at Lowestoft, club rec</t>
  </si>
  <si>
    <t>run #169, 16th at Leicester Vic</t>
  </si>
  <si>
    <t>best finishing position at March (53rd)</t>
  </si>
  <si>
    <t>pacer system manager</t>
  </si>
  <si>
    <t>Gunnersbury 116</t>
  </si>
  <si>
    <t>first run at Tooting Common</t>
  </si>
  <si>
    <t>DDD</t>
  </si>
  <si>
    <t>Dublin Darndale</t>
  </si>
  <si>
    <t>Parkuns in Republic of Ireland</t>
  </si>
  <si>
    <t>run #482</t>
  </si>
  <si>
    <t>Skatas</t>
  </si>
  <si>
    <t>1st run in Sweden</t>
  </si>
  <si>
    <t>run #92, 16th at Salisbury</t>
  </si>
  <si>
    <t>run #31, 28th at March</t>
  </si>
  <si>
    <t>run #99, 1st at Cassiobury</t>
  </si>
  <si>
    <t>run #407, 3rd at Fulham</t>
  </si>
  <si>
    <t>run #290, course pb</t>
  </si>
  <si>
    <t>run #6, park #6, club record</t>
  </si>
  <si>
    <t>run #331, 41st at Crane</t>
  </si>
  <si>
    <t>run #164, 49th at Bushy</t>
  </si>
  <si>
    <t>run #181, 118th at Bedfont</t>
  </si>
  <si>
    <t>run #356, 284th at Reading</t>
  </si>
  <si>
    <t>run #2089, 2nd at Nonsuch</t>
  </si>
  <si>
    <t>1st run at Nonsuch, park #69</t>
  </si>
  <si>
    <t xml:space="preserve">run #290 </t>
  </si>
  <si>
    <t>run #156, 129th at Bedfont</t>
  </si>
  <si>
    <t>cross country later, first BA runner</t>
  </si>
  <si>
    <t>GSK</t>
  </si>
  <si>
    <t>Gothenburg Skatas</t>
  </si>
  <si>
    <t>run #483</t>
  </si>
  <si>
    <t>run #15, first this year</t>
  </si>
  <si>
    <t>run #91, 16th at Osterley</t>
  </si>
  <si>
    <t>run #15, all at Riddlesdown</t>
  </si>
  <si>
    <t>course pb remains at 21:10 !</t>
  </si>
  <si>
    <t>run #47, 44th at Woking</t>
  </si>
  <si>
    <t>Cussans</t>
  </si>
  <si>
    <t>run #50, ex BA dispatcher, pb</t>
  </si>
  <si>
    <t>run #408, tailwalker</t>
  </si>
  <si>
    <t>run #209, 3rd at Black Park</t>
  </si>
  <si>
    <t>RUN #100</t>
  </si>
  <si>
    <t>run #109, 50th at Maidenhead</t>
  </si>
  <si>
    <t>run #96, 50th at Maidenhead</t>
  </si>
  <si>
    <t>run #11, 8th at Hackney</t>
  </si>
  <si>
    <t>equals nest parkrun age grade</t>
  </si>
  <si>
    <t>run #37, 17th at Guildford</t>
  </si>
  <si>
    <t>run 89, 27th at Poole</t>
  </si>
  <si>
    <t>run #43, 42nd at Oak Hill</t>
  </si>
  <si>
    <t>run #171, 17th at Leicester Vic</t>
  </si>
  <si>
    <t>Father Collins (Dublin)</t>
  </si>
  <si>
    <t>run #7, park #7</t>
  </si>
  <si>
    <t>Ralph</t>
  </si>
  <si>
    <t>Behrens</t>
  </si>
  <si>
    <t xml:space="preserve">run #5 </t>
  </si>
  <si>
    <t>run #183, 6th at Evesham</t>
  </si>
  <si>
    <t>DFC</t>
  </si>
  <si>
    <t>Father Collins</t>
  </si>
  <si>
    <t>Dublin - Father Collins</t>
  </si>
  <si>
    <t>250th run at Bedfont Lakes</t>
  </si>
  <si>
    <t>park #212</t>
  </si>
  <si>
    <t>Gunnersbury 118</t>
  </si>
  <si>
    <t>Bedfont Lakes 4</t>
  </si>
  <si>
    <t>park #87, club record (F)</t>
  </si>
  <si>
    <t>1st run in Sweden, park #88</t>
  </si>
  <si>
    <t>supporter</t>
  </si>
  <si>
    <t>age category record (MV80)</t>
  </si>
  <si>
    <t>run #292, parkrun pb</t>
  </si>
  <si>
    <t>has been running at Bedfont since 2010</t>
  </si>
  <si>
    <t>run #289, 2017 course sb</t>
  </si>
  <si>
    <t>run #277, 5th at Bedfont</t>
  </si>
  <si>
    <t>run #226, 29' pacer</t>
  </si>
  <si>
    <t>run #184, 179th at Bedfont</t>
  </si>
  <si>
    <t>M11, run #70</t>
  </si>
  <si>
    <t>run #79, 73rd at Harrow</t>
  </si>
  <si>
    <t>run #97, 5th at Wycombe</t>
  </si>
  <si>
    <t>run #110, 7th at Wycombe</t>
  </si>
  <si>
    <t>run #358, 285th at Reading</t>
  </si>
  <si>
    <t>run #172, 51st at Braunstone</t>
  </si>
  <si>
    <t>club course record(F)</t>
  </si>
  <si>
    <t>run #26, 2nd at Crane Park</t>
  </si>
  <si>
    <t xml:space="preserve">Holland </t>
  </si>
  <si>
    <t>run #90, 48th at Woking</t>
  </si>
  <si>
    <t>run #131, 9th at Tring</t>
  </si>
  <si>
    <t>Langebaan (ZA)</t>
  </si>
  <si>
    <t>not a current member</t>
  </si>
  <si>
    <t>Western Cape</t>
  </si>
  <si>
    <t>run #93, 17th at Salisbury</t>
  </si>
  <si>
    <t>run #184, 129th at Gunnersbury</t>
  </si>
  <si>
    <t>Gunnersbury 119</t>
  </si>
  <si>
    <t>Maureen &amp; Trish McCabe</t>
  </si>
  <si>
    <t>Steve &amp; Linda Dodsworth</t>
  </si>
  <si>
    <t>Melksham</t>
  </si>
  <si>
    <t>MEK</t>
  </si>
  <si>
    <t>SN12 7ED</t>
  </si>
  <si>
    <t>starts December 2107</t>
  </si>
  <si>
    <t>Hanover Georgengarten</t>
  </si>
  <si>
    <t>1st parkrun in Germany</t>
  </si>
  <si>
    <t>Schlussbegleitung</t>
  </si>
  <si>
    <t>run #86, 5th at Ricky</t>
  </si>
  <si>
    <t>run #80, course pb</t>
  </si>
  <si>
    <t>pacer coordinator</t>
  </si>
  <si>
    <t>run #293, 248th at Bedfont</t>
  </si>
  <si>
    <t>run #181, 156th at Crane</t>
  </si>
  <si>
    <t>run #334, 44th at Crane</t>
  </si>
  <si>
    <t>run #102, 2nd at Bushy Park</t>
  </si>
  <si>
    <t>Jack</t>
  </si>
  <si>
    <t>Nisbet</t>
  </si>
  <si>
    <t>Hayes &amp; Harlington RR</t>
  </si>
  <si>
    <t>run #290, 119th at Gunnersbury</t>
  </si>
  <si>
    <t>run #485, 257th at Gunnersbury</t>
  </si>
  <si>
    <t>run #25, 1st this year</t>
  </si>
  <si>
    <t>May have resigned but forgotten to tell parkrun.</t>
  </si>
  <si>
    <t>run #211, 21st at Crane</t>
  </si>
  <si>
    <t>Woodhouse-Taylor</t>
  </si>
  <si>
    <t>run #5, 1st at Bognor</t>
  </si>
  <si>
    <t>run #8, 1st at Bognor</t>
  </si>
  <si>
    <t>run #25, 1st at Bognor</t>
  </si>
  <si>
    <t xml:space="preserve">10th run at Tring </t>
  </si>
  <si>
    <t>run #94, 18th at Salisbury</t>
  </si>
  <si>
    <t>run #173, 18th at Leicester Vic</t>
  </si>
  <si>
    <t>old "winter" course</t>
  </si>
  <si>
    <t>Gunnersbury 120</t>
  </si>
  <si>
    <t>Fulham Palace 10</t>
  </si>
  <si>
    <t>HGG</t>
  </si>
  <si>
    <t>Germany</t>
  </si>
  <si>
    <t>Hanover</t>
  </si>
  <si>
    <t>Henley-on-Thames</t>
  </si>
  <si>
    <t>first run at Henley</t>
  </si>
  <si>
    <t>first run at Henley, park #50</t>
  </si>
  <si>
    <t>club record(M)</t>
  </si>
  <si>
    <t xml:space="preserve">  Finsbury Park</t>
  </si>
  <si>
    <t>Hackney M</t>
  </si>
  <si>
    <t>Banstead W</t>
  </si>
  <si>
    <t>Houghton Hall</t>
  </si>
  <si>
    <t>LU5 5UZ</t>
  </si>
  <si>
    <t>start date 16 Dec 17</t>
  </si>
  <si>
    <t>39 miles by road</t>
  </si>
  <si>
    <t>Brighton&amp;H</t>
  </si>
  <si>
    <t>Barnstable Rock Pool</t>
  </si>
  <si>
    <t>F-2, run #241</t>
  </si>
  <si>
    <t>course pb, run #111</t>
  </si>
  <si>
    <t>5th out 366 in her age group at Guildford</t>
  </si>
  <si>
    <t>run #186, 181st at Bedfont</t>
  </si>
  <si>
    <t>178th at Bedfont, run #292</t>
  </si>
  <si>
    <t>run #410, 251st at Bedfont</t>
  </si>
  <si>
    <t>run #160, 1st at Frimley</t>
  </si>
  <si>
    <t>run #51, 3rd at Tring</t>
  </si>
  <si>
    <t>run #291, 24th at Richmond</t>
  </si>
  <si>
    <t>run #116, 73rd at Richmond</t>
  </si>
  <si>
    <t>run #228, 1st at Frimley</t>
  </si>
  <si>
    <t>Leicester Victora</t>
  </si>
  <si>
    <t>run #174, 19th at Leicester Vic</t>
  </si>
  <si>
    <t>run #33, 29th at March</t>
  </si>
  <si>
    <t>run #81, 74th at Harrow</t>
  </si>
  <si>
    <t>run #112, 51st at Maidenhead</t>
  </si>
  <si>
    <t>backup timekeeper</t>
  </si>
  <si>
    <t>5th out of 366 in her age group at Guildford</t>
  </si>
  <si>
    <t>cfp Northala</t>
  </si>
  <si>
    <t>Barbara</t>
  </si>
  <si>
    <t>Allen</t>
  </si>
  <si>
    <t>Mason</t>
  </si>
  <si>
    <t>Wyeth</t>
  </si>
  <si>
    <t>run #485</t>
  </si>
  <si>
    <t>club record (F)</t>
  </si>
  <si>
    <t>Crichton (Dumfries)</t>
  </si>
  <si>
    <t>DG1 4UQ</t>
  </si>
  <si>
    <t>CRD</t>
  </si>
  <si>
    <t>start date 6/1/18</t>
  </si>
  <si>
    <t>or a few minute later</t>
  </si>
  <si>
    <t>run #427, 3rd at Gunnersbury</t>
  </si>
  <si>
    <t>run #292, 120th at Gunnersbury</t>
  </si>
  <si>
    <t>run #360, 287th at Reading</t>
  </si>
  <si>
    <t>run #164, 41st at Guildford</t>
  </si>
  <si>
    <t>Chrissie</t>
  </si>
  <si>
    <t>run #411, 7th at Kingston</t>
  </si>
  <si>
    <t>run #293, 7th at Kingston</t>
  </si>
  <si>
    <t>run #82, 75th at Harrow</t>
  </si>
  <si>
    <t>run #335, 45th at Crane</t>
  </si>
  <si>
    <t>run #213, 11th at Bushy</t>
  </si>
  <si>
    <t>F-1, 4-time Ironman champion</t>
  </si>
  <si>
    <t>Hawaii</t>
  </si>
  <si>
    <t>club XC 28th</t>
  </si>
  <si>
    <t>BHH</t>
  </si>
  <si>
    <t>Berlin</t>
  </si>
  <si>
    <t>Berlin Hasenheide Volksparke</t>
  </si>
  <si>
    <t>run #8, 1st of 2017</t>
  </si>
  <si>
    <t>run #81, 80th at Bedfont</t>
  </si>
  <si>
    <t>run #293, 10th at Fulham Pal</t>
  </si>
  <si>
    <t>run #165, 50th at Bushy Park</t>
  </si>
  <si>
    <t>Sandwell Valley</t>
  </si>
  <si>
    <t>run #412</t>
  </si>
  <si>
    <t>run #361, 288th at Reading</t>
  </si>
  <si>
    <t>run #87, 76th at Harrow</t>
  </si>
  <si>
    <t>run #1 Southampton, park#214</t>
  </si>
  <si>
    <t>run #308, 9th at Guildford</t>
  </si>
  <si>
    <t>run #165, 42nd at Guildford</t>
  </si>
  <si>
    <t>run #155, 11th at Rickmansworth</t>
  </si>
  <si>
    <t>run #91, 49th at Woking</t>
  </si>
  <si>
    <t>run #486</t>
  </si>
  <si>
    <t>SWV</t>
  </si>
  <si>
    <t>Sandwell Valley (West Brom)</t>
  </si>
  <si>
    <t>B71 4BG</t>
  </si>
  <si>
    <t>1st run at Sandwell, park #89</t>
  </si>
  <si>
    <t>run #359, 5th at Gunnersbury</t>
  </si>
  <si>
    <t>run #113, 33rd at Rushmoor</t>
  </si>
  <si>
    <t>run #336, 46th at Crane</t>
  </si>
  <si>
    <t>run #81, 5th at Upton Court</t>
  </si>
  <si>
    <t>M-2, run #40, 26th at Tilgate</t>
  </si>
  <si>
    <t>run #296, 250th at Bedfont</t>
  </si>
  <si>
    <t>run #231, 200th at Bedfont</t>
  </si>
  <si>
    <t>Sandwell Vy</t>
  </si>
  <si>
    <t>Sarah at Sandwell Valley</t>
  </si>
  <si>
    <t>run #103, 57th at Maidenhead</t>
  </si>
  <si>
    <t>run #413</t>
  </si>
  <si>
    <t>run #487</t>
  </si>
  <si>
    <t>run #136, 9th at Walsall</t>
  </si>
  <si>
    <t>run  #232, 16th at Crane Park</t>
  </si>
  <si>
    <t>run #215, 22nd at Crane</t>
  </si>
  <si>
    <t>run #362, 33rd at Woodley</t>
  </si>
  <si>
    <t>run #133, 11th at Tring</t>
  </si>
  <si>
    <t>run #104, 58th at Maidenhead</t>
  </si>
  <si>
    <t>run #297, 4th at Bushy</t>
  </si>
  <si>
    <t>run #114, 2nd at Norwich</t>
  </si>
  <si>
    <t>run #92, 1st at Fulham Pal</t>
  </si>
  <si>
    <t>run #82, 1st at Frimley</t>
  </si>
  <si>
    <t>run #186, 8th at Northala</t>
  </si>
  <si>
    <t>run #41, 27th at Tilgate</t>
  </si>
  <si>
    <t>finished 2016 on 165</t>
  </si>
  <si>
    <t>end</t>
  </si>
  <si>
    <t>big attendance at Bushy</t>
  </si>
  <si>
    <t>run #8, park #8</t>
  </si>
  <si>
    <t>run #84, 77th at Harrow</t>
  </si>
  <si>
    <t>Houghton Hall (Beds)</t>
  </si>
  <si>
    <t>HOH</t>
  </si>
  <si>
    <t>BA park #375</t>
  </si>
  <si>
    <t>run #21, 1st at Houghton Hall</t>
  </si>
  <si>
    <t>run #9, park #9</t>
  </si>
  <si>
    <t>run #42, 8th at Horsham</t>
  </si>
  <si>
    <t>run #232, run #53 of 2017</t>
  </si>
  <si>
    <t>run #216, run #51 of 2017</t>
  </si>
  <si>
    <t>run #488, run #50 of 2017</t>
  </si>
  <si>
    <t>run #294, run #46 of 2017</t>
  </si>
  <si>
    <t>run #24, 19th at Guildford</t>
  </si>
  <si>
    <t>run #92, 50th at Woking</t>
  </si>
  <si>
    <t>run #233, 17th at Crane Park</t>
  </si>
  <si>
    <t>run #265, 228th at Bushy</t>
  </si>
  <si>
    <t>run #166, 51st Bushy Park</t>
  </si>
  <si>
    <t>run #310, 261st at Bushy</t>
  </si>
  <si>
    <t>run #49, 1st at Highbury Fields</t>
  </si>
  <si>
    <t>run #187, 1st at Highbury Fields</t>
  </si>
  <si>
    <t>run #363, 34th at Woodley</t>
  </si>
  <si>
    <t>run #156, 73rd at Wycombe</t>
  </si>
  <si>
    <t>run #114, 34th at Rushmoor</t>
  </si>
  <si>
    <t>CBS</t>
  </si>
  <si>
    <t>0830 a.m. start</t>
  </si>
  <si>
    <t>10.30 start</t>
  </si>
  <si>
    <t>Hove Promendade</t>
  </si>
  <si>
    <t>first runs at Hove promenade</t>
  </si>
  <si>
    <t>9 a.m. start, club rec</t>
  </si>
  <si>
    <t>9 a.m. start, club rec (F)</t>
  </si>
  <si>
    <t>1st run at Pontefract</t>
  </si>
  <si>
    <t>PON</t>
  </si>
  <si>
    <t>634th/705 - no times available</t>
  </si>
  <si>
    <t>normally about 200 runners</t>
  </si>
  <si>
    <t>9.00 start</t>
  </si>
  <si>
    <t>run #218, 23rd at Crane Park</t>
  </si>
  <si>
    <t>run #312, 2nd at Crane Park</t>
  </si>
  <si>
    <t>run #234, 18th at Crane</t>
  </si>
  <si>
    <t>first run at Henley, club record</t>
  </si>
  <si>
    <t>35th run at Woodley</t>
  </si>
  <si>
    <t>5th run at Fulham Palace</t>
  </si>
  <si>
    <t>59th run at Maidenhead</t>
  </si>
  <si>
    <t>100th March parkrun</t>
  </si>
  <si>
    <t>run #35, 31st at March</t>
  </si>
  <si>
    <t>club course record, park #70</t>
  </si>
  <si>
    <t>club course record, park #71</t>
  </si>
  <si>
    <t>5th run at Upton Court</t>
  </si>
  <si>
    <t>1st run in Krakov</t>
  </si>
  <si>
    <t>best agegrade % of the day</t>
  </si>
  <si>
    <t>club record (all genders)</t>
  </si>
  <si>
    <t>run #339, 279th at Bushy</t>
  </si>
  <si>
    <t>run #340, 48th at Crane</t>
  </si>
  <si>
    <t>run#116, 54th at Maidenhead</t>
  </si>
  <si>
    <t>run #94, 7th at Bushy</t>
  </si>
  <si>
    <t>pb by 2 seconds</t>
  </si>
  <si>
    <t>best ever run at Tilgate</t>
  </si>
  <si>
    <t>up to 2nd (out of 594) in his age group, 5 secs off top slot</t>
  </si>
  <si>
    <r>
      <rPr>
        <b/>
        <sz val="10"/>
        <rFont val="Arial"/>
        <family val="2"/>
      </rPr>
      <t>2018 result</t>
    </r>
    <r>
      <rPr>
        <sz val="10"/>
        <rFont val="Arial"/>
        <family val="2"/>
      </rPr>
      <t>s</t>
    </r>
  </si>
  <si>
    <t>Osterley 4</t>
  </si>
  <si>
    <t>Castle Park/Pontefract</t>
  </si>
  <si>
    <t>run #52, F2</t>
  </si>
  <si>
    <t>Clifton</t>
  </si>
  <si>
    <t>Ballito</t>
  </si>
  <si>
    <t>CLF</t>
  </si>
  <si>
    <t>inaugural 13th Jan 2018</t>
  </si>
  <si>
    <t>NG11 8JU</t>
  </si>
  <si>
    <t>Clifton (Notts)</t>
  </si>
  <si>
    <t>F-1 was Claire Hallissey,21:25 (GB Olympic Marathon runner - 2012)</t>
  </si>
  <si>
    <t>inaugural, run #137, park #72</t>
  </si>
  <si>
    <t>Ballito (ZA)</t>
  </si>
  <si>
    <t xml:space="preserve">Petra </t>
  </si>
  <si>
    <t>Hasenheide (DE)</t>
  </si>
  <si>
    <t>Hoffman/Otto</t>
  </si>
  <si>
    <t>Berlin Hasenheide</t>
  </si>
  <si>
    <t>run #37, 32nd at March</t>
  </si>
  <si>
    <t>park #217</t>
  </si>
  <si>
    <t>park #218</t>
  </si>
  <si>
    <t>run #179, 21st at Leicester Vic</t>
  </si>
  <si>
    <t>M-9, run #10, park #10</t>
  </si>
  <si>
    <t>BSR</t>
  </si>
  <si>
    <t>Ballito (nearish Durban)</t>
  </si>
  <si>
    <t>Bapark #379</t>
  </si>
  <si>
    <t>Bapark #378</t>
  </si>
  <si>
    <t>Bapark #380</t>
  </si>
  <si>
    <t>run #184, 18th at Bushy</t>
  </si>
  <si>
    <t xml:space="preserve">Trish </t>
  </si>
  <si>
    <t>run #38, 33rd at March</t>
  </si>
  <si>
    <t>run #10, 9th at Chichester</t>
  </si>
  <si>
    <t>2018 run #1</t>
  </si>
  <si>
    <t>run #12, 9th at Hackney M</t>
  </si>
  <si>
    <t>1st run at Finsbury, park #73</t>
  </si>
  <si>
    <t>run #368, 290th at Reading</t>
  </si>
  <si>
    <t>run #418</t>
  </si>
  <si>
    <t>run #300, 181st at Bedfont</t>
  </si>
  <si>
    <t>run #315, 1st at Northala</t>
  </si>
  <si>
    <t>run #190, 9th at Northala</t>
  </si>
  <si>
    <t>run #284, 6th at Northala</t>
  </si>
  <si>
    <t>run #101, 2nd at Northala</t>
  </si>
  <si>
    <t>run #117, 2nd at Northala</t>
  </si>
  <si>
    <t>run #91, 3rd at Northala</t>
  </si>
  <si>
    <t>run #492, 2nd at Northala</t>
  </si>
  <si>
    <t>run #296, 2nd at Northala</t>
  </si>
  <si>
    <t>run #88, 2nd at Northala</t>
  </si>
  <si>
    <t>record turnout of 358 at Northala</t>
  </si>
  <si>
    <t>prevous record was 332, 2 weeks ago</t>
  </si>
  <si>
    <t>run #192, 186th at Bedfont</t>
  </si>
  <si>
    <t>5th run at Crane</t>
  </si>
  <si>
    <t>run #164, 134th at Bedfont</t>
  </si>
  <si>
    <t>8th run at Crane</t>
  </si>
  <si>
    <t>252nd run at Bedfont</t>
  </si>
  <si>
    <t>run #303, 253rd at Bedfont</t>
  </si>
  <si>
    <t>49th run at Crane</t>
  </si>
  <si>
    <t>50th run at Crane</t>
  </si>
  <si>
    <t>131st  run at Gunnersbury</t>
  </si>
  <si>
    <t>run #44, 29th at Tilgate</t>
  </si>
  <si>
    <t>run #314, 264th at Bushy</t>
  </si>
  <si>
    <t>run #267, 230th at Bushy</t>
  </si>
  <si>
    <t>run #236, 19th at Crane</t>
  </si>
  <si>
    <t>run #89, 77th at Harrow</t>
  </si>
  <si>
    <t>run #90, 6th at Rickmansworth</t>
  </si>
  <si>
    <t>run #490</t>
  </si>
  <si>
    <t>run #491, 261st at Gunnersby</t>
  </si>
  <si>
    <t>run #366, 2nd at Henley(pb)</t>
  </si>
  <si>
    <t>4th run at Crane, course pb</t>
  </si>
  <si>
    <t>24th run at Crane</t>
  </si>
  <si>
    <t>150th run at Bedfont</t>
  </si>
  <si>
    <t>4th run at Homewood</t>
  </si>
  <si>
    <t>run #108, 61st at Maidenhead</t>
  </si>
  <si>
    <t>5th run at Homewood</t>
  </si>
  <si>
    <t>F-1 ,run #116, 18th at Frimley</t>
  </si>
  <si>
    <t>run #158, 74th at Wycombe</t>
  </si>
  <si>
    <t>12th run at Crane</t>
  </si>
  <si>
    <t>164th run at Bedfont</t>
  </si>
  <si>
    <t>1st run at B'stoke, park#40</t>
  </si>
  <si>
    <t>David Duggan is also a member of Runnymede Runners</t>
  </si>
  <si>
    <t>Gunnersbury 122</t>
  </si>
  <si>
    <t>Gunnersbury 123</t>
  </si>
  <si>
    <t>Mile End 2</t>
  </si>
  <si>
    <t xml:space="preserve">Benita Scaife </t>
  </si>
  <si>
    <t>run #5, park #5</t>
  </si>
  <si>
    <t>Letchworth</t>
  </si>
  <si>
    <t>SG6 4PN</t>
  </si>
  <si>
    <t>Great Denham</t>
  </si>
  <si>
    <t>MK40 4SQ</t>
  </si>
  <si>
    <t>starts 17 feb 18</t>
  </si>
  <si>
    <t>LET</t>
  </si>
  <si>
    <t>Colney Lane (Norwich)</t>
  </si>
  <si>
    <t>replaced by Castle Park (Bishops Stortford)</t>
  </si>
  <si>
    <t>Bedworth</t>
  </si>
  <si>
    <t>CV12 8JT</t>
  </si>
  <si>
    <t>Crewe</t>
  </si>
  <si>
    <t>CW2 7SE</t>
  </si>
  <si>
    <t>Sarah Gordon 33:49</t>
  </si>
  <si>
    <t>Noosa</t>
  </si>
  <si>
    <t>Sunshine Coast north of Brisbane</t>
  </si>
  <si>
    <t>7 am start</t>
  </si>
  <si>
    <t>GMT +10hrs</t>
  </si>
  <si>
    <t>NOA</t>
  </si>
  <si>
    <t>Noosa (Queensland)</t>
  </si>
  <si>
    <t>T &amp; M McCabe</t>
  </si>
  <si>
    <t>7 am, GMT + 10</t>
  </si>
  <si>
    <t>Noosa (Queenland)</t>
  </si>
  <si>
    <t>Sunbury</t>
  </si>
  <si>
    <t>Sunbury (Victoria)</t>
  </si>
  <si>
    <t>SUB</t>
  </si>
  <si>
    <t>David  Duggan</t>
  </si>
  <si>
    <t>Sunbury (Apex Park,Victoria, AU)</t>
  </si>
  <si>
    <t>8 a.m. GMT + 11</t>
  </si>
  <si>
    <t>9pm Friday in London</t>
  </si>
  <si>
    <t xml:space="preserve"> Lillydale Lake</t>
  </si>
  <si>
    <t>Mernda</t>
  </si>
  <si>
    <t>Gardiners Creek</t>
  </si>
  <si>
    <t>run #316, 265th at Bushy</t>
  </si>
  <si>
    <t>run #268, 231st at Bushy</t>
  </si>
  <si>
    <t>run #301 (and 27' pacer)</t>
  </si>
  <si>
    <t>tail walker</t>
  </si>
  <si>
    <t>run #27, 3rd at Crane Park</t>
  </si>
  <si>
    <t>run #343, 51st at Crane Park</t>
  </si>
  <si>
    <t>1st run at Cuerden Valley</t>
  </si>
  <si>
    <t>1st run since November</t>
  </si>
  <si>
    <t>1st run at Rutland Water</t>
  </si>
  <si>
    <t>run #102, 53rd at Maidenhead</t>
  </si>
  <si>
    <t>run #118, 55th at Maidenhead</t>
  </si>
  <si>
    <t>run #95, 64th at Crane</t>
  </si>
  <si>
    <t>Cuerden Valley (Bamber Bridge)</t>
  </si>
  <si>
    <t>Hoffman/Gordon</t>
  </si>
  <si>
    <t>run #297, 122nd at Gunnersbury</t>
  </si>
  <si>
    <t>BA park #383</t>
  </si>
  <si>
    <t>BA park #384</t>
  </si>
  <si>
    <t>Australia week 2, BApark 381</t>
  </si>
  <si>
    <t>Australia week 1, BApark 382</t>
  </si>
  <si>
    <t>pacing squad manager</t>
  </si>
  <si>
    <t>MUY</t>
  </si>
  <si>
    <t>Murray Bridge (Sth Australia)</t>
  </si>
  <si>
    <t>Murray Bridge</t>
  </si>
  <si>
    <t>Murray Bridge, SA</t>
  </si>
  <si>
    <t>run #419, 255th at Bedfont</t>
  </si>
  <si>
    <t>run #28, 4th at Crane</t>
  </si>
  <si>
    <t>run #344, 52nd at Crane</t>
  </si>
  <si>
    <t>run #494</t>
  </si>
  <si>
    <t>run #191, 132nd at Gunnersb</t>
  </si>
  <si>
    <t>F-4, run #247</t>
  </si>
  <si>
    <t>run #109, 12th at Black Park</t>
  </si>
  <si>
    <t>run #103, 54th at Maidenhead</t>
  </si>
  <si>
    <t>run #119, 56th at Maidenhead</t>
  </si>
  <si>
    <t>run #26, park #7</t>
  </si>
  <si>
    <t>run #13, 10th at Hackney M</t>
  </si>
  <si>
    <t>run #298, 2nd at Mile End</t>
  </si>
  <si>
    <t>run #339, Bapark #385</t>
  </si>
  <si>
    <t>run #286, park #220</t>
  </si>
  <si>
    <t>run #181, 22nd at Leicester Vic</t>
  </si>
  <si>
    <t>run #40, 35th at March</t>
  </si>
  <si>
    <t>Gloucester City</t>
  </si>
  <si>
    <t>GL1 1LY</t>
  </si>
  <si>
    <t>start date 24/2 18</t>
  </si>
  <si>
    <t>started 27 Jan 18</t>
  </si>
  <si>
    <t>SIX</t>
  </si>
  <si>
    <t>Sixfields Upton (Northampton)</t>
  </si>
  <si>
    <t>NN5 4EQ</t>
  </si>
  <si>
    <t>Stevenage (91)</t>
  </si>
  <si>
    <t>Panshanger (92)</t>
  </si>
  <si>
    <t>Progress to 500</t>
  </si>
  <si>
    <t>South Woodham Ferrers</t>
  </si>
  <si>
    <t>CM3 5WP</t>
  </si>
  <si>
    <t>Witney</t>
  </si>
  <si>
    <t>OX29 0NB</t>
  </si>
  <si>
    <t>start 3 Mar2018</t>
  </si>
  <si>
    <t>start 3 Mar 2018</t>
  </si>
  <si>
    <t>42.3 miles by car</t>
  </si>
  <si>
    <t>27 miles by car</t>
  </si>
  <si>
    <t>Kangaroo Island</t>
  </si>
  <si>
    <t>KAN</t>
  </si>
  <si>
    <r>
      <t>K</t>
    </r>
    <r>
      <rPr>
        <sz val="10"/>
        <rFont val="Arial"/>
        <family val="2"/>
      </rPr>
      <t>angaroo Island (nr Adelaide)</t>
    </r>
  </si>
  <si>
    <t>8 a.m. GMT + 10:30</t>
  </si>
  <si>
    <t>run #299, park #91</t>
  </si>
  <si>
    <t>run #65, 10th at Frimley</t>
  </si>
  <si>
    <t>pb is 22:11</t>
  </si>
  <si>
    <t xml:space="preserve">Alice </t>
  </si>
  <si>
    <t>run #120, course pb</t>
  </si>
  <si>
    <t>run #110, 2nd at Henley</t>
  </si>
  <si>
    <t>run #496, all at Basingstoke</t>
  </si>
  <si>
    <t>run #495, 264th at Gunnersbury</t>
  </si>
  <si>
    <t>F-3, run #248</t>
  </si>
  <si>
    <t>run #305, 9th at Crane</t>
  </si>
  <si>
    <t>run #270, 233rd at Bushy</t>
  </si>
  <si>
    <t>Gary Rushmer still holds club record with 20:07</t>
  </si>
  <si>
    <t>run #370, 292nd at Reading</t>
  </si>
  <si>
    <t>2018 sb</t>
  </si>
  <si>
    <t>run #420</t>
  </si>
  <si>
    <t>run #95, 19th at Salisbury</t>
  </si>
  <si>
    <t>1st run at Alice Holt, park#23</t>
  </si>
  <si>
    <t>127 runs at Bushy</t>
  </si>
  <si>
    <t>run #500, 353rd at Black Park</t>
  </si>
  <si>
    <t>run #654, 336th at Frimley</t>
  </si>
  <si>
    <t>257 runs at Bushy</t>
  </si>
  <si>
    <t>210 runs at Bushy</t>
  </si>
  <si>
    <t>15th member of 500 club</t>
  </si>
  <si>
    <t>founder member of 500 club</t>
  </si>
  <si>
    <t>0 runs at Bushy or anywhere other than Basingstoke, probably next member of 500 club</t>
  </si>
  <si>
    <t>tailwalker, run #53</t>
  </si>
  <si>
    <t>run #493, 436th at Bushy</t>
  </si>
  <si>
    <t>46 runs at Crane Park</t>
  </si>
  <si>
    <t>Australia week 3, Bapark #386</t>
  </si>
  <si>
    <t xml:space="preserve"> look for brown sign to car park for Fairlands Valley Park</t>
  </si>
  <si>
    <t>SG2 8UY</t>
  </si>
  <si>
    <t>33 miles by car</t>
  </si>
  <si>
    <t>park in "Old" Hertingfordbury Road</t>
  </si>
  <si>
    <t>Australia (North)</t>
  </si>
  <si>
    <t>Haverhill</t>
  </si>
  <si>
    <t>CB9 8NJ</t>
  </si>
  <si>
    <t>Hogmore Inclosure</t>
  </si>
  <si>
    <t>HOG</t>
  </si>
  <si>
    <t>GU35 9HN</t>
  </si>
  <si>
    <t>start 10 Mar 18</t>
  </si>
  <si>
    <t>HVH</t>
  </si>
  <si>
    <t>WD3 1NB</t>
  </si>
  <si>
    <t>a little bit tight, or by car via, Harefield, free car park</t>
  </si>
  <si>
    <t>You Tangs (VIC)</t>
  </si>
  <si>
    <t>You Yangs</t>
  </si>
  <si>
    <t>YOU</t>
  </si>
  <si>
    <t>9 a.m. GMT</t>
  </si>
  <si>
    <t>You Yangs (VIC)</t>
  </si>
  <si>
    <t>You Yangs, Letchworth</t>
  </si>
  <si>
    <t>BA park #387</t>
  </si>
  <si>
    <t>BA park #388, park #221</t>
  </si>
  <si>
    <t>run #41, 36th at March</t>
  </si>
  <si>
    <t>run #96, 20th at Salisbury</t>
  </si>
  <si>
    <t>run #266, 1st at Cranleigh</t>
  </si>
  <si>
    <t>run #496</t>
  </si>
  <si>
    <t>run #319</t>
  </si>
  <si>
    <t>run #167, 1st of 2018</t>
  </si>
  <si>
    <t>run #371, 293rd at Reading</t>
  </si>
  <si>
    <t>run #15, 2018 sb</t>
  </si>
  <si>
    <t>run #6, 1st at Ricky, club record</t>
  </si>
  <si>
    <t>run #9, 1st at Ricky</t>
  </si>
  <si>
    <t>run #159, 75th at Wycombe</t>
  </si>
  <si>
    <t>run #241, 21st at Crane</t>
  </si>
  <si>
    <t>run #303, club record (F)</t>
  </si>
  <si>
    <t>1st run since October 2017</t>
  </si>
  <si>
    <t>run #346, 54th at Crane</t>
  </si>
  <si>
    <t>run #121, 57th at Maidenhead</t>
  </si>
  <si>
    <t>run 66th, 11th at Frimley</t>
  </si>
  <si>
    <t>run #'494</t>
  </si>
  <si>
    <t>run #436, park #223</t>
  </si>
  <si>
    <t>run #183, 23rd at Leicester V</t>
  </si>
  <si>
    <t>South Australia</t>
  </si>
  <si>
    <t>TW16 6QU</t>
  </si>
  <si>
    <t>HAZ</t>
  </si>
  <si>
    <t>MOL</t>
  </si>
  <si>
    <t>start Spring 2018</t>
  </si>
  <si>
    <t>Victoria Dock</t>
  </si>
  <si>
    <t>Spelthorne</t>
  </si>
  <si>
    <t>(Royal) Victoria Dock</t>
  </si>
  <si>
    <t>Hazelwood</t>
  </si>
  <si>
    <t>Hazelwood (Sunbury on Thames)</t>
  </si>
  <si>
    <t>South Boulder Creek</t>
  </si>
  <si>
    <t>SBC</t>
  </si>
  <si>
    <t>South Boulder Creek, CO</t>
  </si>
  <si>
    <t>CO</t>
  </si>
  <si>
    <t>Crissy Fld</t>
  </si>
  <si>
    <t>Fletchers Co</t>
  </si>
  <si>
    <t>South Boulder</t>
  </si>
  <si>
    <t>Kangaroo Is</t>
  </si>
  <si>
    <t>Murray Br</t>
  </si>
  <si>
    <t>run #497</t>
  </si>
  <si>
    <t>run #166, 136th at Bedfont</t>
  </si>
  <si>
    <t>run #307, 256th at Bedfont</t>
  </si>
  <si>
    <t>run #347, 55th at Crane Park</t>
  </si>
  <si>
    <t>run #104, 55th at Maidenhead</t>
  </si>
  <si>
    <t>run #122, 58th at Maidenhead</t>
  </si>
  <si>
    <t>run #495</t>
  </si>
  <si>
    <t>run#196</t>
  </si>
  <si>
    <t>run #187, pacer</t>
  </si>
  <si>
    <t>run #242, pacer</t>
  </si>
  <si>
    <t>run #422, pacer</t>
  </si>
  <si>
    <t>1st run at Bedford, clubrec(F)</t>
  </si>
  <si>
    <t>Abigail</t>
  </si>
  <si>
    <t>1st 5km parkrun</t>
  </si>
  <si>
    <t>run #160, 76th at Wycombe</t>
  </si>
  <si>
    <t>run #226, 26th at Crane Park</t>
  </si>
  <si>
    <t>run #79, 50th at Northala</t>
  </si>
  <si>
    <t>run #297, 1st at Woking</t>
  </si>
  <si>
    <t>run #301, 1st at Panshanger</t>
  </si>
  <si>
    <t>run #42, 37th at March</t>
  </si>
  <si>
    <t>Franschhoek (ZA)</t>
  </si>
  <si>
    <t>Franschhoek</t>
  </si>
  <si>
    <t>Sth Boulder Creek</t>
  </si>
  <si>
    <t>BA park #390, mile high !</t>
  </si>
  <si>
    <t>M-4, BA park #389</t>
  </si>
  <si>
    <t>inaugural, over half the runners were parkrun virgins</t>
  </si>
  <si>
    <t>Franschhoek (Cape Winelands)</t>
  </si>
  <si>
    <t>FRH</t>
  </si>
  <si>
    <t>Cape &amp; Winelands</t>
  </si>
  <si>
    <t>run #1 (officially)</t>
  </si>
  <si>
    <t>run #97, 1st at Tooting, MV65-1</t>
  </si>
  <si>
    <t>Piccadilly line from Hammesmith (0746)</t>
  </si>
  <si>
    <t>Franschhoek, S Boulder Cr</t>
  </si>
  <si>
    <t>Triathlon Glasgow</t>
  </si>
  <si>
    <t>scanner glitch</t>
  </si>
  <si>
    <t>E16 1GB</t>
  </si>
  <si>
    <t>Royal Victoria DLR or Emirates cable car</t>
  </si>
  <si>
    <t>Victoria Dock (Royal)</t>
  </si>
  <si>
    <t>VDR</t>
  </si>
  <si>
    <t>was 1 lap, now 2 laps</t>
  </si>
  <si>
    <t>Low hanging fruit</t>
  </si>
  <si>
    <t>Westmin/City</t>
  </si>
  <si>
    <t>or via Hatfield and A414</t>
  </si>
  <si>
    <t>z</t>
  </si>
  <si>
    <t>NW Engl</t>
  </si>
  <si>
    <t>West</t>
  </si>
  <si>
    <t>Sur/Hamp</t>
  </si>
  <si>
    <t>Bucks</t>
  </si>
  <si>
    <t>Yorks</t>
  </si>
  <si>
    <t>CI</t>
  </si>
  <si>
    <t>East Mid</t>
  </si>
  <si>
    <t>NE</t>
  </si>
  <si>
    <t>Oxon</t>
  </si>
  <si>
    <t xml:space="preserve">East </t>
  </si>
  <si>
    <t>Hants</t>
  </si>
  <si>
    <t>Berks</t>
  </si>
  <si>
    <t>Wilts</t>
  </si>
  <si>
    <t>West Mid</t>
  </si>
  <si>
    <t>N I</t>
  </si>
  <si>
    <t>Zoe</t>
  </si>
  <si>
    <t>Ostley</t>
  </si>
  <si>
    <t>Zoe Ostley 36:28</t>
  </si>
  <si>
    <t>run #243, 8th at Bushy</t>
  </si>
  <si>
    <t>run #243, 1st at Richmond</t>
  </si>
  <si>
    <t>run #305, 6th at Richmond</t>
  </si>
  <si>
    <t>run #423, 7th at Richmond</t>
  </si>
  <si>
    <t>run #298, 1st at Old Deer Pk</t>
  </si>
  <si>
    <t>run #188, 1st at Guildford</t>
  </si>
  <si>
    <t>M-2, 3rd run at Henley</t>
  </si>
  <si>
    <t>run #10, 1st at Upton Court</t>
  </si>
  <si>
    <t>run #80, 2nd at Osterley</t>
  </si>
  <si>
    <t>run #194, 4th at Osterley</t>
  </si>
  <si>
    <t>run #498, 6th at Osterley</t>
  </si>
  <si>
    <t>run #302, 5th at Osterley</t>
  </si>
  <si>
    <t>run #55, 2nd at Osterley</t>
  </si>
  <si>
    <t>Ruth</t>
  </si>
  <si>
    <t>Cadbury</t>
  </si>
  <si>
    <t>run #12, 5th  at Osterley</t>
  </si>
  <si>
    <t>Frimley lodge</t>
  </si>
  <si>
    <t>run #119, 21st at Frimley</t>
  </si>
  <si>
    <t>run #105, 56th at Maidenhead</t>
  </si>
  <si>
    <t>run #123, 59th at Maidenhead</t>
  </si>
  <si>
    <t>run #84, 6th at Upton Court</t>
  </si>
  <si>
    <t>run #67, 12th at Frimley</t>
  </si>
  <si>
    <t>run #496, 439th at Bushy</t>
  </si>
  <si>
    <t>run #499, all at Basingstoke</t>
  </si>
  <si>
    <t>Osterley 5</t>
  </si>
  <si>
    <t>many cancellations (snow)</t>
  </si>
  <si>
    <t>Clapham</t>
  </si>
  <si>
    <t>Clapham Common</t>
  </si>
  <si>
    <t>Wandsworth/Lambeth</t>
  </si>
  <si>
    <t>SW4 9DE</t>
  </si>
  <si>
    <t>SE6 1AN</t>
  </si>
  <si>
    <t>to Silver St 6 minutes</t>
  </si>
  <si>
    <t>Jacqui Musselwhite 27:46</t>
  </si>
  <si>
    <t>Basingstoke (93)</t>
  </si>
  <si>
    <t>run #499</t>
  </si>
  <si>
    <t>running with caution</t>
  </si>
  <si>
    <t>tailwalker, run #,5 all at Guildford</t>
  </si>
  <si>
    <t>run #299, 1st at Kingston</t>
  </si>
  <si>
    <t>run #161, 12th at Ricky</t>
  </si>
  <si>
    <t>4th run at Henley, all this year</t>
  </si>
  <si>
    <t>run #97, 66th at Crane</t>
  </si>
  <si>
    <t>run #81, 51st at Northala</t>
  </si>
  <si>
    <t>run #267, 1st at Rushmoor</t>
  </si>
  <si>
    <t>run #98, 21st at Salisbury</t>
  </si>
  <si>
    <t>run #43, 38th at March</t>
  </si>
  <si>
    <t>run #500, all at Basingstoke</t>
  </si>
  <si>
    <t>run #244, 166 at Bedfont</t>
  </si>
  <si>
    <t>run #348, 280th at Bushy</t>
  </si>
  <si>
    <t>run #497, 440th at Bushy</t>
  </si>
  <si>
    <t>very slippery mud</t>
  </si>
  <si>
    <t>run #303,1st run at Basingstoke</t>
  </si>
  <si>
    <t>walk/jog pacer</t>
  </si>
  <si>
    <t>best time at Crane is 18:24</t>
  </si>
  <si>
    <t>1st run at Crane 23/6/12</t>
  </si>
  <si>
    <t>big car park or train to Feltham and take bike</t>
  </si>
  <si>
    <t>JAM</t>
  </si>
  <si>
    <t>Jamaica Pond (Boston, MA)</t>
  </si>
  <si>
    <t>MA</t>
  </si>
  <si>
    <t>run #425, tailwalker</t>
  </si>
  <si>
    <t>by 3 seconds</t>
  </si>
  <si>
    <t>1st run at Ricky, club rec (F)</t>
  </si>
  <si>
    <t>run #321</t>
  </si>
  <si>
    <t>run #440</t>
  </si>
  <si>
    <t>1st run at Gunnersbury</t>
  </si>
  <si>
    <t>run #304, 124th at Gunnersbury</t>
  </si>
  <si>
    <t>18th run at Gunnersbury</t>
  </si>
  <si>
    <t>1st run at Gunnersbury in 2018</t>
  </si>
  <si>
    <t>run #44, 39th at March</t>
  </si>
  <si>
    <t>1st run at Bedworth, park #93</t>
  </si>
  <si>
    <t>Hazelwood (Sunbury)</t>
  </si>
  <si>
    <t>1st run at Rushmoor in 2018</t>
  </si>
  <si>
    <t>run #349, 56th at Crane</t>
  </si>
  <si>
    <t>run #69, 42nd at Rushmoor</t>
  </si>
  <si>
    <t>run #498, 1st at Osterley</t>
  </si>
  <si>
    <t>run #55, 52nd at Woking</t>
  </si>
  <si>
    <t>run director - run called off</t>
  </si>
  <si>
    <t>Jacqui Musselwhite(joined March 2018)  is also a member of Woking AC</t>
  </si>
  <si>
    <t>BEW</t>
  </si>
  <si>
    <t>Inaugural, BA park #391</t>
  </si>
  <si>
    <t>Alan Anderson 500</t>
  </si>
  <si>
    <t>17th member of 500 club</t>
  </si>
  <si>
    <t>Daniela Mayerova was an associate member. She ran at Ashton Court on 15/3/2014 before she joined and Exmouth (17/3/18) after she lapsed.</t>
  </si>
  <si>
    <t>WAM</t>
  </si>
  <si>
    <t>The Wammy</t>
  </si>
  <si>
    <t>ST5 6HH</t>
  </si>
  <si>
    <t>Hazelwood (94)</t>
  </si>
  <si>
    <t>Victoria Dock (95)</t>
  </si>
  <si>
    <t>Gunnersbury 124</t>
  </si>
  <si>
    <t>GDH</t>
  </si>
  <si>
    <t>Great Denham (Bedfordshire)</t>
  </si>
  <si>
    <t>CRE</t>
  </si>
  <si>
    <t>run #16, 13th at Hackney</t>
  </si>
  <si>
    <t>1st run at Brockwell, park #26</t>
  </si>
  <si>
    <t>run #29, 2nd at Upton Court</t>
  </si>
  <si>
    <t>all genders club course record</t>
  </si>
  <si>
    <t>1st run at Mole Valley</t>
  </si>
  <si>
    <t>BA park #393</t>
  </si>
  <si>
    <t>oldest runner so far at Hazelwood</t>
  </si>
  <si>
    <t>inaugural, club record</t>
  </si>
  <si>
    <t>I&amp;C Cockram</t>
  </si>
  <si>
    <t>inaugural, club record (F)</t>
  </si>
  <si>
    <t>run #501</t>
  </si>
  <si>
    <t>run #97, 2018 SB</t>
  </si>
  <si>
    <t>BA park #396</t>
  </si>
  <si>
    <t>BA park #395</t>
  </si>
  <si>
    <t>run #232, park #232</t>
  </si>
  <si>
    <t>295th run at Reading</t>
  </si>
  <si>
    <t>1st run at Black Park this year</t>
  </si>
  <si>
    <t>1st parkrun since 2014</t>
  </si>
  <si>
    <t>run #246, 3rd at Northala</t>
  </si>
  <si>
    <t>run #5, 1st at Northala</t>
  </si>
  <si>
    <t>run #139, 9th at Watford</t>
  </si>
  <si>
    <t>BA park #397</t>
  </si>
  <si>
    <t>BA park #394</t>
  </si>
  <si>
    <t>Renton (Seattle)</t>
  </si>
  <si>
    <t>run #350, M-3</t>
  </si>
  <si>
    <t>31 runners, week 20</t>
  </si>
  <si>
    <t xml:space="preserve">Bushy Park </t>
  </si>
  <si>
    <t>run #204, 24th at Crane</t>
  </si>
  <si>
    <t>run #56, 53rd at Woking</t>
  </si>
  <si>
    <t>Renton</t>
  </si>
  <si>
    <t>Pacific time</t>
  </si>
  <si>
    <t>REN</t>
  </si>
  <si>
    <t>WA</t>
  </si>
  <si>
    <t>1st run at Hastings, clubrec(M)</t>
  </si>
  <si>
    <t>1st run at Hastings.</t>
  </si>
  <si>
    <t>CLA</t>
  </si>
  <si>
    <t>Kerstin Luksch who transfered to Ealing Eagles in December 2014 but records maintained until 17 March 2018</t>
  </si>
  <si>
    <t>Cuerden V</t>
  </si>
  <si>
    <t>run #290, park #223</t>
  </si>
  <si>
    <t>1st run at Gladstone, park #51</t>
  </si>
  <si>
    <t>run #305, park #94</t>
  </si>
  <si>
    <t>Billericay (96)</t>
  </si>
  <si>
    <t>Hoffman/Newell</t>
  </si>
  <si>
    <t>run #306, park #95</t>
  </si>
  <si>
    <t>run #93, 83rd at Harrow</t>
  </si>
  <si>
    <t>tailwalker, "run" #98</t>
  </si>
  <si>
    <t>13th run at Bushy</t>
  </si>
  <si>
    <t>run #191, pacer (33' ?)</t>
  </si>
  <si>
    <t>296th run at Reading</t>
  </si>
  <si>
    <t>277th at Black Park</t>
  </si>
  <si>
    <t>run #7, 2nd at Frimley</t>
  </si>
  <si>
    <t>run #11, 4th at Frimley</t>
  </si>
  <si>
    <t>run #27, 2nd at Frimley</t>
  </si>
  <si>
    <t>run #502</t>
  </si>
  <si>
    <t>33" improvement from last week</t>
  </si>
  <si>
    <t>1st run at Pomphrey Hill</t>
  </si>
  <si>
    <t>Melksham (Wilts)</t>
  </si>
  <si>
    <t>Ruffles</t>
  </si>
  <si>
    <t>1st at Minehead, BA park #398</t>
  </si>
  <si>
    <t>1st run at Southsea, park #28</t>
  </si>
  <si>
    <t>BA park #399, park #74</t>
  </si>
  <si>
    <t>Victoria Dk</t>
  </si>
  <si>
    <t>park #27, club course record</t>
  </si>
  <si>
    <t>3 more new parks</t>
  </si>
  <si>
    <t>6.46 H&amp;C from Hammersmith (with bike), 7.30 Tfl rail  from Liverpool Street.  5 mile bike ride from Shenfield station</t>
  </si>
  <si>
    <t>first run since 2015</t>
  </si>
  <si>
    <t>Amy</t>
  </si>
  <si>
    <t>F-1, run #17</t>
  </si>
  <si>
    <t>Clapham Common/2</t>
  </si>
  <si>
    <t>GLC</t>
  </si>
  <si>
    <t>run 10, 3rd at Frimley</t>
  </si>
  <si>
    <t>FLX</t>
  </si>
  <si>
    <t>Felixstowe</t>
  </si>
  <si>
    <t>IP11 2AE</t>
  </si>
  <si>
    <t>102 miles by car</t>
  </si>
  <si>
    <t>62 miles by car</t>
  </si>
  <si>
    <t>M11, A120</t>
  </si>
  <si>
    <t>run #19, 13th at Cardiff</t>
  </si>
  <si>
    <t>run #503, fastest this year so far</t>
  </si>
  <si>
    <t>run #352, 58th at Crane Park</t>
  </si>
  <si>
    <t>run #107, 58th at Maidenhead</t>
  </si>
  <si>
    <t>run #126, 60th at Maidenhead</t>
  </si>
  <si>
    <t>Jacqui Musselwhite</t>
  </si>
  <si>
    <t>1st parkrun of 2018</t>
  </si>
  <si>
    <t>run #192, 126th at Bedfont</t>
  </si>
  <si>
    <t>run #428, 259th at Bedfont</t>
  </si>
  <si>
    <t>run #307, BA park #402</t>
  </si>
  <si>
    <t>run #248, 168th at Bedfont</t>
  </si>
  <si>
    <t>run #247, 207th at Bedfont</t>
  </si>
  <si>
    <t>Worthing, Billericay</t>
  </si>
  <si>
    <t>run #303, 278th at Black Park</t>
  </si>
  <si>
    <t>run #99, 85th at Harrow</t>
  </si>
  <si>
    <t>run #163, 77th at Wycombe</t>
  </si>
  <si>
    <t>run #83, 2018 sb</t>
  </si>
  <si>
    <t>run #6, course pb</t>
  </si>
  <si>
    <t>run #113, 62nd at Maidenhead</t>
  </si>
  <si>
    <t>10th run at Watford</t>
  </si>
  <si>
    <t>run #292, Bapark #401</t>
  </si>
  <si>
    <t>equals MV60 age cat rec</t>
  </si>
  <si>
    <t>1st run at Hazelwood</t>
  </si>
  <si>
    <t>run #93, 51st at Woking</t>
  </si>
  <si>
    <t>3rd consecutive at Hazelwood</t>
  </si>
  <si>
    <t>train/bike</t>
  </si>
  <si>
    <t>1st run this year, since kidney operation</t>
  </si>
  <si>
    <t>Stiles-Chalk</t>
  </si>
  <si>
    <t>A316, M3, A331</t>
  </si>
  <si>
    <t>45 miles by car</t>
  </si>
  <si>
    <t>Hogmoor Inclosure</t>
  </si>
  <si>
    <t>or train to Clapham Jct and walk.</t>
  </si>
  <si>
    <t>Catford (Mountsfield Park)</t>
  </si>
  <si>
    <t>Clapham Common(97)</t>
  </si>
  <si>
    <t>Eden Project</t>
  </si>
  <si>
    <t>EDE</t>
  </si>
  <si>
    <t>run #249, park #45</t>
  </si>
  <si>
    <t>run #223, 1st at Clap Comm</t>
  </si>
  <si>
    <t>Parke(Bovey Tracey)</t>
  </si>
  <si>
    <t>run #94, 8th at Ricky</t>
  </si>
  <si>
    <t>run #167, 137th at Bedfont</t>
  </si>
  <si>
    <t>run #307, 258th at Bedfont</t>
  </si>
  <si>
    <t>run #123, 36th at Rushmoor</t>
  </si>
  <si>
    <t>run #353, 59th at Crane</t>
  </si>
  <si>
    <t>Jamaica Pond(BOS)</t>
  </si>
  <si>
    <t>in Boston for Marathon</t>
  </si>
  <si>
    <t>3rd run in SFO</t>
  </si>
  <si>
    <t>run #71, 43rd at Rushmoor</t>
  </si>
  <si>
    <t>and token sorting</t>
  </si>
  <si>
    <t>Lon-done status restored</t>
  </si>
  <si>
    <t>Stornoway !</t>
  </si>
  <si>
    <t>Gunnersbury 125</t>
  </si>
  <si>
    <t>park #225, BA park #400</t>
  </si>
  <si>
    <t>1st run at Eden, BA park #403</t>
  </si>
  <si>
    <t>run #324, 2018 sb</t>
  </si>
  <si>
    <t>run #189, 2018 sb</t>
  </si>
  <si>
    <t>run #232, 28th at Crane</t>
  </si>
  <si>
    <t>run #84, 53rd at Northala</t>
  </si>
  <si>
    <t>run #504</t>
  </si>
  <si>
    <t>run #45, 40th at March</t>
  </si>
  <si>
    <t>first run at Coventry for 5 years</t>
  </si>
  <si>
    <t>1st Parke parkrun, park #36</t>
  </si>
  <si>
    <t>run #164, 13th at Ricky</t>
  </si>
  <si>
    <t>run #378, 297th at Reading</t>
  </si>
  <si>
    <t>Dan</t>
  </si>
  <si>
    <t>Former members who participated in parkrun (not maintained after resignation)</t>
  </si>
  <si>
    <t>SVG</t>
  </si>
  <si>
    <t>Stavanger</t>
  </si>
  <si>
    <t>start 21 April 18</t>
  </si>
  <si>
    <t>TOY</t>
  </si>
  <si>
    <t>Toyen Oslo</t>
  </si>
  <si>
    <t>CAF</t>
  </si>
  <si>
    <t>Catford</t>
  </si>
  <si>
    <t>2nd run at Hazelwood</t>
  </si>
  <si>
    <t>run #95, 84th at Harrow</t>
  </si>
  <si>
    <t>1st run at Hogmoor</t>
  </si>
  <si>
    <t>60th run at Crane Park</t>
  </si>
  <si>
    <t>3rd run at Northala Fields</t>
  </si>
  <si>
    <t>54th run at Woking</t>
  </si>
  <si>
    <t>run #505, 273rd at Gunnersbury</t>
  </si>
  <si>
    <t>record attendance of 575</t>
  </si>
  <si>
    <t>Toyen</t>
  </si>
  <si>
    <t>Toyen (Oslo)</t>
  </si>
  <si>
    <t>Barclay/Watt</t>
  </si>
  <si>
    <t>BA park #404</t>
  </si>
  <si>
    <t>BA park #405</t>
  </si>
  <si>
    <t>first run in Norway, park #227</t>
  </si>
  <si>
    <t>run #194 plus volunteering</t>
  </si>
  <si>
    <t>run #311</t>
  </si>
  <si>
    <t>club course rec, park #75</t>
  </si>
  <si>
    <t>run #379</t>
  </si>
  <si>
    <t>run #305, Black Park sw(!)</t>
  </si>
  <si>
    <t>run #115, 4th at Wycombe</t>
  </si>
  <si>
    <t>run #17, 6th this year (!)</t>
  </si>
  <si>
    <t>250th parkrun</t>
  </si>
  <si>
    <t>run #165, 14th at Ricky</t>
  </si>
  <si>
    <t>attendance 445 only exceeded by inaugural in 2017 and New Year's Day 2018</t>
  </si>
  <si>
    <t>run #85, 2018 sb</t>
  </si>
  <si>
    <t>WNY</t>
  </si>
  <si>
    <t>66 miles by road</t>
  </si>
  <si>
    <t>79 miles by road</t>
  </si>
  <si>
    <t>66 miles by road (M23, -jct 11, ecotricity at Pease Pottage)</t>
  </si>
  <si>
    <t>Oslo, Hogmoor</t>
  </si>
  <si>
    <t>1st run at Hazelwood, club rec</t>
  </si>
  <si>
    <t>Catford (98)</t>
  </si>
  <si>
    <t>Hazelwood 2</t>
  </si>
  <si>
    <t>Gunnersbury 126</t>
  </si>
  <si>
    <t>Hogmoor</t>
  </si>
  <si>
    <t>Zara</t>
  </si>
  <si>
    <t>Thorn</t>
  </si>
  <si>
    <t>LonDone maintained, park #98</t>
  </si>
  <si>
    <t>age cat rec !</t>
  </si>
  <si>
    <t>run #101, 87th at Harrow</t>
  </si>
  <si>
    <t>Mills</t>
  </si>
  <si>
    <t>started 28th April 2018</t>
  </si>
  <si>
    <t>run #19, all at Bedfont Lakes</t>
  </si>
  <si>
    <t>1st run at Osterley, club rec(F)</t>
  </si>
  <si>
    <t>run #355, 61st at Crane</t>
  </si>
  <si>
    <t>run #109, 59th at Maidenhead</t>
  </si>
  <si>
    <t>run #128, 61st at Maidenhead</t>
  </si>
  <si>
    <t>run #99, 1st at Hampstead</t>
  </si>
  <si>
    <t>Richard Ruffell holds club rec with 22:24</t>
  </si>
  <si>
    <t>run #73, 1st at Osterley</t>
  </si>
  <si>
    <t>run #59, 55th at Woking</t>
  </si>
  <si>
    <t>run #289, 6th at Hazelwood</t>
  </si>
  <si>
    <t>Hasenheide (BER)</t>
  </si>
  <si>
    <t>run #46, 2nd at Hasenheide</t>
  </si>
  <si>
    <t>finish token sorting &amp; run report</t>
  </si>
  <si>
    <t>run #188, 53rd at Braunstone</t>
  </si>
  <si>
    <t>run #506</t>
  </si>
  <si>
    <t>Tracey</t>
  </si>
  <si>
    <t>run #86, 55th at Northala</t>
  </si>
  <si>
    <t>run #191, 162nd at Crane</t>
  </si>
  <si>
    <t>run #16, first run of 2018</t>
  </si>
  <si>
    <t>run #95, 2018 sb</t>
  </si>
  <si>
    <t>run #93, 24th at Rickmansworth</t>
  </si>
  <si>
    <t>run #28, 2nd at Rickmansworth</t>
  </si>
  <si>
    <t>BA park #406</t>
  </si>
  <si>
    <t>299th run at Reading</t>
  </si>
  <si>
    <t>former member, now with Watford</t>
  </si>
  <si>
    <t>Catford (Mountsfield)</t>
  </si>
  <si>
    <t>Clifton (Nottingham)</t>
  </si>
  <si>
    <t>BEV</t>
  </si>
  <si>
    <t>Bevendean Down (Brighton)</t>
  </si>
  <si>
    <t>59 miles by car</t>
  </si>
  <si>
    <t>(M23, -jct 11, ecotricity at Pease Pottage)</t>
  </si>
  <si>
    <t>HOC</t>
  </si>
  <si>
    <t>Great Dunmow</t>
  </si>
  <si>
    <t>CM6 2AT</t>
  </si>
  <si>
    <t>53 miles by road, A406, M11, A120</t>
  </si>
  <si>
    <t>49 miles by road  (A13)</t>
  </si>
  <si>
    <t>SWF</t>
  </si>
  <si>
    <t>1 lap including an out and back spur</t>
  </si>
  <si>
    <t>Kay</t>
  </si>
  <si>
    <t>Trinder</t>
  </si>
  <si>
    <t>run #95, 76th at Woking</t>
  </si>
  <si>
    <t xml:space="preserve">Kay </t>
  </si>
  <si>
    <t>125th run at Gunnersbury</t>
  </si>
  <si>
    <t>275th run at Gunnersbury</t>
  </si>
  <si>
    <t>run #251, 23rd at Crane</t>
  </si>
  <si>
    <t>run #192, 2018 sb at Crane</t>
  </si>
  <si>
    <t>62nd run at Crane</t>
  </si>
  <si>
    <t>run #33, first this year</t>
  </si>
  <si>
    <t xml:space="preserve">run #251 </t>
  </si>
  <si>
    <t>attendance exactly 250 for 2nd time in a fortnight</t>
  </si>
  <si>
    <t>run #280, course pb</t>
  </si>
  <si>
    <t>1st run at Frimley, park #28</t>
  </si>
  <si>
    <t>1st parkrun this year</t>
  </si>
  <si>
    <t>New member, run #6</t>
  </si>
  <si>
    <t>duplicate result ?</t>
  </si>
  <si>
    <t>age grade best at Tring</t>
  </si>
  <si>
    <t>Sixfields Upton</t>
  </si>
  <si>
    <t>1st run at Sixfields, park #94</t>
  </si>
  <si>
    <t>1st run at Mole Valley, club rec(F)</t>
  </si>
  <si>
    <t>1st run at Hogmoor, park #27</t>
  </si>
  <si>
    <t xml:space="preserve">club record </t>
  </si>
  <si>
    <t>1st run at Victoria Dock</t>
  </si>
  <si>
    <t>F-2, run #96, new member</t>
  </si>
  <si>
    <t>1st run at Bracknell, park #26</t>
  </si>
  <si>
    <t>1st run at Hampstead Heath</t>
  </si>
  <si>
    <t>run #86, 40th at Black Park</t>
  </si>
  <si>
    <t>run #60, 56th at Woking</t>
  </si>
  <si>
    <t>walk or run #295</t>
  </si>
  <si>
    <t>run #287, park #68</t>
  </si>
  <si>
    <t>cancellation last week has caused a glitch</t>
  </si>
  <si>
    <t>PRO</t>
  </si>
  <si>
    <t>Prospect Park (Reading)</t>
  </si>
  <si>
    <t>Prospect Park</t>
  </si>
  <si>
    <t>RG30 2ND</t>
  </si>
  <si>
    <t>local MP</t>
  </si>
  <si>
    <t>Dartford Heath</t>
  </si>
  <si>
    <t>DA1 2TN</t>
  </si>
  <si>
    <t>DAH</t>
  </si>
  <si>
    <t>outside London, inside M25</t>
  </si>
  <si>
    <t>Train to Crayford or Dartford with bike</t>
  </si>
  <si>
    <t>Dartford-Kent</t>
  </si>
  <si>
    <t>Dartford -  Kent</t>
  </si>
  <si>
    <t>Dartford Hth</t>
  </si>
  <si>
    <t>run #235, course pb</t>
  </si>
  <si>
    <t>park #238</t>
  </si>
  <si>
    <t>Harrow parkrun 3rd anniversary</t>
  </si>
  <si>
    <t>DUD</t>
  </si>
  <si>
    <t>Dudley</t>
  </si>
  <si>
    <t>run #190, park #95</t>
  </si>
  <si>
    <t>run #97, 78th at Woking</t>
  </si>
  <si>
    <t>run #168, 138th at Bedfont</t>
  </si>
  <si>
    <t>run #311, 259th at Bedfont</t>
  </si>
  <si>
    <t>run#126, 37th at Rushmoor</t>
  </si>
  <si>
    <t>run #357, 63rd at Crane</t>
  </si>
  <si>
    <t>run #111, 6th at Wycombe</t>
  </si>
  <si>
    <t>run #130, 8th at Wycombe</t>
  </si>
  <si>
    <r>
      <t xml:space="preserve">run #100, </t>
    </r>
    <r>
      <rPr>
        <sz val="9"/>
        <rFont val="Arial"/>
        <family val="2"/>
      </rPr>
      <t>equals 2018 best</t>
    </r>
  </si>
  <si>
    <t>Cirencester</t>
  </si>
  <si>
    <t>first run at Cirencester</t>
  </si>
  <si>
    <t>CIR</t>
  </si>
  <si>
    <t>run #74, 44th at Rushmoor</t>
  </si>
  <si>
    <t>run #206, 146th at Bedfont</t>
  </si>
  <si>
    <t>1390 runners, won by Bradley Goater in 14:52 first under 15 min this year.  He also holds record at Cranleigh 15:08</t>
  </si>
  <si>
    <t>run #328, 272nd at Bushy</t>
  </si>
  <si>
    <t>run #431</t>
  </si>
  <si>
    <t>run #198, plus puppy</t>
  </si>
  <si>
    <t>300th run at Reading</t>
  </si>
  <si>
    <t>run #18, 15th at Hackney</t>
  </si>
  <si>
    <t>run 166, 15th at Rickmansworth</t>
  </si>
  <si>
    <t>over 400 runners (again)</t>
  </si>
  <si>
    <t>run #88, 19th at Gunnersbury</t>
  </si>
  <si>
    <t xml:space="preserve">Marion J </t>
  </si>
  <si>
    <t>run #65, 20th at Gunnersbury</t>
  </si>
  <si>
    <t>run #193, 164th at Crane</t>
  </si>
  <si>
    <t>run director 26th May</t>
  </si>
  <si>
    <t>run #247, first of 2018</t>
  </si>
  <si>
    <t>run #117, 64th at Maidenhead</t>
  </si>
  <si>
    <t>run #48, park #6, club rec(F)</t>
  </si>
  <si>
    <t>record attendance of 276</t>
  </si>
  <si>
    <t>GL7 6JS</t>
  </si>
  <si>
    <t>run #38, park #8</t>
  </si>
  <si>
    <t>run #87, park #29</t>
  </si>
  <si>
    <t>cfp, Cirencester, Dudley</t>
  </si>
  <si>
    <t xml:space="preserve">1st run of 2016 </t>
  </si>
  <si>
    <t>only 2nd run of 2016</t>
  </si>
  <si>
    <t>park #15, age cat rec</t>
  </si>
  <si>
    <t>Grovelands 2</t>
  </si>
  <si>
    <t>plan</t>
  </si>
  <si>
    <t>Sixfields</t>
  </si>
  <si>
    <t>Clumber</t>
  </si>
  <si>
    <t>Sarah Gordon 36:17</t>
  </si>
  <si>
    <t>Jain</t>
  </si>
  <si>
    <t>Reid</t>
  </si>
  <si>
    <t>Members not showing up on parkrun</t>
  </si>
  <si>
    <t>Kay Trinder</t>
  </si>
  <si>
    <t>Anne Bannister</t>
  </si>
  <si>
    <t>Bob Bannister</t>
  </si>
  <si>
    <t>Lissa Pritchard</t>
  </si>
  <si>
    <t>Dave Bird</t>
  </si>
  <si>
    <t>Maureen McCabe</t>
  </si>
  <si>
    <t>Zoe Ostley</t>
  </si>
  <si>
    <t>Zara Thorn</t>
  </si>
  <si>
    <t>Jain Reid</t>
  </si>
  <si>
    <t>Maria Jovani</t>
  </si>
  <si>
    <t>Datchet Dashers</t>
  </si>
  <si>
    <t>Cirencester AC</t>
  </si>
  <si>
    <t>Paul Timms (associate member) is also a member of Cirencester AC formerly with Stroud &amp; District AC</t>
  </si>
  <si>
    <t>Ayee</t>
  </si>
  <si>
    <t>Tavares</t>
  </si>
  <si>
    <t>Royal Wedding/GBR</t>
  </si>
  <si>
    <t>joined the club four days later</t>
  </si>
  <si>
    <t>Maria Jovani 21:17</t>
  </si>
  <si>
    <t>run #312</t>
  </si>
  <si>
    <t>Wetherby</t>
  </si>
  <si>
    <t>run #169, 139th at Bedfont</t>
  </si>
  <si>
    <t>age cat record, club rec(F)</t>
  </si>
  <si>
    <t>run #101, 18th at Osterley</t>
  </si>
  <si>
    <t>course pb, club rec</t>
  </si>
  <si>
    <t>1st run  at Woking</t>
  </si>
  <si>
    <t>run #61, parkrun pb</t>
  </si>
  <si>
    <t>club rec (F), 17th run at Old Deer</t>
  </si>
  <si>
    <t>Ayee Tavares</t>
  </si>
  <si>
    <t>run #191, 54th at Braunstone</t>
  </si>
  <si>
    <t>20th run at Gunnersbury</t>
  </si>
  <si>
    <t>run #48, 25th at Gunnersbury</t>
  </si>
  <si>
    <t>run #509</t>
  </si>
  <si>
    <t>run #297, 1st run at Henley</t>
  </si>
  <si>
    <t>run #236, 2018 best at Crane</t>
  </si>
  <si>
    <t>run #194, 2018 best at Crane</t>
  </si>
  <si>
    <t>best parkrun of 2018</t>
  </si>
  <si>
    <t>run #7, course pb</t>
  </si>
  <si>
    <t>1st run at Wetherby, parkrun pb</t>
  </si>
  <si>
    <t>4th run at Clover Point (BC)</t>
  </si>
  <si>
    <t>9th run at Hazelwood</t>
  </si>
  <si>
    <t>Prospect (Reading)</t>
  </si>
  <si>
    <t>1st run at Prospect (Reading)</t>
  </si>
  <si>
    <t>WET</t>
  </si>
  <si>
    <t>Alastair Heslop</t>
  </si>
  <si>
    <t>Woodhousemoor</t>
  </si>
  <si>
    <t>Prospect</t>
  </si>
  <si>
    <t>run #49, powerwalking !</t>
  </si>
  <si>
    <t>park #229</t>
  </si>
  <si>
    <t>BA park #411</t>
  </si>
  <si>
    <t>BA park #410</t>
  </si>
  <si>
    <t>East</t>
  </si>
  <si>
    <t>Swaffham</t>
  </si>
  <si>
    <t>PE37 7DZ</t>
  </si>
  <si>
    <t>starts 26 May 2018</t>
  </si>
  <si>
    <t>Sandwell Valley (West Bromwich)</t>
  </si>
  <si>
    <t xml:space="preserve">Short </t>
  </si>
  <si>
    <t>1201 finishers</t>
  </si>
  <si>
    <t>age grade improvement</t>
  </si>
  <si>
    <t>3rd run at Homewood</t>
  </si>
  <si>
    <t>best since Sept 2017</t>
  </si>
  <si>
    <t>park #230</t>
  </si>
  <si>
    <t>1st run at Sheringham</t>
  </si>
  <si>
    <t>Renton (SEA)</t>
  </si>
  <si>
    <t>10th run at Hazelwood</t>
  </si>
  <si>
    <t>Sth Woodham Ferrers</t>
  </si>
  <si>
    <t>park #231</t>
  </si>
  <si>
    <t>Katherine</t>
  </si>
  <si>
    <t>first parkrun since 2011</t>
  </si>
  <si>
    <t>Stather (Henville)</t>
  </si>
  <si>
    <t>37' pacer mentor</t>
  </si>
  <si>
    <t>11th run at Hazelwood</t>
  </si>
  <si>
    <t>140th run at Bedfont</t>
  </si>
  <si>
    <t>262nd run at Bedfont</t>
  </si>
  <si>
    <t>run #208, 3rd at Homewood</t>
  </si>
  <si>
    <t>run #99, 88th at Harrow</t>
  </si>
  <si>
    <t>S Woodham Ferrers</t>
  </si>
  <si>
    <t>Roma Pineto</t>
  </si>
  <si>
    <t>park #99, Bapark #413</t>
  </si>
  <si>
    <t>run #230, Bapark #412</t>
  </si>
  <si>
    <t>park #76, club course record</t>
  </si>
  <si>
    <t>S Woodham Fers(99)</t>
  </si>
  <si>
    <t>run #434</t>
  </si>
  <si>
    <t>run #20, all at Bedfont Lakes</t>
  </si>
  <si>
    <t>first parkrun of 2018</t>
  </si>
  <si>
    <t>best at Braunstone in 2018</t>
  </si>
  <si>
    <t>run #330, 274th at Bushy</t>
  </si>
  <si>
    <t>run #384, 302nd at Reading</t>
  </si>
  <si>
    <t>1st parkrun 2/6/07.  11 years to do first 50 runs</t>
  </si>
  <si>
    <r>
      <t xml:space="preserve">run #50, </t>
    </r>
    <r>
      <rPr>
        <sz val="9"/>
        <rFont val="Arial"/>
        <family val="2"/>
      </rPr>
      <t>27th at Gunnersbury</t>
    </r>
  </si>
  <si>
    <t>run #195, 166th at Crane</t>
  </si>
  <si>
    <t>run #511</t>
  </si>
  <si>
    <t>run #17, all at Riddlesdown</t>
  </si>
  <si>
    <t>1st parkrun 7/7/07</t>
  </si>
  <si>
    <t>puts her 6th out of 301 in her age group at Torbay</t>
  </si>
  <si>
    <t>1st parkrun 12/4/08</t>
  </si>
  <si>
    <t>Gunnersbury 127</t>
  </si>
  <si>
    <t>Mole Valley (100)</t>
  </si>
  <si>
    <t>Maria Jovani in Rome</t>
  </si>
  <si>
    <t>Dartford Heath (101)</t>
  </si>
  <si>
    <t>Outside London, Inside M25</t>
  </si>
  <si>
    <t>Umhlanga</t>
  </si>
  <si>
    <t>best parkrun this year so far</t>
  </si>
  <si>
    <t>run #512, 279th at Gunnersbury</t>
  </si>
  <si>
    <t>run #314, 127th at Gunnersbury</t>
  </si>
  <si>
    <t>1st stroll at Umhlanga</t>
  </si>
  <si>
    <t>UMH</t>
  </si>
  <si>
    <t>Umhlanga (ZA)</t>
  </si>
  <si>
    <t>Umhlanga (KwaZulu Natal)</t>
  </si>
  <si>
    <t>N Beach (Durban)</t>
  </si>
  <si>
    <t>run #104, 90th at Harrow</t>
  </si>
  <si>
    <t>run #315, 263rd at Bedfont</t>
  </si>
  <si>
    <t>run #114, 62nd at Maidenhead</t>
  </si>
  <si>
    <t>run #133, 64th at Maidenhead</t>
  </si>
  <si>
    <t>run #77, 4th at Woking</t>
  </si>
  <si>
    <t>run #209, 147th at Bedfont</t>
  </si>
  <si>
    <t xml:space="preserve">Oliver </t>
  </si>
  <si>
    <t xml:space="preserve">run #51 </t>
  </si>
  <si>
    <t>run #239, 14th at Bushy</t>
  </si>
  <si>
    <t>run #171, tailwalker</t>
  </si>
  <si>
    <t>run #199,sb at Bedfont Lakes</t>
  </si>
  <si>
    <t>run #256,sb at Bedfont Lakes</t>
  </si>
  <si>
    <t>12th consecutive week at Hazelwood</t>
  </si>
  <si>
    <t>run #249, 162nd at Reading</t>
  </si>
  <si>
    <t>run #167, 78th at Wycombe</t>
  </si>
  <si>
    <t>park #29, club record</t>
  </si>
  <si>
    <t>run #194, park #96</t>
  </si>
  <si>
    <t>run #300,1st at Bedworth, club rec</t>
  </si>
  <si>
    <t>age cat record (W55)</t>
  </si>
  <si>
    <t>first run at Woking this year</t>
  </si>
  <si>
    <t>Gunnersbury 128</t>
  </si>
  <si>
    <t>Finsbury Park 2</t>
  </si>
  <si>
    <t>Richard Seabrook</t>
  </si>
  <si>
    <t>David Ransom</t>
  </si>
  <si>
    <t>Pocket (St Neots)</t>
  </si>
  <si>
    <t>PE19 2SA</t>
  </si>
  <si>
    <t>two laps starts 16 June 18</t>
  </si>
  <si>
    <t>about 70 miles by road, quite close to A1</t>
  </si>
  <si>
    <t>ChrisK at Umhlanga</t>
  </si>
  <si>
    <t>2nd ever run at Grovelands</t>
  </si>
  <si>
    <t>run #386, 303rd at Reading</t>
  </si>
  <si>
    <t>run #18, all at Riddlesdown</t>
  </si>
  <si>
    <t>best at Wycombe in 2018</t>
  </si>
  <si>
    <t>run #196, 167th at Crane</t>
  </si>
  <si>
    <t>run #301, 6th at Crane</t>
  </si>
  <si>
    <t>run #240, 5th at Osterley</t>
  </si>
  <si>
    <t>Barry Walters 22:00</t>
  </si>
  <si>
    <t>club record, park #63</t>
  </si>
  <si>
    <t>club record(M), park #61</t>
  </si>
  <si>
    <t>run #513</t>
  </si>
  <si>
    <t>run #130, 38th at Rushmoor</t>
  </si>
  <si>
    <t>3rd out of 185 in new age group rankings</t>
  </si>
  <si>
    <t>run #78, 45th at Rushmoor</t>
  </si>
  <si>
    <t>2nd out of 13 in age group rankings</t>
  </si>
  <si>
    <t>18th run at Old Deer Park</t>
  </si>
  <si>
    <t>run #115, 2nd at Black Park</t>
  </si>
  <si>
    <t>run #134, 2nd at Black Park</t>
  </si>
  <si>
    <t>run #210, 1st at Osterley</t>
  </si>
  <si>
    <t>F-4, run #101, club rec (F)</t>
  </si>
  <si>
    <t>90th run at Harrow</t>
  </si>
  <si>
    <t xml:space="preserve">best at Northala in 2018 </t>
  </si>
  <si>
    <t>park #29</t>
  </si>
  <si>
    <t>park #28</t>
  </si>
  <si>
    <r>
      <t xml:space="preserve">All </t>
    </r>
    <r>
      <rPr>
        <b/>
        <sz val="10"/>
        <rFont val="Arial"/>
        <family val="2"/>
      </rPr>
      <t>2018 result</t>
    </r>
    <r>
      <rPr>
        <sz val="10"/>
        <rFont val="Arial"/>
        <family val="2"/>
      </rPr>
      <t>s</t>
    </r>
  </si>
  <si>
    <t>Current members</t>
  </si>
  <si>
    <t>UK parkrun totals by region</t>
  </si>
  <si>
    <t>Greater London</t>
  </si>
  <si>
    <t>junior runs</t>
  </si>
  <si>
    <t>Acton, Barking &amp; Dagenham, Brockwell, Bromley, Bushy, Crystal Palace, Eltham, Friary Park, Hanworth, Harrow Lodge, Highbry Fields, Hilly Fields,</t>
  </si>
  <si>
    <t>Laleham, Lesnes Abbey Woods, Lloyd, London Fields, Mile End, Moormead, Osterley, Pitshanger, Priory Park, Queens Park, Surbiton, Wimbledon Park</t>
  </si>
  <si>
    <t>North East England</t>
  </si>
  <si>
    <t>North West England</t>
  </si>
  <si>
    <t>Northern Ireland</t>
  </si>
  <si>
    <t>South East England</t>
  </si>
  <si>
    <t>South West England</t>
  </si>
  <si>
    <t>Yorkshire &amp; Humber</t>
  </si>
  <si>
    <t>Abingdon parkrun</t>
  </si>
  <si>
    <t>Alice Holt parkrun</t>
  </si>
  <si>
    <t>Andover junior parkrun</t>
  </si>
  <si>
    <t>Andover parkrun</t>
  </si>
  <si>
    <t>Ashford junior parkrun</t>
  </si>
  <si>
    <t>Ashford parkrun</t>
  </si>
  <si>
    <t>Aylesbury junior parkrun</t>
  </si>
  <si>
    <t>Aylesbury parkrun</t>
  </si>
  <si>
    <t>Banbury parkrun</t>
  </si>
  <si>
    <t>Banstead Woods parkrun</t>
  </si>
  <si>
    <t>Basingstoke junior parkrun</t>
  </si>
  <si>
    <t>Basingstoke parkrun</t>
  </si>
  <si>
    <t>Bedgebury Pinetum parkrun</t>
  </si>
  <si>
    <t>Betteshanger junior parkrun</t>
  </si>
  <si>
    <t>Bevendean Down parkrun</t>
  </si>
  <si>
    <t>Bicester parkrun</t>
  </si>
  <si>
    <t>Black Park parkrun</t>
  </si>
  <si>
    <t>Bognor Regis junior parkrun</t>
  </si>
  <si>
    <t>Bognor Regis parkrun</t>
  </si>
  <si>
    <t>Bracknell junior parkrun</t>
  </si>
  <si>
    <t>Bracknell parkrun</t>
  </si>
  <si>
    <t>Brighton &amp; Hove parkrun</t>
  </si>
  <si>
    <t>Brockenhurst parkrun</t>
  </si>
  <si>
    <t>Buckingham junior parkrun</t>
  </si>
  <si>
    <t>Buckingham parkrun</t>
  </si>
  <si>
    <t>Canterbury parkrun</t>
  </si>
  <si>
    <t>Chichester junior parkrun</t>
  </si>
  <si>
    <t>Chichester parkrun</t>
  </si>
  <si>
    <t>Clacton junior parkrun</t>
  </si>
  <si>
    <t>Clair parkrun</t>
  </si>
  <si>
    <t>Cranleigh junior parkrun</t>
  </si>
  <si>
    <t>Cranleigh parkrun</t>
  </si>
  <si>
    <t>Dartford Heath parkrun</t>
  </si>
  <si>
    <t>Dartford junior parkrun</t>
  </si>
  <si>
    <t>Dartford parkrun</t>
  </si>
  <si>
    <t>Didcot parkrun</t>
  </si>
  <si>
    <t>Dover junior parkrun</t>
  </si>
  <si>
    <t>East Grinstead parkrun</t>
  </si>
  <si>
    <t>Eastbourne junior parkrun</t>
  </si>
  <si>
    <t>Eastbourne parkrun</t>
  </si>
  <si>
    <t>Eastleigh parkrun</t>
  </si>
  <si>
    <t>Eastney junior parkrun</t>
  </si>
  <si>
    <t>Fareham parkrun</t>
  </si>
  <si>
    <t>Folkestone parkrun</t>
  </si>
  <si>
    <t>Frimley Lodge parkrun</t>
  </si>
  <si>
    <t>Goudhurst junior parkrun</t>
  </si>
  <si>
    <t>Gravesend junior parkrun</t>
  </si>
  <si>
    <t>Great Lines parkrun, Medway</t>
  </si>
  <si>
    <t>Guildford junior parkrun</t>
  </si>
  <si>
    <t>Guildford parkrun</t>
  </si>
  <si>
    <t>Harcourt Hill junior parkrun</t>
  </si>
  <si>
    <t>Harcourt Hill parkrun</t>
  </si>
  <si>
    <t>Hastings parkrun</t>
  </si>
  <si>
    <t>Havant parkrun</t>
  </si>
  <si>
    <t>Haywards Heath junior parkrun</t>
  </si>
  <si>
    <t>Hazelwood parkrun</t>
  </si>
  <si>
    <t>Henley-on-Thames parkrun</t>
  </si>
  <si>
    <t>Hogmoor Inclosure parkrun</t>
  </si>
  <si>
    <t>Homewood parkrun</t>
  </si>
  <si>
    <t>Horsham junior parkrun</t>
  </si>
  <si>
    <t>Horsham parkrun</t>
  </si>
  <si>
    <t>Hove Promenade parkrun</t>
  </si>
  <si>
    <t>Lee-on-the-Solent parkrun</t>
  </si>
  <si>
    <t>Linford Wood parkrun</t>
  </si>
  <si>
    <t>Lullingstone parkrun</t>
  </si>
  <si>
    <t>Lymington Woodside parkrun</t>
  </si>
  <si>
    <t>Maidenhead parkrun</t>
  </si>
  <si>
    <t>Maidstone parkrun</t>
  </si>
  <si>
    <t>Malling parkrun</t>
  </si>
  <si>
    <t>Manor Park junior parkrun</t>
  </si>
  <si>
    <t>Margate junior parkrun</t>
  </si>
  <si>
    <t>Margate parkrun</t>
  </si>
  <si>
    <t>Medina I.O.W junior parkrun</t>
  </si>
  <si>
    <t>Medina I.O.W. parkrun</t>
  </si>
  <si>
    <t>Medway junior parkrun</t>
  </si>
  <si>
    <t>Milton Keynes junior parkrun</t>
  </si>
  <si>
    <t>Milton Keynes parkrun</t>
  </si>
  <si>
    <t>Mole Valley parkrun</t>
  </si>
  <si>
    <t>Netley Abbey junior parkrun</t>
  </si>
  <si>
    <t>Netley Abbey parkrun</t>
  </si>
  <si>
    <t>New Milton junior parkrun</t>
  </si>
  <si>
    <t>Newbury parkrun</t>
  </si>
  <si>
    <t>Nonsuch junior parkrun</t>
  </si>
  <si>
    <t>Nonsuch parkrun</t>
  </si>
  <si>
    <t>Ockwells junior parkrun</t>
  </si>
  <si>
    <t>Oxford parkrun</t>
  </si>
  <si>
    <t>Park Wood junior parkrun</t>
  </si>
  <si>
    <t>Peacehaven junior parkrun</t>
  </si>
  <si>
    <t>Peacehaven parkrun</t>
  </si>
  <si>
    <t>Pegwell Bay parkrun</t>
  </si>
  <si>
    <t>Portsmouth Lakeside parkrun</t>
  </si>
  <si>
    <t>Preston Park junior parkrun, Brighton</t>
  </si>
  <si>
    <t>Preston Park parkrun, Brighton</t>
  </si>
  <si>
    <t>Prospect parkrun</t>
  </si>
  <si>
    <t>Queen Elizabeth parkrun</t>
  </si>
  <si>
    <t>Reading parkrun</t>
  </si>
  <si>
    <t>Reculver junior parkrun</t>
  </si>
  <si>
    <t>Reigate Priory junior parkrun</t>
  </si>
  <si>
    <t>Reigate Priory parkrun</t>
  </si>
  <si>
    <t>Royal Tunbridge Wells parkrun</t>
  </si>
  <si>
    <t>Rushmere parkrun</t>
  </si>
  <si>
    <t>Rushmoor parkrun</t>
  </si>
  <si>
    <t>Savill Garden junior parkrun</t>
  </si>
  <si>
    <t>Shorne Woods parkrun</t>
  </si>
  <si>
    <t>Sittingbourne parkrun</t>
  </si>
  <si>
    <t>Southampton junior parkrun</t>
  </si>
  <si>
    <t>Southampton parkrun</t>
  </si>
  <si>
    <t>Southsea parkrun</t>
  </si>
  <si>
    <t>Stokes Bay junior parkrun</t>
  </si>
  <si>
    <t>Tilgate junior parkrun</t>
  </si>
  <si>
    <t>Tilgate parkrun</t>
  </si>
  <si>
    <t>Tonbridge junior parkrun</t>
  </si>
  <si>
    <t>Tonbridge parkrun</t>
  </si>
  <si>
    <t>Upton Court parkrun</t>
  </si>
  <si>
    <t>Waterlooville junior parkrun</t>
  </si>
  <si>
    <t>Whiteley parkrun</t>
  </si>
  <si>
    <t>Whitstable junior parkrun</t>
  </si>
  <si>
    <t>Whitstable parkrun</t>
  </si>
  <si>
    <t>Winchester junior parkrun</t>
  </si>
  <si>
    <t>Winchester parkrun</t>
  </si>
  <si>
    <t>Witney parkrun</t>
  </si>
  <si>
    <t>Woking junior parkrun</t>
  </si>
  <si>
    <t>Woking parkrun</t>
  </si>
  <si>
    <t>Woodley junior parkrun</t>
  </si>
  <si>
    <t>Woodley parkrun</t>
  </si>
  <si>
    <t>Worthing parkrun</t>
  </si>
  <si>
    <t>Wycombe Rye junior parkrun</t>
  </si>
  <si>
    <t>Wycombe Rye parkrun</t>
  </si>
  <si>
    <t>Littleport</t>
  </si>
  <si>
    <t>1st run at Mole Valley, park #10</t>
  </si>
  <si>
    <t>1st run at Mole Valley, park #42</t>
  </si>
  <si>
    <t>1st run at Mole Valley, park #53</t>
  </si>
  <si>
    <t>1st run at Mole Valley, park #100</t>
  </si>
  <si>
    <t>1st run at Gunnersbury, park #21</t>
  </si>
  <si>
    <t>1st run at Gunnersbury, park #15</t>
  </si>
  <si>
    <t>run #514, 281st at Gunnersbury</t>
  </si>
  <si>
    <t>1st run at Hastings, club record (M)</t>
  </si>
  <si>
    <t>Julie Barclays holds club record with 22:03</t>
  </si>
  <si>
    <t>run #89, 7th at Upton Court</t>
  </si>
  <si>
    <t>Firenze</t>
  </si>
  <si>
    <t>inaugural, parkrun pb, park #3, BApark #417</t>
  </si>
  <si>
    <t>River Oaks (Ontario)</t>
  </si>
  <si>
    <t>ROO</t>
  </si>
  <si>
    <t>River Oaks (Oakville, Ontario)</t>
  </si>
  <si>
    <t>FIZ</t>
  </si>
  <si>
    <t>age grade rec</t>
  </si>
  <si>
    <t>run #387, best at Reading this year</t>
  </si>
  <si>
    <t>run #169, 16th at Rickmansworth</t>
  </si>
  <si>
    <t>run #302, park #233</t>
  </si>
  <si>
    <t>run #195, park #97</t>
  </si>
  <si>
    <t>best parkrun of 2018 so far</t>
  </si>
  <si>
    <t>3rd run at Bideford, course pb</t>
  </si>
  <si>
    <t>course pb, improves age cat rec (again)</t>
  </si>
  <si>
    <t>age cat rec (MV55)</t>
  </si>
  <si>
    <t>inaugural, age cat rec</t>
  </si>
  <si>
    <t>East Cambridgeshire</t>
  </si>
  <si>
    <t>Littleport (East Cambridgeshire)</t>
  </si>
  <si>
    <t>ON</t>
  </si>
  <si>
    <t>North</t>
  </si>
  <si>
    <t>LIP</t>
  </si>
  <si>
    <t xml:space="preserve">Littleport </t>
  </si>
  <si>
    <t>run #437, park #62, BApark #415</t>
  </si>
  <si>
    <t>run #318, park #64</t>
  </si>
  <si>
    <t>run #102, 9th at Rickmansworth</t>
  </si>
  <si>
    <t>via A3, A243, A24</t>
  </si>
  <si>
    <t>Three new parks,cfp</t>
  </si>
  <si>
    <t>run #211, 148th at Bedfont</t>
  </si>
  <si>
    <t>run #241, 153rd run at Bedfont</t>
  </si>
  <si>
    <t>run #200, 132nd at Bedfont</t>
  </si>
  <si>
    <t>Harry</t>
  </si>
  <si>
    <t>Tempan</t>
  </si>
  <si>
    <t>parkrun debut, MV90</t>
  </si>
  <si>
    <t xml:space="preserve">Newborough </t>
  </si>
  <si>
    <t>Anglesey inaugural (last week), run #153</t>
  </si>
  <si>
    <t>Anglesey inaugural (last week), run #165</t>
  </si>
  <si>
    <t>Fulham away at Cardiff</t>
  </si>
  <si>
    <t>46.5 miles by road, via A13, 57 milesvia North Circular</t>
  </si>
  <si>
    <t>New in Yorkshire</t>
  </si>
  <si>
    <t>Armley (30/6/18)</t>
  </si>
  <si>
    <t>park #37</t>
  </si>
  <si>
    <t>1st run at Gunnersbury, park  #77</t>
  </si>
  <si>
    <t>run #515, 282nd at Gunnersbury</t>
  </si>
  <si>
    <t>run #317, 128th at Gunnersbury</t>
  </si>
  <si>
    <t>run #13, 1st at Gunnersbury</t>
  </si>
  <si>
    <t>run #334, 276th at Bushy</t>
  </si>
  <si>
    <t>run #233, 115th at Bedfont</t>
  </si>
  <si>
    <t>run #170, 17th at Rickmansworth</t>
  </si>
  <si>
    <t>run #20, all at Riddlesdown</t>
  </si>
  <si>
    <t>run #258, 24th at Crane</t>
  </si>
  <si>
    <t>run #251, 78th at Woodley</t>
  </si>
  <si>
    <t>run #95, 60th at Northala</t>
  </si>
  <si>
    <t>1st run at Rising Sun, park #234</t>
  </si>
  <si>
    <t>1st run at Rising Sun, park #98, club rec(F)</t>
  </si>
  <si>
    <t>3rd run at Hazelwood, course pb</t>
  </si>
  <si>
    <t>run #102, 83rd at Woking, club rec(F)</t>
  </si>
  <si>
    <t>run #318, 1st run at Mole Valley, park #28</t>
  </si>
  <si>
    <t>run #132, 1st at Southsea</t>
  </si>
  <si>
    <t>run #360, 65th at Crane</t>
  </si>
  <si>
    <t>run #136, 65th at Maidenhead</t>
  </si>
  <si>
    <t>run #80, 1st at Southsea, club record</t>
  </si>
  <si>
    <t>1st stroll at Mole Valley</t>
  </si>
  <si>
    <t>run #34, 33rd at Richmond</t>
  </si>
  <si>
    <t>run #77, first parkrun of the year</t>
  </si>
  <si>
    <t>run #39, first at Guildford this year</t>
  </si>
  <si>
    <t>for further entries see "parks" worksheet</t>
  </si>
  <si>
    <t>run #242, course pb, improves club rec(F)</t>
  </si>
  <si>
    <t>run #438, course pb, improves club rec</t>
  </si>
  <si>
    <t>run #319, 2nd at Firenze</t>
  </si>
  <si>
    <t>plus Whitehaven</t>
  </si>
  <si>
    <t>plus Armley</t>
  </si>
  <si>
    <t>plus Cotsford Fields</t>
  </si>
  <si>
    <t>plus Littleport</t>
  </si>
  <si>
    <t>plas Newborough Forest</t>
  </si>
  <si>
    <t>DIP</t>
  </si>
  <si>
    <t>Christine</t>
  </si>
  <si>
    <t>Munden</t>
  </si>
  <si>
    <t>Christine Munden</t>
  </si>
  <si>
    <t>Christine Munden 30:37</t>
  </si>
  <si>
    <t>BSY</t>
  </si>
  <si>
    <t>Barnsley South Yorkshire  (Locke Park)</t>
  </si>
  <si>
    <t>Dinton Pastures</t>
  </si>
  <si>
    <t>Bordeaux Mandavit (suspended)</t>
  </si>
  <si>
    <t>TVH</t>
  </si>
  <si>
    <t>South Bank, QLD</t>
  </si>
  <si>
    <t>SBQ</t>
  </si>
  <si>
    <t>South Bank</t>
  </si>
  <si>
    <t>1st parkrun in Australia, BApark #418</t>
  </si>
  <si>
    <t>South Bank (Brisbane, QLD)</t>
  </si>
  <si>
    <t>run #335</t>
  </si>
  <si>
    <t>WV70</t>
  </si>
  <si>
    <t>run #147, M-5, course pb, club record</t>
  </si>
  <si>
    <t>run #121, 3rd at Bedfont</t>
  </si>
  <si>
    <t>Arnell</t>
  </si>
  <si>
    <t>2nd run at Bedfont, pb</t>
  </si>
  <si>
    <t xml:space="preserve">Bob </t>
  </si>
  <si>
    <t>best run at Reading this year</t>
  </si>
  <si>
    <t>1st run at Leamington</t>
  </si>
  <si>
    <t>1st run at Leamington, club rec(F)</t>
  </si>
  <si>
    <t>1st run at Ashford, BApark #419</t>
  </si>
  <si>
    <t>80th run at Wycombe</t>
  </si>
  <si>
    <t>run #197, 168th at Crane</t>
  </si>
  <si>
    <t>run #259, 25th at Crane</t>
  </si>
  <si>
    <t>1st run at Clapham, park #235</t>
  </si>
  <si>
    <t>run #361, 66th at Crane</t>
  </si>
  <si>
    <t>1st run at Gladstone, park #43</t>
  </si>
  <si>
    <t>run #137, 2nd at Gladstone</t>
  </si>
  <si>
    <t>run #213, 149th run at Bedfont</t>
  </si>
  <si>
    <t>run #318, 4th at Bushy</t>
  </si>
  <si>
    <t>45 runners over 80</t>
  </si>
  <si>
    <t>1st parkrun since joining</t>
  </si>
  <si>
    <t>MSI</t>
  </si>
  <si>
    <t>Bushy Park 4 ("80+")</t>
  </si>
  <si>
    <t>Ashford,South Bank</t>
  </si>
  <si>
    <t>Clapham C</t>
  </si>
  <si>
    <t>run #516, 211th at Bushy</t>
  </si>
  <si>
    <t>run #336, 26th this year</t>
  </si>
  <si>
    <t>run #34, 2nd this year</t>
  </si>
  <si>
    <t>Heartlands</t>
  </si>
  <si>
    <t>HEL</t>
  </si>
  <si>
    <t>run #321, 190th at Bedfont</t>
  </si>
  <si>
    <t>run #260, 217th at Bedfont</t>
  </si>
  <si>
    <t>run #261, 179th at Bedfont</t>
  </si>
  <si>
    <t>1st run at Frimley, club course record(F)</t>
  </si>
  <si>
    <t>1st run at Newbury, park #99</t>
  </si>
  <si>
    <t>run #122, 3rd at Henley</t>
  </si>
  <si>
    <t>run #179 ,best at Wycombe this year</t>
  </si>
  <si>
    <t>1st run at Houghton Hall</t>
  </si>
  <si>
    <t>run #320, 266th at Bedfont</t>
  </si>
  <si>
    <t>run #133, 16th at Guildford</t>
  </si>
  <si>
    <t>run #81, 1st at Guildford</t>
  </si>
  <si>
    <t>run #517, 7th at Osterley</t>
  </si>
  <si>
    <t>run #96, 61st at Northala</t>
  </si>
  <si>
    <t>run #53, 43rd at March</t>
  </si>
  <si>
    <t>run #288, 14th at Hazelwood</t>
  </si>
  <si>
    <t>Newborough Forest</t>
  </si>
  <si>
    <t>1st run at Dinton Pastures (inaugural)</t>
  </si>
  <si>
    <t>Newborough Forest (Anglesey)</t>
  </si>
  <si>
    <t>Heartlands (Cornwall)</t>
  </si>
  <si>
    <t>NBF</t>
  </si>
  <si>
    <t>UPH</t>
  </si>
  <si>
    <t>Newborough F</t>
  </si>
  <si>
    <t>0805 from Waterloo East to Crayford</t>
  </si>
  <si>
    <t>run #104, 91st at Harrow</t>
  </si>
  <si>
    <t>1st run at Houghton Hall, club course record</t>
  </si>
  <si>
    <t>BApark #420</t>
  </si>
  <si>
    <t>1st run at Upton House, BApark #423</t>
  </si>
  <si>
    <t>run #16, 1st at Heartlands, BApark #424</t>
  </si>
  <si>
    <t>1st run at Newborough Forest, BApark #422</t>
  </si>
  <si>
    <t>1st run at Pegwell Bay, BApark #421</t>
  </si>
  <si>
    <t>1st run at Dartford Heath, Bapark #425</t>
  </si>
  <si>
    <t>1st run at Hogmoor Inclosure, park #236</t>
  </si>
  <si>
    <t>Hogmore</t>
  </si>
  <si>
    <t>SIX new parks!</t>
  </si>
  <si>
    <t>RG10 0TH</t>
  </si>
  <si>
    <t>34 miles by car</t>
  </si>
  <si>
    <t>on-site pay carpark</t>
  </si>
  <si>
    <t>Bedfont football club</t>
  </si>
  <si>
    <t>TW14 9QT</t>
  </si>
  <si>
    <t>N51.46</t>
  </si>
  <si>
    <t>W0.43</t>
  </si>
  <si>
    <t>Foots Cray Meadows</t>
  </si>
  <si>
    <t>DA14 5AG</t>
  </si>
  <si>
    <t>FCM</t>
  </si>
  <si>
    <t>A - Highbury Fields</t>
  </si>
  <si>
    <t>Foots Cray</t>
  </si>
  <si>
    <t>run #105, 11th at Rickmansworth</t>
  </si>
  <si>
    <t>run #106, 7th at Rickmansworth</t>
  </si>
  <si>
    <t>run #320 , 129th at Gunnersbury</t>
  </si>
  <si>
    <t>tailwalker 46 min 44 secs</t>
  </si>
  <si>
    <t>SET</t>
  </si>
  <si>
    <t>Street (Somerset)</t>
  </si>
  <si>
    <t>run #440, 1st at Hoblingwell, club record</t>
  </si>
  <si>
    <t>run #322, 1st at Hoblingwell, club rec (F)</t>
  </si>
  <si>
    <t>Navan</t>
  </si>
  <si>
    <t>Navan (Co. Meath)</t>
  </si>
  <si>
    <t>Navan (Co, Meath)</t>
  </si>
  <si>
    <t>9.30 a.m.</t>
  </si>
  <si>
    <t>run #391, 1st at Prospect Park</t>
  </si>
  <si>
    <t>Barry Walters retains club course record (22:49)</t>
  </si>
  <si>
    <t>NAV</t>
  </si>
  <si>
    <r>
      <rPr>
        <b/>
        <sz val="10"/>
        <rFont val="Arial"/>
        <family val="2"/>
      </rPr>
      <t>N</t>
    </r>
    <r>
      <rPr>
        <sz val="10"/>
        <rFont val="Arial"/>
        <family val="2"/>
      </rPr>
      <t>avan (Co. Meath)</t>
    </r>
  </si>
  <si>
    <t>Petra holds club rec(F) with 31:09</t>
  </si>
  <si>
    <t>3rd run at Rutland Water</t>
  </si>
  <si>
    <t>run #262, 180th at Bedfont</t>
  </si>
  <si>
    <t>run #321, 267th at Bedfont</t>
  </si>
  <si>
    <t>run #337, pacer</t>
  </si>
  <si>
    <t>best parkrun at Reading this year</t>
  </si>
  <si>
    <t>run #198, 56th at Braunstone</t>
  </si>
  <si>
    <t>run #235, F-2</t>
  </si>
  <si>
    <t>best run at Northala this year (new course)</t>
  </si>
  <si>
    <t>first parkrun on Jersey</t>
  </si>
  <si>
    <t>also still holds category below</t>
  </si>
  <si>
    <t>4th run at Hazelwood, pb</t>
  </si>
  <si>
    <t>15th run at Hazelwood</t>
  </si>
  <si>
    <t>run #40, 2nd at Hazelwood, pb</t>
  </si>
  <si>
    <t>2nd run at Bideford, pb, club record</t>
  </si>
  <si>
    <t>1st run at Prospect Park, park #237</t>
  </si>
  <si>
    <t>Three new parks</t>
  </si>
  <si>
    <t>Gunnersbury 129</t>
  </si>
  <si>
    <t>first parkrun on Jersey, park #30</t>
  </si>
  <si>
    <t>Street</t>
  </si>
  <si>
    <t>started late after setting up course !</t>
  </si>
  <si>
    <t>run #245, 1st at Navan, BA park #428</t>
  </si>
  <si>
    <t>run #17, 1st at Street, BA park #427</t>
  </si>
  <si>
    <t>1st run at Worsley Woods, BA park #426</t>
  </si>
  <si>
    <t>21 secs away from an age cat rec</t>
  </si>
  <si>
    <t>membership suspended</t>
  </si>
  <si>
    <t>now in "2018" sheet</t>
  </si>
  <si>
    <t>Cotsford Fields</t>
  </si>
  <si>
    <t>CFF</t>
  </si>
  <si>
    <t>SR8 4HN</t>
  </si>
  <si>
    <t>St Andrews</t>
  </si>
  <si>
    <t>run #27, 1st at Wimpole Estate</t>
  </si>
  <si>
    <t>run #26, 4th at Stevenage</t>
  </si>
  <si>
    <t>run #24, 3rd at Stevenage</t>
  </si>
  <si>
    <t>run #23, 2nd at Stevenage</t>
  </si>
  <si>
    <t>run #25, 1st at St Andrews, new BA park</t>
  </si>
  <si>
    <t>SAN</t>
  </si>
  <si>
    <t>London park #53 (Lon-Done, again)</t>
  </si>
  <si>
    <t>Foots Cray Meadow</t>
  </si>
  <si>
    <t>Pegg</t>
  </si>
  <si>
    <t>run #599, park #254</t>
  </si>
  <si>
    <t>run #246, 154th at Bedfont</t>
  </si>
  <si>
    <t>run #215, 151st at Bedfont</t>
  </si>
  <si>
    <t>Littleport in its sixth week</t>
  </si>
  <si>
    <t>1st run at Littleport, F-1, =agecatrec, club rec</t>
  </si>
  <si>
    <t>run #364, 69th at Crane Park</t>
  </si>
  <si>
    <t>run #120, 63rd at Maidenhead</t>
  </si>
  <si>
    <t>run #519</t>
  </si>
  <si>
    <t>280th run at Bushy Park</t>
  </si>
  <si>
    <t>run #20, 14th at Cardiff</t>
  </si>
  <si>
    <t>run #392, 306th at Reading</t>
  </si>
  <si>
    <t>run #255, 167th at Reading</t>
  </si>
  <si>
    <t>12th run at Rickmansworth</t>
  </si>
  <si>
    <t>1st run at Clumber</t>
  </si>
  <si>
    <t>run #55, 44th at March</t>
  </si>
  <si>
    <t>5th run at Hazelwood</t>
  </si>
  <si>
    <t>16th run at Hazelwood</t>
  </si>
  <si>
    <t>Lesley Chamberlin</t>
  </si>
  <si>
    <t>Piers Keenleyside (until April 2018) who is  a member of Ealing Eagles  and an associate member of BAAC</t>
  </si>
  <si>
    <t>F-1, park #23, club rec (all genders)</t>
  </si>
  <si>
    <t>run #82, 1st at Stratford on Avon, clubrec(M)</t>
  </si>
  <si>
    <t>LUF</t>
  </si>
  <si>
    <t>Loughborough (Dishley)</t>
  </si>
  <si>
    <t>LE11 5FJ</t>
  </si>
  <si>
    <t>Llanerchaeron</t>
  </si>
  <si>
    <t>run #180, park #11</t>
  </si>
  <si>
    <t>run #186, park #11</t>
  </si>
  <si>
    <t>pacer, run #236</t>
  </si>
  <si>
    <t>pacer, run #441</t>
  </si>
  <si>
    <t>run #323</t>
  </si>
  <si>
    <t>pacer, run #263</t>
  </si>
  <si>
    <t>Foots Cray M's (102)</t>
  </si>
  <si>
    <t>56 miles by car</t>
  </si>
  <si>
    <t>Fleetwood</t>
  </si>
  <si>
    <t>run #49, 42nd at Curl Curl</t>
  </si>
  <si>
    <t>F-1, 2nd run at Maidstone, course pb</t>
  </si>
  <si>
    <t xml:space="preserve">3rd/196 in agecat list </t>
  </si>
  <si>
    <t>1st at Ashton Court</t>
  </si>
  <si>
    <t>run #46, 1st at Chester</t>
  </si>
  <si>
    <t>run #520</t>
  </si>
  <si>
    <t>run #322, best at Gunnersbury this year</t>
  </si>
  <si>
    <t>1st run at Banstead Woods, park #30</t>
  </si>
  <si>
    <t>run #199, park #100</t>
  </si>
  <si>
    <t>run #308, park #239</t>
  </si>
  <si>
    <t>run #206, 200th at Bedfont Lakes</t>
  </si>
  <si>
    <t>run #442, 266th at Bedfont Lakes</t>
  </si>
  <si>
    <t>run #264, 182nd at Bedfont Lakes</t>
  </si>
  <si>
    <t>run #393, 307th at Reading</t>
  </si>
  <si>
    <t>run #256, 168th at Reading</t>
  </si>
  <si>
    <t>run #173, 82nd at Wycombe Rye</t>
  </si>
  <si>
    <t>run #263, 27th at Crane Park</t>
  </si>
  <si>
    <t>run #199, 170th at Crane</t>
  </si>
  <si>
    <t>run #98, 63rd at Northala Fields</t>
  </si>
  <si>
    <t>run #291, 17th at Hazelwood</t>
  </si>
  <si>
    <t>run #247, 3rd at Hazelwood</t>
  </si>
  <si>
    <t>run #104, 82nd at Woking</t>
  </si>
  <si>
    <t>run #365, 70th ar Crane, improving steadily</t>
  </si>
  <si>
    <t>run #90,  2nd at Southampton</t>
  </si>
  <si>
    <t>run #202, 8th at Evesham</t>
  </si>
  <si>
    <t>run #15, 6th at Cirencester</t>
  </si>
  <si>
    <t>run #216, 4th at Homewood</t>
  </si>
  <si>
    <t>pacing a novice</t>
  </si>
  <si>
    <t xml:space="preserve">run #26, three siblings at the same parkrun </t>
  </si>
  <si>
    <t>previously ran together at Stratford on Avon in March 2016</t>
  </si>
  <si>
    <t>run #183, 1st run at Banstead Woods</t>
  </si>
  <si>
    <t>run #69, 39th at Northala</t>
  </si>
  <si>
    <t>run #3, all at Evesham</t>
  </si>
  <si>
    <t>Bakewell</t>
  </si>
  <si>
    <t>Gainsborough</t>
  </si>
  <si>
    <t>1st run at Dinton Pastures, cfp</t>
  </si>
  <si>
    <t>improves club record(F)</t>
  </si>
  <si>
    <t>best age grade % at Bedfont ?</t>
  </si>
  <si>
    <t>run #121, 64th at Maidenhead</t>
  </si>
  <si>
    <t>Preston Park (Bri)</t>
  </si>
  <si>
    <t>1st run by a current member at Preston Park</t>
  </si>
  <si>
    <t>run #264, 219th at Bedfont</t>
  </si>
  <si>
    <t>run #207, 201st at Bedfont</t>
  </si>
  <si>
    <t>52nd run at Black Park, 1st this year</t>
  </si>
  <si>
    <t>run #108, 92nd at Harrow</t>
  </si>
  <si>
    <t>run #108, 93rd at Harrow</t>
  </si>
  <si>
    <t>Roderick still holds record with 26:35</t>
  </si>
  <si>
    <t>1st run at Ipswich, park #47</t>
  </si>
  <si>
    <t>1st run at Dulwich, club record</t>
  </si>
  <si>
    <t>1st run at Dulwich, club record (F)</t>
  </si>
  <si>
    <t>21/07/2012?</t>
  </si>
  <si>
    <t>run #200, 9th at Daventry, course pb</t>
  </si>
  <si>
    <t>Conwy</t>
  </si>
  <si>
    <t>CWY</t>
  </si>
  <si>
    <t>best run at March this year</t>
  </si>
  <si>
    <t>6th run at Hazelwood</t>
  </si>
  <si>
    <t>18th run at Hazelwood</t>
  </si>
  <si>
    <t>3rd run at Hazelwood, continuous improvement</t>
  </si>
  <si>
    <t>1st run at Conwy, Bapark #433</t>
  </si>
  <si>
    <t>Ian Cockram (29:44), Caroline Cockram (24:14)</t>
  </si>
  <si>
    <t>Bapark #432</t>
  </si>
  <si>
    <t>Jonathan Brownlee once held male record</t>
  </si>
  <si>
    <t>River Oaks</t>
  </si>
  <si>
    <t>DMC</t>
  </si>
  <si>
    <t xml:space="preserve">Des Moines Creek </t>
  </si>
  <si>
    <t>HIG</t>
  </si>
  <si>
    <t>Higginson Park (Marlow)</t>
  </si>
  <si>
    <t>SL7 2AE</t>
  </si>
  <si>
    <t>30 miles by road, M4, A404(M)</t>
  </si>
  <si>
    <t>Fulham Palace cfp</t>
  </si>
  <si>
    <t>Homewood cfp</t>
  </si>
  <si>
    <t>Preston Park, Conwy</t>
  </si>
  <si>
    <t>FootsCray Meadows</t>
  </si>
  <si>
    <t>Old Deer Park 17 (anniversary)</t>
  </si>
  <si>
    <t>Higginson</t>
  </si>
  <si>
    <t>run #522, 286th at Gunnersbuiry</t>
  </si>
  <si>
    <t>1st run at Henley, park #48</t>
  </si>
  <si>
    <t>run #201, 172nd at Crane</t>
  </si>
  <si>
    <t>run #101, 24th at Salisbury</t>
  </si>
  <si>
    <t>run #340, 281st at Bushy</t>
  </si>
  <si>
    <t>run #177, 53rd at Bushy (2nd in 2018)</t>
  </si>
  <si>
    <t>run #323, 17th at Old Deer</t>
  </si>
  <si>
    <t>run #325, 7th at Old Deer</t>
  </si>
  <si>
    <t>Higginson (*inaugural)</t>
  </si>
  <si>
    <t>run #324, parkrun pb !</t>
  </si>
  <si>
    <t>run #173, 143rd at Bedfont</t>
  </si>
  <si>
    <t>run #136, 24th at Frimley</t>
  </si>
  <si>
    <t>run #16, 7th at Cirencester</t>
  </si>
  <si>
    <t>run #444, 267th at Bedfont</t>
  </si>
  <si>
    <t>run #208, 202nd at Bedfont</t>
  </si>
  <si>
    <t>run #265, 220th at Bedfont</t>
  </si>
  <si>
    <t>run #310, park #241</t>
  </si>
  <si>
    <t>run #293, 19th at Hazelwood</t>
  </si>
  <si>
    <t>run #57, 46th at March</t>
  </si>
  <si>
    <t>best this year 32:14</t>
  </si>
  <si>
    <t>run #109, 13th at Rickmansworth</t>
  </si>
  <si>
    <t>run #203, 133rd at Bedfont</t>
  </si>
  <si>
    <t>HigginsonMarlow</t>
  </si>
  <si>
    <t>inaugural, park #12</t>
  </si>
  <si>
    <t>inaugural, park #46</t>
  </si>
  <si>
    <t>inaugural, park #56</t>
  </si>
  <si>
    <t>started 18th August 2018</t>
  </si>
  <si>
    <t>run #201, 57th at Braunstone, very average!</t>
  </si>
  <si>
    <t>her average time over 57 runs is 33:47</t>
  </si>
  <si>
    <t>finish tokens/marshal</t>
  </si>
  <si>
    <t>1st run at Henley, park #29, club rec(F)</t>
  </si>
  <si>
    <t>Gunnersbury 130</t>
  </si>
  <si>
    <t>81 miles by road</t>
  </si>
  <si>
    <t>68 miles by car</t>
  </si>
  <si>
    <t>62 miles by car (M4, M25, M1)</t>
  </si>
  <si>
    <t>Hockley Woods (103)</t>
  </si>
  <si>
    <t>WEN</t>
  </si>
  <si>
    <t>Wendover Woods</t>
  </si>
  <si>
    <t>Bedfont Lakes 5</t>
  </si>
  <si>
    <t>HP23 6LD</t>
  </si>
  <si>
    <t>Wendover</t>
  </si>
  <si>
    <t>run #110, 94th at Harrow</t>
  </si>
  <si>
    <t>best parkrun so far this year</t>
  </si>
  <si>
    <t>30' pacer, spot on</t>
  </si>
  <si>
    <t>32' pacer, amazing</t>
  </si>
  <si>
    <t>8th run at Kingston</t>
  </si>
  <si>
    <t>park #242</t>
  </si>
  <si>
    <t>run #249, 3rd at Noncuch</t>
  </si>
  <si>
    <t>run #275, 1st at Nonsuch</t>
  </si>
  <si>
    <t>run #523</t>
  </si>
  <si>
    <t>run #149, 1st at Stevenage, park #79</t>
  </si>
  <si>
    <t>run #16, 1st at Stevenage</t>
  </si>
  <si>
    <t>run #202, 173rd at Crane</t>
  </si>
  <si>
    <t>Queen Elizabeth CP</t>
  </si>
  <si>
    <t>1st run at Queen Elizabeth, park #31</t>
  </si>
  <si>
    <t>1st run at Queen Elizabeth, park #23</t>
  </si>
  <si>
    <t>run #99, 64th at Northala</t>
  </si>
  <si>
    <t>25th run at Salisbury</t>
  </si>
  <si>
    <t>Hasenheide(Berlin)</t>
  </si>
  <si>
    <t>run #174, 1st at Nonsuch</t>
  </si>
  <si>
    <t>run #325, 1st at Nonsuch</t>
  </si>
  <si>
    <t>run #123,65th at Maidenhead</t>
  </si>
  <si>
    <t>run #141, 66th at Maidenhead</t>
  </si>
  <si>
    <t>run #104, 1st at Forest of Dean</t>
  </si>
  <si>
    <t>run #217, 3rd at Nonsuch</t>
  </si>
  <si>
    <t>run #70, 40th at Northala</t>
  </si>
  <si>
    <t>run #18, 5th at Clover Point</t>
  </si>
  <si>
    <t>run #13, 2nd at Barnsley, BA park #435</t>
  </si>
  <si>
    <t>run #238, 117th at Bedfont, 21' pacer ?</t>
  </si>
  <si>
    <t>CM at Barnsley</t>
  </si>
  <si>
    <t>Higginson (104)</t>
  </si>
  <si>
    <t>Gunnersbury 131</t>
  </si>
  <si>
    <t>Higginson,Marlow</t>
  </si>
  <si>
    <t>Ian Cockram 23:28, Caroline Cockram 25:45</t>
  </si>
  <si>
    <t>CLN</t>
  </si>
  <si>
    <t>started December 2017</t>
  </si>
  <si>
    <t>SIZ</t>
  </si>
  <si>
    <t>Sizewell</t>
  </si>
  <si>
    <t>started 25 August 2018</t>
  </si>
  <si>
    <t>Colney Lane</t>
  </si>
  <si>
    <t>GDM</t>
  </si>
  <si>
    <t>Great Dunmow (Essex)</t>
  </si>
  <si>
    <t>GCO</t>
  </si>
  <si>
    <t>Great Cornard (Essex)</t>
  </si>
  <si>
    <t>CLS</t>
  </si>
  <si>
    <t>quite flat,river towpath out and back</t>
  </si>
  <si>
    <t>run #250, park #250</t>
  </si>
  <si>
    <t>pb is 21:34 at Southampton</t>
  </si>
  <si>
    <t>run #124, 1st at Livonia, park #47</t>
  </si>
  <si>
    <t>run #142, 1st at Livonia, park #57</t>
  </si>
  <si>
    <t>78 finishers, fairly typical for this time of year</t>
  </si>
  <si>
    <t>has been going since summer 2012</t>
  </si>
  <si>
    <t>after riding in from Reading !</t>
  </si>
  <si>
    <t>run #258, 169th at Reading</t>
  </si>
  <si>
    <t>run #22, all at Riddlesdown</t>
  </si>
  <si>
    <t>run #176, 83rd at Wycombe Rye</t>
  </si>
  <si>
    <t>run #203, 174th at Crane</t>
  </si>
  <si>
    <t>run #103, 26th at Salisbury</t>
  </si>
  <si>
    <t>run #59, 47th at March</t>
  </si>
  <si>
    <t>run #294, 20th at Hazelwood</t>
  </si>
  <si>
    <t>Dishley (Loughborough)</t>
  </si>
  <si>
    <t>DIL</t>
  </si>
  <si>
    <t>started 5 weeks ago</t>
  </si>
  <si>
    <t>Dishley(Loughborough)</t>
  </si>
  <si>
    <t>Lancing Beach Green</t>
  </si>
  <si>
    <t>LBG</t>
  </si>
  <si>
    <t>started last week</t>
  </si>
  <si>
    <t>run #111, 95th at Harrow</t>
  </si>
  <si>
    <t>9th run at Cirencester, course pb</t>
  </si>
  <si>
    <t>run #366, 71st at Crane</t>
  </si>
  <si>
    <t>F-3, run #137, 17th at Woking</t>
  </si>
  <si>
    <t>F-1, run #106, 2nd at Homewood</t>
  </si>
  <si>
    <t>BN15 8RA</t>
  </si>
  <si>
    <t>59 miles by road (A24)</t>
  </si>
  <si>
    <t>Dishley, Loughborough</t>
  </si>
  <si>
    <t>Lancing Beach</t>
  </si>
  <si>
    <t>Dishley</t>
  </si>
  <si>
    <t>run #342, park #32, Bapark #437</t>
  </si>
  <si>
    <t>run #203, park #101, Bapark #438</t>
  </si>
  <si>
    <t>run #187, park #24</t>
  </si>
  <si>
    <t>run #312, 2nd at Banbury</t>
  </si>
  <si>
    <t>run #83, 5th at Woking</t>
  </si>
  <si>
    <t>run #239, 118th at Bedfont</t>
  </si>
  <si>
    <t>run #326, yet another parkrun pb</t>
  </si>
  <si>
    <t>run #210, 204th at Bedfont</t>
  </si>
  <si>
    <t>run #205, 135th at Bedfont</t>
  </si>
  <si>
    <r>
      <t xml:space="preserve">run #250, </t>
    </r>
    <r>
      <rPr>
        <sz val="10"/>
        <rFont val="Arial"/>
        <family val="2"/>
      </rPr>
      <t>cake, Prosecco, sunshine, party</t>
    </r>
  </si>
  <si>
    <t>run #327, 192nd at Bedfont</t>
  </si>
  <si>
    <t>run #524, 3rd at Bedfont</t>
  </si>
  <si>
    <t>run #218, 52nd at Bedfont</t>
  </si>
  <si>
    <t>run #93, all at Bedfont</t>
  </si>
  <si>
    <t>run #268, 184th at Bedfont</t>
  </si>
  <si>
    <t>Henstridge Airfield</t>
  </si>
  <si>
    <t>Walmer &amp; Deal</t>
  </si>
  <si>
    <t>run #525, 288th at Gunnersbury</t>
  </si>
  <si>
    <t>best at Gunnersbury this year</t>
  </si>
  <si>
    <t>run #66, 46th at Gunnersbury</t>
  </si>
  <si>
    <t>pb, course record</t>
  </si>
  <si>
    <t>Horan</t>
  </si>
  <si>
    <t>1st finisher, 5 secs off pb</t>
  </si>
  <si>
    <t>MFW</t>
  </si>
  <si>
    <t>Manor Field</t>
  </si>
  <si>
    <t>Perborough</t>
  </si>
  <si>
    <t>Blackhill</t>
  </si>
  <si>
    <t>Blackhill, Consett</t>
  </si>
  <si>
    <t>Blackhill Heritage  (Consett)</t>
  </si>
  <si>
    <t>F-1, 3rd run at Homewood</t>
  </si>
  <si>
    <t>run #327, 272nd at Bedfont</t>
  </si>
  <si>
    <t>missed pb by 1 second</t>
  </si>
  <si>
    <t>run #84, 15th at Frimley</t>
  </si>
  <si>
    <t>run #367, 72nd at Crane</t>
  </si>
  <si>
    <t>run #125, 66th at Maidenhead</t>
  </si>
  <si>
    <t>run #143, 67th at Maidenhead</t>
  </si>
  <si>
    <t xml:space="preserve">Alastair </t>
  </si>
  <si>
    <t>best parkrun so far in 2018</t>
  </si>
  <si>
    <t>run #240, 119th at Bedfont</t>
  </si>
  <si>
    <t>run #266, 221st at Bedfont</t>
  </si>
  <si>
    <t>best time at Reading this year</t>
  </si>
  <si>
    <t>run #396, best time at Reading this year</t>
  </si>
  <si>
    <t>run #204, best run at Braunstone this year</t>
  </si>
  <si>
    <t>best run at Rickmansworth this year</t>
  </si>
  <si>
    <t>first run at Whitley Bay, park #40</t>
  </si>
  <si>
    <t>first run at Upton Court</t>
  </si>
  <si>
    <t>first run at Upton Court, park #33</t>
  </si>
  <si>
    <t>first run at East Grinstead, park #243</t>
  </si>
  <si>
    <t>run #295, 21st at Hazelwood</t>
  </si>
  <si>
    <t>run #78, first at Hazelwood</t>
  </si>
  <si>
    <t>run #42, 4th at Hazelwood</t>
  </si>
  <si>
    <t>run #150, 11th at Cassiobury</t>
  </si>
  <si>
    <t>F-1, run #54, parkrun pb</t>
  </si>
  <si>
    <t>run #276, park #30, BA park #439</t>
  </si>
  <si>
    <t>Lead bike (V#25), then run #100 !</t>
  </si>
  <si>
    <t>Roundshaw XC/Putney Vale</t>
  </si>
  <si>
    <t>Epsom XC/Nonsuch</t>
  </si>
  <si>
    <t>Oxshott XC/Coulsdon</t>
  </si>
  <si>
    <t>Lloyd XC/Richmond Pk</t>
  </si>
  <si>
    <t>Prospect Pk (Reading)</t>
  </si>
  <si>
    <t>Gunnersbury 132</t>
  </si>
  <si>
    <t xml:space="preserve">  </t>
  </si>
  <si>
    <t>run #'325, 5th at Bedfont</t>
  </si>
  <si>
    <t>Higginson, Marlow</t>
  </si>
  <si>
    <t>Pound Lane carpark</t>
  </si>
  <si>
    <t>Manor Field, Whittlesey</t>
  </si>
  <si>
    <t>inaugural, BA park #440</t>
  </si>
  <si>
    <t>WDS</t>
  </si>
  <si>
    <t>Walmer &amp; Deal Seafront</t>
  </si>
  <si>
    <t>CT14 7HE</t>
  </si>
  <si>
    <t>or CT14 7LJ</t>
  </si>
  <si>
    <t>Blackhill, Whittlesey</t>
  </si>
  <si>
    <t>pacing squad coordinator</t>
  </si>
  <si>
    <t>run #296, 22nd at Hazelwood</t>
  </si>
  <si>
    <t>run #179, 7th at Hazelwood</t>
  </si>
  <si>
    <t>run #344, 282nd at Bushy</t>
  </si>
  <si>
    <t xml:space="preserve">run #397, 310th at Reading  </t>
  </si>
  <si>
    <t>course pb, agegrade parkrun pb</t>
  </si>
  <si>
    <t>course pb, agegrade parkrun pb, club record</t>
  </si>
  <si>
    <t>3rd run at Rickmansworth</t>
  </si>
  <si>
    <t>289th run at Gunnersbury</t>
  </si>
  <si>
    <t>Crane park</t>
  </si>
  <si>
    <t>176th run at Crane Park</t>
  </si>
  <si>
    <t>run #98, 56th at Woking</t>
  </si>
  <si>
    <t>run #7, 1st at Lincoln, BA park #441</t>
  </si>
  <si>
    <t>run #211, 205th at Bedfont</t>
  </si>
  <si>
    <t>run #445, 268th at Bedfont</t>
  </si>
  <si>
    <t>run #269, 185th at Bedfont</t>
  </si>
  <si>
    <t>run #267, 222nd at Bedfont</t>
  </si>
  <si>
    <t>1st run at Richmond</t>
  </si>
  <si>
    <t>Hasenheide</t>
  </si>
  <si>
    <t>run #19, 1st in Channel Islands</t>
  </si>
  <si>
    <t>Alastair at Lincoln</t>
  </si>
  <si>
    <t>Northala (TK)</t>
  </si>
  <si>
    <t>barcode scanning problems resolver</t>
  </si>
  <si>
    <t>T McCabe 250</t>
  </si>
  <si>
    <t>Marlborough Common</t>
  </si>
  <si>
    <t>SN8 1DL</t>
  </si>
  <si>
    <t>starts 22 Sep 2018</t>
  </si>
  <si>
    <t>65 miles by car from Heston</t>
  </si>
  <si>
    <t>2 laps plus a bit</t>
  </si>
  <si>
    <t>California, Finchampstead</t>
  </si>
  <si>
    <t>RG40 4HU</t>
  </si>
  <si>
    <t>not started yet</t>
  </si>
  <si>
    <t>park #103, BA park #436</t>
  </si>
  <si>
    <t xml:space="preserve">Des Moines Creek  </t>
  </si>
  <si>
    <t>Victoria, Kitchener</t>
  </si>
  <si>
    <t>Victoria, Kitchener (Ottawa)</t>
  </si>
  <si>
    <t>Des Moines Creek (WA, USA)</t>
  </si>
  <si>
    <t>Des Moines Creek</t>
  </si>
  <si>
    <t>Herirtage Harb</t>
  </si>
  <si>
    <t>VKO</t>
  </si>
  <si>
    <t>Kitchener</t>
  </si>
  <si>
    <t>26th run at Frimley</t>
  </si>
  <si>
    <t>18th run at Woking</t>
  </si>
  <si>
    <t>144th run at Bedfont</t>
  </si>
  <si>
    <t>145th run at Bedfont</t>
  </si>
  <si>
    <t>273rd run at Bedfont</t>
  </si>
  <si>
    <t>274th run at Bedfont, parkrun pb</t>
  </si>
  <si>
    <t>2nd run at Gladstone, course pb</t>
  </si>
  <si>
    <t>1st run at Clover Point, park #49</t>
  </si>
  <si>
    <t>3rd run at Gladstone</t>
  </si>
  <si>
    <t>1st run at Clover Point, park #59</t>
  </si>
  <si>
    <t>41st run at Black Park</t>
  </si>
  <si>
    <t>1st run at Heartwood Forest, park #33</t>
  </si>
  <si>
    <t>1st run at Clover Point, park #34</t>
  </si>
  <si>
    <t>10th run at Cirencester</t>
  </si>
  <si>
    <t>11th run at Cirencester</t>
  </si>
  <si>
    <t>Frimey Lodge</t>
  </si>
  <si>
    <t>16th run at Frimley</t>
  </si>
  <si>
    <t>6th run at Woking</t>
  </si>
  <si>
    <t>153rd run at Bedfont</t>
  </si>
  <si>
    <t>4th run at Rickmansworth, course pb</t>
  </si>
  <si>
    <t>96th run at Harrow</t>
  </si>
  <si>
    <t>cfp (lone runner), 4th run at Homewood</t>
  </si>
  <si>
    <t>283rd run at Bushy</t>
  </si>
  <si>
    <t>206th run at Bedfont</t>
  </si>
  <si>
    <t>run #398, 311th at Reading</t>
  </si>
  <si>
    <t>run #399, 312th at Reading</t>
  </si>
  <si>
    <t>Higginson cancelled by fallen tree !</t>
  </si>
  <si>
    <t>94th run at Harrow</t>
  </si>
  <si>
    <t>61st run at Guildford</t>
  </si>
  <si>
    <t>1st run at Canterbury, park #32</t>
  </si>
  <si>
    <t>1st run at Nonsuch, park #30, club record</t>
  </si>
  <si>
    <t>all genders record</t>
  </si>
  <si>
    <t>290th run at Gunnersbury</t>
  </si>
  <si>
    <t>six at Clover Point</t>
  </si>
  <si>
    <t>291st run at Gunnersbury</t>
  </si>
  <si>
    <t>28th run at Crane</t>
  </si>
  <si>
    <t>177th run at Crane</t>
  </si>
  <si>
    <t>178th run at Crane</t>
  </si>
  <si>
    <t>23rd run at Hazelwood</t>
  </si>
  <si>
    <t>66th run at Northala Fields</t>
  </si>
  <si>
    <t>EST</t>
  </si>
  <si>
    <t>PST</t>
  </si>
  <si>
    <t>Washngton State, park #244, BApark #443</t>
  </si>
  <si>
    <t>1st run at Clover Point, park #245</t>
  </si>
  <si>
    <t>1st run in Ontario, park #49, BApark #442</t>
  </si>
  <si>
    <t>Orleans(Ottawa)</t>
  </si>
  <si>
    <t>run #52, 24th at Bushy</t>
  </si>
  <si>
    <t>run #269, 223rd at Bedfont</t>
  </si>
  <si>
    <t>run #277, 236th at Bedfont</t>
  </si>
  <si>
    <t>run #242, 120th at Bedfont</t>
  </si>
  <si>
    <t>run #113, 97th at Harrow</t>
  </si>
  <si>
    <t>1st run at Kingston, park #11</t>
  </si>
  <si>
    <t>run #205, 59th at Braunstone</t>
  </si>
  <si>
    <t>run #253, 6th at Osterley</t>
  </si>
  <si>
    <t>run #61, 48th at March</t>
  </si>
  <si>
    <t>1st run at Clover Point, club record</t>
  </si>
  <si>
    <t>run #180, 8th at Hazelwood</t>
  </si>
  <si>
    <t>run #298, 24th at Hazelwood</t>
  </si>
  <si>
    <t>2nd run at Clapham, course pb</t>
  </si>
  <si>
    <t>2nd run at Clapham</t>
  </si>
  <si>
    <t>run #7, 1st at Fulham Palace, 19th overall</t>
  </si>
  <si>
    <t>OOO</t>
  </si>
  <si>
    <t>Orleans</t>
  </si>
  <si>
    <t>Orleans (Ottawa, Ontario side)</t>
  </si>
  <si>
    <t>1st run at Clover Point</t>
  </si>
  <si>
    <t>Jamaica Pond</t>
  </si>
  <si>
    <t>Orleans (Ottawa)</t>
  </si>
  <si>
    <t>Inaugural, M-9, park #50, BApark #444</t>
  </si>
  <si>
    <t>club rec (F) plus token sorting</t>
  </si>
  <si>
    <t>run #51, 44th at Curl Curl</t>
  </si>
  <si>
    <t>1st parkrun in Germany, club record</t>
  </si>
  <si>
    <t>ROU</t>
  </si>
  <si>
    <t>Rouen</t>
  </si>
  <si>
    <t>9 am CET</t>
  </si>
  <si>
    <t>1st run at Rouen, park #68</t>
  </si>
  <si>
    <t>1st run at Rouen, park #69, BApark #445</t>
  </si>
  <si>
    <t>132nd run at Gunnersbury</t>
  </si>
  <si>
    <t>19th run at Gunnersbury</t>
  </si>
  <si>
    <t>292nd run at Gunnersbury</t>
  </si>
  <si>
    <t>run #299, 25th run at Hazelwood</t>
  </si>
  <si>
    <t>19th run at Rickmansworth</t>
  </si>
  <si>
    <t>60th run at Braunstone</t>
  </si>
  <si>
    <t>98th run at Harrow</t>
  </si>
  <si>
    <t>8th run at Bushy, first since 2016</t>
  </si>
  <si>
    <t>1540 runners at Bushy (14th anniversary)</t>
  </si>
  <si>
    <t>224th run at Bedfont Lakes</t>
  </si>
  <si>
    <t>207th run at Bedfont Lakes</t>
  </si>
  <si>
    <t>156th run at Bedfont Lakes</t>
  </si>
  <si>
    <t>275th run at Bedfont Lakes</t>
  </si>
  <si>
    <t>73rd run at Crane Park</t>
  </si>
  <si>
    <t>3rd run at Gladstone Park</t>
  </si>
  <si>
    <t>4th run at Gladstone Park</t>
  </si>
  <si>
    <t>19th run at Osterley Park</t>
  </si>
  <si>
    <t>1st run at Horsham, club rec (F)</t>
  </si>
  <si>
    <t>brother Adrian Haines holds male record</t>
  </si>
  <si>
    <t>revised course at Harrow as a new café is being built</t>
  </si>
  <si>
    <t>Heritage Harbour</t>
  </si>
  <si>
    <t>run #272, park #51</t>
  </si>
  <si>
    <t>M-2, run #400, park #41, club record</t>
  </si>
  <si>
    <t>record previously held by John Scaife.</t>
  </si>
  <si>
    <t>ran Chicago Marathon in 3:16:25 next day</t>
  </si>
  <si>
    <t>1st run at Homewood, age category record</t>
  </si>
  <si>
    <t>Piers Keenleyside 27:00 while not a member</t>
  </si>
  <si>
    <t>Whistler</t>
  </si>
  <si>
    <t>WHR</t>
  </si>
  <si>
    <t>1st Epsom Allsort to run at Whistler</t>
  </si>
  <si>
    <t>1st run at Whistler, park #35, BA park #446</t>
  </si>
  <si>
    <t>featured on sky news</t>
  </si>
  <si>
    <t>Piers Keenleyside - Victoria Marathon 5:42:06 couldn't include this one in his Canadian tour.</t>
  </si>
  <si>
    <t>Rouen, Whistler</t>
  </si>
  <si>
    <t>1st run at Homewood, agecat &amp; club record</t>
  </si>
  <si>
    <t>2nd run at Nose Hill, freezing! Slippery!</t>
  </si>
  <si>
    <t>Severn Br</t>
  </si>
  <si>
    <t>Des Moines</t>
  </si>
  <si>
    <t>Clover Pt</t>
  </si>
  <si>
    <t>Discontinued 6/10/18</t>
  </si>
  <si>
    <t>Heartwood Forest (discontinued)</t>
  </si>
  <si>
    <t>CB5 8NT</t>
  </si>
  <si>
    <t>started 29/9/18</t>
  </si>
  <si>
    <t>CHC</t>
  </si>
  <si>
    <t>Coldham's Common (Cambridge)</t>
  </si>
  <si>
    <t>Severn Bridge</t>
  </si>
  <si>
    <t>NP16 5GH</t>
  </si>
  <si>
    <t>Teignmouth Promenade</t>
  </si>
  <si>
    <t>Cliffe Castle</t>
  </si>
  <si>
    <t>Nant y Pandy</t>
  </si>
  <si>
    <t>Coldham's Common</t>
  </si>
  <si>
    <t>Fulham Palace 11</t>
  </si>
  <si>
    <t>Fulham Palace 12</t>
  </si>
  <si>
    <t>California Finchampstead</t>
  </si>
  <si>
    <t xml:space="preserve">California Finchampstead </t>
  </si>
  <si>
    <t>Hampstead H</t>
  </si>
  <si>
    <t>new members without data</t>
  </si>
  <si>
    <t>Lydia</t>
  </si>
  <si>
    <t>Rickmansworth 2</t>
  </si>
  <si>
    <t>run #52, 45th at Curl Curl</t>
  </si>
  <si>
    <t>course pb, club course rec</t>
  </si>
  <si>
    <t>did 20:38 in 2016 before she joined us</t>
  </si>
  <si>
    <t>7.31 from Barnes Bridge, 8.08 from London Bridge to Hither Green  10 min walk to Mountsfield Park</t>
  </si>
  <si>
    <t>Catford 2 (pb)</t>
  </si>
  <si>
    <t>run #26, 21st at Guildford</t>
  </si>
  <si>
    <t>23rd run (all at Riddlesdown)</t>
  </si>
  <si>
    <t>7th run at Osterley</t>
  </si>
  <si>
    <t>rated 14th most difficult parkrun course in the country</t>
  </si>
  <si>
    <t>67th run at Northala</t>
  </si>
  <si>
    <t>run #317, park #246</t>
  </si>
  <si>
    <t>run #331, 276th at Bedfont Lakes</t>
  </si>
  <si>
    <t>run #369, 74th at Crane</t>
  </si>
  <si>
    <t>run #130, 67th at Maidenhead</t>
  </si>
  <si>
    <t>M-3, 30th run at Tilgate</t>
  </si>
  <si>
    <t>club rec(F), run #244</t>
  </si>
  <si>
    <t>run #300, 26th at Hazelwood</t>
  </si>
  <si>
    <t>run #259, 170th at Reading</t>
  </si>
  <si>
    <t>run #207, 61st at Braunstone</t>
  </si>
  <si>
    <t>first run at Hastings, park #69</t>
  </si>
  <si>
    <t>1st run at Bedgebury Pinetum, park #8</t>
  </si>
  <si>
    <t>99th run at Harrow</t>
  </si>
  <si>
    <t>age grade</t>
  </si>
  <si>
    <t>Greenwich 2</t>
  </si>
  <si>
    <t>SEV</t>
  </si>
  <si>
    <t>run #402, 314th at Reading</t>
  </si>
  <si>
    <t>1st ever run at Frimley Lodge</t>
  </si>
  <si>
    <t>2nd in age cat list but well adrift of top slot ! (5 mins)</t>
  </si>
  <si>
    <t>27th run at Frimley Lodge</t>
  </si>
  <si>
    <t>run #87, 17th at Frimley</t>
  </si>
  <si>
    <t>tailwalker, 100th "run" at Harrow</t>
  </si>
  <si>
    <t>Fulham 20th October 2018</t>
  </si>
  <si>
    <t>Adam</t>
  </si>
  <si>
    <t>Moquet</t>
  </si>
  <si>
    <t>M-8, run #8, 6th at Fulham Palace</t>
  </si>
  <si>
    <t>run #272, 29th at Crane Park</t>
  </si>
  <si>
    <t>62nd run at Braunstone</t>
  </si>
  <si>
    <t>run #530, 293rd at Gunnersbury</t>
  </si>
  <si>
    <t>run #179, 84th at Wycombe</t>
  </si>
  <si>
    <t>6th run at Homewood</t>
  </si>
  <si>
    <t>3rd out of 304 in age group</t>
  </si>
  <si>
    <t>1st run at Renton, club rec(F), park #32</t>
  </si>
  <si>
    <t>best parkrun time &amp; % so far this year</t>
  </si>
  <si>
    <t>run #104, 27th at Salisbury</t>
  </si>
  <si>
    <t>Manor Fld, Whittlesey</t>
  </si>
  <si>
    <t>2nd run at Whittlesey</t>
  </si>
  <si>
    <t>park #247, BApark #447</t>
  </si>
  <si>
    <t>M-6, run #47, 9th at Horsham</t>
  </si>
  <si>
    <t>run #208, 142nd at Gunnersbury</t>
  </si>
  <si>
    <t>4th run at Gladstone, course pb</t>
  </si>
  <si>
    <t>5th run at Gladstone</t>
  </si>
  <si>
    <t>F-1, course pb, club rec (F)</t>
  </si>
  <si>
    <t>1st run at Homewood, park #5</t>
  </si>
  <si>
    <t>Stenham</t>
  </si>
  <si>
    <t>Ball</t>
  </si>
  <si>
    <t>F-3, 27th run at Frimley Lodge</t>
  </si>
  <si>
    <t>best run  at Gunnersbury this year</t>
  </si>
  <si>
    <t>Manor Field Whiittlesey</t>
  </si>
  <si>
    <t>WV65-69</t>
  </si>
  <si>
    <t>Petra Ptto</t>
  </si>
  <si>
    <t>Steve down to 35:39</t>
  </si>
  <si>
    <t>Steve down to 30:04</t>
  </si>
  <si>
    <t xml:space="preserve">Cyprus </t>
  </si>
  <si>
    <t>Roderick at Wendover</t>
  </si>
  <si>
    <t>still to be run in Essex</t>
  </si>
  <si>
    <t xml:space="preserve"> Mersea Is, Great Dunmow GDM, Harwich</t>
  </si>
  <si>
    <t>Haverhill (Suffolk)</t>
  </si>
  <si>
    <t>Swaffham (Norfolk)</t>
  </si>
  <si>
    <t>Felixstowe (Suffolk)</t>
  </si>
  <si>
    <t>Clare Castle (Sudbury, Suffolk)</t>
  </si>
  <si>
    <t>TSB</t>
  </si>
  <si>
    <t>Troon South Beach</t>
  </si>
  <si>
    <t>parkruns in Scotland</t>
  </si>
  <si>
    <t>Troon</t>
  </si>
  <si>
    <t>Sarah Gordon 37:01</t>
  </si>
  <si>
    <t>parkruns in Wales</t>
  </si>
  <si>
    <t>Gunnersbury 134</t>
  </si>
  <si>
    <t>Gunnersbury 135</t>
  </si>
  <si>
    <t>Gunnersbury 136</t>
  </si>
  <si>
    <t>parkruns in Kent outside M25</t>
  </si>
  <si>
    <t>W&amp;D</t>
  </si>
  <si>
    <t>plus volunteer pacer</t>
  </si>
  <si>
    <t>M-321, 7th anniversary, record attendance</t>
  </si>
  <si>
    <t>M-320, 7th anniversary, record attendance</t>
  </si>
  <si>
    <t>Dublin Bushy Park</t>
  </si>
  <si>
    <t>DBU</t>
  </si>
  <si>
    <t>Dublin - Bushy Park</t>
  </si>
  <si>
    <t>Dublin Bushy</t>
  </si>
  <si>
    <t xml:space="preserve">Roderick Hoffman </t>
  </si>
  <si>
    <t>BST0930</t>
  </si>
  <si>
    <t>BST0900</t>
  </si>
  <si>
    <t>run #195, first at Dublin Bushy</t>
  </si>
  <si>
    <t>49th run at March</t>
  </si>
  <si>
    <t>Maarten</t>
  </si>
  <si>
    <t>pb is 20:49</t>
  </si>
  <si>
    <t>12th run at Hazelwood, run #150 in total</t>
  </si>
  <si>
    <t>run #302, 27th at Hazelwood</t>
  </si>
  <si>
    <t>Maarten Stenham</t>
  </si>
  <si>
    <t>M-5, debut parkrun for BA, club rec</t>
  </si>
  <si>
    <t>Maarten Stenham 20:30</t>
  </si>
  <si>
    <t>Maarten Stenham 22:13</t>
  </si>
  <si>
    <t>run #332, 277th at Bedfont Lakes</t>
  </si>
  <si>
    <t>run #177, 146th at Bedfont Lakes</t>
  </si>
  <si>
    <t>Maarten Stenham 22:11</t>
  </si>
  <si>
    <t>Garratt</t>
  </si>
  <si>
    <t>first run at Brueton</t>
  </si>
  <si>
    <t>equals best age grade at Woking this year</t>
  </si>
  <si>
    <t>run #22, 12th at Cirencester</t>
  </si>
  <si>
    <t>run #117, 4th at Rickmansworth</t>
  </si>
  <si>
    <t>quicker than last week</t>
  </si>
  <si>
    <t>Michelle Garratt (joined Septmeber 2018) is also a member of Horsham Joggers</t>
  </si>
  <si>
    <t>run #3, park #3, first run since joining</t>
  </si>
  <si>
    <t>best age grade score over this course</t>
  </si>
  <si>
    <t>run #246, 1st at Lymington, BApark #448</t>
  </si>
  <si>
    <t>run #350, 1st at Dublin Bushy, BApark#449</t>
  </si>
  <si>
    <t>first run at Troon, park #248, BApark #450</t>
  </si>
  <si>
    <t>best run at Crane Park since June</t>
  </si>
  <si>
    <t>run #105, 28th at Salisbury</t>
  </si>
  <si>
    <t>27:31 for fourth time at Salisbury</t>
  </si>
  <si>
    <t>run #216, 209th at Bedfont Lakes</t>
  </si>
  <si>
    <t>run #273, 226th at Bedfont Lakes</t>
  </si>
  <si>
    <t>run #332, 193rd at Bedfont Lakes</t>
  </si>
  <si>
    <t>best run at Bedfont since May</t>
  </si>
  <si>
    <t>(pacer), run #451</t>
  </si>
  <si>
    <t>(pacer), run #275</t>
  </si>
  <si>
    <t>run #114, 9th at Rickmansworth</t>
  </si>
  <si>
    <t>Ealing Eagles</t>
  </si>
  <si>
    <t>Michelle Garratt</t>
  </si>
  <si>
    <t>Shelly</t>
  </si>
  <si>
    <t>R Tunbridge W</t>
  </si>
  <si>
    <t>Shorne W</t>
  </si>
  <si>
    <t>West Sussex</t>
  </si>
  <si>
    <t>E</t>
  </si>
  <si>
    <t>run #257, 8th at Osterley</t>
  </si>
  <si>
    <t>101st run at Harrow</t>
  </si>
  <si>
    <t>97th run at Harrow</t>
  </si>
  <si>
    <t>run #50, 30th at Banstead</t>
  </si>
  <si>
    <t>1st run at Bedfont  this year</t>
  </si>
  <si>
    <t>run #31, 22nd at Bedfont, 2nd this year</t>
  </si>
  <si>
    <t>run #404, 315th at Reading</t>
  </si>
  <si>
    <t>run #260, 171st at Reading</t>
  </si>
  <si>
    <t>run #247, course pb, club rec (F)</t>
  </si>
  <si>
    <t>run #276, 5th at Black Park</t>
  </si>
  <si>
    <t>31st run at Gunnersbury</t>
  </si>
  <si>
    <t>295th run at Gunnersbury</t>
  </si>
  <si>
    <t>1st run at Linford Wood, club rec(F), park #33</t>
  </si>
  <si>
    <t>near Milton Keynes</t>
  </si>
  <si>
    <t>180th run at Crane Park</t>
  </si>
  <si>
    <t>12th run at Crane Park</t>
  </si>
  <si>
    <t>park #249, club rec (M)</t>
  </si>
  <si>
    <t>Hasenheide (Berlin)</t>
  </si>
  <si>
    <t>4th run at Hasenheide</t>
  </si>
  <si>
    <t>3rd run at Mole Valley</t>
  </si>
  <si>
    <t>13th run at Hazelwood</t>
  </si>
  <si>
    <t>28th run at Hazelwood</t>
  </si>
  <si>
    <t>1st run at Dishley, park #11</t>
  </si>
  <si>
    <t>1st run at Dishley, park #80</t>
  </si>
  <si>
    <t>run #274 plus token sorting</t>
  </si>
  <si>
    <t>run #217 plus token sorting</t>
  </si>
  <si>
    <t>75th run at Crane Park</t>
  </si>
  <si>
    <t>run #106, 20th at Osterley</t>
  </si>
  <si>
    <t>run #92, park #31</t>
  </si>
  <si>
    <t>1st run at Wendover, club record</t>
  </si>
  <si>
    <t>run #89, 19th at Frimley</t>
  </si>
  <si>
    <t>5th run at Homewood, agegrade% pb</t>
  </si>
  <si>
    <t>Vikki</t>
  </si>
  <si>
    <t>Foster</t>
  </si>
  <si>
    <t>run #136, 6th at Homewood</t>
  </si>
  <si>
    <t>128 runs at Woking, pb 23:17</t>
  </si>
  <si>
    <t>Michael Ball is also a member of Woking AC</t>
  </si>
  <si>
    <t>Dishley Loughborough</t>
  </si>
  <si>
    <t>Market Rasen Racecourse</t>
  </si>
  <si>
    <t>MRR</t>
  </si>
  <si>
    <t>LN8 3EA</t>
  </si>
  <si>
    <t>run #65, 1st at Homewood</t>
  </si>
  <si>
    <t>WARR in Amsterdam</t>
  </si>
  <si>
    <t>Brooklands</t>
  </si>
  <si>
    <t>run #321, park #250, BApark #451</t>
  </si>
  <si>
    <t>run #209, park #102</t>
  </si>
  <si>
    <t>run #32, 23rd at Bedfont</t>
  </si>
  <si>
    <t>run #333,278th at Bedfont</t>
  </si>
  <si>
    <t>run #304, 29th at Hazelwood</t>
  </si>
  <si>
    <t>50th run at March</t>
  </si>
  <si>
    <t>run #106, 29th at Salisbury</t>
  </si>
  <si>
    <t>run #180, 12th at Northala</t>
  </si>
  <si>
    <t>run #103, 68th at Northala</t>
  </si>
  <si>
    <t>run #99, 57th at Woking</t>
  </si>
  <si>
    <t>run #405, 316th at Reading</t>
  </si>
  <si>
    <t>run #261, 172nd at Reading</t>
  </si>
  <si>
    <t>4th run at Nonsuch</t>
  </si>
  <si>
    <t>run #143, 28th at FrimleyBenita</t>
  </si>
  <si>
    <t>5th run at Gladstone Park</t>
  </si>
  <si>
    <t>6th run at Gladstone Park</t>
  </si>
  <si>
    <t>143rd run at Gunnersbury</t>
  </si>
  <si>
    <t>run #90, 20th at Frimley Lodge</t>
  </si>
  <si>
    <t>run #35, 34th at Richmond</t>
  </si>
  <si>
    <t>run #137, 129th at Woking</t>
  </si>
  <si>
    <t>run #122, 27th at Old Deer Park</t>
  </si>
  <si>
    <t>F-2, course pb, club rec(F), run #248</t>
  </si>
  <si>
    <t>run #54, 47th at Curl Curl</t>
  </si>
  <si>
    <t>2nd run at Greenwich (Avery Hill Park)</t>
  </si>
  <si>
    <t>JFM</t>
  </si>
  <si>
    <t>Jersey Farm</t>
  </si>
  <si>
    <t>Jersey Farm (St Albans)</t>
  </si>
  <si>
    <t>discontinued Oct 2018</t>
  </si>
  <si>
    <t>AL4 9LQ</t>
  </si>
  <si>
    <t>30 miles by car</t>
  </si>
  <si>
    <t>7.29 District line from Hammersmith, Westminster, 0805 London Bridge to Falconwood (Dartford train)</t>
  </si>
  <si>
    <t>BLD</t>
  </si>
  <si>
    <t>park #251, BApark #452</t>
  </si>
  <si>
    <t>run #34, 1st at Memda</t>
  </si>
  <si>
    <t>MDA</t>
  </si>
  <si>
    <t>Mernda (Melbourne, VIC)</t>
  </si>
  <si>
    <t>Mernda Adventure Park, VIC</t>
  </si>
  <si>
    <t>Roderiick Hoffman</t>
  </si>
  <si>
    <t>UTC + 11</t>
  </si>
  <si>
    <t>Memda VIC</t>
  </si>
  <si>
    <t>2nd run at Finsbury Park</t>
  </si>
  <si>
    <t>Davis</t>
  </si>
  <si>
    <t>Manor Field Whittlesey</t>
  </si>
  <si>
    <t>Higginson Marlow</t>
  </si>
  <si>
    <t>running with daughter (JW10)</t>
  </si>
  <si>
    <t>tail walker and token sorter</t>
  </si>
  <si>
    <t>MOG</t>
  </si>
  <si>
    <t>run #120, 102nd at Harrow</t>
  </si>
  <si>
    <t>run #116, 98th at Harrow</t>
  </si>
  <si>
    <t>run #305, 236th at Bushy Park</t>
  </si>
  <si>
    <t>first run at Bushy since February</t>
  </si>
  <si>
    <t>run #181, 54th at Bushy</t>
  </si>
  <si>
    <t>run #81, 5th at Bushy Park</t>
  </si>
  <si>
    <t>run #218, 211th at Bedfont Lakes</t>
  </si>
  <si>
    <t>run #278,190th at Bedfont Lakes</t>
  </si>
  <si>
    <t>run #208, 136th at Bedfont Lakes</t>
  </si>
  <si>
    <t>run #259, 158th at Bedfont Lakes</t>
  </si>
  <si>
    <t>run #334, 279th at Bedfont Lakes</t>
  </si>
  <si>
    <t>run #27, best so far in 2018</t>
  </si>
  <si>
    <t>1st at Beckenham Place, club record</t>
  </si>
  <si>
    <t>1st at Beckenham Place, club record (F)</t>
  </si>
  <si>
    <t>run #211, 182nd at Crane Park</t>
  </si>
  <si>
    <t>run #533, 8th at Osterley</t>
  </si>
  <si>
    <t>run #104, 69th at Northala Fields</t>
  </si>
  <si>
    <t>has turned 70 only very recently</t>
  </si>
  <si>
    <t>run #210, 24th at Leicester Victoria</t>
  </si>
  <si>
    <t>run #66, 3rd at Whittlesey</t>
  </si>
  <si>
    <t>F-3, 29th run at Frimley Lodge</t>
  </si>
  <si>
    <t>1st run at Frimley Lodge</t>
  </si>
  <si>
    <t>run #91, 21st Frimley Lodge</t>
  </si>
  <si>
    <t>run #135, 69th at Maidenhead</t>
  </si>
  <si>
    <t>run #152, 69th at Maidenhead</t>
  </si>
  <si>
    <t>run #93, 42nd at Black Park</t>
  </si>
  <si>
    <t>first run round the new course at Osterley</t>
  </si>
  <si>
    <t>run #23, 13th at Cirencester</t>
  </si>
  <si>
    <t>F-1, run #249, 1st at Woking</t>
  </si>
  <si>
    <t>Kay trinder holds female record with 20:49</t>
  </si>
  <si>
    <t>Mt Edgcumbe</t>
  </si>
  <si>
    <t>Michael Ball</t>
  </si>
  <si>
    <t>not run yet</t>
  </si>
  <si>
    <t>XC team member with sub 21 runs at Bedfont, Hazelwood, Fulham Palace &amp; Northala Fields</t>
  </si>
  <si>
    <t>first parkrun in Cornwall, BApark #453</t>
  </si>
  <si>
    <t>course records to be checked</t>
  </si>
  <si>
    <t>Somerdale Pavilion</t>
  </si>
  <si>
    <t>started 17 Nov 2018</t>
  </si>
  <si>
    <t>SOM</t>
  </si>
  <si>
    <t>John Coffey 26:29, Joe Aspinall 25:27</t>
  </si>
  <si>
    <t>record down to 25:27</t>
  </si>
  <si>
    <t>John Coffey 26:29</t>
  </si>
  <si>
    <t>record down to 35:52</t>
  </si>
  <si>
    <t>Japan</t>
  </si>
  <si>
    <t>GAB</t>
  </si>
  <si>
    <t>or Piccadilly Line to Finsbury Park &amp; walk</t>
  </si>
  <si>
    <t>Queens Domain</t>
  </si>
  <si>
    <t>QED</t>
  </si>
  <si>
    <t>Queens Domain (Tasmania)</t>
  </si>
  <si>
    <t>UTC + 11, 0900</t>
  </si>
  <si>
    <t>99th run at Harrow , 3rd in age category</t>
  </si>
  <si>
    <t>103rd run at Harrow, 3rd in age category</t>
  </si>
  <si>
    <t>134th run at Gunnersbury, 1st in age category</t>
  </si>
  <si>
    <t xml:space="preserve"> 1:02:56</t>
  </si>
  <si>
    <t>296th run at Gunnersbury, 1st in age category</t>
  </si>
  <si>
    <t>1st run at Brooklands, 5th in age category</t>
  </si>
  <si>
    <t>1st run at Brooklands, 2nd in age category</t>
  </si>
  <si>
    <t>former member, 2nd in age category</t>
  </si>
  <si>
    <t>1st run at Brooklands, age category record</t>
  </si>
  <si>
    <t>Depot, Gainsville</t>
  </si>
  <si>
    <t>Depot Park, Gainsville Fl, USA</t>
  </si>
  <si>
    <t>UTC-5, 0730</t>
  </si>
  <si>
    <t>1st run at Depot, 2nd in age category</t>
  </si>
  <si>
    <t>36 runners</t>
  </si>
  <si>
    <t>DEP</t>
  </si>
  <si>
    <t>Depot Park, Gainsville, Fl, USA</t>
  </si>
  <si>
    <t>Depot</t>
  </si>
  <si>
    <t>1st run at Dinton Pastures, age cat record</t>
  </si>
  <si>
    <t>30th run at Hazelwood, 1st in age category</t>
  </si>
  <si>
    <t>first run in Tasmania, 4th in age category</t>
  </si>
  <si>
    <t>70th run at Northala, 3rd in age category</t>
  </si>
  <si>
    <t>9th run at Osterley, 2nd in age category</t>
  </si>
  <si>
    <t>1st in age cat</t>
  </si>
  <si>
    <t>1st run at Henley, 2nd in age category</t>
  </si>
  <si>
    <t>1st parkrun for six years</t>
  </si>
  <si>
    <t>Wycombe, Woodley, Gunnersbury, Upton Court in autumn of 2012</t>
  </si>
  <si>
    <t>317th run at Reading, 1st in age category</t>
  </si>
  <si>
    <t>27' pacer, 13th in age category</t>
  </si>
  <si>
    <t>148th run at Bedfont, 1st in age category</t>
  </si>
  <si>
    <t>212th run at Bedfont, 6th in age category</t>
  </si>
  <si>
    <t>89th run at Bedfont, 5th in age category</t>
  </si>
  <si>
    <t>280th run at Bedfont, 2nd in age category</t>
  </si>
  <si>
    <t>194th run at Bedfont, 2nd in age category</t>
  </si>
  <si>
    <t>239th run at Bedfont, 12th in age category</t>
  </si>
  <si>
    <t>Medina, IOW</t>
  </si>
  <si>
    <t>1st run at Medina, 3rd in age category</t>
  </si>
  <si>
    <t>1st run at Medina, 8th in age category</t>
  </si>
  <si>
    <t>Stratford-upon-Avon</t>
  </si>
  <si>
    <t>"1st" run at Stratford, 5th in age category</t>
  </si>
  <si>
    <t>1st run at Stratford, 5th in age category</t>
  </si>
  <si>
    <t>14th run at Cirencester, 3rd in age category</t>
  </si>
  <si>
    <t>35th run at Richmond, 7th in age category</t>
  </si>
  <si>
    <t>Two new parks</t>
  </si>
  <si>
    <t>Fulham at Chelsea</t>
  </si>
  <si>
    <t>club rec(M)</t>
  </si>
  <si>
    <t>run#2 at Brooklands (pb), 6th in age category</t>
  </si>
  <si>
    <t>run #1 at Gladstone, park #81, club record, agecat-1</t>
  </si>
  <si>
    <t>Thanksgiving day special event</t>
  </si>
  <si>
    <t>1st run at Brooklands, 4th in age category</t>
  </si>
  <si>
    <t>Elmbridge</t>
  </si>
  <si>
    <t>Heartwood ((discontinued)</t>
  </si>
  <si>
    <t>run #14, 2n at Woodley</t>
  </si>
  <si>
    <t>Calendar bingo checker</t>
  </si>
  <si>
    <t>Tooting Com</t>
  </si>
  <si>
    <t>Wormwood S</t>
  </si>
  <si>
    <t>RTunbridgeW</t>
  </si>
  <si>
    <t>Highbury F</t>
  </si>
  <si>
    <t>January</t>
  </si>
  <si>
    <t>Bedfont Lake</t>
  </si>
  <si>
    <t>Greenwich/HF</t>
  </si>
  <si>
    <t>Princes LPL</t>
  </si>
  <si>
    <t>Crystal Pal</t>
  </si>
  <si>
    <t>Shorne Wood</t>
  </si>
  <si>
    <t>Beckenham P</t>
  </si>
  <si>
    <t>Woodhouse M</t>
  </si>
  <si>
    <t>Frimley Lod</t>
  </si>
  <si>
    <t>Northala F</t>
  </si>
  <si>
    <t>Clapham Com</t>
  </si>
  <si>
    <t>S Woodham F</t>
  </si>
  <si>
    <t>Old Deer Prk</t>
  </si>
  <si>
    <t>Hockley W</t>
  </si>
  <si>
    <t>Fulham P</t>
  </si>
  <si>
    <t>Finsbury Pk</t>
  </si>
  <si>
    <t>Jells</t>
  </si>
  <si>
    <t>JEL</t>
  </si>
  <si>
    <t>100th run at Harrow</t>
  </si>
  <si>
    <t>run #335, 12th at Fulham Palace</t>
  </si>
  <si>
    <t>Fulham Palace (cfp)</t>
  </si>
  <si>
    <t>1st run at Fulham Palace, park #11</t>
  </si>
  <si>
    <t>park #253, BA park #457</t>
  </si>
  <si>
    <t>run #250, F-2, park #33</t>
  </si>
  <si>
    <t>1st run at Brooklands</t>
  </si>
  <si>
    <t>run #93, 2nd at Brooklands</t>
  </si>
  <si>
    <t>1st run at Brooklands + report writer</t>
  </si>
  <si>
    <t>1st run at Brooklands, tailwalker companion</t>
  </si>
  <si>
    <t>run #307, 31st at Hazelwood</t>
  </si>
  <si>
    <t>run #67, 51st at March</t>
  </si>
  <si>
    <t>run #212, 183rd at Crane, only 110 runners</t>
  </si>
  <si>
    <t>1st run at Houghton Hall, park #103</t>
  </si>
  <si>
    <t>run #535, 297th run at Gunnersbury</t>
  </si>
  <si>
    <t>run #408, 318th at Reading</t>
  </si>
  <si>
    <t>run #220, M-23, only 90 finishers at Bedfont</t>
  </si>
  <si>
    <t>run #353, 286th at Bushy, only 697 runners</t>
  </si>
  <si>
    <t>run #112, 87th at Woking</t>
  </si>
  <si>
    <t>run #137, 6th at Gladstone</t>
  </si>
  <si>
    <t>run #154, 7th at Gladstone</t>
  </si>
  <si>
    <t>2nd run at Stratford, much quicker</t>
  </si>
  <si>
    <t>best at Fulham is 17:04</t>
  </si>
  <si>
    <t>pb at Southend is 22:25</t>
  </si>
  <si>
    <t>Brousse (LCY)</t>
  </si>
  <si>
    <t>prospective member</t>
  </si>
  <si>
    <t>run #617, park #271</t>
  </si>
  <si>
    <t>run #448, park #201</t>
  </si>
  <si>
    <t>Highbury Fld</t>
  </si>
  <si>
    <t>Adam Moquet</t>
  </si>
  <si>
    <t>Emanuel</t>
  </si>
  <si>
    <t>Outstations Delivery Manager (LCY) BA Cityflyer</t>
  </si>
  <si>
    <t>run #35, park #10</t>
  </si>
  <si>
    <t>EBR</t>
  </si>
  <si>
    <t>East Brighton</t>
  </si>
  <si>
    <t>start 8/12/18</t>
  </si>
  <si>
    <t>BN2 5PB</t>
  </si>
  <si>
    <t>79 miles via M4, M25, M23</t>
  </si>
  <si>
    <t>63 miles by car</t>
  </si>
  <si>
    <t>Roderick at Valentines(42)</t>
  </si>
  <si>
    <t>Roderick at Geelong(43)</t>
  </si>
  <si>
    <t>Roderick at Pymmes(44)</t>
  </si>
  <si>
    <t>volunteer(GUN)</t>
  </si>
  <si>
    <t>(G R S)</t>
  </si>
  <si>
    <t>C</t>
  </si>
  <si>
    <t>R</t>
  </si>
  <si>
    <t>U</t>
  </si>
  <si>
    <t>I</t>
  </si>
  <si>
    <t>S</t>
  </si>
  <si>
    <t>N</t>
  </si>
  <si>
    <t>G</t>
  </si>
  <si>
    <t>A</t>
  </si>
  <si>
    <t>T</t>
  </si>
  <si>
    <t>L</t>
  </si>
  <si>
    <t>P</t>
  </si>
  <si>
    <t>( G R S)</t>
  </si>
  <si>
    <t>SALAMANDER</t>
  </si>
  <si>
    <t>volunteer(lead bike)</t>
  </si>
  <si>
    <t>volunteeer(GUN)</t>
  </si>
  <si>
    <t>Old Deer</t>
  </si>
  <si>
    <t>Wycombe R</t>
  </si>
  <si>
    <t>#(1)</t>
  </si>
  <si>
    <t>(2)</t>
  </si>
  <si>
    <t>(3)</t>
  </si>
  <si>
    <t>Q Eliz</t>
  </si>
  <si>
    <t>volunteerGUN)</t>
  </si>
  <si>
    <t>Hilly F</t>
  </si>
  <si>
    <t>(funeral)</t>
  </si>
  <si>
    <t>(Florida)</t>
  </si>
  <si>
    <t>GRS</t>
  </si>
  <si>
    <t>Liverpool Tri</t>
  </si>
  <si>
    <t>Barbados</t>
  </si>
  <si>
    <t>Hong Kong</t>
  </si>
  <si>
    <t>Miami</t>
  </si>
  <si>
    <t>SINGAPORE</t>
  </si>
  <si>
    <t xml:space="preserve">G </t>
  </si>
  <si>
    <t>ITU</t>
  </si>
  <si>
    <t>BTF</t>
  </si>
  <si>
    <t>50th run at Curl Curl, F-6</t>
  </si>
  <si>
    <t>first in age group by 5 minutes</t>
  </si>
  <si>
    <t>novice companion</t>
  </si>
  <si>
    <t>course set up and tailwalker companion</t>
  </si>
  <si>
    <t>tailwalker, signage tidyup</t>
  </si>
  <si>
    <t>1st run at Glossop, park #42</t>
  </si>
  <si>
    <t>run #282, 50th of 2018</t>
  </si>
  <si>
    <t>run #409, 319th at Reading</t>
  </si>
  <si>
    <t>run #212. 63rd at Braunstone</t>
  </si>
  <si>
    <t>run #33, 5th at Crane Park</t>
  </si>
  <si>
    <t>run #213, 184th at Crane Park</t>
  </si>
  <si>
    <t>F-3, run #251, 57th at Crane Park</t>
  </si>
  <si>
    <t>Woodfley</t>
  </si>
  <si>
    <t>run #262, 59th at Woodley</t>
  </si>
  <si>
    <t>run #262, 19th at Osterley</t>
  </si>
  <si>
    <t>run #107, 71st at Crane Park</t>
  </si>
  <si>
    <t>1st run at Maidenhead, park #38</t>
  </si>
  <si>
    <t>M-2, run #153, 15th at Hazelwood</t>
  </si>
  <si>
    <t>M-3, run #125, 9th at Hazelwood</t>
  </si>
  <si>
    <t>helped an older first timer</t>
  </si>
  <si>
    <t>Manor Fields, Whittlesey</t>
  </si>
  <si>
    <t>1st run at Brooklands, age cat record</t>
  </si>
  <si>
    <t>run #181, 149th at Bedfont</t>
  </si>
  <si>
    <t>run #155, 70th at Maidenhead</t>
  </si>
  <si>
    <t>run #94, 2nd at Osterley</t>
  </si>
  <si>
    <t>run #48, 31st at Tilgate</t>
  </si>
  <si>
    <t>run #37, 36th at Richmond</t>
  </si>
  <si>
    <t>Emmanuel</t>
  </si>
  <si>
    <t>Brousse</t>
  </si>
  <si>
    <t>run #49, 32nd at Southend</t>
  </si>
  <si>
    <t>Wendover(again)</t>
  </si>
  <si>
    <t>+ volunteering</t>
  </si>
  <si>
    <t>run #325, course pb</t>
  </si>
  <si>
    <t>Richmond(pb)</t>
  </si>
  <si>
    <t>Albert Mel</t>
  </si>
  <si>
    <t>Hampstead</t>
  </si>
  <si>
    <t>Liverpool</t>
  </si>
  <si>
    <t>Walthamstowe</t>
  </si>
  <si>
    <t>q</t>
  </si>
  <si>
    <t>KWS</t>
  </si>
  <si>
    <t>Kew Woods Southport</t>
  </si>
  <si>
    <t>PR8 4HX</t>
  </si>
  <si>
    <t>Woolacombe Dunes</t>
  </si>
  <si>
    <t>EX34 7BA</t>
  </si>
  <si>
    <t>1st run at Brooklands, with son (junior)</t>
  </si>
  <si>
    <t>1st run at Brooklands, with daughter (junior)</t>
  </si>
  <si>
    <t>5th run at Marlow, course pb, club record</t>
  </si>
  <si>
    <t>5th run at Whittlsey, escort to a pb (WV70)</t>
  </si>
  <si>
    <t>coaching run , a little bit faster</t>
  </si>
  <si>
    <t>first run by a current member</t>
  </si>
  <si>
    <t>F-4, 88th run at Woking</t>
  </si>
  <si>
    <t>76th run at Crane Park</t>
  </si>
  <si>
    <t>71st run at Maidenhead</t>
  </si>
  <si>
    <t>59th run at Woking</t>
  </si>
  <si>
    <t>37th run at Richmond Park</t>
  </si>
  <si>
    <t>3rd run at Brooklands</t>
  </si>
  <si>
    <t>80th run at Woodley</t>
  </si>
  <si>
    <t>287th run at Bushy</t>
  </si>
  <si>
    <t>3rd run of year, all at Bushy, best</t>
  </si>
  <si>
    <t>320th run at Reading</t>
  </si>
  <si>
    <t>64th run at Braunstone</t>
  </si>
  <si>
    <t>5th run at Rickmansworth</t>
  </si>
  <si>
    <t>185th run at Crane Park</t>
  </si>
  <si>
    <t>32nd run at Crane Park</t>
  </si>
  <si>
    <t>72nd run at Northala</t>
  </si>
  <si>
    <t>32nd run at Hazelwood</t>
  </si>
  <si>
    <t>62nd run at Guildford</t>
  </si>
  <si>
    <t>2nd run at Guildford, year after 1st</t>
  </si>
  <si>
    <t>215th run at Bedfont Lakes</t>
  </si>
  <si>
    <t>276th run at Bedfont Lakes</t>
  </si>
  <si>
    <t>196th run at Bedfont Lakes</t>
  </si>
  <si>
    <t>230th run at Bedfont Lakes</t>
  </si>
  <si>
    <t>192nd run at Bedfont Lakes</t>
  </si>
  <si>
    <t>137th run at Bedfont Lakes</t>
  </si>
  <si>
    <t>282nd at Bedfont Lakes</t>
  </si>
  <si>
    <t>150th run at Bedfont Lakes</t>
  </si>
  <si>
    <t>299th run at Gunnersbury, Santa Run</t>
  </si>
  <si>
    <t>136th run at Gunnersbury, Santa Run</t>
  </si>
  <si>
    <t>next cfp 19th January</t>
  </si>
  <si>
    <t>MBC</t>
  </si>
  <si>
    <t xml:space="preserve">Marlborough </t>
  </si>
  <si>
    <t>after 10 weeks</t>
  </si>
  <si>
    <t>1st run at Sedgefield, BApark #459</t>
  </si>
  <si>
    <t>run#1 at Marlborough, park #6, BApark#458</t>
  </si>
  <si>
    <t>+ course clearing check</t>
  </si>
  <si>
    <t>Marlborough, Sedgefield</t>
  </si>
  <si>
    <t>RT Wells</t>
  </si>
  <si>
    <t>Canons</t>
  </si>
  <si>
    <t>Beckenham Place(80)</t>
  </si>
  <si>
    <t>Roding</t>
  </si>
  <si>
    <t>E Grinstead</t>
  </si>
  <si>
    <t>Vic Dock</t>
  </si>
  <si>
    <t>SW Ferrers</t>
  </si>
  <si>
    <t>Dartford H</t>
  </si>
  <si>
    <t>FootsCray</t>
  </si>
  <si>
    <t>Hockley</t>
  </si>
  <si>
    <t>run #356, 288th at Bushy Park</t>
  </si>
  <si>
    <t>run #459, 277th at Bedfont Lakes</t>
  </si>
  <si>
    <t>run #279, 231st at Bedfont Lakes</t>
  </si>
  <si>
    <t>run #223, 216th at Bedfont Lakes</t>
  </si>
  <si>
    <t>run #339, 283rd at Bedfont Lakes</t>
  </si>
  <si>
    <t>run #339, 197th at Bedfont Lakes</t>
  </si>
  <si>
    <t>run #211, 138th at Bedfont Lakes</t>
  </si>
  <si>
    <t>run #264, 159th at Bedfont Lakes</t>
  </si>
  <si>
    <t>run #284, 193rd at Bedfont Lakes</t>
  </si>
  <si>
    <t>run #411, 321st at Reading</t>
  </si>
  <si>
    <t>3" off pb set last year before Xmas</t>
  </si>
  <si>
    <t>run #252, 19th at Old Deer Park</t>
  </si>
  <si>
    <t>run #538, 300th at Gunnersbury</t>
  </si>
  <si>
    <t>1st run at Dulwich, park #82</t>
  </si>
  <si>
    <t>F-4, run #55, 2nd at Dulwich, course pb</t>
  </si>
  <si>
    <t>run #18, 1st at Dulwich</t>
  </si>
  <si>
    <t>run #264, 81st at Woodley</t>
  </si>
  <si>
    <t>run #108, 30th at Salisbury</t>
  </si>
  <si>
    <t>run #70, 52nd at March</t>
  </si>
  <si>
    <t>run #69, 1st at Mole Valley</t>
  </si>
  <si>
    <t>run #155, 16th at Hazelwood</t>
  </si>
  <si>
    <t>run #310, 33rd at Hazelwood</t>
  </si>
  <si>
    <t>run #338, 25th at Richmond</t>
  </si>
  <si>
    <t>run #119, 101st at Harrow</t>
  </si>
  <si>
    <t>run #124,106th at Harrow</t>
  </si>
  <si>
    <t xml:space="preserve">Davis  </t>
  </si>
  <si>
    <t>run #72, 1st at Kingston</t>
  </si>
  <si>
    <t>run #127, with daughter (junior)</t>
  </si>
  <si>
    <t>run #146, 19th at Woking</t>
  </si>
  <si>
    <t>run #372, 77th at Crane</t>
  </si>
  <si>
    <t>run #157, 72nd at Maidenhead</t>
  </si>
  <si>
    <t>run #215, 114th at Gunnersbury</t>
  </si>
  <si>
    <t>run #49, 32nd at Tilgate</t>
  </si>
  <si>
    <t>run #68, 60th at Woking</t>
  </si>
  <si>
    <t>run #50, 33rd at Southend</t>
  </si>
  <si>
    <t>run #326, park #254, best agegrage% 2018</t>
  </si>
  <si>
    <t>cfp Marlow</t>
  </si>
  <si>
    <t>Fred</t>
  </si>
  <si>
    <t>Olsen</t>
  </si>
  <si>
    <t>run #214, 65th at Braunstone</t>
  </si>
  <si>
    <t>first parkrun for 15 months</t>
  </si>
  <si>
    <t>M-29, run #20</t>
  </si>
  <si>
    <t>1st run at Huntingdon, park #10, club rec(F)</t>
  </si>
  <si>
    <t>run #13, 3rd at Rickmansworth</t>
  </si>
  <si>
    <t>run #120, 10th at Rickmansworth</t>
  </si>
  <si>
    <t>run #33, 6th at Rickmansworth</t>
  </si>
  <si>
    <t>run #125, 16th at Rickmansworth</t>
  </si>
  <si>
    <t>6th consecutive Xmas Day run at Walsall</t>
  </si>
  <si>
    <t xml:space="preserve">Tim </t>
  </si>
  <si>
    <t>run 412, 2nd at Dinton Pastures</t>
  </si>
  <si>
    <t>run #183, 3rd at Bushy</t>
  </si>
  <si>
    <t>run #340, 5th at Bushy, course pb</t>
  </si>
  <si>
    <t>run #107, 2nd at Cassiobury, course pb</t>
  </si>
  <si>
    <t>run #94, 2nd at Southsea</t>
  </si>
  <si>
    <t>run #216, 10th at Northala, best pr this year</t>
  </si>
  <si>
    <t>run #14, 1st at Northala Fields</t>
  </si>
  <si>
    <t>run #34, 6th at Crane, course pb</t>
  </si>
  <si>
    <t>run #253, club course record (F)</t>
  </si>
  <si>
    <t>best run at Braunstone in 2018</t>
  </si>
  <si>
    <t>run #158, 3rd at Norwich</t>
  </si>
  <si>
    <t>run #11, park #11, club course record</t>
  </si>
  <si>
    <t>run #341, 198th at Bedfont</t>
  </si>
  <si>
    <t>run #341, 284th at Bedfont</t>
  </si>
  <si>
    <t>run #184, 151st at Bedfont</t>
  </si>
  <si>
    <t>Hofffman</t>
  </si>
  <si>
    <t>run #121, 102nd at Harrow</t>
  </si>
  <si>
    <t>run #126, 107th at Harrow</t>
  </si>
  <si>
    <t>run #339, 4th at Black Park</t>
  </si>
  <si>
    <t xml:space="preserve">Joe </t>
  </si>
  <si>
    <t>run #312, first for over six months</t>
  </si>
  <si>
    <t>run #95, best at Black Park this year</t>
  </si>
  <si>
    <t>run #109, 73rd at Northala Fields</t>
  </si>
  <si>
    <t>run #72, 53rd at March</t>
  </si>
  <si>
    <t>34th run at Hazelwood (out of 42 in total)</t>
  </si>
  <si>
    <t>F-2, 3rd run at Hazelwood</t>
  </si>
  <si>
    <t>Fire Service College</t>
  </si>
  <si>
    <t>FSC</t>
  </si>
  <si>
    <t>run #69, 61st at Woking</t>
  </si>
  <si>
    <t>Hyde</t>
  </si>
  <si>
    <t>HYD</t>
  </si>
  <si>
    <t>run #141, 4th at Brooklands</t>
  </si>
  <si>
    <t>Fire Service</t>
  </si>
  <si>
    <t>run #409, 6th at Bedfont Lakes</t>
  </si>
  <si>
    <t>run #73, 4th at Bushy (annual visit)</t>
  </si>
  <si>
    <t>run #358, 290th at Bushy (5th this Dec)</t>
  </si>
  <si>
    <t>run #128, 3rd at Bushy (annual visit)</t>
  </si>
  <si>
    <t>run #215, 186th at Crane</t>
  </si>
  <si>
    <t>run #281, 31st at Crane</t>
  </si>
  <si>
    <t>run #56, 32nd at Gunnersbury (8th of 2018)</t>
  </si>
  <si>
    <t>run #265, 82nd at Woodley</t>
  </si>
  <si>
    <t>run #283, 3rd at Guildford</t>
  </si>
  <si>
    <t>run #700, 371st at Frimley Lodge</t>
  </si>
  <si>
    <t>run #39, 1st at Hyde, BA park#462</t>
  </si>
  <si>
    <t>run #217, park #38, BA park #460</t>
  </si>
  <si>
    <t>run #327, 1st at Witney, BA park #461</t>
  </si>
  <si>
    <t>run #286, 194th at Bedfont, run #54 of 2018</t>
  </si>
  <si>
    <t>run #539, 9th at Osterley, run #51 of 2018</t>
  </si>
  <si>
    <t>run #413, 322nd at Reading, run #50 of 2018</t>
  </si>
  <si>
    <t>run #266, 11th at Osterley, run #50 of 2018</t>
  </si>
  <si>
    <t>on a streak at Bedfont - 20:35, 20:34, 20:33</t>
  </si>
  <si>
    <t>run #182, 55th at Bushy  (4th this year)</t>
  </si>
  <si>
    <r>
      <rPr>
        <b/>
        <sz val="10"/>
        <rFont val="Arial"/>
        <family val="2"/>
      </rPr>
      <t>A</t>
    </r>
    <r>
      <rPr>
        <sz val="10"/>
        <rFont val="Arial"/>
        <family val="2"/>
      </rPr>
      <t>lbert Mel</t>
    </r>
  </si>
  <si>
    <r>
      <rPr>
        <b/>
        <sz val="10"/>
        <rFont val="Arial"/>
        <family val="2"/>
      </rPr>
      <t>B</t>
    </r>
    <r>
      <rPr>
        <sz val="10"/>
        <rFont val="Arial"/>
        <family val="2"/>
      </rPr>
      <t>anstead</t>
    </r>
  </si>
  <si>
    <r>
      <rPr>
        <b/>
        <sz val="10"/>
        <rFont val="Arial"/>
        <family val="2"/>
      </rPr>
      <t>C</t>
    </r>
    <r>
      <rPr>
        <sz val="10"/>
        <rFont val="Arial"/>
        <family val="2"/>
      </rPr>
      <t>anons</t>
    </r>
  </si>
  <si>
    <r>
      <rPr>
        <b/>
        <sz val="10"/>
        <rFont val="Arial"/>
        <family val="2"/>
      </rPr>
      <t>D</t>
    </r>
    <r>
      <rPr>
        <sz val="10"/>
        <rFont val="Arial"/>
        <family val="2"/>
      </rPr>
      <t>artford</t>
    </r>
  </si>
  <si>
    <r>
      <rPr>
        <b/>
        <sz val="10"/>
        <rFont val="Arial"/>
        <family val="2"/>
      </rPr>
      <t xml:space="preserve">E </t>
    </r>
    <r>
      <rPr>
        <sz val="10"/>
        <rFont val="Arial"/>
        <family val="2"/>
      </rPr>
      <t>Grinstead</t>
    </r>
  </si>
  <si>
    <r>
      <rPr>
        <b/>
        <sz val="10"/>
        <rFont val="Arial"/>
        <family val="2"/>
      </rPr>
      <t>F</t>
    </r>
    <r>
      <rPr>
        <sz val="10"/>
        <rFont val="Arial"/>
        <family val="2"/>
      </rPr>
      <t>insbury</t>
    </r>
  </si>
  <si>
    <r>
      <rPr>
        <b/>
        <sz val="10"/>
        <rFont val="Arial"/>
        <family val="2"/>
      </rPr>
      <t>G</t>
    </r>
    <r>
      <rPr>
        <sz val="10"/>
        <rFont val="Arial"/>
        <family val="2"/>
      </rPr>
      <t>adebridge</t>
    </r>
  </si>
  <si>
    <r>
      <rPr>
        <b/>
        <sz val="10"/>
        <rFont val="Arial"/>
        <family val="2"/>
      </rPr>
      <t>H</t>
    </r>
    <r>
      <rPr>
        <sz val="10"/>
        <rFont val="Arial"/>
        <family val="2"/>
      </rPr>
      <t>ackney</t>
    </r>
  </si>
  <si>
    <r>
      <rPr>
        <b/>
        <sz val="10"/>
        <rFont val="Arial"/>
        <family val="2"/>
      </rPr>
      <t>K</t>
    </r>
    <r>
      <rPr>
        <sz val="10"/>
        <rFont val="Arial"/>
        <family val="2"/>
      </rPr>
      <t>ingston</t>
    </r>
  </si>
  <si>
    <r>
      <rPr>
        <b/>
        <sz val="10"/>
        <rFont val="Arial"/>
        <family val="2"/>
      </rPr>
      <t>L</t>
    </r>
    <r>
      <rPr>
        <sz val="10"/>
        <rFont val="Arial"/>
        <family val="2"/>
      </rPr>
      <t>iverpool</t>
    </r>
  </si>
  <si>
    <r>
      <rPr>
        <b/>
        <sz val="10"/>
        <rFont val="Arial"/>
        <family val="2"/>
      </rPr>
      <t>M</t>
    </r>
    <r>
      <rPr>
        <sz val="10"/>
        <rFont val="Arial"/>
        <family val="2"/>
      </rPr>
      <t>aidenhead</t>
    </r>
  </si>
  <si>
    <r>
      <rPr>
        <b/>
        <sz val="10"/>
        <rFont val="Arial"/>
        <family val="2"/>
      </rPr>
      <t>N</t>
    </r>
    <r>
      <rPr>
        <sz val="10"/>
        <rFont val="Arial"/>
        <family val="2"/>
      </rPr>
      <t>onsuch</t>
    </r>
  </si>
  <si>
    <r>
      <rPr>
        <b/>
        <sz val="10"/>
        <rFont val="Arial"/>
        <family val="2"/>
      </rPr>
      <t>O</t>
    </r>
    <r>
      <rPr>
        <sz val="10"/>
        <rFont val="Arial"/>
        <family val="2"/>
      </rPr>
      <t>ak Hill</t>
    </r>
  </si>
  <si>
    <r>
      <rPr>
        <b/>
        <sz val="10"/>
        <rFont val="Arial"/>
        <family val="2"/>
      </rPr>
      <t>P</t>
    </r>
    <r>
      <rPr>
        <sz val="10"/>
        <rFont val="Arial"/>
        <family val="2"/>
      </rPr>
      <t>anshanger</t>
    </r>
  </si>
  <si>
    <r>
      <rPr>
        <b/>
        <sz val="10"/>
        <rFont val="Arial"/>
        <family val="2"/>
      </rPr>
      <t xml:space="preserve">Q </t>
    </r>
    <r>
      <rPr>
        <sz val="10"/>
        <rFont val="Arial"/>
        <family val="2"/>
      </rPr>
      <t>Eliz</t>
    </r>
  </si>
  <si>
    <r>
      <rPr>
        <b/>
        <sz val="10"/>
        <rFont val="Arial"/>
        <family val="2"/>
      </rPr>
      <t>R</t>
    </r>
    <r>
      <rPr>
        <sz val="10"/>
        <rFont val="Arial"/>
        <family val="2"/>
      </rPr>
      <t>aphael</t>
    </r>
  </si>
  <si>
    <r>
      <rPr>
        <b/>
        <sz val="10"/>
        <rFont val="Arial"/>
        <family val="2"/>
      </rPr>
      <t>S</t>
    </r>
    <r>
      <rPr>
        <sz val="10"/>
        <rFont val="Arial"/>
        <family val="2"/>
      </rPr>
      <t>alisbury</t>
    </r>
  </si>
  <si>
    <r>
      <rPr>
        <b/>
        <sz val="10"/>
        <rFont val="Arial"/>
        <family val="2"/>
      </rPr>
      <t>T</t>
    </r>
    <r>
      <rPr>
        <sz val="10"/>
        <rFont val="Arial"/>
        <family val="2"/>
      </rPr>
      <t>hurrock</t>
    </r>
  </si>
  <si>
    <r>
      <rPr>
        <b/>
        <sz val="10"/>
        <rFont val="Arial"/>
        <family val="2"/>
      </rPr>
      <t>U</t>
    </r>
    <r>
      <rPr>
        <sz val="10"/>
        <rFont val="Arial"/>
        <family val="2"/>
      </rPr>
      <t>pton Ct</t>
    </r>
  </si>
  <si>
    <r>
      <rPr>
        <b/>
        <sz val="10"/>
        <rFont val="Arial"/>
        <family val="2"/>
      </rPr>
      <t>V</t>
    </r>
    <r>
      <rPr>
        <sz val="10"/>
        <rFont val="Arial"/>
        <family val="2"/>
      </rPr>
      <t>alentines</t>
    </r>
  </si>
  <si>
    <r>
      <rPr>
        <b/>
        <sz val="10"/>
        <rFont val="Arial"/>
        <family val="2"/>
      </rPr>
      <t>W</t>
    </r>
    <r>
      <rPr>
        <sz val="10"/>
        <rFont val="Arial"/>
        <family val="2"/>
      </rPr>
      <t>althamstowe</t>
    </r>
  </si>
  <si>
    <t>Z</t>
  </si>
  <si>
    <t>expensive car park (£2.70 before 9 a.m.)</t>
  </si>
  <si>
    <t>Outstanding runs in 2018</t>
  </si>
  <si>
    <t>2018 results</t>
  </si>
  <si>
    <t>Excellent runs by members so far in 2019</t>
  </si>
  <si>
    <t>(see 2018 sheet for 2018 results and highlights.)</t>
  </si>
  <si>
    <t>Frickley (5/1/19)</t>
  </si>
  <si>
    <t>Harrow (1030)</t>
  </si>
  <si>
    <t>Canons Park (9 am)</t>
  </si>
  <si>
    <t>103rd run at Harrow</t>
  </si>
  <si>
    <t>1st run at Canons Park</t>
  </si>
  <si>
    <t>108th run at Harrow</t>
  </si>
  <si>
    <t>Osterley Park (1030)</t>
  </si>
  <si>
    <t>3rd run at Osterley</t>
  </si>
  <si>
    <t>Old Deer Park (9 am)</t>
  </si>
  <si>
    <t>20th run at Old Deer Park</t>
  </si>
  <si>
    <t>Bushy Park (9 am)</t>
  </si>
  <si>
    <t>15th run at Bushy Park</t>
  </si>
  <si>
    <t>Crane Park (1030)</t>
  </si>
  <si>
    <t>34th run at Crane Park</t>
  </si>
  <si>
    <t>291st run at Bushy Park</t>
  </si>
  <si>
    <t>3rd run at Crane Park</t>
  </si>
  <si>
    <t>238th run at Bushy Park</t>
  </si>
  <si>
    <t>187th run at Crane Park</t>
  </si>
  <si>
    <t>8th run at Crane Park</t>
  </si>
  <si>
    <t>2nd run at Old Deer Park</t>
  </si>
  <si>
    <t>80th run at Crane Park</t>
  </si>
  <si>
    <t>6th run at Osterley</t>
  </si>
  <si>
    <t>1st run at Andover, club course record</t>
  </si>
  <si>
    <t>1st run at Eastleigh, club course record</t>
  </si>
  <si>
    <t>record turnout of 514, ran out of finish tokens</t>
  </si>
  <si>
    <t>Fareham (9 am)</t>
  </si>
  <si>
    <t>Lee-on-Solent (1030)</t>
  </si>
  <si>
    <t>1st run at Lee-on-Solent</t>
  </si>
  <si>
    <t>1st run at Fareham plus run report writer</t>
  </si>
  <si>
    <t>Eastleigh (1030)</t>
  </si>
  <si>
    <t>Andover (9 am)</t>
  </si>
  <si>
    <t>Richmond Pk  (9 am)</t>
  </si>
  <si>
    <t>Brighton&amp;Hove(1030)</t>
  </si>
  <si>
    <t>Guildford (9 am)</t>
  </si>
  <si>
    <t>Kingston (10 am)</t>
  </si>
  <si>
    <t>Braunstone (1030)</t>
  </si>
  <si>
    <t>Billericay (9 am)</t>
  </si>
  <si>
    <t>Woodley (1030)</t>
  </si>
  <si>
    <t>Reigate Priory (1030)</t>
  </si>
  <si>
    <t>Cassiobury (1030)</t>
  </si>
  <si>
    <t>Salisbury (1030)</t>
  </si>
  <si>
    <t>Hove Promenade(9am)</t>
  </si>
  <si>
    <t>Leicester Vic(9 am)</t>
  </si>
  <si>
    <t>S Woodham F (1030)</t>
  </si>
  <si>
    <t>Dinton Pastures(830)</t>
  </si>
  <si>
    <t>Prospect Park(1030)</t>
  </si>
  <si>
    <t>Whittlesey (1030)</t>
  </si>
  <si>
    <t>6th run at Whittlesey</t>
  </si>
  <si>
    <t>1st run at Hackney Marshes</t>
  </si>
  <si>
    <t>Highbury Fields(9am)</t>
  </si>
  <si>
    <t>Rushmoor (9 am)</t>
  </si>
  <si>
    <t>1st run at Fareham, club course record</t>
  </si>
  <si>
    <t>1st run at Fareham, club rec(F)</t>
  </si>
  <si>
    <t>1st run at Lee-on-Solent, club rec(F)</t>
  </si>
  <si>
    <t>1st run at Lee-on-Solent, club record</t>
  </si>
  <si>
    <t>1st run at Dinton Pastures</t>
  </si>
  <si>
    <t>1st run at Dinton Pastures, park #83</t>
  </si>
  <si>
    <t>83rd run at Woodley</t>
  </si>
  <si>
    <t>39th run at Rushmoor</t>
  </si>
  <si>
    <t>1st run at Reigate Priory, park #31</t>
  </si>
  <si>
    <t>2nd run at Cassiobury</t>
  </si>
  <si>
    <t>25th run at Leicester Victoria</t>
  </si>
  <si>
    <t>67th run at  Braunstone</t>
  </si>
  <si>
    <t>1st run at Brighton &amp; Hove</t>
  </si>
  <si>
    <t>1st run at Brighton &amp; Hove (with Chloe)</t>
  </si>
  <si>
    <t>attendance 787 (record)</t>
  </si>
  <si>
    <t>4th run at Guildford, course pb</t>
  </si>
  <si>
    <t>1st run at Richmond Park</t>
  </si>
  <si>
    <t>3rd run at Highbury Fields</t>
  </si>
  <si>
    <t>31st run at Salisbury</t>
  </si>
  <si>
    <t>6th run at Bushy Park, course pb</t>
  </si>
  <si>
    <t>4th run at Bushy Park, course pb</t>
  </si>
  <si>
    <t>1st run at Billericay, club rec, park #256</t>
  </si>
  <si>
    <t>1st run at Sth Woodham Ferrers, club rec</t>
  </si>
  <si>
    <t>park #257</t>
  </si>
  <si>
    <t>2nd run faster than first</t>
  </si>
  <si>
    <t>78th run at Crane Park</t>
  </si>
  <si>
    <t>79th run at Crane Park</t>
  </si>
  <si>
    <t>Northala(TK)</t>
  </si>
  <si>
    <t>ODP/Osterley2</t>
  </si>
  <si>
    <t>run #125, 11th at Rickmansworth</t>
  </si>
  <si>
    <t>run #124, 104th at Harrow</t>
  </si>
  <si>
    <t>run #129, 17th at Rickmansworth</t>
  </si>
  <si>
    <t>Rickmansworth#100</t>
  </si>
  <si>
    <t>run#363, 294th at Bushy</t>
  </si>
  <si>
    <t>run#362, 293rd at Bushy</t>
  </si>
  <si>
    <t>run#361, 292nd at Bushy</t>
  </si>
  <si>
    <t>run #130, 2nd at Brooklands, pb</t>
  </si>
  <si>
    <t>F-2, run #259, 1st at Marlow, club record</t>
  </si>
  <si>
    <t>F-1, run #258, club record</t>
  </si>
  <si>
    <t>F-2, run #257, club rec (F)</t>
  </si>
  <si>
    <t>run #332, 2nd at Marlow, pb</t>
  </si>
  <si>
    <t>324th run at Reading</t>
  </si>
  <si>
    <t>323rd run at Reading</t>
  </si>
  <si>
    <t>Nobles (IOM)</t>
  </si>
  <si>
    <t>run #330, 2nd at Victoria Dock, pb</t>
  </si>
  <si>
    <t>run #290, 2nd at Osterley</t>
  </si>
  <si>
    <t>run #289, 195th at Bedfont</t>
  </si>
  <si>
    <t>run #156, 17th at Hazelwood</t>
  </si>
  <si>
    <t>run #184, 10th at Hazelwood</t>
  </si>
  <si>
    <t>run #183, 9th at Hazelwood</t>
  </si>
  <si>
    <t>run #270, 2nd at Brooklands, pb</t>
  </si>
  <si>
    <t>run #269, 12th at Osterley</t>
  </si>
  <si>
    <t>Doncaster</t>
  </si>
  <si>
    <t>DON</t>
  </si>
  <si>
    <t>run #74, 54th at March</t>
  </si>
  <si>
    <t xml:space="preserve">run #268. 85th at Woodley </t>
  </si>
  <si>
    <t>run #267, 84th at Woodley</t>
  </si>
  <si>
    <t>run #220, 190th at Crane Park</t>
  </si>
  <si>
    <t>run #219, 189th at Crane</t>
  </si>
  <si>
    <t>run #218, 188th at Crane</t>
  </si>
  <si>
    <t>run #46, 45th at Oak Hill</t>
  </si>
  <si>
    <t>run #45, 44th at Oak Hill</t>
  </si>
  <si>
    <t>run #465</t>
  </si>
  <si>
    <t>run #345, 200th at Bedfont Lakes</t>
  </si>
  <si>
    <t>run #344, 199th at Bedfont</t>
  </si>
  <si>
    <t>run #100, all at Bedfont Lakes</t>
  </si>
  <si>
    <t>run #225, 218th at Bedfont Lakes</t>
  </si>
  <si>
    <t>run #464</t>
  </si>
  <si>
    <t>M-8, run #37, 25th at Bedfont Lakes</t>
  </si>
  <si>
    <t>run #140, 2nd at Marlow</t>
  </si>
  <si>
    <t>run #161, 2nd at Marlow</t>
  </si>
  <si>
    <t>run #160, 73rd at Maidenhead</t>
  </si>
  <si>
    <t>run #159, 9th at Wycombe Rye</t>
  </si>
  <si>
    <t>run #139, 70th at Maidenhead</t>
  </si>
  <si>
    <t>run #138, 7th at Wycombe Rye</t>
  </si>
  <si>
    <t>run #114, 2nd at Brooklands</t>
  </si>
  <si>
    <t>run #115, 3rd at Brooklands, pb club rec(F)</t>
  </si>
  <si>
    <t>run #186, 152nd at Bedfont Lakes</t>
  </si>
  <si>
    <t>run #344 , 2nd at Osterley, pb</t>
  </si>
  <si>
    <t>run #343, 285th at Bedfont Lakes</t>
  </si>
  <si>
    <t>run #149, 40th at Rushmoor</t>
  </si>
  <si>
    <t>run #150, 41st at Rushmoor</t>
  </si>
  <si>
    <t>run #376, 81st at Crane Park</t>
  </si>
  <si>
    <t>GMT 0900</t>
  </si>
  <si>
    <t>run #220, 146th at Gunnersbury</t>
  </si>
  <si>
    <t>run #219, 145th at Gunnersbury</t>
  </si>
  <si>
    <t>run #95, 46th at Rushmoor</t>
  </si>
  <si>
    <t>run #72, 2nd at Rushmoor</t>
  </si>
  <si>
    <t>F-2,  run #71, 3rd at Bideford</t>
  </si>
  <si>
    <t>F-5, run #70, 62nd at Woking</t>
  </si>
  <si>
    <t>run #40, 38th at Richmond</t>
  </si>
  <si>
    <t>run #36, 3rd at Upton Court, pb</t>
  </si>
  <si>
    <t>run #51, 34th at Southend</t>
  </si>
  <si>
    <t>run #313, 284th at Black Park</t>
  </si>
  <si>
    <t>run #15, 4th at Rickmansworth</t>
  </si>
  <si>
    <t>run #35, 7th at Rickmansworth</t>
  </si>
  <si>
    <t>run #540 10th at Osterley Park</t>
  </si>
  <si>
    <t>run #76, 5th at Hazelwood</t>
  </si>
  <si>
    <t>run #215, 1st at Brooklands</t>
  </si>
  <si>
    <t xml:space="preserve">Crissy Field </t>
  </si>
  <si>
    <t>The Pastures, Alnwick</t>
  </si>
  <si>
    <t>run #75, 1st at Doncaster, BA park #465</t>
  </si>
  <si>
    <t>1st at Nobles, park #258, BA park# 463</t>
  </si>
  <si>
    <t>run #96, 1st at Jersey Farm, BA park #464</t>
  </si>
  <si>
    <t>NOB</t>
  </si>
  <si>
    <t>Nobles</t>
  </si>
  <si>
    <t>run #84, 1st at Crissy Field</t>
  </si>
  <si>
    <t>2019 results</t>
  </si>
  <si>
    <t>Foden</t>
  </si>
  <si>
    <t>run #291, 1st at Marlow + race report writer</t>
  </si>
  <si>
    <t>F-4, run #116, 4th at Brooklands</t>
  </si>
  <si>
    <t>run #271, 1st at Woking, park #34</t>
  </si>
  <si>
    <t>run #97, 1st run at Upton House, park #32</t>
  </si>
  <si>
    <t>run #64, 1st at Marlow, club rec(M), park #31</t>
  </si>
  <si>
    <t>run #216, 1st at Marlow, park #44</t>
  </si>
  <si>
    <t>run #418, 1st at Marlow, park #45</t>
  </si>
  <si>
    <t>Dennison</t>
  </si>
  <si>
    <t>M-2, run #351, 1st at Marlow</t>
  </si>
  <si>
    <t>record attendance of 605</t>
  </si>
  <si>
    <t>Storthes Hasall (19/1/19)</t>
  </si>
  <si>
    <t>run #48, 31st at Southend</t>
  </si>
  <si>
    <t>eg &gt; 80%</t>
  </si>
  <si>
    <t>run #84, 2nd run at Kingston</t>
  </si>
  <si>
    <t>Wilson Index</t>
  </si>
  <si>
    <t xml:space="preserve">Old Deer </t>
  </si>
  <si>
    <t>94,95</t>
  </si>
  <si>
    <t>114-117</t>
  </si>
  <si>
    <t>141-143</t>
  </si>
  <si>
    <t>145, 146</t>
  </si>
  <si>
    <t>191-193</t>
  </si>
  <si>
    <t xml:space="preserve">Beckenham </t>
  </si>
  <si>
    <t>Victoria Doc</t>
  </si>
  <si>
    <t xml:space="preserve">Sth Norwood </t>
  </si>
  <si>
    <t>Reigate Pry</t>
  </si>
  <si>
    <t>224-225</t>
  </si>
  <si>
    <t>227-230</t>
  </si>
  <si>
    <t>241-243</t>
  </si>
  <si>
    <t>280-281</t>
  </si>
  <si>
    <t>283-286</t>
  </si>
  <si>
    <t>289-292</t>
  </si>
  <si>
    <t>298-299</t>
  </si>
  <si>
    <t>Harrow Lodg</t>
  </si>
  <si>
    <t xml:space="preserve">Barking  </t>
  </si>
  <si>
    <t>Wanstead F</t>
  </si>
  <si>
    <t>Walthamsto</t>
  </si>
  <si>
    <t xml:space="preserve">Wormwood </t>
  </si>
  <si>
    <t>Canons P</t>
  </si>
  <si>
    <t>178-179</t>
  </si>
  <si>
    <t>195-196</t>
  </si>
  <si>
    <t>Princes</t>
  </si>
  <si>
    <t>Q Elizabeth</t>
  </si>
  <si>
    <t>R Tun Wells</t>
  </si>
  <si>
    <t xml:space="preserve">Salisbury </t>
  </si>
  <si>
    <t>S Woodham</t>
  </si>
  <si>
    <t>projections</t>
  </si>
  <si>
    <t>Jersey Fm</t>
  </si>
  <si>
    <t>Dinton P</t>
  </si>
  <si>
    <t xml:space="preserve">Roding Val </t>
  </si>
  <si>
    <t>Richmond Park 25</t>
  </si>
  <si>
    <t>ODP 18,Osterley 6</t>
  </si>
  <si>
    <t>SUT</t>
  </si>
  <si>
    <t>Sutton Park</t>
  </si>
  <si>
    <t xml:space="preserve">Letchworth </t>
  </si>
  <si>
    <t xml:space="preserve">Witney </t>
  </si>
  <si>
    <t>Sunbury (VIC, AU)</t>
  </si>
  <si>
    <t>run #272, 160th at Bedfont Lakes</t>
  </si>
  <si>
    <t>Lisbon</t>
  </si>
  <si>
    <t>Maderia</t>
  </si>
  <si>
    <t>Canaries</t>
  </si>
  <si>
    <t>run #419, 325th at Reading</t>
  </si>
  <si>
    <t>run #345, 286th at Bedfont</t>
  </si>
  <si>
    <t>run #314, 285th at Black Park</t>
  </si>
  <si>
    <t>first run at Finsbury Park, park #74</t>
  </si>
  <si>
    <t>run #218, 68th at Braunstone</t>
  </si>
  <si>
    <t>run #36, 8th at Rickmansworth</t>
  </si>
  <si>
    <t>Gladsone Park</t>
  </si>
  <si>
    <t>run #269, 86th at Woodley</t>
  </si>
  <si>
    <t>run #110,32nd at Salisbury</t>
  </si>
  <si>
    <t>run #76, 55th at March</t>
  </si>
  <si>
    <t>run #185, 11th at Hazelwood</t>
  </si>
  <si>
    <t>run #157, 18th at Hazelwood</t>
  </si>
  <si>
    <t>run #315, 36th at Hazelwood</t>
  </si>
  <si>
    <t>run #342, 2nd at Clapham Common (pb)</t>
  </si>
  <si>
    <t>first run at Catford, club record, park #259</t>
  </si>
  <si>
    <t>after 16 weeks</t>
  </si>
  <si>
    <t>run #130, 109th at Harrow</t>
  </si>
  <si>
    <t>run director for 27th time, 64th volunteer shift</t>
  </si>
  <si>
    <t>F-1, run #117, 89th at Woking</t>
  </si>
  <si>
    <t>run #187, 153rd at Bedfont</t>
  </si>
  <si>
    <t>F-5, run #151, 42nd at Rushmoor</t>
  </si>
  <si>
    <t>run #377, 82nd at Crane Park</t>
  </si>
  <si>
    <t>run #141, 71st at Maidenhead</t>
  </si>
  <si>
    <t>run #162, 74th at Maidenhead</t>
  </si>
  <si>
    <t>run #96, 47th at Rushmoor</t>
  </si>
  <si>
    <t>run #73, 3rd at Rushmoor</t>
  </si>
  <si>
    <t>run #41, 39th at Richmond Park</t>
  </si>
  <si>
    <t>run #144, 132nd at Woking</t>
  </si>
  <si>
    <t>run #53, 10th at Hadleigh</t>
  </si>
  <si>
    <t>F-1, first timer briefing, pacer</t>
  </si>
  <si>
    <t>run #77, 52nd at Bedfont</t>
  </si>
  <si>
    <t>run #364, 295th at Bushy</t>
  </si>
  <si>
    <t>first run at Gladstone Park, park #45</t>
  </si>
  <si>
    <t>first run at Finsbury Park, park #74, clubrec(F)</t>
  </si>
  <si>
    <t>in</t>
  </si>
  <si>
    <t>as at 28/1/19</t>
  </si>
  <si>
    <t xml:space="preserve">Henley </t>
  </si>
  <si>
    <t>1st at Marlborough Common, park #35,CR(F)</t>
  </si>
  <si>
    <t>40 miles by car</t>
  </si>
  <si>
    <t>Beckenham Pl</t>
  </si>
  <si>
    <t>Roding Vall</t>
  </si>
  <si>
    <t>Bushy #800</t>
  </si>
  <si>
    <t>early Aug</t>
  </si>
  <si>
    <t>Old Deer Park 19</t>
  </si>
  <si>
    <t>F-2, run #261, 21st at Old Deer Park</t>
  </si>
  <si>
    <t>run #288, 3rd at Old Deer Park</t>
  </si>
  <si>
    <t>run #353, 4th at Old Deer Park (course pb)</t>
  </si>
  <si>
    <t>run #221, 147th at Gunnersbury</t>
  </si>
  <si>
    <t>run #77, tailwalker</t>
  </si>
  <si>
    <t>started late (ex Richmond cancellation)</t>
  </si>
  <si>
    <t>run #365, 296th at Bushy</t>
  </si>
  <si>
    <t>RUC</t>
  </si>
  <si>
    <t>Rushcliffe CP (Nottingham)</t>
  </si>
  <si>
    <t>run #467, 5th at Homewood</t>
  </si>
  <si>
    <t>run #347, 7th at Homewood</t>
  </si>
  <si>
    <t>Shepparton</t>
  </si>
  <si>
    <t>Shepparton (VIC, AU)</t>
  </si>
  <si>
    <t>SPP</t>
  </si>
  <si>
    <t>run #221, 1st at Osterley</t>
  </si>
  <si>
    <t>run #131, 10th at Hazelwood</t>
  </si>
  <si>
    <t>run #158, 19th at Hazelwood</t>
  </si>
  <si>
    <t>run #316, 37th at Hazelwood</t>
  </si>
  <si>
    <t>run #315, 1st at Brooklands</t>
  </si>
  <si>
    <t>run #188, 5th at Bushy</t>
  </si>
  <si>
    <t>run #346, 7th at Bushy</t>
  </si>
  <si>
    <t>run #152, 30th at Frimley</t>
  </si>
  <si>
    <t>run #109, 21st at Osterley</t>
  </si>
  <si>
    <t>run #97, 22nd at Frimley</t>
  </si>
  <si>
    <t>run #38, 4th at Upton Court</t>
  </si>
  <si>
    <t>Harrow #200</t>
  </si>
  <si>
    <t>1st run at Sutton, park #260, BA Park#468</t>
  </si>
  <si>
    <t>1st run at Shepparton, BA park #466</t>
  </si>
  <si>
    <t>1st run at Rushcliffe, park#85, BA park#467</t>
  </si>
  <si>
    <t>run #706, 375th at Frimley Lodge</t>
  </si>
  <si>
    <t>1st run at Sutton, park #104, BA Park#468</t>
  </si>
  <si>
    <t>running totals</t>
  </si>
  <si>
    <t>run #314, 35th at Hazelwood</t>
  </si>
  <si>
    <t>World Tri Ch</t>
  </si>
  <si>
    <t>Windsor Prospect</t>
  </si>
  <si>
    <t>cancelled 9/2/19</t>
  </si>
  <si>
    <t>Carisbrooke(Adelaide)</t>
  </si>
  <si>
    <t>Carisbrooke (Adelaide)</t>
  </si>
  <si>
    <t>Richmond parkrun#600</t>
  </si>
  <si>
    <t>run #57, 33rd at Gunnersbury</t>
  </si>
  <si>
    <t>run #316, 286th at Black Park</t>
  </si>
  <si>
    <t>run #420, 326th at Reading</t>
  </si>
  <si>
    <t>run #270, 87th at Woodley</t>
  </si>
  <si>
    <t>BVL</t>
  </si>
  <si>
    <t>Bellville (Western Cape, ZA)</t>
  </si>
  <si>
    <t>Grant Strydom</t>
  </si>
  <si>
    <t>run #77, 56th at March</t>
  </si>
  <si>
    <t>Bushy, Dublin</t>
  </si>
  <si>
    <t>run #317, 38th at Hazelwood</t>
  </si>
  <si>
    <t>run #134, 6th at Marlow</t>
  </si>
  <si>
    <t>run #289, 236th at Bedfont Lakes</t>
  </si>
  <si>
    <t>run #227, 220th art Bedfont Lakes</t>
  </si>
  <si>
    <t>run #347, 287th at Bedfont Lakes</t>
  </si>
  <si>
    <t>run #468, 281st at Bedfont Lakes</t>
  </si>
  <si>
    <t>run #189, 154th at Bedfont Lakes</t>
  </si>
  <si>
    <t>run #378, 83rd at Crane Park</t>
  </si>
  <si>
    <t>run #98, 1st at Prospect Park, park #33</t>
  </si>
  <si>
    <t>run #222, 148th at Gunnersbury</t>
  </si>
  <si>
    <t>run #221, 25th at Crane Park</t>
  </si>
  <si>
    <t>run #54, 36th at Southend</t>
  </si>
  <si>
    <t>run #286, 241st at Bedfont Lakes</t>
  </si>
  <si>
    <t>Carisbrooke (SA, AU)</t>
  </si>
  <si>
    <t>CBK</t>
  </si>
  <si>
    <t>Launceston</t>
  </si>
  <si>
    <t>Carisbrooke</t>
  </si>
  <si>
    <t>Bellville (Cape Town, ZA)</t>
  </si>
  <si>
    <t>Bellville (Capetown)</t>
  </si>
  <si>
    <t>run #36, 1st at Bellville, 254th/1312 park #2</t>
  </si>
  <si>
    <t>run #366, 297th at Bushy, 218th/1317</t>
  </si>
  <si>
    <t>1st run at Carisbrooke, BA park #469, park #58</t>
  </si>
  <si>
    <t>run #292, 2nd at Sunbury + finish token support</t>
  </si>
  <si>
    <t>F-1, 6th consecutive pb at Richmond, club rec(F)</t>
  </si>
  <si>
    <t>run #65, 1st at Kingston, park #32</t>
  </si>
  <si>
    <t>run director - cancelled !!!</t>
  </si>
  <si>
    <t>tailwalker, run #131, 110th at Harrow</t>
  </si>
  <si>
    <t xml:space="preserve">run #273, 13th at Osterley, park #2, </t>
  </si>
  <si>
    <t>Watermeadows, Northampton</t>
  </si>
  <si>
    <t>NN12 7AD</t>
  </si>
  <si>
    <t>Finbarr</t>
  </si>
  <si>
    <t>Cotter</t>
  </si>
  <si>
    <t>CPH Amager Faelled</t>
  </si>
  <si>
    <t>CAE</t>
  </si>
  <si>
    <t>Amager Faelled</t>
  </si>
  <si>
    <t>Finbarr Cotter (prejoining) 26:00</t>
  </si>
  <si>
    <t>BLA</t>
  </si>
  <si>
    <t>Blandford (Dorset)</t>
  </si>
  <si>
    <t>Finbarr Cotter 25:07</t>
  </si>
  <si>
    <t>parkruns in Essex outside M25</t>
  </si>
  <si>
    <t>still to be run</t>
  </si>
  <si>
    <t>not yet run</t>
  </si>
  <si>
    <t>600 9th Feb</t>
  </si>
  <si>
    <t>run #345, 1st at Jersey Farm, park #105</t>
  </si>
  <si>
    <t>run #367, 298th at Bushy Park</t>
  </si>
  <si>
    <t>Amager Faelled (CPH)</t>
  </si>
  <si>
    <t>Finbarr Cotter also ran there before joining us</t>
  </si>
  <si>
    <t>run #222, tailwalker</t>
  </si>
  <si>
    <t>run #421, 327th at Reading</t>
  </si>
  <si>
    <t>improving streak continues</t>
  </si>
  <si>
    <t>run #37, 9th at Rickmansworth</t>
  </si>
  <si>
    <t>run #58, 34th at Gunnersbury</t>
  </si>
  <si>
    <t>run #222, 191st at Crane Park</t>
  </si>
  <si>
    <t>run #274, 14th at Osterley</t>
  </si>
  <si>
    <t>run #541, 11th at Osterley</t>
  </si>
  <si>
    <t>run #111, 33rd at Salisbury</t>
  </si>
  <si>
    <t>run #78, 57th at March</t>
  </si>
  <si>
    <t>1st run at Gardiners Creek, BA park #471</t>
  </si>
  <si>
    <t>Gardiners Creek(VIC)</t>
  </si>
  <si>
    <t>run #190,155th at Bedfont</t>
  </si>
  <si>
    <t>run #348, 288th at Bedfont Lakes</t>
  </si>
  <si>
    <t>run #153, 43rd at Rushmoor</t>
  </si>
  <si>
    <t>run #99, 1st at Wycombe Rye</t>
  </si>
  <si>
    <t>run #145, 5th at Brooklands</t>
  </si>
  <si>
    <t>run #55, 2nd at Chelmsford</t>
  </si>
  <si>
    <t>CPH Faelledparkrun</t>
  </si>
  <si>
    <t>CIA</t>
  </si>
  <si>
    <t>California Country Park, Berks</t>
  </si>
  <si>
    <t>Gardiners Creek (VIC, AU)</t>
  </si>
  <si>
    <t>Maddie</t>
  </si>
  <si>
    <t>run #228, 221st at Bedfont Lakes</t>
  </si>
  <si>
    <r>
      <t>J</t>
    </r>
    <r>
      <rPr>
        <sz val="10"/>
        <rFont val="Arial"/>
        <family val="2"/>
      </rPr>
      <t>ersey Farm</t>
    </r>
  </si>
  <si>
    <t>run #221, 70th at Braunstone</t>
  </si>
  <si>
    <t>uploaded late - missed sweep</t>
  </si>
  <si>
    <t>GCK</t>
  </si>
  <si>
    <t>Hamilton</t>
  </si>
  <si>
    <t>which is in Herts !</t>
  </si>
  <si>
    <t>run #218, 140th at Bedfont Lakes</t>
  </si>
  <si>
    <t>run #348, 201st at Bedfont Lakes</t>
  </si>
  <si>
    <t>run #469, 282nd at Bedfont Lakes</t>
  </si>
  <si>
    <t>carpark £1.50 after 8 am</t>
  </si>
  <si>
    <t>Watermeadows (Towcester)</t>
  </si>
  <si>
    <t>112 on 16th Feb</t>
  </si>
  <si>
    <t>124 mies from Chiswick by road</t>
  </si>
  <si>
    <t>LU6 2GY</t>
  </si>
  <si>
    <t>Dunstable Downs</t>
  </si>
  <si>
    <t>Dunstable Downs (Beds)</t>
  </si>
  <si>
    <t>start date 23/2/19</t>
  </si>
  <si>
    <t>Harrow #200 3</t>
  </si>
  <si>
    <t>Clacton</t>
  </si>
  <si>
    <t>118 on 16 Feb</t>
  </si>
  <si>
    <t>139 on 20 Feb</t>
  </si>
  <si>
    <t>St Albans has been added to Herts</t>
  </si>
  <si>
    <t>Dunstable</t>
  </si>
  <si>
    <t xml:space="preserve"> Clare Castle (Bishops Stortford)</t>
  </si>
  <si>
    <t>Feltham (HMYOI)</t>
  </si>
  <si>
    <t>run #346, 5th at Wormwood Scrubs(#400)</t>
  </si>
  <si>
    <t>run #182, 2nd at Marlow</t>
  </si>
  <si>
    <t>run #79, 7th at Whittlesey</t>
  </si>
  <si>
    <t>Zielona Gora (Poland)</t>
  </si>
  <si>
    <t>ZIG</t>
  </si>
  <si>
    <t>Roderick Hoffnan</t>
  </si>
  <si>
    <t>Zielona Gora</t>
  </si>
  <si>
    <t>FYO</t>
  </si>
  <si>
    <t>Feltham</t>
  </si>
  <si>
    <t>run #229, 222nd at Bedfont Lakes</t>
  </si>
  <si>
    <t>run #368, 299th run at Bushy Park</t>
  </si>
  <si>
    <t>run #422, 328th at Reading + barcode scanning</t>
  </si>
  <si>
    <t>improving streak now 6 weeks</t>
  </si>
  <si>
    <t>run #223, 192nd at Crane Park</t>
  </si>
  <si>
    <t>run #379, 84th at Crane Park</t>
  </si>
  <si>
    <t>run #275, 15th at Osterley</t>
  </si>
  <si>
    <t>run #542, 12th at Osterley</t>
  </si>
  <si>
    <t>run #318, 39th at Hazelwood</t>
  </si>
  <si>
    <t>F-1, 90th run at Woking</t>
  </si>
  <si>
    <t>run #154, 20th at Woking</t>
  </si>
  <si>
    <t>run #142, 72nd at Maidenhead</t>
  </si>
  <si>
    <t>run #163, 75th at Maidenhead</t>
  </si>
  <si>
    <t>run #110, 22nd at Osterley Park</t>
  </si>
  <si>
    <t>run #227, 2nd at Fire Service College</t>
  </si>
  <si>
    <t>run #98, 7th at Woking</t>
  </si>
  <si>
    <t>run #74, 63rd at Woking</t>
  </si>
  <si>
    <t>Detention Centres</t>
  </si>
  <si>
    <t>DUY</t>
  </si>
  <si>
    <t>DUW</t>
  </si>
  <si>
    <t>Zielona Gora, Feltham YOI</t>
  </si>
  <si>
    <t xml:space="preserve"> (#400) 346</t>
  </si>
  <si>
    <t>(#600)  344</t>
  </si>
  <si>
    <t>(#426)  343</t>
  </si>
  <si>
    <t>1st run at Fire Service College, park #105</t>
  </si>
  <si>
    <t>run #191, 156th at Bedfont Lakes</t>
  </si>
  <si>
    <t>run #223, 155th at Bedfont Lakes</t>
  </si>
  <si>
    <t>run #291, 237th at Bedfont Lakes (#498)</t>
  </si>
  <si>
    <t>Haldon Forest</t>
  </si>
  <si>
    <t>East of England away from London area</t>
  </si>
  <si>
    <t>run #296,  inaugural by invitation only</t>
  </si>
  <si>
    <t>started 23rd Feb 2019</t>
  </si>
  <si>
    <t>California</t>
  </si>
  <si>
    <t>Dinton</t>
  </si>
  <si>
    <t xml:space="preserve">other parkruns outside London but inside M25 </t>
  </si>
  <si>
    <t>Natali</t>
  </si>
  <si>
    <t>WMT</t>
  </si>
  <si>
    <t>Watermeadows (Towester)</t>
  </si>
  <si>
    <r>
      <t xml:space="preserve">replaced </t>
    </r>
    <r>
      <rPr>
        <sz val="10"/>
        <color rgb="FFFF0000"/>
        <rFont val="Arial"/>
        <family val="2"/>
      </rPr>
      <t xml:space="preserve">Hatfield Forest </t>
    </r>
    <r>
      <rPr>
        <sz val="10"/>
        <rFont val="Arial"/>
        <family val="2"/>
      </rPr>
      <t>(Essex) and moved county</t>
    </r>
  </si>
  <si>
    <t>Mura di Lucca (nr Pisa)</t>
  </si>
  <si>
    <t>LUC</t>
  </si>
  <si>
    <t>200 on 9th March 19</t>
  </si>
  <si>
    <t>Home Counties - outer ring</t>
  </si>
  <si>
    <t>run #135, 7th at Higginson, course pb</t>
  </si>
  <si>
    <t>run #347, 2nd at Higginson Marlow</t>
  </si>
  <si>
    <t>run #7, parkrun pb + volunteer coordinator</t>
  </si>
  <si>
    <t>California, Pineto</t>
  </si>
  <si>
    <t>Pineto (Rome)</t>
  </si>
  <si>
    <t>attendance 443, 2nd highest ever</t>
  </si>
  <si>
    <t>run #111, 74th at Northala Fields</t>
  </si>
  <si>
    <t>400th finisher, 300th run at Bushy</t>
  </si>
  <si>
    <t>run #423, 329th at Reading</t>
  </si>
  <si>
    <t>run #271,173rd at Reading</t>
  </si>
  <si>
    <t>run #319, 289th at Black Park</t>
  </si>
  <si>
    <t>run #223, 71st at Braunstone</t>
  </si>
  <si>
    <t>run #183, 20th at Rickmansworth</t>
  </si>
  <si>
    <t>1st run at Lloyd Park, park #35</t>
  </si>
  <si>
    <t>run #263, 60th at Crane Park</t>
  </si>
  <si>
    <t>run #292, 33rd at Crane Park</t>
  </si>
  <si>
    <t>1st run  at Homewood, park #16</t>
  </si>
  <si>
    <t>run #543, 13th at Osterley</t>
  </si>
  <si>
    <t>Osterley Park #282</t>
  </si>
  <si>
    <t>Homewood #126</t>
  </si>
  <si>
    <t>Crane Park #360</t>
  </si>
  <si>
    <t>Lloyd Park #450</t>
  </si>
  <si>
    <t>Rickmansworth #105</t>
  </si>
  <si>
    <t>Braunstone #435</t>
  </si>
  <si>
    <t>Black Park #509</t>
  </si>
  <si>
    <t>Reading #473</t>
  </si>
  <si>
    <t>Bedfont Lakes #499</t>
  </si>
  <si>
    <t>Bushy Park #778</t>
  </si>
  <si>
    <t>Northala Fields #247</t>
  </si>
  <si>
    <t>Harrow #199</t>
  </si>
  <si>
    <t>run #112, 34th at Salisbury</t>
  </si>
  <si>
    <t>Salisbury #198</t>
  </si>
  <si>
    <t>M-4, run #159, 20th at Hazelwood</t>
  </si>
  <si>
    <t>Hazelwood #51</t>
  </si>
  <si>
    <t>run #186, 12th at Hazelwood</t>
  </si>
  <si>
    <t>run #319, 40th at Hazelwood</t>
  </si>
  <si>
    <t>run #219. 2nd at Hazelwood</t>
  </si>
  <si>
    <t>Roma Pineto #49</t>
  </si>
  <si>
    <t>run #338, 1st at Roma Pineto, park #264</t>
  </si>
  <si>
    <t>California #2</t>
  </si>
  <si>
    <t>1st run at California, park #33, BA park#475</t>
  </si>
  <si>
    <t>(#27) 347</t>
  </si>
  <si>
    <t>run #164, 1st at Canons Park</t>
  </si>
  <si>
    <t>run #224, 149th at Gunnersbury</t>
  </si>
  <si>
    <t>run #43, 41st at Richmond</t>
  </si>
  <si>
    <t>run #99, 2nd at Hazelwood</t>
  </si>
  <si>
    <t>Richmond #603</t>
  </si>
  <si>
    <t>Gunnersbury #376</t>
  </si>
  <si>
    <t>Canons Park #128</t>
  </si>
  <si>
    <t>run #230, 223rd at Bedfont</t>
  </si>
  <si>
    <t>run #470, 283rd at Bedfont</t>
  </si>
  <si>
    <t>run #297, 196th at Bedfont</t>
  </si>
  <si>
    <t>Baglin(Rowley)</t>
  </si>
  <si>
    <t>Woking #226</t>
  </si>
  <si>
    <t>Higginson #27</t>
  </si>
  <si>
    <t>started 2 March 2019</t>
  </si>
  <si>
    <t>Lingwood</t>
  </si>
  <si>
    <t>Seaford Beach</t>
  </si>
  <si>
    <t>Suffolk/Norfolk</t>
  </si>
  <si>
    <t>Loch Neaton (Watton)</t>
  </si>
  <si>
    <t>Mountbatten School (Romsey)</t>
  </si>
  <si>
    <t>Highwoods (Colchester)</t>
  </si>
  <si>
    <t>Lee-on-Solent</t>
  </si>
  <si>
    <t>Lymington</t>
  </si>
  <si>
    <t>158 on 2nd March</t>
  </si>
  <si>
    <t>Netley Aby</t>
  </si>
  <si>
    <t>Qu Eliz</t>
  </si>
  <si>
    <t xml:space="preserve">WIN  </t>
  </si>
  <si>
    <t>Beds, Herts, Essex, Kent</t>
  </si>
  <si>
    <t xml:space="preserve">parkruns in west London boroughs </t>
  </si>
  <si>
    <t xml:space="preserve">Berkshire </t>
  </si>
  <si>
    <t>Home Counties outside M25 - South and West</t>
  </si>
  <si>
    <t>(Harrow, Brent, Hammersmith, Ealing, Hounslow, Richmond, Kingston, Wandsworth)</t>
  </si>
  <si>
    <t>Isabel Trail (Stafford)</t>
  </si>
  <si>
    <t>parkruns in northern, eastern and southern London Boroughs</t>
  </si>
  <si>
    <t>Hilly Fields to Z</t>
  </si>
  <si>
    <t>run #348, 3rd at Harrow</t>
  </si>
  <si>
    <t>Firenze #76</t>
  </si>
  <si>
    <t>first parkrun in Italy, club record</t>
  </si>
  <si>
    <t>(#200) 348</t>
  </si>
  <si>
    <t>Richmond #600</t>
  </si>
  <si>
    <t>Wormwood #400 5</t>
  </si>
  <si>
    <t>Higginson #27 2</t>
  </si>
  <si>
    <t>Gunnersbury #379</t>
  </si>
  <si>
    <t>Brooklands #22 (108)</t>
  </si>
  <si>
    <t>Wendover #28 (106)</t>
  </si>
  <si>
    <t>previous record held by Ian Cockram</t>
  </si>
  <si>
    <t>first parkrun in Italy, club record (Epsom Allsorts)</t>
  </si>
  <si>
    <t>LdD</t>
  </si>
  <si>
    <t>Lac de Divonne</t>
  </si>
  <si>
    <t>Lac de Divonne #95</t>
  </si>
  <si>
    <t>very close to Swiss border in the Geneva area</t>
  </si>
  <si>
    <t>Temple Newsam#311</t>
  </si>
  <si>
    <t>Exmouth</t>
  </si>
  <si>
    <t>utc + 1</t>
  </si>
  <si>
    <t>run #49, 5th run at Exmouth</t>
  </si>
  <si>
    <t>Exmouth #63</t>
  </si>
  <si>
    <t>Delaware &amp; Raritan Canal</t>
  </si>
  <si>
    <t>run #56, 37th at Southend</t>
  </si>
  <si>
    <t>Scaifes</t>
  </si>
  <si>
    <t>UTC - 5</t>
  </si>
  <si>
    <t>Bedfont Lakes #500</t>
  </si>
  <si>
    <t>car park marshal</t>
  </si>
  <si>
    <t>Lac de Divonne(fr)</t>
  </si>
  <si>
    <t>Zielona Gora (pl)</t>
  </si>
  <si>
    <t>Amager Faelled (dk)</t>
  </si>
  <si>
    <t>Dublin Bushy (ei)</t>
  </si>
  <si>
    <t>Sims</t>
  </si>
  <si>
    <t>son of Paul Watt</t>
  </si>
  <si>
    <t>sister of Julie Barclay</t>
  </si>
  <si>
    <t>F-1, run #155, 4th at Hazelwood</t>
  </si>
  <si>
    <t>Hazlewood #52</t>
  </si>
  <si>
    <t>Hazelwood #52</t>
  </si>
  <si>
    <t>run #160, 21st at Hazelwood</t>
  </si>
  <si>
    <t>run #100, best parkrun this year</t>
  </si>
  <si>
    <t>run #51, 1st at Hazelwood</t>
  </si>
  <si>
    <t>F-2, run #264, 123rd at Bedfont Lakes</t>
  </si>
  <si>
    <t>run #231, 224th at Bedfont Lakes</t>
  </si>
  <si>
    <t>run #293, 238th at Bedfont Lakes</t>
  </si>
  <si>
    <t>run #220, 141st at Bedfont</t>
  </si>
  <si>
    <t>run #349, 202nd at Bedfont Lakes</t>
  </si>
  <si>
    <t>run #350, 203rd at Bedfont Lakes</t>
  </si>
  <si>
    <t>run #277, 161st at Bedfont Lakes</t>
  </si>
  <si>
    <t>run 192, 157th at Bedfont Lakes</t>
  </si>
  <si>
    <t>run #298, 197th at Bedfont Lakes</t>
  </si>
  <si>
    <t>run #349, 289th at Bedfont Lakes</t>
  </si>
  <si>
    <t>run #225, 193rd at Crane Park</t>
  </si>
  <si>
    <t>Crane Park #361</t>
  </si>
  <si>
    <t>run #380, 85th at Crane Park</t>
  </si>
  <si>
    <t>run #225,  150th at Gunnersbury</t>
  </si>
  <si>
    <t>run #320, 41st at Hazelwood</t>
  </si>
  <si>
    <t>Gunnersbury #377</t>
  </si>
  <si>
    <t>run #78, 1st at Gunpowder</t>
  </si>
  <si>
    <t>run #132, 1st at Gunpowder</t>
  </si>
  <si>
    <t>Chloe</t>
  </si>
  <si>
    <t>(junior),5k run #13, 1st at Gunpowder</t>
  </si>
  <si>
    <t>Gunpowder #383</t>
  </si>
  <si>
    <t>run #544, 14th at Osterley</t>
  </si>
  <si>
    <t>Osterley Park #283</t>
  </si>
  <si>
    <t>Reading #474</t>
  </si>
  <si>
    <t>run #424, 330th at Reading</t>
  </si>
  <si>
    <t>Manor Field #28</t>
  </si>
  <si>
    <t>run #80, 8th at Manor Field, tailwalker</t>
  </si>
  <si>
    <t>Centre Vale, Todmorden</t>
  </si>
  <si>
    <t>Lancs</t>
  </si>
  <si>
    <t>started 9th March 2019</t>
  </si>
  <si>
    <t>1st run at Temple Newsam BA park #478</t>
  </si>
  <si>
    <t>EXM</t>
  </si>
  <si>
    <t>1st run at Exmouth park #36 , BA park #477</t>
  </si>
  <si>
    <t>Delaware &amp; Raritan Canal #30</t>
  </si>
  <si>
    <t>NJ</t>
  </si>
  <si>
    <t>D&amp;R</t>
  </si>
  <si>
    <t>Delaware &amp; Raritan Canal (NJ, US)</t>
  </si>
  <si>
    <t>Delaware &amp; R</t>
  </si>
  <si>
    <t>Southend #339</t>
  </si>
  <si>
    <t>Sarah Gordon switched to Squirrels in early March 2019</t>
  </si>
  <si>
    <t>BdB</t>
  </si>
  <si>
    <t>Hampshire and  Isle of Wight</t>
  </si>
  <si>
    <t>Tooting moved to S&amp;W London (Wandsworth)</t>
  </si>
  <si>
    <t>(top section)</t>
  </si>
  <si>
    <t>Datchet Dashers, initially Windsor, Slough, Eton &amp; Hounslow</t>
  </si>
  <si>
    <t>Munich Westpark</t>
  </si>
  <si>
    <t>Munich</t>
  </si>
  <si>
    <t>space left for Hillingdon !</t>
  </si>
  <si>
    <t>v</t>
  </si>
  <si>
    <t>(2017 ?)</t>
  </si>
  <si>
    <t>Norway</t>
  </si>
  <si>
    <t>Sweden</t>
  </si>
  <si>
    <t xml:space="preserve">Continental Europe </t>
  </si>
  <si>
    <t>Continental Europe - Central and East</t>
  </si>
  <si>
    <t>Elagin Ostrov - St Petersburg</t>
  </si>
  <si>
    <t>Gorky - Moscow</t>
  </si>
  <si>
    <t>Maidenhead #208</t>
  </si>
  <si>
    <t>reverse course, record attendance, 4th anniv</t>
  </si>
  <si>
    <t>run #52, 31st at Banstead Woods</t>
  </si>
  <si>
    <t>Banstead Woods #617</t>
  </si>
  <si>
    <t>run #232, 225th at Bedfont Lakes</t>
  </si>
  <si>
    <t>run #471, 284th at Bedfont +carparking asst</t>
  </si>
  <si>
    <t>run #294, 239th at Bedfont + token sorting</t>
  </si>
  <si>
    <t>run #425, 331st at Reading</t>
  </si>
  <si>
    <t>Reading #475</t>
  </si>
  <si>
    <t>Bedfont Lakes #501</t>
  </si>
  <si>
    <t>Rickmansworth #107</t>
  </si>
  <si>
    <t>run #184, 21st at Rickmansworth</t>
  </si>
  <si>
    <t>Nonsuch #393</t>
  </si>
  <si>
    <t>1st run at Nonsuch, park #17</t>
  </si>
  <si>
    <t>Guildford #345</t>
  </si>
  <si>
    <t>run #371, 10th at Guildford</t>
  </si>
  <si>
    <t>F-4, run #265, 4th at Gunnersbury, course pb</t>
  </si>
  <si>
    <t>run #59, 35th at Gunnersbury</t>
  </si>
  <si>
    <t>Gunnersbury #378</t>
  </si>
  <si>
    <t>Crane Park #362</t>
  </si>
  <si>
    <t>run #278, 35th at Crane</t>
  </si>
  <si>
    <t>Northala #249</t>
  </si>
  <si>
    <t>run #112, 75th at Northala</t>
  </si>
  <si>
    <t>run #299, 4th at Northala</t>
  </si>
  <si>
    <t>Hazelwood #53</t>
  </si>
  <si>
    <t>run #321, 42nd at Hazelwood</t>
  </si>
  <si>
    <t>Manor Field #29</t>
  </si>
  <si>
    <t>run #81, 9th at Manor Field, Whittlesey</t>
  </si>
  <si>
    <t>Higginson #29</t>
  </si>
  <si>
    <t>run #137, 8th at Higginson, Marlow</t>
  </si>
  <si>
    <t>run #161, 2nd at Brooklands</t>
  </si>
  <si>
    <t>run #351, 204th at Bedfont Lakes</t>
  </si>
  <si>
    <t>F-1, run #119, 91st at Woking</t>
  </si>
  <si>
    <t>Woking #228</t>
  </si>
  <si>
    <t>run #381, 86th at Crane</t>
  </si>
  <si>
    <t>run #226, 151st at Gunnersbury</t>
  </si>
  <si>
    <t>Woolacombe Dunes #14</t>
  </si>
  <si>
    <t>run #75, 1st at Woolacombe, BA park</t>
  </si>
  <si>
    <t>run #44, 42nd at Richmond Park</t>
  </si>
  <si>
    <t>Richmond Park #605</t>
  </si>
  <si>
    <t>run #146, 133rd at Woking</t>
  </si>
  <si>
    <t>run #57, 38th at Southend</t>
  </si>
  <si>
    <t>Southend #340</t>
  </si>
  <si>
    <t>Westpark (MUC )#9</t>
  </si>
  <si>
    <t>Westpark (Munich)</t>
  </si>
  <si>
    <t>WCD</t>
  </si>
  <si>
    <t>MUC</t>
  </si>
  <si>
    <t>Woolacombe</t>
  </si>
  <si>
    <t>Maidenhead #208 3</t>
  </si>
  <si>
    <t>Munich, Woolacombe</t>
  </si>
  <si>
    <t>run #144, 73rd at Maidenhead</t>
  </si>
  <si>
    <t>run #166, 76th at Maidenhead</t>
  </si>
  <si>
    <t>run #100, Datchet Dashers party, cake +cake</t>
  </si>
  <si>
    <t>run #42, 40th at Richmond Park</t>
  </si>
  <si>
    <t>1st run at Prospect Park, park #84, run155</t>
  </si>
  <si>
    <t>BA park #479</t>
  </si>
  <si>
    <t>run #335, park #261</t>
  </si>
  <si>
    <t>run #340, 1st at Westpark, BA park #480</t>
  </si>
  <si>
    <t>park #266</t>
  </si>
  <si>
    <t>park #262, BApark #472</t>
  </si>
  <si>
    <t>run #337, park #263, BA park #473, "Z"</t>
  </si>
  <si>
    <t>run #339, park #265, BA park #476</t>
  </si>
  <si>
    <r>
      <rPr>
        <b/>
        <sz val="10"/>
        <rFont val="Arial"/>
        <family val="2"/>
      </rPr>
      <t>V</t>
    </r>
    <r>
      <rPr>
        <sz val="10"/>
        <rFont val="Arial"/>
        <family val="2"/>
      </rPr>
      <t>ic Dock</t>
    </r>
  </si>
  <si>
    <t xml:space="preserve"> &amp; Battersea</t>
  </si>
  <si>
    <t>start 23 Mar 2019</t>
  </si>
  <si>
    <t>BrightonH</t>
  </si>
  <si>
    <t>Bognor</t>
  </si>
  <si>
    <t>East Sussex</t>
  </si>
  <si>
    <t>(Haywards Heath)</t>
  </si>
  <si>
    <t>West and North</t>
  </si>
  <si>
    <t>(Beds, Herts, Essex, Kent and Sussex follow after the London boroughs)</t>
  </si>
  <si>
    <t>FutakoTamagawa</t>
  </si>
  <si>
    <t>FTG</t>
  </si>
  <si>
    <t>run #63, 55th at Curl Curl</t>
  </si>
  <si>
    <t>Watermeadows #6</t>
  </si>
  <si>
    <t>park #276, BA park #482</t>
  </si>
  <si>
    <t>Watermeadows</t>
  </si>
  <si>
    <t>Gunnersbury`</t>
  </si>
  <si>
    <t>run #70, VI guide</t>
  </si>
  <si>
    <t>run #426, 322nd at Reading</t>
  </si>
  <si>
    <t>run #221, 1st at Rickmansworth, park #46</t>
  </si>
  <si>
    <t>Wycombe Rye #342</t>
  </si>
  <si>
    <t>run #185, 86th at Wycombe</t>
  </si>
  <si>
    <t>Crane Park #363</t>
  </si>
  <si>
    <t>Rickmansworth #108</t>
  </si>
  <si>
    <t>Reading 476</t>
  </si>
  <si>
    <t>Bushy Park #781</t>
  </si>
  <si>
    <t>Osterley #285</t>
  </si>
  <si>
    <t>Northala Fields #250</t>
  </si>
  <si>
    <t>Ellenbrook #151</t>
  </si>
  <si>
    <t>run #67, park #34</t>
  </si>
  <si>
    <t>Hazelwood #54</t>
  </si>
  <si>
    <t>run #322, 43rd at Hazelwood</t>
  </si>
  <si>
    <t>F-1, course pb, club records (all genders)</t>
  </si>
  <si>
    <t>run #545, 15th at Osterley</t>
  </si>
  <si>
    <t>run #279, 16th at Osterley</t>
  </si>
  <si>
    <t>run #295, 34th at Crane Park</t>
  </si>
  <si>
    <t>Bedfont Lakes #502</t>
  </si>
  <si>
    <t>run #156, 44th at Rushmoor, 2018 sb</t>
  </si>
  <si>
    <t>Rushmoor #239</t>
  </si>
  <si>
    <t>run #101, 48th at Rushmoor, 2018 sb</t>
  </si>
  <si>
    <t>run #145, 74th at Maidenhead</t>
  </si>
  <si>
    <t>Maidenhead #209</t>
  </si>
  <si>
    <t>run #167, 77th at Maidenhead</t>
  </si>
  <si>
    <t>run #76, park #10, club rec (all genders)</t>
  </si>
  <si>
    <t>Tamar Lakes #233</t>
  </si>
  <si>
    <t>run #45, 43rd at Richmond, 2018 sb</t>
  </si>
  <si>
    <t>Richmond #606</t>
  </si>
  <si>
    <t>run #147, 134th at Woking</t>
  </si>
  <si>
    <t>Woking #229</t>
  </si>
  <si>
    <t>Oxford #378</t>
  </si>
  <si>
    <t>run #225, park #106, 2018 sb</t>
  </si>
  <si>
    <t>M-2, run #39, 26th at Bedfont, parkrun pb</t>
  </si>
  <si>
    <t>Curl Curl #310</t>
  </si>
  <si>
    <t>Munich (de)</t>
  </si>
  <si>
    <t>run #133, 90th at Bedfont Lakes</t>
  </si>
  <si>
    <t>run #233,226th at Bedfont Lakes</t>
  </si>
  <si>
    <t>run #472, 285th at Bedfont Lakes</t>
  </si>
  <si>
    <t>run #350, 137th at Gunnersbury, 2018 sb</t>
  </si>
  <si>
    <t>run #12, 4th at Bedfont Lakes</t>
  </si>
  <si>
    <t>run #350, 290th at Bedfont Lakes</t>
  </si>
  <si>
    <t>run #300, 198th at Bedfont Lakes</t>
  </si>
  <si>
    <t>Watermeadow</t>
  </si>
  <si>
    <t xml:space="preserve">parkruns in Sussex </t>
  </si>
  <si>
    <t>Bevendean Downs</t>
  </si>
  <si>
    <t>92 on 29th Mar</t>
  </si>
  <si>
    <t>Sunny Hill (Hendon)</t>
  </si>
  <si>
    <t>NW4 4RD</t>
  </si>
  <si>
    <t>Sunny Hill</t>
  </si>
  <si>
    <t>1st run at Oxford, club rec(F)</t>
  </si>
  <si>
    <t>Reading #477</t>
  </si>
  <si>
    <t>Guildford #347</t>
  </si>
  <si>
    <t>Gateshead #353</t>
  </si>
  <si>
    <t>Salisbury #202</t>
  </si>
  <si>
    <t>Osterley #286</t>
  </si>
  <si>
    <t>March #163</t>
  </si>
  <si>
    <t>Bideford #157</t>
  </si>
  <si>
    <t>Hazelwood #55</t>
  </si>
  <si>
    <t>Feltham #6</t>
  </si>
  <si>
    <t>Bushy Park #782</t>
  </si>
  <si>
    <t>Bedfont Lakes #503</t>
  </si>
  <si>
    <t>Wendover W</t>
  </si>
  <si>
    <t>carpark £2.20 for 2 hours</t>
  </si>
  <si>
    <t>A41 or A413 options</t>
  </si>
  <si>
    <t>Haga</t>
  </si>
  <si>
    <t>F-2, run #103</t>
  </si>
  <si>
    <t>F-3, club rec(F), run #120, 92nd at Woking</t>
  </si>
  <si>
    <t>club rec by 1 second</t>
  </si>
  <si>
    <t>Woking #230</t>
  </si>
  <si>
    <t>run #193, 158th at Bedfont Lakes</t>
  </si>
  <si>
    <t>F-4, 1st ever run at Bedfont Lakes</t>
  </si>
  <si>
    <t>run #146, 75th at Maidenhead</t>
  </si>
  <si>
    <t>Maidenhead #210</t>
  </si>
  <si>
    <t>run #168, 78th at Maidenhead</t>
  </si>
  <si>
    <t>Warsawa-Praga</t>
  </si>
  <si>
    <t>Warsawa-Praga #303</t>
  </si>
  <si>
    <t xml:space="preserve">Haga </t>
  </si>
  <si>
    <t>same time as 2 weeks ago, higher %</t>
  </si>
  <si>
    <t>first run at Bedfont Lakes</t>
  </si>
  <si>
    <t>run #'77, 64th at Woking</t>
  </si>
  <si>
    <t>run #46, 44th at Richmond</t>
  </si>
  <si>
    <t>Richmond #607</t>
  </si>
  <si>
    <t>run #15, 3rd at Barnsley</t>
  </si>
  <si>
    <t>Barnsley #429</t>
  </si>
  <si>
    <t>run #226, 72nd at Braunstone</t>
  </si>
  <si>
    <t>Braunstone #439</t>
  </si>
  <si>
    <t>Oxford #379</t>
  </si>
  <si>
    <t>Roosevelt Island #119</t>
  </si>
  <si>
    <t>Wendover Woods #28</t>
  </si>
  <si>
    <t>Roosevelt Island DC</t>
  </si>
  <si>
    <t>run #101, 1st in Poland, BA park #484</t>
  </si>
  <si>
    <t>Haga (Stockholm)</t>
  </si>
  <si>
    <t>HAA</t>
  </si>
  <si>
    <t>WAP</t>
  </si>
  <si>
    <t>Roosevelt Is</t>
  </si>
  <si>
    <t>run #40, pacer</t>
  </si>
  <si>
    <t>run #13, 5th at Bedfont Lakes</t>
  </si>
  <si>
    <t>pacer, run #267, 124th at Bedfont Lakes</t>
  </si>
  <si>
    <t>run #280, 162nd at Bedfont Lakes</t>
  </si>
  <si>
    <t>run #234, 227th at Bedfont Lakes</t>
  </si>
  <si>
    <t>run #546, 16th at Osterley</t>
  </si>
  <si>
    <t>run #372, 301st at Bushy Park</t>
  </si>
  <si>
    <t>run #473, 1st at Feltham (YOI)</t>
  </si>
  <si>
    <t>run #352, 1st at Feltham</t>
  </si>
  <si>
    <t>1st run at Wendover Woods, park #106</t>
  </si>
  <si>
    <t>run #323, 44th at Hazelwood</t>
  </si>
  <si>
    <t>BA park #483, 8th country in 8 weeks</t>
  </si>
  <si>
    <t>run #187, 4th at Bideford</t>
  </si>
  <si>
    <t>run #82, 58th at March</t>
  </si>
  <si>
    <t>run #113, 35th at Salisbury</t>
  </si>
  <si>
    <t>run #222, first run at Gateshead</t>
  </si>
  <si>
    <t>run #28, 23rd at Guildford</t>
  </si>
  <si>
    <t>run #427, 333rd at Reading</t>
  </si>
  <si>
    <t>F-4, run #157, 20th at Bedfont Lakes</t>
  </si>
  <si>
    <t>J</t>
  </si>
  <si>
    <t>planned</t>
  </si>
  <si>
    <t>cfp Brooklands</t>
  </si>
  <si>
    <t>FootsCray #36</t>
  </si>
  <si>
    <t>Haga #121 (Stockholm)</t>
  </si>
  <si>
    <t>run #301, 1st at Roosevelt Island, Bapark#485</t>
  </si>
  <si>
    <t>Clapham Com #38 2</t>
  </si>
  <si>
    <t>Haga (Se)</t>
  </si>
  <si>
    <t>tube/rail</t>
  </si>
  <si>
    <t>Millennium Country Park</t>
  </si>
  <si>
    <t>MK43 0PR</t>
  </si>
  <si>
    <t>53 miles by car</t>
  </si>
  <si>
    <t>259-261</t>
  </si>
  <si>
    <t>218-219</t>
  </si>
  <si>
    <t>overground</t>
  </si>
  <si>
    <t>Futakotagawara (TYO)</t>
  </si>
  <si>
    <t>Futakotagawara</t>
  </si>
  <si>
    <t>UTC + 9</t>
  </si>
  <si>
    <t>inaugural parkrun in Japan, BA park #486</t>
  </si>
  <si>
    <t>Londone status reinstated, BA park #488</t>
  </si>
  <si>
    <t>Tokoinranta</t>
  </si>
  <si>
    <t>Tokoinranta (Helsinki)</t>
  </si>
  <si>
    <t>tailwalker's minder</t>
  </si>
  <si>
    <t>Georgengarten (Hanover)</t>
  </si>
  <si>
    <t>run #373, park #40, club record</t>
  </si>
  <si>
    <t>run #324, 45th at Hazelwood</t>
  </si>
  <si>
    <t>run #114, 36th at Salisbury, 2018 sb</t>
  </si>
  <si>
    <t>SUY</t>
  </si>
  <si>
    <t>F-1, course pb, club record (all genders)</t>
  </si>
  <si>
    <t>run #103, 3rd at Osterley</t>
  </si>
  <si>
    <t>run #281, 17th at Osterley</t>
  </si>
  <si>
    <t>run #547, 17th at Osterley</t>
  </si>
  <si>
    <t>TOH</t>
  </si>
  <si>
    <t>UTC + 3</t>
  </si>
  <si>
    <t>UTC + 1</t>
  </si>
  <si>
    <t>run #60, 36th at Gunnersbury</t>
  </si>
  <si>
    <t>run #474, 8th at Old Deer Park</t>
  </si>
  <si>
    <t>run #353, 8th at Old Deer Park</t>
  </si>
  <si>
    <t>Alice in Japan, RH Helsinki</t>
  </si>
  <si>
    <t>Tokoinranta (FI)</t>
  </si>
  <si>
    <t>Finland</t>
  </si>
  <si>
    <t>run #186, 22nd at Rickmansworth</t>
  </si>
  <si>
    <t>Rickmansworth #110</t>
  </si>
  <si>
    <t>Sunny Hill (Hendon)#2</t>
  </si>
  <si>
    <t>Gunnersbury #381</t>
  </si>
  <si>
    <t>Osterley Park #287</t>
  </si>
  <si>
    <t>Salisbury #203</t>
  </si>
  <si>
    <t>Hazelwood #56</t>
  </si>
  <si>
    <t>Tokoinranta (Helsinki) #24</t>
  </si>
  <si>
    <t>Old Deer Park #435</t>
  </si>
  <si>
    <t>Harrow #204</t>
  </si>
  <si>
    <t>Reading #478</t>
  </si>
  <si>
    <t>Bedfont Lakes #504</t>
  </si>
  <si>
    <t>Fletchers Cove #164</t>
  </si>
  <si>
    <t>1st run at Fletchers Cove (USA)</t>
  </si>
  <si>
    <t>Roderick still holds club rec with 26:11</t>
  </si>
  <si>
    <t>best time since 70th birthday</t>
  </si>
  <si>
    <t>F-2, age cat record</t>
  </si>
  <si>
    <t>run #147, 76th at Maidenhead</t>
  </si>
  <si>
    <t>run #169, 79th at Maidenhead</t>
  </si>
  <si>
    <t>run #224, 2nd at Brooklands, pb</t>
  </si>
  <si>
    <t>run #227, 73rd at Braunstone</t>
  </si>
  <si>
    <t>Braunstone #440</t>
  </si>
  <si>
    <t>Brooklands #21</t>
  </si>
  <si>
    <t>Maidenhead #211</t>
  </si>
  <si>
    <t>9th EU28 country in 9 weeks, BA park #487</t>
  </si>
  <si>
    <t>Sunny Hill #2 (107)</t>
  </si>
  <si>
    <t>Milan</t>
  </si>
  <si>
    <t>Malaysia</t>
  </si>
  <si>
    <t>Asia</t>
  </si>
  <si>
    <t>Littlehampton Prom West Sussex starts 13 April 19</t>
  </si>
  <si>
    <t>Littlehampton Prom</t>
  </si>
  <si>
    <t>BN17 5LL</t>
  </si>
  <si>
    <t>carpark £1.20 for 3 hours</t>
  </si>
  <si>
    <t>7.46 Overground to Hampstead/West Hampstead - Hendon (with bike)</t>
  </si>
  <si>
    <t>loop + 2 laps</t>
  </si>
  <si>
    <t>Jersey Fm #14(105)</t>
  </si>
  <si>
    <t>Brooklands #22</t>
  </si>
  <si>
    <t>run #353, inside M25 complete again</t>
  </si>
  <si>
    <t>run #374, course pb</t>
  </si>
  <si>
    <t>run #135, 3rd at Brooklands</t>
  </si>
  <si>
    <t>run #68, 1st at Brooklands</t>
  </si>
  <si>
    <t>run #22, 3rd at Brooklands</t>
  </si>
  <si>
    <t>run #162, 3rd at Brooklands</t>
  </si>
  <si>
    <t>run #148, 1st at Brooklands</t>
  </si>
  <si>
    <t>run #170, 1st at Brooklands</t>
  </si>
  <si>
    <t>run #43, 1st at Brooklands</t>
  </si>
  <si>
    <t>run #14, 2nd at Brooklands</t>
  </si>
  <si>
    <t>run #79, 2nd at Brooklands</t>
  </si>
  <si>
    <t>run #83, agecatrec,  club rec (F)</t>
  </si>
  <si>
    <t>Munich Westpark #13</t>
  </si>
  <si>
    <t>Hazyview #92 (ZA)</t>
  </si>
  <si>
    <t>HAY</t>
  </si>
  <si>
    <t>Hazyview (Kruger Lowveld)</t>
  </si>
  <si>
    <t>8 a.m.  UTC + 2</t>
  </si>
  <si>
    <t>ROP</t>
  </si>
  <si>
    <t>Pineto</t>
  </si>
  <si>
    <t>ROC</t>
  </si>
  <si>
    <t>Caffarella</t>
  </si>
  <si>
    <t>Roma Caffarella</t>
  </si>
  <si>
    <t>Caffarella (Rome)#31</t>
  </si>
  <si>
    <t>Rome Caffarella</t>
  </si>
  <si>
    <t>9 a.m. UTC + 2</t>
  </si>
  <si>
    <t>Harrow #205</t>
  </si>
  <si>
    <t>run #133, 112th at Harrow</t>
  </si>
  <si>
    <t>run #194, 159th at Bedfont Lakes</t>
  </si>
  <si>
    <t>run #102, 8th at Upton Court</t>
  </si>
  <si>
    <t>run #228, 153rd at Gunnersbury</t>
  </si>
  <si>
    <t>run #225, 3rd at Brooklands</t>
  </si>
  <si>
    <t>run #47, 45th at Richmond, parkrun pb</t>
  </si>
  <si>
    <t>Bedfont Lakes #505</t>
  </si>
  <si>
    <t>run #236, 229th at Bedfont Lakes</t>
  </si>
  <si>
    <t>run #297, 241st at Bedfont Lakes</t>
  </si>
  <si>
    <t>run #303, 199th at Bedfont Lakes</t>
  </si>
  <si>
    <t>Upton Court #328</t>
  </si>
  <si>
    <t>Gunnersbury #382</t>
  </si>
  <si>
    <t>Richmond Park #609</t>
  </si>
  <si>
    <t>Forest of Dean #480</t>
  </si>
  <si>
    <t>previous record held by Richard Ruffell 21:54</t>
  </si>
  <si>
    <t>Reading #479</t>
  </si>
  <si>
    <t>run #429, 335th at Reading</t>
  </si>
  <si>
    <t>Black Park #515</t>
  </si>
  <si>
    <t>run #320, 290th at Black Park</t>
  </si>
  <si>
    <t>attendance over 700</t>
  </si>
  <si>
    <t>run #287, 1st at Frimley Lodge, park #33</t>
  </si>
  <si>
    <t>run #475,3rd at Guildford</t>
  </si>
  <si>
    <t>run #61, 37th at Gunnersbury</t>
  </si>
  <si>
    <t>run #187, 87th at Wycombe Rye</t>
  </si>
  <si>
    <t>Wycombe Rye #345</t>
  </si>
  <si>
    <t>Abingdon #392</t>
  </si>
  <si>
    <t>run #140, 1st at Abingdon, club rec(F), park#39</t>
  </si>
  <si>
    <t>Crane Park #366</t>
  </si>
  <si>
    <t>run #227, 194th at Crane Park</t>
  </si>
  <si>
    <t>Guildford #349</t>
  </si>
  <si>
    <t xml:space="preserve">run #254, 2nd at Guildford </t>
  </si>
  <si>
    <t>Frimley Lodge #479</t>
  </si>
  <si>
    <t>Osterley #288</t>
  </si>
  <si>
    <t>run #548, 18th at Osterley</t>
  </si>
  <si>
    <t>run #115, 37th at Salisbury</t>
  </si>
  <si>
    <t>Salisbury #204</t>
  </si>
  <si>
    <t>Beach Strip #89</t>
  </si>
  <si>
    <t>Hamilton Ontario</t>
  </si>
  <si>
    <t>Beach Strip (Hamilton, Ontario)</t>
  </si>
  <si>
    <t>BSO</t>
  </si>
  <si>
    <t>8 a.m.  UTC -4</t>
  </si>
  <si>
    <t>Beach Strip (Hamilton, ON)</t>
  </si>
  <si>
    <t>M-2, run #21, club record</t>
  </si>
  <si>
    <t>run #325, 2nd at Brooklands</t>
  </si>
  <si>
    <t>run #188, 1st at Hazyview, BA park #489</t>
  </si>
  <si>
    <t>F-2, age cat rec, BA park #490</t>
  </si>
  <si>
    <t>run #344, park #370, BA park #491</t>
  </si>
  <si>
    <r>
      <t xml:space="preserve">run #50, </t>
    </r>
    <r>
      <rPr>
        <sz val="10"/>
        <rFont val="Arial"/>
        <family val="2"/>
      </rPr>
      <t>1st at Forest of Dean, club record</t>
    </r>
  </si>
  <si>
    <t>Guateng</t>
  </si>
  <si>
    <t xml:space="preserve"> (Transvaal)</t>
  </si>
  <si>
    <t>Hazyview</t>
  </si>
  <si>
    <t>Beach Strip</t>
  </si>
  <si>
    <t>283 on 15th April 19</t>
  </si>
  <si>
    <t>Beach Strip (ca)</t>
  </si>
  <si>
    <t>VW40-44</t>
  </si>
  <si>
    <t>KT13 0XF</t>
  </si>
  <si>
    <t>Community carpark off roundabout Barnes Wallis/Sopwith</t>
  </si>
  <si>
    <t>also Tesco for toilets/carpark/coffee</t>
  </si>
  <si>
    <t>late start</t>
  </si>
  <si>
    <t>course pb, Wilson Index advances to 39</t>
  </si>
  <si>
    <t>Foots Cray Meadows#36</t>
  </si>
  <si>
    <t>Bushy Park #785</t>
  </si>
  <si>
    <t>run #375, 302nd at Bushy Park</t>
  </si>
  <si>
    <t>Bedfont Lakes #506</t>
  </si>
  <si>
    <t>run #41, M-5, 28th at Bedfont Lakes</t>
  </si>
  <si>
    <t>Harrow #206</t>
  </si>
  <si>
    <t>run #127, 1st with new knee</t>
  </si>
  <si>
    <t>run #134, 113th at Harrow</t>
  </si>
  <si>
    <t>1st run at Hampstead, park #40, club rec(F)</t>
  </si>
  <si>
    <t>run #62, 38th at Gunnersbury</t>
  </si>
  <si>
    <t>run #229, 154th at Gunnersbury</t>
  </si>
  <si>
    <t>run #163, 1st at Lymington Woodside</t>
  </si>
  <si>
    <t>run #23, 1st at Lymington Woodside</t>
  </si>
  <si>
    <t>Jacob(JM10)</t>
  </si>
  <si>
    <t>Wycombe Rye #346</t>
  </si>
  <si>
    <t>Lymington Woodside #134</t>
  </si>
  <si>
    <t>Gunnersbury #383</t>
  </si>
  <si>
    <t>Hampstead Heath #413</t>
  </si>
  <si>
    <t>Crane Park #367</t>
  </si>
  <si>
    <t>Megan(JW10)</t>
  </si>
  <si>
    <t xml:space="preserve">run #3, pb </t>
  </si>
  <si>
    <t>Homewood #133</t>
  </si>
  <si>
    <t>run #282, 4th at Homewood</t>
  </si>
  <si>
    <t>run #321, 2nd at Homewood</t>
  </si>
  <si>
    <t>run #188, 88th at Wycombe</t>
  </si>
  <si>
    <t>run #272, 88th at Woodley</t>
  </si>
  <si>
    <t>Woodley #276</t>
  </si>
  <si>
    <t>Osterley Park #289</t>
  </si>
  <si>
    <t>run #298, 3rd at Osterley Park</t>
  </si>
  <si>
    <t>run #549, 19th at Osterley Park</t>
  </si>
  <si>
    <t>run #430, 1st at Lyme Park, park #46, club rec</t>
  </si>
  <si>
    <t>Lyme Park #264</t>
  </si>
  <si>
    <t>Rushmoor #242</t>
  </si>
  <si>
    <t>F-7, run #159, 45th at Rushmoor, 2018 sb</t>
  </si>
  <si>
    <t>Salisbury #205</t>
  </si>
  <si>
    <t>run #116, 38th at Salisbury, 2018 sb</t>
  </si>
  <si>
    <t>Mole Valley #60</t>
  </si>
  <si>
    <t>run #136, 1st at Mole Valley, park #26</t>
  </si>
  <si>
    <t>run #326, 46th at Hazelwood, drying out</t>
  </si>
  <si>
    <t>Whittlesey #34</t>
  </si>
  <si>
    <t>Hazelwood #58</t>
  </si>
  <si>
    <t>run #84, 10th at Manor Field, Whittlesey</t>
  </si>
  <si>
    <t>11th country in 11 weeks (World Parkrun Record)</t>
  </si>
  <si>
    <t>run #476 + carpark marshalling</t>
  </si>
  <si>
    <t>run #355 + carpark marshalling</t>
  </si>
  <si>
    <t>F-2, 4th run at Rushmoor, course pb</t>
  </si>
  <si>
    <t>run #111, 68th at Crane Park</t>
  </si>
  <si>
    <t>run #226, 5th at Homewood</t>
  </si>
  <si>
    <t>run #149, 136th at Woking</t>
  </si>
  <si>
    <t>Jamaica Pond  #58</t>
  </si>
  <si>
    <t>Ellenbrook Fields#155</t>
  </si>
  <si>
    <t>FootsCray M</t>
  </si>
  <si>
    <t>Woking #233</t>
  </si>
  <si>
    <t>Caroline Cockram 2717</t>
  </si>
  <si>
    <t>run #304, 200th at Bedfont Lakes</t>
  </si>
  <si>
    <t>run #237, 230th at Bedfont Lakes</t>
  </si>
  <si>
    <t>1st run at Ellenbrook, club rec(F), park#58</t>
  </si>
  <si>
    <t>1st run at Ellenbrook, park #65</t>
  </si>
  <si>
    <t>run#148, 135th at Woking</t>
  </si>
  <si>
    <t>416 on 20th April</t>
  </si>
  <si>
    <t>Jamaica Pond (US)</t>
  </si>
  <si>
    <t>9 on 20th April</t>
  </si>
  <si>
    <t>Hanworth</t>
  </si>
  <si>
    <t>Finbarr Cotter ran here before joining (50 secs faster)</t>
  </si>
  <si>
    <t>Millennium Country (Marston Vale)</t>
  </si>
  <si>
    <t>MMV</t>
  </si>
  <si>
    <t>Millennium Country #8</t>
  </si>
  <si>
    <t>Millennium</t>
  </si>
  <si>
    <t xml:space="preserve">first run at Blandford, BApark #495 </t>
  </si>
  <si>
    <t>1st run at Millennium Country, BApark #496</t>
  </si>
  <si>
    <t>2nd run at Toyen, pb</t>
  </si>
  <si>
    <t>Toyen #70 (Oslo)</t>
  </si>
  <si>
    <t>8th run at Northala Fields</t>
  </si>
  <si>
    <t>Blandford #252</t>
  </si>
  <si>
    <t>Northala Fields #257</t>
  </si>
  <si>
    <t>run #78, 65th at Woking</t>
  </si>
  <si>
    <t>Woking #236</t>
  </si>
  <si>
    <t>F-1, course pb, club rec</t>
  </si>
  <si>
    <t>first run at Hanworth</t>
  </si>
  <si>
    <t>first run at Hanworth, still a member ???</t>
  </si>
  <si>
    <t>HAW</t>
  </si>
  <si>
    <t>125th run at Bedfont Lakes</t>
  </si>
  <si>
    <t>196th run at Crane Park</t>
  </si>
  <si>
    <t>Hanworth #2</t>
  </si>
  <si>
    <t>Hanworth #1</t>
  </si>
  <si>
    <t>first run at California</t>
  </si>
  <si>
    <t>first run at Burgess</t>
  </si>
  <si>
    <t>291st run at Black Park</t>
  </si>
  <si>
    <t>292nd run at Black Park</t>
  </si>
  <si>
    <t>80th run at Maidenhead</t>
  </si>
  <si>
    <t>3rd run at Marlow, course pb</t>
  </si>
  <si>
    <t>Maidenhead #216</t>
  </si>
  <si>
    <t>run #150, 77th at Maidenhead</t>
  </si>
  <si>
    <t>Higginson Marlow #36</t>
  </si>
  <si>
    <t>Banstead Woods #625</t>
  </si>
  <si>
    <t>Dinton Pastures #44</t>
  </si>
  <si>
    <t>Frimley Lodge #481</t>
  </si>
  <si>
    <t>31st run at Frimley</t>
  </si>
  <si>
    <t>run #162, 5th run at Banstead Woods</t>
  </si>
  <si>
    <t>run #106, 5th at Banstead Woods</t>
  </si>
  <si>
    <t>23rd run at Frimley</t>
  </si>
  <si>
    <t>first run at Dinton Pastures</t>
  </si>
  <si>
    <t>Reigate Priory #267</t>
  </si>
  <si>
    <t>run #54, 32nd at Banstead Woods</t>
  </si>
  <si>
    <t>2nd run at Reigate Priory</t>
  </si>
  <si>
    <t>Reading #481</t>
  </si>
  <si>
    <t>Reading #482</t>
  </si>
  <si>
    <t>Reading #483</t>
  </si>
  <si>
    <t>run #433, 338th at Reading</t>
  </si>
  <si>
    <t>337th run at Reading</t>
  </si>
  <si>
    <t>336th run at Reading</t>
  </si>
  <si>
    <t>Osterley Park #292</t>
  </si>
  <si>
    <t>Osterley Park #290</t>
  </si>
  <si>
    <t>run #551, 21st at Osterley Park</t>
  </si>
  <si>
    <t>Moors Valley #182</t>
  </si>
  <si>
    <t>Bedfont Lakes #507</t>
  </si>
  <si>
    <t>Bedfont Lakes #508</t>
  </si>
  <si>
    <t>run #300, 243rd at Bedfont Lakes</t>
  </si>
  <si>
    <t>run #299, 242nd at Bedfont Lakes</t>
  </si>
  <si>
    <t>run #301, 1st at Moors Valley, park #18</t>
  </si>
  <si>
    <t>only missed club rec by 5 secs (Chris Kelly 26:54)</t>
  </si>
  <si>
    <t>Bedfont Lakes #509</t>
  </si>
  <si>
    <t>run #225, 144th at Bedfont Lakes</t>
  </si>
  <si>
    <t>run #224, 143rd at Bedfont Lakes</t>
  </si>
  <si>
    <t>Foro Italica #52</t>
  </si>
  <si>
    <t>run #307, 202nd at Bedfont Lakes</t>
  </si>
  <si>
    <t>run #305, 201st at Bedfont Lakes</t>
  </si>
  <si>
    <t>run #306, 1st at Fori Italico</t>
  </si>
  <si>
    <t>FOI</t>
  </si>
  <si>
    <t>Foro Italica</t>
  </si>
  <si>
    <t>Crane Park #369</t>
  </si>
  <si>
    <t>California Country #11</t>
  </si>
  <si>
    <t>first run at Hanworth, park #38</t>
  </si>
  <si>
    <t>Burgess Park #334</t>
  </si>
  <si>
    <t>Black Park #518</t>
  </si>
  <si>
    <t>Black Park #517</t>
  </si>
  <si>
    <t>run #550, 20th at Osterley Park</t>
  </si>
  <si>
    <t>Hazelwood #61</t>
  </si>
  <si>
    <t>Hazelwood #60</t>
  </si>
  <si>
    <t>Hazelwood #59</t>
  </si>
  <si>
    <t>run #329, 49th at Hazelwood</t>
  </si>
  <si>
    <t>run #328, 48th at Hazelwood</t>
  </si>
  <si>
    <t>run #327, 47th at Hazelwood</t>
  </si>
  <si>
    <t>Bushy Park #788</t>
  </si>
  <si>
    <t>Homewood #135</t>
  </si>
  <si>
    <t>run #376, 4th at Homewood</t>
  </si>
  <si>
    <t>run #377, 303rd at Bushy Park</t>
  </si>
  <si>
    <t>Harrow #207</t>
  </si>
  <si>
    <t>Harrow #208</t>
  </si>
  <si>
    <t>Harrow #209</t>
  </si>
  <si>
    <t>run #128, 107th at Harrow</t>
  </si>
  <si>
    <t>run #129, 108th at Harrow</t>
  </si>
  <si>
    <t>Snowden Field #2</t>
  </si>
  <si>
    <t xml:space="preserve">run #86, BA park </t>
  </si>
  <si>
    <t>March #167</t>
  </si>
  <si>
    <t>run #85, 59th at March</t>
  </si>
  <si>
    <t>run #69, 1st at Hazelwood</t>
  </si>
  <si>
    <t>Gedling #205</t>
  </si>
  <si>
    <t>Gunnersbury #384</t>
  </si>
  <si>
    <t>Fire Service Col #21</t>
  </si>
  <si>
    <t>155th run at Gunnersbury</t>
  </si>
  <si>
    <t>run #231, 3rd at Fire ServiceCollege</t>
  </si>
  <si>
    <t>Bushy Park #787</t>
  </si>
  <si>
    <t>run #189. 56th at Bushy Park</t>
  </si>
  <si>
    <t>run #195, 160th at Bedfont Lakes</t>
  </si>
  <si>
    <t>run #196, 1st at California Country</t>
  </si>
  <si>
    <t>run #238, 1st at California Country</t>
  </si>
  <si>
    <t>Coldhams Common #30</t>
  </si>
  <si>
    <t>run #357, 1st at Coldhams Common</t>
  </si>
  <si>
    <t>run #356, 206th at Bedfont Lakes</t>
  </si>
  <si>
    <t xml:space="preserve">run #478, BA park </t>
  </si>
  <si>
    <t>run #477, 287th at Bedfont Lakes</t>
  </si>
  <si>
    <t>run #158, 1st at Gedling, club rec, park #86</t>
  </si>
  <si>
    <t>run #42, 29th at Bedfont Lakes</t>
  </si>
  <si>
    <t>run #16, 10th at Wormwood Scrubs</t>
  </si>
  <si>
    <t>run #228, 1st at York, park #107</t>
  </si>
  <si>
    <t>run #112, 23rd at Osterley, course pb</t>
  </si>
  <si>
    <t>best age grade for a couple of years</t>
  </si>
  <si>
    <t>Woking #234</t>
  </si>
  <si>
    <t>run #123, 93rd at Woking, club rec</t>
  </si>
  <si>
    <t>also ran 20:03 before joining us</t>
  </si>
  <si>
    <t>run #103, 2nd at Hazelwood</t>
  </si>
  <si>
    <t>run #142, 9th at Marlow, course pb</t>
  </si>
  <si>
    <t>Higginson Marlow #35</t>
  </si>
  <si>
    <t>Brooklands #24</t>
  </si>
  <si>
    <t>run #44, 2nd at Brooklands</t>
  </si>
  <si>
    <t>run #168, 4th at Brooklands</t>
  </si>
  <si>
    <t>run #85, 1st at Brooklands, park #12</t>
  </si>
  <si>
    <t>SNO</t>
  </si>
  <si>
    <t>Snowden Field (Crowland, Lincs)</t>
  </si>
  <si>
    <t>Andrew Jordan 21:00</t>
  </si>
  <si>
    <t>Jonathan Cox 23:45</t>
  </si>
  <si>
    <t>Grant Strydom 30:40</t>
  </si>
  <si>
    <t>INVALID</t>
  </si>
  <si>
    <t>Millennium Country</t>
  </si>
  <si>
    <t>Snowden Field</t>
  </si>
  <si>
    <t>Jonathan Cox 22:42</t>
  </si>
  <si>
    <t>resigned before running at Bellville</t>
  </si>
  <si>
    <t>Hanworth (109)</t>
  </si>
  <si>
    <t>cfp Hanworth</t>
  </si>
  <si>
    <t>Prescott</t>
  </si>
  <si>
    <t>Paul Prescott 20:26</t>
  </si>
  <si>
    <t>Paul Prescott 22:05</t>
  </si>
  <si>
    <t>Paul Prescott 19:40</t>
  </si>
  <si>
    <t>GIB</t>
  </si>
  <si>
    <t>Gibside</t>
  </si>
  <si>
    <t>Paul Prescott 21:41</t>
  </si>
  <si>
    <t>Coldhams Common</t>
  </si>
  <si>
    <t>Mike Dennison 21:20</t>
  </si>
  <si>
    <t>BAK</t>
  </si>
  <si>
    <t>Mike Dennison 19:35</t>
  </si>
  <si>
    <t>DOG</t>
  </si>
  <si>
    <t>Dolgellau</t>
  </si>
  <si>
    <t>Mike Dennison 21:23</t>
  </si>
  <si>
    <t>Sloughbottom</t>
  </si>
  <si>
    <t>Uckfield</t>
  </si>
  <si>
    <t>started 4th May</t>
  </si>
  <si>
    <t>Kingdom</t>
  </si>
  <si>
    <t>started 27 April</t>
  </si>
  <si>
    <t>TN11 8DU</t>
  </si>
  <si>
    <t>Snowden Fld</t>
  </si>
  <si>
    <t>Hazelwood #62 3</t>
  </si>
  <si>
    <t>Hazelwood #62</t>
  </si>
  <si>
    <t>Bushy Park #789</t>
  </si>
  <si>
    <t>Bedfont Lakes #510</t>
  </si>
  <si>
    <t>Black Park #520</t>
  </si>
  <si>
    <t>Gunnersbury #387</t>
  </si>
  <si>
    <t>Riddlesdown #429</t>
  </si>
  <si>
    <t>Crane Park #371</t>
  </si>
  <si>
    <t>Osterley Park #293</t>
  </si>
  <si>
    <t>Woking #237</t>
  </si>
  <si>
    <t>Fell Foot #223</t>
  </si>
  <si>
    <t>Cassiobury #227</t>
  </si>
  <si>
    <t>Salisbury #209</t>
  </si>
  <si>
    <t>Hasenheide #73</t>
  </si>
  <si>
    <t>Brooklands #26</t>
  </si>
  <si>
    <t>reported late</t>
  </si>
  <si>
    <t>Leicester Victoria #181</t>
  </si>
  <si>
    <t>Dinton Pastures #46</t>
  </si>
  <si>
    <t>Clair #307</t>
  </si>
  <si>
    <t>timekkeeper</t>
  </si>
  <si>
    <t>Guildford #354</t>
  </si>
  <si>
    <t>Northala Fields #258</t>
  </si>
  <si>
    <t>Harrow #210</t>
  </si>
  <si>
    <t>Gedling #207</t>
  </si>
  <si>
    <t>carpark marshal</t>
  </si>
  <si>
    <t>first run at Fell Foot, park #41</t>
  </si>
  <si>
    <t>Mike Dennison</t>
  </si>
  <si>
    <t>id 13422</t>
  </si>
  <si>
    <t>started 18 May</t>
  </si>
  <si>
    <t>Tetbury Goods Shed</t>
  </si>
  <si>
    <t>started early April</t>
  </si>
  <si>
    <t xml:space="preserve">Conyngham Hall </t>
  </si>
  <si>
    <t>Kingdom (Kent)</t>
  </si>
  <si>
    <t>E Sussex</t>
  </si>
  <si>
    <t>M-3, run #10, 1st at Clair, club record</t>
  </si>
  <si>
    <t>97 on 18th May</t>
  </si>
  <si>
    <t>cancellations</t>
  </si>
  <si>
    <t>possible</t>
  </si>
  <si>
    <t>run #104, first at Dinton Pastures, park #36</t>
  </si>
  <si>
    <t>New member,  id 128950, club record</t>
  </si>
  <si>
    <t>0719 from Hammersmith to Westminster, Jubilee to London Bridge, 0751 to Albany Park (Dartford train)</t>
  </si>
  <si>
    <t>122 on 18th May 19</t>
  </si>
  <si>
    <t>Bethlem Royal Hospital</t>
  </si>
  <si>
    <t>BR3 3BX</t>
  </si>
  <si>
    <t>Bethlem</t>
  </si>
  <si>
    <t>Bethlem Ryl Hospital</t>
  </si>
  <si>
    <t>TW13 7EY</t>
  </si>
  <si>
    <t xml:space="preserve">Hanworth </t>
  </si>
  <si>
    <t>train/bike (late)</t>
  </si>
  <si>
    <t>Hogge</t>
  </si>
  <si>
    <t xml:space="preserve">Zoe </t>
  </si>
  <si>
    <t>M-1, course pb, club record</t>
  </si>
  <si>
    <t>course pb, 1:18 improvement</t>
  </si>
  <si>
    <t>course pb, 20" improvement, club record</t>
  </si>
  <si>
    <t>run #12, park #12</t>
  </si>
  <si>
    <t>missing</t>
  </si>
  <si>
    <t>Hanworth #4</t>
  </si>
  <si>
    <t>Bushy Park #790</t>
  </si>
  <si>
    <t>Bedfont Lakes #511</t>
  </si>
  <si>
    <t>Reading #485</t>
  </si>
  <si>
    <t>Black Park #521</t>
  </si>
  <si>
    <t>Edinburgh #497</t>
  </si>
  <si>
    <t>Harrow #211</t>
  </si>
  <si>
    <t>Rickmansworth #116</t>
  </si>
  <si>
    <t>Osterley #294</t>
  </si>
  <si>
    <t>Rushmoor #245</t>
  </si>
  <si>
    <t xml:space="preserve">Salisbury #210 </t>
  </si>
  <si>
    <t>Exmouth #74</t>
  </si>
  <si>
    <t>Hazelwood #63</t>
  </si>
  <si>
    <t>Manor F, Whittle' #39</t>
  </si>
  <si>
    <t>Barnsley 437</t>
  </si>
  <si>
    <t>Clair #308</t>
  </si>
  <si>
    <t>Fire Service Col #24</t>
  </si>
  <si>
    <t>Tetbury Goods Shed#2</t>
  </si>
  <si>
    <t>BA park #497</t>
  </si>
  <si>
    <t>needs membership chaser</t>
  </si>
  <si>
    <t>3rd run at Hanworth</t>
  </si>
  <si>
    <t>Bob Bannister is a member of Walton AC, previously with Runnymede Runners</t>
  </si>
  <si>
    <t>first run at Hanworth, park #40</t>
  </si>
  <si>
    <t>first run at Hanworth, park #109</t>
  </si>
  <si>
    <t>first run at Hanworth park #48</t>
  </si>
  <si>
    <t>first run at Hanworth, park #59</t>
  </si>
  <si>
    <t>first run at Hanworth, park #66</t>
  </si>
  <si>
    <t>first run at Hanworth, park #273</t>
  </si>
  <si>
    <t>first run at Hanworth, park #6</t>
  </si>
  <si>
    <t>first run at Hanworth, park #17</t>
  </si>
  <si>
    <t>first run at Hazelwood, run #479, park #77</t>
  </si>
  <si>
    <t xml:space="preserve">Murray </t>
  </si>
  <si>
    <t>run #259, all at Reading, new member</t>
  </si>
  <si>
    <t>Murray</t>
  </si>
  <si>
    <t>TGS</t>
  </si>
  <si>
    <t>Tetbury</t>
  </si>
  <si>
    <t>first parkrun in Scotland, park #26</t>
  </si>
  <si>
    <t>first parkrun in Scotland, park #31</t>
  </si>
  <si>
    <t>first parkrun in Scotland, park #39</t>
  </si>
  <si>
    <t>first parkrun in Scotland, park #17</t>
  </si>
  <si>
    <t>first sub 30 min run this year</t>
  </si>
  <si>
    <t>New UK runs not yet in main list</t>
  </si>
  <si>
    <t>49 miles by road (maybe less)</t>
  </si>
  <si>
    <t>Futakotagawara (Tokyo)</t>
  </si>
  <si>
    <t>Eglinton (Ayrshire)</t>
  </si>
  <si>
    <t>12th country in 12 weeks (world parkrun tourist record)</t>
  </si>
  <si>
    <t>Boston MA</t>
  </si>
  <si>
    <t>discounted, no longer a member</t>
  </si>
  <si>
    <t>Bethlem #2 (110)</t>
  </si>
  <si>
    <t>Hazelwood #68 4</t>
  </si>
  <si>
    <t>Alvaston</t>
  </si>
  <si>
    <t>New BA park</t>
  </si>
  <si>
    <t>Fastest parkrun for a year!</t>
  </si>
  <si>
    <t>48 second improvement</t>
  </si>
  <si>
    <t>Glen River</t>
  </si>
  <si>
    <t>New BA park / Cork marathon warm-up</t>
  </si>
  <si>
    <t>Another 35 second improvement.</t>
  </si>
  <si>
    <t>1:38 improvement</t>
  </si>
  <si>
    <t>500=</t>
  </si>
  <si>
    <t>ALV</t>
  </si>
  <si>
    <t>after two runs</t>
  </si>
  <si>
    <t>Alvaston Park, Derby</t>
  </si>
  <si>
    <t>New BA park, Lon-done (once more)</t>
  </si>
  <si>
    <t>GRC</t>
  </si>
  <si>
    <t>Glen River (Cork)</t>
  </si>
  <si>
    <t>M-1, missed pb by 3 secs</t>
  </si>
  <si>
    <t>club record  (all genders)</t>
  </si>
  <si>
    <t>New BA park, park #108</t>
  </si>
  <si>
    <t>club record (all genders), park #37</t>
  </si>
  <si>
    <t>Paul Prescott</t>
  </si>
  <si>
    <t>277 runners - record for Harrow</t>
  </si>
  <si>
    <t>1st run at Northala, park #19</t>
  </si>
  <si>
    <t>Frankie</t>
  </si>
  <si>
    <t>running well</t>
  </si>
  <si>
    <t>Brooklands #28</t>
  </si>
  <si>
    <t>Hanworth #5</t>
  </si>
  <si>
    <t>Osterley #295</t>
  </si>
  <si>
    <t>Alvaston #2</t>
  </si>
  <si>
    <t>Bedfont Lakes #512</t>
  </si>
  <si>
    <t>Black Park #522</t>
  </si>
  <si>
    <t>Bournemouth #302</t>
  </si>
  <si>
    <t>Bushy Park #791</t>
  </si>
  <si>
    <t>California Country #15</t>
  </si>
  <si>
    <t>Clair #309</t>
  </si>
  <si>
    <t>Crane Park #373</t>
  </si>
  <si>
    <t>Dunstable Downs #14</t>
  </si>
  <si>
    <t>Eglinton (Ayrshire) #313</t>
  </si>
  <si>
    <t>Exmouth #75</t>
  </si>
  <si>
    <t>Glen River #28</t>
  </si>
  <si>
    <t>Harrow #212</t>
  </si>
  <si>
    <t>Hazelwood #64</t>
  </si>
  <si>
    <t>Maidenhead #219</t>
  </si>
  <si>
    <t>Nonsuch #404</t>
  </si>
  <si>
    <t>Northala Fields #260</t>
  </si>
  <si>
    <t>Reading #486</t>
  </si>
  <si>
    <t>Richmond Park #616</t>
  </si>
  <si>
    <t>Riddlesdown #431</t>
  </si>
  <si>
    <t>Snowden Field #5</t>
  </si>
  <si>
    <t>Salisbury #211</t>
  </si>
  <si>
    <t>M-4, PB by 16s.</t>
  </si>
  <si>
    <t>M-3</t>
  </si>
  <si>
    <t>plus carpark marshalling</t>
  </si>
  <si>
    <t>club record  (F)</t>
  </si>
  <si>
    <t>Murray not Murrey</t>
  </si>
  <si>
    <t>Bethlem Royal Hospital #2</t>
  </si>
  <si>
    <t>five more parks</t>
  </si>
  <si>
    <t>volunteer at Hanworth</t>
  </si>
  <si>
    <t>Hazelwood #70 5</t>
  </si>
  <si>
    <t>Bethlem R H</t>
  </si>
  <si>
    <t>Bethlem H</t>
  </si>
  <si>
    <t>WI 1</t>
  </si>
  <si>
    <t>WI 2</t>
  </si>
  <si>
    <t>WI 3</t>
  </si>
  <si>
    <t>WI 4</t>
  </si>
  <si>
    <t>WI 5</t>
  </si>
  <si>
    <t>WI 6</t>
  </si>
  <si>
    <t>WI 7</t>
  </si>
  <si>
    <t>WI 8</t>
  </si>
  <si>
    <t>101 on 1st June</t>
  </si>
  <si>
    <t>Natalia</t>
  </si>
  <si>
    <t>run #15, 1st at Osterley</t>
  </si>
  <si>
    <t>Over a minute slower than 1st run in 2012.</t>
  </si>
  <si>
    <t>13 second improvement from 4 years ago.</t>
  </si>
  <si>
    <t>Bedfont Lakes #513</t>
  </si>
  <si>
    <t>Bracknell #222</t>
  </si>
  <si>
    <t>Guildford #356</t>
  </si>
  <si>
    <t>Gunnersbury #390</t>
  </si>
  <si>
    <t>Hanworth #6</t>
  </si>
  <si>
    <t>Higginson, Marlow #40</t>
  </si>
  <si>
    <t>Homewood #140</t>
  </si>
  <si>
    <t>Hove Promenade #197</t>
  </si>
  <si>
    <t>Lloyd #464</t>
  </si>
  <si>
    <t>Reading #487</t>
  </si>
  <si>
    <t>Upton Court #335</t>
  </si>
  <si>
    <t>Upton House #104</t>
  </si>
  <si>
    <t>Woking #240</t>
  </si>
  <si>
    <t>first run at Bracknell, park #23</t>
  </si>
  <si>
    <t>Crane Park #374</t>
  </si>
  <si>
    <t>Wilson Index now up to 40</t>
  </si>
  <si>
    <t>first run at Hove Promenade, park #67</t>
  </si>
  <si>
    <t>first run at Upton House, club record, park #35</t>
  </si>
  <si>
    <t>best ever agegrade score at Woking</t>
  </si>
  <si>
    <t xml:space="preserve">train/bike  </t>
  </si>
  <si>
    <t>Dinton P #50 (111)</t>
  </si>
  <si>
    <t>5th out of 187 in age cat (all time list)</t>
  </si>
  <si>
    <t>a long way to run tomorrow!</t>
  </si>
  <si>
    <t>taking it much easier than last year (sensible)</t>
  </si>
  <si>
    <t>Piers Keenleyside hold club rec with 28:41</t>
  </si>
  <si>
    <t>Manor Field, Whittlesey #41</t>
  </si>
  <si>
    <t>running with Jakob (JM10)</t>
  </si>
  <si>
    <t>Osterley #296</t>
  </si>
  <si>
    <t>run #71, 2nd at Osterley</t>
  </si>
  <si>
    <t>run #555, 25th at Osterley</t>
  </si>
  <si>
    <t>first run at Lloyd, three sisters run</t>
  </si>
  <si>
    <t>three sisters run</t>
  </si>
  <si>
    <t>Well ahead of Ian and Chris</t>
  </si>
  <si>
    <t>volunteer assisting role</t>
  </si>
  <si>
    <t>1st run at Osterley, park #27</t>
  </si>
  <si>
    <t>Mike Dennison clings on to club record (19:48)</t>
  </si>
  <si>
    <t>pb by 39' (previously ran old course in 2016)</t>
  </si>
  <si>
    <t>North Beach (Durban) #344</t>
  </si>
  <si>
    <t>Crissy Field #226</t>
  </si>
  <si>
    <t>run #27, 4th run at Crissy Field (San Francisco)</t>
  </si>
  <si>
    <t>joined 1/4/17</t>
  </si>
  <si>
    <t>joined April 2017</t>
  </si>
  <si>
    <t>Thomas Mills (Framlington)</t>
  </si>
  <si>
    <t>started 8 June 19</t>
  </si>
  <si>
    <t>first run at Lloyd, club rec(M)</t>
  </si>
  <si>
    <t>7.29 train to Clapham, East Croydon (with bike)</t>
  </si>
  <si>
    <t>beyond Oxford but fairly straightforward</t>
  </si>
  <si>
    <t>91 on 8th June</t>
  </si>
  <si>
    <t>after four weeks</t>
  </si>
  <si>
    <t>Dinton Pastur</t>
  </si>
  <si>
    <t>Alstervorland</t>
  </si>
  <si>
    <t>AVL</t>
  </si>
  <si>
    <t>Alstervorland (Hamburg)</t>
  </si>
  <si>
    <t>2 rounds</t>
  </si>
  <si>
    <t>UST + 2</t>
  </si>
  <si>
    <t>69 on 15th June</t>
  </si>
  <si>
    <t>IBT</t>
  </si>
  <si>
    <t>Dinton Past</t>
  </si>
  <si>
    <t>Isabel Trail</t>
  </si>
  <si>
    <t>Fordyce</t>
  </si>
  <si>
    <t xml:space="preserve">Bruce </t>
  </si>
  <si>
    <t>Groe</t>
  </si>
  <si>
    <t>M-2, club record</t>
  </si>
  <si>
    <t>run #359, park #111</t>
  </si>
  <si>
    <t>GBS</t>
  </si>
  <si>
    <t>Groe Park (Builth Wells)</t>
  </si>
  <si>
    <t>Groe (Builth Wells)</t>
  </si>
  <si>
    <t>Great Denham (Beds)</t>
  </si>
  <si>
    <t>UST + 1</t>
  </si>
  <si>
    <t>Hanworth #7</t>
  </si>
  <si>
    <t>Bushy Park #793</t>
  </si>
  <si>
    <t>Isabel Trail #28</t>
  </si>
  <si>
    <t>Reading #488</t>
  </si>
  <si>
    <t>Crane Park #375</t>
  </si>
  <si>
    <t>Bedfont Lakes #514</t>
  </si>
  <si>
    <t>Gunnersbury #391</t>
  </si>
  <si>
    <t>Newbury #396</t>
  </si>
  <si>
    <t>Hazelwood #66</t>
  </si>
  <si>
    <t>Black Park #524</t>
  </si>
  <si>
    <t>Harrow #214</t>
  </si>
  <si>
    <t>Maidenhead #221</t>
  </si>
  <si>
    <t>Alstervorland #23</t>
  </si>
  <si>
    <t>Bedford #414</t>
  </si>
  <si>
    <t>Dinton Pastures #50</t>
  </si>
  <si>
    <t>Osterley #297</t>
  </si>
  <si>
    <t>Lusitoland #1</t>
  </si>
  <si>
    <t>Great Denham #69</t>
  </si>
  <si>
    <t>Eglinton</t>
  </si>
  <si>
    <t>UST + 0.5</t>
  </si>
  <si>
    <t>Glen River (Ireland)</t>
  </si>
  <si>
    <t>Chasewater</t>
  </si>
  <si>
    <t>started 15 June</t>
  </si>
  <si>
    <t>Holy Cross College</t>
  </si>
  <si>
    <t>run #500, 143rd at Bushy Park</t>
  </si>
  <si>
    <t>Groe #14 (Builth Wells, Powys)</t>
  </si>
  <si>
    <t>2nd run at Bedford</t>
  </si>
  <si>
    <t>first run at Hanworth, inaugural, Bapark #493</t>
  </si>
  <si>
    <t>first run at Hanworth, park #65</t>
  </si>
  <si>
    <t>park #275, BA park #506</t>
  </si>
  <si>
    <t>M-1, age cat rec, club record, BA park #504</t>
  </si>
  <si>
    <t>10th/163 in agegroup list, park #87, BA park #505</t>
  </si>
  <si>
    <t>2nd run at Newbury, age grade improvement</t>
  </si>
  <si>
    <t>1 second improvement over last TWO runs</t>
  </si>
  <si>
    <t>£1.40 for 2 hours</t>
  </si>
  <si>
    <t>four more parks</t>
  </si>
  <si>
    <t>WI 9</t>
  </si>
  <si>
    <t xml:space="preserve">Gunnersbury #400 </t>
  </si>
  <si>
    <t>100 15th June</t>
  </si>
  <si>
    <t>300 due on 29th June</t>
  </si>
  <si>
    <t>68 on 15th June</t>
  </si>
  <si>
    <t>Gt Denham</t>
  </si>
  <si>
    <t>592 on 15 Jun 19</t>
  </si>
  <si>
    <t>658 on 15 Jun 2019</t>
  </si>
  <si>
    <t>WI 10</t>
  </si>
  <si>
    <t>Higginson #41 4</t>
  </si>
  <si>
    <t>Higginson #40 3</t>
  </si>
  <si>
    <t>(#28)    351</t>
  </si>
  <si>
    <t>#(22)   353</t>
  </si>
  <si>
    <t>(#36)   354</t>
  </si>
  <si>
    <t>(#14)   345</t>
  </si>
  <si>
    <t>(#38)   342</t>
  </si>
  <si>
    <t>(#62)   355</t>
  </si>
  <si>
    <t>(#40)   358</t>
  </si>
  <si>
    <t>(#50)   359</t>
  </si>
  <si>
    <t>(#41)   360</t>
  </si>
  <si>
    <t>Fastest Bushy time for 12 months</t>
  </si>
  <si>
    <t>course pb by 19 secs</t>
  </si>
  <si>
    <t>course pb by 14 secs</t>
  </si>
  <si>
    <t>Bedfont Lakes #515</t>
  </si>
  <si>
    <t>Black Park #525</t>
  </si>
  <si>
    <t>Bushy Park #794</t>
  </si>
  <si>
    <t>Gunnersbury #392</t>
  </si>
  <si>
    <t>Hackney Marshes #469</t>
  </si>
  <si>
    <t>Hanworth #8</t>
  </si>
  <si>
    <t>Harrow #215</t>
  </si>
  <si>
    <t>Hazelwood #67</t>
  </si>
  <si>
    <t>Higginson, Marlow #41</t>
  </si>
  <si>
    <t>Hogmoor Inclosure #69</t>
  </si>
  <si>
    <t>March #174</t>
  </si>
  <si>
    <t>Osterley #298</t>
  </si>
  <si>
    <t>Richmond Park #619</t>
  </si>
  <si>
    <t>Rushmoor #249</t>
  </si>
  <si>
    <t>Salisbury #214</t>
  </si>
  <si>
    <t>Woking #242</t>
  </si>
  <si>
    <t>Yeovil Montacute #263</t>
  </si>
  <si>
    <t>1st run at Hogmoor, club record, park #38</t>
  </si>
  <si>
    <t>run #49, 47th at Richmond Park</t>
  </si>
  <si>
    <t>best run at Black Park since 2017</t>
  </si>
  <si>
    <t xml:space="preserve">Millfield </t>
  </si>
  <si>
    <t>started 22 June</t>
  </si>
  <si>
    <t>1st run at Hanworth, park #19</t>
  </si>
  <si>
    <t>F-1, run #276, 3rd at Hanworth</t>
  </si>
  <si>
    <t>run #482, 1st at Hackney Marshes</t>
  </si>
  <si>
    <t>run #361, 1st at Hackney Marshes</t>
  </si>
  <si>
    <t>run #235, 1st at Wimbledon Common</t>
  </si>
  <si>
    <t>Gary Rushmer holds club rec with 20:07</t>
  </si>
  <si>
    <t>run #145, 10th at Higginson Marlow</t>
  </si>
  <si>
    <t>4th run at Marlow, Wilson Index moves up to 44</t>
  </si>
  <si>
    <t>best run at Rushmoor since 2017</t>
  </si>
  <si>
    <t>50th run at Rushmoor, best for over a year</t>
  </si>
  <si>
    <t>run #352, 291st at Bedfont Lakes</t>
  </si>
  <si>
    <t>Wimbledon Common #659</t>
  </si>
  <si>
    <t>"Y" now collected, 25th letter of Alphabet</t>
  </si>
  <si>
    <t>Only "X" missing</t>
  </si>
  <si>
    <t>run #242, not sure if he has resgned !</t>
  </si>
  <si>
    <t>Gt Denham #75(112)</t>
  </si>
  <si>
    <t>89 on 22nd June cx 29/6)</t>
  </si>
  <si>
    <t>WI 11</t>
  </si>
  <si>
    <t>(#68)  361</t>
  </si>
  <si>
    <t>Richmond #620</t>
  </si>
  <si>
    <t>Bushy Park #795</t>
  </si>
  <si>
    <t>Bedfont Lakes #516</t>
  </si>
  <si>
    <t>Black Park #526</t>
  </si>
  <si>
    <t>Harrow #216</t>
  </si>
  <si>
    <t>Guildford #359</t>
  </si>
  <si>
    <t>Crane #376</t>
  </si>
  <si>
    <t>Osterley #299</t>
  </si>
  <si>
    <t>Northala #264</t>
  </si>
  <si>
    <t>Hazelwood #68</t>
  </si>
  <si>
    <t>Manor Field #44</t>
  </si>
  <si>
    <t>Brooklands #32</t>
  </si>
  <si>
    <t>pacer and carpark marshal</t>
  </si>
  <si>
    <t>Mura di Lucca</t>
  </si>
  <si>
    <t>Mura di Lucca (Pisa)</t>
  </si>
  <si>
    <t>Mura di Lucca #45</t>
  </si>
  <si>
    <t>McAllister</t>
  </si>
  <si>
    <t>Gunnersbury #393</t>
  </si>
  <si>
    <t>Daventry #247</t>
  </si>
  <si>
    <t>Maidenhead #223</t>
  </si>
  <si>
    <t>Cirencester #72</t>
  </si>
  <si>
    <t>22' pacer</t>
  </si>
  <si>
    <t>pacer and token sorting</t>
  </si>
  <si>
    <t>McAllister, Indiana #6</t>
  </si>
  <si>
    <t>McAllister, Indiana</t>
  </si>
  <si>
    <t>McA</t>
  </si>
  <si>
    <t>IN</t>
  </si>
  <si>
    <t>F-2, run #126, 6th at Brooklands</t>
  </si>
  <si>
    <t>M-8, run #435, 2nd at Brooklands, course pb</t>
  </si>
  <si>
    <t>run #167, 2nd at Brooklands, course pb</t>
  </si>
  <si>
    <t>run #111, 3rd at Brooklands, course pb</t>
  </si>
  <si>
    <t>run #236, 19th at Bushy, best agegrade%</t>
  </si>
  <si>
    <t>run #384, 308th at Bushy</t>
  </si>
  <si>
    <t>run #65, 26th at Bushy</t>
  </si>
  <si>
    <t>run #334, 54th at Hazelwood</t>
  </si>
  <si>
    <t>run #361, 4th at Hazelwood</t>
  </si>
  <si>
    <t>121 on 29th June</t>
  </si>
  <si>
    <t>check sequence v. one drive</t>
  </si>
  <si>
    <t>added in - membership status pending</t>
  </si>
  <si>
    <t>added in - parkrun founder pb</t>
  </si>
  <si>
    <t>yet another parkrun in America, park #66</t>
  </si>
  <si>
    <t>anticlockwise lap round the walls of Lucca, park #49</t>
  </si>
  <si>
    <t>run #50, 48th at Richmond</t>
  </si>
  <si>
    <t>St Mary's (Bridport)</t>
  </si>
  <si>
    <t>started 29 June</t>
  </si>
  <si>
    <t>Lochend Woods (Dunbar)</t>
  </si>
  <si>
    <t>Jonathan Cox who was a member from 2011 until 2018 is also a member of Stragglers</t>
  </si>
  <si>
    <t>107 29th June</t>
  </si>
  <si>
    <t>78 on 29th June</t>
  </si>
  <si>
    <t>Bethlem Royal Hosp</t>
  </si>
  <si>
    <t>Alan &amp; Ann</t>
  </si>
  <si>
    <t>Hanworth #10</t>
  </si>
  <si>
    <t>Bedfont Lakes #517</t>
  </si>
  <si>
    <t>Braunstone #452</t>
  </si>
  <si>
    <t>Brooklands #33</t>
  </si>
  <si>
    <t>Bushy Park #796</t>
  </si>
  <si>
    <t>Cardiff #604</t>
  </si>
  <si>
    <t>Crane Park #377</t>
  </si>
  <si>
    <t>Harrow #217</t>
  </si>
  <si>
    <t>Hazelwood #69</t>
  </si>
  <si>
    <t>Higginson, Marlow #43</t>
  </si>
  <si>
    <t>Kingsbury Water #306</t>
  </si>
  <si>
    <t>Nonsuch #409</t>
  </si>
  <si>
    <t>Osterley #300</t>
  </si>
  <si>
    <t>Tilgate #373</t>
  </si>
  <si>
    <t>Sippo Lake (Ohio) #12</t>
  </si>
  <si>
    <t>River Oaks (Ontario) #52</t>
  </si>
  <si>
    <t>SIP</t>
  </si>
  <si>
    <t>Sippo Lake (Ohio, US)</t>
  </si>
  <si>
    <t>OH</t>
  </si>
  <si>
    <t>volunteer coordinator +1st timers briefing</t>
  </si>
  <si>
    <t>Laura</t>
  </si>
  <si>
    <t>run director + results processing +event setup</t>
  </si>
  <si>
    <t>barcode scanning + event closedown</t>
  </si>
  <si>
    <t>run report writer</t>
  </si>
  <si>
    <t>PB by 10 seconds</t>
  </si>
  <si>
    <t>PB from 26:16 / Also Token Sorting</t>
  </si>
  <si>
    <t>Tail Walker (2:40 faster than last week!)</t>
  </si>
  <si>
    <t>Ambassador's Conference warm-up run</t>
  </si>
  <si>
    <t>Osterley 300th / one time one lap course</t>
  </si>
  <si>
    <t>Canada Day Extra</t>
  </si>
  <si>
    <t>Over 36 mins faster than previous parkrun</t>
  </si>
  <si>
    <t>club record for Osterley parkrun</t>
  </si>
  <si>
    <t>run #17, 1st at Cardiff</t>
  </si>
  <si>
    <t>run #8, 1st at Cardiff</t>
  </si>
  <si>
    <t>run #39, 1st at Cardiff, club rec(F)</t>
  </si>
  <si>
    <t>Gareth Snook holds club rec with 21:00</t>
  </si>
  <si>
    <t>16th run in USA, 9th different state</t>
  </si>
  <si>
    <t>run #155, 3rd at Higginson Marlow</t>
  </si>
  <si>
    <t>run #180, 4th at Higginson Marlow</t>
  </si>
  <si>
    <t>Zara Thorn still holds club rec with 27:48</t>
  </si>
  <si>
    <t>run #81, 1st at Brooklands</t>
  </si>
  <si>
    <t>run #335, 55th at Hazelwood</t>
  </si>
  <si>
    <t>M-1, run #374, 4th at Hanworth</t>
  </si>
  <si>
    <t>200th run at Crane, pacing daughter (JW10)</t>
  </si>
  <si>
    <t>pacing Jakob (JM08), course pb</t>
  </si>
  <si>
    <t>run #56, 1st at Tilgate</t>
  </si>
  <si>
    <t>Hanworth takeover</t>
  </si>
  <si>
    <t>Ambassador's Conference warm-up run, club rec</t>
  </si>
  <si>
    <t>Ambassador's Conference warm-up run, club rec(F)</t>
  </si>
  <si>
    <t>Hanworth(V)</t>
  </si>
  <si>
    <t>489 on 6th July</t>
  </si>
  <si>
    <t>(Dublin)</t>
  </si>
  <si>
    <t>WI 12</t>
  </si>
  <si>
    <t>(#70)   362</t>
  </si>
  <si>
    <t>BLY</t>
  </si>
  <si>
    <t>Blyth Links</t>
  </si>
  <si>
    <t>Barry at Blyth Links</t>
  </si>
  <si>
    <t>51A</t>
  </si>
  <si>
    <t>Bushy approaching the big 8-0-0</t>
  </si>
  <si>
    <t>31 second improvement</t>
  </si>
  <si>
    <t>Note "(assisted)" has appeared this week.</t>
  </si>
  <si>
    <t>[not for the report - see Ann]</t>
  </si>
  <si>
    <t>Giggs</t>
  </si>
  <si>
    <t>Bushy Park #797</t>
  </si>
  <si>
    <t>Reading #491</t>
  </si>
  <si>
    <t>Crane Park #378</t>
  </si>
  <si>
    <t>Tilgate #374</t>
  </si>
  <si>
    <t>Guildford #360</t>
  </si>
  <si>
    <t>Bournemouth #308</t>
  </si>
  <si>
    <t>Clumber Park #308</t>
  </si>
  <si>
    <t>Osterley #301</t>
  </si>
  <si>
    <t>Great Lines #293</t>
  </si>
  <si>
    <t>Northala Fields #266</t>
  </si>
  <si>
    <t>Bath Skyline #248</t>
  </si>
  <si>
    <t>Woking #244</t>
  </si>
  <si>
    <t>Penrhyn #229</t>
  </si>
  <si>
    <t>Maidenhead #224</t>
  </si>
  <si>
    <t>Château de Pierre de Bresse #164</t>
  </si>
  <si>
    <t>Worthing #156</t>
  </si>
  <si>
    <t>Homewood #145</t>
  </si>
  <si>
    <t>Rickmansworth #123</t>
  </si>
  <si>
    <t>Cirencester #74</t>
  </si>
  <si>
    <t>Hazelwood #70</t>
  </si>
  <si>
    <t>Manor Field, Whittlesey #46</t>
  </si>
  <si>
    <t>Brooklands #34</t>
  </si>
  <si>
    <t>Blyth Links #12</t>
  </si>
  <si>
    <t>Hanworth #11</t>
  </si>
  <si>
    <t>M-6, club record</t>
  </si>
  <si>
    <t>park #40, club rec(F)</t>
  </si>
  <si>
    <t>timekeeper, 49th volunteer shift at Harrow</t>
  </si>
  <si>
    <t>park#40, club rec (F)</t>
  </si>
  <si>
    <t>8-y-o son is improving!  PB by over 2minutes</t>
  </si>
  <si>
    <t>run #333, 3rd at Homewood</t>
  </si>
  <si>
    <t>first run at Hazelwood</t>
  </si>
  <si>
    <t>Piers still holds club record</t>
  </si>
  <si>
    <t>1st run at Penrhyn, park #50</t>
  </si>
  <si>
    <t>Pierrs Keenleyside</t>
  </si>
  <si>
    <t>run #239, park #41, club rec</t>
  </si>
  <si>
    <t>Roderick held record previously</t>
  </si>
  <si>
    <t>run #73, park #39, BApark #510</t>
  </si>
  <si>
    <t>1st run at Tilgate, park #28, club rec(F)</t>
  </si>
  <si>
    <t>1st run at Tilgate, park #23</t>
  </si>
  <si>
    <t>run #263, all at Reading</t>
  </si>
  <si>
    <t>1st run at Bournemouth, park #11</t>
  </si>
  <si>
    <t>run #355, 9th at Northala Fields</t>
  </si>
  <si>
    <t>run #438, record attendance of 526 this week</t>
  </si>
  <si>
    <t>Beverley Westwood</t>
  </si>
  <si>
    <t>started 13th July</t>
  </si>
  <si>
    <t>Another 2 second improvement, parkrun pb</t>
  </si>
  <si>
    <t xml:space="preserve">Hazelwood </t>
  </si>
  <si>
    <t>Joe Aspinall 25;27</t>
  </si>
  <si>
    <t>WI 13</t>
  </si>
  <si>
    <t>(#45)   363</t>
  </si>
  <si>
    <t>MAC</t>
  </si>
  <si>
    <t>Macclesfield</t>
  </si>
  <si>
    <t>Paul Davis</t>
  </si>
  <si>
    <t>4th run at Brooklands</t>
  </si>
  <si>
    <t>Has run with Ian and Caroline 3 weeks in a row!</t>
  </si>
  <si>
    <t>First parkrun for 14 months</t>
  </si>
  <si>
    <t xml:space="preserve">Alan &amp; Ann </t>
  </si>
  <si>
    <t>Wormwood Scrubs #421</t>
  </si>
  <si>
    <t>Macclesfield #65</t>
  </si>
  <si>
    <t>Reading #492</t>
  </si>
  <si>
    <t>Hanworth #12</t>
  </si>
  <si>
    <t>Northala Fields #267</t>
  </si>
  <si>
    <t>Gunnersbury #396</t>
  </si>
  <si>
    <t>Osterley #302</t>
  </si>
  <si>
    <t>Black Park #529</t>
  </si>
  <si>
    <t>Medina I.O.W. #418</t>
  </si>
  <si>
    <t>Woking #245</t>
  </si>
  <si>
    <t>Maidenhead #225</t>
  </si>
  <si>
    <t>Lac de Divonne #114</t>
  </si>
  <si>
    <t>Rickmansworth #124</t>
  </si>
  <si>
    <t>Cirencester #75</t>
  </si>
  <si>
    <t>Hazelwood #71</t>
  </si>
  <si>
    <t>Tonbridge#297</t>
  </si>
  <si>
    <t>Higginson, Marlow #45</t>
  </si>
  <si>
    <t>Manor Field, Whittlesey #47</t>
  </si>
  <si>
    <t>Braunstone #454</t>
  </si>
  <si>
    <t>Harrow #219</t>
  </si>
  <si>
    <t>Richmond Park #623</t>
  </si>
  <si>
    <t>Homewood #146</t>
  </si>
  <si>
    <t>First time ever 3 weeks of parkruns in a row!</t>
  </si>
  <si>
    <t>assisted wheelchair team</t>
  </si>
  <si>
    <r>
      <rPr>
        <b/>
        <sz val="10"/>
        <rFont val="Arial"/>
        <family val="2"/>
      </rPr>
      <t>M</t>
    </r>
    <r>
      <rPr>
        <sz val="10"/>
        <rFont val="Arial"/>
        <family val="2"/>
      </rPr>
      <t>acclesfield</t>
    </r>
  </si>
  <si>
    <t>1st run at Wormwood Scrubs, club rec (F)</t>
  </si>
  <si>
    <t>1st run at Wormwood Scrubs</t>
  </si>
  <si>
    <t>run #439, 342nd at Reading</t>
  </si>
  <si>
    <t>run #115, 77th at Northala Fields</t>
  </si>
  <si>
    <t>run #240, 160th at Gunnersbury</t>
  </si>
  <si>
    <t>run #48, 2nd at Osterley</t>
  </si>
  <si>
    <t>run #387, 1st at Macclesfield, park #43</t>
  </si>
  <si>
    <t>300th run at Black Park</t>
  </si>
  <si>
    <t>run #290, 4th at Black Park</t>
  </si>
  <si>
    <t>5th parkrun en France</t>
  </si>
  <si>
    <t>1st run on Isle of Wight, park #277</t>
  </si>
  <si>
    <t>Wilson Index up to 46</t>
  </si>
  <si>
    <t>run #157, 81st at Maidenhead</t>
  </si>
  <si>
    <t>run #182, 85th at Maidenhead</t>
  </si>
  <si>
    <t>pb and age cat record at 6th attempt</t>
  </si>
  <si>
    <t>run #234, 75th at Braunstone</t>
  </si>
  <si>
    <t>run #30, 17th at Cirencester</t>
  </si>
  <si>
    <t>run #310, 3rd at Hanworth, pb by 12 secs</t>
  </si>
  <si>
    <t>first parkrun in Kent, park#70</t>
  </si>
  <si>
    <t>1st run at Rickmansworth, park #40</t>
  </si>
  <si>
    <t>Herrington Country</t>
  </si>
  <si>
    <t>Severn Valley Country</t>
  </si>
  <si>
    <t>started 20 July 2019</t>
  </si>
  <si>
    <t>Sixmilewater</t>
  </si>
  <si>
    <t>Tyne/Wear</t>
  </si>
  <si>
    <t>Salop</t>
  </si>
  <si>
    <t>Tawd Valley</t>
  </si>
  <si>
    <t>N Ireland</t>
  </si>
  <si>
    <t>DA11 7NP</t>
  </si>
  <si>
    <t>Cyclopark, Gravesend</t>
  </si>
  <si>
    <t>31 miles by car</t>
  </si>
  <si>
    <t>more parkruns in HOME COUNTIES beyond M25 (clockwise from M1)</t>
  </si>
  <si>
    <t>record down to 24:56</t>
  </si>
  <si>
    <t>95 on 20 July 2019</t>
  </si>
  <si>
    <t>67 on 20th July</t>
  </si>
  <si>
    <t>78 on 20 July</t>
  </si>
  <si>
    <t>257 on 20 July</t>
  </si>
  <si>
    <t>105 on 20 July</t>
  </si>
  <si>
    <t>Riddlesdown #438</t>
  </si>
  <si>
    <t>Riddlesdown #432</t>
  </si>
  <si>
    <t>run #27, all at Riddlesdown</t>
  </si>
  <si>
    <t>run #26, all at Riddlesdown</t>
  </si>
  <si>
    <t>reinstated as a member</t>
  </si>
  <si>
    <t>after she had resigned</t>
  </si>
  <si>
    <t>not actually a member during 2018</t>
  </si>
  <si>
    <t>not a valid BA park</t>
  </si>
  <si>
    <t>resigned</t>
  </si>
  <si>
    <t>WI 14</t>
  </si>
  <si>
    <t>(#75)   364</t>
  </si>
  <si>
    <t>Mountbatten School</t>
  </si>
  <si>
    <t>Higginson #45 5</t>
  </si>
  <si>
    <t>MBS</t>
  </si>
  <si>
    <t>57 miles by road</t>
  </si>
  <si>
    <t>Mountbatten</t>
  </si>
  <si>
    <t>S Taylor/Hoffman</t>
  </si>
  <si>
    <t>Suffered another injury but still finished</t>
  </si>
  <si>
    <t xml:space="preserve">Mike  </t>
  </si>
  <si>
    <t xml:space="preserve">Paul  </t>
  </si>
  <si>
    <t xml:space="preserve">Scott  </t>
  </si>
  <si>
    <t xml:space="preserve">David  </t>
  </si>
  <si>
    <t xml:space="preserve">Kay  </t>
  </si>
  <si>
    <t xml:space="preserve">Benita  </t>
  </si>
  <si>
    <t xml:space="preserve">John  </t>
  </si>
  <si>
    <t xml:space="preserve">Denis  </t>
  </si>
  <si>
    <t xml:space="preserve">Joan  </t>
  </si>
  <si>
    <t xml:space="preserve">Alan &amp; Ann  </t>
  </si>
  <si>
    <t xml:space="preserve">Julie  </t>
  </si>
  <si>
    <t xml:space="preserve">Ian  </t>
  </si>
  <si>
    <t>Bedfont Lakes  #519</t>
  </si>
  <si>
    <t>Black Park #530</t>
  </si>
  <si>
    <t>Bournemouth #310</t>
  </si>
  <si>
    <t>Brooklands #36</t>
  </si>
  <si>
    <t>Dinton Pastures #56</t>
  </si>
  <si>
    <t>Great Denham #75</t>
  </si>
  <si>
    <t>Gunnersbury #397</t>
  </si>
  <si>
    <t>Harrow #220</t>
  </si>
  <si>
    <t>Hazelwood #72</t>
  </si>
  <si>
    <t>Higginson, Marlow #46</t>
  </si>
  <si>
    <t>Manor Field, Whittlesey #48</t>
  </si>
  <si>
    <t>Mountbatten School #19</t>
  </si>
  <si>
    <t>Osterley #303</t>
  </si>
  <si>
    <t>Reading #493</t>
  </si>
  <si>
    <t>Richmond Park #624</t>
  </si>
  <si>
    <t>Riddlesdown #439</t>
  </si>
  <si>
    <t>Rushmoor #253</t>
  </si>
  <si>
    <t>Salisbury #219</t>
  </si>
  <si>
    <t>Sixfields Upton #70</t>
  </si>
  <si>
    <t>Upton House #111</t>
  </si>
  <si>
    <t>Valentines #445</t>
  </si>
  <si>
    <t>Woking #246</t>
  </si>
  <si>
    <t>would have been a club rec (F) ***</t>
  </si>
  <si>
    <t>park #13, new BA park</t>
  </si>
  <si>
    <t>park #278</t>
  </si>
  <si>
    <t>free car parking a bit of a walk away</t>
  </si>
  <si>
    <t>F-2, 7th run at Brooklands</t>
  </si>
  <si>
    <t>1st parkrun in Bedfordshire, park #112</t>
  </si>
  <si>
    <t>wheelchair team, she sits, he stands</t>
  </si>
  <si>
    <t>fully aid up member again</t>
  </si>
  <si>
    <t>best parkrun time this year</t>
  </si>
  <si>
    <t xml:space="preserve">F-2 </t>
  </si>
  <si>
    <t>pacing Jakob to new course pb (25:03)</t>
  </si>
  <si>
    <t>50th run at Richmond Park</t>
  </si>
  <si>
    <t>1st run at Valentines Park (Ilford), park #21</t>
  </si>
  <si>
    <t>run #28, all at Riddlesdown</t>
  </si>
  <si>
    <t>run #122, 43rd at Salisbury</t>
  </si>
  <si>
    <t>11th run at Marlow</t>
  </si>
  <si>
    <t>run #105, 2nd at Upton House</t>
  </si>
  <si>
    <t>1st run at Sixfields Upton, club  course record</t>
  </si>
  <si>
    <t>M-7, run #43, 30th at Bedfont Lakes</t>
  </si>
  <si>
    <t>run #311, 246th at Bedfont Lakes</t>
  </si>
  <si>
    <t>run #231, 147th at Bedfont Lakes</t>
  </si>
  <si>
    <t>run #'81, 53rd at Bedfont Lakes</t>
  </si>
  <si>
    <t>Sinton-Hewitts there again as well</t>
  </si>
  <si>
    <t>Chateau de Pierre de Bresse #166</t>
  </si>
  <si>
    <t>record attendance of 53</t>
  </si>
  <si>
    <t>3rd rime as this parkrun 60km from Dijon</t>
  </si>
  <si>
    <t>started 27 July 2019</t>
  </si>
  <si>
    <t>Drumpellier Country(Coatbridge)</t>
  </si>
  <si>
    <t>run #338, 58th at Hazelwood</t>
  </si>
  <si>
    <t>run #291, 19th at Osterley</t>
  </si>
  <si>
    <t>run #241, 161st at Gunnersbury</t>
  </si>
  <si>
    <t>run #440, 343rd at Reading</t>
  </si>
  <si>
    <t>first run at Bournemouth</t>
  </si>
  <si>
    <t>1st run at Dinton Pastures, park #60</t>
  </si>
  <si>
    <t>1st run at Dinton Pastures, park #68</t>
  </si>
  <si>
    <t>Ross on Wye</t>
  </si>
  <si>
    <t>will start 3/8/19</t>
  </si>
  <si>
    <t>S West</t>
  </si>
  <si>
    <t>Anne Bannister is a member of Runnymede Runners</t>
  </si>
  <si>
    <t>Tom Rowley, Paul Watt and Julie Barclay were also members of Woking AC</t>
  </si>
  <si>
    <t>Maria Jovani (joined May ? 2018) is also a member of Runnymede Runners, later Shaef Shifters</t>
  </si>
  <si>
    <t xml:space="preserve">Bedfont Lakes  </t>
  </si>
  <si>
    <t>F-2, age category record, club record (F)</t>
  </si>
  <si>
    <t>Harrow #221</t>
  </si>
  <si>
    <t>Northala Fields #269</t>
  </si>
  <si>
    <t>Bedfont Lakes #520</t>
  </si>
  <si>
    <t>Bushy Park #800</t>
  </si>
  <si>
    <t>Chasewater #7</t>
  </si>
  <si>
    <t>Crane Park #381</t>
  </si>
  <si>
    <t>Gunnersbury #398</t>
  </si>
  <si>
    <t>Hanworth #14</t>
  </si>
  <si>
    <t>Henley-on-Thames #107</t>
  </si>
  <si>
    <t>Manor Field, Whittlesey #49</t>
  </si>
  <si>
    <t>Marlborough Common #41</t>
  </si>
  <si>
    <t>Moors Valley #194</t>
  </si>
  <si>
    <t>Nonsuch #413</t>
  </si>
  <si>
    <t>Old Deer Park #452</t>
  </si>
  <si>
    <t>Osterley #304</t>
  </si>
  <si>
    <t>Perry Hall #244</t>
  </si>
  <si>
    <t>Prospect #58</t>
  </si>
  <si>
    <t>Reading #494</t>
  </si>
  <si>
    <t>Severn Bridge #45</t>
  </si>
  <si>
    <t>St Albans #400</t>
  </si>
  <si>
    <t>Tooting Common #180</t>
  </si>
  <si>
    <t>Woking #247</t>
  </si>
  <si>
    <t>Johnson</t>
  </si>
  <si>
    <t>Kingston #493</t>
  </si>
  <si>
    <t xml:space="preserve">Anne  </t>
  </si>
  <si>
    <t xml:space="preserve">Barry  </t>
  </si>
  <si>
    <t xml:space="preserve">Murray  </t>
  </si>
  <si>
    <t>Following the cycling back to the UK?</t>
  </si>
  <si>
    <t>club course record, park #22</t>
  </si>
  <si>
    <t>Back home for the 800th</t>
  </si>
  <si>
    <t>Babbs Mill</t>
  </si>
  <si>
    <t>started 3/8/19</t>
  </si>
  <si>
    <t>CHW</t>
  </si>
  <si>
    <t>new BA park, park #109, club rec</t>
  </si>
  <si>
    <t>run #365, 5th at Bushy</t>
  </si>
  <si>
    <t>acting as VI guide</t>
  </si>
  <si>
    <t>8:09 per mile, cf Dream Mile time !</t>
  </si>
  <si>
    <t>wheelchair assisted</t>
  </si>
  <si>
    <t>providing the assistance</t>
  </si>
  <si>
    <t>club rec(F), park #37</t>
  </si>
  <si>
    <t>1st run at Prospect Park, park #69</t>
  </si>
  <si>
    <t>with friend doing a parkrun after a 7 year gap</t>
  </si>
  <si>
    <t>1st run at Nonsuch, park #15</t>
  </si>
  <si>
    <t>1st run at Nonsuch, park #29</t>
  </si>
  <si>
    <t>1st run at Hanworth, park #41</t>
  </si>
  <si>
    <t>park #279, Advancing Wilson Index to 54!</t>
  </si>
  <si>
    <t>run #147, 4th at Henley, attendance 76 (typical)</t>
  </si>
  <si>
    <t>1st run at Old Deer Park, park #17</t>
  </si>
  <si>
    <t>first man but second overall !</t>
  </si>
  <si>
    <t>run #264, all at Reading</t>
  </si>
  <si>
    <t>run #441, 344th at Reading</t>
  </si>
  <si>
    <t>1st run at Tooting Common, park #41</t>
  </si>
  <si>
    <t>run #84, 70th at Woking</t>
  </si>
  <si>
    <t>run #97, 17th at Whittlesey</t>
  </si>
  <si>
    <t>run #389, 310th at Bushy Park</t>
  </si>
  <si>
    <t>run #49, first at Gunnersbury, park #9, parkrun pb</t>
  </si>
  <si>
    <t>run #242, 162nd at Gunnersbury</t>
  </si>
  <si>
    <t>Keith</t>
  </si>
  <si>
    <t xml:space="preserve">Jain  </t>
  </si>
  <si>
    <t>runn #53, 51st at Richmond</t>
  </si>
  <si>
    <t>new member , run #20, 7th at St Albans</t>
  </si>
  <si>
    <t>age category record, club rec (F)</t>
  </si>
  <si>
    <t>run #44, 31st at Bedfont Lakes</t>
  </si>
  <si>
    <t>after 7  weeks</t>
  </si>
  <si>
    <t>updated Aug 2019</t>
  </si>
  <si>
    <t>Black Park #531</t>
  </si>
  <si>
    <t>347-348</t>
  </si>
  <si>
    <t>CHB</t>
  </si>
  <si>
    <t>train/bus</t>
  </si>
  <si>
    <t>Taylors at Cheltenham</t>
  </si>
  <si>
    <t>Chasewater (Brownhills)</t>
  </si>
  <si>
    <t>CYC</t>
  </si>
  <si>
    <t>Cyclopark</t>
  </si>
  <si>
    <t>Keith Johnson</t>
  </si>
  <si>
    <t>Burgess #349</t>
  </si>
  <si>
    <t>several roles</t>
  </si>
  <si>
    <t>Better age grade than John</t>
  </si>
  <si>
    <t>Taylor clan outing / New BA park</t>
  </si>
  <si>
    <t>Rerouted due to Fire Services College cancellation</t>
  </si>
  <si>
    <t>Five different parkruns in 5 weeks</t>
  </si>
  <si>
    <t>First run at Gunnersbury by the dynamic duo</t>
  </si>
  <si>
    <t>Bedfont Lakes #521</t>
  </si>
  <si>
    <t>Braunstone #457</t>
  </si>
  <si>
    <t>Brooklands #38</t>
  </si>
  <si>
    <t>Bushy Park #801</t>
  </si>
  <si>
    <t>Cheltenham #338</t>
  </si>
  <si>
    <t>Clapham Common #65</t>
  </si>
  <si>
    <t>Cyclopark #4 (Gravesend)</t>
  </si>
  <si>
    <t>Exmouth #85</t>
  </si>
  <si>
    <t>Gunnersbury #399</t>
  </si>
  <si>
    <t>Hanworth #15</t>
  </si>
  <si>
    <t>Harrow #222</t>
  </si>
  <si>
    <t>Hazelwood #73</t>
  </si>
  <si>
    <t>Maidenhead #228</t>
  </si>
  <si>
    <t>Manor Field, Whittlesey #50</t>
  </si>
  <si>
    <t>Northala Fields #270</t>
  </si>
  <si>
    <t>Reading #495</t>
  </si>
  <si>
    <t>Richmond Park #626</t>
  </si>
  <si>
    <t>Rickmansworth #127</t>
  </si>
  <si>
    <t>Winchester #322</t>
  </si>
  <si>
    <t>course pb, 41 second improvement</t>
  </si>
  <si>
    <t>course pb, 2:28 improvement</t>
  </si>
  <si>
    <t>First parkrun since April</t>
  </si>
  <si>
    <t>course pb, 1:54 improvement</t>
  </si>
  <si>
    <t>M-1, run #50, parkrun pb</t>
  </si>
  <si>
    <t>club rec (course pb is 20:03 dating back to 2018)</t>
  </si>
  <si>
    <t>344 on 10th August</t>
  </si>
  <si>
    <t>352-354</t>
  </si>
  <si>
    <t>356-357</t>
  </si>
  <si>
    <t>359-361</t>
  </si>
  <si>
    <t>366-374</t>
  </si>
  <si>
    <t>376-378</t>
  </si>
  <si>
    <t>380-390</t>
  </si>
  <si>
    <t>392-394</t>
  </si>
  <si>
    <t>396-399</t>
  </si>
  <si>
    <t>Upton Court #351 2</t>
  </si>
  <si>
    <t>just outside M25 but reachable with bike</t>
  </si>
  <si>
    <t>Taylors + Piers</t>
  </si>
  <si>
    <t>run #236, 76th at Braunstone</t>
  </si>
  <si>
    <t>tried walking for a change!</t>
  </si>
  <si>
    <t>18th run out of the first 50 at Manor Field</t>
  </si>
  <si>
    <t>refugee from Marlow ?</t>
  </si>
  <si>
    <t>first run at Winchester, park #42</t>
  </si>
  <si>
    <t>run #21, park #7, new BA park</t>
  </si>
  <si>
    <t>park #280, Counting as "X" to complete the alphabet</t>
  </si>
  <si>
    <t>run #366, 4th at Burgess Park  (Camberwell)</t>
  </si>
  <si>
    <t>run #488, run #289 at Bedfont Lakes</t>
  </si>
  <si>
    <t>Higginson #49 6</t>
  </si>
  <si>
    <t>Clapham #67 3</t>
  </si>
  <si>
    <t>Taylors/ Piers</t>
  </si>
  <si>
    <t>David Williams has also been a member of Ealing Southall &amp; Middlesex</t>
  </si>
  <si>
    <t>Lee Jenkins has left and joined Finchcoasters</t>
  </si>
  <si>
    <t>76 on 10th Aug</t>
  </si>
  <si>
    <t>20 on 19th August</t>
  </si>
  <si>
    <t>after 20 weeks</t>
  </si>
  <si>
    <t xml:space="preserve">* Total runs includes Brian Bennett who was also a member of Runnymede Runners </t>
  </si>
  <si>
    <t>resigned before running at Hazyview</t>
  </si>
  <si>
    <t>Lesley Chamberlin had resigned before running Hazyview</t>
  </si>
  <si>
    <t>Roderick's List</t>
  </si>
  <si>
    <t>aachenerweiher</t>
  </si>
  <si>
    <t>aberbeeg</t>
  </si>
  <si>
    <t>aberdare</t>
  </si>
  <si>
    <t>aberdeen</t>
  </si>
  <si>
    <t>aberystwyth</t>
  </si>
  <si>
    <t>abingdon</t>
  </si>
  <si>
    <t>adrenalinaddo</t>
  </si>
  <si>
    <t>aggeneys</t>
  </si>
  <si>
    <t>airliebeach</t>
  </si>
  <si>
    <t>albert</t>
  </si>
  <si>
    <t>albert-melbourne</t>
  </si>
  <si>
    <t>albertsfarm</t>
  </si>
  <si>
    <t>alburywodonga</t>
  </si>
  <si>
    <t>aldenham</t>
  </si>
  <si>
    <t>aldingabeach</t>
  </si>
  <si>
    <t>alicecampus</t>
  </si>
  <si>
    <t>aliceholt</t>
  </si>
  <si>
    <t>aliwalnorth</t>
  </si>
  <si>
    <t>allypally</t>
  </si>
  <si>
    <t>alness</t>
  </si>
  <si>
    <t>alstervorland</t>
  </si>
  <si>
    <t>altonabeach</t>
  </si>
  <si>
    <t>alvaston</t>
  </si>
  <si>
    <t>amager</t>
  </si>
  <si>
    <t>amagerstrandpark</t>
  </si>
  <si>
    <t>amanzimtoti</t>
  </si>
  <si>
    <t>anacostia</t>
  </si>
  <si>
    <t>anderson</t>
  </si>
  <si>
    <t>andover</t>
  </si>
  <si>
    <t>angarskieprudy</t>
  </si>
  <si>
    <t>antrim</t>
  </si>
  <si>
    <t>aplinsweir</t>
  </si>
  <si>
    <t>applecross</t>
  </si>
  <si>
    <t>ararat</t>
  </si>
  <si>
    <t>ardgillan</t>
  </si>
  <si>
    <t>armagh</t>
  </si>
  <si>
    <t>armidale</t>
  </si>
  <si>
    <t>armley</t>
  </si>
  <si>
    <t>arrowvalley</t>
  </si>
  <si>
    <t>ashburton</t>
  </si>
  <si>
    <t>ashford</t>
  </si>
  <si>
    <t>ashgrove</t>
  </si>
  <si>
    <t>ashton-court</t>
  </si>
  <si>
    <t>aspen</t>
  </si>
  <si>
    <t>atherton</t>
  </si>
  <si>
    <t>athlone</t>
  </si>
  <si>
    <t>atholl</t>
  </si>
  <si>
    <t>atlasville</t>
  </si>
  <si>
    <t>augustineheights</t>
  </si>
  <si>
    <t>augustow</t>
  </si>
  <si>
    <t>aveley</t>
  </si>
  <si>
    <t>averybeach</t>
  </si>
  <si>
    <t>aviemore</t>
  </si>
  <si>
    <t>avondaleforest</t>
  </si>
  <si>
    <t>aylesbury</t>
  </si>
  <si>
    <t>ayr</t>
  </si>
  <si>
    <t>babbsmill</t>
  </si>
  <si>
    <t>babushkinskynayauze</t>
  </si>
  <si>
    <t>bairnsdale</t>
  </si>
  <si>
    <t>bakewell</t>
  </si>
  <si>
    <t>balashikhazarechnaya</t>
  </si>
  <si>
    <t>balclutha</t>
  </si>
  <si>
    <t>ballarat</t>
  </si>
  <si>
    <t>ballina</t>
  </si>
  <si>
    <t>ballinacoast</t>
  </si>
  <si>
    <t>ballincollig</t>
  </si>
  <si>
    <t>ballito</t>
  </si>
  <si>
    <t>balyangsanctuary</t>
  </si>
  <si>
    <t>banbury</t>
  </si>
  <si>
    <t>bangor</t>
  </si>
  <si>
    <t>bannockburnbush</t>
  </si>
  <si>
    <t>banstead</t>
  </si>
  <si>
    <t>bapsfontein</t>
  </si>
  <si>
    <t>barberton</t>
  </si>
  <si>
    <t>barclay</t>
  </si>
  <si>
    <t>bargara</t>
  </si>
  <si>
    <t>baringa</t>
  </si>
  <si>
    <t>barking</t>
  </si>
  <si>
    <t>barnsley</t>
  </si>
  <si>
    <t>barnstaple</t>
  </si>
  <si>
    <t>barrow</t>
  </si>
  <si>
    <t>barrycurtis</t>
  </si>
  <si>
    <t>barryisland</t>
  </si>
  <si>
    <t>basildon</t>
  </si>
  <si>
    <t>basingstoke</t>
  </si>
  <si>
    <t>batemansbay</t>
  </si>
  <si>
    <t>bathskyline</t>
  </si>
  <si>
    <t>bathurst</t>
  </si>
  <si>
    <t>beachstrip</t>
  </si>
  <si>
    <t>beckenhamplace</t>
  </si>
  <si>
    <t>beckton</t>
  </si>
  <si>
    <t>bedfont</t>
  </si>
  <si>
    <t>bedford</t>
  </si>
  <si>
    <t>bedgeburypinetum</t>
  </si>
  <si>
    <t>bedworth</t>
  </si>
  <si>
    <t>beeston</t>
  </si>
  <si>
    <t>bega</t>
  </si>
  <si>
    <t>belfastvictoria</t>
  </si>
  <si>
    <t>belgorodparkpobedy</t>
  </si>
  <si>
    <t>bellerive</t>
  </si>
  <si>
    <t>bellevue</t>
  </si>
  <si>
    <t>bellville</t>
  </si>
  <si>
    <t>beltonhouse</t>
  </si>
  <si>
    <t>bereisland</t>
  </si>
  <si>
    <t>berrinba</t>
  </si>
  <si>
    <t>berwicksprings</t>
  </si>
  <si>
    <t>bestwoodvillage</t>
  </si>
  <si>
    <t>bethlehem</t>
  </si>
  <si>
    <t>bethlemroyalhospital</t>
  </si>
  <si>
    <t>bettysbay</t>
  </si>
  <si>
    <t>bevendeandown</t>
  </si>
  <si>
    <t>beverleywestwood</t>
  </si>
  <si>
    <t>bexley</t>
  </si>
  <si>
    <t>bezuidenhout</t>
  </si>
  <si>
    <t>bialystok</t>
  </si>
  <si>
    <t>bibralake</t>
  </si>
  <si>
    <t>bicester</t>
  </si>
  <si>
    <t>bideford</t>
  </si>
  <si>
    <t>bigbay</t>
  </si>
  <si>
    <t>billericay</t>
  </si>
  <si>
    <t>billrosesportscomplex</t>
  </si>
  <si>
    <t>birdslandreserve</t>
  </si>
  <si>
    <t>birkenhead</t>
  </si>
  <si>
    <t>bishan</t>
  </si>
  <si>
    <t>bitsa</t>
  </si>
  <si>
    <t>blackbutt</t>
  </si>
  <si>
    <t>blackhill</t>
  </si>
  <si>
    <t>black-park</t>
  </si>
  <si>
    <t>blackpool</t>
  </si>
  <si>
    <t>blandford</t>
  </si>
  <si>
    <t>blenheim</t>
  </si>
  <si>
    <t>blickling</t>
  </si>
  <si>
    <t>bloemhof</t>
  </si>
  <si>
    <t>bluegumhills</t>
  </si>
  <si>
    <t>bluelagoon</t>
  </si>
  <si>
    <t>blythlinks</t>
  </si>
  <si>
    <t>bognorregis</t>
  </si>
  <si>
    <t>boisdeboulogne</t>
  </si>
  <si>
    <t>boksburg</t>
  </si>
  <si>
    <t>bolton</t>
  </si>
  <si>
    <t>bosmontstadium</t>
  </si>
  <si>
    <t>boston</t>
  </si>
  <si>
    <t>botanicalgarden</t>
  </si>
  <si>
    <t>bourkeracecourse</t>
  </si>
  <si>
    <t>bournemouth</t>
  </si>
  <si>
    <t>bowen</t>
  </si>
  <si>
    <t>bowral</t>
  </si>
  <si>
    <t>brabrand</t>
  </si>
  <si>
    <t>bracknell</t>
  </si>
  <si>
    <t>bradford</t>
  </si>
  <si>
    <t>braidwoodshowground</t>
  </si>
  <si>
    <t>brakpan</t>
  </si>
  <si>
    <t>bramhall</t>
  </si>
  <si>
    <t>bramley</t>
  </si>
  <si>
    <t>brandoncountrypark</t>
  </si>
  <si>
    <t>braunstone</t>
  </si>
  <si>
    <t>breakwater</t>
  </si>
  <si>
    <t>bredasdorp</t>
  </si>
  <si>
    <t>breedevalley</t>
  </si>
  <si>
    <t>brentwood</t>
  </si>
  <si>
    <t>bressay</t>
  </si>
  <si>
    <t>brickfields</t>
  </si>
  <si>
    <t>bridgetown</t>
  </si>
  <si>
    <t>brierleyforest</t>
  </si>
  <si>
    <t>brighouse</t>
  </si>
  <si>
    <t>bright</t>
  </si>
  <si>
    <t>brighton</t>
  </si>
  <si>
    <t>brightwater</t>
  </si>
  <si>
    <t>brimbank</t>
  </si>
  <si>
    <t>broadbeachwaters</t>
  </si>
  <si>
    <t>brockenhurst</t>
  </si>
  <si>
    <t>brockwell</t>
  </si>
  <si>
    <t>brokenhillracecourse</t>
  </si>
  <si>
    <t>bromley</t>
  </si>
  <si>
    <t>bronberrik</t>
  </si>
  <si>
    <t>bronkhorstspruit</t>
  </si>
  <si>
    <t>brooklands</t>
  </si>
  <si>
    <t>brueton</t>
  </si>
  <si>
    <t>brundall</t>
  </si>
  <si>
    <t>bryanston</t>
  </si>
  <si>
    <t>brynbach</t>
  </si>
  <si>
    <t>buckingham</t>
  </si>
  <si>
    <t>bugasee</t>
  </si>
  <si>
    <t>bulithando</t>
  </si>
  <si>
    <t>bunbury</t>
  </si>
  <si>
    <t>buncrana</t>
  </si>
  <si>
    <t>bundaberg</t>
  </si>
  <si>
    <t>bunyaville</t>
  </si>
  <si>
    <t>burgess</t>
  </si>
  <si>
    <t>burleygriffin</t>
  </si>
  <si>
    <t>burnage</t>
  </si>
  <si>
    <t>burnhamandhighbridge</t>
  </si>
  <si>
    <t>burnhamoncrouch</t>
  </si>
  <si>
    <t>burnie</t>
  </si>
  <si>
    <t>burnley</t>
  </si>
  <si>
    <t>burswoodpeninsula</t>
  </si>
  <si>
    <t>burystedmunds</t>
  </si>
  <si>
    <t>bushy</t>
  </si>
  <si>
    <t>bushydublin</t>
  </si>
  <si>
    <t>butovo</t>
  </si>
  <si>
    <t>bydgoszcz</t>
  </si>
  <si>
    <t>cabinteely</t>
  </si>
  <si>
    <t>caffarella</t>
  </si>
  <si>
    <t>cairns</t>
  </si>
  <si>
    <t>calamvale</t>
  </si>
  <si>
    <t>californiacountry</t>
  </si>
  <si>
    <t>callaghan</t>
  </si>
  <si>
    <t>calleya</t>
  </si>
  <si>
    <t>cambridge</t>
  </si>
  <si>
    <t>cambridgenz</t>
  </si>
  <si>
    <t>campbelltown</t>
  </si>
  <si>
    <t>camperdown</t>
  </si>
  <si>
    <t>cannibalscave</t>
  </si>
  <si>
    <t>canningriver</t>
  </si>
  <si>
    <t>cannockchase</t>
  </si>
  <si>
    <t>cannon-hill</t>
  </si>
  <si>
    <t>canonspark</t>
  </si>
  <si>
    <t>canterbury</t>
  </si>
  <si>
    <t>capalaba</t>
  </si>
  <si>
    <t>cardiff</t>
  </si>
  <si>
    <t>cardwell</t>
  </si>
  <si>
    <t>carineglades</t>
  </si>
  <si>
    <t>carisbrooke</t>
  </si>
  <si>
    <t>carlisle</t>
  </si>
  <si>
    <t>carlowtown</t>
  </si>
  <si>
    <t>carrickfergus</t>
  </si>
  <si>
    <t>cassiobury</t>
  </si>
  <si>
    <t>castlebar</t>
  </si>
  <si>
    <t>castleblayney</t>
  </si>
  <si>
    <t>castledemense</t>
  </si>
  <si>
    <t>castlehaven</t>
  </si>
  <si>
    <t>castlemaine</t>
  </si>
  <si>
    <t>castlepark</t>
  </si>
  <si>
    <t>castlerea</t>
  </si>
  <si>
    <t>castletown</t>
  </si>
  <si>
    <t>castlewellan</t>
  </si>
  <si>
    <t>catford</t>
  </si>
  <si>
    <t>catterick</t>
  </si>
  <si>
    <t>catton</t>
  </si>
  <si>
    <t>centennial</t>
  </si>
  <si>
    <t>centralburnaby</t>
  </si>
  <si>
    <t>centrallakes</t>
  </si>
  <si>
    <t>centrevale</t>
  </si>
  <si>
    <t>centurycity</t>
  </si>
  <si>
    <t>ceres</t>
  </si>
  <si>
    <t>chaddertonhall</t>
  </si>
  <si>
    <t>chainoflakes</t>
  </si>
  <si>
    <t>championlakes</t>
  </si>
  <si>
    <t>charleston</t>
  </si>
  <si>
    <t>charlestonsouthaustralia</t>
  </si>
  <si>
    <t>charleyscreek</t>
  </si>
  <si>
    <t>charzykowy</t>
  </si>
  <si>
    <t>chasewater</t>
  </si>
  <si>
    <t>chateaudepierredebresse</t>
  </si>
  <si>
    <t>cheadlehulme</t>
  </si>
  <si>
    <t>cheboksarynaberezhnaya</t>
  </si>
  <si>
    <t>chelm</t>
  </si>
  <si>
    <t>chelmsfordcentral</t>
  </si>
  <si>
    <t>chelseabicentennial</t>
  </si>
  <si>
    <t>cheltenham</t>
  </si>
  <si>
    <t>chelyabinsk</t>
  </si>
  <si>
    <t>chelyabinskekopark</t>
  </si>
  <si>
    <t>chermside</t>
  </si>
  <si>
    <t>chertanovopokrovskypark</t>
  </si>
  <si>
    <t>chester</t>
  </si>
  <si>
    <t>chichester</t>
  </si>
  <si>
    <t>chippenham</t>
  </si>
  <si>
    <t>chippingnorton</t>
  </si>
  <si>
    <t>chippingsodbury</t>
  </si>
  <si>
    <t>christiana</t>
  </si>
  <si>
    <t>christiesbeach</t>
  </si>
  <si>
    <t>chrzanow</t>
  </si>
  <si>
    <t>churchfieldsfarm</t>
  </si>
  <si>
    <t>churchill</t>
  </si>
  <si>
    <t>churchillparkway</t>
  </si>
  <si>
    <t>cieszyn</t>
  </si>
  <si>
    <t>cirencester</t>
  </si>
  <si>
    <t>citypark</t>
  </si>
  <si>
    <t>clactonseafront</t>
  </si>
  <si>
    <t>clair</t>
  </si>
  <si>
    <t>claisebrookcove</t>
  </si>
  <si>
    <t>claphamcommon</t>
  </si>
  <si>
    <t>clarecastle</t>
  </si>
  <si>
    <t>claremorris</t>
  </si>
  <si>
    <t>clarens</t>
  </si>
  <si>
    <t>clarevalley</t>
  </si>
  <si>
    <t>clarisford</t>
  </si>
  <si>
    <t>cleethorpes</t>
  </si>
  <si>
    <t>cleland</t>
  </si>
  <si>
    <t>clermontwaterfront</t>
  </si>
  <si>
    <t>cleveland</t>
  </si>
  <si>
    <t>cliffecastle</t>
  </si>
  <si>
    <t>clifton</t>
  </si>
  <si>
    <t>clitheroecastle</t>
  </si>
  <si>
    <t>clonakilty</t>
  </si>
  <si>
    <t>clonburwoods</t>
  </si>
  <si>
    <t>cloncurry</t>
  </si>
  <si>
    <t>clonmel</t>
  </si>
  <si>
    <t>cloverpoint</t>
  </si>
  <si>
    <t>clumberpark</t>
  </si>
  <si>
    <t>cobar</t>
  </si>
  <si>
    <t>cobram</t>
  </si>
  <si>
    <t>coburg</t>
  </si>
  <si>
    <t>coffsharbour</t>
  </si>
  <si>
    <t>cohuna</t>
  </si>
  <si>
    <t>colby</t>
  </si>
  <si>
    <t>colchestercastle</t>
  </si>
  <si>
    <t>coldhamscommon</t>
  </si>
  <si>
    <t>colinglen</t>
  </si>
  <si>
    <t>collegepark</t>
  </si>
  <si>
    <t>collierivertrail</t>
  </si>
  <si>
    <t>colneylane</t>
  </si>
  <si>
    <t>colwick</t>
  </si>
  <si>
    <t>comber</t>
  </si>
  <si>
    <t>concord</t>
  </si>
  <si>
    <t>congleton</t>
  </si>
  <si>
    <t>conkers</t>
  </si>
  <si>
    <t>constantiagreenbelt</t>
  </si>
  <si>
    <t>conwy</t>
  </si>
  <si>
    <t>conynghamhall</t>
  </si>
  <si>
    <t>cooksriver</t>
  </si>
  <si>
    <t>coombs</t>
  </si>
  <si>
    <t>coomera</t>
  </si>
  <si>
    <t>cootehill</t>
  </si>
  <si>
    <t>corby</t>
  </si>
  <si>
    <t>corkagh</t>
  </si>
  <si>
    <t>cormorantbay</t>
  </si>
  <si>
    <t>cornwall</t>
  </si>
  <si>
    <t>cotsfordfields</t>
  </si>
  <si>
    <t>cottesloe</t>
  </si>
  <si>
    <t>coventry</t>
  </si>
  <si>
    <t>cowpasturereservecamden</t>
  </si>
  <si>
    <t>cowra</t>
  </si>
  <si>
    <t>cradock</t>
  </si>
  <si>
    <t>crane</t>
  </si>
  <si>
    <t>cranleigh</t>
  </si>
  <si>
    <t>crathescastle</t>
  </si>
  <si>
    <t>crewe</t>
  </si>
  <si>
    <t>crichton</t>
  </si>
  <si>
    <t>crissyfield</t>
  </si>
  <si>
    <t>cronulla</t>
  </si>
  <si>
    <t>crosby</t>
  </si>
  <si>
    <t>crossflatts</t>
  </si>
  <si>
    <t>croxtethhall</t>
  </si>
  <si>
    <t>crystalpalace</t>
  </si>
  <si>
    <t>cuerdenvalley</t>
  </si>
  <si>
    <t>curlcurl</t>
  </si>
  <si>
    <t>cwmbran</t>
  </si>
  <si>
    <t>cyclopark</t>
  </si>
  <si>
    <t>dabrowka</t>
  </si>
  <si>
    <t>dalby</t>
  </si>
  <si>
    <t>dalbyforest</t>
  </si>
  <si>
    <t>darebin</t>
  </si>
  <si>
    <t>darlingtonsouthpark</t>
  </si>
  <si>
    <t>darndale</t>
  </si>
  <si>
    <t>dartford</t>
  </si>
  <si>
    <t>dartfordheath</t>
  </si>
  <si>
    <t>darwin</t>
  </si>
  <si>
    <t>daventry</t>
  </si>
  <si>
    <t>dawesville</t>
  </si>
  <si>
    <t>deaar</t>
  </si>
  <si>
    <t>deeprun</t>
  </si>
  <si>
    <t>deerparkcarlanstown</t>
  </si>
  <si>
    <t>delamere</t>
  </si>
  <si>
    <t>delawareandraritancanal</t>
  </si>
  <si>
    <t>delta</t>
  </si>
  <si>
    <t>depotpark</t>
  </si>
  <si>
    <t>derrycity</t>
  </si>
  <si>
    <t>desmoinescreek</t>
  </si>
  <si>
    <t>devonport</t>
  </si>
  <si>
    <t>dewsbury</t>
  </si>
  <si>
    <t>diamondcreek</t>
  </si>
  <si>
    <t>didcot</t>
  </si>
  <si>
    <t>dintonpastures</t>
  </si>
  <si>
    <t>dishleyloughborough</t>
  </si>
  <si>
    <t>dolgellau</t>
  </si>
  <si>
    <t>dolgoprudny</t>
  </si>
  <si>
    <t>dollspoint</t>
  </si>
  <si>
    <t>dommesmoen</t>
  </si>
  <si>
    <t>donabate</t>
  </si>
  <si>
    <t>doncaster</t>
  </si>
  <si>
    <t>doornhoekfarm</t>
  </si>
  <si>
    <t>drumblade</t>
  </si>
  <si>
    <t>drumchapel</t>
  </si>
  <si>
    <t>drumpelliercountry</t>
  </si>
  <si>
    <t>druridgebay</t>
  </si>
  <si>
    <t>dubbo</t>
  </si>
  <si>
    <t>dudley</t>
  </si>
  <si>
    <t>duffinstrail</t>
  </si>
  <si>
    <t>duikersdrift</t>
  </si>
  <si>
    <t>dullstroom</t>
  </si>
  <si>
    <t>dulwich</t>
  </si>
  <si>
    <t>dundalk</t>
  </si>
  <si>
    <t>dunedin</t>
  </si>
  <si>
    <t>dunfermline</t>
  </si>
  <si>
    <t>dungannonpark</t>
  </si>
  <si>
    <t>dungloe</t>
  </si>
  <si>
    <t>dunstabledowns</t>
  </si>
  <si>
    <t>durbanpoint</t>
  </si>
  <si>
    <t>durbanville</t>
  </si>
  <si>
    <t>durham</t>
  </si>
  <si>
    <t>durhamnc</t>
  </si>
  <si>
    <t>dusi</t>
  </si>
  <si>
    <t>dzialdowo</t>
  </si>
  <si>
    <t>dzierzgon</t>
  </si>
  <si>
    <t>eagan</t>
  </si>
  <si>
    <t>eastbourne</t>
  </si>
  <si>
    <t>eastbrighton</t>
  </si>
  <si>
    <t>eastcoastpark</t>
  </si>
  <si>
    <t>eastend</t>
  </si>
  <si>
    <t>easterngardens</t>
  </si>
  <si>
    <t>eastgrinstead</t>
  </si>
  <si>
    <t>eastleigh</t>
  </si>
  <si>
    <t>eastrichmond</t>
  </si>
  <si>
    <t>eastville</t>
  </si>
  <si>
    <t>ebotse</t>
  </si>
  <si>
    <t>echucamoama</t>
  </si>
  <si>
    <t>ecos</t>
  </si>
  <si>
    <t>edenproject</t>
  </si>
  <si>
    <t>edenvale</t>
  </si>
  <si>
    <t>edinburgh</t>
  </si>
  <si>
    <t>edithburgh</t>
  </si>
  <si>
    <t>eglinton</t>
  </si>
  <si>
    <t>ekaterinburgzelenayaroscha</t>
  </si>
  <si>
    <t>elaginostrov</t>
  </si>
  <si>
    <t>elgin</t>
  </si>
  <si>
    <t>elk</t>
  </si>
  <si>
    <t>ellenbrookfields</t>
  </si>
  <si>
    <t>ellesmereport</t>
  </si>
  <si>
    <t>ellon</t>
  </si>
  <si>
    <t>emerald</t>
  </si>
  <si>
    <t>emmarentia</t>
  </si>
  <si>
    <t>enniskillen</t>
  </si>
  <si>
    <t>eramosarivertrail</t>
  </si>
  <si>
    <t>erddig</t>
  </si>
  <si>
    <t>ernestullmann</t>
  </si>
  <si>
    <t>erris</t>
  </si>
  <si>
    <t>esbjerg</t>
  </si>
  <si>
    <t>etna</t>
  </si>
  <si>
    <t>euroa</t>
  </si>
  <si>
    <t>evesham</t>
  </si>
  <si>
    <t>exeterriverside</t>
  </si>
  <si>
    <t>exmouth</t>
  </si>
  <si>
    <t>faelledparken</t>
  </si>
  <si>
    <t>fairview</t>
  </si>
  <si>
    <t>falcarragh</t>
  </si>
  <si>
    <t>falkirk</t>
  </si>
  <si>
    <t>falls</t>
  </si>
  <si>
    <t>fareham</t>
  </si>
  <si>
    <t>farfalle</t>
  </si>
  <si>
    <t>fathercollins</t>
  </si>
  <si>
    <t>favorita</t>
  </si>
  <si>
    <t>felixstowe</t>
  </si>
  <si>
    <t>fellfoot</t>
  </si>
  <si>
    <t>ferryvale</t>
  </si>
  <si>
    <t>festningen</t>
  </si>
  <si>
    <t>ficksburg</t>
  </si>
  <si>
    <t>fingalbay</t>
  </si>
  <si>
    <t>finsbury</t>
  </si>
  <si>
    <t>firenze</t>
  </si>
  <si>
    <t>fireservicecollege</t>
  </si>
  <si>
    <t>fishhoek</t>
  </si>
  <si>
    <t>flattslane</t>
  </si>
  <si>
    <t>flaxmere</t>
  </si>
  <si>
    <t>fleetwoodpromenade</t>
  </si>
  <si>
    <t>fletchermoss</t>
  </si>
  <si>
    <t>fletcherscove</t>
  </si>
  <si>
    <t>folkestone</t>
  </si>
  <si>
    <t>fontainebleau</t>
  </si>
  <si>
    <t>footscraymeadows</t>
  </si>
  <si>
    <t>ford</t>
  </si>
  <si>
    <t>forestlake</t>
  </si>
  <si>
    <t>forest-of-dean</t>
  </si>
  <si>
    <t>forestrec</t>
  </si>
  <si>
    <t>foroitalico</t>
  </si>
  <si>
    <t>forster</t>
  </si>
  <si>
    <t>fortwilliam</t>
  </si>
  <si>
    <t>foster</t>
  </si>
  <si>
    <t>fountainsabbey</t>
  </si>
  <si>
    <t>franschhoek</t>
  </si>
  <si>
    <t>fredericback</t>
  </si>
  <si>
    <t>frickleycountry</t>
  </si>
  <si>
    <t>frimleylodge</t>
  </si>
  <si>
    <t>frittonlake</t>
  </si>
  <si>
    <t>froghollow</t>
  </si>
  <si>
    <t>fukakitaryokuchi</t>
  </si>
  <si>
    <t>fulhampalace</t>
  </si>
  <si>
    <t>futakotamagawa</t>
  </si>
  <si>
    <t>gadebridge</t>
  </si>
  <si>
    <t>gainsborough</t>
  </si>
  <si>
    <t>gainsboroughgreens</t>
  </si>
  <si>
    <t>galeshewe</t>
  </si>
  <si>
    <t>galston</t>
  </si>
  <si>
    <t>ganavansands</t>
  </si>
  <si>
    <t>gardinerscreek</t>
  </si>
  <si>
    <t>gateshead</t>
  </si>
  <si>
    <t>gatton</t>
  </si>
  <si>
    <t>gawler</t>
  </si>
  <si>
    <t>gdansk</t>
  </si>
  <si>
    <t>gdanskpoludnie</t>
  </si>
  <si>
    <t>gdynia</t>
  </si>
  <si>
    <t>gedling</t>
  </si>
  <si>
    <t>geeveston</t>
  </si>
  <si>
    <t>geographebay</t>
  </si>
  <si>
    <t>george</t>
  </si>
  <si>
    <t>georgengarten</t>
  </si>
  <si>
    <t>georgetown</t>
  </si>
  <si>
    <t>gibside</t>
  </si>
  <si>
    <t>gillieslake</t>
  </si>
  <si>
    <t>gilloolys</t>
  </si>
  <si>
    <t>ginninderra</t>
  </si>
  <si>
    <t>girvanprom</t>
  </si>
  <si>
    <t>gisborne</t>
  </si>
  <si>
    <t>gladstone</t>
  </si>
  <si>
    <t>gladstoneqld</t>
  </si>
  <si>
    <t>glasshousemountainsconservation</t>
  </si>
  <si>
    <t>glengarriff</t>
  </si>
  <si>
    <t>glenriver</t>
  </si>
  <si>
    <t>glogow</t>
  </si>
  <si>
    <t>glossop</t>
  </si>
  <si>
    <t>gloucestercity</t>
  </si>
  <si>
    <t>gloucesternorth</t>
  </si>
  <si>
    <t>gnoll</t>
  </si>
  <si>
    <t>goldenbeach</t>
  </si>
  <si>
    <t>goldenharvest</t>
  </si>
  <si>
    <t>goodwill</t>
  </si>
  <si>
    <t>goole</t>
  </si>
  <si>
    <t>goolwa</t>
  </si>
  <si>
    <t>goondiwindi</t>
  </si>
  <si>
    <t>gorey</t>
  </si>
  <si>
    <t>gorkypark</t>
  </si>
  <si>
    <t>gorleston</t>
  </si>
  <si>
    <t>gorzowwielkopolski</t>
  </si>
  <si>
    <t>gostyn</t>
  </si>
  <si>
    <t>goulburn</t>
  </si>
  <si>
    <t>grabouw</t>
  </si>
  <si>
    <t>grafton</t>
  </si>
  <si>
    <t>grahamandrews</t>
  </si>
  <si>
    <t>grahamstown</t>
  </si>
  <si>
    <t>grandridgerailtrail</t>
  </si>
  <si>
    <t>grangemoor</t>
  </si>
  <si>
    <t>graves</t>
  </si>
  <si>
    <t>greatcornard</t>
  </si>
  <si>
    <t>greatdenham</t>
  </si>
  <si>
    <t>greatdunmow</t>
  </si>
  <si>
    <t>greatlines</t>
  </si>
  <si>
    <t>greatnotley</t>
  </si>
  <si>
    <t>greenbank</t>
  </si>
  <si>
    <t>greenock</t>
  </si>
  <si>
    <t>greenpoint</t>
  </si>
  <si>
    <t>greenway</t>
  </si>
  <si>
    <t>greenwich</t>
  </si>
  <si>
    <t>greygoose</t>
  </si>
  <si>
    <t>greytownwoodsidetrail</t>
  </si>
  <si>
    <t>griffeen</t>
  </si>
  <si>
    <t>grodziskmazowiecki</t>
  </si>
  <si>
    <t>groe</t>
  </si>
  <si>
    <t>grovelands</t>
  </si>
  <si>
    <t>grudziadz</t>
  </si>
  <si>
    <t>guernsey</t>
  </si>
  <si>
    <t>guildford</t>
  </si>
  <si>
    <t>gungahlin</t>
  </si>
  <si>
    <t>gunnersbury</t>
  </si>
  <si>
    <t>gunpowder</t>
  </si>
  <si>
    <t>hackney-marshes</t>
  </si>
  <si>
    <t>hackworth</t>
  </si>
  <si>
    <t>hadleigh</t>
  </si>
  <si>
    <t>hafanpwllheli</t>
  </si>
  <si>
    <t>haga</t>
  </si>
  <si>
    <t>hagley</t>
  </si>
  <si>
    <t>haighwoodland</t>
  </si>
  <si>
    <t>haldonforest</t>
  </si>
  <si>
    <t>halifax</t>
  </si>
  <si>
    <t>halls</t>
  </si>
  <si>
    <t>hamilton</t>
  </si>
  <si>
    <t>hamiltonisland</t>
  </si>
  <si>
    <t>hamiltonlake</t>
  </si>
  <si>
    <t>hampsteadheath</t>
  </si>
  <si>
    <t>hanley</t>
  </si>
  <si>
    <t>hanworth</t>
  </si>
  <si>
    <t>harcourthill</t>
  </si>
  <si>
    <t>harkerville</t>
  </si>
  <si>
    <t>harlow</t>
  </si>
  <si>
    <t>harrisavenue</t>
  </si>
  <si>
    <t>harrismith</t>
  </si>
  <si>
    <t>harrogate</t>
  </si>
  <si>
    <t>harrow</t>
  </si>
  <si>
    <t>harrowlodge</t>
  </si>
  <si>
    <t>hartbeespoort</t>
  </si>
  <si>
    <t>hartenbos</t>
  </si>
  <si>
    <t>hartlepool</t>
  </si>
  <si>
    <t>hartstown</t>
  </si>
  <si>
    <t>harwich</t>
  </si>
  <si>
    <t>hasenheide</t>
  </si>
  <si>
    <t>hastings</t>
  </si>
  <si>
    <t>hastingsforeshore</t>
  </si>
  <si>
    <t>havant</t>
  </si>
  <si>
    <t>haverfordwest</t>
  </si>
  <si>
    <t>haverhill</t>
  </si>
  <si>
    <t>haylodge</t>
  </si>
  <si>
    <t>hazeldeanfarm</t>
  </si>
  <si>
    <t>hazelwood</t>
  </si>
  <si>
    <t>hazlehead</t>
  </si>
  <si>
    <t>hazyview</t>
  </si>
  <si>
    <t>heartlands</t>
  </si>
  <si>
    <t>heaton</t>
  </si>
  <si>
    <t>heidedal</t>
  </si>
  <si>
    <t>hendersonlake</t>
  </si>
  <si>
    <t>henleyonthames</t>
  </si>
  <si>
    <t>henleywood</t>
  </si>
  <si>
    <t>henstridgeairfield</t>
  </si>
  <si>
    <t>hereford</t>
  </si>
  <si>
    <t>heritageharbor</t>
  </si>
  <si>
    <t>hermanus</t>
  </si>
  <si>
    <t>heronbanks</t>
  </si>
  <si>
    <t>herringtoncountry</t>
  </si>
  <si>
    <t>herveybay</t>
  </si>
  <si>
    <t>heslington</t>
  </si>
  <si>
    <t>higginsonmarlow</t>
  </si>
  <si>
    <t>highburyfields</t>
  </si>
  <si>
    <t>highfields</t>
  </si>
  <si>
    <t>highlands</t>
  </si>
  <si>
    <t>highwoods</t>
  </si>
  <si>
    <t>hillsborough</t>
  </si>
  <si>
    <t>hillside</t>
  </si>
  <si>
    <t>hillyfields</t>
  </si>
  <si>
    <t>hilton</t>
  </si>
  <si>
    <t>himmel</t>
  </si>
  <si>
    <t>hobart</t>
  </si>
  <si>
    <t>hoblingwell</t>
  </si>
  <si>
    <t>hobsonvillepoint</t>
  </si>
  <si>
    <t>hockleywoods</t>
  </si>
  <si>
    <t>hoedspruit</t>
  </si>
  <si>
    <t>hogmoorinclosure</t>
  </si>
  <si>
    <t>hogsback</t>
  </si>
  <si>
    <t>holkham</t>
  </si>
  <si>
    <t>holycrosscollege</t>
  </si>
  <si>
    <t>homesteadlake</t>
  </si>
  <si>
    <t>homewood</t>
  </si>
  <si>
    <t>hoopstad</t>
  </si>
  <si>
    <t>horseshoebayreserve</t>
  </si>
  <si>
    <t>horsham</t>
  </si>
  <si>
    <t>hortonpark</t>
  </si>
  <si>
    <t>houghtonhall</t>
  </si>
  <si>
    <t>houtbay</t>
  </si>
  <si>
    <t>hovepromenade</t>
  </si>
  <si>
    <t>howardteminlakeshorepath</t>
  </si>
  <si>
    <t>huddersfield</t>
  </si>
  <si>
    <t>huddinge</t>
  </si>
  <si>
    <t>hull</t>
  </si>
  <si>
    <t>humberbridge</t>
  </si>
  <si>
    <t>huntingdon</t>
  </si>
  <si>
    <t>huskisson</t>
  </si>
  <si>
    <t>hyde</t>
  </si>
  <si>
    <t>hyndburn</t>
  </si>
  <si>
    <t>imonti</t>
  </si>
  <si>
    <t>inchbeach</t>
  </si>
  <si>
    <t>invercargill</t>
  </si>
  <si>
    <t>inverell</t>
  </si>
  <si>
    <t>inverloch</t>
  </si>
  <si>
    <t>inverness</t>
  </si>
  <si>
    <t>ipswich</t>
  </si>
  <si>
    <t>ipswichqld</t>
  </si>
  <si>
    <t>isabeltrail</t>
  </si>
  <si>
    <t>izmailovo</t>
  </si>
  <si>
    <t>jablonna</t>
  </si>
  <si>
    <t>jacobsdal</t>
  </si>
  <si>
    <t>jamaicapond</t>
  </si>
  <si>
    <t>jeffreysbay</t>
  </si>
  <si>
    <t>jeleniagora</t>
  </si>
  <si>
    <t>jells</t>
  </si>
  <si>
    <t>jersey</t>
  </si>
  <si>
    <t>jerseyfarm</t>
  </si>
  <si>
    <t>jeziorogorne</t>
  </si>
  <si>
    <t>jezioroswarzedzkie</t>
  </si>
  <si>
    <t>jeziorozatorze</t>
  </si>
  <si>
    <t>jindabyne</t>
  </si>
  <si>
    <t>jocktrail</t>
  </si>
  <si>
    <t>joecreason</t>
  </si>
  <si>
    <t>jubileeway</t>
  </si>
  <si>
    <t>kalgoorlieboulder</t>
  </si>
  <si>
    <t>kalisz</t>
  </si>
  <si>
    <t>kamay</t>
  </si>
  <si>
    <t>kanata</t>
  </si>
  <si>
    <t>kangarooisland</t>
  </si>
  <si>
    <t>kapiticoast</t>
  </si>
  <si>
    <t>karkarook</t>
  </si>
  <si>
    <t>kashiwanoha</t>
  </si>
  <si>
    <t>kathu</t>
  </si>
  <si>
    <t>katowice</t>
  </si>
  <si>
    <t>kawana</t>
  </si>
  <si>
    <t>kayamandi</t>
  </si>
  <si>
    <t>kazancentral</t>
  </si>
  <si>
    <t>kedron</t>
  </si>
  <si>
    <t>kedzierzyn-kozle</t>
  </si>
  <si>
    <t>keimouth</t>
  </si>
  <si>
    <t>kelvingrove</t>
  </si>
  <si>
    <t>kenningtonreservoir</t>
  </si>
  <si>
    <t>kensington</t>
  </si>
  <si>
    <t>kesgrave</t>
  </si>
  <si>
    <t>keswick</t>
  </si>
  <si>
    <t>kettering</t>
  </si>
  <si>
    <t>kewwoods</t>
  </si>
  <si>
    <t>khimki</t>
  </si>
  <si>
    <t>kiddsbeach</t>
  </si>
  <si>
    <t>kiessee</t>
  </si>
  <si>
    <t>kilkenny</t>
  </si>
  <si>
    <t>killarneyhouse</t>
  </si>
  <si>
    <t>killerton</t>
  </si>
  <si>
    <t>kimberley</t>
  </si>
  <si>
    <t>kimry</t>
  </si>
  <si>
    <t>kingdom</t>
  </si>
  <si>
    <t>kingsburywater</t>
  </si>
  <si>
    <t>kingscliff</t>
  </si>
  <si>
    <t>kingslynn</t>
  </si>
  <si>
    <t>kingston</t>
  </si>
  <si>
    <t>kingsway</t>
  </si>
  <si>
    <t>kingwilliamstown</t>
  </si>
  <si>
    <t>kirkcaldy</t>
  </si>
  <si>
    <t>kirkwall</t>
  </si>
  <si>
    <t>kirra</t>
  </si>
  <si>
    <t>kiwanis</t>
  </si>
  <si>
    <t>klerksdorp</t>
  </si>
  <si>
    <t>kmreedyreserve</t>
  </si>
  <si>
    <t>knockanacreewoods</t>
  </si>
  <si>
    <t>knocknacarra</t>
  </si>
  <si>
    <t>knowsley</t>
  </si>
  <si>
    <t>knysna</t>
  </si>
  <si>
    <t>kolchuginocitypark</t>
  </si>
  <si>
    <t>kolobrzeg</t>
  </si>
  <si>
    <t>kolomenskoe</t>
  </si>
  <si>
    <t>kolpino</t>
  </si>
  <si>
    <t>komani</t>
  </si>
  <si>
    <t>konstancin-jeziorna</t>
  </si>
  <si>
    <t>koonwarra</t>
  </si>
  <si>
    <t>korolev</t>
  </si>
  <si>
    <t>koscian</t>
  </si>
  <si>
    <t>koster</t>
  </si>
  <si>
    <t>koszalin</t>
  </si>
  <si>
    <t>kraalkop</t>
  </si>
  <si>
    <t>kraeherwald</t>
  </si>
  <si>
    <t>krakow</t>
  </si>
  <si>
    <t>kralinbergh</t>
  </si>
  <si>
    <t>krasnoyarsknaberezhnaya</t>
  </si>
  <si>
    <t>kroonstad</t>
  </si>
  <si>
    <t>krylatskoe</t>
  </si>
  <si>
    <t>kuechenholz</t>
  </si>
  <si>
    <t>kungsangen</t>
  </si>
  <si>
    <t>kununurra</t>
  </si>
  <si>
    <t>kurgancentralpark</t>
  </si>
  <si>
    <t>kutno</t>
  </si>
  <si>
    <t>kuzminki</t>
  </si>
  <si>
    <t>kwamashu</t>
  </si>
  <si>
    <t>lacdedivonne</t>
  </si>
  <si>
    <t>ladybrand</t>
  </si>
  <si>
    <t>ladyslipper</t>
  </si>
  <si>
    <t>ladysmith</t>
  </si>
  <si>
    <t>lakejoondalup</t>
  </si>
  <si>
    <t>lakemac</t>
  </si>
  <si>
    <t>lakesentrance</t>
  </si>
  <si>
    <t>lakeview</t>
  </si>
  <si>
    <t>lalor</t>
  </si>
  <si>
    <t>lanarkmoor</t>
  </si>
  <si>
    <t>lancaster</t>
  </si>
  <si>
    <t>lancefield</t>
  </si>
  <si>
    <t>lancingbeachgreen</t>
  </si>
  <si>
    <t>langebaan</t>
  </si>
  <si>
    <t>langenhoven</t>
  </si>
  <si>
    <t>lanhydrock</t>
  </si>
  <si>
    <t>lanseria</t>
  </si>
  <si>
    <t>laramee</t>
  </si>
  <si>
    <t>largsbay</t>
  </si>
  <si>
    <t>larne</t>
  </si>
  <si>
    <t>lasaniolowski</t>
  </si>
  <si>
    <t>laudium</t>
  </si>
  <si>
    <t>launceston</t>
  </si>
  <si>
    <t>lawson</t>
  </si>
  <si>
    <t>leakinpark</t>
  </si>
  <si>
    <t>leamington</t>
  </si>
  <si>
    <t>lebone</t>
  </si>
  <si>
    <t>leeonthesolent</t>
  </si>
  <si>
    <t>leesroad</t>
  </si>
  <si>
    <t>leeupoort</t>
  </si>
  <si>
    <t>leicestervictoria</t>
  </si>
  <si>
    <t>leinpfad</t>
  </si>
  <si>
    <t>lesdougnes</t>
  </si>
  <si>
    <t>leszno</t>
  </si>
  <si>
    <t>letchworth</t>
  </si>
  <si>
    <t>letterkenny</t>
  </si>
  <si>
    <t>lillie</t>
  </si>
  <si>
    <t>lillydalelake</t>
  </si>
  <si>
    <t>limavady</t>
  </si>
  <si>
    <t>limerick</t>
  </si>
  <si>
    <t>lincoln</t>
  </si>
  <si>
    <t>linfordwood</t>
  </si>
  <si>
    <t>lingwood</t>
  </si>
  <si>
    <t>linwood</t>
  </si>
  <si>
    <t>lismore</t>
  </si>
  <si>
    <t>listowel</t>
  </si>
  <si>
    <t>lithgow</t>
  </si>
  <si>
    <t>littlehamptonprom</t>
  </si>
  <si>
    <t>littleport</t>
  </si>
  <si>
    <t>livingston</t>
  </si>
  <si>
    <t>livonia</t>
  </si>
  <si>
    <t>llanellicoast</t>
  </si>
  <si>
    <t>llanerchaeron</t>
  </si>
  <si>
    <t>lloyd</t>
  </si>
  <si>
    <t>llynllechowain</t>
  </si>
  <si>
    <t>lochendwoods</t>
  </si>
  <si>
    <t>lochiel</t>
  </si>
  <si>
    <t>lochleven</t>
  </si>
  <si>
    <t>lochneaton</t>
  </si>
  <si>
    <t>lochoremeadows</t>
  </si>
  <si>
    <t>lodz</t>
  </si>
  <si>
    <t>loganriver</t>
  </si>
  <si>
    <t>lonehill</t>
  </si>
  <si>
    <t>longeaton</t>
  </si>
  <si>
    <t>longford</t>
  </si>
  <si>
    <t>longrunmeadow</t>
  </si>
  <si>
    <t>lornebeach</t>
  </si>
  <si>
    <t>lota</t>
  </si>
  <si>
    <t>loughkey</t>
  </si>
  <si>
    <t>louistrichardt</t>
  </si>
  <si>
    <t>lovstien</t>
  </si>
  <si>
    <t>lowerhutt</t>
  </si>
  <si>
    <t>lowestoft</t>
  </si>
  <si>
    <t>loxton</t>
  </si>
  <si>
    <t>lubin</t>
  </si>
  <si>
    <t>ludlow</t>
  </si>
  <si>
    <t>luitpold</t>
  </si>
  <si>
    <t>lullingstone</t>
  </si>
  <si>
    <t>lusitoland</t>
  </si>
  <si>
    <t>lutonwardown</t>
  </si>
  <si>
    <t>lydney</t>
  </si>
  <si>
    <t>lymepark</t>
  </si>
  <si>
    <t>lymingtonwoodside</t>
  </si>
  <si>
    <t>lythamhall</t>
  </si>
  <si>
    <t>macclesfield</t>
  </si>
  <si>
    <t>mackay</t>
  </si>
  <si>
    <t>maesteg</t>
  </si>
  <si>
    <t>maidenhead</t>
  </si>
  <si>
    <t>maidstone</t>
  </si>
  <si>
    <t>mainbeach</t>
  </si>
  <si>
    <t>maitland</t>
  </si>
  <si>
    <t>malahide</t>
  </si>
  <si>
    <t>maldonprom</t>
  </si>
  <si>
    <t>malling</t>
  </si>
  <si>
    <t>mallowtown</t>
  </si>
  <si>
    <t>malmesbury</t>
  </si>
  <si>
    <t>malmoribersborg</t>
  </si>
  <si>
    <t>manjimup</t>
  </si>
  <si>
    <t>manorfieldwhittlesey</t>
  </si>
  <si>
    <t>mansfield</t>
  </si>
  <si>
    <t>mansfieldbotanic</t>
  </si>
  <si>
    <t>mansfieldoh</t>
  </si>
  <si>
    <t>mansfieldqld</t>
  </si>
  <si>
    <t>mapetla</t>
  </si>
  <si>
    <t>march</t>
  </si>
  <si>
    <t>marecchia</t>
  </si>
  <si>
    <t>margaretriver</t>
  </si>
  <si>
    <t>margate</t>
  </si>
  <si>
    <t>maribyrnong</t>
  </si>
  <si>
    <t>markeaton</t>
  </si>
  <si>
    <t>marketharborough</t>
  </si>
  <si>
    <t>marketrasenracecourse</t>
  </si>
  <si>
    <t>marlay</t>
  </si>
  <si>
    <t>marlboroughcommon</t>
  </si>
  <si>
    <t>marple</t>
  </si>
  <si>
    <t>marriottwaters</t>
  </si>
  <si>
    <t>marshalldrive</t>
  </si>
  <si>
    <t>marshbillingsrockefeller</t>
  </si>
  <si>
    <t>maryborough</t>
  </si>
  <si>
    <t>mashishing</t>
  </si>
  <si>
    <t>mawsonlakes</t>
  </si>
  <si>
    <t>maylandspeninsula</t>
  </si>
  <si>
    <t>mbabane</t>
  </si>
  <si>
    <t>mcallister</t>
  </si>
  <si>
    <t>meadowbrook</t>
  </si>
  <si>
    <t>meadowmill</t>
  </si>
  <si>
    <t>meadowvale</t>
  </si>
  <si>
    <t>medina</t>
  </si>
  <si>
    <t>megaparkkudrovo</t>
  </si>
  <si>
    <t>melkbosstrand</t>
  </si>
  <si>
    <t>melksham</t>
  </si>
  <si>
    <t>meltonmowbray</t>
  </si>
  <si>
    <t>menai</t>
  </si>
  <si>
    <t>meningie</t>
  </si>
  <si>
    <t>merimbula</t>
  </si>
  <si>
    <t>mernda</t>
  </si>
  <si>
    <t>merriwa</t>
  </si>
  <si>
    <t>merseaisland</t>
  </si>
  <si>
    <t>merthyr</t>
  </si>
  <si>
    <t>meshchersky</t>
  </si>
  <si>
    <t>meyersfarm</t>
  </si>
  <si>
    <t>meyerton</t>
  </si>
  <si>
    <t>middelburg</t>
  </si>
  <si>
    <t>middletonwoods</t>
  </si>
  <si>
    <t>midstream</t>
  </si>
  <si>
    <t>milanonord</t>
  </si>
  <si>
    <t>milduraweir</t>
  </si>
  <si>
    <t>mileend</t>
  </si>
  <si>
    <t>millenniumcountry</t>
  </si>
  <si>
    <t>millfield</t>
  </si>
  <si>
    <t>millom</t>
  </si>
  <si>
    <t>millwater</t>
  </si>
  <si>
    <t>miltonkeynes</t>
  </si>
  <si>
    <t>minehead</t>
  </si>
  <si>
    <t>minnippi</t>
  </si>
  <si>
    <t>mitchellsplain</t>
  </si>
  <si>
    <t>mitchelton</t>
  </si>
  <si>
    <t>mitino</t>
  </si>
  <si>
    <t>moana</t>
  </si>
  <si>
    <t>moberly</t>
  </si>
  <si>
    <t>modderfonteinreserve</t>
  </si>
  <si>
    <t>modimolle</t>
  </si>
  <si>
    <t>mofolo</t>
  </si>
  <si>
    <t>mogol</t>
  </si>
  <si>
    <t>molevalley</t>
  </si>
  <si>
    <t>monaghantown</t>
  </si>
  <si>
    <t>monrepos</t>
  </si>
  <si>
    <t>montelepre</t>
  </si>
  <si>
    <t>montrose</t>
  </si>
  <si>
    <t>montroseforeshore</t>
  </si>
  <si>
    <t>montsouris</t>
  </si>
  <si>
    <t>moora</t>
  </si>
  <si>
    <t>moorsvalley</t>
  </si>
  <si>
    <t>morecambeprom</t>
  </si>
  <si>
    <t>moree</t>
  </si>
  <si>
    <t>moskovskyparkpobedy</t>
  </si>
  <si>
    <t>mosman</t>
  </si>
  <si>
    <t>mountaindrive</t>
  </si>
  <si>
    <t>mountaingoattrail</t>
  </si>
  <si>
    <t>mountainslie</t>
  </si>
  <si>
    <t>mountbarker</t>
  </si>
  <si>
    <t>mountbattenschool</t>
  </si>
  <si>
    <t>mountbeauty</t>
  </si>
  <si>
    <t>mountedgcumbe</t>
  </si>
  <si>
    <t>mountgambier</t>
  </si>
  <si>
    <t>mounthelena</t>
  </si>
  <si>
    <t>mountisa</t>
  </si>
  <si>
    <t>mountlucas</t>
  </si>
  <si>
    <t>mtclarence</t>
  </si>
  <si>
    <t>mthatha</t>
  </si>
  <si>
    <t>mtpenang</t>
  </si>
  <si>
    <t>mudgee</t>
  </si>
  <si>
    <t>mudgeeraba</t>
  </si>
  <si>
    <t>mudjimbabeach</t>
  </si>
  <si>
    <t>mulbarton</t>
  </si>
  <si>
    <t>mullingar</t>
  </si>
  <si>
    <t>mullummullum</t>
  </si>
  <si>
    <t>mundy</t>
  </si>
  <si>
    <t>mungret</t>
  </si>
  <si>
    <t>muradilucca</t>
  </si>
  <si>
    <t>murraybridge</t>
  </si>
  <si>
    <t>musacookstown</t>
  </si>
  <si>
    <t>myrtle</t>
  </si>
  <si>
    <t>naas</t>
  </si>
  <si>
    <t>nahoonpoint</t>
  </si>
  <si>
    <t>nambour</t>
  </si>
  <si>
    <t>nantypandy</t>
  </si>
  <si>
    <t>naracoortelake</t>
  </si>
  <si>
    <t>narinbeach</t>
  </si>
  <si>
    <t>narrabri</t>
  </si>
  <si>
    <t>narrominewetlands</t>
  </si>
  <si>
    <t>natashinsky</t>
  </si>
  <si>
    <t>nautical</t>
  </si>
  <si>
    <t>navalhill</t>
  </si>
  <si>
    <t>navan</t>
  </si>
  <si>
    <t>neckarau</t>
  </si>
  <si>
    <t>neckaruferesslingen</t>
  </si>
  <si>
    <t>nepeanriver</t>
  </si>
  <si>
    <t>netleyabbey</t>
  </si>
  <si>
    <t>newark</t>
  </si>
  <si>
    <t>newbigginbythesea</t>
  </si>
  <si>
    <t>newborough</t>
  </si>
  <si>
    <t>newboroughforest</t>
  </si>
  <si>
    <t>newbury</t>
  </si>
  <si>
    <t>newcastle</t>
  </si>
  <si>
    <t>newcastlewest</t>
  </si>
  <si>
    <t>newearswick</t>
  </si>
  <si>
    <t>newent</t>
  </si>
  <si>
    <t>newfarm</t>
  </si>
  <si>
    <t>newport</t>
  </si>
  <si>
    <t>newportlakes</t>
  </si>
  <si>
    <t>newross</t>
  </si>
  <si>
    <t>newtown</t>
  </si>
  <si>
    <t>newy</t>
  </si>
  <si>
    <t>nhill</t>
  </si>
  <si>
    <t>nibe</t>
  </si>
  <si>
    <t>nidda</t>
  </si>
  <si>
    <t>nightcliff</t>
  </si>
  <si>
    <t>nizhnynovgorodmeshchersky</t>
  </si>
  <si>
    <t>nkomazi</t>
  </si>
  <si>
    <t>nobles</t>
  </si>
  <si>
    <t>noblevillage</t>
  </si>
  <si>
    <t>nonsuch</t>
  </si>
  <si>
    <t>noosa</t>
  </si>
  <si>
    <t>nordrefaelled</t>
  </si>
  <si>
    <t>normanbyhall</t>
  </si>
  <si>
    <t>northalafields</t>
  </si>
  <si>
    <t>northallerton</t>
  </si>
  <si>
    <t>northampton</t>
  </si>
  <si>
    <t>northbay</t>
  </si>
  <si>
    <t>northbeach</t>
  </si>
  <si>
    <t>northharbour</t>
  </si>
  <si>
    <t>northlakes</t>
  </si>
  <si>
    <t>northshore</t>
  </si>
  <si>
    <t>northsydney</t>
  </si>
  <si>
    <t>northwich</t>
  </si>
  <si>
    <t>northwollongong</t>
  </si>
  <si>
    <t>norwich</t>
  </si>
  <si>
    <t>nosehill</t>
  </si>
  <si>
    <t>nostell</t>
  </si>
  <si>
    <t>nottinghamroad</t>
  </si>
  <si>
    <t>novosibirsknaberezhnaya</t>
  </si>
  <si>
    <t>nulkaba</t>
  </si>
  <si>
    <t>nuriootpa</t>
  </si>
  <si>
    <t>oakey</t>
  </si>
  <si>
    <t>oakgrove</t>
  </si>
  <si>
    <t>oak-hill</t>
  </si>
  <si>
    <t>oakwellhall</t>
  </si>
  <si>
    <t>obninsk</t>
  </si>
  <si>
    <t>oceangrove</t>
  </si>
  <si>
    <t>oceanview</t>
  </si>
  <si>
    <t>ogrodsaski</t>
  </si>
  <si>
    <t>okanagan</t>
  </si>
  <si>
    <t>oldbridge</t>
  </si>
  <si>
    <t>olddeerpark</t>
  </si>
  <si>
    <t>oldham</t>
  </si>
  <si>
    <t>olimpiyskayaderevnya</t>
  </si>
  <si>
    <t>olsztyn</t>
  </si>
  <si>
    <t>omagh</t>
  </si>
  <si>
    <t>opole</t>
  </si>
  <si>
    <t>orange</t>
  </si>
  <si>
    <t>orangefield</t>
  </si>
  <si>
    <t>oranmore</t>
  </si>
  <si>
    <t>orebro</t>
  </si>
  <si>
    <t>orleans</t>
  </si>
  <si>
    <t>ormeau</t>
  </si>
  <si>
    <t>ormskirk</t>
  </si>
  <si>
    <t>orpington</t>
  </si>
  <si>
    <t>orskparkstroiteley</t>
  </si>
  <si>
    <t>osterley</t>
  </si>
  <si>
    <t>oudtshoorn</t>
  </si>
  <si>
    <t>oughterard</t>
  </si>
  <si>
    <t>oxford</t>
  </si>
  <si>
    <t>paarl</t>
  </si>
  <si>
    <t>pabianice</t>
  </si>
  <si>
    <t>pakapakanthi</t>
  </si>
  <si>
    <t>pakenham</t>
  </si>
  <si>
    <t>pallara</t>
  </si>
  <si>
    <t>palmerston</t>
  </si>
  <si>
    <t>palmerstonnorth</t>
  </si>
  <si>
    <t>panania</t>
  </si>
  <si>
    <t>panshanger</t>
  </si>
  <si>
    <t>paradisepoint</t>
  </si>
  <si>
    <t>parke</t>
  </si>
  <si>
    <t>parkguskova</t>
  </si>
  <si>
    <t>parkmiejskiwejherowo</t>
  </si>
  <si>
    <t>parknawyspie</t>
  </si>
  <si>
    <t>parkville</t>
  </si>
  <si>
    <t>parkzdrojowykudowazdroj</t>
  </si>
  <si>
    <t>parramatta</t>
  </si>
  <si>
    <t>parys</t>
  </si>
  <si>
    <t>pavlovskyposad</t>
  </si>
  <si>
    <t>peacehaven</t>
  </si>
  <si>
    <t>peckhamrye</t>
  </si>
  <si>
    <t>pegasus</t>
  </si>
  <si>
    <t>pegwellbay</t>
  </si>
  <si>
    <t>pehobiebeach</t>
  </si>
  <si>
    <t>penallta</t>
  </si>
  <si>
    <t>pendle</t>
  </si>
  <si>
    <t>penistone</t>
  </si>
  <si>
    <t>penningtonflash</t>
  </si>
  <si>
    <t>penrhyn</t>
  </si>
  <si>
    <t>penrith</t>
  </si>
  <si>
    <t>penrithlakes</t>
  </si>
  <si>
    <t>penrose</t>
  </si>
  <si>
    <t>penticton</t>
  </si>
  <si>
    <t>permbalatovo</t>
  </si>
  <si>
    <t>perrigo</t>
  </si>
  <si>
    <t>perryhall</t>
  </si>
  <si>
    <t>perrylakes</t>
  </si>
  <si>
    <t>perth</t>
  </si>
  <si>
    <t>peterborough</t>
  </si>
  <si>
    <t>petergofaleksandriysky</t>
  </si>
  <si>
    <t>peterpan</t>
  </si>
  <si>
    <t>petrie</t>
  </si>
  <si>
    <t>phillipisland</t>
  </si>
  <si>
    <t>phoenix</t>
  </si>
  <si>
    <t>phoenixpark</t>
  </si>
  <si>
    <t>picton</t>
  </si>
  <si>
    <t>pieschenerallee</t>
  </si>
  <si>
    <t>pietretief</t>
  </si>
  <si>
    <t>pigglywiggly</t>
  </si>
  <si>
    <t>pioneer</t>
  </si>
  <si>
    <t>pittsworth</t>
  </si>
  <si>
    <t>plantation</t>
  </si>
  <si>
    <t>plean</t>
  </si>
  <si>
    <t>plymvalley</t>
  </si>
  <si>
    <t>pocket</t>
  </si>
  <si>
    <t>pointcook</t>
  </si>
  <si>
    <t>pokrovskoestreshnevo</t>
  </si>
  <si>
    <t>polemokotowskie</t>
  </si>
  <si>
    <t>polkemmetcountry</t>
  </si>
  <si>
    <t>pollok</t>
  </si>
  <si>
    <t>polokwane</t>
  </si>
  <si>
    <t>pomphreyhill</t>
  </si>
  <si>
    <t>pongola</t>
  </si>
  <si>
    <t>pontefract</t>
  </si>
  <si>
    <t>pontybala</t>
  </si>
  <si>
    <t>pontypool</t>
  </si>
  <si>
    <t>pontypridd</t>
  </si>
  <si>
    <t>poolbeg</t>
  </si>
  <si>
    <t>poole</t>
  </si>
  <si>
    <t>poolsbrook</t>
  </si>
  <si>
    <t>poplarstreet</t>
  </si>
  <si>
    <t>poppintree</t>
  </si>
  <si>
    <t>porirua</t>
  </si>
  <si>
    <t>portalfred</t>
  </si>
  <si>
    <t>portarlington</t>
  </si>
  <si>
    <t>portaugusta</t>
  </si>
  <si>
    <t>portbroughton</t>
  </si>
  <si>
    <t>porterstown</t>
  </si>
  <si>
    <t>portfairy</t>
  </si>
  <si>
    <t>porthcawl</t>
  </si>
  <si>
    <t>porthedland</t>
  </si>
  <si>
    <t>portland</t>
  </si>
  <si>
    <t>portlincoln</t>
  </si>
  <si>
    <t>portmacquarie</t>
  </si>
  <si>
    <t>portobello</t>
  </si>
  <si>
    <t>portrush</t>
  </si>
  <si>
    <t>portsmouthlakeside</t>
  </si>
  <si>
    <t>portsorell</t>
  </si>
  <si>
    <t>portumna</t>
  </si>
  <si>
    <t>potchefstroom</t>
  </si>
  <si>
    <t>potternewton</t>
  </si>
  <si>
    <t>poznan</t>
  </si>
  <si>
    <t>presint18</t>
  </si>
  <si>
    <t>preston</t>
  </si>
  <si>
    <t>prestonpark</t>
  </si>
  <si>
    <t>prieska</t>
  </si>
  <si>
    <t>princealbert</t>
  </si>
  <si>
    <t>princes</t>
  </si>
  <si>
    <t>prospect</t>
  </si>
  <si>
    <t>prudhoeriverside</t>
  </si>
  <si>
    <t>pruszkow</t>
  </si>
  <si>
    <t>puarenga</t>
  </si>
  <si>
    <t>pushkin</t>
  </si>
  <si>
    <t>pymmes</t>
  </si>
  <si>
    <t>python</t>
  </si>
  <si>
    <t>queanbeyan</t>
  </si>
  <si>
    <t>queenelizabeth</t>
  </si>
  <si>
    <t>queenelizabethcasino</t>
  </si>
  <si>
    <t>queens</t>
  </si>
  <si>
    <t>queensdomain</t>
  </si>
  <si>
    <t>queenstown</t>
  </si>
  <si>
    <t>quinnsrocks</t>
  </si>
  <si>
    <t>railton</t>
  </si>
  <si>
    <t>raphael</t>
  </si>
  <si>
    <t>reading</t>
  </si>
  <si>
    <t>readovskypark</t>
  </si>
  <si>
    <t>recplexnorth</t>
  </si>
  <si>
    <t>redcar</t>
  </si>
  <si>
    <t>redcliffe</t>
  </si>
  <si>
    <t>redlandbay</t>
  </si>
  <si>
    <t>redstar</t>
  </si>
  <si>
    <t>reigatepriory</t>
  </si>
  <si>
    <t>renmark</t>
  </si>
  <si>
    <t>renton</t>
  </si>
  <si>
    <t>reynellaeast</t>
  </si>
  <si>
    <t>rheinaue</t>
  </si>
  <si>
    <t>rhodes</t>
  </si>
  <si>
    <t>richardsbay</t>
  </si>
  <si>
    <t>richmond</t>
  </si>
  <si>
    <t>richmondolympic</t>
  </si>
  <si>
    <t>rickmansworth</t>
  </si>
  <si>
    <t>riddlesdown</t>
  </si>
  <si>
    <t>riemer</t>
  </si>
  <si>
    <t>rietvlei</t>
  </si>
  <si>
    <t>risingsun</t>
  </si>
  <si>
    <t>riverfront</t>
  </si>
  <si>
    <t>riveroaks</t>
  </si>
  <si>
    <t>riverside</t>
  </si>
  <si>
    <t>rivervalley</t>
  </si>
  <si>
    <t>rivervalleyedmonton</t>
  </si>
  <si>
    <t>riverway</t>
  </si>
  <si>
    <t>rivieraonvaal</t>
  </si>
  <si>
    <t>robertson</t>
  </si>
  <si>
    <t>rockhampton</t>
  </si>
  <si>
    <t>rockingham</t>
  </si>
  <si>
    <t>rocksriverside</t>
  </si>
  <si>
    <t>rodingvalley</t>
  </si>
  <si>
    <t>rogiet</t>
  </si>
  <si>
    <t>roma</t>
  </si>
  <si>
    <t>romapineto</t>
  </si>
  <si>
    <t>rondeboschcommon</t>
  </si>
  <si>
    <t>rondebult</t>
  </si>
  <si>
    <t>roodepoort</t>
  </si>
  <si>
    <t>rooseveltislanddc</t>
  </si>
  <si>
    <t>root44</t>
  </si>
  <si>
    <t>rootyhill</t>
  </si>
  <si>
    <t>rosebud</t>
  </si>
  <si>
    <t>roselenasia</t>
  </si>
  <si>
    <t>roses</t>
  </si>
  <si>
    <t>rosliston</t>
  </si>
  <si>
    <t>rossonwye</t>
  </si>
  <si>
    <t>rostovondon</t>
  </si>
  <si>
    <t>rostrevor</t>
  </si>
  <si>
    <t>rotherham</t>
  </si>
  <si>
    <t>rothervalley</t>
  </si>
  <si>
    <t>rothwell</t>
  </si>
  <si>
    <t>rouen</t>
  </si>
  <si>
    <t>roundhay</t>
  </si>
  <si>
    <t>roundshaw</t>
  </si>
  <si>
    <t>rousehill</t>
  </si>
  <si>
    <t>royalcanalkilcock</t>
  </si>
  <si>
    <t>royaltunbridgewells</t>
  </si>
  <si>
    <t>rubbenbruchsee</t>
  </si>
  <si>
    <t>ruchill</t>
  </si>
  <si>
    <t>rugby</t>
  </si>
  <si>
    <t>ruimsig</t>
  </si>
  <si>
    <t>rumia</t>
  </si>
  <si>
    <t>rushcliffe</t>
  </si>
  <si>
    <t>rushmere</t>
  </si>
  <si>
    <t>rushmoor</t>
  </si>
  <si>
    <t>russborough</t>
  </si>
  <si>
    <t>rutlandwater</t>
  </si>
  <si>
    <t>ryazancentral</t>
  </si>
  <si>
    <t>ryazanoreshek</t>
  </si>
  <si>
    <t>rzeszow</t>
  </si>
  <si>
    <t>saintpaulin</t>
  </si>
  <si>
    <t>sale</t>
  </si>
  <si>
    <t>salento</t>
  </si>
  <si>
    <t>salewater</t>
  </si>
  <si>
    <t>salisbury</t>
  </si>
  <si>
    <t>samaraparkgagarina</t>
  </si>
  <si>
    <t>sandgate</t>
  </si>
  <si>
    <t>sandonpoint</t>
  </si>
  <si>
    <t>sandriver</t>
  </si>
  <si>
    <t>sandwellvalley</t>
  </si>
  <si>
    <t>sanremo</t>
  </si>
  <si>
    <t>sardiniabay</t>
  </si>
  <si>
    <t>schwanenteich</t>
  </si>
  <si>
    <t>scunthorpe</t>
  </si>
  <si>
    <t>seacliffesplanade</t>
  </si>
  <si>
    <t>seafordbeach</t>
  </si>
  <si>
    <t>seaton</t>
  </si>
  <si>
    <t>secunda</t>
  </si>
  <si>
    <t>sedgefield</t>
  </si>
  <si>
    <t>seewoog</t>
  </si>
  <si>
    <t>selby</t>
  </si>
  <si>
    <t>senekal</t>
  </si>
  <si>
    <t>serpukhovgorodskoybor</t>
  </si>
  <si>
    <t>severnbridge</t>
  </si>
  <si>
    <t>severnoetushino</t>
  </si>
  <si>
    <t>severnvalleycountry</t>
  </si>
  <si>
    <t>severnyrechnoyvokzal</t>
  </si>
  <si>
    <t>sewerby</t>
  </si>
  <si>
    <t>shanganagh</t>
  </si>
  <si>
    <t>sheffieldcastle</t>
  </si>
  <si>
    <t>sheffieldhallam</t>
  </si>
  <si>
    <t>shelley</t>
  </si>
  <si>
    <t>shellharbour</t>
  </si>
  <si>
    <t>shepparton</t>
  </si>
  <si>
    <t>sheptonmallet</t>
  </si>
  <si>
    <t>sheringham</t>
  </si>
  <si>
    <t>sherwoodpines</t>
  </si>
  <si>
    <t>shipleycountry</t>
  </si>
  <si>
    <t>shipwreck</t>
  </si>
  <si>
    <t>shiraztrail</t>
  </si>
  <si>
    <t>shongweni</t>
  </si>
  <si>
    <t>shornewoods</t>
  </si>
  <si>
    <t>shrewsbury</t>
  </si>
  <si>
    <t>shuvalovskypark</t>
  </si>
  <si>
    <t>silveroaks</t>
  </si>
  <si>
    <t>singleton</t>
  </si>
  <si>
    <t>sippolake</t>
  </si>
  <si>
    <t>sirromet</t>
  </si>
  <si>
    <t>sittingbourne</t>
  </si>
  <si>
    <t>sixfieldsupton</t>
  </si>
  <si>
    <t>sixmilewater</t>
  </si>
  <si>
    <t>sizewell</t>
  </si>
  <si>
    <t>skatas</t>
  </si>
  <si>
    <t>skierniewice</t>
  </si>
  <si>
    <t>skipton</t>
  </si>
  <si>
    <t>skorzec</t>
  </si>
  <si>
    <t>sligo</t>
  </si>
  <si>
    <t>slodowowloclawek</t>
  </si>
  <si>
    <t>sloughbottom</t>
  </si>
  <si>
    <t>snowdenfield</t>
  </si>
  <si>
    <t>snyepoint</t>
  </si>
  <si>
    <t>sokolniki</t>
  </si>
  <si>
    <t>somerdalepavilion</t>
  </si>
  <si>
    <t>somersetwest</t>
  </si>
  <si>
    <t>sosnovka</t>
  </si>
  <si>
    <t>southampton</t>
  </si>
  <si>
    <t>southbank</t>
  </si>
  <si>
    <t>southbouldercreek</t>
  </si>
  <si>
    <t>southend</t>
  </si>
  <si>
    <t>southmanchester</t>
  </si>
  <si>
    <t>southnorwood</t>
  </si>
  <si>
    <t>southoxhey</t>
  </si>
  <si>
    <t>southport</t>
  </si>
  <si>
    <t>southsea</t>
  </si>
  <si>
    <t>southshields</t>
  </si>
  <si>
    <t>southtoowoomba</t>
  </si>
  <si>
    <t>southwark</t>
  </si>
  <si>
    <t>southwickcountrypark</t>
  </si>
  <si>
    <t>southwoodhamferrers</t>
  </si>
  <si>
    <t>springbok</t>
  </si>
  <si>
    <t>springburn</t>
  </si>
  <si>
    <t>springs</t>
  </si>
  <si>
    <t>stalbans</t>
  </si>
  <si>
    <t>stamfordpark</t>
  </si>
  <si>
    <t>standerton</t>
  </si>
  <si>
    <t>standrews</t>
  </si>
  <si>
    <t>stannes</t>
  </si>
  <si>
    <t>stanthorpe</t>
  </si>
  <si>
    <t>stavanger</t>
  </si>
  <si>
    <t>stavropol</t>
  </si>
  <si>
    <t>stebonheath</t>
  </si>
  <si>
    <t>sterkfontein</t>
  </si>
  <si>
    <t>stevenage</t>
  </si>
  <si>
    <t>stewart</t>
  </si>
  <si>
    <t>stfrancis</t>
  </si>
  <si>
    <t>stgeorge</t>
  </si>
  <si>
    <t>sthelens</t>
  </si>
  <si>
    <t>stlucia</t>
  </si>
  <si>
    <t>stmarys</t>
  </si>
  <si>
    <t>stockton</t>
  </si>
  <si>
    <t>stonehaven</t>
  </si>
  <si>
    <t>stonehouse</t>
  </si>
  <si>
    <t>stonescorner</t>
  </si>
  <si>
    <t>stormont</t>
  </si>
  <si>
    <t>stortheshall</t>
  </si>
  <si>
    <t>stpeters</t>
  </si>
  <si>
    <t>stranmilliscollege</t>
  </si>
  <si>
    <t>stratforduponavon</t>
  </si>
  <si>
    <t>strathalbyn</t>
  </si>
  <si>
    <t>strathclyde</t>
  </si>
  <si>
    <t>strathconaisland</t>
  </si>
  <si>
    <t>street</t>
  </si>
  <si>
    <t>stretford</t>
  </si>
  <si>
    <t>strokestown</t>
  </si>
  <si>
    <t>studley</t>
  </si>
  <si>
    <t>stutterheim</t>
  </si>
  <si>
    <t>sunbury</t>
  </si>
  <si>
    <t>sunderland</t>
  </si>
  <si>
    <t>sunnidale</t>
  </si>
  <si>
    <t>sunnyhill</t>
  </si>
  <si>
    <t>sunriseonsea</t>
  </si>
  <si>
    <t>surfersparadise</t>
  </si>
  <si>
    <t>sutherland</t>
  </si>
  <si>
    <t>suttonpark</t>
  </si>
  <si>
    <t>swaffham</t>
  </si>
  <si>
    <t>swakopmund</t>
  </si>
  <si>
    <t>swanseabay</t>
  </si>
  <si>
    <t>swellendam</t>
  </si>
  <si>
    <t>swidwin</t>
  </si>
  <si>
    <t>swindon</t>
  </si>
  <si>
    <t>swinoujscie</t>
  </si>
  <si>
    <t>szczecin</t>
  </si>
  <si>
    <t>szczecinek</t>
  </si>
  <si>
    <t>tamanpuduulu</t>
  </si>
  <si>
    <t>tamarlakes</t>
  </si>
  <si>
    <t>tamartrails</t>
  </si>
  <si>
    <t>tamborinemountain</t>
  </si>
  <si>
    <t>tambov</t>
  </si>
  <si>
    <t>tampere</t>
  </si>
  <si>
    <t>tamworth</t>
  </si>
  <si>
    <t>tamworthwetlands</t>
  </si>
  <si>
    <t>tannumsands</t>
  </si>
  <si>
    <t>taree</t>
  </si>
  <si>
    <t>taupo</t>
  </si>
  <si>
    <t>tauranga</t>
  </si>
  <si>
    <t>tawdvalley</t>
  </si>
  <si>
    <t>tczew</t>
  </si>
  <si>
    <t>teesbarrage</t>
  </si>
  <si>
    <t>teignmouthpromenade</t>
  </si>
  <si>
    <t>telford</t>
  </si>
  <si>
    <t>templemore</t>
  </si>
  <si>
    <t>templenewsam</t>
  </si>
  <si>
    <t>terme</t>
  </si>
  <si>
    <t>terryhershey</t>
  </si>
  <si>
    <t>tetburygoodsshed</t>
  </si>
  <si>
    <t>tewkesbury</t>
  </si>
  <si>
    <t>thebeaches</t>
  </si>
  <si>
    <t>theentrance</t>
  </si>
  <si>
    <t>thefarmstead</t>
  </si>
  <si>
    <t>thepastures</t>
  </si>
  <si>
    <t>theponds</t>
  </si>
  <si>
    <t>theterrace</t>
  </si>
  <si>
    <t>thetford</t>
  </si>
  <si>
    <t>thevenue</t>
  </si>
  <si>
    <t>thewammy</t>
  </si>
  <si>
    <t>thomasmills</t>
  </si>
  <si>
    <t>thornbury</t>
  </si>
  <si>
    <t>thousandhills</t>
  </si>
  <si>
    <t>thurrock</t>
  </si>
  <si>
    <t>thurso</t>
  </si>
  <si>
    <t>tilgate</t>
  </si>
  <si>
    <t>timboon</t>
  </si>
  <si>
    <t>timiryazevsky</t>
  </si>
  <si>
    <t>tinleymanor</t>
  </si>
  <si>
    <t>tokoinranta</t>
  </si>
  <si>
    <t>tolkavalley</t>
  </si>
  <si>
    <t>tollcross</t>
  </si>
  <si>
    <t>tonbridge</t>
  </si>
  <si>
    <t>toolerncreek</t>
  </si>
  <si>
    <t>tootingcommon</t>
  </si>
  <si>
    <t>toowoomba</t>
  </si>
  <si>
    <t>torbayvelopark</t>
  </si>
  <si>
    <t>torquay</t>
  </si>
  <si>
    <t>torrens</t>
  </si>
  <si>
    <t>torun</t>
  </si>
  <si>
    <t>toyen</t>
  </si>
  <si>
    <t>tralee</t>
  </si>
  <si>
    <t>tramore</t>
  </si>
  <si>
    <t>traralgon</t>
  </si>
  <si>
    <t>trelissick</t>
  </si>
  <si>
    <t>treviso</t>
  </si>
  <si>
    <t>tring</t>
  </si>
  <si>
    <t>troon</t>
  </si>
  <si>
    <t>troutpond</t>
  </si>
  <si>
    <t>tsakanewetlands</t>
  </si>
  <si>
    <t>tsaritsyno</t>
  </si>
  <si>
    <t>tuggeranong</t>
  </si>
  <si>
    <t>tulacentral</t>
  </si>
  <si>
    <t>tullow</t>
  </si>
  <si>
    <t>tychy</t>
  </si>
  <si>
    <t>tymon</t>
  </si>
  <si>
    <t>tynegreen</t>
  </si>
  <si>
    <t>tyrrelstown</t>
  </si>
  <si>
    <t>uckfield</t>
  </si>
  <si>
    <t>uditore</t>
  </si>
  <si>
    <t>ufabotanicheskysad</t>
  </si>
  <si>
    <t>umdoni</t>
  </si>
  <si>
    <t>umfolozi</t>
  </si>
  <si>
    <t>umhlanga</t>
  </si>
  <si>
    <t>underwoodpark</t>
  </si>
  <si>
    <t>unisee</t>
  </si>
  <si>
    <t>upington</t>
  </si>
  <si>
    <t>uppsala</t>
  </si>
  <si>
    <t>uptoncourt</t>
  </si>
  <si>
    <t>uptonhouse</t>
  </si>
  <si>
    <t>urunga</t>
  </si>
  <si>
    <t>uvongo</t>
  </si>
  <si>
    <t>vaaksynkanava</t>
  </si>
  <si>
    <t>vaalmarina</t>
  </si>
  <si>
    <t>valentines</t>
  </si>
  <si>
    <t>valhalla</t>
  </si>
  <si>
    <t>vallaskogen</t>
  </si>
  <si>
    <t>valley</t>
  </si>
  <si>
    <t>vandeleur</t>
  </si>
  <si>
    <t>varsitylakes</t>
  </si>
  <si>
    <t>vaxjosjon</t>
  </si>
  <si>
    <t>vejen</t>
  </si>
  <si>
    <t>ventersburg</t>
  </si>
  <si>
    <t>vernadskogo</t>
  </si>
  <si>
    <t>vicarstown</t>
  </si>
  <si>
    <t>victorharbor</t>
  </si>
  <si>
    <t>victoria</t>
  </si>
  <si>
    <t>victoriadock</t>
  </si>
  <si>
    <t>victoriakitchener</t>
  </si>
  <si>
    <t>victorialake</t>
  </si>
  <si>
    <t>victoryheightstrail</t>
  </si>
  <si>
    <t>villiersdorp</t>
  </si>
  <si>
    <t>vogrie</t>
  </si>
  <si>
    <t>volgogradpanorama</t>
  </si>
  <si>
    <t>volksgarten</t>
  </si>
  <si>
    <t>voortrekkermonument</t>
  </si>
  <si>
    <t>voronezhcentralpark</t>
  </si>
  <si>
    <t>vrede</t>
  </si>
  <si>
    <t>vredendal</t>
  </si>
  <si>
    <t>vryburg</t>
  </si>
  <si>
    <t>vryheid</t>
  </si>
  <si>
    <t>wagga</t>
  </si>
  <si>
    <t>wakefieldthornes</t>
  </si>
  <si>
    <t>wallace</t>
  </si>
  <si>
    <t>walmeranddealseafront</t>
  </si>
  <si>
    <t>walsall</t>
  </si>
  <si>
    <t>walthamstow</t>
  </si>
  <si>
    <t>walvisbay</t>
  </si>
  <si>
    <t>wanaka</t>
  </si>
  <si>
    <t>wangaratta</t>
  </si>
  <si>
    <t>wanneroo</t>
  </si>
  <si>
    <t>wansteadflats</t>
  </si>
  <si>
    <t>warnerlakes</t>
  </si>
  <si>
    <t>warragul</t>
  </si>
  <si>
    <t>warrington</t>
  </si>
  <si>
    <t>warrnambool</t>
  </si>
  <si>
    <t>warszawa-brodno</t>
  </si>
  <si>
    <t>warszawa-praga</t>
  </si>
  <si>
    <t>warszawa-ursynow</t>
  </si>
  <si>
    <t>warszawa-zoliborz</t>
  </si>
  <si>
    <t>warwick</t>
  </si>
  <si>
    <t>wascana</t>
  </si>
  <si>
    <t>waterfall</t>
  </si>
  <si>
    <t>waterfordnature</t>
  </si>
  <si>
    <t>watergrove</t>
  </si>
  <si>
    <t>watermeadows</t>
  </si>
  <si>
    <t>waterstown</t>
  </si>
  <si>
    <t>waterworks</t>
  </si>
  <si>
    <t>wauchope</t>
  </si>
  <si>
    <t>weedonislandpreserve</t>
  </si>
  <si>
    <t>weipa</t>
  </si>
  <si>
    <t>welkom</t>
  </si>
  <si>
    <t>wellington</t>
  </si>
  <si>
    <t>wellsestate</t>
  </si>
  <si>
    <t>wendoverwoods</t>
  </si>
  <si>
    <t>wepre</t>
  </si>
  <si>
    <t>westbeach</t>
  </si>
  <si>
    <t>westbury</t>
  </si>
  <si>
    <t>westcoastpark</t>
  </si>
  <si>
    <t>westerfolds</t>
  </si>
  <si>
    <t>westernsprings</t>
  </si>
  <si>
    <t>westmill</t>
  </si>
  <si>
    <t>westonaria</t>
  </si>
  <si>
    <t>westpark</t>
  </si>
  <si>
    <t>westport</t>
  </si>
  <si>
    <t>westville</t>
  </si>
  <si>
    <t>wetherby</t>
  </si>
  <si>
    <t>wexfordracecourse</t>
  </si>
  <si>
    <t>weymouth</t>
  </si>
  <si>
    <t>whangarei</t>
  </si>
  <si>
    <t>whinlatterforest</t>
  </si>
  <si>
    <t>whistler</t>
  </si>
  <si>
    <t>whitby</t>
  </si>
  <si>
    <t>whitehaven</t>
  </si>
  <si>
    <t>whiteley</t>
  </si>
  <si>
    <t>whitemarkwharf</t>
  </si>
  <si>
    <t>whiteriver</t>
  </si>
  <si>
    <t>whiterock</t>
  </si>
  <si>
    <t>whitfordsnodes</t>
  </si>
  <si>
    <t>whitleybay</t>
  </si>
  <si>
    <t>whitstable</t>
  </si>
  <si>
    <t>widnes</t>
  </si>
  <si>
    <t>wildflower</t>
  </si>
  <si>
    <t>willoughby</t>
  </si>
  <si>
    <t>willow</t>
  </si>
  <si>
    <t>wilmslow</t>
  </si>
  <si>
    <t>wilsonbotanic</t>
  </si>
  <si>
    <t>wimbledon</t>
  </si>
  <si>
    <t>wimmerariverhorsham</t>
  </si>
  <si>
    <t>wimpoleestate</t>
  </si>
  <si>
    <t>winchester</t>
  </si>
  <si>
    <t>windhoek</t>
  </si>
  <si>
    <t>windsorprecinct</t>
  </si>
  <si>
    <t>windynook</t>
  </si>
  <si>
    <t>winterton</t>
  </si>
  <si>
    <t>wishart</t>
  </si>
  <si>
    <t>witbank</t>
  </si>
  <si>
    <t>witney</t>
  </si>
  <si>
    <t>wits</t>
  </si>
  <si>
    <t>witton</t>
  </si>
  <si>
    <t>woehrdersee</t>
  </si>
  <si>
    <t>woking</t>
  </si>
  <si>
    <t>wolbrom</t>
  </si>
  <si>
    <t>wolseley</t>
  </si>
  <si>
    <t>wolverhampton</t>
  </si>
  <si>
    <t>wondai</t>
  </si>
  <si>
    <t>woodbank</t>
  </si>
  <si>
    <t>woodbridgeriverside</t>
  </si>
  <si>
    <t>woodhousemoor</t>
  </si>
  <si>
    <t>woodlands</t>
  </si>
  <si>
    <t>woodley</t>
  </si>
  <si>
    <t>woolacombedunes</t>
  </si>
  <si>
    <t>worcester</t>
  </si>
  <si>
    <t>worcesterpitchcroft</t>
  </si>
  <si>
    <t>workington</t>
  </si>
  <si>
    <t>wormwoodscrubs</t>
  </si>
  <si>
    <t>worsleywoods</t>
  </si>
  <si>
    <t>worthing</t>
  </si>
  <si>
    <t>wotton</t>
  </si>
  <si>
    <t>woywoy</t>
  </si>
  <si>
    <t>wroclaw</t>
  </si>
  <si>
    <t>wycomberye</t>
  </si>
  <si>
    <t>wyndhamvale</t>
  </si>
  <si>
    <t>wynnum</t>
  </si>
  <si>
    <t>wynyardforeshore</t>
  </si>
  <si>
    <t>wyreforest</t>
  </si>
  <si>
    <t>wythenshawe</t>
  </si>
  <si>
    <t>yakutskdokhsun</t>
  </si>
  <si>
    <t>yamba</t>
  </si>
  <si>
    <t>yarrabilba</t>
  </si>
  <si>
    <t>yeldulknieweirtrail</t>
  </si>
  <si>
    <t>yeovilmontacute</t>
  </si>
  <si>
    <t>yeppoon</t>
  </si>
  <si>
    <t>yokine</t>
  </si>
  <si>
    <t>york</t>
  </si>
  <si>
    <t>youyangs</t>
  </si>
  <si>
    <t>yowie</t>
  </si>
  <si>
    <t>yzerfontein</t>
  </si>
  <si>
    <t>zamekwmalborku</t>
  </si>
  <si>
    <t>zandvlei</t>
  </si>
  <si>
    <t>zary</t>
  </si>
  <si>
    <t>zatyumensky</t>
  </si>
  <si>
    <t>zelenograd</t>
  </si>
  <si>
    <t>zhukovsky</t>
  </si>
  <si>
    <t>zielonagora</t>
  </si>
  <si>
    <t>zillmere</t>
  </si>
  <si>
    <t/>
  </si>
  <si>
    <t>Eddie GILES</t>
  </si>
  <si>
    <t>Linda DODSWORTH</t>
  </si>
  <si>
    <t>Roderick HOFFMAN</t>
  </si>
  <si>
    <t>Benita SCAIFE</t>
  </si>
  <si>
    <t>Steve NEWELL</t>
  </si>
  <si>
    <t>Petra OTTO</t>
  </si>
  <si>
    <t>Sarah GORDON</t>
  </si>
  <si>
    <t>Trish MCCABE</t>
  </si>
  <si>
    <t>Richard RUFFELL</t>
  </si>
  <si>
    <t>Tim BELLARS</t>
  </si>
  <si>
    <t>Christine Harriet MUNDEN</t>
  </si>
  <si>
    <t>Gareth SNOOK</t>
  </si>
  <si>
    <t>Neil FREDIANI</t>
  </si>
  <si>
    <t>Christopher T KELLY</t>
  </si>
  <si>
    <t>John COFFEY</t>
  </si>
  <si>
    <t>Natalie RUFFELL</t>
  </si>
  <si>
    <t>John LENNON</t>
  </si>
  <si>
    <t>Simon ASHFORD</t>
  </si>
  <si>
    <t>John SCAIFE</t>
  </si>
  <si>
    <t>Barry WALTERS</t>
  </si>
  <si>
    <t>Sreeram SETHURAMAN</t>
  </si>
  <si>
    <t>Scott DAVISON</t>
  </si>
  <si>
    <t>Alice BANKS</t>
  </si>
  <si>
    <t>Ray HAMPTON</t>
  </si>
  <si>
    <t>Adrian HAINES</t>
  </si>
  <si>
    <t>Stephen K TAYLOR</t>
  </si>
  <si>
    <t>Micheal BALL</t>
  </si>
  <si>
    <t>Ian CUNNINGHAM</t>
  </si>
  <si>
    <t>Maria JOVANI</t>
  </si>
  <si>
    <t>Daniela MAYEROVA</t>
  </si>
  <si>
    <t>Jonathan COX</t>
  </si>
  <si>
    <t>David DUGGAN</t>
  </si>
  <si>
    <t>Denis FOXLEY</t>
  </si>
  <si>
    <t>Dave DIXON</t>
  </si>
  <si>
    <t>Caroline COCKRAM</t>
  </si>
  <si>
    <t>Marion WOODHOUSE</t>
  </si>
  <si>
    <t>Mark TURNER</t>
  </si>
  <si>
    <t>Paul TIMMS</t>
  </si>
  <si>
    <t>Ian COCKRAM</t>
  </si>
  <si>
    <t>Julie BARCLAY</t>
  </si>
  <si>
    <t>Kimberley TURNER</t>
  </si>
  <si>
    <t>Steve DODSWORTH</t>
  </si>
  <si>
    <t>Emily WARBURTON-BROWN</t>
  </si>
  <si>
    <t>Piers KEENLEYSIDE</t>
  </si>
  <si>
    <t>Clara HALKET</t>
  </si>
  <si>
    <t>Paul DAVIS</t>
  </si>
  <si>
    <t>Janice JONES</t>
  </si>
  <si>
    <t>Paul WATT</t>
  </si>
  <si>
    <t>Gary RUSHMER</t>
  </si>
  <si>
    <t>Jain REID</t>
  </si>
  <si>
    <t>Janet SMITH</t>
  </si>
  <si>
    <t>Brian BENNETT</t>
  </si>
  <si>
    <t>Claire KILLEN</t>
  </si>
  <si>
    <t>Alastair HESLOP</t>
  </si>
  <si>
    <t>Ben CHAYTOW</t>
  </si>
  <si>
    <t>James SHOULDER</t>
  </si>
  <si>
    <t>Maureen MCCABE</t>
  </si>
  <si>
    <t>Alan ANDERSON</t>
  </si>
  <si>
    <t>Zara THORN</t>
  </si>
  <si>
    <t>Paul KNECHTL</t>
  </si>
  <si>
    <t>Jeremy SHORT</t>
  </si>
  <si>
    <t>Simon TURTON</t>
  </si>
  <si>
    <t>Jacqueline MUSSELWHITE</t>
  </si>
  <si>
    <t>Jersey Farm #47 2</t>
  </si>
  <si>
    <t>  (assisted)</t>
  </si>
  <si>
    <t xml:space="preserve">Sarah  </t>
  </si>
  <si>
    <t xml:space="preserve">Alan &amp; Anne  </t>
  </si>
  <si>
    <t xml:space="preserve">Keith </t>
  </si>
  <si>
    <t>Bedfont Lakes #522</t>
  </si>
  <si>
    <t>Birkenhead #208</t>
  </si>
  <si>
    <t>Bushy Park #802</t>
  </si>
  <si>
    <t>Churchfields Farm #32</t>
  </si>
  <si>
    <t>Crane Park #383</t>
  </si>
  <si>
    <t>Eastbourne #405</t>
  </si>
  <si>
    <t>Gunnersbury #400</t>
  </si>
  <si>
    <t>Hanworth #16</t>
  </si>
  <si>
    <t>Harrow #223</t>
  </si>
  <si>
    <t>Hazelwood #74</t>
  </si>
  <si>
    <t>Higginson, Marlow #48</t>
  </si>
  <si>
    <t>Lymington Woodside #151</t>
  </si>
  <si>
    <t>Manor Field, Whittlesey #51</t>
  </si>
  <si>
    <t>Northala Fields #271</t>
  </si>
  <si>
    <t>Old Deer Park #454</t>
  </si>
  <si>
    <t>Osterley #305</t>
  </si>
  <si>
    <t>Reading #496</t>
  </si>
  <si>
    <t>St Albans #402</t>
  </si>
  <si>
    <t>Woking #248</t>
  </si>
  <si>
    <t>8th</t>
  </si>
  <si>
    <t>Guildford #364</t>
  </si>
  <si>
    <t>1st run at Churchfields Farm, park #110</t>
  </si>
  <si>
    <t>plus barcode capture advice</t>
  </si>
  <si>
    <t>run director - 1st anniversary</t>
  </si>
  <si>
    <t>plus course set up, #400 special</t>
  </si>
  <si>
    <t>tailwalker + clan gathering</t>
  </si>
  <si>
    <t>with Chloe (JW10)</t>
  </si>
  <si>
    <t>Churchfields Farm (Droitwich)</t>
  </si>
  <si>
    <t>Lesley resigned before the run</t>
  </si>
  <si>
    <t>Jonathan had resigned, later run by Alice Banks</t>
  </si>
  <si>
    <t>Renton 447</t>
  </si>
  <si>
    <t>late report</t>
  </si>
  <si>
    <t>Forest Rec 404</t>
  </si>
  <si>
    <t>after 32 weeks</t>
  </si>
  <si>
    <t>1st run at Eastbourne, club record</t>
  </si>
  <si>
    <t>1st run at Eastbourne, club record (M)</t>
  </si>
  <si>
    <t>1st run at Higginson, park #29</t>
  </si>
  <si>
    <t>1st run at Higginson, park #33</t>
  </si>
  <si>
    <t>1st run at Higginson, park #43</t>
  </si>
  <si>
    <t>1st run at Higginson, park #18</t>
  </si>
  <si>
    <t>course pb, club rec (M)</t>
  </si>
  <si>
    <t>8th run at St Albans</t>
  </si>
  <si>
    <t>M-3, run #51, 32nd at Bedfont Lakes</t>
  </si>
  <si>
    <t>F-1, run #280, 128th at Bedfont Lakes</t>
  </si>
  <si>
    <t>run #489, 290t at Bedfont Lakes</t>
  </si>
  <si>
    <t>first run at Birkenhead, park #61</t>
  </si>
  <si>
    <t>first run at Birkenhead, park #70</t>
  </si>
  <si>
    <t>still walking (slowly)</t>
  </si>
  <si>
    <t>record attendance 687</t>
  </si>
  <si>
    <t>Leazes</t>
  </si>
  <si>
    <t>started 17/8/19</t>
  </si>
  <si>
    <t>The Old Showfield (Frome)</t>
  </si>
  <si>
    <t>Southwest</t>
  </si>
  <si>
    <t>Sippo</t>
  </si>
  <si>
    <t>Clermont W F</t>
  </si>
  <si>
    <t>Albert</t>
  </si>
  <si>
    <t>Amager Fælled</t>
  </si>
  <si>
    <t>Balyang Sanctuary</t>
  </si>
  <si>
    <t>Bramhall Park</t>
  </si>
  <si>
    <t>Burnham and Highbridge</t>
  </si>
  <si>
    <t>California Country</t>
  </si>
  <si>
    <t>Château de Pierre de Bresse</t>
  </si>
  <si>
    <t>Churchfields Farm</t>
  </si>
  <si>
    <t>Coldham’s Common</t>
  </si>
  <si>
    <t>Delaware and Raritan Canal</t>
  </si>
  <si>
    <t>Depot Park</t>
  </si>
  <si>
    <t>Fletcher’s Cove</t>
  </si>
  <si>
    <t>Foro Italico</t>
  </si>
  <si>
    <t>Futakotamagawa</t>
  </si>
  <si>
    <t>Gdańsk</t>
  </si>
  <si>
    <t>Georgengarten</t>
  </si>
  <si>
    <t>Heritage Harbor</t>
  </si>
  <si>
    <t>King’s Lynn</t>
  </si>
  <si>
    <t>Kraków</t>
  </si>
  <si>
    <t>la Ramée</t>
  </si>
  <si>
    <t>Lee-on-the-Solent</t>
  </si>
  <si>
    <t>Medina I.O.W.</t>
  </si>
  <si>
    <t>Mt Penang</t>
  </si>
  <si>
    <t>Pollok</t>
  </si>
  <si>
    <t>Shipley Country</t>
  </si>
  <si>
    <t>Sippo Lake</t>
  </si>
  <si>
    <t>Skatås</t>
  </si>
  <si>
    <t>Southwick Country Park</t>
  </si>
  <si>
    <t>Tollcross</t>
  </si>
  <si>
    <t>Tøyen</t>
  </si>
  <si>
    <t>Warszawa-Praga</t>
  </si>
  <si>
    <t>Westpark</t>
  </si>
  <si>
    <t>Zielona Góra</t>
  </si>
  <si>
    <t>Arrow Valley (Reddich)</t>
  </si>
  <si>
    <t>Mandavit(suspended Bordeaux)</t>
  </si>
  <si>
    <t>Hasenheide Volksparke Berlin</t>
  </si>
  <si>
    <t>Caffarella (Rome)</t>
  </si>
  <si>
    <t>Bushy Park - Dublin</t>
  </si>
  <si>
    <t>Father Collins - Dublin</t>
  </si>
  <si>
    <t>Malahide Dublin</t>
  </si>
  <si>
    <t>Marlay Dublin</t>
  </si>
  <si>
    <t>St Anne's Dublin</t>
  </si>
  <si>
    <t>Cassiobury Park (Watford)</t>
  </si>
  <si>
    <t>Pollock Park (Glasgow)</t>
  </si>
  <si>
    <t>Tollcross (Glasgow)</t>
  </si>
  <si>
    <t>Georgengarten Hanover</t>
  </si>
  <si>
    <t>Skatas Gothenburg</t>
  </si>
  <si>
    <t>Medina Isle of Wight</t>
  </si>
  <si>
    <t>Westpark Munich</t>
  </si>
  <si>
    <t>Torbay</t>
  </si>
  <si>
    <t>Great River Race</t>
  </si>
  <si>
    <t>add 600</t>
  </si>
  <si>
    <t>TBV</t>
  </si>
  <si>
    <t>Torbay Velodrome</t>
  </si>
  <si>
    <t>E Warrb' - Brown</t>
  </si>
  <si>
    <t>E Warb' - Brown</t>
  </si>
  <si>
    <t>Brickfields</t>
  </si>
  <si>
    <t>Aylesbury #294</t>
  </si>
  <si>
    <t>Bedfont Lakes #523</t>
  </si>
  <si>
    <t>Black Park #534</t>
  </si>
  <si>
    <t>Brickfields #84</t>
  </si>
  <si>
    <t>Bushy Park #803</t>
  </si>
  <si>
    <t>California Country #27</t>
  </si>
  <si>
    <t>Cardiff #611</t>
  </si>
  <si>
    <t>Cranleigh #261</t>
  </si>
  <si>
    <t>Darlington South Park #349</t>
  </si>
  <si>
    <t>Deerpark, Carlanstown #38</t>
  </si>
  <si>
    <t>Exmouth #87</t>
  </si>
  <si>
    <t>Frimley Lodge #496</t>
  </si>
  <si>
    <t>Guildford #365</t>
  </si>
  <si>
    <t>Gunnersbury #401</t>
  </si>
  <si>
    <t>Harlow #254</t>
  </si>
  <si>
    <t>Harrow #224</t>
  </si>
  <si>
    <t>Hazelwood #75</t>
  </si>
  <si>
    <t>Higginson, Marlow #49</t>
  </si>
  <si>
    <t>Killerton #431</t>
  </si>
  <si>
    <t>Mile End #394</t>
  </si>
  <si>
    <t>Northala Fields #272</t>
  </si>
  <si>
    <t>Old Deer Park #455</t>
  </si>
  <si>
    <t>Osterley #306</t>
  </si>
  <si>
    <t>Prospect #61</t>
  </si>
  <si>
    <t>Richmond Park #628</t>
  </si>
  <si>
    <t>Woking #249</t>
  </si>
  <si>
    <t>Wycombe Rye #363</t>
  </si>
  <si>
    <t>1st run at Mile End</t>
  </si>
  <si>
    <t>1st run at Wycombe Rye</t>
  </si>
  <si>
    <t>Sunny Hill (Hendon) #22</t>
  </si>
  <si>
    <t>Leazes (Newcastle)  #2</t>
  </si>
  <si>
    <t>1st run at California Country, park #</t>
  </si>
  <si>
    <t>M-6, 1st run at Cranleigh, park #, club rec</t>
  </si>
  <si>
    <t>F-1, 1st run at Cranleigh, park # club rec(F)</t>
  </si>
  <si>
    <t>1st run at Deerpark, park # ,Bapark #</t>
  </si>
  <si>
    <t>former member, 12th run at Exmouth</t>
  </si>
  <si>
    <t>New member, run #130, 123rd at Black Park</t>
  </si>
  <si>
    <t>BST 0930</t>
  </si>
  <si>
    <t>BST 0900</t>
  </si>
  <si>
    <t>Leazes (Newcastle)</t>
  </si>
  <si>
    <t>Brickfields (Dublin)</t>
  </si>
  <si>
    <t>Deerpark, Carlanstown Co Meath)</t>
  </si>
  <si>
    <t>LEZ</t>
  </si>
  <si>
    <t>1st run at Leazes, park #51, BApark #517</t>
  </si>
  <si>
    <t>1st run at Darlington Sth, park #10, BApark #518</t>
  </si>
  <si>
    <t>run #130, 1st at Frimley Lodge</t>
  </si>
  <si>
    <t>M-2, 1st run at Sunny Hill, park #88</t>
  </si>
  <si>
    <t>1st run at Sunnyhill, park #281</t>
  </si>
  <si>
    <t>1st run at Old Deer Park, park #43</t>
  </si>
  <si>
    <t>run #55, 53rd at Richmond Park</t>
  </si>
  <si>
    <t>run #323, 1st at Prospect, park #71</t>
  </si>
  <si>
    <t>run #368, 6th at Higginson Marlow</t>
  </si>
  <si>
    <t>assisted wheelchair rider</t>
  </si>
  <si>
    <t>provides wheelchair assistance</t>
  </si>
  <si>
    <t>DPC</t>
  </si>
  <si>
    <t>Dublin - Brickfields</t>
  </si>
  <si>
    <t>DBF</t>
  </si>
  <si>
    <t>Deerpark</t>
  </si>
  <si>
    <t>1st run since July 2018</t>
  </si>
  <si>
    <t>1st run at Aylesbury, park #38</t>
  </si>
  <si>
    <t>5th run at Guildford</t>
  </si>
  <si>
    <t>1st run at Harlow, park #110</t>
  </si>
  <si>
    <t>67 on 24 August</t>
  </si>
  <si>
    <t>54 on 24 Aug</t>
  </si>
  <si>
    <t>exp 70 on 21 Sep</t>
  </si>
  <si>
    <t>73 on 24 Aug</t>
  </si>
  <si>
    <t>143rd run at Woking (5th anniversary last week)</t>
  </si>
  <si>
    <t>run #130, 1st at Frimley Lodge, park #15</t>
  </si>
  <si>
    <t>first timers briefing &amp; number checker</t>
  </si>
  <si>
    <t>1st run at Moors Valley, park #17, club rec</t>
  </si>
  <si>
    <t>49 on 24 August</t>
  </si>
  <si>
    <t>50 om 25 August</t>
  </si>
  <si>
    <t>61 on 24 Aug (cx 31 Aug)</t>
  </si>
  <si>
    <t>WI 15</t>
  </si>
  <si>
    <t>WI 16</t>
  </si>
  <si>
    <t>Richmond Ol</t>
  </si>
  <si>
    <t>Richmond Olympic (YVR)</t>
  </si>
  <si>
    <t>Same position but better age grade than previous run there</t>
  </si>
  <si>
    <t>PB by 13 seconds.</t>
  </si>
  <si>
    <t>PB by 1:34</t>
  </si>
  <si>
    <t>PB by 21 seconds</t>
  </si>
  <si>
    <t>Cameron</t>
  </si>
  <si>
    <t xml:space="preserve">Dave  </t>
  </si>
  <si>
    <t xml:space="preserve">Fraser  </t>
  </si>
  <si>
    <t>SBN</t>
  </si>
  <si>
    <t>Sloughbottom (Norwich)</t>
  </si>
  <si>
    <t>Bedfont Lakes #524</t>
  </si>
  <si>
    <t>Braunstone #460</t>
  </si>
  <si>
    <t>Bromley #500</t>
  </si>
  <si>
    <t>Bushy Park  #804</t>
  </si>
  <si>
    <t>Castle Demense #313</t>
  </si>
  <si>
    <t>Cirencester #81</t>
  </si>
  <si>
    <t>Clapham Common #67</t>
  </si>
  <si>
    <t>Crane Park #385</t>
  </si>
  <si>
    <t>Dinton Pastures #61</t>
  </si>
  <si>
    <t>Exmouth #88</t>
  </si>
  <si>
    <t>Frimley Lodge #497</t>
  </si>
  <si>
    <t>Fulham Palace #309</t>
  </si>
  <si>
    <t>Gunnersbury #402</t>
  </si>
  <si>
    <t>Hanworth #18</t>
  </si>
  <si>
    <t>Harrow #225</t>
  </si>
  <si>
    <t>Hazelwood #76</t>
  </si>
  <si>
    <t>Higginson, Marlow #50</t>
  </si>
  <si>
    <t>Homewood #152</t>
  </si>
  <si>
    <t>Keswick #274</t>
  </si>
  <si>
    <t>Northala Fields #273</t>
  </si>
  <si>
    <t>Osterley #434</t>
  </si>
  <si>
    <t>Reading #498</t>
  </si>
  <si>
    <t>Richmond Park #629</t>
  </si>
  <si>
    <t>Salisbury #224</t>
  </si>
  <si>
    <t>Sloughbottom #17</t>
  </si>
  <si>
    <t>St Albans #404</t>
  </si>
  <si>
    <t>Victoria Dock #69</t>
  </si>
  <si>
    <t>Woking #250</t>
  </si>
  <si>
    <t>assisted</t>
  </si>
  <si>
    <t>record attendance of 942</t>
  </si>
  <si>
    <t>run #491, 2nd at Bromley</t>
  </si>
  <si>
    <t>run #370, 2nd at Bromley</t>
  </si>
  <si>
    <t>run #233, 6th at Homewood</t>
  </si>
  <si>
    <t>PB by 17 seconds (and Run Report)</t>
  </si>
  <si>
    <t>F-4, best agegrade score at Frimley Lodge</t>
  </si>
  <si>
    <t>best agegrade score at Frimley Lodge</t>
  </si>
  <si>
    <t>new member, parkrun debut</t>
  </si>
  <si>
    <t>run #131, 6th at Fulham Palace</t>
  </si>
  <si>
    <t>1st run at Sloughbottom, park #63</t>
  </si>
  <si>
    <t>1st run at Sloughbottom, park #72</t>
  </si>
  <si>
    <t>F-3, missed  pb by 10 seconds</t>
  </si>
  <si>
    <t>run #70, 29th at Bushy Park</t>
  </si>
  <si>
    <t>Fraser</t>
  </si>
  <si>
    <t>run #124, 44th at Salisbury</t>
  </si>
  <si>
    <t>1st run at Victoria Dock, park #44</t>
  </si>
  <si>
    <t>9th run at St Albans</t>
  </si>
  <si>
    <t>still walking</t>
  </si>
  <si>
    <t>1st run at Clapham Common, park #29</t>
  </si>
  <si>
    <t>1st run at Dinton Pastures, park #72</t>
  </si>
  <si>
    <t>paced Jakob (age 8) to pb</t>
  </si>
  <si>
    <t>run #362, 297th at Bedfont Lakes</t>
  </si>
  <si>
    <t>run #45, 32nd at Bedfont Lakes</t>
  </si>
  <si>
    <t>run #206, 165th at Bedfont Lakes</t>
  </si>
  <si>
    <t>run #17, 6th at Bedfont Lakes</t>
  </si>
  <si>
    <t>alias MIKHAYLINA</t>
  </si>
  <si>
    <t>started 31/8/19</t>
  </si>
  <si>
    <t>Dean Castle</t>
  </si>
  <si>
    <t>Stratford Park, Stroud</t>
  </si>
  <si>
    <t>Mallards Pike, Lydney</t>
  </si>
  <si>
    <t>Alderford Lake, Whitchurch</t>
  </si>
  <si>
    <t>or train to Wandsworth plus bike</t>
  </si>
  <si>
    <t>Whinlatter Forest</t>
  </si>
  <si>
    <t>Bedfont Lakes #525</t>
  </si>
  <si>
    <t>Brooklands #41</t>
  </si>
  <si>
    <t>Crane Park #386</t>
  </si>
  <si>
    <t>Harrow #226</t>
  </si>
  <si>
    <t>Hasenheide #89</t>
  </si>
  <si>
    <t>Hazelwood #77</t>
  </si>
  <si>
    <t>Osterley #308</t>
  </si>
  <si>
    <t>Peterborough #324</t>
  </si>
  <si>
    <t>Reading #499</t>
  </si>
  <si>
    <t>Richmond Park #630</t>
  </si>
  <si>
    <t>Salisbury #225</t>
  </si>
  <si>
    <t>Sittingbourne #183</t>
  </si>
  <si>
    <t>Whinlatter Forest #84</t>
  </si>
  <si>
    <t>Woking #251</t>
  </si>
  <si>
    <t>Wycombe Rye #365</t>
  </si>
  <si>
    <t>WFB</t>
  </si>
  <si>
    <t>Whinlatter Forest (Braithwaite)</t>
  </si>
  <si>
    <t>run #383, park #38, BA park #523</t>
  </si>
  <si>
    <t>Milford Waterfront</t>
  </si>
  <si>
    <t>started 7/9/19</t>
  </si>
  <si>
    <t>run #24, 9th at Sittingbourne, parkrun pb</t>
  </si>
  <si>
    <t>F-1, run #282, 129th at Bedfont Lakes</t>
  </si>
  <si>
    <r>
      <t>run #100,</t>
    </r>
    <r>
      <rPr>
        <sz val="10"/>
        <rFont val="Arial"/>
        <family val="2"/>
      </rPr>
      <t xml:space="preserve"> 6th at Hasenheide</t>
    </r>
  </si>
  <si>
    <t>7th run at Brooklands</t>
  </si>
  <si>
    <t>298th run at Bedfont Lakes</t>
  </si>
  <si>
    <t>run #492, 292nd at Bedfont Lakes</t>
  </si>
  <si>
    <t>149th run at Bedfont Lakes</t>
  </si>
  <si>
    <t>157th run at Bedfont Lakes</t>
  </si>
  <si>
    <t>run #102, 8th at Peterborough</t>
  </si>
  <si>
    <t>71st run at Woking</t>
  </si>
  <si>
    <t>VI guide</t>
  </si>
  <si>
    <t>Mount Stuart (Isle of Bute)</t>
  </si>
  <si>
    <t>cfp Upton Court</t>
  </si>
  <si>
    <t>BAB</t>
  </si>
  <si>
    <t>Southeast</t>
  </si>
  <si>
    <t>Squerryes Winery</t>
  </si>
  <si>
    <t>Squerryes Winery (Westerham)</t>
  </si>
  <si>
    <t>Hazelwood #78 6</t>
  </si>
  <si>
    <t>WI 17</t>
  </si>
  <si>
    <t>remaining</t>
  </si>
  <si>
    <t>Nautical</t>
  </si>
  <si>
    <t>Babbs Mill #7</t>
  </si>
  <si>
    <t>Bedfont Lakes #526</t>
  </si>
  <si>
    <t>Betty’s Bay #77</t>
  </si>
  <si>
    <t>Black Park #537</t>
  </si>
  <si>
    <t>Brooklands #42</t>
  </si>
  <si>
    <t>Bushy Park #806</t>
  </si>
  <si>
    <t>Crane Park #387</t>
  </si>
  <si>
    <t>Dishley, Loughborough #62</t>
  </si>
  <si>
    <t>Feltham #29</t>
  </si>
  <si>
    <t>Fulham Palace #310</t>
  </si>
  <si>
    <t>Gunnersbury #404</t>
  </si>
  <si>
    <t>Hackney Marshes #482</t>
  </si>
  <si>
    <t>Hanworth #20</t>
  </si>
  <si>
    <t>Harrow #227</t>
  </si>
  <si>
    <t>Hazelwood #78</t>
  </si>
  <si>
    <t>Kingston #498</t>
  </si>
  <si>
    <t>Maidenhead #233</t>
  </si>
  <si>
    <t>Manor Field, Whittlesey#55</t>
  </si>
  <si>
    <t>Mole Valley #81</t>
  </si>
  <si>
    <t>Osterley #309</t>
  </si>
  <si>
    <t>Prospect #63</t>
  </si>
  <si>
    <t>Reading #500</t>
  </si>
  <si>
    <t>Salisbury #148</t>
  </si>
  <si>
    <t>St Albans #406</t>
  </si>
  <si>
    <t>Tilgate #383</t>
  </si>
  <si>
    <t>Tring #265</t>
  </si>
  <si>
    <t>Woking #131</t>
  </si>
  <si>
    <t>Wycombe Rye #533</t>
  </si>
  <si>
    <t>Nautical #14</t>
  </si>
  <si>
    <t>NAU</t>
  </si>
  <si>
    <t>Nautical (Ontario)</t>
  </si>
  <si>
    <t>BYB</t>
  </si>
  <si>
    <t>Betty's Bay</t>
  </si>
  <si>
    <t xml:space="preserve">Adrian  </t>
  </si>
  <si>
    <t>RoderickHoffman</t>
  </si>
  <si>
    <t>Babbs Mill (West Midlands)</t>
  </si>
  <si>
    <t>Nautical (Western Cape)</t>
  </si>
  <si>
    <t>Betty's Bay (Western Cape)</t>
  </si>
  <si>
    <t>BA Park #524</t>
  </si>
  <si>
    <t>run #13, park #13, BA park #526</t>
  </si>
  <si>
    <t>BA Park #525, park #111</t>
  </si>
  <si>
    <t>BA Park #525, park #282</t>
  </si>
  <si>
    <t>M-6, run #47, 34th at Bedfont Lakes</t>
  </si>
  <si>
    <t>pacing Teresa</t>
  </si>
  <si>
    <t>run #336, 302nd at Black Park</t>
  </si>
  <si>
    <t>pacing Jakob</t>
  </si>
  <si>
    <t>run #2, pb by 2:36</t>
  </si>
  <si>
    <t>run #393</t>
  </si>
  <si>
    <t>run #117, 1st at Kingston, park #26</t>
  </si>
  <si>
    <t>run #173, 1st at Kingston, park #31</t>
  </si>
  <si>
    <t>run #58, 1st at Kingston, park #16</t>
  </si>
  <si>
    <t>F-1, club record, run #283, 1st at Feltham</t>
  </si>
  <si>
    <t>run #568, 302nd at Gunnersbury</t>
  </si>
  <si>
    <t>run #371, 2nd at Feltham YOI</t>
  </si>
  <si>
    <t>run #493, 2nd at Feltham YOI</t>
  </si>
  <si>
    <t>run #326, 2nd at Feltham YOI</t>
  </si>
  <si>
    <t>run #132, 7th at Fulham Palace, parkrun pb</t>
  </si>
  <si>
    <t>run #246, 165th at Gunnersbury</t>
  </si>
  <si>
    <t>course rec James Shoulder 19:42</t>
  </si>
  <si>
    <t>M-7, first run at Hackney Marshes this year</t>
  </si>
  <si>
    <t>M-3, course pb (by 4 seconds)</t>
  </si>
  <si>
    <t>run #150, best age grade score since 2016</t>
  </si>
  <si>
    <t>fastest of 10 most recent parkruns</t>
  </si>
  <si>
    <t>record attendance of 622</t>
  </si>
  <si>
    <t>almost 100 more than previous record of 526</t>
  </si>
  <si>
    <t>M-4, course pb (by 20 secs), club record</t>
  </si>
  <si>
    <t>pb by 37 seconds</t>
  </si>
  <si>
    <t>pw by 5 minutes</t>
  </si>
  <si>
    <t>run #6, park #6, only parkrun of 2019 ?</t>
  </si>
  <si>
    <t>M-7 run #52, 33rd at Tilgate, best parkrun this year</t>
  </si>
  <si>
    <t>13th run at Tring, best agegrade%</t>
  </si>
  <si>
    <t>2nd best run at St Albans</t>
  </si>
  <si>
    <t>3rd best of 46 runs at Salisbury</t>
  </si>
  <si>
    <t>2nd run at Mole Valley, pb by 100 seconds</t>
  </si>
  <si>
    <t>run #159, 144th at Woking</t>
  </si>
  <si>
    <t>89th run at Wycombe Rye</t>
  </si>
  <si>
    <t>run #370, 6th at Hazelwood</t>
  </si>
  <si>
    <t>run #317, 41st At Crane Park</t>
  </si>
  <si>
    <t>run #101, 20th at Manor Field</t>
  </si>
  <si>
    <t>Castle Howard</t>
  </si>
  <si>
    <t>started 14/9/19</t>
  </si>
  <si>
    <t>King George V playing Field</t>
  </si>
  <si>
    <t>run #18, 1st at Dishley, park #6</t>
  </si>
  <si>
    <t>Sarah Gordon club rec(F) 31:28</t>
  </si>
  <si>
    <t>Barry Walters holds club rec with 22:49</t>
  </si>
  <si>
    <t>TN16 1QP</t>
  </si>
  <si>
    <t>car ?</t>
  </si>
  <si>
    <t>35 miles by car  A3, A240, A217, M25</t>
  </si>
  <si>
    <t>RH11 8FN</t>
  </si>
  <si>
    <t>car/bike?</t>
  </si>
  <si>
    <t xml:space="preserve">41 miles by road </t>
  </si>
  <si>
    <t>Ifield Mill Pond (nr Crawley)</t>
  </si>
  <si>
    <t>Houghton #90 (113)</t>
  </si>
  <si>
    <t>Jonathan Cox ran at Richmond Olympic (Vancouver) after he had resigned (not accounted for)</t>
  </si>
  <si>
    <t>run #70, 59th at Curl Curl</t>
  </si>
  <si>
    <t>Curl Curl #336</t>
  </si>
  <si>
    <t>3rd of 211 in WV55-59 age group with 22:22</t>
  </si>
  <si>
    <t>WI 18</t>
  </si>
  <si>
    <t>Houghton H</t>
  </si>
  <si>
    <t>not far from M1 (A505 jct 11 or 11a)</t>
  </si>
  <si>
    <t>free parking</t>
  </si>
  <si>
    <t>Roderick's other sister</t>
  </si>
  <si>
    <t>Ruimsig</t>
  </si>
  <si>
    <t>RUI</t>
  </si>
  <si>
    <t>Kruger</t>
  </si>
  <si>
    <t>Lowveld</t>
  </si>
  <si>
    <t>Rand</t>
  </si>
  <si>
    <t>Ruimsig (West Rand)</t>
  </si>
  <si>
    <t xml:space="preserve">Charlotte  </t>
  </si>
  <si>
    <t>Bedfont Lakes #527</t>
  </si>
  <si>
    <t>Black Park #538</t>
  </si>
  <si>
    <t>Bracknell #237</t>
  </si>
  <si>
    <t>Braunstone #463</t>
  </si>
  <si>
    <t>Brooklands #43</t>
  </si>
  <si>
    <t>Bushy Park #807</t>
  </si>
  <si>
    <t>Conkers #451</t>
  </si>
  <si>
    <t>Crystal Palace #453</t>
  </si>
  <si>
    <t>Gunnersbury #405</t>
  </si>
  <si>
    <t>Hanworth #21</t>
  </si>
  <si>
    <t>Harrow #228</t>
  </si>
  <si>
    <t>Hazelwood #79</t>
  </si>
  <si>
    <t>Houghton Hall #90</t>
  </si>
  <si>
    <t>March #186</t>
  </si>
  <si>
    <t>Osterley #310</t>
  </si>
  <si>
    <t>Reading #501</t>
  </si>
  <si>
    <t>Rickmansworth #133</t>
  </si>
  <si>
    <t>run #371, park #113</t>
  </si>
  <si>
    <t>Pre Serpentine Swim</t>
  </si>
  <si>
    <t>stop watch Bingo 100%</t>
  </si>
  <si>
    <t>M-6, run #385, 9th at Bedfont</t>
  </si>
  <si>
    <t>run #48, 35th at Bedfont Lakes</t>
  </si>
  <si>
    <t>run #364, 299th at Bedfont Lakes</t>
  </si>
  <si>
    <t>run #318, 249th at Bedfont Lakes</t>
  </si>
  <si>
    <t>run #494, 293rd at Bedfont Lakes</t>
  </si>
  <si>
    <t xml:space="preserve">paced by Ian Cockram </t>
  </si>
  <si>
    <t>2nd run at Bedfont Lakes</t>
  </si>
  <si>
    <t>211th run at Bedfont Lakes</t>
  </si>
  <si>
    <t>running with Chloe (JW10)</t>
  </si>
  <si>
    <t>(assisted)</t>
  </si>
  <si>
    <t>Ruimsig #53 (ZA)</t>
  </si>
  <si>
    <t>1st run at Ruimsig, BA park #527</t>
  </si>
  <si>
    <t>run #192, 1st at Black Park this year</t>
  </si>
  <si>
    <t>20th run at Black Park this year</t>
  </si>
  <si>
    <t>run #79, 4th at Bracknell</t>
  </si>
  <si>
    <t>run #43, 13th at Rickmansworth</t>
  </si>
  <si>
    <t>run #21, 8th at Rickmansworth</t>
  </si>
  <si>
    <t>run #42, 41st at Reading</t>
  </si>
  <si>
    <t>run #269, 268th at Reading</t>
  </si>
  <si>
    <t>run #19, 1st at Osterley</t>
  </si>
  <si>
    <t>run #569, 37th at Osterley</t>
  </si>
  <si>
    <t>run #160, 8th at Brooklands</t>
  </si>
  <si>
    <t>run #127, 1st at Braunstone, park #20</t>
  </si>
  <si>
    <t>run #241, 4th at Conkers</t>
  </si>
  <si>
    <t>run #102, 61st at March</t>
  </si>
  <si>
    <t>run #345, 65th at Hazelwood</t>
  </si>
  <si>
    <t>run #244, 2nd at Hanworth</t>
  </si>
  <si>
    <t>run #394, 315th at Bushy</t>
  </si>
  <si>
    <t>best parkrun of 2019</t>
  </si>
  <si>
    <t>one second slower than last week</t>
  </si>
  <si>
    <t>Micheal</t>
  </si>
  <si>
    <t>run #237, 150th at Bedfont Lakes</t>
  </si>
  <si>
    <t>still walking, 350th time at Reading</t>
  </si>
  <si>
    <t>Brynaman</t>
  </si>
  <si>
    <t>started 21/9/19</t>
  </si>
  <si>
    <t>Clevedon Salthouse Fields</t>
  </si>
  <si>
    <t>1st run at Crystal Palace, club rec(F), park #45</t>
  </si>
  <si>
    <t>Ruimsig (ZA)</t>
  </si>
  <si>
    <t xml:space="preserve"> (#49)  368</t>
  </si>
  <si>
    <t xml:space="preserve">   (#67)   369</t>
  </si>
  <si>
    <t xml:space="preserve">  (#78)   370</t>
  </si>
  <si>
    <t xml:space="preserve">    (#90)   371</t>
  </si>
  <si>
    <t>Fulham</t>
  </si>
  <si>
    <t>Fairview</t>
  </si>
  <si>
    <t>SL3 7LX</t>
  </si>
  <si>
    <t>Bedfont Lakes #528</t>
  </si>
  <si>
    <t>Black Park #539</t>
  </si>
  <si>
    <t>Braunstone #464</t>
  </si>
  <si>
    <t>Crane Park #389</t>
  </si>
  <si>
    <t>Dulwich #397</t>
  </si>
  <si>
    <t>Fairview #113</t>
  </si>
  <si>
    <t>Frimley Lodge #501</t>
  </si>
  <si>
    <t>Guildford #370</t>
  </si>
  <si>
    <t>Gunnersbury #406</t>
  </si>
  <si>
    <t>Harrow #229</t>
  </si>
  <si>
    <t>Hasenheide #92</t>
  </si>
  <si>
    <t>Hazelwood #80</t>
  </si>
  <si>
    <t>Lanhydrock #294</t>
  </si>
  <si>
    <t>Maidenhead #235</t>
  </si>
  <si>
    <t>Reading #502</t>
  </si>
  <si>
    <t>Richmond Park #633</t>
  </si>
  <si>
    <t>Upton Court #351</t>
  </si>
  <si>
    <t>Weedon Island Preserve #20</t>
  </si>
  <si>
    <t>Woking #254</t>
  </si>
  <si>
    <t>Applecross #128</t>
  </si>
  <si>
    <t>DFV</t>
  </si>
  <si>
    <t>Dublin - Fairview</t>
  </si>
  <si>
    <t>21' pacer</t>
  </si>
  <si>
    <t>Berlin marathon weekend</t>
  </si>
  <si>
    <t>Perth (AU),  former member</t>
  </si>
  <si>
    <t>wheelchair assisted, course pb</t>
  </si>
  <si>
    <t>run #80, 11th at Upton Court</t>
  </si>
  <si>
    <t>run #109, 9th at Upton Court</t>
  </si>
  <si>
    <t>4th run at Upton Court</t>
  </si>
  <si>
    <t>first time at Richmond Park, park #49</t>
  </si>
  <si>
    <t>Natalie Ruffell holds all genders club record with 20:44</t>
  </si>
  <si>
    <t>new course, same time as last week, park #46</t>
  </si>
  <si>
    <t>run #248, first ever at Upton Court, park #43</t>
  </si>
  <si>
    <t>run #570. 303rd at Gunnersbury</t>
  </si>
  <si>
    <t>damp and windy, 2019 sb</t>
  </si>
  <si>
    <t>run #59, 1st at Lanhydrock, park #17</t>
  </si>
  <si>
    <t>M-8, 6 secs away from course pb</t>
  </si>
  <si>
    <t>run #245, 204th at Crane Park</t>
  </si>
  <si>
    <t>run #174, 33rd at Frimley</t>
  </si>
  <si>
    <t>run #118, 25th at Frimley</t>
  </si>
  <si>
    <t>66th time at Hazelwood</t>
  </si>
  <si>
    <t>run #161, 145th at Woking</t>
  </si>
  <si>
    <t>83rd run at Maidenhead</t>
  </si>
  <si>
    <t>87th run at Maidenhead</t>
  </si>
  <si>
    <t>run #395, 1st at Hasenheide, park #45</t>
  </si>
  <si>
    <t>run #58, 1st outside England, park #4</t>
  </si>
  <si>
    <t>Warwick Racecourse</t>
  </si>
  <si>
    <t>run #292, 6th at Guildford</t>
  </si>
  <si>
    <t>BA park #528, 1st run in Ireland, park #73</t>
  </si>
  <si>
    <t>best time at Braunstone this year</t>
  </si>
  <si>
    <t>WIP</t>
  </si>
  <si>
    <t>Weedon Island Preserve</t>
  </si>
  <si>
    <t>Eddie Ketterick</t>
  </si>
  <si>
    <t>run #3, park #2, BA park #529</t>
  </si>
  <si>
    <t>former member, marshal</t>
  </si>
  <si>
    <t>Weedon Island</t>
  </si>
  <si>
    <t>Weedon Island Preserve (Fl)</t>
  </si>
  <si>
    <t>Fairview (Dublin)</t>
  </si>
  <si>
    <t>M-6, run #385, 9th at Bedfont Lakes</t>
  </si>
  <si>
    <t>Neckaruger, Esslingen, Stuttgart</t>
  </si>
  <si>
    <t>Neckarufar, Esslingen (Stuttgart)</t>
  </si>
  <si>
    <t>Neckarufer #27 (Stuttgart)</t>
  </si>
  <si>
    <t>German reunification celebration (30 years)</t>
  </si>
  <si>
    <t>NEK</t>
  </si>
  <si>
    <t>ODP 400</t>
  </si>
  <si>
    <t>West Park #38</t>
  </si>
  <si>
    <t>WI 19</t>
  </si>
  <si>
    <t>event set up</t>
  </si>
  <si>
    <t>Ifield Mill Pond</t>
  </si>
  <si>
    <t>Inverness</t>
  </si>
  <si>
    <t>Banstead Woods #646</t>
  </si>
  <si>
    <t>Bedfont Lakes #529</t>
  </si>
  <si>
    <t>Bedworth #83</t>
  </si>
  <si>
    <t>Black Park #540</t>
  </si>
  <si>
    <t>Brooklands #45</t>
  </si>
  <si>
    <t>Bushy Park #809</t>
  </si>
  <si>
    <t>Crane Park #390</t>
  </si>
  <si>
    <t>Globe #2</t>
  </si>
  <si>
    <t>Guildford #371</t>
  </si>
  <si>
    <t>Gunnersbury #407</t>
  </si>
  <si>
    <t>Hazelwood #81</t>
  </si>
  <si>
    <t>Higginson, Marlow #55</t>
  </si>
  <si>
    <t>Hilly Fields #376</t>
  </si>
  <si>
    <t>Hove Promenade #212</t>
  </si>
  <si>
    <t>Hyde #144</t>
  </si>
  <si>
    <t>Inverness #414</t>
  </si>
  <si>
    <t>Jersey Farm #47</t>
  </si>
  <si>
    <t>March #188</t>
  </si>
  <si>
    <t>Nidda (Frankfurt) #92</t>
  </si>
  <si>
    <t>Northala Fields #278</t>
  </si>
  <si>
    <t>Reading #503</t>
  </si>
  <si>
    <t>Riddlesdown #449</t>
  </si>
  <si>
    <t>Salisbury #229</t>
  </si>
  <si>
    <t>Sittingbourne #187</t>
  </si>
  <si>
    <t>Ifield Mill Pond #3</t>
  </si>
  <si>
    <t xml:space="preserve">Ralph  </t>
  </si>
  <si>
    <t>IMP</t>
  </si>
  <si>
    <t>Globe, Schwabisch</t>
  </si>
  <si>
    <t>Nidda, Frankfurt</t>
  </si>
  <si>
    <t>Paul Watt holds club rec with 22:12</t>
  </si>
  <si>
    <t>run #14, park #14</t>
  </si>
  <si>
    <t>BST 0800</t>
  </si>
  <si>
    <t>NIF</t>
  </si>
  <si>
    <t>GLB</t>
  </si>
  <si>
    <t>Club parkrun 3rd August 2013, 28th Sept 2019</t>
  </si>
  <si>
    <t>Wilson Index advances to 50</t>
  </si>
  <si>
    <t>F-1, course pb, club record(F)</t>
  </si>
  <si>
    <t>M-5, course pb, club record</t>
  </si>
  <si>
    <t>run #50, 37th at Bedfont</t>
  </si>
  <si>
    <t>run #495, 294th at Bedfont Lakes</t>
  </si>
  <si>
    <t>run #18, 7th at Bedfont Lakes</t>
  </si>
  <si>
    <t>run #243, 2nd at Bedworth (pb), club rec(F)</t>
  </si>
  <si>
    <t>run #365, 9th at Black Park</t>
  </si>
  <si>
    <t>run #339, 305th at Black Park, pacer coordinator</t>
  </si>
  <si>
    <t>44th run at Black park, first of 2019</t>
  </si>
  <si>
    <t>run #175, 3rd at Brooklands</t>
  </si>
  <si>
    <t>run #119, 4th at Brooklands, course pb</t>
  </si>
  <si>
    <t>run #235, 6th at Brooklands, course pb</t>
  </si>
  <si>
    <t>run #246, 205th at Crane Park</t>
  </si>
  <si>
    <t>1838 runners at Bushy Park today</t>
  </si>
  <si>
    <t>all time high is 2011 on Xmas Day 2018</t>
  </si>
  <si>
    <t>run #387, 274th at Bushy</t>
  </si>
  <si>
    <t>run #72, 69th at Bushy</t>
  </si>
  <si>
    <t>run #396, 316th at Bushy Park</t>
  </si>
  <si>
    <t>Lufthansa pensioner</t>
  </si>
  <si>
    <t>run #238, 1st at Hyde</t>
  </si>
  <si>
    <t>Globe</t>
  </si>
  <si>
    <t>Nidda (Franfurt)</t>
  </si>
  <si>
    <t>run #330, park #75, BA park #531, club rec</t>
  </si>
  <si>
    <t>run #367, park #284, BA park #532, club rec</t>
  </si>
  <si>
    <t>M-4, run #52, park #11, BA park #533, club rec</t>
  </si>
  <si>
    <t>run #293, 7th at Guildford</t>
  </si>
  <si>
    <t>California 4th May missing</t>
  </si>
  <si>
    <t>run #60, 33rd at Banstead Woods, 2019sb</t>
  </si>
  <si>
    <t>run #73, 43rd at Gunnersbury</t>
  </si>
  <si>
    <t>run #347, 67th at Hazelwood</t>
  </si>
  <si>
    <t>run #151, 13th at Higginson Marlow</t>
  </si>
  <si>
    <t>run #299, 1st at Hilly Fields, park #47</t>
  </si>
  <si>
    <t>run '318, 1st at Hove Promenade, park #20</t>
  </si>
  <si>
    <t>run #103, 62nd at March</t>
  </si>
  <si>
    <t>run #121, 82nd at Northala Fields</t>
  </si>
  <si>
    <t>run #450, 351st run at Reading</t>
  </si>
  <si>
    <t>271st run at Reading</t>
  </si>
  <si>
    <t>43rd run at Reading</t>
  </si>
  <si>
    <t>47th run at Salisbury</t>
  </si>
  <si>
    <t>10th run at Sittingbourne</t>
  </si>
  <si>
    <t>run #59, park #5, BA park #534</t>
  </si>
  <si>
    <t>Hunstanton Promenade</t>
  </si>
  <si>
    <t>Cusworth Hall (Doncaster)</t>
  </si>
  <si>
    <t>started 5/10/19</t>
  </si>
  <si>
    <t>record attendance of 442 (previously 305)</t>
  </si>
  <si>
    <t>Youtube video shows flat narrow paths, two way traffic</t>
  </si>
  <si>
    <t>Neckarua</t>
  </si>
  <si>
    <t>University of Stirling</t>
  </si>
  <si>
    <t>starts 12/10/19</t>
  </si>
  <si>
    <t>Osterley #312</t>
  </si>
  <si>
    <t>Reading #504</t>
  </si>
  <si>
    <t>Harrow #231</t>
  </si>
  <si>
    <t>Leicester Victoria #200</t>
  </si>
  <si>
    <t>Bedfont Lakes #530</t>
  </si>
  <si>
    <t>Hazelwood #82</t>
  </si>
  <si>
    <t>Black Park #541</t>
  </si>
  <si>
    <t>Catford #76</t>
  </si>
  <si>
    <t>Pymmes #441</t>
  </si>
  <si>
    <t>Bushy Park #810</t>
  </si>
  <si>
    <t>Maidenhead #237</t>
  </si>
  <si>
    <t>Crane Park #391</t>
  </si>
  <si>
    <t>Hanworth #24</t>
  </si>
  <si>
    <t>St Albans #410</t>
  </si>
  <si>
    <t>Cirencester #87</t>
  </si>
  <si>
    <t>Burgess #358</t>
  </si>
  <si>
    <t>Groe #30</t>
  </si>
  <si>
    <t>former member, run #40</t>
  </si>
  <si>
    <t>former member, run #134</t>
  </si>
  <si>
    <t>Tøyen (Oslo) #91</t>
  </si>
  <si>
    <t>best time since 2017</t>
  </si>
  <si>
    <t>132nd run at Harrow</t>
  </si>
  <si>
    <t>run #496, course pb by 18 secs</t>
  </si>
  <si>
    <t>flat, out and back</t>
  </si>
  <si>
    <t>1st run at Burgess, park #81</t>
  </si>
  <si>
    <t>run #374, 7th at Osterley</t>
  </si>
  <si>
    <t>Jamaica Pond (Boston) #83</t>
  </si>
  <si>
    <t>pb by 9 minutes</t>
  </si>
  <si>
    <t>Anne (and Alan)</t>
  </si>
  <si>
    <t>run #151, 68th at Maidenhead</t>
  </si>
  <si>
    <t>2nd in agegrade league</t>
  </si>
  <si>
    <t>run #35, 19th at Cirencester</t>
  </si>
  <si>
    <t>run #247, 206th at Crane Park</t>
  </si>
  <si>
    <t>run #300,1st at Catford, park #48, club rec (F)</t>
  </si>
  <si>
    <t>run #571, 38th at Osterley</t>
  </si>
  <si>
    <t>4th run at Hanworth</t>
  </si>
  <si>
    <t>68th run at Hazelwood</t>
  </si>
  <si>
    <t>run #249. 2nd run at Jamaica Pond</t>
  </si>
  <si>
    <t>run #27, 11th at St Albans</t>
  </si>
  <si>
    <t>1st run in Norway, park #39, club rec (F)</t>
  </si>
  <si>
    <t>8th run at Pymmes, 52nd /100</t>
  </si>
  <si>
    <t>Gunnersbury #409</t>
  </si>
  <si>
    <t>Jesmond Dene</t>
  </si>
  <si>
    <t>Jubilee parkrun (Spennymoor)</t>
  </si>
  <si>
    <t>starts 19/10/19</t>
  </si>
  <si>
    <t>M-1, PB by 62 seconds, age cat rec</t>
  </si>
  <si>
    <t>Dace Dixon</t>
  </si>
  <si>
    <t>former BA staff/event director,CP10 entrant</t>
  </si>
  <si>
    <t>600 +</t>
  </si>
  <si>
    <t>after 34 weeks</t>
  </si>
  <si>
    <t>Vol (Gunsbury)</t>
  </si>
  <si>
    <t>FRED</t>
  </si>
  <si>
    <t>OLSEN</t>
  </si>
  <si>
    <t>F-2,</t>
  </si>
  <si>
    <t>Hanworth #25</t>
  </si>
  <si>
    <t>Hazelwood #83</t>
  </si>
  <si>
    <t>Sittingbourne #189</t>
  </si>
  <si>
    <t>Salisbury #231</t>
  </si>
  <si>
    <t>Osterley #313</t>
  </si>
  <si>
    <t>Southwark #309</t>
  </si>
  <si>
    <t>Crane Park #392</t>
  </si>
  <si>
    <t>Wycombe Rye #371</t>
  </si>
  <si>
    <t>Minehead #164</t>
  </si>
  <si>
    <t>Beckenham Place #154</t>
  </si>
  <si>
    <t>Guildford #373</t>
  </si>
  <si>
    <t>Harrow #232</t>
  </si>
  <si>
    <t>Reading #505</t>
  </si>
  <si>
    <t>Bedfont Lakes #531</t>
  </si>
  <si>
    <t>Richmond #636</t>
  </si>
  <si>
    <t>Fulham Palace #315</t>
  </si>
  <si>
    <t>Homewood #159</t>
  </si>
  <si>
    <t>Leicester Victoria #201</t>
  </si>
  <si>
    <t>Woking #257</t>
  </si>
  <si>
    <t>Dawson</t>
  </si>
  <si>
    <t>Alan &amp; Anne</t>
  </si>
  <si>
    <t>M-6, run #388, 6th at Osterley</t>
  </si>
  <si>
    <t>run #572, 39th at Osterley</t>
  </si>
  <si>
    <t>run #4, parkrun pb</t>
  </si>
  <si>
    <t>1st run at Minehead</t>
  </si>
  <si>
    <t>M-6, 1st run at Minehead</t>
  </si>
  <si>
    <t>2nd / 142 in age category at Minehead</t>
  </si>
  <si>
    <t>run #301, 1st at Beckenham Place</t>
  </si>
  <si>
    <t>1st run at Southwark , park #46, club record</t>
  </si>
  <si>
    <t>former member, equals pb set last week</t>
  </si>
  <si>
    <t>Millhouses, Sheffield</t>
  </si>
  <si>
    <t>12th anniversary run</t>
  </si>
  <si>
    <t>sixth anniversary run</t>
  </si>
  <si>
    <t>one second slower than last time</t>
  </si>
  <si>
    <t>course pb (by over three minutes)</t>
  </si>
  <si>
    <t>F-2, 1st run at Minehead, park #32, club rec</t>
  </si>
  <si>
    <t>1st run at Dinton Pastures, club rec (F)</t>
  </si>
  <si>
    <t>Fletcher Moss</t>
  </si>
  <si>
    <t>Average performance (50%)</t>
  </si>
  <si>
    <t xml:space="preserve">Erin  </t>
  </si>
  <si>
    <t>Bedfont Lakes #533</t>
  </si>
  <si>
    <t>Brooklands #47</t>
  </si>
  <si>
    <t>Bushy Park #813</t>
  </si>
  <si>
    <t>Dean Castle CP #10</t>
  </si>
  <si>
    <t>Fletcher Moss #50</t>
  </si>
  <si>
    <t>Fontainebleau #146</t>
  </si>
  <si>
    <t>Gunnersbury #411</t>
  </si>
  <si>
    <t>Hanworth #27</t>
  </si>
  <si>
    <t>Harrow #234</t>
  </si>
  <si>
    <t>Maidenhead #240</t>
  </si>
  <si>
    <t>Manor Field, Whittlesey #62</t>
  </si>
  <si>
    <t>Old Deer Park #464</t>
  </si>
  <si>
    <t>Queen Elizabeth #343</t>
  </si>
  <si>
    <t>Reigate Priory #294</t>
  </si>
  <si>
    <t>Roundshaw Downs #555</t>
  </si>
  <si>
    <t>Sittingbourne #191</t>
  </si>
  <si>
    <t>Southwark #311</t>
  </si>
  <si>
    <t>Telford #320</t>
  </si>
  <si>
    <t>Whitstable #479</t>
  </si>
  <si>
    <t>Queen's Glasgow</t>
  </si>
  <si>
    <t>Cape Pembroke Lighthouse</t>
  </si>
  <si>
    <t>Salcey Forest</t>
  </si>
  <si>
    <t>Irchester Country</t>
  </si>
  <si>
    <t>started 2/11/19</t>
  </si>
  <si>
    <t>Oriam</t>
  </si>
  <si>
    <t>Ury Riverside</t>
  </si>
  <si>
    <t>started 26/10/19</t>
  </si>
  <si>
    <t>Falklands</t>
  </si>
  <si>
    <t>East Eng</t>
  </si>
  <si>
    <t>Tremorfa, Cardiff</t>
  </si>
  <si>
    <t xml:space="preserve">Bedfont Lakes </t>
  </si>
  <si>
    <t xml:space="preserve">Chasewater </t>
  </si>
  <si>
    <t xml:space="preserve">Exeter Riverside </t>
  </si>
  <si>
    <t xml:space="preserve">Fire Service College </t>
  </si>
  <si>
    <t xml:space="preserve">Gunnersbury </t>
  </si>
  <si>
    <t xml:space="preserve">Harrogate </t>
  </si>
  <si>
    <t xml:space="preserve">Harrow </t>
  </si>
  <si>
    <t xml:space="preserve">Northala Fields </t>
  </si>
  <si>
    <t xml:space="preserve">Ormeau </t>
  </si>
  <si>
    <t xml:space="preserve">Preston Park </t>
  </si>
  <si>
    <t xml:space="preserve">Richmond Park </t>
  </si>
  <si>
    <t xml:space="preserve">Woking </t>
  </si>
  <si>
    <t>M-37, best position at Bushy</t>
  </si>
  <si>
    <t>club record (time)</t>
  </si>
  <si>
    <t>warm-up for XC</t>
  </si>
  <si>
    <t>club record (time only)</t>
  </si>
  <si>
    <t>run #498</t>
  </si>
  <si>
    <t>plus volunteer credit - equip storage</t>
  </si>
  <si>
    <t>M-6, club record (time only)</t>
  </si>
  <si>
    <t>BA park #536</t>
  </si>
  <si>
    <t>park #76, 1st in France, BA park #535</t>
  </si>
  <si>
    <t>run #745, park #42</t>
  </si>
  <si>
    <t>FON</t>
  </si>
  <si>
    <t>Fontainbleau</t>
  </si>
  <si>
    <t>Dean Castle, Kilmarnock</t>
  </si>
  <si>
    <t>Dean Castle CP, Kilmarnock</t>
  </si>
  <si>
    <t>Fletcher Moss, Didsbury</t>
  </si>
  <si>
    <t>FMD</t>
  </si>
  <si>
    <t>F-1, club record (F)</t>
  </si>
  <si>
    <t>run #15, 1st duplicate</t>
  </si>
  <si>
    <t>JW11-14, 1st parkrun</t>
  </si>
  <si>
    <t>"Q", Alphabeteer letter 17</t>
  </si>
  <si>
    <t>M-9, run #57, park #11, club record</t>
  </si>
  <si>
    <t>CHP</t>
  </si>
  <si>
    <t>300th run at Bedfont Lakes</t>
  </si>
  <si>
    <t>Finish Tokens / still on #499</t>
  </si>
  <si>
    <t>Tail Walker</t>
  </si>
  <si>
    <t>Bedfont Lakes #534</t>
  </si>
  <si>
    <t>Black Park #545</t>
  </si>
  <si>
    <t>Braunstone #469</t>
  </si>
  <si>
    <t>Brooklands #48</t>
  </si>
  <si>
    <t>Bushy Park #814</t>
  </si>
  <si>
    <t>California Country #38</t>
  </si>
  <si>
    <t>Chippenham #286</t>
  </si>
  <si>
    <t>Cirencester #91</t>
  </si>
  <si>
    <t>Crane Park #394</t>
  </si>
  <si>
    <t>Dinton Pastures #71</t>
  </si>
  <si>
    <t>Guildford #375</t>
  </si>
  <si>
    <t>Gunnersbury #412</t>
  </si>
  <si>
    <t>Hanworth #28</t>
  </si>
  <si>
    <t>Harrow #235</t>
  </si>
  <si>
    <t>Hazelwood #85</t>
  </si>
  <si>
    <t>Letchworth #94</t>
  </si>
  <si>
    <t>Manor Field, Whittlesey #63</t>
  </si>
  <si>
    <t>Northala Fields #283</t>
  </si>
  <si>
    <t>Reading #508</t>
  </si>
  <si>
    <t>Southwark #312</t>
  </si>
  <si>
    <t>St Albans #414</t>
  </si>
  <si>
    <t>M-4</t>
  </si>
  <si>
    <t>F-1, 13th overall</t>
  </si>
  <si>
    <t>M-9, park #39, BA park #538</t>
  </si>
  <si>
    <t>run #303, park #51, club rec (F)</t>
  </si>
  <si>
    <t>park #286, BA park #537</t>
  </si>
  <si>
    <t>Lands End</t>
  </si>
  <si>
    <t>Oaklands, Yardley, BHM</t>
  </si>
  <si>
    <t>started 9/11/19</t>
  </si>
  <si>
    <t>Mole Vly</t>
  </si>
  <si>
    <t>4th '54 finish of the year, park #287</t>
  </si>
  <si>
    <t>run #237, 7th at Brooklands</t>
  </si>
  <si>
    <t>run #166, park #64,  club rec (F)</t>
  </si>
  <si>
    <t>run #192,  park # 73</t>
  </si>
  <si>
    <t>course PB, 39 second improvement</t>
  </si>
  <si>
    <t>run #9, parkrun PB, 107 second improvement</t>
  </si>
  <si>
    <t>run #249, 208th at Crane Park</t>
  </si>
  <si>
    <t>10th run at Guildford, 4th in last six weeks</t>
  </si>
  <si>
    <t>run #246, 79th at Braunstone</t>
  </si>
  <si>
    <t>Seven Fields, Swindon</t>
  </si>
  <si>
    <t>Cyprus</t>
  </si>
  <si>
    <t>(The) Leas, Isle of Sheppey</t>
  </si>
  <si>
    <t>LES</t>
  </si>
  <si>
    <t>The Leas, Minster, Sheppey</t>
  </si>
  <si>
    <t>The Leas</t>
  </si>
  <si>
    <t>Eden Project #100</t>
  </si>
  <si>
    <t>Bedfont Lakes #535</t>
  </si>
  <si>
    <t>Guildford #376</t>
  </si>
  <si>
    <t xml:space="preserve">Ian Cockram 500 </t>
  </si>
  <si>
    <t>DRV</t>
  </si>
  <si>
    <t>Dublin - River Valley</t>
  </si>
  <si>
    <t>River Valley</t>
  </si>
  <si>
    <t>&amp; Other</t>
  </si>
  <si>
    <t>Marshal &amp; litter picker-upper</t>
  </si>
  <si>
    <t>Seven Fields</t>
  </si>
  <si>
    <t>Kingston #505</t>
  </si>
  <si>
    <t>Richmond Park #639</t>
  </si>
  <si>
    <t>run #125, 3rd at Kingston</t>
  </si>
  <si>
    <t>58th run at Richmond</t>
  </si>
  <si>
    <r>
      <t>Timekeeper (Ma</t>
    </r>
    <r>
      <rPr>
        <b/>
        <sz val="10"/>
        <rFont val="Arial"/>
        <family val="2"/>
      </rPr>
      <t>dd</t>
    </r>
    <r>
      <rPr>
        <sz val="10"/>
        <rFont val="Arial"/>
        <family val="2"/>
      </rPr>
      <t>ie RD)</t>
    </r>
  </si>
  <si>
    <t xml:space="preserve">Maria  </t>
  </si>
  <si>
    <t>Black Park #546</t>
  </si>
  <si>
    <t>Bushy Park #815</t>
  </si>
  <si>
    <t>Crane Park #395</t>
  </si>
  <si>
    <t>Fire Service College #46</t>
  </si>
  <si>
    <t>Harrow #236</t>
  </si>
  <si>
    <t>Hazelwood #86</t>
  </si>
  <si>
    <t>Huntingdon #337</t>
  </si>
  <si>
    <t>Ifield Mill Pond #9</t>
  </si>
  <si>
    <t>Mile End #406</t>
  </si>
  <si>
    <t>Northala Fields #284</t>
  </si>
  <si>
    <t>Peckham Rye #292</t>
  </si>
  <si>
    <t>Peterborough #332</t>
  </si>
  <si>
    <t>Reading #509</t>
  </si>
  <si>
    <t>Reigate Priory #296</t>
  </si>
  <si>
    <t>Richmond Park #640</t>
  </si>
  <si>
    <t>Salisbury #235</t>
  </si>
  <si>
    <t>The Leas, Sheppey #8</t>
  </si>
  <si>
    <t>Woking #260</t>
  </si>
  <si>
    <t>Wycombe Rye #375</t>
  </si>
  <si>
    <t>run #194, 92nd at Wycombe Rye</t>
  </si>
  <si>
    <t>run #167, 8th at Wycombe</t>
  </si>
  <si>
    <t>run #163, 147th at Woking</t>
  </si>
  <si>
    <t>Seven Fields #1 (Swindon)</t>
  </si>
  <si>
    <t>best run at Harrow for 27 months</t>
  </si>
  <si>
    <t>run #158, 137th at Harrow</t>
  </si>
  <si>
    <t>going getting a bit soft !</t>
  </si>
  <si>
    <t>1st run at Peckham Rye, park #52</t>
  </si>
  <si>
    <t>M-4, missed pb by 5 secs</t>
  </si>
  <si>
    <t>"I", 1st run at Ifield, park #30</t>
  </si>
  <si>
    <t>"I", 1st run at Ifield, park #19</t>
  </si>
  <si>
    <t>park #288, (6th in Eire), BA park #541</t>
  </si>
  <si>
    <t>1st inaugural, BA park  #540</t>
  </si>
  <si>
    <t>run #7, park #7 (over 7 years!)</t>
  </si>
  <si>
    <t>Frankie Hogge</t>
  </si>
  <si>
    <t>run #45, park #3, club rec(time -all genders)</t>
  </si>
  <si>
    <t>after run 1</t>
  </si>
  <si>
    <t>run #32, park #8, BA park #539</t>
  </si>
  <si>
    <t>F-2, &amp; Pre-event setup</t>
  </si>
  <si>
    <t>best run at Richmond since April</t>
  </si>
  <si>
    <t>club rec (all genders), park #43</t>
  </si>
  <si>
    <t>M-10</t>
  </si>
  <si>
    <t>plus granddaughter in a buggy</t>
  </si>
  <si>
    <t>F-2, "I", club rec(F), 2nd/50 in agegroup</t>
  </si>
  <si>
    <t>M-6, run #53, 40th at Bedfont :Lakes</t>
  </si>
  <si>
    <t>M-3, run #59, 34th at Bedfont Lakes</t>
  </si>
  <si>
    <t>just loves the puddles !</t>
  </si>
  <si>
    <t>run #250, 209th at Crane Park</t>
  </si>
  <si>
    <t>run #193, 10th at Wycombe</t>
  </si>
  <si>
    <t>first run at Huntingdon since Xmas Day 2018</t>
  </si>
  <si>
    <t>Northwest</t>
  </si>
  <si>
    <t>Alexandra,  Moss Side</t>
  </si>
  <si>
    <t>started 16/11/19</t>
  </si>
  <si>
    <t>run #181, 85th at Wycombe Rye</t>
  </si>
  <si>
    <t>90th run at Wycombe Rye</t>
  </si>
  <si>
    <t>run #193, 91st at Wycombe Rye</t>
  </si>
  <si>
    <t>run #130, 49th at Salisbury</t>
  </si>
  <si>
    <t>run #113, 9th at Peterborough (2nd this year)</t>
  </si>
  <si>
    <t>River Valley (Dublin) #172</t>
  </si>
  <si>
    <t>M-10, leads VM60 agegroup</t>
  </si>
  <si>
    <t>previous results</t>
  </si>
  <si>
    <t>Eastville</t>
  </si>
  <si>
    <t>Thornbury</t>
  </si>
  <si>
    <t>Gunnersbury #414</t>
  </si>
  <si>
    <t>funnel mgr</t>
  </si>
  <si>
    <t>Paul &amp; Gill</t>
  </si>
  <si>
    <t>tailwalkers (51:43)</t>
  </si>
  <si>
    <t>WRC</t>
  </si>
  <si>
    <t>Lydiard</t>
  </si>
  <si>
    <t>Woking #261</t>
  </si>
  <si>
    <t>Warwick Racecourse #7</t>
  </si>
  <si>
    <t>Victoria Dock #79</t>
  </si>
  <si>
    <t>Richmond Park #641</t>
  </si>
  <si>
    <t>Osterley #317</t>
  </si>
  <si>
    <t>Minehead #169</t>
  </si>
  <si>
    <t>Maidenhead #243</t>
  </si>
  <si>
    <t>Lydiard (Swindon) #472</t>
  </si>
  <si>
    <t>Ifield Mill Pond #10</t>
  </si>
  <si>
    <t>Horsham #276</t>
  </si>
  <si>
    <t>Hazelwood #87</t>
  </si>
  <si>
    <t>Harrow #237</t>
  </si>
  <si>
    <t>Hanworth #30</t>
  </si>
  <si>
    <t>Guildford #385</t>
  </si>
  <si>
    <t>Firenze #113</t>
  </si>
  <si>
    <t>Dinton Pastures #73</t>
  </si>
  <si>
    <t>Crane Park #396</t>
  </si>
  <si>
    <t>Brooklands #50</t>
  </si>
  <si>
    <t>Bromley #511</t>
  </si>
  <si>
    <t>Braunstone 471</t>
  </si>
  <si>
    <t>Black Park #547</t>
  </si>
  <si>
    <t>Bedfont Lakes #536</t>
  </si>
  <si>
    <t>M-6</t>
  </si>
  <si>
    <t>M-9, course pb by 17 seconds</t>
  </si>
  <si>
    <t>course pb by almost two minutes</t>
  </si>
  <si>
    <t>age cat record (1st/148)</t>
  </si>
  <si>
    <t>Moorcroft</t>
  </si>
  <si>
    <t xml:space="preserve">Maria </t>
  </si>
  <si>
    <t xml:space="preserve">Neil  </t>
  </si>
  <si>
    <t>club record, 3rd in age cat</t>
  </si>
  <si>
    <t>ran and then did barcode scanning</t>
  </si>
  <si>
    <t>first run a Bromley, park #53</t>
  </si>
  <si>
    <t>1st run at Dinton Pastures, park #3</t>
  </si>
  <si>
    <t>1st run at Dinton Pastures, park #4</t>
  </si>
  <si>
    <t>run #456, 3rd at Dinton Pastures</t>
  </si>
  <si>
    <t>F-2, club record (F), park #41</t>
  </si>
  <si>
    <t>F-5, age cat record (1st/148), park #35</t>
  </si>
  <si>
    <t>park #31</t>
  </si>
  <si>
    <t>park #77</t>
  </si>
  <si>
    <t>60th run at Richmond Park</t>
  </si>
  <si>
    <t>family run, (best track 5000m time is 13:00.41)</t>
  </si>
  <si>
    <t>park #289, BA park #542</t>
  </si>
  <si>
    <t>better agegrade% than Hoffman or Moorcroft!</t>
  </si>
  <si>
    <t>M-7 , run #60, 4th at Osterley</t>
  </si>
  <si>
    <t>same course, new name !</t>
  </si>
  <si>
    <t>M-3, 3rd run at "IMP"</t>
  </si>
  <si>
    <t>1st run at Horsham, park #49</t>
  </si>
  <si>
    <t>record attendance (week 7) 356</t>
  </si>
  <si>
    <t>Soham Village College</t>
  </si>
  <si>
    <t>new run in Cambridgeshire</t>
  </si>
  <si>
    <t>run #164, 148th at Woking</t>
  </si>
  <si>
    <t>going getting very soft, very few pbs</t>
  </si>
  <si>
    <t>1st run for six months, 1st ever at Brooklands</t>
  </si>
  <si>
    <t>first parkrun in Italy, park #44</t>
  </si>
  <si>
    <t>first run at Braunstone, park #89, club rec</t>
  </si>
  <si>
    <t>Swindon (renamed Lydiard)</t>
  </si>
  <si>
    <r>
      <rPr>
        <b/>
        <sz val="10"/>
        <rFont val="Arial"/>
        <family val="2"/>
      </rPr>
      <t>L</t>
    </r>
    <r>
      <rPr>
        <sz val="10"/>
        <rFont val="Arial"/>
        <family val="2"/>
      </rPr>
      <t>ac de Divonne</t>
    </r>
  </si>
  <si>
    <t>LDD</t>
  </si>
  <si>
    <t>LDY</t>
  </si>
  <si>
    <t>Lydiard (formerly Swindon)</t>
  </si>
  <si>
    <t>River Valley (Dublin)</t>
  </si>
  <si>
    <t>Seven Fields (Swindon)</t>
  </si>
  <si>
    <t>Jamaica pond 401</t>
  </si>
  <si>
    <t>(#47)   373</t>
  </si>
  <si>
    <t>(vol)</t>
  </si>
  <si>
    <t>27m Pacer</t>
  </si>
  <si>
    <t>31m Pacer</t>
  </si>
  <si>
    <t>Finish Token Support</t>
  </si>
  <si>
    <t>Sarah is getting faster!</t>
  </si>
  <si>
    <t>Bedfont Lakes #537</t>
  </si>
  <si>
    <t>Black Park #548</t>
  </si>
  <si>
    <t>Bognor Regis #273</t>
  </si>
  <si>
    <t>Braunstone #472</t>
  </si>
  <si>
    <t>Bushy Park #817</t>
  </si>
  <si>
    <t>California Country #41</t>
  </si>
  <si>
    <t>Cassiobury #255</t>
  </si>
  <si>
    <t>Crane Park #397</t>
  </si>
  <si>
    <t>Fire Service College #48</t>
  </si>
  <si>
    <t>Greenwich #520</t>
  </si>
  <si>
    <t>Gunnersbury #415</t>
  </si>
  <si>
    <t>Hanworth #31</t>
  </si>
  <si>
    <t>Harrow #238</t>
  </si>
  <si>
    <t>Jersey Farm #55</t>
  </si>
  <si>
    <t>Osterley #318</t>
  </si>
  <si>
    <t>Reading #510</t>
  </si>
  <si>
    <t>Salisbury #237</t>
  </si>
  <si>
    <t>The Leas #10</t>
  </si>
  <si>
    <t>Weedon Island Preserve #28</t>
  </si>
  <si>
    <t>Woking #262</t>
  </si>
  <si>
    <t>Clermont Waterfront #314</t>
  </si>
  <si>
    <t>Alice Holt #349</t>
  </si>
  <si>
    <t>park #290, club rec, Wilson Index up to 58</t>
  </si>
  <si>
    <t>club rec, 53rd run of 2019</t>
  </si>
  <si>
    <t>Thanksgiving Day (extra parkrun day in US)</t>
  </si>
  <si>
    <t>course pb (by 75 seconds)</t>
  </si>
  <si>
    <t>annual family outing</t>
  </si>
  <si>
    <t>M-10, with Jakob (JM10)</t>
  </si>
  <si>
    <t>course pb (by 25 seconds)</t>
  </si>
  <si>
    <t>F-4, missed 2019 pb by 1 second</t>
  </si>
  <si>
    <t>F-2, top age grade at Woking today</t>
  </si>
  <si>
    <t>"A", club rec(F), top agegrade at AHF today</t>
  </si>
  <si>
    <t>run #240, best at Crane Park in 2019</t>
  </si>
  <si>
    <t>6th run at Fire Service College, Gloucestershire</t>
  </si>
  <si>
    <t>annual family outing, keeps club record</t>
  </si>
  <si>
    <t>run #10, course pb (by 100 seconds)</t>
  </si>
  <si>
    <t>run #150, 128th at Harrow</t>
  </si>
  <si>
    <t xml:space="preserve">assisted </t>
  </si>
  <si>
    <t>Brixworth Country, Northampton</t>
  </si>
  <si>
    <t>40th run at Osterley</t>
  </si>
  <si>
    <t>50th run at Salisbury</t>
  </si>
  <si>
    <t>320th at Bushy Park</t>
  </si>
  <si>
    <t>1st run at Bushy, park #20 (officially now a tourist)</t>
  </si>
  <si>
    <t>80th run at Braunstone</t>
  </si>
  <si>
    <t>1st run at Cassiobury (Watford)</t>
  </si>
  <si>
    <t>club rec(F), park #54</t>
  </si>
  <si>
    <t>first run at Alice Holt, park #32</t>
  </si>
  <si>
    <t>M-9, 21' pacer, 30th run at Bedfont</t>
  </si>
  <si>
    <t>2nd run at The Leas (Isle of Sheppey)</t>
  </si>
  <si>
    <t>5th anniv of pacing squad next week</t>
  </si>
  <si>
    <t>"C", run #113, park #41</t>
  </si>
  <si>
    <t>Janet Smith previous record holder</t>
  </si>
  <si>
    <t xml:space="preserve">Ann  </t>
  </si>
  <si>
    <t>1st at Bushy since New Year's Day</t>
  </si>
  <si>
    <t>Jonathan Cox has now resigned</t>
  </si>
  <si>
    <t>started Feb 2019</t>
  </si>
  <si>
    <t>33 miles by car (at least)</t>
  </si>
  <si>
    <t>90th run at Maidenhead</t>
  </si>
  <si>
    <t>Volunteer Coordinator (pacers)</t>
  </si>
  <si>
    <t>Marshal</t>
  </si>
  <si>
    <t>Alan   &amp; Anne</t>
  </si>
  <si>
    <t>Aldenham #233</t>
  </si>
  <si>
    <t>Bedfont Lakes #538</t>
  </si>
  <si>
    <t>Black Park #549</t>
  </si>
  <si>
    <t>Brooklands #51</t>
  </si>
  <si>
    <t>Bushy Park #818</t>
  </si>
  <si>
    <t>Cirencester #95</t>
  </si>
  <si>
    <t>Crane Park #398</t>
  </si>
  <si>
    <t>Harrow #239</t>
  </si>
  <si>
    <t>Hazelwood #89</t>
  </si>
  <si>
    <t>Jersey Farm #56</t>
  </si>
  <si>
    <t>Maidenhead #245</t>
  </si>
  <si>
    <t>Osterley #319</t>
  </si>
  <si>
    <t>Reading #511</t>
  </si>
  <si>
    <t>Richmond Park #643</t>
  </si>
  <si>
    <t>Rickmansworth #144</t>
  </si>
  <si>
    <t>Salisbury #238</t>
  </si>
  <si>
    <t>Sandhurst Memorial #1</t>
  </si>
  <si>
    <t>The Leas #11</t>
  </si>
  <si>
    <t>Woking #263</t>
  </si>
  <si>
    <t>Wycombe Rye #378</t>
  </si>
  <si>
    <t>2nd run at Aldenham</t>
  </si>
  <si>
    <t>1st run at Black Park, park #50</t>
  </si>
  <si>
    <t>course pb (by over two minutes)</t>
  </si>
  <si>
    <t>M-3, club record (time and age grade)</t>
  </si>
  <si>
    <t>1st run at Osterley, park #</t>
  </si>
  <si>
    <t>pb by two minutes</t>
  </si>
  <si>
    <t>pb by 19 seconds</t>
  </si>
  <si>
    <t>course pb by 109 seconds</t>
  </si>
  <si>
    <t>pb by 112 seconds</t>
  </si>
  <si>
    <t>very good age grade score</t>
  </si>
  <si>
    <t>Sandhust Memorial</t>
  </si>
  <si>
    <t>Sandhurst Mem</t>
  </si>
  <si>
    <t>inaugural (337 finishers), club rec (M), park #33</t>
  </si>
  <si>
    <t>age cat rec, club rec, park #37</t>
  </si>
  <si>
    <t>Sandhurst</t>
  </si>
  <si>
    <t>Cosmeston Lakes</t>
  </si>
  <si>
    <t>Fulbourn Hospital</t>
  </si>
  <si>
    <t>Levengrove</t>
  </si>
  <si>
    <t>Nova Prestatyn</t>
  </si>
  <si>
    <t>Sutton Manor</t>
  </si>
  <si>
    <t>started 7/12/19</t>
  </si>
  <si>
    <t>1st run at Jersey Farm, park #83, club rec (F)</t>
  </si>
  <si>
    <t>Sandhurst Memorial</t>
  </si>
  <si>
    <t>RIE</t>
  </si>
  <si>
    <t>Riemer (Munich)</t>
  </si>
  <si>
    <t>SQW</t>
  </si>
  <si>
    <t>Jones/Sims</t>
  </si>
  <si>
    <t>Squerryes</t>
  </si>
  <si>
    <t>BRY</t>
  </si>
  <si>
    <t>Bryanston (Jo'Burg)</t>
  </si>
  <si>
    <t>Bryanston</t>
  </si>
  <si>
    <t>NEW BA Jersey Farm record 3 weeks in a row!</t>
  </si>
  <si>
    <t>Freyne</t>
  </si>
  <si>
    <t>Bedfont Lakes #539</t>
  </si>
  <si>
    <t>Brooklands #52</t>
  </si>
  <si>
    <t>Bryanston #309</t>
  </si>
  <si>
    <t>Bushy Park #819</t>
  </si>
  <si>
    <t>Crane Park #399</t>
  </si>
  <si>
    <t>Dishley, Loughborough #68</t>
  </si>
  <si>
    <t>Grovelands #491</t>
  </si>
  <si>
    <t>Hanworth #33</t>
  </si>
  <si>
    <t>Harrow #240</t>
  </si>
  <si>
    <t>Hazelwood #90</t>
  </si>
  <si>
    <t>Jersey Farm #57</t>
  </si>
  <si>
    <t>Jezioro Swarzędzkie #33</t>
  </si>
  <si>
    <t>Kingston #510</t>
  </si>
  <si>
    <t>Littlehampton Prom #33</t>
  </si>
  <si>
    <t>Maidenhead #246</t>
  </si>
  <si>
    <t>Mile End #410</t>
  </si>
  <si>
    <t>Reading #512</t>
  </si>
  <si>
    <t>Riemer #36</t>
  </si>
  <si>
    <t>Sedgefield #402</t>
  </si>
  <si>
    <t>Squerryes Winery #13</t>
  </si>
  <si>
    <t>St Albans #419</t>
  </si>
  <si>
    <t>M-1</t>
  </si>
  <si>
    <t>M-2</t>
  </si>
  <si>
    <t>2nd run at Sedgefield</t>
  </si>
  <si>
    <t>first run at Grovelands, park #42</t>
  </si>
  <si>
    <t>run #750</t>
  </si>
  <si>
    <t>2nd run in 2019</t>
  </si>
  <si>
    <t>run #249, park #114</t>
  </si>
  <si>
    <t>Bryanston (Greater Joburg)</t>
  </si>
  <si>
    <t>UTC + 2</t>
  </si>
  <si>
    <t>UTC</t>
  </si>
  <si>
    <t>at old airport in Munich, park #291, Bapark #545</t>
  </si>
  <si>
    <t>"J", club rec (F), park #</t>
  </si>
  <si>
    <t>"J", club record, park #</t>
  </si>
  <si>
    <t>M-3, course pb (by 2:51)</t>
  </si>
  <si>
    <t>run #170, 2nd at Mile End</t>
  </si>
  <si>
    <t>run  #197, 2nd at Mile End</t>
  </si>
  <si>
    <t>run #544, 500th different parkrun (non member !)</t>
  </si>
  <si>
    <t xml:space="preserve"> 50th run this year</t>
  </si>
  <si>
    <t>run #64, 1st at Squerryes, park#21, BApark#546</t>
  </si>
  <si>
    <t>run #56, 1st at Squerryes, park#21, BApark#546</t>
  </si>
  <si>
    <t>2nd run in Greater Joburg region, BApark #544</t>
  </si>
  <si>
    <t xml:space="preserve">run #138, 1st at Bramhall </t>
  </si>
  <si>
    <t>very soggy</t>
  </si>
  <si>
    <t>will be run director for Crane 400th next week</t>
  </si>
  <si>
    <t>back home after 21 weeks on tour</t>
  </si>
  <si>
    <t>our most frequent visitor to Brooklands</t>
  </si>
  <si>
    <t>our most frequent visitor to Kingston</t>
  </si>
  <si>
    <t>Marlow course under water (again!)</t>
  </si>
  <si>
    <t>Crane Park #400</t>
  </si>
  <si>
    <t>Sandhurst Memorial #2</t>
  </si>
  <si>
    <t>and Mike Dennison 19:40</t>
  </si>
  <si>
    <t>SVC</t>
  </si>
  <si>
    <t>Soham Village</t>
  </si>
  <si>
    <t>F-1, Bapark #547, age cat record, club record</t>
  </si>
  <si>
    <t>Bedfont Lakes #540</t>
  </si>
  <si>
    <t>Black Park #551</t>
  </si>
  <si>
    <t>Bushy Park #820</t>
  </si>
  <si>
    <t>Cirencester #97</t>
  </si>
  <si>
    <t>Clumber Park #331</t>
  </si>
  <si>
    <t>Fulham Palace #324</t>
  </si>
  <si>
    <t>Hanworth #34</t>
  </si>
  <si>
    <t>Harrow #241</t>
  </si>
  <si>
    <t>Henley-on-Thames #127</t>
  </si>
  <si>
    <t>Maidenhead #247</t>
  </si>
  <si>
    <t>Northala Fields #289</t>
  </si>
  <si>
    <t>Osterley #321</t>
  </si>
  <si>
    <t>Richmond Park #645</t>
  </si>
  <si>
    <t>Rickmansworth #146</t>
  </si>
  <si>
    <t>Soham Village College #5</t>
  </si>
  <si>
    <t>St Albans #420</t>
  </si>
  <si>
    <t>Woodley #376</t>
  </si>
  <si>
    <t>M-5, parkrun pb, club record ?</t>
  </si>
  <si>
    <t>would be club record if a member</t>
  </si>
  <si>
    <t>run director (plus many family members)</t>
  </si>
  <si>
    <t>run #49, 1st at Woodley, park #4</t>
  </si>
  <si>
    <t>run #278, 1st at Woodley, park #5</t>
  </si>
  <si>
    <t>run #37, 15th at St Albans</t>
  </si>
  <si>
    <t>backup timing</t>
  </si>
  <si>
    <t>Xmas</t>
  </si>
  <si>
    <t>14th run at Rickmansworth</t>
  </si>
  <si>
    <t>1st run at Rickmansworth, equals club record</t>
  </si>
  <si>
    <t>1st run at Rickmansworth, club record (F)</t>
  </si>
  <si>
    <t>24th run at Rickmansworth</t>
  </si>
  <si>
    <t>run #66, 62nd at Richmond Park</t>
  </si>
  <si>
    <t>run #156, 5th at Henley on Thames</t>
  </si>
  <si>
    <t>course varied due to floods</t>
  </si>
  <si>
    <t>backup timekeeper (photo evidence operative)</t>
  </si>
  <si>
    <t>run #125, 86th at Northala</t>
  </si>
  <si>
    <t>M-8</t>
  </si>
  <si>
    <t>run #346, 212th at Black Park</t>
  </si>
  <si>
    <t>run #135, 10th at Fulham Palace</t>
  </si>
  <si>
    <t>David Williams is also a member of Ealing, Southall &amp; Middlesex</t>
  </si>
  <si>
    <t>1st run at Sandhurst Memorial</t>
  </si>
  <si>
    <t>marshal and guardian of A Anderson 3km marker</t>
  </si>
  <si>
    <t>club record, park #84</t>
  </si>
  <si>
    <t>22nd run at Cirencester</t>
  </si>
  <si>
    <t>Fritton Lake is discontinued</t>
  </si>
  <si>
    <t>250th run</t>
  </si>
  <si>
    <t>vs last year - 2 seconds slower and 3 places down…but better age grade.</t>
  </si>
  <si>
    <t>World record 2545 finishers (just - previously North Beach 2527)</t>
  </si>
  <si>
    <t>6 minute improvement</t>
  </si>
  <si>
    <t>30s improvement</t>
  </si>
  <si>
    <t>4:24 improvement</t>
  </si>
  <si>
    <t>Record 210 attendees</t>
  </si>
  <si>
    <t>BA Ladies record and best age grade (from Neil)</t>
  </si>
  <si>
    <t>Timekeeper / record 594 finishers</t>
  </si>
  <si>
    <t>Record 739 attendees</t>
  </si>
  <si>
    <t xml:space="preserve">Roderick  </t>
  </si>
  <si>
    <t>Bideford #195</t>
  </si>
  <si>
    <t>Braunstone #476</t>
  </si>
  <si>
    <t>Bushy Park #821</t>
  </si>
  <si>
    <t>California Country #45</t>
  </si>
  <si>
    <t>Crane Park #401</t>
  </si>
  <si>
    <t>Dinton Pastures #77</t>
  </si>
  <si>
    <t>Guildford #427</t>
  </si>
  <si>
    <t>Homewood #169</t>
  </si>
  <si>
    <t>Marple #402</t>
  </si>
  <si>
    <t>Northala Fields #290</t>
  </si>
  <si>
    <t>Rushmoor #274</t>
  </si>
  <si>
    <t>St Albans #421</t>
  </si>
  <si>
    <t>Walsall Arboretum #409</t>
  </si>
  <si>
    <t>Woodley #37</t>
  </si>
  <si>
    <t>course pb by 6 minutes</t>
  </si>
  <si>
    <t>course pb by 4:24</t>
  </si>
  <si>
    <t>record attendance 594</t>
  </si>
  <si>
    <t>F- 8, run #184</t>
  </si>
  <si>
    <t>attendance record 2545  (world parkrun record)</t>
  </si>
  <si>
    <t>best time by a member this year (so far)</t>
  </si>
  <si>
    <t>course pb by 0:30</t>
  </si>
  <si>
    <t>5th Crane Park PB in a row - another 14 second improvement</t>
  </si>
  <si>
    <t>M-7, parkrun pb (streak of 5 at Crane Park)</t>
  </si>
  <si>
    <t>250th run, 81st at Braunstone</t>
  </si>
  <si>
    <t>LATE RESULT ((Boxing Day !)</t>
  </si>
  <si>
    <t>2nd run at Dinton Pastures</t>
  </si>
  <si>
    <t>F- 8, run #184, 49th at Rushmoor</t>
  </si>
  <si>
    <t>1st run at Poole, park #43, attendance record 1345</t>
  </si>
  <si>
    <t>88th run at Maidenhead, record attendance 623</t>
  </si>
  <si>
    <t>record attendance 210</t>
  </si>
  <si>
    <t>Completes full decade of Xmas Day runs at Bushy</t>
  </si>
  <si>
    <t>7th Xmas Day in a row at Walsall, record attendance 739</t>
  </si>
  <si>
    <t>Peterborough (Ferry Meadows)</t>
  </si>
  <si>
    <t>run #299, 13th at Guildford</t>
  </si>
  <si>
    <t>run #199, 4th at Norwich, record attendance of 1358</t>
  </si>
  <si>
    <t>run #83, 3rd at Woodley</t>
  </si>
  <si>
    <t>1st run at Marple, club rec (F), park #6</t>
  </si>
  <si>
    <t>6th consecutive Xmas at Bushy</t>
  </si>
  <si>
    <t>parkruns in Bristol</t>
  </si>
  <si>
    <t>Jermy</t>
  </si>
  <si>
    <t>before joining</t>
  </si>
  <si>
    <t>(disc)</t>
  </si>
  <si>
    <t>Tewlesbury</t>
  </si>
  <si>
    <t>SunnyHill</t>
  </si>
  <si>
    <t>JES</t>
  </si>
  <si>
    <t>DPF</t>
  </si>
  <si>
    <t>R Durham</t>
  </si>
  <si>
    <t>after 16 events</t>
  </si>
  <si>
    <t>Taking it easy - 4s slower than Xmas Day</t>
  </si>
  <si>
    <t>Wild variation in run times across 8 days.</t>
  </si>
  <si>
    <t>Black Park #552</t>
  </si>
  <si>
    <t>Bushy Park #822</t>
  </si>
  <si>
    <t>California Country #46</t>
  </si>
  <si>
    <t>Crane Park #402</t>
  </si>
  <si>
    <t>Dolls Point #131</t>
  </si>
  <si>
    <t>Feltham #42</t>
  </si>
  <si>
    <t>Guildford #381</t>
  </si>
  <si>
    <t>Hanworth #35</t>
  </si>
  <si>
    <t>Harrow #242</t>
  </si>
  <si>
    <t>Jesmond Dene #11</t>
  </si>
  <si>
    <t>Maidenhead #249</t>
  </si>
  <si>
    <t>Osterley #322</t>
  </si>
  <si>
    <t>Richmond Park #647</t>
  </si>
  <si>
    <t>Rickmansworth #148</t>
  </si>
  <si>
    <t>St Albans #422</t>
  </si>
  <si>
    <t>Tetbury Goods Shed #34</t>
  </si>
  <si>
    <t>Woking #265</t>
  </si>
  <si>
    <t>course PB by 2s</t>
  </si>
  <si>
    <t>course PB by 1s (they all count)</t>
  </si>
  <si>
    <t>course pb, 27s improvement</t>
  </si>
  <si>
    <t>run #378, park #292 (12th in Australia)</t>
  </si>
  <si>
    <t>4th at Hanworth</t>
  </si>
  <si>
    <t>3rd run at Osterley, 58th parkrun of the year</t>
  </si>
  <si>
    <t>1st run at Jesmond Dene, park #53, BA park #548</t>
  </si>
  <si>
    <t>1st run at California, park #5</t>
  </si>
  <si>
    <t>1st run at California, park #6</t>
  </si>
  <si>
    <t>1st run at Maidenhead, club rec(F)</t>
  </si>
  <si>
    <t>150th run at Woking</t>
  </si>
  <si>
    <t>Tail Walker, 3rd time at Feltham YOI</t>
  </si>
  <si>
    <t>15th run at Rickmansworth</t>
  </si>
  <si>
    <t>4th run at Osterley</t>
  </si>
  <si>
    <t>3rd run at Richmond</t>
  </si>
  <si>
    <t>17th run at St Albans</t>
  </si>
  <si>
    <t>300th run, 14th at Guildford</t>
  </si>
  <si>
    <t>run #71, 1st at Dolls Point</t>
  </si>
  <si>
    <t>will be race director at Harrow on 1 January</t>
  </si>
  <si>
    <t>course pb, 46s improvement, improves club rec</t>
  </si>
  <si>
    <t>241st run at Bushy Park</t>
  </si>
  <si>
    <t>pacing squad next Saturday</t>
  </si>
  <si>
    <t>run #397, 3rd run at Richmond</t>
  </si>
  <si>
    <t>Gunnersbury #419</t>
  </si>
  <si>
    <t>Deerpark Forest, Co Cavan</t>
  </si>
  <si>
    <t>Deerpark Forest</t>
  </si>
  <si>
    <t>Deerpark, Carlanstown, Co Meath</t>
  </si>
  <si>
    <t>1st run at Deerpark Forest, park #57</t>
  </si>
  <si>
    <t xml:space="preserve">Stenham </t>
  </si>
  <si>
    <t>Jesmond D,Deerpark Forest</t>
  </si>
  <si>
    <t>COB</t>
  </si>
  <si>
    <t>Coburg, Vic, AU</t>
  </si>
  <si>
    <r>
      <rPr>
        <b/>
        <sz val="10"/>
        <rFont val="Arial"/>
        <family val="2"/>
      </rPr>
      <t>2019 result</t>
    </r>
    <r>
      <rPr>
        <sz val="10"/>
        <rFont val="Arial"/>
        <family val="2"/>
      </rPr>
      <t>s</t>
    </r>
  </si>
  <si>
    <t>now in "2019" sheet</t>
  </si>
  <si>
    <t>DAB</t>
  </si>
  <si>
    <r>
      <rPr>
        <b/>
        <sz val="10"/>
        <rFont val="Arial"/>
        <family val="2"/>
      </rPr>
      <t>D</t>
    </r>
    <r>
      <rPr>
        <sz val="10"/>
        <rFont val="Arial"/>
        <family val="2"/>
      </rPr>
      <t>arebin, Vic, AU</t>
    </r>
  </si>
  <si>
    <t>Dartford (Central Park)</t>
  </si>
  <si>
    <t>run #200, 4th run at Osterley</t>
  </si>
  <si>
    <t>HWI</t>
  </si>
  <si>
    <t>Darebin, Vic, AU</t>
  </si>
  <si>
    <t>Cockrams</t>
  </si>
  <si>
    <t>Littlehamton Prom</t>
  </si>
  <si>
    <t>LHP</t>
  </si>
  <si>
    <t>Ifield Mill</t>
  </si>
  <si>
    <t>Great Cornard GCO</t>
  </si>
  <si>
    <t>Pole Mokotowskie</t>
  </si>
  <si>
    <t>PMK</t>
  </si>
  <si>
    <t>Watt/ Barclay</t>
  </si>
  <si>
    <t xml:space="preserve">Pole Mokotowskie   </t>
  </si>
  <si>
    <t>Watt/Barclay</t>
  </si>
  <si>
    <t>Caroline Cockram 29:00 in 2012</t>
  </si>
  <si>
    <t>Stratford Park Stroud</t>
  </si>
  <si>
    <t>ONLY 335 - 1,000 fewer than at Barry's other run</t>
  </si>
  <si>
    <t>Au, New BA park</t>
  </si>
  <si>
    <t>59s improvement from 1/1/16</t>
  </si>
  <si>
    <t>1s improvement (they all count)</t>
  </si>
  <si>
    <t>Au</t>
  </si>
  <si>
    <t>2s slower than Saturday</t>
  </si>
  <si>
    <t>First BA lady</t>
  </si>
  <si>
    <t>Poland, 1st lady</t>
  </si>
  <si>
    <t>Poland, New BA park</t>
  </si>
  <si>
    <t>1331 attendees - UK's biggest</t>
  </si>
  <si>
    <t xml:space="preserve">Eddie </t>
  </si>
  <si>
    <t xml:space="preserve">Frankie </t>
  </si>
  <si>
    <t xml:space="preserve">Petra  </t>
  </si>
  <si>
    <t xml:space="preserve">Janet </t>
  </si>
  <si>
    <t xml:space="preserve">Davis   </t>
  </si>
  <si>
    <t>Andover  #458</t>
  </si>
  <si>
    <t>Bexley  #415</t>
  </si>
  <si>
    <t>Black Park  #553</t>
  </si>
  <si>
    <t>Bognor Regis  #279</t>
  </si>
  <si>
    <t>Bournemouth  #330</t>
  </si>
  <si>
    <t>Canons Park # #172</t>
  </si>
  <si>
    <t xml:space="preserve">California Country #47 </t>
  </si>
  <si>
    <t>Clacton Seafront  #163</t>
  </si>
  <si>
    <t>Crane Park  #403</t>
  </si>
  <si>
    <t>Deerpark Forest  #17</t>
  </si>
  <si>
    <t>Dinton Pastures  #79</t>
  </si>
  <si>
    <t>Frimley Lodge #516</t>
  </si>
  <si>
    <t>Greenwich  #526</t>
  </si>
  <si>
    <t>Hanley  #431</t>
  </si>
  <si>
    <t>Harrow  #243</t>
  </si>
  <si>
    <t>Harwich  #241</t>
  </si>
  <si>
    <t>Henley-on-Thames  #129</t>
  </si>
  <si>
    <t>Littlehampton Prom  #37</t>
  </si>
  <si>
    <t>March  #201</t>
  </si>
  <si>
    <t>Osterley  #323</t>
  </si>
  <si>
    <t>Pole Mokotowskie  #59</t>
  </si>
  <si>
    <t>Richmond Park  #648</t>
  </si>
  <si>
    <t>Rushmoor  #276</t>
  </si>
  <si>
    <t>Snowden Field  #31</t>
  </si>
  <si>
    <t>Southampton  #392</t>
  </si>
  <si>
    <t>St Albans  #423</t>
  </si>
  <si>
    <t>Stonehouse  #178</t>
  </si>
  <si>
    <t>The Wammy  #94</t>
  </si>
  <si>
    <t>Tring #282</t>
  </si>
  <si>
    <t>Upton Court  #364</t>
  </si>
  <si>
    <t>Wendover Woods  #68</t>
  </si>
  <si>
    <t>Woking  #266</t>
  </si>
  <si>
    <t>Stratford Park, Stroud  #19</t>
  </si>
  <si>
    <t>course pb by 46 secs</t>
  </si>
  <si>
    <t>course pb by 1 sec</t>
  </si>
  <si>
    <t>Coburg, Vic, AU #249</t>
  </si>
  <si>
    <t>Darebin, Vic, AU  #156</t>
  </si>
  <si>
    <t>course pb by 7 secs</t>
  </si>
  <si>
    <t>course pb by 52 secs</t>
  </si>
  <si>
    <t>course pb by 13 secs</t>
  </si>
  <si>
    <t>parks</t>
  </si>
  <si>
    <t>0830 start</t>
  </si>
  <si>
    <t>Murray Hogge</t>
  </si>
  <si>
    <t>Maidenhead #250</t>
  </si>
  <si>
    <t>run #379, park#293, BApark #550</t>
  </si>
  <si>
    <t>run #380, park#294, BApark #551</t>
  </si>
  <si>
    <t>6 secs better than at Crane Park</t>
  </si>
  <si>
    <t>1st run at Andover</t>
  </si>
  <si>
    <t>1st run at Southampton, park #45</t>
  </si>
  <si>
    <t>park #35, BApark #552</t>
  </si>
  <si>
    <t>0830 start, park #31</t>
  </si>
  <si>
    <t>1st run at Bognor, park #86</t>
  </si>
  <si>
    <t>1st run at Bognor ,park #86</t>
  </si>
  <si>
    <t>park #84, BApark #553</t>
  </si>
  <si>
    <t>1st run at Littlehampton, park #85</t>
  </si>
  <si>
    <t>4th New Year at Crane</t>
  </si>
  <si>
    <t>club record, park #52</t>
  </si>
  <si>
    <t>club record, park #51</t>
  </si>
  <si>
    <t>72nd run at Woking</t>
  </si>
  <si>
    <t>10th run at Upton Court</t>
  </si>
  <si>
    <t>46th run at Upton Court</t>
  </si>
  <si>
    <t>314th run at Black Park</t>
  </si>
  <si>
    <t>park #80, BApark #557</t>
  </si>
  <si>
    <t>park #79, BApark #555</t>
  </si>
  <si>
    <t>course pb (18"), club record (M)</t>
  </si>
  <si>
    <t>10.00 a.m.start, park #21</t>
  </si>
  <si>
    <t>park #54 at 9 a.m.</t>
  </si>
  <si>
    <t>park #55 at 10 a.m.</t>
  </si>
  <si>
    <t>park #52</t>
  </si>
  <si>
    <t>Highbury Fields #432</t>
  </si>
  <si>
    <t>4th run at Highbury Fields</t>
  </si>
  <si>
    <t>very very crowded</t>
  </si>
  <si>
    <t>63rd run at March</t>
  </si>
  <si>
    <t>3rd run at Snowden Field</t>
  </si>
  <si>
    <t>run #40, 18th at St Albans</t>
  </si>
  <si>
    <t>faster than at Crane</t>
  </si>
  <si>
    <t>only one pb today, sorry</t>
  </si>
  <si>
    <t>club rec (F), park #115</t>
  </si>
  <si>
    <t>course pb by 59 secs (4 years ago)</t>
  </si>
  <si>
    <t>run #252, park #116, BApark #558</t>
  </si>
  <si>
    <t>STO</t>
  </si>
  <si>
    <t>SPS</t>
  </si>
  <si>
    <t>run #42, park #13, BA park#554</t>
  </si>
  <si>
    <t>run #43, park #14, BA park #556</t>
  </si>
  <si>
    <t>Canons Park  #172</t>
  </si>
  <si>
    <t>F-1, park #40,  BApark #552, age cat rec</t>
  </si>
  <si>
    <t>Gunnersbury #420</t>
  </si>
  <si>
    <t>Harrow #244</t>
  </si>
  <si>
    <t>Bushy Park #824</t>
  </si>
  <si>
    <t>Richmond Park #649</t>
  </si>
  <si>
    <t>Black Park #554</t>
  </si>
  <si>
    <t>1st run at Harrow, park #58</t>
  </si>
  <si>
    <t>Guildford #383</t>
  </si>
  <si>
    <t>run #301, 15th at Guildford</t>
  </si>
  <si>
    <t>Tailwalker (51:35)</t>
  </si>
  <si>
    <t>St Albans #424</t>
  </si>
  <si>
    <t>run #41, 19th at St Albans</t>
  </si>
  <si>
    <t xml:space="preserve">Barclay </t>
  </si>
  <si>
    <t>Crane Park #404</t>
  </si>
  <si>
    <t>216th run at Crane Park</t>
  </si>
  <si>
    <t>1st run at Crane, park #36</t>
  </si>
  <si>
    <t xml:space="preserve">Crane Park #404 </t>
  </si>
  <si>
    <t>1st run at Crane, park #41</t>
  </si>
  <si>
    <t>Homewood #171</t>
  </si>
  <si>
    <t>1st run at Homewood, park #54</t>
  </si>
  <si>
    <t>Osterley #324</t>
  </si>
  <si>
    <t>300 fewer runners today (cf 1 Jan)</t>
  </si>
  <si>
    <t>6th run at Fulham Palace</t>
  </si>
  <si>
    <t>Fulham Palace #326</t>
  </si>
  <si>
    <t>Higginson, Marlow #63</t>
  </si>
  <si>
    <t>Higginson dried out after 4 weeks</t>
  </si>
  <si>
    <t>Oonagh</t>
  </si>
  <si>
    <t>Thompson</t>
  </si>
  <si>
    <t>Birdsland Reserve #39</t>
  </si>
  <si>
    <t>park #295, BApark #559</t>
  </si>
  <si>
    <t>Hanworth #36</t>
  </si>
  <si>
    <t>run #400, 8th at Hanworth</t>
  </si>
  <si>
    <t>F-1, 5th run at Hanworth</t>
  </si>
  <si>
    <t>run #347, 6th at Hanworth</t>
  </si>
  <si>
    <t>Ifield Mill Pond #15</t>
  </si>
  <si>
    <t>1st run at Ifield, park #87</t>
  </si>
  <si>
    <t>Bedfont Lakes #542</t>
  </si>
  <si>
    <t>97th run at Bedfont Lakes</t>
  </si>
  <si>
    <t>304th run at Bedfont Lakes</t>
  </si>
  <si>
    <t>256th run at Bedfont Lakes</t>
  </si>
  <si>
    <t>run #246 (getting closer !)</t>
  </si>
  <si>
    <t>tailwalker's companion</t>
  </si>
  <si>
    <t>Maidenhead #251</t>
  </si>
  <si>
    <t>run #175, 89th at Maidenhead</t>
  </si>
  <si>
    <t>run #202, 93rd at Maidenhead</t>
  </si>
  <si>
    <t>run #120, 11th at Upton Court</t>
  </si>
  <si>
    <t>1st run at Panshanger, park #</t>
  </si>
  <si>
    <t>Panshanger #282</t>
  </si>
  <si>
    <t>Woking #267</t>
  </si>
  <si>
    <t>run #90, 73rd at Woking</t>
  </si>
  <si>
    <t>run #276, 11th at Daventry</t>
  </si>
  <si>
    <t>Daventry #276</t>
  </si>
  <si>
    <t>Upton Court #365</t>
  </si>
  <si>
    <t>run #141, 124th run at Bushy</t>
  </si>
  <si>
    <t>run #412, 315th at Bushy</t>
  </si>
  <si>
    <t>15th calendar year at Bushy</t>
  </si>
  <si>
    <t>best age grade % at Richmond</t>
  </si>
  <si>
    <t>run #136, 11th at Fulham Palace</t>
  </si>
  <si>
    <t>Stratford P, Stroud</t>
  </si>
  <si>
    <t>Birdsland Reserve, Vic, AU</t>
  </si>
  <si>
    <t>Birdisland Reserve</t>
  </si>
  <si>
    <t>BRV</t>
  </si>
  <si>
    <t>Balyang Sanc</t>
  </si>
  <si>
    <t>Birdisland R</t>
  </si>
  <si>
    <t>former IM team member</t>
  </si>
  <si>
    <t>after 15 events</t>
  </si>
  <si>
    <t>run #350, Attendance record 845</t>
  </si>
  <si>
    <t>barcode scanning , attendance record 701</t>
  </si>
  <si>
    <t>latest results</t>
  </si>
  <si>
    <t>Timboon, Vic, AU</t>
  </si>
  <si>
    <t>TIM</t>
  </si>
  <si>
    <t>Timboom</t>
  </si>
  <si>
    <t>run #382, park #296, BApark #560</t>
  </si>
  <si>
    <t>First finisher</t>
  </si>
  <si>
    <t>Black Park #556</t>
  </si>
  <si>
    <t>Bushy Park #826</t>
  </si>
  <si>
    <t>California Country #50</t>
  </si>
  <si>
    <t>Crane Park #406</t>
  </si>
  <si>
    <t>Fulham Palace #328</t>
  </si>
  <si>
    <t>Gunnersbury #422</t>
  </si>
  <si>
    <t>Hanworth #38</t>
  </si>
  <si>
    <t>Maidenhead #253</t>
  </si>
  <si>
    <t>Mile End #415</t>
  </si>
  <si>
    <t>Osterley #326</t>
  </si>
  <si>
    <t>Portsmouth Lakeside #193</t>
  </si>
  <si>
    <t>Presint 18 (Malaysia) #63</t>
  </si>
  <si>
    <t>Richmond Park #651</t>
  </si>
  <si>
    <t>Rushmoor #279</t>
  </si>
  <si>
    <t>Sandhurst Memorial #6</t>
  </si>
  <si>
    <t>South Norwood #134</t>
  </si>
  <si>
    <t>St Albans #426</t>
  </si>
  <si>
    <t>Upton Court #367</t>
  </si>
  <si>
    <t>Zandvlei #175</t>
  </si>
  <si>
    <t xml:space="preserve">Eddie  </t>
  </si>
  <si>
    <t xml:space="preserve">Joe  </t>
  </si>
  <si>
    <t xml:space="preserve">Zoe  </t>
  </si>
  <si>
    <t xml:space="preserve">Frankie  </t>
  </si>
  <si>
    <t xml:space="preserve">Jain </t>
  </si>
  <si>
    <t xml:space="preserve">Jacqui </t>
  </si>
  <si>
    <t xml:space="preserve">Trish  </t>
  </si>
  <si>
    <t xml:space="preserve">Also Barcode Scanning </t>
  </si>
  <si>
    <t xml:space="preserve">BA Best Age Grade </t>
  </si>
  <si>
    <t xml:space="preserve">club rec (F) and agegrade record </t>
  </si>
  <si>
    <t>course pb, 31s improvement</t>
  </si>
  <si>
    <t>course pb, 71s improvement</t>
  </si>
  <si>
    <t xml:space="preserve">XC warm-up </t>
  </si>
  <si>
    <t xml:space="preserve">Delaware and Raritan Canal </t>
  </si>
  <si>
    <t xml:space="preserve">Gladstone </t>
  </si>
  <si>
    <t xml:space="preserve">Homewood </t>
  </si>
  <si>
    <t xml:space="preserve">Jersey Farm </t>
  </si>
  <si>
    <t xml:space="preserve">Manor Field, Whittlesey </t>
  </si>
  <si>
    <t xml:space="preserve">Newcastle </t>
  </si>
  <si>
    <t xml:space="preserve">Rickmansworth </t>
  </si>
  <si>
    <t xml:space="preserve">Winchester </t>
  </si>
  <si>
    <t xml:space="preserve">First parkrun since April </t>
  </si>
  <si>
    <t>Harjit</t>
  </si>
  <si>
    <t>Jhooti</t>
  </si>
  <si>
    <t>Malmo</t>
  </si>
  <si>
    <t>Malmo Ribersborg</t>
  </si>
  <si>
    <t>course pb, now 3rd BA man at Bedfont</t>
  </si>
  <si>
    <t>Brixworth Country , Northants</t>
  </si>
  <si>
    <t>club rec, nearly 80%</t>
  </si>
  <si>
    <t>not quite as fast as Barry Walters has run here</t>
  </si>
  <si>
    <t>Brixworth Country, Northants</t>
  </si>
  <si>
    <t>club rec (F), park #59</t>
  </si>
  <si>
    <t>BRX</t>
  </si>
  <si>
    <t>Brixworth Country (Northants)</t>
  </si>
  <si>
    <t>Brixw</t>
  </si>
  <si>
    <t>run #254, park #117, BA park #561</t>
  </si>
  <si>
    <t>first run at Gladstone, park #81</t>
  </si>
  <si>
    <t>club rec (F), park # 45</t>
  </si>
  <si>
    <t>club rec, nearly 80%, park #43</t>
  </si>
  <si>
    <t>run #91, 74th at Woking</t>
  </si>
  <si>
    <t>Wallaceneuk</t>
  </si>
  <si>
    <t>started 18/1/20</t>
  </si>
  <si>
    <t>Beacon</t>
  </si>
  <si>
    <t>Coed-cefn-pwll-du</t>
  </si>
  <si>
    <t>Lews Castle</t>
  </si>
  <si>
    <t>started 11/1/20</t>
  </si>
  <si>
    <t>Bear Brook *</t>
  </si>
  <si>
    <t>first run at St Albans, park #90</t>
  </si>
  <si>
    <t>23 minute Pacer and token sorting</t>
  </si>
  <si>
    <t>60% pacer (joke)</t>
  </si>
  <si>
    <t>1st lady &amp; top graded</t>
  </si>
  <si>
    <t>Fastest since July 2017</t>
  </si>
  <si>
    <t>1st run as club member</t>
  </si>
  <si>
    <t>Finish Tokens</t>
  </si>
  <si>
    <t>Tail walker</t>
  </si>
  <si>
    <t>3rd PB in a row - a further 6s improvement</t>
  </si>
  <si>
    <t>298th different</t>
  </si>
  <si>
    <t>Zandvlei</t>
  </si>
  <si>
    <t>Scot</t>
  </si>
  <si>
    <t>Roderiock</t>
  </si>
  <si>
    <t>Bedfont Lakes #545</t>
  </si>
  <si>
    <t>Black Park #557</t>
  </si>
  <si>
    <t>Brooklands #56</t>
  </si>
  <si>
    <t>Bushy Park #827</t>
  </si>
  <si>
    <t>California Country #51</t>
  </si>
  <si>
    <t>Crane Park #407</t>
  </si>
  <si>
    <t>Frimley Lodge #520</t>
  </si>
  <si>
    <t>Fulham Palace #329</t>
  </si>
  <si>
    <t>Gunnersbury #423</t>
  </si>
  <si>
    <t>Harrow #247</t>
  </si>
  <si>
    <t>Hazelwood #93</t>
  </si>
  <si>
    <t>Henley-on-Thames #132</t>
  </si>
  <si>
    <t>Manor Field, Whittlesey #75</t>
  </si>
  <si>
    <t>Northala Fields #295</t>
  </si>
  <si>
    <t>Old Deer Park #478</t>
  </si>
  <si>
    <t>Osterley #327</t>
  </si>
  <si>
    <t>Richmond Park #652</t>
  </si>
  <si>
    <t>Roundshaw Downs #569</t>
  </si>
  <si>
    <t>Rushmoor #280</t>
  </si>
  <si>
    <t>Sandhurst Memorial #7</t>
  </si>
  <si>
    <t>Southwark #325</t>
  </si>
  <si>
    <t>Woodley #382</t>
  </si>
  <si>
    <t>Wycombe Rye #385</t>
  </si>
  <si>
    <t>Zandvlei #176</t>
  </si>
  <si>
    <t>2020 challenge - first point</t>
  </si>
  <si>
    <t>Bedfont Lakes  #544</t>
  </si>
  <si>
    <t>Presint 18, Putrajaya, MY</t>
  </si>
  <si>
    <t>Zandvlei, Capetown</t>
  </si>
  <si>
    <t>park #297, BApark #562</t>
  </si>
  <si>
    <t>Atholl, Johannesburg</t>
  </si>
  <si>
    <t>P18</t>
  </si>
  <si>
    <t>West Coast Park</t>
  </si>
  <si>
    <t>ZAV</t>
  </si>
  <si>
    <t>"Z", run #247, park #56, BA park #562</t>
  </si>
  <si>
    <t>50% pacer (joke), run #248</t>
  </si>
  <si>
    <t xml:space="preserve">club rec (F) and club agegrade record </t>
  </si>
  <si>
    <t>Excellent runs in 2020</t>
  </si>
  <si>
    <t>Consolidated 2020 results - alphabetical</t>
  </si>
  <si>
    <t xml:space="preserve">M-8 </t>
  </si>
  <si>
    <t>ATO</t>
  </si>
  <si>
    <t>Atholl (Johannesburg)</t>
  </si>
  <si>
    <t>Atholl (Johannesburg) #99</t>
  </si>
  <si>
    <t>Atholl</t>
  </si>
  <si>
    <t>M-1, Alt 5000ft, park #12, BA park #564</t>
  </si>
  <si>
    <t>F-1, "Z", club rec (F), park #43</t>
  </si>
  <si>
    <t>M-8, "Z", club rec (time), park #38</t>
  </si>
  <si>
    <t>300th run at Bedfont Lakes + Barcode Scanning</t>
  </si>
  <si>
    <t>50th run at Crane Park</t>
  </si>
  <si>
    <t>Takes Trish's BA ladies' record by 7s, park #88</t>
  </si>
  <si>
    <t>2020 challenge - first point, 1st run at Rushmoor</t>
  </si>
  <si>
    <t>1st run at Fulham Palace, park #13</t>
  </si>
  <si>
    <t>run #198, 94th at Wycombe Rye</t>
  </si>
  <si>
    <t>started 25/1/20</t>
  </si>
  <si>
    <t>Bowling Park</t>
  </si>
  <si>
    <t>Doddington Hall</t>
  </si>
  <si>
    <t>Grove *</t>
  </si>
  <si>
    <t>Rothay Park</t>
  </si>
  <si>
    <t>Deerpark Forest,Ireland</t>
  </si>
  <si>
    <t>run #350 plus mulitiple volunteering roles</t>
  </si>
  <si>
    <t>Gladstone #400</t>
  </si>
  <si>
    <t>Higginson, Marlow #64</t>
  </si>
  <si>
    <t>28th run at Guildford</t>
  </si>
  <si>
    <t>St Albans #427</t>
  </si>
  <si>
    <t>first run at St Albans, park #65</t>
  </si>
  <si>
    <t>first run at St Albans, park #75</t>
  </si>
  <si>
    <t>San Juan</t>
  </si>
  <si>
    <t>Harrow #245</t>
  </si>
  <si>
    <t>Harrow #246</t>
  </si>
  <si>
    <t>2020Challenge</t>
  </si>
  <si>
    <t>Salisbury  #240</t>
  </si>
  <si>
    <t>California Country #49</t>
  </si>
  <si>
    <t>1st run at Upton House, club rec, park #35</t>
  </si>
  <si>
    <t>Bedfont Lakes #543</t>
  </si>
  <si>
    <t>Woodley #381</t>
  </si>
  <si>
    <t>Ifield Mill Pond #16</t>
  </si>
  <si>
    <t>Salisbury #240</t>
  </si>
  <si>
    <t>2020 clallenge first point</t>
  </si>
  <si>
    <t>Bedfont TW</t>
  </si>
  <si>
    <t>G'Bury (v)</t>
  </si>
  <si>
    <t>c</t>
  </si>
  <si>
    <t>r</t>
  </si>
  <si>
    <t>u</t>
  </si>
  <si>
    <t>i</t>
  </si>
  <si>
    <t>n</t>
  </si>
  <si>
    <t>g</t>
  </si>
  <si>
    <t xml:space="preserve"> s </t>
  </si>
  <si>
    <t>fly to Santiago</t>
  </si>
  <si>
    <t>fly fro BUE</t>
  </si>
  <si>
    <t>Matches time from last April.</t>
  </si>
  <si>
    <t>Bedfont Lakes #546</t>
  </si>
  <si>
    <t>California Country #52</t>
  </si>
  <si>
    <t>Cirencester #102</t>
  </si>
  <si>
    <t>Crane Park #408</t>
  </si>
  <si>
    <t>Crystal Palace #472</t>
  </si>
  <si>
    <t>Finsbury Park #503</t>
  </si>
  <si>
    <t>Fulham Palace #330</t>
  </si>
  <si>
    <t>Gunnersbury #424</t>
  </si>
  <si>
    <t>Harrow #248</t>
  </si>
  <si>
    <t>Hazelwood #94</t>
  </si>
  <si>
    <t>Maidenhead #255</t>
  </si>
  <si>
    <t>March #205</t>
  </si>
  <si>
    <t>Mile End #417</t>
  </si>
  <si>
    <t>Northala Fields #296</t>
  </si>
  <si>
    <t>Old Deer Park #479</t>
  </si>
  <si>
    <t>Osterley #328</t>
  </si>
  <si>
    <t>Richmond Park #653</t>
  </si>
  <si>
    <t>Rickmansworth #154</t>
  </si>
  <si>
    <t>Rushmoor #281</t>
  </si>
  <si>
    <t>Salcey Forest #14</t>
  </si>
  <si>
    <t>Sandhurst Memorial #8</t>
  </si>
  <si>
    <t>Sunny Hill #44</t>
  </si>
  <si>
    <t>The Leas #19</t>
  </si>
  <si>
    <t>Upton House #137</t>
  </si>
  <si>
    <t>Woking #271</t>
  </si>
  <si>
    <t>Woodley #383</t>
  </si>
  <si>
    <t>course pb by 28 seconds</t>
  </si>
  <si>
    <t>course pb by 11 seconds</t>
  </si>
  <si>
    <t>SCF</t>
  </si>
  <si>
    <t>Salcey Forest, Northants</t>
  </si>
  <si>
    <t>run#255, park #118, BA park #565</t>
  </si>
  <si>
    <t>course pb by 39 seconds</t>
  </si>
  <si>
    <t xml:space="preserve">Paul </t>
  </si>
  <si>
    <t xml:space="preserve">Steve  </t>
  </si>
  <si>
    <t xml:space="preserve">Maarten  </t>
  </si>
  <si>
    <t xml:space="preserve">Alan  </t>
  </si>
  <si>
    <t xml:space="preserve">Graham  </t>
  </si>
  <si>
    <t xml:space="preserve">Harjit </t>
  </si>
  <si>
    <t xml:space="preserve">Micheal  </t>
  </si>
  <si>
    <t>course pb by one second</t>
  </si>
  <si>
    <t>first run at Northala Fields, park #46</t>
  </si>
  <si>
    <t>50th run at Rushmoor</t>
  </si>
  <si>
    <t>first run at Upton House, park #36</t>
  </si>
  <si>
    <t>Black Park #558</t>
  </si>
  <si>
    <t>pacing squad minder, over 100 pbs achieved</t>
  </si>
  <si>
    <t>run #161, 70th at Maidenhead</t>
  </si>
  <si>
    <t>run #179, 91st at Maidenhead</t>
  </si>
  <si>
    <t>run #206, 95th at Maidenhead</t>
  </si>
  <si>
    <t>run #11, 2nd at Rickmansworth</t>
  </si>
  <si>
    <t>run #23, 9th at Rickmansworth</t>
  </si>
  <si>
    <t>run #16, 2nd at Rickmansworth</t>
  </si>
  <si>
    <t>course pb by 2 minutes, club record</t>
  </si>
  <si>
    <t>run #304, 10th at Osterley</t>
  </si>
  <si>
    <t>pacing Jakob (JM10)</t>
  </si>
  <si>
    <t>Berkeley Green, Glos</t>
  </si>
  <si>
    <t>started 1/2/20</t>
  </si>
  <si>
    <t>2nd run at Osterley, course pb by four minutes</t>
  </si>
  <si>
    <t>run #580, 46th at Osterley</t>
  </si>
  <si>
    <t>Isle of Sheppey</t>
  </si>
  <si>
    <t>1st run at Finsbury Park, club rec(F), park #62</t>
  </si>
  <si>
    <t>West MIdlands</t>
  </si>
  <si>
    <t>East Park, Wolverhampton</t>
  </si>
  <si>
    <t>EPW</t>
  </si>
  <si>
    <t>5th annual run (2015, 2017-20)</t>
  </si>
  <si>
    <t>Barcode Scanning</t>
  </si>
  <si>
    <t>Course PB by 12s</t>
  </si>
  <si>
    <t>299th different parkrun</t>
  </si>
  <si>
    <t>Course PB by 9 seconds, 5th PB in a row! Total improvement 61s.</t>
  </si>
  <si>
    <t>2minute PB</t>
  </si>
  <si>
    <t>Bedfont Lakes #547</t>
  </si>
  <si>
    <t>Bethlem Royal Hospital #38</t>
  </si>
  <si>
    <t>Black Park #559</t>
  </si>
  <si>
    <t>Brooklands #58</t>
  </si>
  <si>
    <t>Bushy Park #829</t>
  </si>
  <si>
    <t>Crane Park #409</t>
  </si>
  <si>
    <t>Crissy Field #261</t>
  </si>
  <si>
    <t>Daventry #281</t>
  </si>
  <si>
    <t>Dinton Pastures #85</t>
  </si>
  <si>
    <t>East Park, Wolverhampton #13</t>
  </si>
  <si>
    <t>Fulham Palace #331</t>
  </si>
  <si>
    <t>Guildford #387</t>
  </si>
  <si>
    <t>Harrow #249</t>
  </si>
  <si>
    <t>Hazelwood #95</t>
  </si>
  <si>
    <t>Higginson, Marlow #65</t>
  </si>
  <si>
    <t>Highbury Fields #336</t>
  </si>
  <si>
    <t>Ifield Mill Pond #20</t>
  </si>
  <si>
    <t>Kingston #518</t>
  </si>
  <si>
    <t>Lloyd #501</t>
  </si>
  <si>
    <t>Maidenhead #256</t>
  </si>
  <si>
    <t>Manor Field, Whittlesey #77</t>
  </si>
  <si>
    <t>Old Deer Park #480</t>
  </si>
  <si>
    <t>Osterley #329</t>
  </si>
  <si>
    <t>Portsmouth Lakeside #196</t>
  </si>
  <si>
    <t>Richmond Park #654</t>
  </si>
  <si>
    <t>Rushmoor #282</t>
  </si>
  <si>
    <t>St Albans #429</t>
  </si>
  <si>
    <t>Tilgate #406</t>
  </si>
  <si>
    <t>Wimbledon Common #692</t>
  </si>
  <si>
    <t>Woodley #384</t>
  </si>
  <si>
    <t>Wycombe Rye #387</t>
  </si>
  <si>
    <t xml:space="preserve">Andrew  </t>
  </si>
  <si>
    <t xml:space="preserve">Alastair  </t>
  </si>
  <si>
    <t xml:space="preserve">James  </t>
  </si>
  <si>
    <t xml:space="preserve">Janice  </t>
  </si>
  <si>
    <t>club rec (time and agegrade%), park #88</t>
  </si>
  <si>
    <t>club rec (F), park #89</t>
  </si>
  <si>
    <t>stopwatch bingo full house and club rec(F), park #63</t>
  </si>
  <si>
    <t>run #382, 306th at Bedfont Lakes</t>
  </si>
  <si>
    <t>run #221, 173rd at Bedfont Lakes</t>
  </si>
  <si>
    <t>run #256, 12th at Daventry</t>
  </si>
  <si>
    <t>M-6, parkrun pb, course pb by nearly 7 minutes, club rec(m)</t>
  </si>
  <si>
    <t>Great Yarmouth, North Beach</t>
  </si>
  <si>
    <t>started 8/2/20</t>
  </si>
  <si>
    <t>Wollaton Hall, Nottingham</t>
  </si>
  <si>
    <t>no longer a member!</t>
  </si>
  <si>
    <t>1st run at Kingston, park #25</t>
  </si>
  <si>
    <t>2020 challenge - second point</t>
  </si>
  <si>
    <t>and XC at Lloyd Park later on</t>
  </si>
  <si>
    <t>1st run at Wimbledon Common, park #21</t>
  </si>
  <si>
    <t>First finisher (and did XC race later), 2020 challenge point</t>
  </si>
  <si>
    <t>9th run at Brooklands</t>
  </si>
  <si>
    <t>92nd run at Maidenhead</t>
  </si>
  <si>
    <t>96th run at Maidenhead</t>
  </si>
  <si>
    <t>run #199, 95th at Wycombe Rye</t>
  </si>
  <si>
    <t>30' pacer trial run</t>
  </si>
  <si>
    <t>127th run at Bushy, 4th in 2020</t>
  </si>
  <si>
    <t>run #45, 22nd at St Abans</t>
  </si>
  <si>
    <t>River level has fallen at last</t>
  </si>
  <si>
    <t>M-5, club rec(m) an stuck around for XC, park #45</t>
  </si>
  <si>
    <t>better than 4 mph (just)</t>
  </si>
  <si>
    <t>run #276, 92nd at Woodley, 2020 sb</t>
  </si>
  <si>
    <t>run #262, 7th at Fire Service College</t>
  </si>
  <si>
    <t>slowest at FSC so far !</t>
  </si>
  <si>
    <t>club rec (M), park #37</t>
  </si>
  <si>
    <t>Gloucester North (only run prior to joining)</t>
  </si>
  <si>
    <t>Chipping Sodbury (not yet run)</t>
  </si>
  <si>
    <t>Henstridge Airfield (not yet run)</t>
  </si>
  <si>
    <t>Shepton Mallet (not yet run)</t>
  </si>
  <si>
    <t>Stratford Park</t>
  </si>
  <si>
    <t>Not yet run</t>
  </si>
  <si>
    <t>Somerdate Pavilion, Keysham</t>
  </si>
  <si>
    <t>parkruns in Southwest England</t>
  </si>
  <si>
    <t>parkruns in West Midlands Region</t>
  </si>
  <si>
    <t xml:space="preserve">SHR   </t>
  </si>
  <si>
    <t>Wammy</t>
  </si>
  <si>
    <t xml:space="preserve">Warwick Race </t>
  </si>
  <si>
    <t>Churchfield Fm</t>
  </si>
  <si>
    <t>(Redditch)</t>
  </si>
  <si>
    <t>Hanworth -4</t>
  </si>
  <si>
    <t>Osterley  #329</t>
  </si>
  <si>
    <t xml:space="preserve">Gunnersbury #412 </t>
  </si>
  <si>
    <t xml:space="preserve"> tailwalker 375</t>
  </si>
  <si>
    <t>tailwalker 376</t>
  </si>
  <si>
    <t>Bedfont Lakes #550</t>
  </si>
  <si>
    <t>Netherlands Launch</t>
  </si>
  <si>
    <t>Caroline Cockram 25:01 (20:14)</t>
  </si>
  <si>
    <t>East Park</t>
  </si>
  <si>
    <t>331-334</t>
  </si>
  <si>
    <t>windy</t>
  </si>
  <si>
    <t>Guildford (Cancelled)</t>
  </si>
  <si>
    <t>Bedfont Lakes #548</t>
  </si>
  <si>
    <t>Emma</t>
  </si>
  <si>
    <t>Moreton</t>
  </si>
  <si>
    <t>Slower than previous visit</t>
  </si>
  <si>
    <t>Not to be blamed for the weather</t>
  </si>
  <si>
    <t>Ally Pally #412</t>
  </si>
  <si>
    <t>Bedworth #100</t>
  </si>
  <si>
    <t>Black Park #560</t>
  </si>
  <si>
    <t>Bushy Park #830</t>
  </si>
  <si>
    <t>Cirencester #104</t>
  </si>
  <si>
    <t>Crane Park #410</t>
  </si>
  <si>
    <t>Frimley Lodge #523</t>
  </si>
  <si>
    <t>Gunnersbury #426</t>
  </si>
  <si>
    <t>Hampstead Heath #455</t>
  </si>
  <si>
    <t>Harrow #250</t>
  </si>
  <si>
    <t>Hazelwood #96</t>
  </si>
  <si>
    <t>Ifield Mill Pond #21</t>
  </si>
  <si>
    <t>Lac de Divonne #146</t>
  </si>
  <si>
    <t>Maidenhead #257</t>
  </si>
  <si>
    <t>Manor Field, Whittlesey #87</t>
  </si>
  <si>
    <t>Osterley #330</t>
  </si>
  <si>
    <t>Richmond Park #655</t>
  </si>
  <si>
    <t>Riddlesdown #470</t>
  </si>
  <si>
    <t>Rondebosch Common #321</t>
  </si>
  <si>
    <t>Rushmoor #283</t>
  </si>
  <si>
    <t>St Albans #430</t>
  </si>
  <si>
    <t>Woking #273</t>
  </si>
  <si>
    <t>Woodley #385</t>
  </si>
  <si>
    <t>RON</t>
  </si>
  <si>
    <t>Rondesbosch Common, ZA</t>
  </si>
  <si>
    <t>Rondesbosch</t>
  </si>
  <si>
    <t>M-5, course pb by 16 seconds</t>
  </si>
  <si>
    <t xml:space="preserve">Mark  </t>
  </si>
  <si>
    <t xml:space="preserve">Tom  </t>
  </si>
  <si>
    <t>M-3, run #264, 1st at Renton, club record, park #26</t>
  </si>
  <si>
    <t>With Sarah, and 2 minutes ahead of the backmarker/tailwalker</t>
  </si>
  <si>
    <t>6th PB in a row, another 16 seconds. Total improvement 77s.</t>
  </si>
  <si>
    <t>course pb by 21 seconds</t>
  </si>
  <si>
    <t>run #581, 47th at Osterley</t>
  </si>
  <si>
    <t>run #378, 9th at Osterley</t>
  </si>
  <si>
    <t>run #340, 5th at Osterley, agegrade% improvement</t>
  </si>
  <si>
    <t>Gratton</t>
  </si>
  <si>
    <t>run #15, 1983 London Marathon winner (2:09:43)</t>
  </si>
  <si>
    <t>F-3, 99th run at Woking</t>
  </si>
  <si>
    <t>park #64, establishes club rec (F)</t>
  </si>
  <si>
    <t>NEW - plus volunteering as communications person</t>
  </si>
  <si>
    <t>M-5, first run at Bedfont this year</t>
  </si>
  <si>
    <t>Emma Moreton is also a member of Shepperton Running Group</t>
  </si>
  <si>
    <t xml:space="preserve">Emma </t>
  </si>
  <si>
    <t>Noreton</t>
  </si>
  <si>
    <t>TTR</t>
  </si>
  <si>
    <t xml:space="preserve"> run before joining</t>
  </si>
  <si>
    <t>Emma Moreton</t>
  </si>
  <si>
    <t>Emma Morton</t>
  </si>
  <si>
    <t>MYR</t>
  </si>
  <si>
    <t>run #247, 160th at Bedfont Lakes</t>
  </si>
  <si>
    <t>Slower than previous visit, 2020 challenge point</t>
  </si>
  <si>
    <t>second run at Bushy parkrun</t>
  </si>
  <si>
    <t>run #417, 329th at Bushy</t>
  </si>
  <si>
    <t>top agegrade% at Crane Park this week</t>
  </si>
  <si>
    <t>F-6, 66th run at Crane Park</t>
  </si>
  <si>
    <t>5th run at Frimley</t>
  </si>
  <si>
    <t>4th run at Hampstead</t>
  </si>
  <si>
    <t>3rd run at Frimley</t>
  </si>
  <si>
    <t>4th run at Frimley</t>
  </si>
  <si>
    <t>run #500, former 5000m world record holder (15:14.51)</t>
  </si>
  <si>
    <t>run #263, 172nd at Gunnersbury</t>
  </si>
  <si>
    <t>M-5, 6th run at Ifield Mill Pond, course pb by 16 seconds</t>
  </si>
  <si>
    <t>run #181, 93rd at Maidenhead</t>
  </si>
  <si>
    <t>run #208, 97th at Maidenhead</t>
  </si>
  <si>
    <t>run #29, all at Riddlesdown, first run since last July</t>
  </si>
  <si>
    <t>run #353, park #83, BApark #567, 249th/944</t>
  </si>
  <si>
    <t>M-7, 3rd run at Rushmoor</t>
  </si>
  <si>
    <t>99th run at Woking, top agegrade% at Woking this week</t>
  </si>
  <si>
    <t>run #170, 152nd at Woking</t>
  </si>
  <si>
    <t>93rd run at Woodley, fifth this year (ran 6 times in 2019)</t>
  </si>
  <si>
    <t>first parkrun in France</t>
  </si>
  <si>
    <t>wet and windy !</t>
  </si>
  <si>
    <t>Slower than previous visits. Record attendance 379</t>
  </si>
  <si>
    <t>run #46, 24th at Cirencester</t>
  </si>
  <si>
    <t>first run at Bushy parkrun, park #39</t>
  </si>
  <si>
    <t>Doncaster (Sandall Park)</t>
  </si>
  <si>
    <t>Lac Divonne</t>
  </si>
  <si>
    <t>West Midlands County</t>
  </si>
  <si>
    <t>Victor Hbr</t>
  </si>
  <si>
    <t>other runsin Tasmania</t>
  </si>
  <si>
    <t>QPG</t>
  </si>
  <si>
    <t>at run 17</t>
  </si>
  <si>
    <t>Queens Glasgow</t>
  </si>
  <si>
    <t>Hazelwood #97</t>
  </si>
  <si>
    <t>Faster than last week by 1s</t>
  </si>
  <si>
    <t>222nd run on 22/2 / PB by 37s</t>
  </si>
  <si>
    <t>U What?</t>
  </si>
  <si>
    <t xml:space="preserve">Emma  </t>
  </si>
  <si>
    <t xml:space="preserve">Oliver  </t>
  </si>
  <si>
    <t xml:space="preserve">Kelly  </t>
  </si>
  <si>
    <t xml:space="preserve">Jacqueline  </t>
  </si>
  <si>
    <t xml:space="preserve">James </t>
  </si>
  <si>
    <t>course pb by 37 secs</t>
  </si>
  <si>
    <t>course pb by another 7 secs</t>
  </si>
  <si>
    <t>M-1 (again)</t>
  </si>
  <si>
    <t>Bedfont Lakes #549</t>
  </si>
  <si>
    <t>Black Park #561</t>
  </si>
  <si>
    <t>Bushy Park #831</t>
  </si>
  <si>
    <t>Cirencester #105</t>
  </si>
  <si>
    <t>Crane Park 411</t>
  </si>
  <si>
    <t>Dinton Pastures #87</t>
  </si>
  <si>
    <t>Fire Service College #59</t>
  </si>
  <si>
    <t>Fulham Palace #332</t>
  </si>
  <si>
    <t>Gunnersbury #427</t>
  </si>
  <si>
    <t>Hackney Marshes #504</t>
  </si>
  <si>
    <t>Harrow #251</t>
  </si>
  <si>
    <t>Ifield Mill Pond #22</t>
  </si>
  <si>
    <t>Maidenhead #258</t>
  </si>
  <si>
    <t>Manor Field, Whittlesey #79</t>
  </si>
  <si>
    <t>Old Deer Park #482</t>
  </si>
  <si>
    <t>Osterley #331</t>
  </si>
  <si>
    <t>Queen’s, Glasgow #18</t>
  </si>
  <si>
    <t>Richmond Park #656</t>
  </si>
  <si>
    <t>Rushmoor #284</t>
  </si>
  <si>
    <t>Salcey Forest #17</t>
  </si>
  <si>
    <t>St Albans #431</t>
  </si>
  <si>
    <t>Upton Court #372</t>
  </si>
  <si>
    <t>Wycombe Rye #389</t>
  </si>
  <si>
    <t>Yeovil Montacute #293</t>
  </si>
  <si>
    <t>Zandvlei #180</t>
  </si>
  <si>
    <t>first run at Dinton Pastures, park #22</t>
  </si>
  <si>
    <t>run #57, 3rd at Dinton Pastures</t>
  </si>
  <si>
    <t>six week pb streak comes to an end</t>
  </si>
  <si>
    <t>M-6, best agegrade% at Osterley in 8 runs</t>
  </si>
  <si>
    <t>F-2, 11th run at Osterley</t>
  </si>
  <si>
    <t>run #383, 7th at Osterley</t>
  </si>
  <si>
    <t>run #248, 3rd at Osterley</t>
  </si>
  <si>
    <t>first parkrun of 2020</t>
  </si>
  <si>
    <t>1st run at Old Deer Park, park #18</t>
  </si>
  <si>
    <t>Queen's Park, Glasgow</t>
  </si>
  <si>
    <t>3rd "Queen" parkrun, 3rd hundred of parkruns completed</t>
  </si>
  <si>
    <t>F-1, top age grade% of the day at Upton Court</t>
  </si>
  <si>
    <t>F-3, 2nd age grade% of the day at Upton Court</t>
  </si>
  <si>
    <t>"Z" in ZA, 2020 challenge 2nd point</t>
  </si>
  <si>
    <t>F-8</t>
  </si>
  <si>
    <t>M-5, 5 secs outside course pb</t>
  </si>
  <si>
    <t>94th run at Maidenhead</t>
  </si>
  <si>
    <t>98th run at Maidenhead</t>
  </si>
  <si>
    <t xml:space="preserve">alternative course round the pitches, lots of "U" turns </t>
  </si>
  <si>
    <t>"Y", To tease Julie &amp; Paul, Yeovil was on this week</t>
  </si>
  <si>
    <t>half term family run, pb for Megan (JW10)</t>
  </si>
  <si>
    <t>30 30 pacing experiment</t>
  </si>
  <si>
    <t>41 volunteers this week so run went ahead</t>
  </si>
  <si>
    <t>Bedfont Lak</t>
  </si>
  <si>
    <t>249th run (best laid plans and all that)</t>
  </si>
  <si>
    <t>Leaping frog marshal</t>
  </si>
  <si>
    <t>Trying for a position bingo number?</t>
  </si>
  <si>
    <t>Con Smith</t>
  </si>
  <si>
    <t>1st finisher (for the 1st time). PB by 30s.</t>
  </si>
  <si>
    <t>Alice Holt #362</t>
  </si>
  <si>
    <t>Braunstone #487</t>
  </si>
  <si>
    <t>Bushy Park #832</t>
  </si>
  <si>
    <t>California Country #55</t>
  </si>
  <si>
    <t>Con Smith #8</t>
  </si>
  <si>
    <t>Crane Park #412</t>
  </si>
  <si>
    <t>Goffert #1</t>
  </si>
  <si>
    <t>Hanworth #44</t>
  </si>
  <si>
    <t>Harrow #252</t>
  </si>
  <si>
    <t>Hazelwood #98</t>
  </si>
  <si>
    <t>Maidenhead #259</t>
  </si>
  <si>
    <t>Osterley #332</t>
  </si>
  <si>
    <t>Reigate Priory #312</t>
  </si>
  <si>
    <t>Richmond Park #657</t>
  </si>
  <si>
    <t>Salisbury #247</t>
  </si>
  <si>
    <t>South Oxhey #268</t>
  </si>
  <si>
    <t>St Albans #432</t>
  </si>
  <si>
    <t>Tring #291</t>
  </si>
  <si>
    <t>Woking #275</t>
  </si>
  <si>
    <t>Goffert, Netherlands</t>
  </si>
  <si>
    <t>F-9, run #319, park #66, BA park #570</t>
  </si>
  <si>
    <t xml:space="preserve">Janet  </t>
  </si>
  <si>
    <t xml:space="preserve">Janice </t>
  </si>
  <si>
    <t xml:space="preserve">Alice  </t>
  </si>
  <si>
    <t>Con Smith, Co Cavan</t>
  </si>
  <si>
    <t>CON</t>
  </si>
  <si>
    <t>GOF</t>
  </si>
  <si>
    <t>run #75, 1st at Alice Holt, park #15</t>
  </si>
  <si>
    <t>Tail Walker for Neil's 250th (planned !)</t>
  </si>
  <si>
    <t>Dutch inaugural. 18th Country. BA park #569</t>
  </si>
  <si>
    <t>Bethlem -4</t>
  </si>
  <si>
    <t>Henley -4</t>
  </si>
  <si>
    <t>Letchworth +3</t>
  </si>
  <si>
    <t>Goffert</t>
  </si>
  <si>
    <t>Goffert, Nijmegen, Netherlands</t>
  </si>
  <si>
    <t>only 523 runners at Bushy this week</t>
  </si>
  <si>
    <t>Marshal - see photos on Woking parkrun news</t>
  </si>
  <si>
    <t>first run at Osterley, park #44</t>
  </si>
  <si>
    <t>1st run at South Oxhey, park #85</t>
  </si>
  <si>
    <t xml:space="preserve">F-3, 100th parkrun at Woking </t>
  </si>
  <si>
    <t>99th run at Maidenhead</t>
  </si>
  <si>
    <t>95th run at Maidenhead</t>
  </si>
  <si>
    <t>1st run at California, park #45</t>
  </si>
  <si>
    <t>1st run at California, park #41</t>
  </si>
  <si>
    <t>run #67, 3rd at Reigate Priory</t>
  </si>
  <si>
    <t>2nd run at Tring</t>
  </si>
  <si>
    <t>53rd run at Salisbury</t>
  </si>
  <si>
    <t>run #48, 25th at St Albans</t>
  </si>
  <si>
    <t>G'Bury marshal</t>
  </si>
  <si>
    <t>Started 29/2/20</t>
  </si>
  <si>
    <t>Chalkwell Beach, Westcliffe</t>
  </si>
  <si>
    <t>near Southend</t>
  </si>
  <si>
    <t>Crawfordsburn Country, Down</t>
  </si>
  <si>
    <t>Itchen Valley Country, Hants</t>
  </si>
  <si>
    <t>Knockbracken Reservoir, BFS</t>
  </si>
  <si>
    <t>Wickford Memorial, Essex</t>
  </si>
  <si>
    <t>ankle deep puddles</t>
  </si>
  <si>
    <t>Miller</t>
  </si>
  <si>
    <t>plus Barcode Scanning</t>
  </si>
  <si>
    <t>Quality checking his 30minute pacer - they were 2 seconds fast!</t>
  </si>
  <si>
    <t>Just 0.02% under his Bushy best age grade</t>
  </si>
  <si>
    <t>Rare for Maria not to make the top 100</t>
  </si>
  <si>
    <t>Downview</t>
  </si>
  <si>
    <t>5th time at MM, PB by 39 seconds</t>
  </si>
  <si>
    <t>10th run at NF, matches previous time</t>
  </si>
  <si>
    <t>BA Cabin Crew member, 5th run, all different.</t>
  </si>
  <si>
    <t>2nd run at Prospect</t>
  </si>
  <si>
    <t>Run #249, PB by over 6 minutes</t>
  </si>
  <si>
    <t>Bedfont Lakes #551</t>
  </si>
  <si>
    <t>Still on 249, at Yeovil but didn't run !</t>
  </si>
  <si>
    <t>Black Park #563</t>
  </si>
  <si>
    <t>Bushy Park #833</t>
  </si>
  <si>
    <t>Crane Park #413</t>
  </si>
  <si>
    <t>Downview #23 (women prison)</t>
  </si>
  <si>
    <t>Fulham Palace #334</t>
  </si>
  <si>
    <t>Guildford #388</t>
  </si>
  <si>
    <t>Gunnersbury #429</t>
  </si>
  <si>
    <t>Hampstead Heath #458</t>
  </si>
  <si>
    <t>Hanworth #45</t>
  </si>
  <si>
    <t>Harrow #253</t>
  </si>
  <si>
    <t>Hazelwood #99</t>
  </si>
  <si>
    <t>Maidenhead #260</t>
  </si>
  <si>
    <t>Melton Mowbray #276</t>
  </si>
  <si>
    <t>Mole Valley #108</t>
  </si>
  <si>
    <t>Northala Fields #301</t>
  </si>
  <si>
    <t>Osterley #333</t>
  </si>
  <si>
    <t>Prospect #88</t>
  </si>
  <si>
    <t>Rushmoor #285</t>
  </si>
  <si>
    <t>Seaton #173</t>
  </si>
  <si>
    <t>St Albans #433</t>
  </si>
  <si>
    <t>Wycombe Rye #391</t>
  </si>
  <si>
    <t>best time since Victoria Dock in November, Woking 5 tomorrow</t>
  </si>
  <si>
    <t>best time since Nov 2017, Woking 5 tomorrow</t>
  </si>
  <si>
    <t>Jordon</t>
  </si>
  <si>
    <t>Marshall</t>
  </si>
  <si>
    <t xml:space="preserve">Adam  </t>
  </si>
  <si>
    <t xml:space="preserve">Melanie  </t>
  </si>
  <si>
    <t xml:space="preserve">Denis </t>
  </si>
  <si>
    <t xml:space="preserve">Maarten </t>
  </si>
  <si>
    <t xml:space="preserve">Bob  </t>
  </si>
  <si>
    <t>DOV</t>
  </si>
  <si>
    <t>Downview (women's prison)</t>
  </si>
  <si>
    <t>Jane Reid</t>
  </si>
  <si>
    <t>SEA</t>
  </si>
  <si>
    <t>Parke Bovey T</t>
  </si>
  <si>
    <t>run #163, park #45, BA park #572</t>
  </si>
  <si>
    <t>F-2, parkrun pb, park #7, BA park #571</t>
  </si>
  <si>
    <t>M-5, Fastest parkrun since Oct 2018</t>
  </si>
  <si>
    <t>Bolberry Down</t>
  </si>
  <si>
    <t>Faskally Forest</t>
  </si>
  <si>
    <t>Trelai Park</t>
  </si>
  <si>
    <t>started  07/03/2020</t>
  </si>
  <si>
    <t>Pitlochry</t>
  </si>
  <si>
    <t>1 second slower than parkrun pb</t>
  </si>
  <si>
    <t>first run at Hampstead Heath, park #67, 10th new park this year</t>
  </si>
  <si>
    <t>run #201, 97th at Wycombe Rye</t>
  </si>
  <si>
    <t>1st run at Brickfields, park #, BApark #23</t>
  </si>
  <si>
    <t>first run at Gunnersbury, park #24</t>
  </si>
  <si>
    <t>"Z" in ZA, 2020 challenge - 2nd point, park #84</t>
  </si>
  <si>
    <t>BA park #566 ,"E"  (just needs "Q" and "Z"), park #82</t>
  </si>
  <si>
    <t>MLM</t>
  </si>
  <si>
    <t>Harjit Jhooti</t>
  </si>
  <si>
    <t>Wollaton H</t>
  </si>
  <si>
    <t>Notts</t>
  </si>
  <si>
    <t>Leics</t>
  </si>
  <si>
    <t>Prospect -1</t>
  </si>
  <si>
    <t xml:space="preserve">Catford  </t>
  </si>
  <si>
    <t>Gunnersbury #430</t>
  </si>
  <si>
    <t>many countries suspended</t>
  </si>
  <si>
    <t>WI 20</t>
  </si>
  <si>
    <t>WI 21</t>
  </si>
  <si>
    <t>Missed seconds bingo by 1s (too slow)</t>
  </si>
  <si>
    <t>83s improvement</t>
  </si>
  <si>
    <t>Still needs an ":00" for seconds bingo</t>
  </si>
  <si>
    <t>Token sorting</t>
  </si>
  <si>
    <t>Still needs a ":55" for seconds bingo</t>
  </si>
  <si>
    <t>Another 13s improvement / improves own club records</t>
  </si>
  <si>
    <t>11s PB (+2% age-grade)</t>
  </si>
  <si>
    <t>Bedfont Lakes #552</t>
  </si>
  <si>
    <t>Black Park #564</t>
  </si>
  <si>
    <t>Braunstone #489</t>
  </si>
  <si>
    <t>Bushy Park #834</t>
  </si>
  <si>
    <t>California Country #57</t>
  </si>
  <si>
    <t>Canons Park #183</t>
  </si>
  <si>
    <t>Crane Park #414</t>
  </si>
  <si>
    <t>Fulham Palace #335</t>
  </si>
  <si>
    <t>Guildford #389</t>
  </si>
  <si>
    <t>Hanworth #46</t>
  </si>
  <si>
    <t>Harrow #254</t>
  </si>
  <si>
    <t>Ifield Mill Pond #25</t>
  </si>
  <si>
    <t>Linford Wood #197</t>
  </si>
  <si>
    <t>Maidenhead #261</t>
  </si>
  <si>
    <t>Manor Field, Whittlesey #82</t>
  </si>
  <si>
    <t>Mile End #423</t>
  </si>
  <si>
    <t>Mole Valley #109</t>
  </si>
  <si>
    <t>Osterley #334</t>
  </si>
  <si>
    <t>Richmond Park #659</t>
  </si>
  <si>
    <t>Rushmoor #286</t>
  </si>
  <si>
    <t>Woking #276</t>
  </si>
  <si>
    <t>Wycombe Rye #392</t>
  </si>
  <si>
    <t xml:space="preserve">Adam </t>
  </si>
  <si>
    <t xml:space="preserve">Melanie </t>
  </si>
  <si>
    <t>Excellent runs by members in 2019</t>
  </si>
  <si>
    <t>M-4, Has run 18:42, 18:43 and 18:44 in last two months</t>
  </si>
  <si>
    <t>M-8, 1st run / club men's record</t>
  </si>
  <si>
    <t>F-1, 1st run /  club ladies and grade record</t>
  </si>
  <si>
    <t>M-4, 27s improvement</t>
  </si>
  <si>
    <t xml:space="preserve">Davis </t>
  </si>
  <si>
    <t>100th run at Maidenhead</t>
  </si>
  <si>
    <t>101st run at Woking</t>
  </si>
  <si>
    <t>1st run at Rushmoor, best agegrade score there this week</t>
  </si>
  <si>
    <t>very consistent these days</t>
  </si>
  <si>
    <t>6th run at Wycombe Rye, attendance 490</t>
  </si>
  <si>
    <t>run #382, 141st at Gunnersbury, 2020 sb</t>
  </si>
  <si>
    <t>1st run at Ifield Mill Pond, park #23</t>
  </si>
  <si>
    <t>1st run at Ifield Mill Pond, park #41</t>
  </si>
  <si>
    <t>2nd run at Canons Park</t>
  </si>
  <si>
    <t>F-1, best agegrade% at Woking this week</t>
  </si>
  <si>
    <t>best agegrade% at Linford Wood this week</t>
  </si>
  <si>
    <t>F-4, 220th run at Bedfont Lakes</t>
  </si>
  <si>
    <t>run #357, 218th at Bedfont Lakes</t>
  </si>
  <si>
    <t>M-4, 46th run at Bedfont Lakes</t>
  </si>
  <si>
    <t>96th run in Cambridgeshire !</t>
  </si>
  <si>
    <t>run #321, 20th at Osterley Park</t>
  </si>
  <si>
    <t>Barcode Scanning, still on "249"!</t>
  </si>
  <si>
    <t>Greenfield Valley</t>
  </si>
  <si>
    <t>1st run at Mole Valley, park #22</t>
  </si>
  <si>
    <t>Sandhurst Memorial #5</t>
  </si>
  <si>
    <t>Squerryes Winery #17</t>
  </si>
  <si>
    <t>Squerryes -22</t>
  </si>
  <si>
    <t>65 on 14th March</t>
  </si>
  <si>
    <t>47 on 14th March</t>
  </si>
  <si>
    <t>parkruns in East Midlands Region</t>
  </si>
  <si>
    <t>Le</t>
  </si>
  <si>
    <t>Ln</t>
  </si>
  <si>
    <t>D</t>
  </si>
  <si>
    <t>Nn</t>
  </si>
  <si>
    <t>W</t>
  </si>
  <si>
    <t>Move Rugby parkrun to Warwickshire</t>
  </si>
  <si>
    <t>WOL</t>
  </si>
  <si>
    <t>NWK</t>
  </si>
  <si>
    <t>IRC</t>
  </si>
  <si>
    <t xml:space="preserve">RUT </t>
  </si>
  <si>
    <t>Brixworth</t>
  </si>
  <si>
    <t>Irchester</t>
  </si>
  <si>
    <t>Alveston</t>
  </si>
  <si>
    <t>DDH</t>
  </si>
  <si>
    <t>SBL</t>
  </si>
  <si>
    <t>UNDER CONSTRUCTION</t>
  </si>
  <si>
    <t>Belton Ho</t>
  </si>
  <si>
    <t>Doddington H</t>
  </si>
  <si>
    <t>Market Rasen</t>
  </si>
  <si>
    <t>Skegness</t>
  </si>
  <si>
    <t>Snowden</t>
  </si>
  <si>
    <t>Wollaton Hall</t>
  </si>
  <si>
    <t>(Newark)</t>
  </si>
  <si>
    <t>Bestwood V</t>
  </si>
  <si>
    <t>Longeaton</t>
  </si>
  <si>
    <t>Woolaton H</t>
  </si>
  <si>
    <t>NEW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</si>
</sst>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£&quot;#,##0;[Red]\-&quot;£&quot;#,##0"/>
    <numFmt numFmtId="164" formatCode="0.0"/>
    <numFmt numFmtId="165" formatCode="[$-809]dd\ mmmm\ yyyy"/>
    <numFmt numFmtId="166" formatCode="ddd\,\ dd\ mmm\ yyyy"/>
    <numFmt numFmtId="167" formatCode="#,##0.0"/>
    <numFmt numFmtId="168" formatCode="0.0%"/>
    <numFmt numFmtId="169" formatCode="dd\ mmm"/>
    <numFmt numFmtId="170" formatCode="ddd\,\ dd\-mmm\-yy"/>
    <numFmt numFmtId="171" formatCode="[$-809]dd\ mmmm\ yyyy;@"/>
    <numFmt numFmtId="172" formatCode="dd:hh:mm:ss"/>
    <numFmt numFmtId="173" formatCode="dd/mm/yyyy;@"/>
    <numFmt numFmtId="174" formatCode="[$-F800]dddd\,\ mmmm\ dd\,\ yyyy"/>
    <numFmt numFmtId="175" formatCode="dd/mm/yy;@"/>
    <numFmt numFmtId="176" formatCode="ddd\,\ dd\ mmm"/>
    <numFmt numFmtId="177" formatCode="0.0000"/>
  </numFmts>
  <fonts count="16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13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2"/>
      <color indexed="59"/>
      <name val="Arial"/>
      <family val="2"/>
    </font>
    <font>
      <b/>
      <sz val="10"/>
      <color indexed="59"/>
      <name val="Arial"/>
      <family val="2"/>
    </font>
    <font>
      <sz val="10"/>
      <color indexed="59"/>
      <name val="Arial"/>
      <family val="2"/>
    </font>
    <font>
      <b/>
      <sz val="8"/>
      <name val="Arial"/>
      <family val="2"/>
    </font>
    <font>
      <sz val="10"/>
      <color indexed="63"/>
      <name val="Arial"/>
      <family val="2"/>
    </font>
    <font>
      <b/>
      <u/>
      <sz val="10"/>
      <color indexed="12"/>
      <name val="Arial"/>
      <family val="2"/>
    </font>
    <font>
      <b/>
      <sz val="10"/>
      <color indexed="52"/>
      <name val="Arial"/>
      <family val="2"/>
    </font>
    <font>
      <b/>
      <sz val="9"/>
      <color indexed="9"/>
      <name val="Arial"/>
      <family val="2"/>
    </font>
    <font>
      <i/>
      <sz val="10"/>
      <color indexed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9"/>
      <color indexed="13"/>
      <name val="Arial"/>
      <family val="2"/>
    </font>
    <font>
      <sz val="8"/>
      <name val="Arial Narrow"/>
      <family val="2"/>
    </font>
    <font>
      <sz val="9"/>
      <name val="Arial Narrow"/>
      <family val="2"/>
    </font>
    <font>
      <sz val="10"/>
      <name val="Arial Narrow"/>
      <family val="2"/>
    </font>
    <font>
      <u/>
      <sz val="8"/>
      <name val="Arial Narrow"/>
      <family val="2"/>
    </font>
    <font>
      <sz val="10"/>
      <color indexed="8"/>
      <name val="Arial"/>
      <family val="2"/>
    </font>
    <font>
      <sz val="10"/>
      <name val="MS Sans Serif"/>
    </font>
    <font>
      <sz val="10"/>
      <name val="MS Sans Serif"/>
      <family val="2"/>
    </font>
    <font>
      <i/>
      <sz val="10"/>
      <color indexed="12"/>
      <name val="Arial"/>
      <family val="2"/>
    </font>
    <font>
      <sz val="10"/>
      <color indexed="12"/>
      <name val="Arial"/>
      <family val="2"/>
    </font>
    <font>
      <i/>
      <sz val="8"/>
      <name val="Arial"/>
      <family val="2"/>
    </font>
    <font>
      <b/>
      <sz val="7"/>
      <name val="Arial"/>
      <family val="2"/>
    </font>
    <font>
      <sz val="10"/>
      <color indexed="12"/>
      <name val="Arial"/>
      <family val="2"/>
    </font>
    <font>
      <sz val="10"/>
      <name val="Algerian"/>
      <family val="5"/>
    </font>
    <font>
      <b/>
      <i/>
      <sz val="10"/>
      <color indexed="9"/>
      <name val="Arial"/>
      <family val="2"/>
    </font>
    <font>
      <sz val="9"/>
      <color indexed="12"/>
      <name val="Arial"/>
      <family val="2"/>
    </font>
    <font>
      <sz val="10"/>
      <color indexed="10"/>
      <name val="Arial"/>
      <family val="2"/>
    </font>
    <font>
      <sz val="11"/>
      <name val="Algerian"/>
      <family val="5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i/>
      <sz val="10"/>
      <color indexed="18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0"/>
      <color indexed="13"/>
      <name val="Arial"/>
      <family val="2"/>
    </font>
    <font>
      <sz val="12"/>
      <color indexed="8"/>
      <name val="Arial"/>
      <family val="2"/>
    </font>
    <font>
      <b/>
      <i/>
      <sz val="10"/>
      <name val="Arial"/>
      <family val="2"/>
    </font>
    <font>
      <sz val="10"/>
      <color indexed="57"/>
      <name val="Arial"/>
      <family val="2"/>
    </font>
    <font>
      <sz val="10"/>
      <name val="Wingdings"/>
      <charset val="2"/>
    </font>
    <font>
      <b/>
      <sz val="9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63"/>
      <name val="Arial"/>
      <family val="2"/>
    </font>
    <font>
      <b/>
      <sz val="10"/>
      <color theme="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563C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FFFF00"/>
      <name val="Arial"/>
      <family val="2"/>
    </font>
    <font>
      <sz val="10"/>
      <color rgb="FFFFFF00"/>
      <name val="Arial"/>
      <family val="2"/>
    </font>
    <font>
      <b/>
      <sz val="10"/>
      <color rgb="FFFFFF00"/>
      <name val="Arial"/>
      <family val="2"/>
    </font>
    <font>
      <sz val="10"/>
      <color rgb="FF272727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color rgb="FF7030A0"/>
      <name val="Arial"/>
      <family val="2"/>
    </font>
    <font>
      <sz val="9"/>
      <color rgb="FF7030A0"/>
      <name val="Arial"/>
      <family val="2"/>
    </font>
    <font>
      <i/>
      <sz val="8"/>
      <name val="Arial Narrow"/>
      <family val="2"/>
    </font>
    <font>
      <sz val="10"/>
      <color rgb="FFCC00FF"/>
      <name val="Arial"/>
      <family val="2"/>
    </font>
    <font>
      <sz val="10"/>
      <name val="AR JULIAN"/>
    </font>
    <font>
      <sz val="9"/>
      <color rgb="FF0000FF"/>
      <name val="Arial"/>
      <family val="2"/>
    </font>
    <font>
      <sz val="10"/>
      <color rgb="FFCC00CC"/>
      <name val="Arial"/>
      <family val="2"/>
    </font>
    <font>
      <sz val="10"/>
      <color rgb="FF00B05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u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10"/>
      <color indexed="59"/>
      <name val="Arial"/>
      <family val="2"/>
    </font>
    <font>
      <sz val="9"/>
      <color indexed="59"/>
      <name val="Arial"/>
      <family val="2"/>
    </font>
    <font>
      <sz val="8"/>
      <color indexed="59"/>
      <name val="Arial"/>
      <family val="2"/>
    </font>
    <font>
      <sz val="10"/>
      <color indexed="42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rgb="FFFF0000"/>
      <name val="Arial"/>
      <family val="2"/>
    </font>
    <font>
      <u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sz val="10"/>
      <color indexed="59"/>
      <name val="Arial"/>
      <family val="2"/>
    </font>
    <font>
      <b/>
      <sz val="8"/>
      <name val="Arial"/>
      <family val="2"/>
    </font>
    <font>
      <b/>
      <sz val="8"/>
      <name val="Arial Narrow"/>
      <family val="2"/>
    </font>
    <font>
      <b/>
      <sz val="10"/>
      <name val="Arial Narrow"/>
      <family val="2"/>
    </font>
    <font>
      <sz val="10"/>
      <color rgb="FFFF00FF"/>
      <name val="Arial"/>
      <family val="2"/>
    </font>
    <font>
      <sz val="8"/>
      <color rgb="FFFF0000"/>
      <name val="Arial Narrow"/>
      <family val="2"/>
    </font>
    <font>
      <b/>
      <sz val="10"/>
      <color rgb="FFFF00FF"/>
      <name val="Arial"/>
      <family val="2"/>
    </font>
    <font>
      <b/>
      <sz val="9"/>
      <color rgb="FFFF00FF"/>
      <name val="Arial"/>
      <family val="2"/>
    </font>
    <font>
      <sz val="8"/>
      <color rgb="FFFF0000"/>
      <name val="Arial"/>
      <family val="2"/>
    </font>
    <font>
      <sz val="10"/>
      <color theme="0"/>
      <name val="Arial"/>
      <family val="2"/>
    </font>
    <font>
      <sz val="9"/>
      <color rgb="FFCC66FF"/>
      <name val="Arial"/>
      <family val="2"/>
    </font>
    <font>
      <sz val="10"/>
      <color rgb="FFFF66FF"/>
      <name val="Arial"/>
      <family val="2"/>
    </font>
    <font>
      <b/>
      <sz val="10"/>
      <color rgb="FF0000FF"/>
      <name val="Arial"/>
      <family val="2"/>
    </font>
    <font>
      <b/>
      <sz val="10"/>
      <color rgb="FFFFFFCC"/>
      <name val="Arial"/>
      <family val="2"/>
    </font>
    <font>
      <b/>
      <sz val="14"/>
      <color theme="0"/>
      <name val="Arial"/>
      <family val="2"/>
    </font>
    <font>
      <b/>
      <sz val="14"/>
      <color rgb="FFFFFF00"/>
      <name val="Arial"/>
      <family val="2"/>
    </font>
    <font>
      <b/>
      <sz val="9"/>
      <color rgb="FFFF0000"/>
      <name val="Arial"/>
      <family val="2"/>
    </font>
    <font>
      <sz val="12"/>
      <name val="Arial"/>
      <family val="2"/>
    </font>
    <font>
      <b/>
      <sz val="10"/>
      <color rgb="FFFF66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sz val="10"/>
      <color rgb="FF0066FF"/>
      <name val="Arial"/>
      <family val="2"/>
    </font>
    <font>
      <sz val="12"/>
      <color rgb="FF563C00"/>
      <name val="Arial"/>
      <family val="2"/>
    </font>
    <font>
      <sz val="9"/>
      <color rgb="FF66818A"/>
      <name val="Arial"/>
      <family val="2"/>
    </font>
    <font>
      <b/>
      <sz val="9"/>
      <color rgb="FF66818A"/>
      <name val="Arial"/>
      <family val="2"/>
    </font>
    <font>
      <sz val="10"/>
      <color rgb="FF3333FF"/>
      <name val="Arial"/>
      <family val="2"/>
    </font>
    <font>
      <b/>
      <sz val="10"/>
      <color rgb="FFFF00FF"/>
      <name val="Arial Narrow"/>
      <family val="2"/>
    </font>
    <font>
      <b/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sz val="10"/>
      <color rgb="FFFF00FF"/>
      <name val="Arial Narrow"/>
      <family val="2"/>
    </font>
    <font>
      <b/>
      <sz val="12"/>
      <color rgb="FFFF00FF"/>
      <name val="Arial"/>
      <family val="2"/>
    </font>
    <font>
      <b/>
      <sz val="9"/>
      <color rgb="FFFFFF99"/>
      <name val="Arial"/>
      <family val="2"/>
    </font>
    <font>
      <sz val="9"/>
      <color rgb="FF3333FF"/>
      <name val="Arial"/>
      <family val="2"/>
    </font>
    <font>
      <b/>
      <sz val="10"/>
      <color rgb="FF3333FF"/>
      <name val="Arial"/>
      <family val="2"/>
    </font>
    <font>
      <b/>
      <sz val="10"/>
      <color rgb="FFFF66CC"/>
      <name val="Arial"/>
      <family val="2"/>
    </font>
    <font>
      <sz val="10"/>
      <color rgb="FF1C2D3D"/>
      <name val="Arial"/>
      <family val="2"/>
    </font>
    <font>
      <i/>
      <sz val="10"/>
      <color rgb="FFFF00FF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66"/>
      <name val="Arial"/>
      <family val="2"/>
    </font>
    <font>
      <sz val="10"/>
      <color rgb="FFFF0000"/>
      <name val="Arial Narrow"/>
      <family val="2"/>
    </font>
    <font>
      <b/>
      <sz val="10"/>
      <color rgb="FFFFFF99"/>
      <name val="Arial"/>
      <family val="2"/>
    </font>
    <font>
      <sz val="10"/>
      <color rgb="FF9933FF"/>
      <name val="Arial"/>
      <family val="2"/>
    </font>
    <font>
      <b/>
      <sz val="9"/>
      <color rgb="FF00B050"/>
      <name val="Arial"/>
      <family val="2"/>
    </font>
    <font>
      <b/>
      <sz val="10"/>
      <color indexed="57"/>
      <name val="Arial"/>
      <family val="2"/>
    </font>
    <font>
      <sz val="11"/>
      <name val="Calibri"/>
      <family val="2"/>
      <scheme val="minor"/>
    </font>
    <font>
      <b/>
      <sz val="10"/>
      <color rgb="FF00B050"/>
      <name val="Arial"/>
      <family val="2"/>
    </font>
    <font>
      <sz val="8"/>
      <color theme="1"/>
      <name val="Arial Narrow"/>
      <family val="2"/>
    </font>
    <font>
      <sz val="8"/>
      <color rgb="FF121212"/>
      <name val="Arial"/>
      <family val="2"/>
    </font>
    <font>
      <b/>
      <sz val="10"/>
      <color rgb="FF009900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FA9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5FAFC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99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C7DBE3"/>
      </left>
      <right style="medium">
        <color rgb="FFC7DBE3"/>
      </right>
      <top style="medium">
        <color rgb="FFC7DBE3"/>
      </top>
      <bottom style="medium">
        <color rgb="FFC7DBE3"/>
      </bottom>
      <diagonal/>
    </border>
    <border>
      <left style="medium">
        <color rgb="FFC7DBE3"/>
      </left>
      <right/>
      <top style="medium">
        <color rgb="FFC7DBE3"/>
      </top>
      <bottom style="medium">
        <color rgb="FFC7DBE3"/>
      </bottom>
      <diagonal/>
    </border>
    <border>
      <left/>
      <right/>
      <top/>
      <bottom style="medium">
        <color rgb="FFEEEEEE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rgb="FFEDEDED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4" fillId="0" borderId="0"/>
    <xf numFmtId="0" fontId="150" fillId="0" borderId="0" applyNumberFormat="0" applyFill="0" applyBorder="0" applyAlignment="0" applyProtection="0"/>
    <xf numFmtId="0" fontId="5" fillId="0" borderId="0"/>
    <xf numFmtId="0" fontId="3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09">
    <xf numFmtId="0" fontId="0" fillId="0" borderId="0" xfId="0"/>
    <xf numFmtId="45" fontId="0" fillId="0" borderId="0" xfId="0" applyNumberFormat="1"/>
    <xf numFmtId="0" fontId="6" fillId="0" borderId="0" xfId="0" applyFont="1"/>
    <xf numFmtId="45" fontId="6" fillId="0" borderId="0" xfId="0" applyNumberFormat="1" applyFont="1"/>
    <xf numFmtId="0" fontId="6" fillId="0" borderId="0" xfId="0" applyFont="1" applyAlignment="1">
      <alignment horizontal="right"/>
    </xf>
    <xf numFmtId="0" fontId="7" fillId="0" borderId="0" xfId="0" applyFont="1"/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  <xf numFmtId="45" fontId="6" fillId="0" borderId="0" xfId="0" applyNumberFormat="1" applyFont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/>
    </xf>
    <xf numFmtId="16" fontId="0" fillId="0" borderId="0" xfId="0" applyNumberFormat="1"/>
    <xf numFmtId="16" fontId="6" fillId="0" borderId="0" xfId="0" applyNumberFormat="1" applyFont="1"/>
    <xf numFmtId="164" fontId="0" fillId="0" borderId="0" xfId="0" applyNumberFormat="1" applyAlignment="1">
      <alignment horizontal="right"/>
    </xf>
    <xf numFmtId="164" fontId="0" fillId="0" borderId="0" xfId="0" applyNumberFormat="1"/>
    <xf numFmtId="0" fontId="6" fillId="2" borderId="0" xfId="0" applyFont="1" applyFill="1"/>
    <xf numFmtId="0" fontId="0" fillId="0" borderId="0" xfId="0" applyAlignment="1">
      <alignment horizontal="right"/>
    </xf>
    <xf numFmtId="0" fontId="8" fillId="0" borderId="0" xfId="0" applyFont="1" applyAlignment="1">
      <alignment horizontal="right"/>
    </xf>
    <xf numFmtId="1" fontId="8" fillId="0" borderId="0" xfId="0" applyNumberFormat="1" applyFont="1"/>
    <xf numFmtId="3" fontId="8" fillId="0" borderId="0" xfId="0" applyNumberFormat="1" applyFont="1"/>
    <xf numFmtId="1" fontId="0" fillId="0" borderId="1" xfId="0" applyNumberFormat="1" applyBorder="1"/>
    <xf numFmtId="166" fontId="0" fillId="0" borderId="0" xfId="0" applyNumberFormat="1"/>
    <xf numFmtId="0" fontId="0" fillId="3" borderId="0" xfId="0" applyFill="1"/>
    <xf numFmtId="0" fontId="0" fillId="0" borderId="1" xfId="0" applyBorder="1"/>
    <xf numFmtId="0" fontId="0" fillId="2" borderId="0" xfId="0" applyFill="1"/>
    <xf numFmtId="0" fontId="0" fillId="2" borderId="0" xfId="0" applyFill="1" applyAlignment="1">
      <alignment horizontal="left"/>
    </xf>
    <xf numFmtId="10" fontId="0" fillId="0" borderId="0" xfId="0" applyNumberFormat="1"/>
    <xf numFmtId="0" fontId="0" fillId="4" borderId="0" xfId="0" applyFill="1"/>
    <xf numFmtId="0" fontId="0" fillId="4" borderId="1" xfId="0" applyFill="1" applyBorder="1"/>
    <xf numFmtId="167" fontId="0" fillId="0" borderId="0" xfId="0" applyNumberFormat="1" applyAlignment="1">
      <alignment horizontal="right"/>
    </xf>
    <xf numFmtId="0" fontId="0" fillId="5" borderId="0" xfId="0" applyFill="1"/>
    <xf numFmtId="0" fontId="6" fillId="6" borderId="0" xfId="0" applyFont="1" applyFill="1"/>
    <xf numFmtId="45" fontId="7" fillId="0" borderId="0" xfId="0" applyNumberFormat="1" applyFont="1"/>
    <xf numFmtId="14" fontId="7" fillId="0" borderId="0" xfId="0" applyNumberFormat="1" applyFont="1"/>
    <xf numFmtId="14" fontId="0" fillId="0" borderId="0" xfId="0" applyNumberFormat="1"/>
    <xf numFmtId="46" fontId="0" fillId="0" borderId="0" xfId="0" applyNumberFormat="1"/>
    <xf numFmtId="0" fontId="12" fillId="0" borderId="1" xfId="0" applyFont="1" applyBorder="1"/>
    <xf numFmtId="1" fontId="6" fillId="0" borderId="0" xfId="0" applyNumberFormat="1" applyFont="1" applyAlignment="1">
      <alignment horizontal="left"/>
    </xf>
    <xf numFmtId="17" fontId="0" fillId="0" borderId="0" xfId="0" applyNumberFormat="1"/>
    <xf numFmtId="0" fontId="11" fillId="0" borderId="1" xfId="0" applyFont="1" applyBorder="1"/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45" fontId="0" fillId="7" borderId="0" xfId="0" applyNumberFormat="1" applyFill="1"/>
    <xf numFmtId="45" fontId="0" fillId="2" borderId="0" xfId="0" applyNumberFormat="1" applyFill="1"/>
    <xf numFmtId="0" fontId="8" fillId="0" borderId="0" xfId="0" applyFont="1"/>
    <xf numFmtId="0" fontId="0" fillId="8" borderId="0" xfId="0" applyFill="1"/>
    <xf numFmtId="21" fontId="0" fillId="0" borderId="0" xfId="0" applyNumberFormat="1"/>
    <xf numFmtId="4" fontId="7" fillId="0" borderId="0" xfId="0" applyNumberFormat="1" applyFont="1"/>
    <xf numFmtId="3" fontId="0" fillId="0" borderId="0" xfId="0" applyNumberFormat="1" applyAlignment="1">
      <alignment horizontal="left"/>
    </xf>
    <xf numFmtId="47" fontId="6" fillId="0" borderId="0" xfId="0" applyNumberFormat="1" applyFont="1"/>
    <xf numFmtId="45" fontId="7" fillId="2" borderId="0" xfId="0" applyNumberFormat="1" applyFont="1" applyFill="1"/>
    <xf numFmtId="0" fontId="7" fillId="0" borderId="0" xfId="0" applyFont="1" applyAlignment="1">
      <alignment horizontal="left"/>
    </xf>
    <xf numFmtId="0" fontId="16" fillId="0" borderId="0" xfId="0" applyFont="1"/>
    <xf numFmtId="45" fontId="16" fillId="0" borderId="0" xfId="0" applyNumberFormat="1" applyFont="1"/>
    <xf numFmtId="0" fontId="0" fillId="7" borderId="0" xfId="0" applyFill="1"/>
    <xf numFmtId="0" fontId="6" fillId="7" borderId="0" xfId="0" applyFont="1" applyFill="1"/>
    <xf numFmtId="0" fontId="11" fillId="0" borderId="0" xfId="0" applyFont="1"/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20" fontId="20" fillId="0" borderId="0" xfId="0" applyNumberFormat="1" applyFont="1" applyAlignment="1">
      <alignment wrapText="1"/>
    </xf>
    <xf numFmtId="0" fontId="20" fillId="0" borderId="0" xfId="0" applyFont="1" applyAlignment="1">
      <alignment wrapText="1"/>
    </xf>
    <xf numFmtId="0" fontId="18" fillId="0" borderId="0" xfId="0" applyFont="1" applyAlignment="1">
      <alignment horizontal="left"/>
    </xf>
    <xf numFmtId="45" fontId="0" fillId="8" borderId="0" xfId="0" applyNumberFormat="1" applyFill="1"/>
    <xf numFmtId="0" fontId="0" fillId="0" borderId="2" xfId="0" applyBorder="1"/>
    <xf numFmtId="45" fontId="0" fillId="0" borderId="0" xfId="0" applyNumberFormat="1" applyAlignment="1">
      <alignment horizontal="center"/>
    </xf>
    <xf numFmtId="0" fontId="13" fillId="0" borderId="1" xfId="0" applyFont="1" applyBorder="1"/>
    <xf numFmtId="2" fontId="0" fillId="0" borderId="0" xfId="0" applyNumberFormat="1"/>
    <xf numFmtId="47" fontId="0" fillId="0" borderId="0" xfId="0" applyNumberFormat="1"/>
    <xf numFmtId="0" fontId="1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5" fontId="6" fillId="2" borderId="0" xfId="0" applyNumberFormat="1" applyFont="1" applyFill="1"/>
    <xf numFmtId="10" fontId="5" fillId="0" borderId="0" xfId="0" applyNumberFormat="1" applyFont="1"/>
    <xf numFmtId="10" fontId="12" fillId="0" borderId="0" xfId="0" applyNumberFormat="1" applyFont="1"/>
    <xf numFmtId="0" fontId="7" fillId="2" borderId="0" xfId="0" applyFont="1" applyFill="1"/>
    <xf numFmtId="0" fontId="20" fillId="0" borderId="0" xfId="0" applyFont="1"/>
    <xf numFmtId="0" fontId="7" fillId="0" borderId="0" xfId="0" applyFont="1" applyAlignment="1">
      <alignment horizontal="right"/>
    </xf>
    <xf numFmtId="164" fontId="8" fillId="0" borderId="0" xfId="0" applyNumberFormat="1" applyFont="1" applyAlignment="1">
      <alignment horizontal="right"/>
    </xf>
    <xf numFmtId="164" fontId="8" fillId="0" borderId="0" xfId="0" applyNumberFormat="1" applyFont="1"/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9" fontId="0" fillId="0" borderId="0" xfId="0" applyNumberFormat="1"/>
    <xf numFmtId="1" fontId="16" fillId="0" borderId="0" xfId="0" applyNumberFormat="1" applyFont="1"/>
    <xf numFmtId="0" fontId="17" fillId="0" borderId="0" xfId="0" applyFont="1"/>
    <xf numFmtId="9" fontId="7" fillId="0" borderId="0" xfId="0" applyNumberFormat="1" applyFont="1"/>
    <xf numFmtId="9" fontId="0" fillId="0" borderId="0" xfId="0" applyNumberFormat="1" applyAlignment="1">
      <alignment horizontal="left"/>
    </xf>
    <xf numFmtId="9" fontId="7" fillId="0" borderId="0" xfId="0" applyNumberFormat="1" applyFont="1" applyAlignment="1">
      <alignment horizontal="left"/>
    </xf>
    <xf numFmtId="0" fontId="0" fillId="0" borderId="3" xfId="0" applyBorder="1"/>
    <xf numFmtId="3" fontId="8" fillId="0" borderId="0" xfId="0" applyNumberFormat="1" applyFont="1" applyAlignment="1">
      <alignment horizontal="right"/>
    </xf>
    <xf numFmtId="0" fontId="22" fillId="0" borderId="0" xfId="0" applyFont="1"/>
    <xf numFmtId="17" fontId="6" fillId="0" borderId="0" xfId="0" applyNumberFormat="1" applyFont="1"/>
    <xf numFmtId="0" fontId="8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45" fontId="0" fillId="10" borderId="0" xfId="0" applyNumberFormat="1" applyFill="1"/>
    <xf numFmtId="45" fontId="0" fillId="3" borderId="0" xfId="0" applyNumberFormat="1" applyFill="1"/>
    <xf numFmtId="0" fontId="17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1" fontId="6" fillId="0" borderId="0" xfId="0" applyNumberFormat="1" applyFont="1"/>
    <xf numFmtId="0" fontId="6" fillId="0" borderId="4" xfId="0" applyFont="1" applyBorder="1"/>
    <xf numFmtId="0" fontId="0" fillId="0" borderId="4" xfId="0" applyBorder="1"/>
    <xf numFmtId="0" fontId="0" fillId="7" borderId="4" xfId="0" applyFill="1" applyBorder="1"/>
    <xf numFmtId="0" fontId="16" fillId="4" borderId="0" xfId="0" applyFont="1" applyFill="1"/>
    <xf numFmtId="1" fontId="7" fillId="0" borderId="0" xfId="0" applyNumberFormat="1" applyFont="1"/>
    <xf numFmtId="169" fontId="6" fillId="0" borderId="0" xfId="0" applyNumberFormat="1" applyFont="1"/>
    <xf numFmtId="3" fontId="6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167" fontId="8" fillId="0" borderId="0" xfId="0" applyNumberFormat="1" applyFont="1"/>
    <xf numFmtId="0" fontId="8" fillId="0" borderId="0" xfId="0" applyFont="1" applyAlignment="1">
      <alignment horizontal="center"/>
    </xf>
    <xf numFmtId="0" fontId="8" fillId="5" borderId="0" xfId="0" applyFont="1" applyFill="1" applyAlignment="1">
      <alignment horizontal="center"/>
    </xf>
    <xf numFmtId="0" fontId="21" fillId="0" borderId="1" xfId="0" applyFont="1" applyBorder="1"/>
    <xf numFmtId="45" fontId="5" fillId="0" borderId="0" xfId="1" applyNumberFormat="1" applyFont="1" applyAlignment="1" applyProtection="1"/>
    <xf numFmtId="0" fontId="0" fillId="0" borderId="5" xfId="0" applyBorder="1"/>
    <xf numFmtId="45" fontId="0" fillId="2" borderId="5" xfId="0" applyNumberFormat="1" applyFill="1" applyBorder="1"/>
    <xf numFmtId="45" fontId="0" fillId="3" borderId="5" xfId="0" applyNumberFormat="1" applyFill="1" applyBorder="1"/>
    <xf numFmtId="6" fontId="0" fillId="0" borderId="0" xfId="0" applyNumberFormat="1"/>
    <xf numFmtId="0" fontId="6" fillId="0" borderId="6" xfId="0" applyFont="1" applyBorder="1" applyAlignment="1">
      <alignment horizontal="left"/>
    </xf>
    <xf numFmtId="45" fontId="6" fillId="0" borderId="7" xfId="0" applyNumberFormat="1" applyFont="1" applyBorder="1"/>
    <xf numFmtId="10" fontId="16" fillId="0" borderId="0" xfId="0" applyNumberFormat="1" applyFont="1"/>
    <xf numFmtId="0" fontId="8" fillId="5" borderId="0" xfId="0" applyFont="1" applyFill="1"/>
    <xf numFmtId="0" fontId="10" fillId="12" borderId="0" xfId="0" applyFont="1" applyFill="1"/>
    <xf numFmtId="0" fontId="24" fillId="12" borderId="0" xfId="0" applyFont="1" applyFill="1"/>
    <xf numFmtId="0" fontId="10" fillId="13" borderId="0" xfId="0" applyFont="1" applyFill="1"/>
    <xf numFmtId="0" fontId="25" fillId="13" borderId="0" xfId="0" applyFont="1" applyFill="1" applyAlignment="1">
      <alignment horizontal="left"/>
    </xf>
    <xf numFmtId="0" fontId="0" fillId="0" borderId="8" xfId="0" applyBorder="1"/>
    <xf numFmtId="0" fontId="0" fillId="0" borderId="6" xfId="0" applyBorder="1"/>
    <xf numFmtId="0" fontId="0" fillId="14" borderId="0" xfId="0" applyFill="1"/>
    <xf numFmtId="0" fontId="0" fillId="12" borderId="0" xfId="0" applyFill="1"/>
    <xf numFmtId="0" fontId="7" fillId="0" borderId="1" xfId="0" applyFont="1" applyBorder="1"/>
    <xf numFmtId="0" fontId="26" fillId="0" borderId="0" xfId="0" applyFont="1"/>
    <xf numFmtId="1" fontId="26" fillId="0" borderId="0" xfId="0" applyNumberFormat="1" applyFont="1"/>
    <xf numFmtId="0" fontId="0" fillId="6" borderId="0" xfId="0" applyFill="1"/>
    <xf numFmtId="0" fontId="10" fillId="15" borderId="0" xfId="0" applyFont="1" applyFill="1"/>
    <xf numFmtId="45" fontId="0" fillId="0" borderId="0" xfId="0" applyNumberFormat="1" applyAlignment="1">
      <alignment horizontal="right"/>
    </xf>
    <xf numFmtId="0" fontId="0" fillId="0" borderId="11" xfId="0" applyBorder="1"/>
    <xf numFmtId="14" fontId="0" fillId="0" borderId="11" xfId="0" applyNumberFormat="1" applyBorder="1"/>
    <xf numFmtId="0" fontId="6" fillId="0" borderId="11" xfId="0" applyFont="1" applyBorder="1"/>
    <xf numFmtId="16" fontId="7" fillId="0" borderId="0" xfId="0" applyNumberFormat="1" applyFont="1"/>
    <xf numFmtId="14" fontId="0" fillId="0" borderId="5" xfId="0" applyNumberFormat="1" applyBorder="1"/>
    <xf numFmtId="1" fontId="6" fillId="7" borderId="0" xfId="0" applyNumberFormat="1" applyFont="1" applyFill="1"/>
    <xf numFmtId="45" fontId="6" fillId="0" borderId="0" xfId="0" applyNumberFormat="1" applyFont="1" applyAlignment="1">
      <alignment horizontal="right"/>
    </xf>
    <xf numFmtId="16" fontId="0" fillId="7" borderId="0" xfId="0" applyNumberFormat="1" applyFill="1"/>
    <xf numFmtId="0" fontId="27" fillId="0" borderId="0" xfId="0" applyFont="1"/>
    <xf numFmtId="170" fontId="0" fillId="0" borderId="0" xfId="0" applyNumberFormat="1"/>
    <xf numFmtId="0" fontId="7" fillId="0" borderId="4" xfId="0" applyFont="1" applyBorder="1"/>
    <xf numFmtId="0" fontId="7" fillId="7" borderId="4" xfId="0" applyFont="1" applyFill="1" applyBorder="1"/>
    <xf numFmtId="45" fontId="0" fillId="16" borderId="0" xfId="0" applyNumberFormat="1" applyFill="1"/>
    <xf numFmtId="45" fontId="0" fillId="7" borderId="5" xfId="0" applyNumberFormat="1" applyFill="1" applyBorder="1"/>
    <xf numFmtId="0" fontId="11" fillId="0" borderId="0" xfId="0" applyFont="1" applyAlignment="1">
      <alignment horizontal="center"/>
    </xf>
    <xf numFmtId="0" fontId="11" fillId="7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45" fontId="7" fillId="17" borderId="0" xfId="0" applyNumberFormat="1" applyFont="1" applyFill="1"/>
    <xf numFmtId="0" fontId="7" fillId="17" borderId="0" xfId="0" applyFont="1" applyFill="1"/>
    <xf numFmtId="1" fontId="7" fillId="17" borderId="0" xfId="0" applyNumberFormat="1" applyFont="1" applyFill="1"/>
    <xf numFmtId="0" fontId="13" fillId="17" borderId="0" xfId="0" applyFont="1" applyFill="1" applyAlignment="1">
      <alignment horizontal="left"/>
    </xf>
    <xf numFmtId="0" fontId="11" fillId="7" borderId="4" xfId="0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6" fillId="7" borderId="4" xfId="0" applyFont="1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3" fillId="0" borderId="13" xfId="0" applyFont="1" applyBorder="1" applyAlignment="1">
      <alignment horizontal="center"/>
    </xf>
    <xf numFmtId="16" fontId="0" fillId="0" borderId="4" xfId="0" applyNumberFormat="1" applyBorder="1"/>
    <xf numFmtId="0" fontId="0" fillId="2" borderId="0" xfId="0" applyFill="1" applyAlignment="1">
      <alignment horizontal="center"/>
    </xf>
    <xf numFmtId="0" fontId="11" fillId="7" borderId="5" xfId="0" applyFont="1" applyFill="1" applyBorder="1" applyAlignment="1">
      <alignment horizontal="center"/>
    </xf>
    <xf numFmtId="0" fontId="11" fillId="14" borderId="14" xfId="0" applyFont="1" applyFill="1" applyBorder="1" applyAlignment="1">
      <alignment horizontal="center"/>
    </xf>
    <xf numFmtId="45" fontId="0" fillId="0" borderId="5" xfId="0" applyNumberFormat="1" applyBorder="1"/>
    <xf numFmtId="0" fontId="21" fillId="14" borderId="5" xfId="0" applyFont="1" applyFill="1" applyBorder="1" applyAlignment="1">
      <alignment horizontal="center"/>
    </xf>
    <xf numFmtId="0" fontId="0" fillId="14" borderId="5" xfId="0" applyFill="1" applyBorder="1"/>
    <xf numFmtId="0" fontId="6" fillId="7" borderId="5" xfId="0" applyFont="1" applyFill="1" applyBorder="1" applyAlignment="1">
      <alignment horizontal="center"/>
    </xf>
    <xf numFmtId="171" fontId="0" fillId="0" borderId="0" xfId="0" applyNumberFormat="1"/>
    <xf numFmtId="1" fontId="5" fillId="0" borderId="0" xfId="0" applyNumberFormat="1" applyFont="1"/>
    <xf numFmtId="45" fontId="7" fillId="0" borderId="5" xfId="0" applyNumberFormat="1" applyFont="1" applyBorder="1"/>
    <xf numFmtId="0" fontId="0" fillId="0" borderId="17" xfId="0" applyBorder="1"/>
    <xf numFmtId="0" fontId="6" fillId="0" borderId="17" xfId="0" applyFont="1" applyBorder="1"/>
    <xf numFmtId="0" fontId="12" fillId="0" borderId="5" xfId="0" applyFont="1" applyBorder="1" applyAlignment="1">
      <alignment horizontal="left"/>
    </xf>
    <xf numFmtId="0" fontId="16" fillId="0" borderId="5" xfId="0" applyFont="1" applyBorder="1"/>
    <xf numFmtId="1" fontId="16" fillId="0" borderId="5" xfId="0" applyNumberFormat="1" applyFont="1" applyBorder="1"/>
    <xf numFmtId="1" fontId="12" fillId="0" borderId="0" xfId="0" applyNumberFormat="1" applyFont="1"/>
    <xf numFmtId="1" fontId="13" fillId="0" borderId="0" xfId="0" applyNumberFormat="1" applyFont="1"/>
    <xf numFmtId="0" fontId="29" fillId="9" borderId="0" xfId="0" applyFont="1" applyFill="1" applyAlignment="1">
      <alignment horizontal="center"/>
    </xf>
    <xf numFmtId="1" fontId="0" fillId="2" borderId="0" xfId="0" applyNumberFormat="1" applyFill="1"/>
    <xf numFmtId="0" fontId="12" fillId="3" borderId="1" xfId="0" applyFont="1" applyFill="1" applyBorder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12" fillId="3" borderId="1" xfId="0" applyFont="1" applyFill="1" applyBorder="1" applyAlignment="1">
      <alignment horizontal="center"/>
    </xf>
    <xf numFmtId="45" fontId="0" fillId="0" borderId="3" xfId="0" applyNumberFormat="1" applyBorder="1"/>
    <xf numFmtId="0" fontId="30" fillId="3" borderId="0" xfId="0" applyFont="1" applyFill="1"/>
    <xf numFmtId="0" fontId="30" fillId="2" borderId="0" xfId="0" applyFont="1" applyFill="1"/>
    <xf numFmtId="0" fontId="35" fillId="0" borderId="0" xfId="2"/>
    <xf numFmtId="0" fontId="35" fillId="0" borderId="0" xfId="2" quotePrefix="1"/>
    <xf numFmtId="0" fontId="9" fillId="0" borderId="0" xfId="1" applyAlignment="1" applyProtection="1"/>
    <xf numFmtId="0" fontId="36" fillId="0" borderId="0" xfId="2" applyFont="1"/>
    <xf numFmtId="0" fontId="37" fillId="0" borderId="0" xfId="0" applyFont="1"/>
    <xf numFmtId="0" fontId="38" fillId="0" borderId="0" xfId="0" applyFont="1"/>
    <xf numFmtId="0" fontId="0" fillId="0" borderId="20" xfId="0" applyBorder="1"/>
    <xf numFmtId="0" fontId="6" fillId="7" borderId="7" xfId="0" applyFont="1" applyFill="1" applyBorder="1" applyAlignment="1">
      <alignment horizontal="center"/>
    </xf>
    <xf numFmtId="0" fontId="13" fillId="3" borderId="1" xfId="0" applyFont="1" applyFill="1" applyBorder="1"/>
    <xf numFmtId="0" fontId="13" fillId="2" borderId="1" xfId="0" applyFont="1" applyFill="1" applyBorder="1"/>
    <xf numFmtId="45" fontId="0" fillId="10" borderId="5" xfId="0" applyNumberFormat="1" applyFill="1" applyBorder="1"/>
    <xf numFmtId="0" fontId="11" fillId="0" borderId="13" xfId="0" applyFont="1" applyBorder="1"/>
    <xf numFmtId="0" fontId="12" fillId="2" borderId="1" xfId="0" applyFont="1" applyFill="1" applyBorder="1"/>
    <xf numFmtId="0" fontId="40" fillId="7" borderId="0" xfId="0" applyFont="1" applyFill="1" applyAlignment="1">
      <alignment horizontal="center"/>
    </xf>
    <xf numFmtId="0" fontId="41" fillId="0" borderId="0" xfId="0" applyFont="1"/>
    <xf numFmtId="0" fontId="5" fillId="0" borderId="0" xfId="0" applyFont="1" applyAlignment="1">
      <alignment horizontal="right"/>
    </xf>
    <xf numFmtId="0" fontId="11" fillId="7" borderId="21" xfId="0" applyFont="1" applyFill="1" applyBorder="1" applyAlignment="1">
      <alignment horizontal="center"/>
    </xf>
    <xf numFmtId="0" fontId="6" fillId="7" borderId="9" xfId="0" applyFont="1" applyFill="1" applyBorder="1"/>
    <xf numFmtId="0" fontId="21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21" fillId="7" borderId="0" xfId="0" applyFont="1" applyFill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0" fillId="14" borderId="17" xfId="0" applyFill="1" applyBorder="1"/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42" fillId="0" borderId="0" xfId="0" applyFont="1" applyAlignment="1">
      <alignment horizontal="center"/>
    </xf>
    <xf numFmtId="0" fontId="6" fillId="7" borderId="0" xfId="0" applyFont="1" applyFill="1" applyAlignment="1">
      <alignment horizontal="center"/>
    </xf>
    <xf numFmtId="0" fontId="16" fillId="0" borderId="23" xfId="0" applyFont="1" applyBorder="1"/>
    <xf numFmtId="0" fontId="16" fillId="0" borderId="15" xfId="0" applyFont="1" applyBorder="1"/>
    <xf numFmtId="0" fontId="0" fillId="0" borderId="16" xfId="0" applyBorder="1" applyAlignment="1">
      <alignment horizontal="center"/>
    </xf>
    <xf numFmtId="0" fontId="21" fillId="7" borderId="16" xfId="0" applyFont="1" applyFill="1" applyBorder="1" applyAlignment="1">
      <alignment horizontal="center"/>
    </xf>
    <xf numFmtId="0" fontId="0" fillId="0" borderId="16" xfId="0" applyBorder="1"/>
    <xf numFmtId="0" fontId="0" fillId="0" borderId="24" xfId="0" applyBorder="1"/>
    <xf numFmtId="0" fontId="16" fillId="0" borderId="0" xfId="0" applyFont="1" applyAlignment="1">
      <alignment horizontal="center"/>
    </xf>
    <xf numFmtId="0" fontId="0" fillId="0" borderId="25" xfId="0" applyBorder="1"/>
    <xf numFmtId="16" fontId="6" fillId="7" borderId="17" xfId="0" applyNumberFormat="1" applyFont="1" applyFill="1" applyBorder="1"/>
    <xf numFmtId="0" fontId="6" fillId="7" borderId="17" xfId="0" applyFont="1" applyFill="1" applyBorder="1"/>
    <xf numFmtId="0" fontId="0" fillId="14" borderId="25" xfId="0" applyFill="1" applyBorder="1"/>
    <xf numFmtId="0" fontId="0" fillId="6" borderId="25" xfId="0" applyFill="1" applyBorder="1"/>
    <xf numFmtId="0" fontId="6" fillId="7" borderId="23" xfId="0" applyFont="1" applyFill="1" applyBorder="1"/>
    <xf numFmtId="16" fontId="7" fillId="0" borderId="17" xfId="0" applyNumberFormat="1" applyFont="1" applyBorder="1"/>
    <xf numFmtId="0" fontId="0" fillId="0" borderId="26" xfId="0" applyBorder="1"/>
    <xf numFmtId="45" fontId="17" fillId="0" borderId="0" xfId="0" applyNumberFormat="1" applyFont="1"/>
    <xf numFmtId="1" fontId="6" fillId="0" borderId="0" xfId="0" applyNumberFormat="1" applyFont="1" applyAlignment="1">
      <alignment horizontal="center"/>
    </xf>
    <xf numFmtId="45" fontId="10" fillId="13" borderId="0" xfId="0" applyNumberFormat="1" applyFont="1" applyFill="1"/>
    <xf numFmtId="0" fontId="16" fillId="2" borderId="4" xfId="0" applyFont="1" applyFill="1" applyBorder="1"/>
    <xf numFmtId="0" fontId="16" fillId="0" borderId="4" xfId="0" applyFont="1" applyBorder="1"/>
    <xf numFmtId="0" fontId="16" fillId="7" borderId="4" xfId="0" applyFont="1" applyFill="1" applyBorder="1"/>
    <xf numFmtId="16" fontId="16" fillId="7" borderId="4" xfId="0" applyNumberFormat="1" applyFont="1" applyFill="1" applyBorder="1"/>
    <xf numFmtId="0" fontId="43" fillId="12" borderId="0" xfId="0" applyFont="1" applyFill="1"/>
    <xf numFmtId="45" fontId="43" fillId="12" borderId="0" xfId="0" applyNumberFormat="1" applyFont="1" applyFill="1"/>
    <xf numFmtId="0" fontId="25" fillId="12" borderId="0" xfId="0" applyFont="1" applyFill="1" applyAlignment="1">
      <alignment horizontal="left"/>
    </xf>
    <xf numFmtId="0" fontId="29" fillId="0" borderId="0" xfId="0" applyFont="1" applyAlignment="1">
      <alignment horizontal="center"/>
    </xf>
    <xf numFmtId="0" fontId="30" fillId="3" borderId="0" xfId="0" applyFont="1" applyFill="1" applyAlignment="1">
      <alignment horizontal="left"/>
    </xf>
    <xf numFmtId="0" fontId="30" fillId="2" borderId="0" xfId="0" applyFont="1" applyFill="1" applyAlignment="1">
      <alignment horizontal="left"/>
    </xf>
    <xf numFmtId="0" fontId="30" fillId="2" borderId="0" xfId="0" applyFont="1" applyFill="1" applyAlignment="1">
      <alignment horizontal="center"/>
    </xf>
    <xf numFmtId="0" fontId="21" fillId="7" borderId="6" xfId="0" applyFont="1" applyFill="1" applyBorder="1" applyAlignment="1">
      <alignment horizontal="center"/>
    </xf>
    <xf numFmtId="0" fontId="6" fillId="7" borderId="28" xfId="0" applyFont="1" applyFill="1" applyBorder="1" applyAlignment="1">
      <alignment horizontal="center"/>
    </xf>
    <xf numFmtId="47" fontId="6" fillId="3" borderId="1" xfId="0" applyNumberFormat="1" applyFont="1" applyFill="1" applyBorder="1"/>
    <xf numFmtId="1" fontId="10" fillId="12" borderId="0" xfId="0" applyNumberFormat="1" applyFont="1" applyFill="1" applyAlignment="1">
      <alignment horizontal="center"/>
    </xf>
    <xf numFmtId="1" fontId="10" fillId="13" borderId="0" xfId="0" applyNumberFormat="1" applyFont="1" applyFill="1" applyAlignment="1">
      <alignment horizontal="center"/>
    </xf>
    <xf numFmtId="0" fontId="37" fillId="4" borderId="0" xfId="0" applyFont="1" applyFill="1"/>
    <xf numFmtId="45" fontId="41" fillId="0" borderId="0" xfId="0" applyNumberFormat="1" applyFont="1"/>
    <xf numFmtId="0" fontId="6" fillId="0" borderId="16" xfId="0" applyFont="1" applyBorder="1"/>
    <xf numFmtId="0" fontId="12" fillId="3" borderId="30" xfId="0" applyFont="1" applyFill="1" applyBorder="1"/>
    <xf numFmtId="0" fontId="6" fillId="0" borderId="0" xfId="1" applyFont="1" applyAlignment="1" applyProtection="1">
      <alignment horizontal="left"/>
    </xf>
    <xf numFmtId="0" fontId="30" fillId="3" borderId="0" xfId="0" applyFont="1" applyFill="1" applyAlignment="1">
      <alignment horizontal="center"/>
    </xf>
    <xf numFmtId="20" fontId="6" fillId="0" borderId="15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4" borderId="25" xfId="0" applyFill="1" applyBorder="1"/>
    <xf numFmtId="0" fontId="0" fillId="4" borderId="17" xfId="0" applyFill="1" applyBorder="1" applyAlignment="1">
      <alignment horizontal="left"/>
    </xf>
    <xf numFmtId="45" fontId="0" fillId="6" borderId="0" xfId="0" applyNumberFormat="1" applyFill="1"/>
    <xf numFmtId="45" fontId="38" fillId="0" borderId="0" xfId="0" applyNumberFormat="1" applyFont="1"/>
    <xf numFmtId="0" fontId="43" fillId="13" borderId="0" xfId="0" applyFont="1" applyFill="1"/>
    <xf numFmtId="45" fontId="43" fillId="13" borderId="0" xfId="0" applyNumberFormat="1" applyFont="1" applyFill="1"/>
    <xf numFmtId="20" fontId="0" fillId="14" borderId="17" xfId="0" applyNumberFormat="1" applyFill="1" applyBorder="1" applyAlignment="1">
      <alignment horizontal="left"/>
    </xf>
    <xf numFmtId="0" fontId="0" fillId="14" borderId="17" xfId="0" applyFill="1" applyBorder="1" applyAlignment="1">
      <alignment horizontal="left"/>
    </xf>
    <xf numFmtId="0" fontId="45" fillId="0" borderId="0" xfId="0" applyFont="1"/>
    <xf numFmtId="0" fontId="24" fillId="18" borderId="0" xfId="0" applyFont="1" applyFill="1"/>
    <xf numFmtId="0" fontId="46" fillId="0" borderId="0" xfId="0" applyFont="1" applyAlignment="1">
      <alignment horizontal="center"/>
    </xf>
    <xf numFmtId="0" fontId="46" fillId="0" borderId="22" xfId="0" applyFont="1" applyBorder="1"/>
    <xf numFmtId="0" fontId="46" fillId="0" borderId="0" xfId="0" applyFont="1"/>
    <xf numFmtId="0" fontId="46" fillId="0" borderId="3" xfId="0" applyFont="1" applyBorder="1" applyAlignment="1">
      <alignment horizontal="center"/>
    </xf>
    <xf numFmtId="0" fontId="0" fillId="3" borderId="17" xfId="0" applyFill="1" applyBorder="1" applyAlignment="1">
      <alignment horizontal="left"/>
    </xf>
    <xf numFmtId="0" fontId="0" fillId="3" borderId="25" xfId="0" applyFill="1" applyBorder="1"/>
    <xf numFmtId="164" fontId="5" fillId="0" borderId="0" xfId="0" applyNumberFormat="1" applyFont="1" applyAlignment="1">
      <alignment horizontal="right"/>
    </xf>
    <xf numFmtId="0" fontId="47" fillId="0" borderId="0" xfId="0" applyFont="1"/>
    <xf numFmtId="0" fontId="0" fillId="3" borderId="23" xfId="0" applyFill="1" applyBorder="1" applyAlignment="1">
      <alignment horizontal="left"/>
    </xf>
    <xf numFmtId="0" fontId="0" fillId="3" borderId="32" xfId="0" applyFill="1" applyBorder="1"/>
    <xf numFmtId="0" fontId="0" fillId="14" borderId="23" xfId="0" applyFill="1" applyBorder="1" applyAlignment="1">
      <alignment horizontal="left"/>
    </xf>
    <xf numFmtId="0" fontId="0" fillId="14" borderId="32" xfId="0" applyFill="1" applyBorder="1"/>
    <xf numFmtId="20" fontId="0" fillId="14" borderId="23" xfId="0" applyNumberFormat="1" applyFill="1" applyBorder="1" applyAlignment="1">
      <alignment horizontal="left"/>
    </xf>
    <xf numFmtId="0" fontId="0" fillId="2" borderId="23" xfId="0" applyFill="1" applyBorder="1" applyAlignment="1">
      <alignment horizontal="left"/>
    </xf>
    <xf numFmtId="0" fontId="0" fillId="2" borderId="32" xfId="0" applyFill="1" applyBorder="1"/>
    <xf numFmtId="0" fontId="0" fillId="0" borderId="23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32" xfId="0" applyBorder="1"/>
    <xf numFmtId="20" fontId="0" fillId="4" borderId="23" xfId="0" applyNumberFormat="1" applyFill="1" applyBorder="1" applyAlignment="1">
      <alignment horizontal="left"/>
    </xf>
    <xf numFmtId="0" fontId="0" fillId="4" borderId="32" xfId="0" applyFill="1" applyBorder="1"/>
    <xf numFmtId="167" fontId="0" fillId="0" borderId="0" xfId="0" applyNumberFormat="1"/>
    <xf numFmtId="0" fontId="12" fillId="3" borderId="20" xfId="0" applyFont="1" applyFill="1" applyBorder="1"/>
    <xf numFmtId="0" fontId="0" fillId="6" borderId="17" xfId="0" applyFill="1" applyBorder="1" applyAlignment="1">
      <alignment horizontal="left"/>
    </xf>
    <xf numFmtId="1" fontId="15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0" fillId="0" borderId="8" xfId="0" applyBorder="1" applyAlignment="1">
      <alignment horizontal="center"/>
    </xf>
    <xf numFmtId="0" fontId="0" fillId="10" borderId="17" xfId="0" applyFill="1" applyBorder="1" applyAlignment="1">
      <alignment horizontal="left"/>
    </xf>
    <xf numFmtId="0" fontId="0" fillId="10" borderId="25" xfId="0" applyFill="1" applyBorder="1"/>
    <xf numFmtId="0" fontId="0" fillId="0" borderId="3" xfId="0" applyBorder="1" applyAlignment="1">
      <alignment horizontal="left"/>
    </xf>
    <xf numFmtId="0" fontId="11" fillId="5" borderId="17" xfId="0" applyFont="1" applyFill="1" applyBorder="1"/>
    <xf numFmtId="0" fontId="46" fillId="0" borderId="4" xfId="0" applyFont="1" applyBorder="1" applyAlignment="1">
      <alignment horizontal="center"/>
    </xf>
    <xf numFmtId="171" fontId="7" fillId="0" borderId="0" xfId="0" applyNumberFormat="1" applyFont="1"/>
    <xf numFmtId="172" fontId="0" fillId="0" borderId="0" xfId="0" applyNumberFormat="1"/>
    <xf numFmtId="0" fontId="30" fillId="3" borderId="0" xfId="0" applyFont="1" applyFill="1" applyAlignment="1">
      <alignment horizontal="right"/>
    </xf>
    <xf numFmtId="0" fontId="48" fillId="0" borderId="0" xfId="0" applyFont="1"/>
    <xf numFmtId="0" fontId="49" fillId="0" borderId="0" xfId="0" applyFont="1"/>
    <xf numFmtId="3" fontId="0" fillId="0" borderId="0" xfId="0" applyNumberFormat="1"/>
    <xf numFmtId="0" fontId="6" fillId="6" borderId="17" xfId="0" applyFont="1" applyFill="1" applyBorder="1" applyAlignment="1">
      <alignment horizontal="left"/>
    </xf>
    <xf numFmtId="0" fontId="6" fillId="6" borderId="25" xfId="0" applyFont="1" applyFill="1" applyBorder="1"/>
    <xf numFmtId="0" fontId="41" fillId="0" borderId="0" xfId="0" applyFont="1" applyAlignment="1">
      <alignment horizontal="left"/>
    </xf>
    <xf numFmtId="47" fontId="6" fillId="2" borderId="0" xfId="0" applyNumberFormat="1" applyFont="1" applyFill="1"/>
    <xf numFmtId="46" fontId="0" fillId="2" borderId="0" xfId="0" applyNumberFormat="1" applyFill="1"/>
    <xf numFmtId="9" fontId="0" fillId="0" borderId="0" xfId="0" applyNumberFormat="1" applyAlignment="1">
      <alignment horizontal="center"/>
    </xf>
    <xf numFmtId="168" fontId="8" fillId="0" borderId="0" xfId="0" applyNumberFormat="1" applyFont="1" applyAlignment="1">
      <alignment horizontal="center"/>
    </xf>
    <xf numFmtId="9" fontId="0" fillId="0" borderId="5" xfId="0" applyNumberFormat="1" applyBorder="1" applyAlignment="1">
      <alignment horizontal="center"/>
    </xf>
    <xf numFmtId="9" fontId="5" fillId="0" borderId="0" xfId="0" applyNumberFormat="1" applyFont="1" applyAlignment="1">
      <alignment horizontal="center"/>
    </xf>
    <xf numFmtId="9" fontId="7" fillId="0" borderId="0" xfId="0" applyNumberFormat="1" applyFont="1" applyAlignment="1">
      <alignment horizontal="center"/>
    </xf>
    <xf numFmtId="0" fontId="50" fillId="0" borderId="0" xfId="0" applyFont="1"/>
    <xf numFmtId="45" fontId="50" fillId="0" borderId="0" xfId="0" applyNumberFormat="1" applyFont="1"/>
    <xf numFmtId="1" fontId="38" fillId="0" borderId="0" xfId="0" applyNumberFormat="1" applyFont="1"/>
    <xf numFmtId="0" fontId="7" fillId="4" borderId="1" xfId="0" applyFont="1" applyFill="1" applyBorder="1"/>
    <xf numFmtId="0" fontId="13" fillId="0" borderId="18" xfId="0" applyFont="1" applyBorder="1"/>
    <xf numFmtId="0" fontId="13" fillId="3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0" borderId="14" xfId="0" applyFont="1" applyBorder="1"/>
    <xf numFmtId="0" fontId="12" fillId="0" borderId="20" xfId="0" applyFont="1" applyBorder="1"/>
    <xf numFmtId="0" fontId="6" fillId="7" borderId="11" xfId="0" applyFont="1" applyFill="1" applyBorder="1" applyAlignment="1">
      <alignment horizontal="center"/>
    </xf>
    <xf numFmtId="0" fontId="7" fillId="4" borderId="0" xfId="0" applyFont="1" applyFill="1"/>
    <xf numFmtId="0" fontId="16" fillId="0" borderId="0" xfId="0" applyFont="1" applyAlignment="1">
      <alignment horizontal="left"/>
    </xf>
    <xf numFmtId="45" fontId="16" fillId="0" borderId="0" xfId="0" applyNumberFormat="1" applyFont="1" applyAlignment="1">
      <alignment horizontal="left"/>
    </xf>
    <xf numFmtId="14" fontId="6" fillId="0" borderId="0" xfId="0" applyNumberFormat="1" applyFont="1"/>
    <xf numFmtId="171" fontId="0" fillId="0" borderId="0" xfId="0" applyNumberFormat="1" applyAlignment="1">
      <alignment horizontal="right"/>
    </xf>
    <xf numFmtId="45" fontId="5" fillId="0" borderId="0" xfId="0" applyNumberFormat="1" applyFont="1"/>
    <xf numFmtId="0" fontId="10" fillId="7" borderId="0" xfId="0" applyFont="1" applyFill="1"/>
    <xf numFmtId="0" fontId="12" fillId="2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1" fillId="5" borderId="4" xfId="0" applyFont="1" applyFill="1" applyBorder="1" applyAlignment="1">
      <alignment horizontal="center"/>
    </xf>
    <xf numFmtId="0" fontId="11" fillId="7" borderId="6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7" xfId="0" applyFont="1" applyFill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30" fillId="2" borderId="0" xfId="0" applyFont="1" applyFill="1" applyAlignment="1">
      <alignment horizontal="right"/>
    </xf>
    <xf numFmtId="0" fontId="0" fillId="0" borderId="14" xfId="0" applyBorder="1"/>
    <xf numFmtId="0" fontId="38" fillId="4" borderId="0" xfId="0" applyFont="1" applyFill="1"/>
    <xf numFmtId="0" fontId="41" fillId="4" borderId="0" xfId="0" applyFont="1" applyFill="1"/>
    <xf numFmtId="45" fontId="37" fillId="0" borderId="0" xfId="0" applyNumberFormat="1" applyFont="1"/>
    <xf numFmtId="0" fontId="51" fillId="0" borderId="0" xfId="0" applyFont="1"/>
    <xf numFmtId="0" fontId="21" fillId="7" borderId="5" xfId="0" applyFont="1" applyFill="1" applyBorder="1" applyAlignment="1">
      <alignment horizontal="center"/>
    </xf>
    <xf numFmtId="0" fontId="28" fillId="0" borderId="35" xfId="0" applyFont="1" applyBorder="1" applyAlignment="1">
      <alignment horizontal="center"/>
    </xf>
    <xf numFmtId="45" fontId="0" fillId="0" borderId="0" xfId="0" quotePrefix="1" applyNumberFormat="1"/>
    <xf numFmtId="0" fontId="0" fillId="2" borderId="4" xfId="0" applyFill="1" applyBorder="1"/>
    <xf numFmtId="0" fontId="39" fillId="7" borderId="4" xfId="0" applyFont="1" applyFill="1" applyBorder="1"/>
    <xf numFmtId="10" fontId="7" fillId="0" borderId="0" xfId="0" applyNumberFormat="1" applyFont="1"/>
    <xf numFmtId="0" fontId="29" fillId="0" borderId="1" xfId="0" applyFont="1" applyBorder="1" applyAlignment="1">
      <alignment horizontal="center"/>
    </xf>
    <xf numFmtId="0" fontId="21" fillId="0" borderId="0" xfId="0" applyFont="1"/>
    <xf numFmtId="0" fontId="0" fillId="5" borderId="1" xfId="0" applyFill="1" applyBorder="1"/>
    <xf numFmtId="0" fontId="0" fillId="0" borderId="34" xfId="0" applyBorder="1"/>
    <xf numFmtId="0" fontId="52" fillId="0" borderId="0" xfId="0" applyFont="1"/>
    <xf numFmtId="0" fontId="16" fillId="7" borderId="3" xfId="0" applyFont="1" applyFill="1" applyBorder="1" applyAlignment="1">
      <alignment horizontal="center"/>
    </xf>
    <xf numFmtId="0" fontId="17" fillId="7" borderId="16" xfId="0" applyFont="1" applyFill="1" applyBorder="1" applyAlignment="1">
      <alignment horizontal="center"/>
    </xf>
    <xf numFmtId="0" fontId="17" fillId="7" borderId="0" xfId="0" applyFont="1" applyFill="1" applyAlignment="1">
      <alignment horizontal="center"/>
    </xf>
    <xf numFmtId="21" fontId="0" fillId="0" borderId="0" xfId="0" applyNumberFormat="1" applyAlignment="1">
      <alignment horizontal="left"/>
    </xf>
    <xf numFmtId="0" fontId="30" fillId="0" borderId="0" xfId="0" applyFont="1" applyAlignment="1">
      <alignment horizontal="center"/>
    </xf>
    <xf numFmtId="0" fontId="13" fillId="0" borderId="20" xfId="0" applyFont="1" applyBorder="1"/>
    <xf numFmtId="165" fontId="0" fillId="0" borderId="0" xfId="0" applyNumberFormat="1"/>
    <xf numFmtId="0" fontId="10" fillId="0" borderId="0" xfId="0" applyFont="1"/>
    <xf numFmtId="9" fontId="6" fillId="0" borderId="0" xfId="0" applyNumberFormat="1" applyFont="1"/>
    <xf numFmtId="9" fontId="6" fillId="0" borderId="0" xfId="0" applyNumberFormat="1" applyFont="1" applyAlignment="1">
      <alignment horizontal="center"/>
    </xf>
    <xf numFmtId="16" fontId="38" fillId="0" borderId="0" xfId="0" applyNumberFormat="1" applyFont="1"/>
    <xf numFmtId="45" fontId="0" fillId="5" borderId="0" xfId="0" applyNumberFormat="1" applyFill="1"/>
    <xf numFmtId="45" fontId="6" fillId="19" borderId="0" xfId="0" applyNumberFormat="1" applyFont="1" applyFill="1"/>
    <xf numFmtId="45" fontId="7" fillId="10" borderId="0" xfId="0" applyNumberFormat="1" applyFont="1" applyFill="1"/>
    <xf numFmtId="21" fontId="6" fillId="0" borderId="1" xfId="0" applyNumberFormat="1" applyFont="1" applyBorder="1"/>
    <xf numFmtId="45" fontId="6" fillId="7" borderId="0" xfId="0" applyNumberFormat="1" applyFont="1" applyFill="1"/>
    <xf numFmtId="0" fontId="7" fillId="2" borderId="0" xfId="1" applyFont="1" applyFill="1" applyAlignment="1" applyProtection="1">
      <alignment horizontal="left"/>
    </xf>
    <xf numFmtId="0" fontId="0" fillId="0" borderId="10" xfId="0" applyBorder="1"/>
    <xf numFmtId="45" fontId="0" fillId="7" borderId="10" xfId="0" applyNumberFormat="1" applyFill="1" applyBorder="1"/>
    <xf numFmtId="45" fontId="7" fillId="2" borderId="5" xfId="0" applyNumberFormat="1" applyFont="1" applyFill="1" applyBorder="1"/>
    <xf numFmtId="0" fontId="7" fillId="0" borderId="5" xfId="0" applyFont="1" applyBorder="1"/>
    <xf numFmtId="45" fontId="7" fillId="3" borderId="5" xfId="0" applyNumberFormat="1" applyFont="1" applyFill="1" applyBorder="1"/>
    <xf numFmtId="45" fontId="6" fillId="0" borderId="0" xfId="0" applyNumberFormat="1" applyFont="1" applyAlignment="1">
      <alignment horizontal="left"/>
    </xf>
    <xf numFmtId="0" fontId="54" fillId="0" borderId="0" xfId="0" applyFont="1"/>
    <xf numFmtId="0" fontId="10" fillId="7" borderId="5" xfId="0" applyFont="1" applyFill="1" applyBorder="1"/>
    <xf numFmtId="45" fontId="7" fillId="3" borderId="0" xfId="0" applyNumberFormat="1" applyFont="1" applyFill="1"/>
    <xf numFmtId="45" fontId="0" fillId="0" borderId="4" xfId="0" applyNumberFormat="1" applyBorder="1"/>
    <xf numFmtId="0" fontId="5" fillId="4" borderId="0" xfId="1" applyFont="1" applyFill="1" applyAlignment="1" applyProtection="1">
      <alignment horizontal="left"/>
    </xf>
    <xf numFmtId="0" fontId="6" fillId="6" borderId="0" xfId="1" applyFont="1" applyFill="1" applyAlignment="1" applyProtection="1">
      <alignment horizontal="left"/>
    </xf>
    <xf numFmtId="0" fontId="33" fillId="0" borderId="0" xfId="0" applyFont="1"/>
    <xf numFmtId="14" fontId="7" fillId="0" borderId="5" xfId="0" applyNumberFormat="1" applyFont="1" applyBorder="1"/>
    <xf numFmtId="0" fontId="12" fillId="2" borderId="20" xfId="0" applyFont="1" applyFill="1" applyBorder="1"/>
    <xf numFmtId="45" fontId="5" fillId="3" borderId="0" xfId="1" applyNumberFormat="1" applyFont="1" applyFill="1" applyAlignment="1" applyProtection="1"/>
    <xf numFmtId="0" fontId="0" fillId="0" borderId="0" xfId="0" quotePrefix="1"/>
    <xf numFmtId="45" fontId="6" fillId="0" borderId="0" xfId="1" applyNumberFormat="1" applyFont="1" applyAlignment="1" applyProtection="1"/>
    <xf numFmtId="0" fontId="53" fillId="0" borderId="0" xfId="0" applyFont="1"/>
    <xf numFmtId="45" fontId="0" fillId="0" borderId="2" xfId="0" applyNumberFormat="1" applyBorder="1"/>
    <xf numFmtId="0" fontId="56" fillId="0" borderId="0" xfId="0" applyFont="1" applyAlignment="1">
      <alignment horizontal="left"/>
    </xf>
    <xf numFmtId="0" fontId="57" fillId="0" borderId="0" xfId="0" applyFont="1" applyAlignment="1">
      <alignment horizontal="left"/>
    </xf>
    <xf numFmtId="0" fontId="57" fillId="0" borderId="0" xfId="0" applyFont="1"/>
    <xf numFmtId="45" fontId="6" fillId="20" borderId="0" xfId="0" applyNumberFormat="1" applyFont="1" applyFill="1"/>
    <xf numFmtId="3" fontId="0" fillId="0" borderId="0" xfId="0" applyNumberFormat="1" applyAlignment="1">
      <alignment horizontal="center"/>
    </xf>
    <xf numFmtId="0" fontId="0" fillId="4" borderId="0" xfId="0" applyFill="1" applyAlignment="1">
      <alignment horizontal="left"/>
    </xf>
    <xf numFmtId="0" fontId="12" fillId="2" borderId="37" xfId="0" applyFont="1" applyFill="1" applyBorder="1"/>
    <xf numFmtId="0" fontId="12" fillId="0" borderId="36" xfId="0" applyFont="1" applyBorder="1"/>
    <xf numFmtId="0" fontId="0" fillId="0" borderId="18" xfId="0" applyBorder="1"/>
    <xf numFmtId="0" fontId="0" fillId="0" borderId="36" xfId="0" applyBorder="1"/>
    <xf numFmtId="0" fontId="58" fillId="0" borderId="0" xfId="0" applyFont="1"/>
    <xf numFmtId="45" fontId="58" fillId="0" borderId="0" xfId="0" applyNumberFormat="1" applyFont="1"/>
    <xf numFmtId="0" fontId="6" fillId="0" borderId="30" xfId="0" applyFont="1" applyBorder="1"/>
    <xf numFmtId="0" fontId="30" fillId="0" borderId="0" xfId="0" applyFont="1" applyAlignment="1">
      <alignment horizontal="right"/>
    </xf>
    <xf numFmtId="164" fontId="5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0" fontId="55" fillId="0" borderId="0" xfId="0" applyFont="1"/>
    <xf numFmtId="0" fontId="5" fillId="2" borderId="0" xfId="0" applyFont="1" applyFill="1"/>
    <xf numFmtId="0" fontId="0" fillId="0" borderId="9" xfId="0" applyBorder="1"/>
    <xf numFmtId="0" fontId="7" fillId="7" borderId="25" xfId="0" applyFont="1" applyFill="1" applyBorder="1"/>
    <xf numFmtId="0" fontId="60" fillId="17" borderId="0" xfId="0" applyFont="1" applyFill="1" applyAlignment="1">
      <alignment wrapText="1"/>
    </xf>
    <xf numFmtId="0" fontId="60" fillId="0" borderId="0" xfId="0" applyFont="1" applyAlignment="1">
      <alignment wrapText="1"/>
    </xf>
    <xf numFmtId="0" fontId="7" fillId="7" borderId="0" xfId="0" applyFont="1" applyFill="1"/>
    <xf numFmtId="0" fontId="61" fillId="0" borderId="0" xfId="0" applyFont="1"/>
    <xf numFmtId="0" fontId="16" fillId="10" borderId="0" xfId="0" applyFont="1" applyFill="1"/>
    <xf numFmtId="0" fontId="7" fillId="10" borderId="0" xfId="0" applyFont="1" applyFill="1"/>
    <xf numFmtId="45" fontId="6" fillId="10" borderId="0" xfId="0" applyNumberFormat="1" applyFont="1" applyFill="1"/>
    <xf numFmtId="0" fontId="16" fillId="10" borderId="5" xfId="0" applyFont="1" applyFill="1" applyBorder="1"/>
    <xf numFmtId="0" fontId="0" fillId="10" borderId="5" xfId="0" applyFill="1" applyBorder="1"/>
    <xf numFmtId="45" fontId="6" fillId="10" borderId="5" xfId="0" applyNumberFormat="1" applyFont="1" applyFill="1" applyBorder="1"/>
    <xf numFmtId="0" fontId="13" fillId="0" borderId="33" xfId="0" applyFont="1" applyBorder="1"/>
    <xf numFmtId="0" fontId="0" fillId="3" borderId="18" xfId="0" applyFill="1" applyBorder="1"/>
    <xf numFmtId="0" fontId="30" fillId="0" borderId="0" xfId="0" applyFont="1" applyAlignment="1">
      <alignment horizontal="left"/>
    </xf>
    <xf numFmtId="0" fontId="13" fillId="3" borderId="18" xfId="0" applyFont="1" applyFill="1" applyBorder="1" applyAlignment="1">
      <alignment horizontal="center"/>
    </xf>
    <xf numFmtId="0" fontId="16" fillId="2" borderId="41" xfId="0" applyFont="1" applyFill="1" applyBorder="1" applyAlignment="1">
      <alignment horizontal="left"/>
    </xf>
    <xf numFmtId="0" fontId="16" fillId="7" borderId="42" xfId="0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6" fillId="0" borderId="17" xfId="0" applyFont="1" applyBorder="1" applyAlignment="1">
      <alignment horizontal="left"/>
    </xf>
    <xf numFmtId="0" fontId="16" fillId="2" borderId="17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7" borderId="17" xfId="0" applyFont="1" applyFill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0" fillId="0" borderId="19" xfId="0" applyBorder="1" applyAlignment="1">
      <alignment horizontal="center"/>
    </xf>
    <xf numFmtId="0" fontId="0" fillId="19" borderId="3" xfId="0" applyFill="1" applyBorder="1" applyAlignment="1">
      <alignment horizontal="center"/>
    </xf>
    <xf numFmtId="0" fontId="0" fillId="19" borderId="0" xfId="0" applyFill="1"/>
    <xf numFmtId="0" fontId="0" fillId="14" borderId="25" xfId="0" applyFill="1" applyBorder="1" applyAlignment="1">
      <alignment horizontal="right"/>
    </xf>
    <xf numFmtId="0" fontId="0" fillId="19" borderId="17" xfId="0" applyFill="1" applyBorder="1"/>
    <xf numFmtId="0" fontId="0" fillId="0" borderId="31" xfId="0" applyBorder="1"/>
    <xf numFmtId="0" fontId="16" fillId="7" borderId="16" xfId="0" applyFont="1" applyFill="1" applyBorder="1" applyAlignment="1">
      <alignment horizontal="center"/>
    </xf>
    <xf numFmtId="0" fontId="0" fillId="4" borderId="20" xfId="0" applyFill="1" applyBorder="1"/>
    <xf numFmtId="0" fontId="29" fillId="3" borderId="0" xfId="0" applyFont="1" applyFill="1" applyAlignment="1">
      <alignment horizontal="center"/>
    </xf>
    <xf numFmtId="0" fontId="0" fillId="10" borderId="0" xfId="0" applyFill="1"/>
    <xf numFmtId="0" fontId="6" fillId="10" borderId="0" xfId="0" applyFont="1" applyFill="1"/>
    <xf numFmtId="0" fontId="34" fillId="0" borderId="0" xfId="0" applyFont="1"/>
    <xf numFmtId="0" fontId="6" fillId="19" borderId="0" xfId="0" applyFont="1" applyFill="1"/>
    <xf numFmtId="0" fontId="5" fillId="0" borderId="1" xfId="0" applyFont="1" applyBorder="1"/>
    <xf numFmtId="45" fontId="11" fillId="0" borderId="0" xfId="0" applyNumberFormat="1" applyFont="1"/>
    <xf numFmtId="3" fontId="5" fillId="0" borderId="0" xfId="0" applyNumberFormat="1" applyFont="1"/>
    <xf numFmtId="0" fontId="8" fillId="6" borderId="0" xfId="0" applyFont="1" applyFill="1"/>
    <xf numFmtId="0" fontId="0" fillId="0" borderId="28" xfId="0" applyBorder="1"/>
    <xf numFmtId="0" fontId="6" fillId="0" borderId="3" xfId="0" applyFont="1" applyBorder="1"/>
    <xf numFmtId="0" fontId="62" fillId="0" borderId="0" xfId="0" applyFont="1"/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63" fillId="0" borderId="0" xfId="0" applyFont="1"/>
    <xf numFmtId="0" fontId="0" fillId="0" borderId="29" xfId="0" applyBorder="1"/>
    <xf numFmtId="0" fontId="7" fillId="16" borderId="0" xfId="0" applyFont="1" applyFill="1"/>
    <xf numFmtId="0" fontId="0" fillId="16" borderId="0" xfId="0" applyFill="1"/>
    <xf numFmtId="14" fontId="7" fillId="16" borderId="0" xfId="0" applyNumberFormat="1" applyFont="1" applyFill="1"/>
    <xf numFmtId="0" fontId="30" fillId="5" borderId="0" xfId="0" applyFont="1" applyFill="1" applyAlignment="1">
      <alignment horizontal="right"/>
    </xf>
    <xf numFmtId="0" fontId="30" fillId="5" borderId="0" xfId="0" applyFont="1" applyFill="1" applyAlignment="1">
      <alignment horizontal="left"/>
    </xf>
    <xf numFmtId="1" fontId="7" fillId="0" borderId="0" xfId="0" applyNumberFormat="1" applyFont="1" applyAlignment="1">
      <alignment horizontal="center"/>
    </xf>
    <xf numFmtId="0" fontId="12" fillId="2" borderId="16" xfId="0" applyFont="1" applyFill="1" applyBorder="1" applyAlignment="1">
      <alignment horizontal="center"/>
    </xf>
    <xf numFmtId="0" fontId="12" fillId="0" borderId="14" xfId="0" applyFont="1" applyBorder="1"/>
    <xf numFmtId="0" fontId="12" fillId="0" borderId="12" xfId="0" applyFont="1" applyBorder="1"/>
    <xf numFmtId="0" fontId="12" fillId="0" borderId="39" xfId="0" applyFont="1" applyBorder="1"/>
    <xf numFmtId="0" fontId="66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66" fillId="0" borderId="0" xfId="0" applyFont="1"/>
    <xf numFmtId="0" fontId="67" fillId="0" borderId="0" xfId="0" applyFont="1"/>
    <xf numFmtId="0" fontId="67" fillId="0" borderId="0" xfId="0" applyFont="1" applyAlignment="1">
      <alignment horizontal="right"/>
    </xf>
    <xf numFmtId="0" fontId="0" fillId="0" borderId="40" xfId="0" applyBorder="1"/>
    <xf numFmtId="0" fontId="12" fillId="3" borderId="15" xfId="0" applyFont="1" applyFill="1" applyBorder="1" applyAlignment="1">
      <alignment horizontal="center"/>
    </xf>
    <xf numFmtId="45" fontId="5" fillId="6" borderId="0" xfId="0" applyNumberFormat="1" applyFont="1" applyFill="1"/>
    <xf numFmtId="45" fontId="7" fillId="6" borderId="0" xfId="0" applyNumberFormat="1" applyFont="1" applyFill="1"/>
    <xf numFmtId="0" fontId="12" fillId="5" borderId="1" xfId="0" applyFont="1" applyFill="1" applyBorder="1"/>
    <xf numFmtId="0" fontId="17" fillId="7" borderId="17" xfId="0" applyFont="1" applyFill="1" applyBorder="1"/>
    <xf numFmtId="0" fontId="39" fillId="7" borderId="31" xfId="0" applyFont="1" applyFill="1" applyBorder="1"/>
    <xf numFmtId="0" fontId="6" fillId="21" borderId="0" xfId="0" applyFont="1" applyFill="1"/>
    <xf numFmtId="0" fontId="6" fillId="21" borderId="11" xfId="0" applyFont="1" applyFill="1" applyBorder="1"/>
    <xf numFmtId="0" fontId="0" fillId="21" borderId="0" xfId="0" applyFill="1"/>
    <xf numFmtId="0" fontId="0" fillId="21" borderId="11" xfId="0" applyFill="1" applyBorder="1"/>
    <xf numFmtId="14" fontId="0" fillId="21" borderId="11" xfId="0" applyNumberFormat="1" applyFill="1" applyBorder="1"/>
    <xf numFmtId="0" fontId="5" fillId="4" borderId="0" xfId="0" applyFont="1" applyFill="1"/>
    <xf numFmtId="0" fontId="26" fillId="5" borderId="0" xfId="0" applyFont="1" applyFill="1"/>
    <xf numFmtId="0" fontId="47" fillId="5" borderId="0" xfId="0" applyFont="1" applyFill="1"/>
    <xf numFmtId="0" fontId="12" fillId="3" borderId="44" xfId="0" applyFont="1" applyFill="1" applyBorder="1"/>
    <xf numFmtId="0" fontId="32" fillId="0" borderId="1" xfId="0" applyFont="1" applyBorder="1"/>
    <xf numFmtId="0" fontId="6" fillId="8" borderId="0" xfId="1" applyFont="1" applyFill="1" applyAlignment="1" applyProtection="1">
      <alignment horizontal="left"/>
    </xf>
    <xf numFmtId="0" fontId="13" fillId="2" borderId="0" xfId="0" applyFont="1" applyFill="1" applyAlignment="1">
      <alignment horizontal="center"/>
    </xf>
    <xf numFmtId="0" fontId="0" fillId="2" borderId="3" xfId="0" applyFill="1" applyBorder="1"/>
    <xf numFmtId="0" fontId="64" fillId="0" borderId="0" xfId="0" applyFont="1" applyAlignment="1">
      <alignment horizontal="left"/>
    </xf>
    <xf numFmtId="21" fontId="68" fillId="0" borderId="0" xfId="0" applyNumberFormat="1" applyFont="1"/>
    <xf numFmtId="0" fontId="0" fillId="19" borderId="16" xfId="0" applyFill="1" applyBorder="1" applyAlignment="1">
      <alignment horizontal="center"/>
    </xf>
    <xf numFmtId="0" fontId="59" fillId="0" borderId="18" xfId="0" applyFont="1" applyBorder="1"/>
    <xf numFmtId="0" fontId="7" fillId="0" borderId="29" xfId="0" applyFont="1" applyBorder="1"/>
    <xf numFmtId="0" fontId="12" fillId="0" borderId="14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24" borderId="1" xfId="0" applyFont="1" applyFill="1" applyBorder="1"/>
    <xf numFmtId="1" fontId="69" fillId="26" borderId="0" xfId="0" applyNumberFormat="1" applyFont="1" applyFill="1" applyAlignment="1">
      <alignment horizontal="center"/>
    </xf>
    <xf numFmtId="0" fontId="0" fillId="27" borderId="0" xfId="0" applyFill="1"/>
    <xf numFmtId="0" fontId="7" fillId="28" borderId="0" xfId="0" applyFont="1" applyFill="1"/>
    <xf numFmtId="45" fontId="72" fillId="0" borderId="0" xfId="0" applyNumberFormat="1" applyFont="1"/>
    <xf numFmtId="0" fontId="72" fillId="0" borderId="0" xfId="0" applyFont="1"/>
    <xf numFmtId="0" fontId="73" fillId="0" borderId="0" xfId="0" applyFont="1"/>
    <xf numFmtId="0" fontId="30" fillId="28" borderId="0" xfId="0" applyFont="1" applyFill="1"/>
    <xf numFmtId="0" fontId="13" fillId="28" borderId="1" xfId="0" applyFont="1" applyFill="1" applyBorder="1"/>
    <xf numFmtId="1" fontId="10" fillId="0" borderId="0" xfId="0" applyNumberFormat="1" applyFont="1" applyAlignment="1">
      <alignment horizontal="center"/>
    </xf>
    <xf numFmtId="0" fontId="7" fillId="24" borderId="0" xfId="0" applyFont="1" applyFill="1"/>
    <xf numFmtId="0" fontId="7" fillId="29" borderId="0" xfId="0" applyFont="1" applyFill="1"/>
    <xf numFmtId="10" fontId="7" fillId="0" borderId="0" xfId="0" applyNumberFormat="1" applyFont="1" applyAlignment="1">
      <alignment horizontal="right"/>
    </xf>
    <xf numFmtId="0" fontId="0" fillId="31" borderId="0" xfId="0" applyFill="1"/>
    <xf numFmtId="16" fontId="5" fillId="0" borderId="0" xfId="0" applyNumberFormat="1" applyFont="1"/>
    <xf numFmtId="14" fontId="5" fillId="0" borderId="0" xfId="0" applyNumberFormat="1" applyFont="1"/>
    <xf numFmtId="0" fontId="0" fillId="32" borderId="0" xfId="0" applyFill="1" applyAlignment="1">
      <alignment horizontal="center"/>
    </xf>
    <xf numFmtId="0" fontId="0" fillId="32" borderId="0" xfId="0" applyFill="1"/>
    <xf numFmtId="0" fontId="29" fillId="33" borderId="0" xfId="0" applyFont="1" applyFill="1" applyAlignment="1">
      <alignment horizontal="center"/>
    </xf>
    <xf numFmtId="0" fontId="30" fillId="33" borderId="0" xfId="0" applyFont="1" applyFill="1"/>
    <xf numFmtId="0" fontId="30" fillId="33" borderId="0" xfId="0" applyFont="1" applyFill="1" applyAlignment="1">
      <alignment horizontal="center"/>
    </xf>
    <xf numFmtId="1" fontId="75" fillId="0" borderId="0" xfId="0" applyNumberFormat="1" applyFont="1" applyAlignment="1">
      <alignment horizontal="center"/>
    </xf>
    <xf numFmtId="0" fontId="0" fillId="22" borderId="0" xfId="0" applyFill="1"/>
    <xf numFmtId="0" fontId="0" fillId="28" borderId="0" xfId="0" applyFill="1"/>
    <xf numFmtId="0" fontId="5" fillId="28" borderId="0" xfId="0" applyFont="1" applyFill="1"/>
    <xf numFmtId="0" fontId="6" fillId="24" borderId="0" xfId="0" applyFont="1" applyFill="1"/>
    <xf numFmtId="0" fontId="72" fillId="0" borderId="0" xfId="0" applyFont="1" applyAlignment="1">
      <alignment horizontal="left"/>
    </xf>
    <xf numFmtId="0" fontId="30" fillId="28" borderId="0" xfId="0" applyFont="1" applyFill="1" applyAlignment="1">
      <alignment horizontal="left"/>
    </xf>
    <xf numFmtId="0" fontId="30" fillId="34" borderId="0" xfId="0" applyFont="1" applyFill="1" applyAlignment="1">
      <alignment horizontal="left"/>
    </xf>
    <xf numFmtId="0" fontId="12" fillId="34" borderId="1" xfId="0" applyFont="1" applyFill="1" applyBorder="1"/>
    <xf numFmtId="0" fontId="30" fillId="34" borderId="0" xfId="0" applyFont="1" applyFill="1" applyAlignment="1">
      <alignment horizontal="center"/>
    </xf>
    <xf numFmtId="0" fontId="30" fillId="28" borderId="0" xfId="0" applyFont="1" applyFill="1" applyAlignment="1">
      <alignment horizontal="center"/>
    </xf>
    <xf numFmtId="0" fontId="12" fillId="28" borderId="1" xfId="0" applyFont="1" applyFill="1" applyBorder="1"/>
    <xf numFmtId="1" fontId="0" fillId="28" borderId="0" xfId="0" applyNumberFormat="1" applyFill="1"/>
    <xf numFmtId="1" fontId="10" fillId="31" borderId="0" xfId="0" applyNumberFormat="1" applyFont="1" applyFill="1" applyAlignment="1">
      <alignment horizontal="center"/>
    </xf>
    <xf numFmtId="45" fontId="7" fillId="0" borderId="0" xfId="0" applyNumberFormat="1" applyFont="1" applyAlignment="1">
      <alignment horizontal="center"/>
    </xf>
    <xf numFmtId="45" fontId="58" fillId="0" borderId="0" xfId="0" applyNumberFormat="1" applyFont="1" applyAlignment="1">
      <alignment horizontal="center"/>
    </xf>
    <xf numFmtId="0" fontId="58" fillId="0" borderId="0" xfId="0" applyFont="1" applyAlignment="1">
      <alignment horizontal="left"/>
    </xf>
    <xf numFmtId="9" fontId="58" fillId="0" borderId="0" xfId="0" applyNumberFormat="1" applyFont="1"/>
    <xf numFmtId="45" fontId="5" fillId="0" borderId="0" xfId="0" applyNumberFormat="1" applyFont="1" applyAlignment="1">
      <alignment horizontal="center"/>
    </xf>
    <xf numFmtId="0" fontId="70" fillId="0" borderId="0" xfId="0" applyFont="1" applyAlignment="1">
      <alignment horizontal="left"/>
    </xf>
    <xf numFmtId="0" fontId="71" fillId="0" borderId="0" xfId="0" applyFont="1"/>
    <xf numFmtId="4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35" borderId="0" xfId="0" applyFill="1"/>
    <xf numFmtId="0" fontId="12" fillId="34" borderId="1" xfId="0" applyFont="1" applyFill="1" applyBorder="1" applyAlignment="1">
      <alignment horizontal="center"/>
    </xf>
    <xf numFmtId="0" fontId="13" fillId="28" borderId="1" xfId="0" applyFont="1" applyFill="1" applyBorder="1" applyAlignment="1">
      <alignment horizontal="center"/>
    </xf>
    <xf numFmtId="0" fontId="5" fillId="27" borderId="0" xfId="0" applyFont="1" applyFill="1"/>
    <xf numFmtId="0" fontId="5" fillId="35" borderId="0" xfId="0" applyFont="1" applyFill="1"/>
    <xf numFmtId="1" fontId="69" fillId="13" borderId="0" xfId="0" applyNumberFormat="1" applyFont="1" applyFill="1" applyAlignment="1">
      <alignment horizontal="center"/>
    </xf>
    <xf numFmtId="0" fontId="30" fillId="28" borderId="0" xfId="0" applyFont="1" applyFill="1" applyAlignment="1">
      <alignment horizontal="right"/>
    </xf>
    <xf numFmtId="1" fontId="10" fillId="37" borderId="0" xfId="0" applyNumberFormat="1" applyFont="1" applyFill="1" applyAlignment="1">
      <alignment horizontal="center"/>
    </xf>
    <xf numFmtId="0" fontId="12" fillId="28" borderId="1" xfId="0" applyFont="1" applyFill="1" applyBorder="1" applyAlignment="1">
      <alignment horizontal="center"/>
    </xf>
    <xf numFmtId="0" fontId="30" fillId="34" borderId="0" xfId="0" applyFont="1" applyFill="1" applyAlignment="1">
      <alignment horizontal="right"/>
    </xf>
    <xf numFmtId="0" fontId="77" fillId="34" borderId="0" xfId="0" applyFont="1" applyFill="1" applyAlignment="1">
      <alignment horizontal="center"/>
    </xf>
    <xf numFmtId="0" fontId="5" fillId="28" borderId="0" xfId="0" applyFont="1" applyFill="1" applyAlignment="1">
      <alignment horizontal="left"/>
    </xf>
    <xf numFmtId="0" fontId="78" fillId="0" borderId="0" xfId="0" applyFont="1" applyAlignment="1">
      <alignment horizontal="center"/>
    </xf>
    <xf numFmtId="0" fontId="30" fillId="34" borderId="0" xfId="0" applyFont="1" applyFill="1"/>
    <xf numFmtId="0" fontId="31" fillId="28" borderId="0" xfId="0" applyFont="1" applyFill="1" applyAlignment="1">
      <alignment horizontal="left"/>
    </xf>
    <xf numFmtId="0" fontId="6" fillId="28" borderId="0" xfId="0" applyFont="1" applyFill="1"/>
    <xf numFmtId="0" fontId="5" fillId="24" borderId="0" xfId="0" applyFont="1" applyFill="1"/>
    <xf numFmtId="0" fontId="12" fillId="34" borderId="16" xfId="0" applyFont="1" applyFill="1" applyBorder="1"/>
    <xf numFmtId="0" fontId="13" fillId="34" borderId="16" xfId="0" applyFont="1" applyFill="1" applyBorder="1"/>
    <xf numFmtId="9" fontId="5" fillId="0" borderId="0" xfId="0" applyNumberFormat="1" applyFont="1"/>
    <xf numFmtId="0" fontId="0" fillId="35" borderId="1" xfId="0" applyFill="1" applyBorder="1"/>
    <xf numFmtId="21" fontId="12" fillId="0" borderId="0" xfId="0" applyNumberFormat="1" applyFont="1" applyAlignment="1">
      <alignment horizontal="left"/>
    </xf>
    <xf numFmtId="46" fontId="5" fillId="0" borderId="0" xfId="0" applyNumberFormat="1" applyFont="1"/>
    <xf numFmtId="0" fontId="11" fillId="30" borderId="0" xfId="0" applyFont="1" applyFill="1" applyAlignment="1">
      <alignment horizontal="left"/>
    </xf>
    <xf numFmtId="0" fontId="6" fillId="30" borderId="0" xfId="0" applyFont="1" applyFill="1"/>
    <xf numFmtId="0" fontId="13" fillId="34" borderId="1" xfId="0" applyFont="1" applyFill="1" applyBorder="1"/>
    <xf numFmtId="1" fontId="69" fillId="31" borderId="0" xfId="0" applyNumberFormat="1" applyFont="1" applyFill="1" applyAlignment="1">
      <alignment horizontal="center"/>
    </xf>
    <xf numFmtId="0" fontId="13" fillId="0" borderId="33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5" fillId="22" borderId="0" xfId="0" applyFont="1" applyFill="1"/>
    <xf numFmtId="1" fontId="0" fillId="22" borderId="0" xfId="0" applyNumberFormat="1" applyFill="1"/>
    <xf numFmtId="0" fontId="30" fillId="22" borderId="0" xfId="0" applyFont="1" applyFill="1" applyAlignment="1">
      <alignment horizontal="center"/>
    </xf>
    <xf numFmtId="0" fontId="5" fillId="0" borderId="1" xfId="0" applyFont="1" applyBorder="1" applyAlignment="1">
      <alignment horizontal="center"/>
    </xf>
    <xf numFmtId="0" fontId="0" fillId="24" borderId="0" xfId="0" applyFill="1"/>
    <xf numFmtId="0" fontId="5" fillId="34" borderId="1" xfId="0" applyFont="1" applyFill="1" applyBorder="1" applyAlignment="1">
      <alignment horizontal="left"/>
    </xf>
    <xf numFmtId="0" fontId="5" fillId="28" borderId="1" xfId="0" applyFont="1" applyFill="1" applyBorder="1" applyAlignment="1">
      <alignment horizontal="center"/>
    </xf>
    <xf numFmtId="0" fontId="12" fillId="34" borderId="16" xfId="0" applyFont="1" applyFill="1" applyBorder="1" applyAlignment="1">
      <alignment horizontal="center"/>
    </xf>
    <xf numFmtId="0" fontId="13" fillId="0" borderId="1" xfId="0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0" fontId="12" fillId="28" borderId="16" xfId="0" applyFont="1" applyFill="1" applyBorder="1" applyAlignment="1">
      <alignment horizontal="center"/>
    </xf>
    <xf numFmtId="0" fontId="12" fillId="28" borderId="16" xfId="0" applyFont="1" applyFill="1" applyBorder="1"/>
    <xf numFmtId="45" fontId="6" fillId="0" borderId="7" xfId="0" applyNumberFormat="1" applyFont="1" applyBorder="1" applyAlignment="1">
      <alignment horizontal="center"/>
    </xf>
    <xf numFmtId="45" fontId="6" fillId="0" borderId="7" xfId="0" applyNumberFormat="1" applyFont="1" applyBorder="1" applyAlignment="1">
      <alignment horizontal="right"/>
    </xf>
    <xf numFmtId="0" fontId="7" fillId="0" borderId="14" xfId="0" applyFont="1" applyBorder="1"/>
    <xf numFmtId="0" fontId="30" fillId="0" borderId="1" xfId="0" applyFont="1" applyBorder="1" applyAlignment="1">
      <alignment horizontal="right"/>
    </xf>
    <xf numFmtId="0" fontId="30" fillId="22" borderId="1" xfId="0" applyFont="1" applyFill="1" applyBorder="1"/>
    <xf numFmtId="0" fontId="30" fillId="22" borderId="1" xfId="0" applyFont="1" applyFill="1" applyBorder="1" applyAlignment="1">
      <alignment horizontal="right"/>
    </xf>
    <xf numFmtId="0" fontId="5" fillId="22" borderId="1" xfId="0" applyFont="1" applyFill="1" applyBorder="1"/>
    <xf numFmtId="14" fontId="0" fillId="30" borderId="0" xfId="0" applyNumberFormat="1" applyFill="1"/>
    <xf numFmtId="0" fontId="5" fillId="30" borderId="0" xfId="0" applyFont="1" applyFill="1"/>
    <xf numFmtId="0" fontId="5" fillId="30" borderId="11" xfId="0" applyFont="1" applyFill="1" applyBorder="1"/>
    <xf numFmtId="0" fontId="0" fillId="30" borderId="11" xfId="0" applyFill="1" applyBorder="1"/>
    <xf numFmtId="0" fontId="5" fillId="0" borderId="11" xfId="0" applyFont="1" applyBorder="1"/>
    <xf numFmtId="0" fontId="8" fillId="28" borderId="3" xfId="0" applyFont="1" applyFill="1" applyBorder="1"/>
    <xf numFmtId="0" fontId="8" fillId="28" borderId="0" xfId="0" applyFont="1" applyFill="1"/>
    <xf numFmtId="0" fontId="0" fillId="28" borderId="0" xfId="0" applyFill="1" applyAlignment="1">
      <alignment horizontal="center"/>
    </xf>
    <xf numFmtId="0" fontId="79" fillId="0" borderId="0" xfId="0" applyFont="1" applyAlignment="1">
      <alignment vertical="center" wrapText="1"/>
    </xf>
    <xf numFmtId="0" fontId="38" fillId="0" borderId="0" xfId="1" applyFont="1" applyAlignment="1" applyProtection="1">
      <alignment vertical="center" wrapText="1"/>
    </xf>
    <xf numFmtId="0" fontId="0" fillId="27" borderId="1" xfId="0" applyFill="1" applyBorder="1"/>
    <xf numFmtId="0" fontId="12" fillId="34" borderId="37" xfId="0" applyFont="1" applyFill="1" applyBorder="1"/>
    <xf numFmtId="0" fontId="12" fillId="34" borderId="38" xfId="0" applyFont="1" applyFill="1" applyBorder="1"/>
    <xf numFmtId="0" fontId="12" fillId="28" borderId="44" xfId="0" applyFont="1" applyFill="1" applyBorder="1"/>
    <xf numFmtId="0" fontId="12" fillId="28" borderId="37" xfId="0" applyFont="1" applyFill="1" applyBorder="1"/>
    <xf numFmtId="0" fontId="7" fillId="35" borderId="0" xfId="0" applyFont="1" applyFill="1"/>
    <xf numFmtId="0" fontId="0" fillId="39" borderId="0" xfId="0" applyFill="1"/>
    <xf numFmtId="0" fontId="5" fillId="0" borderId="4" xfId="0" applyFont="1" applyBorder="1"/>
    <xf numFmtId="0" fontId="37" fillId="22" borderId="0" xfId="0" applyFont="1" applyFill="1"/>
    <xf numFmtId="0" fontId="6" fillId="0" borderId="2" xfId="0" applyFont="1" applyBorder="1"/>
    <xf numFmtId="0" fontId="81" fillId="0" borderId="0" xfId="0" applyFont="1" applyAlignment="1">
      <alignment wrapText="1"/>
    </xf>
    <xf numFmtId="14" fontId="81" fillId="0" borderId="0" xfId="0" applyNumberFormat="1" applyFont="1" applyAlignment="1">
      <alignment horizontal="right" wrapText="1"/>
    </xf>
    <xf numFmtId="0" fontId="82" fillId="0" borderId="0" xfId="0" applyFont="1" applyAlignment="1">
      <alignment wrapText="1"/>
    </xf>
    <xf numFmtId="0" fontId="80" fillId="0" borderId="0" xfId="0" applyFont="1" applyAlignment="1">
      <alignment wrapText="1"/>
    </xf>
    <xf numFmtId="21" fontId="5" fillId="0" borderId="0" xfId="0" applyNumberFormat="1" applyFont="1"/>
    <xf numFmtId="0" fontId="5" fillId="39" borderId="0" xfId="0" applyFont="1" applyFill="1"/>
    <xf numFmtId="0" fontId="83" fillId="0" borderId="0" xfId="0" applyFont="1"/>
    <xf numFmtId="0" fontId="0" fillId="34" borderId="0" xfId="0" applyFill="1"/>
    <xf numFmtId="0" fontId="0" fillId="28" borderId="0" xfId="0" applyFill="1" applyAlignment="1">
      <alignment horizontal="right"/>
    </xf>
    <xf numFmtId="0" fontId="85" fillId="39" borderId="17" xfId="0" applyFont="1" applyFill="1" applyBorder="1"/>
    <xf numFmtId="0" fontId="38" fillId="0" borderId="0" xfId="0" applyFont="1" applyAlignment="1">
      <alignment horizontal="left"/>
    </xf>
    <xf numFmtId="0" fontId="21" fillId="40" borderId="6" xfId="0" applyFont="1" applyFill="1" applyBorder="1" applyAlignment="1">
      <alignment horizontal="left"/>
    </xf>
    <xf numFmtId="0" fontId="11" fillId="40" borderId="0" xfId="0" applyFont="1" applyFill="1" applyAlignment="1">
      <alignment horizontal="right"/>
    </xf>
    <xf numFmtId="0" fontId="0" fillId="28" borderId="1" xfId="0" applyFill="1" applyBorder="1"/>
    <xf numFmtId="16" fontId="72" fillId="0" borderId="0" xfId="0" applyNumberFormat="1" applyFont="1"/>
    <xf numFmtId="0" fontId="16" fillId="22" borderId="0" xfId="0" applyFont="1" applyFill="1"/>
    <xf numFmtId="0" fontId="38" fillId="22" borderId="0" xfId="0" applyFont="1" applyFill="1"/>
    <xf numFmtId="0" fontId="5" fillId="35" borderId="1" xfId="0" applyFont="1" applyFill="1" applyBorder="1" applyAlignment="1">
      <alignment horizontal="center"/>
    </xf>
    <xf numFmtId="2" fontId="5" fillId="0" borderId="0" xfId="0" applyNumberFormat="1" applyFont="1"/>
    <xf numFmtId="0" fontId="5" fillId="0" borderId="1" xfId="0" applyFont="1" applyBorder="1" applyAlignment="1">
      <alignment horizontal="left"/>
    </xf>
    <xf numFmtId="0" fontId="12" fillId="30" borderId="0" xfId="0" applyFont="1" applyFill="1" applyAlignment="1">
      <alignment horizontal="left"/>
    </xf>
    <xf numFmtId="0" fontId="0" fillId="30" borderId="0" xfId="0" applyFill="1"/>
    <xf numFmtId="0" fontId="0" fillId="28" borderId="38" xfId="0" applyFill="1" applyBorder="1"/>
    <xf numFmtId="45" fontId="0" fillId="41" borderId="0" xfId="0" applyNumberFormat="1" applyFill="1"/>
    <xf numFmtId="45" fontId="0" fillId="42" borderId="0" xfId="0" applyNumberFormat="1" applyFill="1"/>
    <xf numFmtId="45" fontId="0" fillId="42" borderId="5" xfId="0" applyNumberFormat="1" applyFill="1" applyBorder="1"/>
    <xf numFmtId="0" fontId="5" fillId="0" borderId="1" xfId="0" applyFont="1" applyBorder="1" applyAlignment="1">
      <alignment horizontal="right"/>
    </xf>
    <xf numFmtId="45" fontId="0" fillId="36" borderId="0" xfId="0" applyNumberFormat="1" applyFill="1"/>
    <xf numFmtId="45" fontId="0" fillId="43" borderId="0" xfId="0" applyNumberFormat="1" applyFill="1"/>
    <xf numFmtId="45" fontId="5" fillId="43" borderId="0" xfId="0" applyNumberFormat="1" applyFont="1" applyFill="1"/>
    <xf numFmtId="45" fontId="0" fillId="44" borderId="0" xfId="0" applyNumberFormat="1" applyFill="1"/>
    <xf numFmtId="0" fontId="87" fillId="0" borderId="0" xfId="0" applyFont="1" applyAlignment="1">
      <alignment horizontal="center"/>
    </xf>
    <xf numFmtId="0" fontId="87" fillId="0" borderId="0" xfId="0" applyFont="1"/>
    <xf numFmtId="0" fontId="87" fillId="0" borderId="0" xfId="0" applyFont="1" applyAlignment="1">
      <alignment horizontal="right"/>
    </xf>
    <xf numFmtId="0" fontId="0" fillId="0" borderId="0" xfId="0" applyAlignment="1">
      <alignment wrapText="1"/>
    </xf>
    <xf numFmtId="1" fontId="89" fillId="0" borderId="0" xfId="0" applyNumberFormat="1" applyFont="1"/>
    <xf numFmtId="0" fontId="27" fillId="28" borderId="1" xfId="0" applyFont="1" applyFill="1" applyBorder="1"/>
    <xf numFmtId="45" fontId="55" fillId="0" borderId="0" xfId="0" applyNumberFormat="1" applyFont="1"/>
    <xf numFmtId="0" fontId="55" fillId="0" borderId="0" xfId="0" applyFont="1" applyAlignment="1">
      <alignment horizontal="center"/>
    </xf>
    <xf numFmtId="0" fontId="33" fillId="0" borderId="14" xfId="0" applyFont="1" applyBorder="1"/>
    <xf numFmtId="0" fontId="30" fillId="0" borderId="14" xfId="0" applyFont="1" applyBorder="1"/>
    <xf numFmtId="0" fontId="30" fillId="0" borderId="8" xfId="0" applyFont="1" applyBorder="1"/>
    <xf numFmtId="0" fontId="31" fillId="46" borderId="0" xfId="0" applyFont="1" applyFill="1" applyAlignment="1">
      <alignment horizontal="left"/>
    </xf>
    <xf numFmtId="0" fontId="0" fillId="22" borderId="1" xfId="0" applyFill="1" applyBorder="1"/>
    <xf numFmtId="0" fontId="15" fillId="0" borderId="0" xfId="0" applyFont="1" applyAlignment="1">
      <alignment horizontal="center"/>
    </xf>
    <xf numFmtId="0" fontId="5" fillId="22" borderId="1" xfId="0" applyFont="1" applyFill="1" applyBorder="1" applyAlignment="1">
      <alignment horizontal="right"/>
    </xf>
    <xf numFmtId="0" fontId="5" fillId="35" borderId="1" xfId="0" applyFont="1" applyFill="1" applyBorder="1"/>
    <xf numFmtId="0" fontId="8" fillId="34" borderId="0" xfId="0" applyFont="1" applyFill="1" applyAlignment="1">
      <alignment horizontal="center"/>
    </xf>
    <xf numFmtId="0" fontId="8" fillId="28" borderId="0" xfId="0" applyFont="1" applyFill="1" applyAlignment="1">
      <alignment horizontal="center"/>
    </xf>
    <xf numFmtId="0" fontId="30" fillId="46" borderId="0" xfId="0" applyFont="1" applyFill="1"/>
    <xf numFmtId="0" fontId="59" fillId="0" borderId="0" xfId="0" applyFont="1" applyAlignment="1">
      <alignment horizontal="center"/>
    </xf>
    <xf numFmtId="166" fontId="91" fillId="2" borderId="0" xfId="0" applyNumberFormat="1" applyFont="1" applyFill="1"/>
    <xf numFmtId="0" fontId="91" fillId="0" borderId="0" xfId="0" applyFont="1"/>
    <xf numFmtId="10" fontId="91" fillId="0" borderId="0" xfId="0" applyNumberFormat="1" applyFont="1"/>
    <xf numFmtId="0" fontId="91" fillId="2" borderId="0" xfId="0" applyFont="1" applyFill="1"/>
    <xf numFmtId="45" fontId="91" fillId="0" borderId="0" xfId="0" applyNumberFormat="1" applyFont="1"/>
    <xf numFmtId="20" fontId="91" fillId="0" borderId="0" xfId="0" applyNumberFormat="1" applyFont="1"/>
    <xf numFmtId="0" fontId="92" fillId="0" borderId="0" xfId="0" applyFont="1"/>
    <xf numFmtId="0" fontId="93" fillId="2" borderId="0" xfId="0" applyFont="1" applyFill="1"/>
    <xf numFmtId="45" fontId="92" fillId="0" borderId="0" xfId="0" applyNumberFormat="1" applyFont="1"/>
    <xf numFmtId="0" fontId="91" fillId="9" borderId="0" xfId="0" applyFont="1" applyFill="1"/>
    <xf numFmtId="0" fontId="94" fillId="0" borderId="0" xfId="0" applyFont="1"/>
    <xf numFmtId="0" fontId="95" fillId="0" borderId="0" xfId="0" applyFont="1"/>
    <xf numFmtId="45" fontId="94" fillId="0" borderId="0" xfId="0" applyNumberFormat="1" applyFont="1"/>
    <xf numFmtId="166" fontId="94" fillId="2" borderId="0" xfId="0" applyNumberFormat="1" applyFont="1" applyFill="1"/>
    <xf numFmtId="0" fontId="94" fillId="2" borderId="0" xfId="0" applyFont="1" applyFill="1"/>
    <xf numFmtId="0" fontId="92" fillId="2" borderId="0" xfId="0" applyFont="1" applyFill="1"/>
    <xf numFmtId="0" fontId="91" fillId="0" borderId="0" xfId="0" applyFont="1" applyAlignment="1">
      <alignment horizontal="center"/>
    </xf>
    <xf numFmtId="0" fontId="91" fillId="5" borderId="0" xfId="0" applyFont="1" applyFill="1" applyAlignment="1">
      <alignment horizontal="center"/>
    </xf>
    <xf numFmtId="0" fontId="96" fillId="2" borderId="0" xfId="0" applyFont="1" applyFill="1"/>
    <xf numFmtId="0" fontId="97" fillId="2" borderId="0" xfId="0" applyFont="1" applyFill="1"/>
    <xf numFmtId="0" fontId="92" fillId="11" borderId="0" xfId="0" applyFont="1" applyFill="1" applyAlignment="1">
      <alignment horizontal="center"/>
    </xf>
    <xf numFmtId="0" fontId="91" fillId="0" borderId="8" xfId="0" applyFont="1" applyBorder="1"/>
    <xf numFmtId="0" fontId="91" fillId="0" borderId="9" xfId="0" applyFont="1" applyBorder="1"/>
    <xf numFmtId="0" fontId="91" fillId="0" borderId="6" xfId="0" applyFont="1" applyBorder="1"/>
    <xf numFmtId="0" fontId="91" fillId="0" borderId="7" xfId="0" applyFont="1" applyBorder="1"/>
    <xf numFmtId="16" fontId="91" fillId="2" borderId="0" xfId="0" applyNumberFormat="1" applyFont="1" applyFill="1"/>
    <xf numFmtId="16" fontId="94" fillId="2" borderId="0" xfId="0" applyNumberFormat="1" applyFont="1" applyFill="1"/>
    <xf numFmtId="45" fontId="91" fillId="2" borderId="0" xfId="0" applyNumberFormat="1" applyFont="1" applyFill="1" applyAlignment="1">
      <alignment horizontal="center"/>
    </xf>
    <xf numFmtId="45" fontId="91" fillId="0" borderId="0" xfId="0" applyNumberFormat="1" applyFont="1" applyAlignment="1">
      <alignment horizontal="left"/>
    </xf>
    <xf numFmtId="20" fontId="91" fillId="0" borderId="0" xfId="0" applyNumberFormat="1" applyFont="1" applyAlignment="1">
      <alignment horizontal="center"/>
    </xf>
    <xf numFmtId="0" fontId="91" fillId="12" borderId="0" xfId="0" applyFont="1" applyFill="1"/>
    <xf numFmtId="45" fontId="91" fillId="12" borderId="0" xfId="0" applyNumberFormat="1" applyFont="1" applyFill="1" applyAlignment="1">
      <alignment horizontal="center"/>
    </xf>
    <xf numFmtId="45" fontId="91" fillId="0" borderId="0" xfId="0" applyNumberFormat="1" applyFont="1" applyAlignment="1">
      <alignment horizontal="center"/>
    </xf>
    <xf numFmtId="20" fontId="91" fillId="0" borderId="5" xfId="0" applyNumberFormat="1" applyFont="1" applyBorder="1" applyAlignment="1">
      <alignment horizontal="center"/>
    </xf>
    <xf numFmtId="20" fontId="91" fillId="0" borderId="5" xfId="0" applyNumberFormat="1" applyFont="1" applyBorder="1"/>
    <xf numFmtId="0" fontId="98" fillId="0" borderId="0" xfId="0" applyFont="1" applyAlignment="1">
      <alignment vertical="center" wrapText="1"/>
    </xf>
    <xf numFmtId="1" fontId="91" fillId="2" borderId="0" xfId="0" applyNumberFormat="1" applyFont="1" applyFill="1" applyAlignment="1">
      <alignment horizontal="right"/>
    </xf>
    <xf numFmtId="0" fontId="98" fillId="0" borderId="0" xfId="0" applyFont="1" applyAlignment="1">
      <alignment horizontal="left" vertical="center" wrapText="1"/>
    </xf>
    <xf numFmtId="45" fontId="91" fillId="0" borderId="0" xfId="0" applyNumberFormat="1" applyFont="1" applyAlignment="1">
      <alignment horizontal="right"/>
    </xf>
    <xf numFmtId="20" fontId="98" fillId="0" borderId="0" xfId="0" applyNumberFormat="1" applyFont="1" applyAlignment="1">
      <alignment wrapText="1"/>
    </xf>
    <xf numFmtId="0" fontId="91" fillId="2" borderId="0" xfId="0" applyFont="1" applyFill="1" applyAlignment="1">
      <alignment horizontal="right"/>
    </xf>
    <xf numFmtId="45" fontId="92" fillId="7" borderId="0" xfId="0" applyNumberFormat="1" applyFont="1" applyFill="1" applyAlignment="1">
      <alignment horizontal="right"/>
    </xf>
    <xf numFmtId="20" fontId="98" fillId="2" borderId="0" xfId="0" applyNumberFormat="1" applyFont="1" applyFill="1" applyAlignment="1">
      <alignment wrapText="1"/>
    </xf>
    <xf numFmtId="20" fontId="99" fillId="0" borderId="0" xfId="0" applyNumberFormat="1" applyFont="1" applyAlignment="1">
      <alignment wrapText="1"/>
    </xf>
    <xf numFmtId="20" fontId="100" fillId="0" borderId="0" xfId="0" applyNumberFormat="1" applyFont="1" applyAlignment="1">
      <alignment wrapText="1"/>
    </xf>
    <xf numFmtId="0" fontId="100" fillId="0" borderId="0" xfId="0" applyFont="1" applyAlignment="1">
      <alignment horizontal="left" wrapText="1"/>
    </xf>
    <xf numFmtId="0" fontId="94" fillId="12" borderId="0" xfId="0" applyFont="1" applyFill="1"/>
    <xf numFmtId="45" fontId="94" fillId="12" borderId="0" xfId="0" applyNumberFormat="1" applyFont="1" applyFill="1" applyAlignment="1">
      <alignment horizontal="center"/>
    </xf>
    <xf numFmtId="1" fontId="91" fillId="0" borderId="0" xfId="0" applyNumberFormat="1" applyFont="1" applyAlignment="1">
      <alignment horizontal="right"/>
    </xf>
    <xf numFmtId="0" fontId="91" fillId="0" borderId="0" xfId="0" applyFont="1" applyAlignment="1">
      <alignment horizontal="left"/>
    </xf>
    <xf numFmtId="16" fontId="91" fillId="0" borderId="0" xfId="0" applyNumberFormat="1" applyFont="1"/>
    <xf numFmtId="0" fontId="101" fillId="0" borderId="0" xfId="0" applyFont="1"/>
    <xf numFmtId="166" fontId="91" fillId="2" borderId="5" xfId="0" applyNumberFormat="1" applyFont="1" applyFill="1" applyBorder="1"/>
    <xf numFmtId="0" fontId="91" fillId="0" borderId="5" xfId="0" applyFont="1" applyBorder="1"/>
    <xf numFmtId="0" fontId="91" fillId="2" borderId="5" xfId="0" applyFont="1" applyFill="1" applyBorder="1"/>
    <xf numFmtId="1" fontId="91" fillId="2" borderId="5" xfId="0" applyNumberFormat="1" applyFont="1" applyFill="1" applyBorder="1" applyAlignment="1">
      <alignment horizontal="right"/>
    </xf>
    <xf numFmtId="45" fontId="91" fillId="0" borderId="5" xfId="0" applyNumberFormat="1" applyFont="1" applyBorder="1"/>
    <xf numFmtId="0" fontId="92" fillId="11" borderId="5" xfId="0" applyFont="1" applyFill="1" applyBorder="1" applyAlignment="1">
      <alignment horizontal="center"/>
    </xf>
    <xf numFmtId="0" fontId="91" fillId="5" borderId="0" xfId="0" applyFont="1" applyFill="1"/>
    <xf numFmtId="2" fontId="91" fillId="5" borderId="0" xfId="0" applyNumberFormat="1" applyFont="1" applyFill="1" applyAlignment="1">
      <alignment horizontal="center"/>
    </xf>
    <xf numFmtId="2" fontId="91" fillId="0" borderId="0" xfId="0" applyNumberFormat="1" applyFont="1" applyAlignment="1">
      <alignment horizontal="center"/>
    </xf>
    <xf numFmtId="20" fontId="92" fillId="0" borderId="0" xfId="0" applyNumberFormat="1" applyFont="1" applyAlignment="1">
      <alignment horizontal="left"/>
    </xf>
    <xf numFmtId="20" fontId="91" fillId="0" borderId="0" xfId="0" applyNumberFormat="1" applyFont="1" applyAlignment="1">
      <alignment horizontal="left"/>
    </xf>
    <xf numFmtId="0" fontId="102" fillId="12" borderId="0" xfId="0" applyFont="1" applyFill="1"/>
    <xf numFmtId="0" fontId="103" fillId="12" borderId="0" xfId="0" applyFont="1" applyFill="1"/>
    <xf numFmtId="1" fontId="94" fillId="0" borderId="0" xfId="0" applyNumberFormat="1" applyFont="1" applyAlignment="1">
      <alignment horizontal="right"/>
    </xf>
    <xf numFmtId="0" fontId="91" fillId="3" borderId="0" xfId="0" applyFont="1" applyFill="1"/>
    <xf numFmtId="0" fontId="92" fillId="0" borderId="0" xfId="0" applyFont="1" applyAlignment="1">
      <alignment horizontal="left"/>
    </xf>
    <xf numFmtId="20" fontId="94" fillId="0" borderId="0" xfId="0" applyNumberFormat="1" applyFont="1" applyAlignment="1">
      <alignment horizontal="left"/>
    </xf>
    <xf numFmtId="45" fontId="92" fillId="7" borderId="0" xfId="0" applyNumberFormat="1" applyFont="1" applyFill="1"/>
    <xf numFmtId="20" fontId="94" fillId="5" borderId="0" xfId="0" applyNumberFormat="1" applyFont="1" applyFill="1" applyAlignment="1">
      <alignment horizontal="left"/>
    </xf>
    <xf numFmtId="0" fontId="94" fillId="0" borderId="0" xfId="0" applyFont="1" applyAlignment="1">
      <alignment horizontal="left"/>
    </xf>
    <xf numFmtId="1" fontId="92" fillId="0" borderId="0" xfId="0" applyNumberFormat="1" applyFont="1" applyAlignment="1">
      <alignment horizontal="right"/>
    </xf>
    <xf numFmtId="0" fontId="104" fillId="0" borderId="0" xfId="0" applyFont="1"/>
    <xf numFmtId="20" fontId="94" fillId="5" borderId="0" xfId="1" applyNumberFormat="1" applyFont="1" applyFill="1" applyAlignment="1" applyProtection="1">
      <alignment horizontal="left"/>
    </xf>
    <xf numFmtId="45" fontId="91" fillId="2" borderId="0" xfId="0" applyNumberFormat="1" applyFont="1" applyFill="1"/>
    <xf numFmtId="0" fontId="91" fillId="0" borderId="0" xfId="0" applyFont="1" applyAlignment="1">
      <alignment horizontal="right"/>
    </xf>
    <xf numFmtId="166" fontId="91" fillId="4" borderId="0" xfId="0" applyNumberFormat="1" applyFont="1" applyFill="1"/>
    <xf numFmtId="18" fontId="91" fillId="0" borderId="0" xfId="0" applyNumberFormat="1" applyFont="1" applyAlignment="1">
      <alignment horizontal="right"/>
    </xf>
    <xf numFmtId="0" fontId="91" fillId="2" borderId="0" xfId="0" quotePrefix="1" applyFont="1" applyFill="1"/>
    <xf numFmtId="1" fontId="91" fillId="2" borderId="0" xfId="0" applyNumberFormat="1" applyFont="1" applyFill="1"/>
    <xf numFmtId="45" fontId="91" fillId="7" borderId="0" xfId="0" applyNumberFormat="1" applyFont="1" applyFill="1"/>
    <xf numFmtId="166" fontId="91" fillId="5" borderId="0" xfId="0" applyNumberFormat="1" applyFont="1" applyFill="1"/>
    <xf numFmtId="0" fontId="94" fillId="2" borderId="5" xfId="0" applyFont="1" applyFill="1" applyBorder="1"/>
    <xf numFmtId="0" fontId="102" fillId="0" borderId="0" xfId="0" applyFont="1"/>
    <xf numFmtId="0" fontId="91" fillId="28" borderId="0" xfId="0" applyFont="1" applyFill="1"/>
    <xf numFmtId="20" fontId="91" fillId="5" borderId="0" xfId="0" applyNumberFormat="1" applyFont="1" applyFill="1" applyAlignment="1">
      <alignment horizontal="left"/>
    </xf>
    <xf numFmtId="166" fontId="91" fillId="28" borderId="0" xfId="0" applyNumberFormat="1" applyFont="1" applyFill="1"/>
    <xf numFmtId="0" fontId="91" fillId="27" borderId="0" xfId="0" applyFont="1" applyFill="1"/>
    <xf numFmtId="0" fontId="94" fillId="28" borderId="0" xfId="0" applyFont="1" applyFill="1"/>
    <xf numFmtId="166" fontId="92" fillId="28" borderId="0" xfId="0" applyNumberFormat="1" applyFont="1" applyFill="1"/>
    <xf numFmtId="0" fontId="91" fillId="22" borderId="0" xfId="0" applyFont="1" applyFill="1"/>
    <xf numFmtId="0" fontId="92" fillId="28" borderId="0" xfId="0" applyFont="1" applyFill="1"/>
    <xf numFmtId="0" fontId="91" fillId="23" borderId="0" xfId="0" applyFont="1" applyFill="1"/>
    <xf numFmtId="166" fontId="94" fillId="28" borderId="0" xfId="0" applyNumberFormat="1" applyFont="1" applyFill="1"/>
    <xf numFmtId="1" fontId="91" fillId="0" borderId="0" xfId="0" applyNumberFormat="1" applyFont="1"/>
    <xf numFmtId="0" fontId="91" fillId="31" borderId="0" xfId="0" applyFont="1" applyFill="1"/>
    <xf numFmtId="14" fontId="91" fillId="0" borderId="0" xfId="0" applyNumberFormat="1" applyFont="1"/>
    <xf numFmtId="0" fontId="94" fillId="0" borderId="5" xfId="0" applyFont="1" applyBorder="1"/>
    <xf numFmtId="14" fontId="91" fillId="0" borderId="5" xfId="0" applyNumberFormat="1" applyFont="1" applyBorder="1"/>
    <xf numFmtId="21" fontId="91" fillId="0" borderId="0" xfId="0" applyNumberFormat="1" applyFont="1"/>
    <xf numFmtId="0" fontId="43" fillId="0" borderId="0" xfId="0" applyFont="1"/>
    <xf numFmtId="45" fontId="43" fillId="0" borderId="0" xfId="0" applyNumberFormat="1" applyFont="1"/>
    <xf numFmtId="0" fontId="25" fillId="0" borderId="0" xfId="0" applyFont="1" applyAlignment="1">
      <alignment horizontal="left"/>
    </xf>
    <xf numFmtId="0" fontId="62" fillId="27" borderId="0" xfId="0" applyFont="1" applyFill="1"/>
    <xf numFmtId="0" fontId="30" fillId="31" borderId="0" xfId="0" applyFont="1" applyFill="1" applyAlignment="1">
      <alignment horizontal="center"/>
    </xf>
    <xf numFmtId="1" fontId="0" fillId="31" borderId="0" xfId="0" applyNumberFormat="1" applyFill="1"/>
    <xf numFmtId="0" fontId="29" fillId="31" borderId="0" xfId="0" applyFont="1" applyFill="1" applyAlignment="1">
      <alignment horizontal="center"/>
    </xf>
    <xf numFmtId="0" fontId="30" fillId="31" borderId="0" xfId="0" applyFont="1" applyFill="1"/>
    <xf numFmtId="0" fontId="0" fillId="31" borderId="0" xfId="0" applyFill="1" applyAlignment="1">
      <alignment horizontal="center"/>
    </xf>
    <xf numFmtId="0" fontId="30" fillId="31" borderId="0" xfId="0" applyFont="1" applyFill="1" applyAlignment="1">
      <alignment horizontal="right"/>
    </xf>
    <xf numFmtId="0" fontId="6" fillId="31" borderId="0" xfId="0" applyFont="1" applyFill="1"/>
    <xf numFmtId="0" fontId="30" fillId="31" borderId="0" xfId="0" applyFont="1" applyFill="1" applyAlignment="1">
      <alignment horizontal="left"/>
    </xf>
    <xf numFmtId="0" fontId="105" fillId="0" borderId="0" xfId="0" applyFont="1"/>
    <xf numFmtId="0" fontId="12" fillId="28" borderId="14" xfId="0" applyFont="1" applyFill="1" applyBorder="1" applyAlignment="1">
      <alignment horizontal="center"/>
    </xf>
    <xf numFmtId="0" fontId="106" fillId="0" borderId="14" xfId="0" applyFont="1" applyBorder="1"/>
    <xf numFmtId="0" fontId="8" fillId="0" borderId="14" xfId="0" applyFont="1" applyBorder="1"/>
    <xf numFmtId="0" fontId="6" fillId="7" borderId="7" xfId="0" applyFont="1" applyFill="1" applyBorder="1" applyAlignment="1">
      <alignment horizontal="right"/>
    </xf>
    <xf numFmtId="1" fontId="5" fillId="0" borderId="1" xfId="0" applyNumberFormat="1" applyFont="1" applyBorder="1"/>
    <xf numFmtId="0" fontId="107" fillId="0" borderId="0" xfId="0" applyFont="1"/>
    <xf numFmtId="0" fontId="108" fillId="0" borderId="0" xfId="0" applyFont="1"/>
    <xf numFmtId="0" fontId="109" fillId="0" borderId="0" xfId="0" applyFont="1" applyAlignment="1">
      <alignment horizontal="center"/>
    </xf>
    <xf numFmtId="0" fontId="108" fillId="14" borderId="0" xfId="0" applyFont="1" applyFill="1" applyAlignment="1">
      <alignment horizontal="center"/>
    </xf>
    <xf numFmtId="0" fontId="108" fillId="2" borderId="0" xfId="0" applyFont="1" applyFill="1" applyAlignment="1">
      <alignment horizontal="center"/>
    </xf>
    <xf numFmtId="0" fontId="108" fillId="3" borderId="0" xfId="0" applyFont="1" applyFill="1" applyAlignment="1">
      <alignment horizontal="center"/>
    </xf>
    <xf numFmtId="0" fontId="107" fillId="2" borderId="0" xfId="0" applyFont="1" applyFill="1"/>
    <xf numFmtId="0" fontId="109" fillId="2" borderId="0" xfId="0" applyFont="1" applyFill="1"/>
    <xf numFmtId="164" fontId="108" fillId="0" borderId="0" xfId="0" applyNumberFormat="1" applyFont="1"/>
    <xf numFmtId="16" fontId="108" fillId="3" borderId="0" xfId="0" applyNumberFormat="1" applyFont="1" applyFill="1" applyAlignment="1">
      <alignment horizontal="center"/>
    </xf>
    <xf numFmtId="14" fontId="108" fillId="38" borderId="0" xfId="0" applyNumberFormat="1" applyFont="1" applyFill="1"/>
    <xf numFmtId="0" fontId="108" fillId="2" borderId="0" xfId="0" applyFont="1" applyFill="1"/>
    <xf numFmtId="0" fontId="108" fillId="0" borderId="0" xfId="0" applyFont="1" applyAlignment="1">
      <alignment horizontal="center"/>
    </xf>
    <xf numFmtId="14" fontId="108" fillId="36" borderId="0" xfId="0" applyNumberFormat="1" applyFont="1" applyFill="1"/>
    <xf numFmtId="14" fontId="108" fillId="10" borderId="0" xfId="0" applyNumberFormat="1" applyFont="1" applyFill="1"/>
    <xf numFmtId="14" fontId="108" fillId="0" borderId="0" xfId="0" applyNumberFormat="1" applyFont="1"/>
    <xf numFmtId="14" fontId="108" fillId="2" borderId="0" xfId="0" applyNumberFormat="1" applyFont="1" applyFill="1" applyAlignment="1">
      <alignment horizontal="center"/>
    </xf>
    <xf numFmtId="14" fontId="108" fillId="25" borderId="0" xfId="0" applyNumberFormat="1" applyFont="1" applyFill="1"/>
    <xf numFmtId="16" fontId="108" fillId="0" borderId="0" xfId="0" applyNumberFormat="1" applyFont="1"/>
    <xf numFmtId="14" fontId="108" fillId="0" borderId="0" xfId="0" applyNumberFormat="1" applyFont="1" applyAlignment="1">
      <alignment horizontal="center"/>
    </xf>
    <xf numFmtId="0" fontId="108" fillId="0" borderId="0" xfId="0" applyFont="1" applyAlignment="1">
      <alignment horizontal="right"/>
    </xf>
    <xf numFmtId="14" fontId="108" fillId="2" borderId="0" xfId="0" applyNumberFormat="1" applyFont="1" applyFill="1"/>
    <xf numFmtId="14" fontId="108" fillId="14" borderId="0" xfId="0" applyNumberFormat="1" applyFont="1" applyFill="1" applyAlignment="1">
      <alignment horizontal="center"/>
    </xf>
    <xf numFmtId="0" fontId="110" fillId="0" borderId="0" xfId="0" applyFont="1"/>
    <xf numFmtId="14" fontId="108" fillId="10" borderId="0" xfId="0" applyNumberFormat="1" applyFont="1" applyFill="1" applyAlignment="1">
      <alignment horizontal="center"/>
    </xf>
    <xf numFmtId="0" fontId="109" fillId="24" borderId="0" xfId="0" applyFont="1" applyFill="1"/>
    <xf numFmtId="0" fontId="109" fillId="28" borderId="0" xfId="0" applyFont="1" applyFill="1"/>
    <xf numFmtId="14" fontId="108" fillId="36" borderId="0" xfId="0" applyNumberFormat="1" applyFont="1" applyFill="1" applyAlignment="1">
      <alignment horizontal="center"/>
    </xf>
    <xf numFmtId="0" fontId="107" fillId="28" borderId="0" xfId="0" applyFont="1" applyFill="1"/>
    <xf numFmtId="0" fontId="109" fillId="0" borderId="0" xfId="0" applyFont="1"/>
    <xf numFmtId="173" fontId="108" fillId="14" borderId="0" xfId="0" applyNumberFormat="1" applyFont="1" applyFill="1" applyAlignment="1">
      <alignment horizontal="center"/>
    </xf>
    <xf numFmtId="0" fontId="109" fillId="2" borderId="0" xfId="1" applyFont="1" applyFill="1" applyAlignment="1" applyProtection="1">
      <alignment horizontal="left"/>
    </xf>
    <xf numFmtId="0" fontId="109" fillId="0" borderId="0" xfId="1" applyFont="1" applyAlignment="1" applyProtection="1">
      <alignment horizontal="left"/>
    </xf>
    <xf numFmtId="0" fontId="109" fillId="8" borderId="0" xfId="0" applyFont="1" applyFill="1"/>
    <xf numFmtId="0" fontId="108" fillId="8" borderId="0" xfId="0" applyFont="1" applyFill="1"/>
    <xf numFmtId="17" fontId="108" fillId="0" borderId="0" xfId="0" applyNumberFormat="1" applyFont="1" applyAlignment="1">
      <alignment horizontal="center"/>
    </xf>
    <xf numFmtId="17" fontId="108" fillId="0" borderId="0" xfId="0" applyNumberFormat="1" applyFont="1"/>
    <xf numFmtId="14" fontId="108" fillId="10" borderId="0" xfId="0" applyNumberFormat="1" applyFont="1" applyFill="1" applyAlignment="1">
      <alignment horizontal="left"/>
    </xf>
    <xf numFmtId="0" fontId="111" fillId="0" borderId="0" xfId="0" applyFont="1"/>
    <xf numFmtId="14" fontId="108" fillId="14" borderId="0" xfId="0" applyNumberFormat="1" applyFont="1" applyFill="1"/>
    <xf numFmtId="16" fontId="108" fillId="0" borderId="0" xfId="0" applyNumberFormat="1" applyFont="1" applyAlignment="1">
      <alignment horizontal="center"/>
    </xf>
    <xf numFmtId="0" fontId="111" fillId="0" borderId="0" xfId="0" applyFont="1" applyAlignment="1">
      <alignment horizontal="left"/>
    </xf>
    <xf numFmtId="16" fontId="108" fillId="3" borderId="0" xfId="0" applyNumberFormat="1" applyFont="1" applyFill="1"/>
    <xf numFmtId="0" fontId="108" fillId="0" borderId="4" xfId="0" applyFont="1" applyBorder="1"/>
    <xf numFmtId="164" fontId="108" fillId="0" borderId="0" xfId="0" applyNumberFormat="1" applyFont="1" applyAlignment="1">
      <alignment horizontal="right"/>
    </xf>
    <xf numFmtId="0" fontId="112" fillId="0" borderId="0" xfId="0" applyFont="1"/>
    <xf numFmtId="0" fontId="108" fillId="28" borderId="0" xfId="0" applyFont="1" applyFill="1"/>
    <xf numFmtId="0" fontId="5" fillId="45" borderId="0" xfId="0" applyFont="1" applyFill="1"/>
    <xf numFmtId="0" fontId="12" fillId="34" borderId="14" xfId="0" applyFont="1" applyFill="1" applyBorder="1" applyAlignment="1">
      <alignment horizontal="center"/>
    </xf>
    <xf numFmtId="14" fontId="5" fillId="36" borderId="0" xfId="0" applyNumberFormat="1" applyFont="1" applyFill="1"/>
    <xf numFmtId="45" fontId="0" fillId="22" borderId="0" xfId="0" applyNumberFormat="1" applyFill="1"/>
    <xf numFmtId="45" fontId="0" fillId="47" borderId="0" xfId="0" applyNumberFormat="1" applyFill="1"/>
    <xf numFmtId="45" fontId="5" fillId="45" borderId="0" xfId="0" applyNumberFormat="1" applyFont="1" applyFill="1"/>
    <xf numFmtId="45" fontId="5" fillId="28" borderId="0" xfId="0" applyNumberFormat="1" applyFont="1" applyFill="1"/>
    <xf numFmtId="0" fontId="6" fillId="36" borderId="0" xfId="0" applyFont="1" applyFill="1"/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6" fillId="0" borderId="1" xfId="0" applyFont="1" applyBorder="1"/>
    <xf numFmtId="0" fontId="66" fillId="0" borderId="1" xfId="0" applyFont="1" applyBorder="1"/>
    <xf numFmtId="1" fontId="55" fillId="0" borderId="0" xfId="0" applyNumberFormat="1" applyFont="1"/>
    <xf numFmtId="0" fontId="5" fillId="34" borderId="1" xfId="0" applyFont="1" applyFill="1" applyBorder="1" applyAlignment="1">
      <alignment horizontal="center"/>
    </xf>
    <xf numFmtId="0" fontId="12" fillId="34" borderId="1" xfId="0" applyFont="1" applyFill="1" applyBorder="1" applyAlignment="1">
      <alignment horizontal="left"/>
    </xf>
    <xf numFmtId="0" fontId="12" fillId="28" borderId="1" xfId="0" applyFont="1" applyFill="1" applyBorder="1" applyAlignment="1">
      <alignment horizontal="left"/>
    </xf>
    <xf numFmtId="0" fontId="32" fillId="34" borderId="0" xfId="0" applyFont="1" applyFill="1" applyAlignment="1">
      <alignment horizontal="right"/>
    </xf>
    <xf numFmtId="0" fontId="113" fillId="28" borderId="0" xfId="0" applyFont="1" applyFill="1" applyAlignment="1">
      <alignment horizontal="center"/>
    </xf>
    <xf numFmtId="0" fontId="113" fillId="28" borderId="0" xfId="0" applyFont="1" applyFill="1" applyAlignment="1">
      <alignment horizontal="left"/>
    </xf>
    <xf numFmtId="0" fontId="115" fillId="0" borderId="0" xfId="0" applyFont="1"/>
    <xf numFmtId="0" fontId="12" fillId="0" borderId="45" xfId="0" applyFont="1" applyBorder="1"/>
    <xf numFmtId="45" fontId="5" fillId="24" borderId="0" xfId="0" applyNumberFormat="1" applyFont="1" applyFill="1"/>
    <xf numFmtId="0" fontId="5" fillId="36" borderId="0" xfId="0" applyFont="1" applyFill="1"/>
    <xf numFmtId="45" fontId="5" fillId="36" borderId="0" xfId="0" applyNumberFormat="1" applyFont="1" applyFill="1"/>
    <xf numFmtId="0" fontId="13" fillId="34" borderId="1" xfId="0" applyFont="1" applyFill="1" applyBorder="1" applyAlignment="1">
      <alignment horizontal="center"/>
    </xf>
    <xf numFmtId="0" fontId="0" fillId="40" borderId="0" xfId="0" applyFill="1"/>
    <xf numFmtId="0" fontId="5" fillId="48" borderId="0" xfId="0" applyFont="1" applyFill="1"/>
    <xf numFmtId="45" fontId="5" fillId="48" borderId="0" xfId="0" applyNumberFormat="1" applyFont="1" applyFill="1"/>
    <xf numFmtId="1" fontId="6" fillId="0" borderId="3" xfId="0" applyNumberFormat="1" applyFont="1" applyBorder="1" applyAlignment="1">
      <alignment horizontal="center"/>
    </xf>
    <xf numFmtId="0" fontId="5" fillId="34" borderId="0" xfId="0" applyFont="1" applyFill="1"/>
    <xf numFmtId="0" fontId="117" fillId="0" borderId="0" xfId="0" applyFont="1"/>
    <xf numFmtId="0" fontId="118" fillId="0" borderId="0" xfId="0" applyFont="1" applyAlignment="1">
      <alignment horizontal="center"/>
    </xf>
    <xf numFmtId="173" fontId="108" fillId="36" borderId="0" xfId="0" applyNumberFormat="1" applyFont="1" applyFill="1" applyAlignment="1">
      <alignment horizontal="center"/>
    </xf>
    <xf numFmtId="0" fontId="13" fillId="34" borderId="14" xfId="0" applyFont="1" applyFill="1" applyBorder="1" applyAlignment="1">
      <alignment horizontal="center"/>
    </xf>
    <xf numFmtId="0" fontId="8" fillId="28" borderId="0" xfId="0" applyFont="1" applyFill="1" applyAlignment="1">
      <alignment horizontal="right"/>
    </xf>
    <xf numFmtId="0" fontId="59" fillId="0" borderId="20" xfId="0" applyFont="1" applyBorder="1"/>
    <xf numFmtId="0" fontId="7" fillId="0" borderId="9" xfId="0" applyFont="1" applyBorder="1"/>
    <xf numFmtId="0" fontId="12" fillId="28" borderId="0" xfId="0" applyFont="1" applyFill="1" applyAlignment="1">
      <alignment horizontal="center"/>
    </xf>
    <xf numFmtId="0" fontId="31" fillId="34" borderId="0" xfId="0" applyFont="1" applyFill="1" applyAlignment="1">
      <alignment horizontal="center"/>
    </xf>
    <xf numFmtId="0" fontId="5" fillId="40" borderId="0" xfId="0" applyFont="1" applyFill="1"/>
    <xf numFmtId="45" fontId="5" fillId="40" borderId="0" xfId="0" applyNumberFormat="1" applyFont="1" applyFill="1"/>
    <xf numFmtId="20" fontId="91" fillId="50" borderId="0" xfId="0" applyNumberFormat="1" applyFont="1" applyFill="1" applyAlignment="1">
      <alignment horizontal="left"/>
    </xf>
    <xf numFmtId="20" fontId="5" fillId="50" borderId="0" xfId="1" applyNumberFormat="1" applyFont="1" applyFill="1" applyAlignment="1" applyProtection="1">
      <alignment horizontal="left"/>
    </xf>
    <xf numFmtId="20" fontId="5" fillId="50" borderId="0" xfId="0" applyNumberFormat="1" applyFont="1" applyFill="1" applyAlignment="1">
      <alignment horizontal="left"/>
    </xf>
    <xf numFmtId="20" fontId="91" fillId="27" borderId="0" xfId="0" applyNumberFormat="1" applyFont="1" applyFill="1" applyAlignment="1">
      <alignment horizontal="left"/>
    </xf>
    <xf numFmtId="20" fontId="91" fillId="22" borderId="0" xfId="0" applyNumberFormat="1" applyFont="1" applyFill="1" applyAlignment="1">
      <alignment horizontal="left"/>
    </xf>
    <xf numFmtId="45" fontId="91" fillId="40" borderId="0" xfId="0" applyNumberFormat="1" applyFont="1" applyFill="1"/>
    <xf numFmtId="20" fontId="91" fillId="49" borderId="0" xfId="0" applyNumberFormat="1" applyFont="1" applyFill="1" applyAlignment="1">
      <alignment horizontal="left"/>
    </xf>
    <xf numFmtId="20" fontId="94" fillId="49" borderId="0" xfId="0" applyNumberFormat="1" applyFont="1" applyFill="1" applyAlignment="1">
      <alignment horizontal="left"/>
    </xf>
    <xf numFmtId="20" fontId="6" fillId="0" borderId="0" xfId="0" applyNumberFormat="1" applyFont="1" applyAlignment="1">
      <alignment horizontal="left"/>
    </xf>
    <xf numFmtId="0" fontId="69" fillId="31" borderId="0" xfId="0" applyFont="1" applyFill="1"/>
    <xf numFmtId="0" fontId="16" fillId="36" borderId="0" xfId="0" applyFont="1" applyFill="1"/>
    <xf numFmtId="45" fontId="16" fillId="36" borderId="0" xfId="0" applyNumberFormat="1" applyFont="1" applyFill="1"/>
    <xf numFmtId="0" fontId="71" fillId="4" borderId="0" xfId="0" applyFont="1" applyFill="1"/>
    <xf numFmtId="0" fontId="71" fillId="2" borderId="0" xfId="0" applyFont="1" applyFill="1"/>
    <xf numFmtId="0" fontId="5" fillId="0" borderId="14" xfId="0" applyFont="1" applyBorder="1"/>
    <xf numFmtId="0" fontId="8" fillId="34" borderId="0" xfId="0" applyFont="1" applyFill="1"/>
    <xf numFmtId="0" fontId="5" fillId="34" borderId="1" xfId="0" applyFont="1" applyFill="1" applyBorder="1"/>
    <xf numFmtId="0" fontId="6" fillId="0" borderId="35" xfId="0" applyFont="1" applyBorder="1"/>
    <xf numFmtId="0" fontId="11" fillId="40" borderId="0" xfId="0" applyFont="1" applyFill="1" applyAlignment="1">
      <alignment horizontal="center"/>
    </xf>
    <xf numFmtId="0" fontId="16" fillId="40" borderId="0" xfId="0" applyFont="1" applyFill="1" applyAlignment="1">
      <alignment horizontal="center"/>
    </xf>
    <xf numFmtId="0" fontId="5" fillId="51" borderId="0" xfId="0" applyFont="1" applyFill="1"/>
    <xf numFmtId="45" fontId="5" fillId="51" borderId="0" xfId="0" applyNumberFormat="1" applyFont="1" applyFill="1"/>
    <xf numFmtId="45" fontId="5" fillId="34" borderId="0" xfId="0" applyNumberFormat="1" applyFont="1" applyFill="1"/>
    <xf numFmtId="0" fontId="5" fillId="31" borderId="0" xfId="0" applyFont="1" applyFill="1"/>
    <xf numFmtId="0" fontId="5" fillId="2" borderId="14" xfId="0" applyFont="1" applyFill="1" applyBorder="1"/>
    <xf numFmtId="0" fontId="5" fillId="52" borderId="0" xfId="0" applyFont="1" applyFill="1"/>
    <xf numFmtId="45" fontId="5" fillId="52" borderId="0" xfId="0" applyNumberFormat="1" applyFont="1" applyFill="1"/>
    <xf numFmtId="0" fontId="39" fillId="0" borderId="0" xfId="0" applyFont="1" applyAlignment="1">
      <alignment horizontal="center"/>
    </xf>
    <xf numFmtId="0" fontId="39" fillId="40" borderId="0" xfId="0" applyFont="1" applyFill="1" applyAlignment="1">
      <alignment horizontal="center"/>
    </xf>
    <xf numFmtId="0" fontId="119" fillId="2" borderId="17" xfId="0" applyFont="1" applyFill="1" applyBorder="1" applyAlignment="1">
      <alignment horizontal="left"/>
    </xf>
    <xf numFmtId="0" fontId="5" fillId="19" borderId="0" xfId="0" applyFont="1" applyFill="1"/>
    <xf numFmtId="0" fontId="0" fillId="46" borderId="1" xfId="0" applyFill="1" applyBorder="1"/>
    <xf numFmtId="0" fontId="108" fillId="24" borderId="0" xfId="0" applyFont="1" applyFill="1"/>
    <xf numFmtId="0" fontId="120" fillId="31" borderId="0" xfId="0" applyFont="1" applyFill="1"/>
    <xf numFmtId="1" fontId="15" fillId="53" borderId="0" xfId="0" applyNumberFormat="1" applyFont="1" applyFill="1" applyAlignment="1">
      <alignment horizontal="center"/>
    </xf>
    <xf numFmtId="1" fontId="76" fillId="53" borderId="0" xfId="0" applyNumberFormat="1" applyFont="1" applyFill="1" applyAlignment="1">
      <alignment horizontal="center"/>
    </xf>
    <xf numFmtId="0" fontId="16" fillId="28" borderId="0" xfId="0" applyFont="1" applyFill="1"/>
    <xf numFmtId="45" fontId="16" fillId="28" borderId="0" xfId="0" applyNumberFormat="1" applyFont="1" applyFill="1"/>
    <xf numFmtId="0" fontId="5" fillId="54" borderId="0" xfId="0" applyFont="1" applyFill="1"/>
    <xf numFmtId="0" fontId="0" fillId="54" borderId="0" xfId="0" applyFill="1"/>
    <xf numFmtId="0" fontId="121" fillId="0" borderId="0" xfId="0" applyFont="1"/>
    <xf numFmtId="20" fontId="12" fillId="0" borderId="0" xfId="0" applyNumberFormat="1" applyFont="1" applyAlignment="1">
      <alignment horizontal="left"/>
    </xf>
    <xf numFmtId="0" fontId="5" fillId="55" borderId="0" xfId="0" applyFont="1" applyFill="1"/>
    <xf numFmtId="45" fontId="5" fillId="55" borderId="0" xfId="0" applyNumberFormat="1" applyFont="1" applyFill="1"/>
    <xf numFmtId="1" fontId="15" fillId="56" borderId="0" xfId="0" applyNumberFormat="1" applyFont="1" applyFill="1" applyAlignment="1">
      <alignment horizontal="center"/>
    </xf>
    <xf numFmtId="0" fontId="29" fillId="56" borderId="0" xfId="0" applyFont="1" applyFill="1" applyAlignment="1">
      <alignment horizontal="center"/>
    </xf>
    <xf numFmtId="0" fontId="70" fillId="28" borderId="37" xfId="0" applyFont="1" applyFill="1" applyBorder="1"/>
    <xf numFmtId="0" fontId="70" fillId="0" borderId="0" xfId="0" applyFont="1" applyAlignment="1">
      <alignment horizontal="center"/>
    </xf>
    <xf numFmtId="0" fontId="71" fillId="0" borderId="1" xfId="0" applyFont="1" applyBorder="1"/>
    <xf numFmtId="0" fontId="5" fillId="57" borderId="0" xfId="0" applyFont="1" applyFill="1"/>
    <xf numFmtId="45" fontId="5" fillId="57" borderId="0" xfId="0" applyNumberFormat="1" applyFont="1" applyFill="1"/>
    <xf numFmtId="0" fontId="16" fillId="51" borderId="0" xfId="0" applyFont="1" applyFill="1"/>
    <xf numFmtId="45" fontId="16" fillId="51" borderId="0" xfId="0" applyNumberFormat="1" applyFont="1" applyFill="1"/>
    <xf numFmtId="0" fontId="5" fillId="58" borderId="0" xfId="0" applyFont="1" applyFill="1"/>
    <xf numFmtId="45" fontId="5" fillId="58" borderId="0" xfId="0" applyNumberFormat="1" applyFont="1" applyFill="1"/>
    <xf numFmtId="0" fontId="5" fillId="49" borderId="0" xfId="0" applyFont="1" applyFill="1"/>
    <xf numFmtId="45" fontId="5" fillId="49" borderId="0" xfId="0" applyNumberFormat="1" applyFont="1" applyFill="1"/>
    <xf numFmtId="0" fontId="16" fillId="49" borderId="0" xfId="0" applyFont="1" applyFill="1"/>
    <xf numFmtId="45" fontId="16" fillId="49" borderId="0" xfId="0" applyNumberFormat="1" applyFont="1" applyFill="1"/>
    <xf numFmtId="0" fontId="5" fillId="59" borderId="0" xfId="0" applyFont="1" applyFill="1"/>
    <xf numFmtId="45" fontId="5" fillId="59" borderId="0" xfId="0" applyNumberFormat="1" applyFont="1" applyFill="1"/>
    <xf numFmtId="0" fontId="0" fillId="0" borderId="0" xfId="0" applyAlignment="1">
      <alignment vertical="center" wrapText="1"/>
    </xf>
    <xf numFmtId="0" fontId="9" fillId="0" borderId="0" xfId="1" applyAlignment="1" applyProtection="1">
      <alignment vertical="center" wrapText="1"/>
    </xf>
    <xf numFmtId="46" fontId="0" fillId="0" borderId="0" xfId="0" applyNumberFormat="1" applyAlignment="1">
      <alignment vertical="center" wrapText="1"/>
    </xf>
    <xf numFmtId="0" fontId="76" fillId="60" borderId="0" xfId="0" applyFont="1" applyFill="1" applyAlignment="1">
      <alignment horizontal="center"/>
    </xf>
    <xf numFmtId="0" fontId="108" fillId="36" borderId="0" xfId="0" applyFont="1" applyFill="1"/>
    <xf numFmtId="0" fontId="0" fillId="29" borderId="0" xfId="0" applyFill="1"/>
    <xf numFmtId="1" fontId="0" fillId="29" borderId="0" xfId="0" applyNumberFormat="1" applyFill="1"/>
    <xf numFmtId="0" fontId="5" fillId="0" borderId="0" xfId="1" applyFont="1" applyAlignment="1" applyProtection="1"/>
    <xf numFmtId="45" fontId="5" fillId="35" borderId="0" xfId="0" applyNumberFormat="1" applyFont="1" applyFill="1"/>
    <xf numFmtId="0" fontId="16" fillId="35" borderId="0" xfId="0" applyFont="1" applyFill="1"/>
    <xf numFmtId="45" fontId="16" fillId="35" borderId="0" xfId="0" applyNumberFormat="1" applyFont="1" applyFill="1"/>
    <xf numFmtId="0" fontId="67" fillId="28" borderId="0" xfId="0" applyFont="1" applyFill="1"/>
    <xf numFmtId="0" fontId="5" fillId="8" borderId="0" xfId="0" applyFont="1" applyFill="1"/>
    <xf numFmtId="14" fontId="0" fillId="30" borderId="11" xfId="0" applyNumberFormat="1" applyFill="1" applyBorder="1"/>
    <xf numFmtId="0" fontId="12" fillId="40" borderId="0" xfId="0" applyFont="1" applyFill="1" applyAlignment="1">
      <alignment horizontal="left"/>
    </xf>
    <xf numFmtId="0" fontId="6" fillId="40" borderId="0" xfId="0" applyFont="1" applyFill="1"/>
    <xf numFmtId="45" fontId="5" fillId="30" borderId="0" xfId="0" applyNumberFormat="1" applyFont="1" applyFill="1"/>
    <xf numFmtId="20" fontId="5" fillId="49" borderId="0" xfId="0" applyNumberFormat="1" applyFont="1" applyFill="1" applyAlignment="1">
      <alignment horizontal="left"/>
    </xf>
    <xf numFmtId="0" fontId="76" fillId="53" borderId="0" xfId="0" applyFont="1" applyFill="1" applyAlignment="1">
      <alignment horizontal="center"/>
    </xf>
    <xf numFmtId="0" fontId="12" fillId="28" borderId="6" xfId="0" applyFont="1" applyFill="1" applyBorder="1" applyAlignment="1">
      <alignment horizontal="center"/>
    </xf>
    <xf numFmtId="0" fontId="105" fillId="40" borderId="0" xfId="0" applyFont="1" applyFill="1"/>
    <xf numFmtId="45" fontId="105" fillId="40" borderId="0" xfId="0" applyNumberFormat="1" applyFont="1" applyFill="1"/>
    <xf numFmtId="45" fontId="105" fillId="0" borderId="0" xfId="0" applyNumberFormat="1" applyFont="1"/>
    <xf numFmtId="14" fontId="105" fillId="40" borderId="0" xfId="0" applyNumberFormat="1" applyFont="1" applyFill="1"/>
    <xf numFmtId="0" fontId="12" fillId="0" borderId="7" xfId="0" applyFont="1" applyBorder="1"/>
    <xf numFmtId="0" fontId="13" fillId="34" borderId="30" xfId="0" applyFont="1" applyFill="1" applyBorder="1" applyAlignment="1">
      <alignment horizontal="center"/>
    </xf>
    <xf numFmtId="0" fontId="123" fillId="0" borderId="0" xfId="0" applyFont="1"/>
    <xf numFmtId="0" fontId="91" fillId="0" borderId="3" xfId="0" applyFont="1" applyBorder="1"/>
    <xf numFmtId="0" fontId="5" fillId="2" borderId="3" xfId="0" applyFont="1" applyFill="1" applyBorder="1"/>
    <xf numFmtId="14" fontId="91" fillId="0" borderId="3" xfId="0" applyNumberFormat="1" applyFont="1" applyBorder="1"/>
    <xf numFmtId="0" fontId="5" fillId="61" borderId="0" xfId="0" applyFont="1" applyFill="1"/>
    <xf numFmtId="45" fontId="5" fillId="61" borderId="0" xfId="0" applyNumberFormat="1" applyFont="1" applyFill="1"/>
    <xf numFmtId="0" fontId="32" fillId="0" borderId="1" xfId="0" applyFont="1" applyBorder="1" applyAlignment="1">
      <alignment horizontal="center"/>
    </xf>
    <xf numFmtId="0" fontId="32" fillId="35" borderId="1" xfId="0" applyFont="1" applyFill="1" applyBorder="1"/>
    <xf numFmtId="0" fontId="29" fillId="53" borderId="0" xfId="0" applyFont="1" applyFill="1" applyAlignment="1">
      <alignment horizontal="center"/>
    </xf>
    <xf numFmtId="0" fontId="78" fillId="53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0" fontId="12" fillId="3" borderId="43" xfId="0" applyFont="1" applyFill="1" applyBorder="1" applyAlignment="1">
      <alignment horizontal="center"/>
    </xf>
    <xf numFmtId="1" fontId="5" fillId="2" borderId="0" xfId="0" applyNumberFormat="1" applyFont="1" applyFill="1"/>
    <xf numFmtId="0" fontId="59" fillId="53" borderId="0" xfId="0" applyFont="1" applyFill="1" applyAlignment="1">
      <alignment horizontal="center"/>
    </xf>
    <xf numFmtId="0" fontId="7" fillId="22" borderId="0" xfId="0" applyFont="1" applyFill="1"/>
    <xf numFmtId="1" fontId="6" fillId="0" borderId="7" xfId="0" applyNumberFormat="1" applyFont="1" applyBorder="1"/>
    <xf numFmtId="0" fontId="13" fillId="28" borderId="30" xfId="0" applyFont="1" applyFill="1" applyBorder="1" applyAlignment="1">
      <alignment horizontal="center"/>
    </xf>
    <xf numFmtId="0" fontId="5" fillId="62" borderId="0" xfId="0" applyFont="1" applyFill="1"/>
    <xf numFmtId="45" fontId="5" fillId="62" borderId="0" xfId="0" applyNumberFormat="1" applyFont="1" applyFill="1"/>
    <xf numFmtId="0" fontId="5" fillId="47" borderId="0" xfId="0" applyFont="1" applyFill="1"/>
    <xf numFmtId="45" fontId="5" fillId="47" borderId="0" xfId="0" applyNumberFormat="1" applyFont="1" applyFill="1"/>
    <xf numFmtId="14" fontId="108" fillId="40" borderId="0" xfId="0" applyNumberFormat="1" applyFont="1" applyFill="1"/>
    <xf numFmtId="0" fontId="29" fillId="28" borderId="0" xfId="0" applyFont="1" applyFill="1" applyAlignment="1">
      <alignment horizontal="center"/>
    </xf>
    <xf numFmtId="0" fontId="76" fillId="23" borderId="0" xfId="0" applyFont="1" applyFill="1" applyAlignment="1">
      <alignment horizontal="center"/>
    </xf>
    <xf numFmtId="0" fontId="29" fillId="23" borderId="0" xfId="0" applyFont="1" applyFill="1" applyAlignment="1">
      <alignment horizontal="center"/>
    </xf>
    <xf numFmtId="0" fontId="12" fillId="34" borderId="38" xfId="0" applyFont="1" applyFill="1" applyBorder="1" applyAlignment="1">
      <alignment horizontal="center"/>
    </xf>
    <xf numFmtId="0" fontId="12" fillId="34" borderId="44" xfId="0" applyFont="1" applyFill="1" applyBorder="1" applyAlignment="1">
      <alignment horizontal="center"/>
    </xf>
    <xf numFmtId="0" fontId="5" fillId="28" borderId="20" xfId="0" applyFont="1" applyFill="1" applyBorder="1"/>
    <xf numFmtId="0" fontId="30" fillId="46" borderId="0" xfId="0" applyFont="1" applyFill="1" applyAlignment="1">
      <alignment horizontal="center"/>
    </xf>
    <xf numFmtId="0" fontId="124" fillId="31" borderId="0" xfId="0" applyFont="1" applyFill="1"/>
    <xf numFmtId="0" fontId="16" fillId="0" borderId="24" xfId="0" applyFont="1" applyBorder="1" applyAlignment="1">
      <alignment horizontal="center"/>
    </xf>
    <xf numFmtId="0" fontId="16" fillId="7" borderId="24" xfId="0" applyFont="1" applyFill="1" applyBorder="1" applyAlignment="1">
      <alignment horizontal="left"/>
    </xf>
    <xf numFmtId="0" fontId="113" fillId="5" borderId="0" xfId="0" applyFont="1" applyFill="1" applyAlignment="1">
      <alignment horizontal="center"/>
    </xf>
    <xf numFmtId="166" fontId="5" fillId="28" borderId="0" xfId="0" applyNumberFormat="1" applyFont="1" applyFill="1"/>
    <xf numFmtId="1" fontId="0" fillId="24" borderId="0" xfId="0" applyNumberFormat="1" applyFill="1"/>
    <xf numFmtId="0" fontId="16" fillId="27" borderId="0" xfId="0" applyFont="1" applyFill="1"/>
    <xf numFmtId="0" fontId="124" fillId="0" borderId="0" xfId="0" applyFont="1"/>
    <xf numFmtId="0" fontId="91" fillId="40" borderId="0" xfId="0" applyFont="1" applyFill="1"/>
    <xf numFmtId="0" fontId="5" fillId="0" borderId="0" xfId="0" quotePrefix="1" applyFont="1" applyAlignment="1">
      <alignment horizontal="center"/>
    </xf>
    <xf numFmtId="0" fontId="0" fillId="40" borderId="41" xfId="0" applyFill="1" applyBorder="1" applyAlignment="1">
      <alignment horizontal="center"/>
    </xf>
    <xf numFmtId="0" fontId="117" fillId="0" borderId="0" xfId="0" applyFont="1" applyAlignment="1">
      <alignment horizontal="right"/>
    </xf>
    <xf numFmtId="0" fontId="117" fillId="0" borderId="0" xfId="0" applyFont="1" applyAlignment="1">
      <alignment horizontal="center"/>
    </xf>
    <xf numFmtId="1" fontId="10" fillId="26" borderId="0" xfId="0" applyNumberFormat="1" applyFont="1" applyFill="1" applyAlignment="1">
      <alignment horizontal="center"/>
    </xf>
    <xf numFmtId="1" fontId="10" fillId="64" borderId="0" xfId="0" applyNumberFormat="1" applyFont="1" applyFill="1" applyAlignment="1">
      <alignment horizontal="center"/>
    </xf>
    <xf numFmtId="0" fontId="7" fillId="36" borderId="0" xfId="0" applyFont="1" applyFill="1"/>
    <xf numFmtId="45" fontId="7" fillId="36" borderId="0" xfId="0" applyNumberFormat="1" applyFont="1" applyFill="1"/>
    <xf numFmtId="0" fontId="7" fillId="65" borderId="0" xfId="0" applyFont="1" applyFill="1"/>
    <xf numFmtId="45" fontId="7" fillId="65" borderId="0" xfId="0" applyNumberFormat="1" applyFont="1" applyFill="1"/>
    <xf numFmtId="3" fontId="5" fillId="28" borderId="0" xfId="0" applyNumberFormat="1" applyFont="1" applyFill="1"/>
    <xf numFmtId="0" fontId="12" fillId="34" borderId="44" xfId="0" applyFont="1" applyFill="1" applyBorder="1"/>
    <xf numFmtId="0" fontId="5" fillId="28" borderId="14" xfId="0" applyFont="1" applyFill="1" applyBorder="1"/>
    <xf numFmtId="0" fontId="5" fillId="65" borderId="0" xfId="0" applyFont="1" applyFill="1"/>
    <xf numFmtId="45" fontId="5" fillId="65" borderId="0" xfId="0" applyNumberFormat="1" applyFont="1" applyFill="1"/>
    <xf numFmtId="14" fontId="7" fillId="29" borderId="0" xfId="0" applyNumberFormat="1" applyFont="1" applyFill="1"/>
    <xf numFmtId="45" fontId="0" fillId="29" borderId="0" xfId="0" applyNumberFormat="1" applyFill="1"/>
    <xf numFmtId="45" fontId="0" fillId="29" borderId="0" xfId="0" applyNumberFormat="1" applyFill="1" applyAlignment="1">
      <alignment horizontal="center"/>
    </xf>
    <xf numFmtId="0" fontId="13" fillId="29" borderId="0" xfId="0" applyFont="1" applyFill="1" applyAlignment="1">
      <alignment horizontal="left"/>
    </xf>
    <xf numFmtId="14" fontId="108" fillId="40" borderId="0" xfId="0" applyNumberFormat="1" applyFont="1" applyFill="1" applyAlignment="1">
      <alignment horizontal="center"/>
    </xf>
    <xf numFmtId="14" fontId="5" fillId="40" borderId="0" xfId="0" applyNumberFormat="1" applyFont="1" applyFill="1" applyAlignment="1">
      <alignment horizontal="center"/>
    </xf>
    <xf numFmtId="0" fontId="5" fillId="40" borderId="0" xfId="0" applyFont="1" applyFill="1" applyAlignment="1">
      <alignment horizontal="center"/>
    </xf>
    <xf numFmtId="0" fontId="21" fillId="40" borderId="5" xfId="0" applyFont="1" applyFill="1" applyBorder="1" applyAlignment="1">
      <alignment horizontal="center"/>
    </xf>
    <xf numFmtId="0" fontId="5" fillId="46" borderId="0" xfId="0" applyFont="1" applyFill="1"/>
    <xf numFmtId="45" fontId="5" fillId="46" borderId="0" xfId="0" applyNumberFormat="1" applyFont="1" applyFill="1"/>
    <xf numFmtId="166" fontId="91" fillId="28" borderId="3" xfId="0" applyNumberFormat="1" applyFont="1" applyFill="1" applyBorder="1"/>
    <xf numFmtId="0" fontId="5" fillId="28" borderId="3" xfId="0" applyFont="1" applyFill="1" applyBorder="1"/>
    <xf numFmtId="0" fontId="91" fillId="28" borderId="3" xfId="0" applyFont="1" applyFill="1" applyBorder="1"/>
    <xf numFmtId="45" fontId="91" fillId="0" borderId="3" xfId="0" applyNumberFormat="1" applyFont="1" applyBorder="1"/>
    <xf numFmtId="0" fontId="5" fillId="34" borderId="0" xfId="0" applyFont="1" applyFill="1" applyAlignment="1">
      <alignment horizontal="center"/>
    </xf>
    <xf numFmtId="0" fontId="12" fillId="34" borderId="0" xfId="0" applyFont="1" applyFill="1" applyAlignment="1">
      <alignment horizontal="center"/>
    </xf>
    <xf numFmtId="0" fontId="75" fillId="36" borderId="0" xfId="0" applyFont="1" applyFill="1"/>
    <xf numFmtId="0" fontId="5" fillId="66" borderId="0" xfId="0" applyFont="1" applyFill="1"/>
    <xf numFmtId="45" fontId="5" fillId="66" borderId="0" xfId="0" applyNumberFormat="1" applyFont="1" applyFill="1"/>
    <xf numFmtId="0" fontId="6" fillId="40" borderId="0" xfId="0" applyFont="1" applyFill="1" applyAlignment="1">
      <alignment horizontal="center"/>
    </xf>
    <xf numFmtId="0" fontId="16" fillId="28" borderId="0" xfId="0" applyFont="1" applyFill="1" applyAlignment="1">
      <alignment horizontal="center"/>
    </xf>
    <xf numFmtId="0" fontId="12" fillId="28" borderId="0" xfId="0" applyFont="1" applyFill="1" applyAlignment="1">
      <alignment horizontal="right"/>
    </xf>
    <xf numFmtId="0" fontId="127" fillId="0" borderId="0" xfId="0" applyFont="1" applyAlignment="1">
      <alignment horizontal="left"/>
    </xf>
    <xf numFmtId="0" fontId="5" fillId="29" borderId="0" xfId="0" applyFont="1" applyFill="1"/>
    <xf numFmtId="45" fontId="5" fillId="29" borderId="0" xfId="0" applyNumberFormat="1" applyFont="1" applyFill="1"/>
    <xf numFmtId="0" fontId="109" fillId="36" borderId="0" xfId="0" applyFont="1" applyFill="1"/>
    <xf numFmtId="0" fontId="116" fillId="34" borderId="0" xfId="0" applyFont="1" applyFill="1" applyAlignment="1">
      <alignment horizontal="center"/>
    </xf>
    <xf numFmtId="20" fontId="91" fillId="49" borderId="0" xfId="0" applyNumberFormat="1" applyFont="1" applyFill="1"/>
    <xf numFmtId="20" fontId="91" fillId="22" borderId="0" xfId="0" applyNumberFormat="1" applyFont="1" applyFill="1"/>
    <xf numFmtId="20" fontId="91" fillId="27" borderId="0" xfId="0" applyNumberFormat="1" applyFont="1" applyFill="1"/>
    <xf numFmtId="0" fontId="5" fillId="67" borderId="0" xfId="0" applyFont="1" applyFill="1"/>
    <xf numFmtId="45" fontId="5" fillId="67" borderId="0" xfId="0" applyNumberFormat="1" applyFont="1" applyFill="1"/>
    <xf numFmtId="0" fontId="128" fillId="0" borderId="0" xfId="0" applyFont="1"/>
    <xf numFmtId="45" fontId="0" fillId="27" borderId="0" xfId="0" applyNumberFormat="1" applyFill="1"/>
    <xf numFmtId="0" fontId="116" fillId="28" borderId="0" xfId="0" applyFont="1" applyFill="1" applyAlignment="1">
      <alignment horizontal="right"/>
    </xf>
    <xf numFmtId="0" fontId="12" fillId="28" borderId="34" xfId="0" applyFont="1" applyFill="1" applyBorder="1"/>
    <xf numFmtId="0" fontId="13" fillId="3" borderId="16" xfId="0" applyFont="1" applyFill="1" applyBorder="1"/>
    <xf numFmtId="0" fontId="5" fillId="68" borderId="0" xfId="0" applyFont="1" applyFill="1"/>
    <xf numFmtId="45" fontId="5" fillId="68" borderId="0" xfId="0" applyNumberFormat="1" applyFont="1" applyFill="1"/>
    <xf numFmtId="0" fontId="5" fillId="40" borderId="0" xfId="1" applyFont="1" applyFill="1" applyAlignment="1" applyProtection="1">
      <alignment vertical="center" wrapText="1"/>
    </xf>
    <xf numFmtId="0" fontId="5" fillId="40" borderId="0" xfId="0" applyFont="1" applyFill="1" applyAlignment="1">
      <alignment vertical="center" wrapText="1"/>
    </xf>
    <xf numFmtId="174" fontId="91" fillId="2" borderId="0" xfId="0" applyNumberFormat="1" applyFont="1" applyFill="1"/>
    <xf numFmtId="174" fontId="94" fillId="2" borderId="0" xfId="0" applyNumberFormat="1" applyFont="1" applyFill="1"/>
    <xf numFmtId="174" fontId="91" fillId="0" borderId="0" xfId="0" applyNumberFormat="1" applyFont="1"/>
    <xf numFmtId="0" fontId="38" fillId="0" borderId="0" xfId="1" applyFont="1" applyAlignment="1" applyProtection="1">
      <alignment horizontal="left" vertical="center" wrapText="1" indent="1"/>
    </xf>
    <xf numFmtId="0" fontId="0" fillId="36" borderId="0" xfId="0" applyFill="1"/>
    <xf numFmtId="175" fontId="0" fillId="0" borderId="0" xfId="0" applyNumberFormat="1"/>
    <xf numFmtId="175" fontId="7" fillId="0" borderId="0" xfId="0" applyNumberFormat="1" applyFont="1"/>
    <xf numFmtId="45" fontId="6" fillId="35" borderId="0" xfId="0" applyNumberFormat="1" applyFont="1" applyFill="1"/>
    <xf numFmtId="45" fontId="0" fillId="35" borderId="0" xfId="0" applyNumberFormat="1" applyFill="1"/>
    <xf numFmtId="0" fontId="5" fillId="41" borderId="0" xfId="0" applyFont="1" applyFill="1"/>
    <xf numFmtId="0" fontId="0" fillId="41" borderId="0" xfId="0" applyFill="1"/>
    <xf numFmtId="0" fontId="91" fillId="30" borderId="0" xfId="0" applyFont="1" applyFill="1"/>
    <xf numFmtId="0" fontId="122" fillId="35" borderId="0" xfId="0" applyFont="1" applyFill="1"/>
    <xf numFmtId="0" fontId="116" fillId="2" borderId="0" xfId="0" applyFont="1" applyFill="1" applyAlignment="1">
      <alignment horizontal="right"/>
    </xf>
    <xf numFmtId="0" fontId="12" fillId="28" borderId="43" xfId="0" applyFont="1" applyFill="1" applyBorder="1" applyAlignment="1">
      <alignment horizontal="center"/>
    </xf>
    <xf numFmtId="0" fontId="0" fillId="46" borderId="0" xfId="0" applyFill="1"/>
    <xf numFmtId="0" fontId="129" fillId="0" borderId="0" xfId="0" applyFont="1" applyAlignment="1">
      <alignment horizontal="center"/>
    </xf>
    <xf numFmtId="0" fontId="12" fillId="34" borderId="35" xfId="0" applyFont="1" applyFill="1" applyBorder="1"/>
    <xf numFmtId="0" fontId="8" fillId="40" borderId="22" xfId="0" applyFont="1" applyFill="1" applyBorder="1"/>
    <xf numFmtId="0" fontId="11" fillId="40" borderId="21" xfId="0" applyFont="1" applyFill="1" applyBorder="1" applyAlignment="1">
      <alignment horizontal="center"/>
    </xf>
    <xf numFmtId="0" fontId="6" fillId="40" borderId="9" xfId="0" applyFont="1" applyFill="1" applyBorder="1"/>
    <xf numFmtId="0" fontId="8" fillId="28" borderId="0" xfId="0" applyFont="1" applyFill="1" applyAlignment="1">
      <alignment horizontal="left"/>
    </xf>
    <xf numFmtId="14" fontId="16" fillId="34" borderId="0" xfId="0" applyNumberFormat="1" applyFont="1" applyFill="1"/>
    <xf numFmtId="0" fontId="6" fillId="34" borderId="0" xfId="0" applyFont="1" applyFill="1"/>
    <xf numFmtId="14" fontId="108" fillId="57" borderId="0" xfId="0" applyNumberFormat="1" applyFont="1" applyFill="1"/>
    <xf numFmtId="0" fontId="5" fillId="28" borderId="0" xfId="0" applyFont="1" applyFill="1" applyAlignment="1">
      <alignment horizontal="center"/>
    </xf>
    <xf numFmtId="0" fontId="71" fillId="28" borderId="0" xfId="0" applyFont="1" applyFill="1"/>
    <xf numFmtId="14" fontId="16" fillId="52" borderId="0" xfId="0" applyNumberFormat="1" applyFont="1" applyFill="1"/>
    <xf numFmtId="45" fontId="5" fillId="0" borderId="0" xfId="0" applyNumberFormat="1" applyFont="1" applyAlignment="1">
      <alignment horizontal="right"/>
    </xf>
    <xf numFmtId="0" fontId="130" fillId="0" borderId="0" xfId="0" applyFont="1"/>
    <xf numFmtId="0" fontId="13" fillId="22" borderId="1" xfId="0" applyFont="1" applyFill="1" applyBorder="1"/>
    <xf numFmtId="1" fontId="15" fillId="23" borderId="0" xfId="0" applyNumberFormat="1" applyFont="1" applyFill="1" applyAlignment="1">
      <alignment horizontal="center"/>
    </xf>
    <xf numFmtId="166" fontId="105" fillId="40" borderId="0" xfId="0" applyNumberFormat="1" applyFont="1" applyFill="1"/>
    <xf numFmtId="1" fontId="67" fillId="0" borderId="0" xfId="0" applyNumberFormat="1" applyFont="1"/>
    <xf numFmtId="1" fontId="67" fillId="0" borderId="0" xfId="0" applyNumberFormat="1" applyFont="1" applyAlignment="1">
      <alignment horizontal="center"/>
    </xf>
    <xf numFmtId="0" fontId="124" fillId="28" borderId="0" xfId="0" applyFont="1" applyFill="1"/>
    <xf numFmtId="1" fontId="91" fillId="28" borderId="0" xfId="0" applyNumberFormat="1" applyFont="1" applyFill="1"/>
    <xf numFmtId="0" fontId="5" fillId="64" borderId="0" xfId="0" applyFont="1" applyFill="1"/>
    <xf numFmtId="0" fontId="0" fillId="64" borderId="0" xfId="0" applyFill="1"/>
    <xf numFmtId="45" fontId="5" fillId="64" borderId="0" xfId="0" applyNumberFormat="1" applyFont="1" applyFill="1"/>
    <xf numFmtId="0" fontId="8" fillId="40" borderId="0" xfId="0" applyFont="1" applyFill="1"/>
    <xf numFmtId="0" fontId="5" fillId="69" borderId="0" xfId="0" applyFont="1" applyFill="1"/>
    <xf numFmtId="0" fontId="108" fillId="69" borderId="0" xfId="0" applyFont="1" applyFill="1"/>
    <xf numFmtId="1" fontId="117" fillId="0" borderId="0" xfId="0" applyNumberFormat="1" applyFont="1" applyAlignment="1">
      <alignment horizontal="right"/>
    </xf>
    <xf numFmtId="1" fontId="117" fillId="0" borderId="0" xfId="0" applyNumberFormat="1" applyFont="1" applyAlignment="1">
      <alignment horizontal="left"/>
    </xf>
    <xf numFmtId="1" fontId="117" fillId="0" borderId="0" xfId="0" applyNumberFormat="1" applyFont="1" applyAlignment="1">
      <alignment horizontal="center"/>
    </xf>
    <xf numFmtId="0" fontId="12" fillId="3" borderId="30" xfId="0" applyFont="1" applyFill="1" applyBorder="1" applyAlignment="1">
      <alignment horizontal="center"/>
    </xf>
    <xf numFmtId="0" fontId="12" fillId="2" borderId="37" xfId="0" applyFont="1" applyFill="1" applyBorder="1" applyAlignment="1">
      <alignment horizontal="center"/>
    </xf>
    <xf numFmtId="0" fontId="12" fillId="3" borderId="37" xfId="0" applyFont="1" applyFill="1" applyBorder="1" applyAlignment="1">
      <alignment horizontal="center"/>
    </xf>
    <xf numFmtId="0" fontId="12" fillId="28" borderId="37" xfId="0" applyFont="1" applyFill="1" applyBorder="1" applyAlignment="1">
      <alignment horizontal="center"/>
    </xf>
    <xf numFmtId="0" fontId="12" fillId="34" borderId="37" xfId="0" applyFont="1" applyFill="1" applyBorder="1" applyAlignment="1">
      <alignment horizontal="center"/>
    </xf>
    <xf numFmtId="0" fontId="12" fillId="3" borderId="47" xfId="0" applyFont="1" applyFill="1" applyBorder="1" applyAlignment="1">
      <alignment horizontal="center"/>
    </xf>
    <xf numFmtId="0" fontId="12" fillId="2" borderId="47" xfId="0" applyFont="1" applyFill="1" applyBorder="1" applyAlignment="1">
      <alignment horizontal="center"/>
    </xf>
    <xf numFmtId="0" fontId="12" fillId="34" borderId="28" xfId="0" applyFont="1" applyFill="1" applyBorder="1" applyAlignment="1">
      <alignment horizontal="center"/>
    </xf>
    <xf numFmtId="0" fontId="12" fillId="28" borderId="28" xfId="0" applyFont="1" applyFill="1" applyBorder="1" applyAlignment="1">
      <alignment horizontal="center"/>
    </xf>
    <xf numFmtId="0" fontId="12" fillId="28" borderId="48" xfId="0" applyFont="1" applyFill="1" applyBorder="1" applyAlignment="1">
      <alignment horizontal="center"/>
    </xf>
    <xf numFmtId="0" fontId="131" fillId="0" borderId="0" xfId="0" applyFont="1"/>
    <xf numFmtId="0" fontId="5" fillId="28" borderId="1" xfId="0" applyFont="1" applyFill="1" applyBorder="1"/>
    <xf numFmtId="0" fontId="13" fillId="34" borderId="37" xfId="0" applyFont="1" applyFill="1" applyBorder="1"/>
    <xf numFmtId="45" fontId="130" fillId="0" borderId="0" xfId="0" applyNumberFormat="1" applyFont="1"/>
    <xf numFmtId="0" fontId="8" fillId="0" borderId="1" xfId="0" applyFont="1" applyBorder="1"/>
    <xf numFmtId="0" fontId="5" fillId="35" borderId="1" xfId="0" applyFont="1" applyFill="1" applyBorder="1" applyAlignment="1">
      <alignment horizontal="right"/>
    </xf>
    <xf numFmtId="0" fontId="7" fillId="22" borderId="1" xfId="0" applyFont="1" applyFill="1" applyBorder="1"/>
    <xf numFmtId="46" fontId="12" fillId="0" borderId="0" xfId="0" applyNumberFormat="1" applyFont="1"/>
    <xf numFmtId="1" fontId="117" fillId="0" borderId="0" xfId="0" applyNumberFormat="1" applyFont="1"/>
    <xf numFmtId="0" fontId="0" fillId="70" borderId="0" xfId="0" applyFill="1"/>
    <xf numFmtId="14" fontId="5" fillId="70" borderId="0" xfId="0" applyNumberFormat="1" applyFont="1" applyFill="1"/>
    <xf numFmtId="0" fontId="5" fillId="70" borderId="0" xfId="0" applyFont="1" applyFill="1"/>
    <xf numFmtId="0" fontId="130" fillId="0" borderId="0" xfId="0" applyFont="1" applyAlignment="1">
      <alignment horizontal="left"/>
    </xf>
    <xf numFmtId="1" fontId="8" fillId="0" borderId="1" xfId="0" applyNumberFormat="1" applyFont="1" applyBorder="1"/>
    <xf numFmtId="0" fontId="105" fillId="0" borderId="0" xfId="1" applyFont="1" applyAlignment="1" applyProtection="1">
      <alignment horizontal="left"/>
    </xf>
    <xf numFmtId="0" fontId="105" fillId="28" borderId="0" xfId="1" applyFont="1" applyFill="1" applyAlignment="1" applyProtection="1">
      <alignment horizontal="left"/>
    </xf>
    <xf numFmtId="21" fontId="0" fillId="0" borderId="0" xfId="0" applyNumberFormat="1" applyAlignment="1">
      <alignment horizontal="center"/>
    </xf>
    <xf numFmtId="0" fontId="6" fillId="0" borderId="35" xfId="0" applyFont="1" applyBorder="1" applyAlignment="1">
      <alignment horizontal="right"/>
    </xf>
    <xf numFmtId="0" fontId="6" fillId="0" borderId="30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116" fillId="0" borderId="0" xfId="0" applyFont="1" applyAlignment="1">
      <alignment horizontal="right"/>
    </xf>
    <xf numFmtId="0" fontId="116" fillId="34" borderId="0" xfId="0" applyFont="1" applyFill="1" applyAlignment="1">
      <alignment horizontal="right"/>
    </xf>
    <xf numFmtId="0" fontId="59" fillId="23" borderId="0" xfId="0" applyFont="1" applyFill="1" applyAlignment="1">
      <alignment horizontal="center"/>
    </xf>
    <xf numFmtId="45" fontId="91" fillId="36" borderId="0" xfId="0" applyNumberFormat="1" applyFont="1" applyFill="1"/>
    <xf numFmtId="0" fontId="117" fillId="0" borderId="0" xfId="0" applyFont="1" applyAlignment="1">
      <alignment horizontal="left"/>
    </xf>
    <xf numFmtId="0" fontId="30" fillId="0" borderId="1" xfId="0" applyFont="1" applyBorder="1"/>
    <xf numFmtId="0" fontId="12" fillId="28" borderId="12" xfId="0" applyFont="1" applyFill="1" applyBorder="1"/>
    <xf numFmtId="0" fontId="12" fillId="34" borderId="12" xfId="0" applyFont="1" applyFill="1" applyBorder="1"/>
    <xf numFmtId="0" fontId="5" fillId="24" borderId="1" xfId="0" applyFont="1" applyFill="1" applyBorder="1" applyAlignment="1">
      <alignment horizontal="center"/>
    </xf>
    <xf numFmtId="16" fontId="108" fillId="40" borderId="0" xfId="0" applyNumberFormat="1" applyFont="1" applyFill="1" applyAlignment="1">
      <alignment horizontal="center"/>
    </xf>
    <xf numFmtId="0" fontId="114" fillId="0" borderId="0" xfId="0" applyFont="1" applyAlignment="1">
      <alignment horizontal="center"/>
    </xf>
    <xf numFmtId="45" fontId="5" fillId="0" borderId="0" xfId="0" quotePrefix="1" applyNumberFormat="1" applyFont="1"/>
    <xf numFmtId="1" fontId="71" fillId="28" borderId="0" xfId="0" applyNumberFormat="1" applyFont="1" applyFill="1"/>
    <xf numFmtId="0" fontId="72" fillId="0" borderId="1" xfId="0" applyFont="1" applyBorder="1" applyAlignment="1">
      <alignment horizontal="right"/>
    </xf>
    <xf numFmtId="0" fontId="55" fillId="0" borderId="0" xfId="0" applyFont="1" applyAlignment="1">
      <alignment horizontal="left"/>
    </xf>
    <xf numFmtId="0" fontId="106" fillId="0" borderId="0" xfId="0" applyFont="1" applyAlignment="1">
      <alignment horizontal="right"/>
    </xf>
    <xf numFmtId="0" fontId="6" fillId="0" borderId="35" xfId="0" applyFont="1" applyBorder="1" applyAlignment="1">
      <alignment horizontal="center"/>
    </xf>
    <xf numFmtId="0" fontId="113" fillId="0" borderId="0" xfId="0" applyFont="1" applyAlignment="1">
      <alignment horizontal="left"/>
    </xf>
    <xf numFmtId="0" fontId="113" fillId="0" borderId="0" xfId="0" applyFont="1"/>
    <xf numFmtId="0" fontId="8" fillId="2" borderId="0" xfId="0" applyFont="1" applyFill="1"/>
    <xf numFmtId="0" fontId="71" fillId="0" borderId="9" xfId="0" applyFont="1" applyBorder="1"/>
    <xf numFmtId="0" fontId="70" fillId="0" borderId="0" xfId="0" applyFont="1"/>
    <xf numFmtId="1" fontId="118" fillId="0" borderId="0" xfId="0" applyNumberFormat="1" applyFont="1" applyAlignment="1">
      <alignment horizontal="center"/>
    </xf>
    <xf numFmtId="176" fontId="5" fillId="0" borderId="0" xfId="0" applyNumberFormat="1" applyFont="1"/>
    <xf numFmtId="176" fontId="0" fillId="0" borderId="0" xfId="0" applyNumberFormat="1"/>
    <xf numFmtId="0" fontId="5" fillId="71" borderId="0" xfId="0" applyFont="1" applyFill="1"/>
    <xf numFmtId="16" fontId="0" fillId="51" borderId="0" xfId="0" applyNumberFormat="1" applyFill="1"/>
    <xf numFmtId="16" fontId="0" fillId="41" borderId="0" xfId="0" applyNumberFormat="1" applyFill="1"/>
    <xf numFmtId="16" fontId="0" fillId="36" borderId="0" xfId="0" applyNumberFormat="1" applyFill="1"/>
    <xf numFmtId="16" fontId="0" fillId="47" borderId="0" xfId="0" applyNumberFormat="1" applyFill="1"/>
    <xf numFmtId="16" fontId="0" fillId="66" borderId="0" xfId="0" applyNumberFormat="1" applyFill="1"/>
    <xf numFmtId="16" fontId="0" fillId="52" borderId="0" xfId="0" applyNumberFormat="1" applyFill="1"/>
    <xf numFmtId="16" fontId="0" fillId="57" borderId="0" xfId="0" applyNumberFormat="1" applyFill="1"/>
    <xf numFmtId="16" fontId="0" fillId="32" borderId="0" xfId="0" applyNumberFormat="1" applyFill="1"/>
    <xf numFmtId="16" fontId="0" fillId="70" borderId="0" xfId="0" applyNumberFormat="1" applyFill="1"/>
    <xf numFmtId="16" fontId="5" fillId="70" borderId="0" xfId="0" applyNumberFormat="1" applyFont="1" applyFill="1"/>
    <xf numFmtId="16" fontId="0" fillId="59" borderId="0" xfId="0" applyNumberFormat="1" applyFill="1"/>
    <xf numFmtId="16" fontId="0" fillId="35" borderId="0" xfId="0" applyNumberFormat="1" applyFill="1"/>
    <xf numFmtId="16" fontId="0" fillId="72" borderId="0" xfId="0" applyNumberFormat="1" applyFill="1"/>
    <xf numFmtId="16" fontId="0" fillId="43" borderId="0" xfId="0" applyNumberFormat="1" applyFill="1"/>
    <xf numFmtId="16" fontId="0" fillId="68" borderId="0" xfId="0" applyNumberFormat="1" applyFill="1"/>
    <xf numFmtId="176" fontId="12" fillId="0" borderId="0" xfId="0" applyNumberFormat="1" applyFont="1"/>
    <xf numFmtId="16" fontId="5" fillId="57" borderId="0" xfId="0" applyNumberFormat="1" applyFont="1" applyFill="1"/>
    <xf numFmtId="16" fontId="0" fillId="62" borderId="0" xfId="0" applyNumberFormat="1" applyFill="1"/>
    <xf numFmtId="16" fontId="0" fillId="73" borderId="0" xfId="0" applyNumberFormat="1" applyFill="1"/>
    <xf numFmtId="45" fontId="5" fillId="71" borderId="0" xfId="0" applyNumberFormat="1" applyFont="1" applyFill="1"/>
    <xf numFmtId="1" fontId="10" fillId="74" borderId="0" xfId="0" applyNumberFormat="1" applyFont="1" applyFill="1" applyAlignment="1">
      <alignment horizontal="center"/>
    </xf>
    <xf numFmtId="176" fontId="0" fillId="40" borderId="0" xfId="0" applyNumberFormat="1" applyFill="1"/>
    <xf numFmtId="16" fontId="6" fillId="51" borderId="0" xfId="0" applyNumberFormat="1" applyFont="1" applyFill="1"/>
    <xf numFmtId="16" fontId="5" fillId="51" borderId="0" xfId="0" applyNumberFormat="1" applyFont="1" applyFill="1"/>
    <xf numFmtId="16" fontId="5" fillId="62" borderId="0" xfId="0" applyNumberFormat="1" applyFont="1" applyFill="1"/>
    <xf numFmtId="0" fontId="5" fillId="24" borderId="0" xfId="1" applyFont="1" applyFill="1" applyAlignment="1" applyProtection="1">
      <alignment horizontal="left"/>
    </xf>
    <xf numFmtId="21" fontId="91" fillId="2" borderId="0" xfId="0" applyNumberFormat="1" applyFont="1" applyFill="1"/>
    <xf numFmtId="16" fontId="0" fillId="71" borderId="0" xfId="0" applyNumberFormat="1" applyFill="1"/>
    <xf numFmtId="166" fontId="6" fillId="0" borderId="0" xfId="0" applyNumberFormat="1" applyFont="1"/>
    <xf numFmtId="16" fontId="0" fillId="75" borderId="0" xfId="0" applyNumberFormat="1" applyFill="1"/>
    <xf numFmtId="16" fontId="71" fillId="52" borderId="0" xfId="0" applyNumberFormat="1" applyFont="1" applyFill="1"/>
    <xf numFmtId="16" fontId="5" fillId="35" borderId="0" xfId="0" applyNumberFormat="1" applyFont="1" applyFill="1"/>
    <xf numFmtId="166" fontId="5" fillId="0" borderId="0" xfId="0" applyNumberFormat="1" applyFont="1"/>
    <xf numFmtId="0" fontId="8" fillId="22" borderId="0" xfId="0" applyFont="1" applyFill="1"/>
    <xf numFmtId="16" fontId="5" fillId="36" borderId="0" xfId="0" applyNumberFormat="1" applyFont="1" applyFill="1"/>
    <xf numFmtId="0" fontId="21" fillId="72" borderId="0" xfId="0" applyFont="1" applyFill="1"/>
    <xf numFmtId="0" fontId="21" fillId="71" borderId="0" xfId="0" applyFont="1" applyFill="1"/>
    <xf numFmtId="0" fontId="8" fillId="66" borderId="0" xfId="0" applyFont="1" applyFill="1"/>
    <xf numFmtId="0" fontId="8" fillId="51" borderId="0" xfId="0" applyFont="1" applyFill="1"/>
    <xf numFmtId="0" fontId="8" fillId="70" borderId="0" xfId="0" applyFont="1" applyFill="1"/>
    <xf numFmtId="0" fontId="8" fillId="52" borderId="0" xfId="0" applyFont="1" applyFill="1"/>
    <xf numFmtId="0" fontId="8" fillId="36" borderId="0" xfId="0" applyFont="1" applyFill="1"/>
    <xf numFmtId="0" fontId="8" fillId="41" borderId="0" xfId="0" applyFont="1" applyFill="1"/>
    <xf numFmtId="0" fontId="8" fillId="35" borderId="0" xfId="0" applyFont="1" applyFill="1"/>
    <xf numFmtId="0" fontId="8" fillId="57" borderId="0" xfId="0" applyFont="1" applyFill="1"/>
    <xf numFmtId="0" fontId="8" fillId="72" borderId="0" xfId="0" applyFont="1" applyFill="1"/>
    <xf numFmtId="0" fontId="8" fillId="71" borderId="0" xfId="0" applyFont="1" applyFill="1"/>
    <xf numFmtId="0" fontId="8" fillId="70" borderId="1" xfId="0" applyFont="1" applyFill="1" applyBorder="1"/>
    <xf numFmtId="0" fontId="8" fillId="22" borderId="0" xfId="0" applyFont="1" applyFill="1" applyAlignment="1">
      <alignment horizontal="center"/>
    </xf>
    <xf numFmtId="0" fontId="8" fillId="43" borderId="0" xfId="0" applyFont="1" applyFill="1"/>
    <xf numFmtId="0" fontId="8" fillId="75" borderId="0" xfId="0" applyFont="1" applyFill="1"/>
    <xf numFmtId="0" fontId="8" fillId="22" borderId="1" xfId="0" applyFont="1" applyFill="1" applyBorder="1"/>
    <xf numFmtId="0" fontId="8" fillId="66" borderId="1" xfId="0" applyFont="1" applyFill="1" applyBorder="1"/>
    <xf numFmtId="0" fontId="8" fillId="36" borderId="1" xfId="0" applyFont="1" applyFill="1" applyBorder="1"/>
    <xf numFmtId="0" fontId="21" fillId="66" borderId="0" xfId="0" applyFont="1" applyFill="1"/>
    <xf numFmtId="0" fontId="21" fillId="51" borderId="0" xfId="0" applyFont="1" applyFill="1"/>
    <xf numFmtId="0" fontId="21" fillId="70" borderId="0" xfId="0" applyFont="1" applyFill="1"/>
    <xf numFmtId="0" fontId="21" fillId="52" borderId="0" xfId="0" applyFont="1" applyFill="1"/>
    <xf numFmtId="0" fontId="21" fillId="36" borderId="0" xfId="0" applyFont="1" applyFill="1"/>
    <xf numFmtId="0" fontId="21" fillId="41" borderId="0" xfId="0" applyFont="1" applyFill="1"/>
    <xf numFmtId="0" fontId="21" fillId="35" borderId="0" xfId="0" applyFont="1" applyFill="1"/>
    <xf numFmtId="0" fontId="21" fillId="28" borderId="0" xfId="0" applyFont="1" applyFill="1"/>
    <xf numFmtId="0" fontId="21" fillId="36" borderId="1" xfId="0" applyFont="1" applyFill="1" applyBorder="1"/>
    <xf numFmtId="0" fontId="21" fillId="57" borderId="0" xfId="0" applyFont="1" applyFill="1"/>
    <xf numFmtId="1" fontId="8" fillId="72" borderId="0" xfId="0" applyNumberFormat="1" applyFont="1" applyFill="1"/>
    <xf numFmtId="0" fontId="8" fillId="71" borderId="0" xfId="0" quotePrefix="1" applyFont="1" applyFill="1"/>
    <xf numFmtId="0" fontId="8" fillId="66" borderId="0" xfId="0" quotePrefix="1" applyFont="1" applyFill="1"/>
    <xf numFmtId="170" fontId="8" fillId="0" borderId="0" xfId="0" applyNumberFormat="1" applyFont="1"/>
    <xf numFmtId="170" fontId="0" fillId="28" borderId="0" xfId="0" applyNumberFormat="1" applyFill="1"/>
    <xf numFmtId="170" fontId="8" fillId="28" borderId="0" xfId="0" applyNumberFormat="1" applyFont="1" applyFill="1"/>
    <xf numFmtId="0" fontId="5" fillId="0" borderId="0" xfId="0" quotePrefix="1" applyFont="1"/>
    <xf numFmtId="1" fontId="5" fillId="63" borderId="0" xfId="0" applyNumberFormat="1" applyFont="1" applyFill="1"/>
    <xf numFmtId="0" fontId="8" fillId="35" borderId="1" xfId="0" applyFont="1" applyFill="1" applyBorder="1"/>
    <xf numFmtId="0" fontId="12" fillId="46" borderId="1" xfId="0" applyFont="1" applyFill="1" applyBorder="1"/>
    <xf numFmtId="0" fontId="94" fillId="0" borderId="3" xfId="0" applyFont="1" applyBorder="1"/>
    <xf numFmtId="0" fontId="94" fillId="28" borderId="3" xfId="0" applyFont="1" applyFill="1" applyBorder="1"/>
    <xf numFmtId="173" fontId="5" fillId="40" borderId="0" xfId="0" applyNumberFormat="1" applyFont="1" applyFill="1" applyAlignment="1">
      <alignment horizontal="center"/>
    </xf>
    <xf numFmtId="0" fontId="8" fillId="57" borderId="1" xfId="0" applyFont="1" applyFill="1" applyBorder="1"/>
    <xf numFmtId="1" fontId="113" fillId="0" borderId="0" xfId="0" applyNumberFormat="1" applyFont="1"/>
    <xf numFmtId="0" fontId="0" fillId="0" borderId="0" xfId="0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6" fontId="0" fillId="40" borderId="0" xfId="0" applyNumberFormat="1" applyFill="1"/>
    <xf numFmtId="0" fontId="5" fillId="4" borderId="1" xfId="0" applyFont="1" applyFill="1" applyBorder="1"/>
    <xf numFmtId="0" fontId="5" fillId="0" borderId="20" xfId="0" applyFont="1" applyBorder="1"/>
    <xf numFmtId="0" fontId="7" fillId="0" borderId="5" xfId="0" applyFont="1" applyBorder="1" applyAlignment="1">
      <alignment horizontal="left"/>
    </xf>
    <xf numFmtId="0" fontId="134" fillId="76" borderId="49" xfId="0" applyFont="1" applyFill="1" applyBorder="1" applyAlignment="1">
      <alignment vertical="center" wrapText="1"/>
    </xf>
    <xf numFmtId="46" fontId="134" fillId="76" borderId="49" xfId="0" applyNumberFormat="1" applyFont="1" applyFill="1" applyBorder="1" applyAlignment="1">
      <alignment vertical="center" wrapText="1"/>
    </xf>
    <xf numFmtId="0" fontId="5" fillId="0" borderId="49" xfId="1" applyFont="1" applyBorder="1" applyAlignment="1" applyProtection="1">
      <alignment vertical="center" wrapText="1"/>
    </xf>
    <xf numFmtId="0" fontId="11" fillId="76" borderId="49" xfId="0" applyFont="1" applyFill="1" applyBorder="1" applyAlignment="1">
      <alignment vertical="center" wrapText="1"/>
    </xf>
    <xf numFmtId="0" fontId="5" fillId="0" borderId="50" xfId="1" applyFont="1" applyBorder="1" applyAlignment="1" applyProtection="1">
      <alignment vertical="center" wrapText="1"/>
    </xf>
    <xf numFmtId="0" fontId="11" fillId="0" borderId="0" xfId="0" applyFont="1" applyAlignment="1">
      <alignment vertical="center" wrapText="1"/>
    </xf>
    <xf numFmtId="46" fontId="12" fillId="0" borderId="0" xfId="0" applyNumberFormat="1" applyFont="1" applyAlignment="1">
      <alignment vertical="center" wrapText="1"/>
    </xf>
    <xf numFmtId="0" fontId="134" fillId="76" borderId="0" xfId="0" applyFont="1" applyFill="1" applyAlignment="1">
      <alignment vertical="center" wrapText="1"/>
    </xf>
    <xf numFmtId="0" fontId="135" fillId="76" borderId="0" xfId="0" applyFont="1" applyFill="1" applyAlignment="1">
      <alignment vertical="center" wrapText="1"/>
    </xf>
    <xf numFmtId="46" fontId="134" fillId="76" borderId="0" xfId="0" applyNumberFormat="1" applyFont="1" applyFill="1" applyAlignment="1">
      <alignment vertical="center" wrapText="1"/>
    </xf>
    <xf numFmtId="0" fontId="11" fillId="76" borderId="0" xfId="0" applyFont="1" applyFill="1" applyAlignment="1">
      <alignment vertical="center" wrapText="1"/>
    </xf>
    <xf numFmtId="3" fontId="11" fillId="76" borderId="0" xfId="0" applyNumberFormat="1" applyFont="1" applyFill="1" applyAlignment="1">
      <alignment vertical="center" wrapText="1"/>
    </xf>
    <xf numFmtId="0" fontId="134" fillId="0" borderId="0" xfId="0" applyFont="1" applyAlignment="1">
      <alignment vertical="center" wrapText="1"/>
    </xf>
    <xf numFmtId="46" fontId="134" fillId="0" borderId="0" xfId="0" applyNumberFormat="1" applyFont="1" applyAlignment="1">
      <alignment vertical="center" wrapText="1"/>
    </xf>
    <xf numFmtId="0" fontId="5" fillId="0" borderId="0" xfId="1" applyFont="1" applyAlignment="1" applyProtection="1">
      <alignment vertical="center" wrapText="1"/>
    </xf>
    <xf numFmtId="0" fontId="0" fillId="0" borderId="49" xfId="0" applyBorder="1"/>
    <xf numFmtId="1" fontId="12" fillId="0" borderId="0" xfId="0" applyNumberFormat="1" applyFont="1" applyAlignment="1">
      <alignment vertical="center" wrapText="1"/>
    </xf>
    <xf numFmtId="46" fontId="12" fillId="0" borderId="49" xfId="0" applyNumberFormat="1" applyFont="1" applyBorder="1" applyAlignment="1">
      <alignment vertical="center" wrapText="1"/>
    </xf>
    <xf numFmtId="0" fontId="5" fillId="43" borderId="0" xfId="0" applyFont="1" applyFill="1"/>
    <xf numFmtId="0" fontId="114" fillId="0" borderId="0" xfId="0" applyFont="1"/>
    <xf numFmtId="0" fontId="5" fillId="28" borderId="0" xfId="0" applyFont="1" applyFill="1" applyAlignment="1">
      <alignment horizontal="right"/>
    </xf>
    <xf numFmtId="15" fontId="0" fillId="0" borderId="0" xfId="0" applyNumberFormat="1"/>
    <xf numFmtId="15" fontId="5" fillId="0" borderId="0" xfId="0" applyNumberFormat="1" applyFont="1"/>
    <xf numFmtId="0" fontId="136" fillId="0" borderId="0" xfId="0" applyFont="1"/>
    <xf numFmtId="45" fontId="136" fillId="0" borderId="0" xfId="0" applyNumberFormat="1" applyFont="1"/>
    <xf numFmtId="15" fontId="16" fillId="0" borderId="0" xfId="0" applyNumberFormat="1" applyFont="1"/>
    <xf numFmtId="1" fontId="137" fillId="0" borderId="0" xfId="0" applyNumberFormat="1" applyFont="1" applyAlignment="1">
      <alignment horizontal="center"/>
    </xf>
    <xf numFmtId="9" fontId="117" fillId="0" borderId="0" xfId="0" applyNumberFormat="1" applyFont="1"/>
    <xf numFmtId="3" fontId="91" fillId="28" borderId="0" xfId="0" applyNumberFormat="1" applyFont="1" applyFill="1"/>
    <xf numFmtId="1" fontId="0" fillId="0" borderId="50" xfId="0" applyNumberFormat="1" applyBorder="1"/>
    <xf numFmtId="1" fontId="0" fillId="0" borderId="49" xfId="0" applyNumberFormat="1" applyBorder="1"/>
    <xf numFmtId="0" fontId="11" fillId="30" borderId="0" xfId="0" applyFont="1" applyFill="1" applyAlignment="1">
      <alignment vertical="center" wrapText="1"/>
    </xf>
    <xf numFmtId="1" fontId="0" fillId="40" borderId="50" xfId="0" applyNumberFormat="1" applyFill="1" applyBorder="1"/>
    <xf numFmtId="0" fontId="5" fillId="40" borderId="50" xfId="1" applyFont="1" applyFill="1" applyBorder="1" applyAlignment="1" applyProtection="1">
      <alignment vertical="center" wrapText="1"/>
    </xf>
    <xf numFmtId="1" fontId="5" fillId="40" borderId="50" xfId="0" applyNumberFormat="1" applyFont="1" applyFill="1" applyBorder="1"/>
    <xf numFmtId="1" fontId="69" fillId="31" borderId="0" xfId="0" applyNumberFormat="1" applyFont="1" applyFill="1"/>
    <xf numFmtId="0" fontId="5" fillId="28" borderId="50" xfId="1" applyFont="1" applyFill="1" applyBorder="1" applyAlignment="1" applyProtection="1">
      <alignment vertical="center" wrapText="1"/>
    </xf>
    <xf numFmtId="0" fontId="5" fillId="28" borderId="0" xfId="1" applyFont="1" applyFill="1" applyAlignment="1" applyProtection="1">
      <alignment vertical="center" wrapText="1"/>
    </xf>
    <xf numFmtId="0" fontId="16" fillId="24" borderId="0" xfId="0" applyFont="1" applyFill="1"/>
    <xf numFmtId="45" fontId="16" fillId="24" borderId="0" xfId="0" applyNumberFormat="1" applyFont="1" applyFill="1"/>
    <xf numFmtId="16" fontId="0" fillId="28" borderId="0" xfId="0" applyNumberFormat="1" applyFill="1"/>
    <xf numFmtId="16" fontId="5" fillId="28" borderId="0" xfId="0" applyNumberFormat="1" applyFont="1" applyFill="1"/>
    <xf numFmtId="0" fontId="138" fillId="0" borderId="0" xfId="0" applyFont="1"/>
    <xf numFmtId="16" fontId="105" fillId="0" borderId="0" xfId="0" applyNumberFormat="1" applyFont="1"/>
    <xf numFmtId="0" fontId="136" fillId="0" borderId="0" xfId="0" applyFont="1" applyAlignment="1">
      <alignment horizontal="left"/>
    </xf>
    <xf numFmtId="0" fontId="5" fillId="0" borderId="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9" fillId="0" borderId="1" xfId="0" applyFont="1" applyBorder="1" applyAlignment="1">
      <alignment horizontal="center"/>
    </xf>
    <xf numFmtId="16" fontId="6" fillId="28" borderId="0" xfId="0" applyNumberFormat="1" applyFont="1" applyFill="1"/>
    <xf numFmtId="1" fontId="0" fillId="28" borderId="50" xfId="0" applyNumberFormat="1" applyFill="1" applyBorder="1"/>
    <xf numFmtId="0" fontId="13" fillId="0" borderId="18" xfId="0" applyFont="1" applyBorder="1" applyAlignment="1">
      <alignment horizontal="center"/>
    </xf>
    <xf numFmtId="0" fontId="5" fillId="22" borderId="20" xfId="0" applyFont="1" applyFill="1" applyBorder="1" applyAlignment="1">
      <alignment horizontal="center"/>
    </xf>
    <xf numFmtId="0" fontId="12" fillId="28" borderId="44" xfId="0" applyFont="1" applyFill="1" applyBorder="1" applyAlignment="1">
      <alignment horizontal="center"/>
    </xf>
    <xf numFmtId="0" fontId="59" fillId="0" borderId="2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2" fillId="0" borderId="6" xfId="0" applyFont="1" applyBorder="1"/>
    <xf numFmtId="1" fontId="5" fillId="0" borderId="0" xfId="0" applyNumberFormat="1" applyFont="1" applyAlignment="1">
      <alignment horizontal="left"/>
    </xf>
    <xf numFmtId="1" fontId="12" fillId="0" borderId="0" xfId="0" applyNumberFormat="1" applyFont="1" applyAlignment="1">
      <alignment horizontal="left"/>
    </xf>
    <xf numFmtId="0" fontId="69" fillId="31" borderId="0" xfId="1" applyFont="1" applyFill="1" applyAlignment="1" applyProtection="1">
      <alignment vertical="center" wrapText="1"/>
    </xf>
    <xf numFmtId="0" fontId="74" fillId="0" borderId="0" xfId="0" applyFont="1" applyAlignment="1">
      <alignment horizontal="left"/>
    </xf>
    <xf numFmtId="0" fontId="13" fillId="28" borderId="14" xfId="0" applyFont="1" applyFill="1" applyBorder="1" applyAlignment="1">
      <alignment horizontal="center"/>
    </xf>
    <xf numFmtId="0" fontId="12" fillId="28" borderId="7" xfId="0" applyFont="1" applyFill="1" applyBorder="1"/>
    <xf numFmtId="0" fontId="70" fillId="34" borderId="44" xfId="0" applyFont="1" applyFill="1" applyBorder="1"/>
    <xf numFmtId="14" fontId="108" fillId="68" borderId="0" xfId="0" applyNumberFormat="1" applyFont="1" applyFill="1" applyAlignment="1">
      <alignment horizontal="center"/>
    </xf>
    <xf numFmtId="0" fontId="12" fillId="0" borderId="3" xfId="0" applyFont="1" applyBorder="1" applyAlignment="1">
      <alignment horizontal="left"/>
    </xf>
    <xf numFmtId="0" fontId="11" fillId="0" borderId="3" xfId="0" applyFont="1" applyBorder="1"/>
    <xf numFmtId="0" fontId="16" fillId="40" borderId="4" xfId="0" applyFont="1" applyFill="1" applyBorder="1"/>
    <xf numFmtId="0" fontId="139" fillId="31" borderId="0" xfId="0" applyFont="1" applyFill="1"/>
    <xf numFmtId="0" fontId="140" fillId="0" borderId="0" xfId="0" applyFont="1"/>
    <xf numFmtId="0" fontId="141" fillId="0" borderId="0" xfId="0" applyFont="1" applyAlignment="1">
      <alignment horizontal="center"/>
    </xf>
    <xf numFmtId="1" fontId="12" fillId="34" borderId="1" xfId="0" applyNumberFormat="1" applyFont="1" applyFill="1" applyBorder="1" applyAlignment="1">
      <alignment horizontal="left"/>
    </xf>
    <xf numFmtId="1" fontId="12" fillId="28" borderId="1" xfId="0" applyNumberFormat="1" applyFont="1" applyFill="1" applyBorder="1" applyAlignment="1">
      <alignment horizontal="left"/>
    </xf>
    <xf numFmtId="1" fontId="12" fillId="35" borderId="1" xfId="0" applyNumberFormat="1" applyFont="1" applyFill="1" applyBorder="1" applyAlignment="1">
      <alignment horizontal="center"/>
    </xf>
    <xf numFmtId="1" fontId="12" fillId="34" borderId="1" xfId="0" applyNumberFormat="1" applyFont="1" applyFill="1" applyBorder="1" applyAlignment="1">
      <alignment horizontal="center"/>
    </xf>
    <xf numFmtId="1" fontId="12" fillId="28" borderId="1" xfId="0" applyNumberFormat="1" applyFont="1" applyFill="1" applyBorder="1" applyAlignment="1">
      <alignment horizontal="center"/>
    </xf>
    <xf numFmtId="1" fontId="30" fillId="34" borderId="0" xfId="0" applyNumberFormat="1" applyFont="1" applyFill="1" applyAlignment="1">
      <alignment horizontal="center"/>
    </xf>
    <xf numFmtId="1" fontId="30" fillId="28" borderId="0" xfId="0" applyNumberFormat="1" applyFont="1" applyFill="1" applyAlignment="1">
      <alignment horizontal="center"/>
    </xf>
    <xf numFmtId="1" fontId="5" fillId="28" borderId="0" xfId="0" applyNumberFormat="1" applyFont="1" applyFill="1" applyAlignment="1">
      <alignment horizontal="center"/>
    </xf>
    <xf numFmtId="0" fontId="12" fillId="3" borderId="34" xfId="0" applyFont="1" applyFill="1" applyBorder="1"/>
    <xf numFmtId="0" fontId="12" fillId="34" borderId="34" xfId="0" applyFont="1" applyFill="1" applyBorder="1"/>
    <xf numFmtId="0" fontId="0" fillId="4" borderId="1" xfId="0" applyFill="1" applyBorder="1" applyAlignment="1">
      <alignment horizontal="center"/>
    </xf>
    <xf numFmtId="45" fontId="74" fillId="0" borderId="0" xfId="0" applyNumberFormat="1" applyFont="1"/>
    <xf numFmtId="1" fontId="7" fillId="28" borderId="0" xfId="0" applyNumberFormat="1" applyFont="1" applyFill="1"/>
    <xf numFmtId="1" fontId="7" fillId="29" borderId="0" xfId="0" applyNumberFormat="1" applyFont="1" applyFill="1"/>
    <xf numFmtId="1" fontId="5" fillId="0" borderId="0" xfId="0" applyNumberFormat="1" applyFont="1" applyAlignment="1">
      <alignment horizontal="center"/>
    </xf>
    <xf numFmtId="0" fontId="12" fillId="0" borderId="3" xfId="0" applyFont="1" applyBorder="1"/>
    <xf numFmtId="1" fontId="66" fillId="0" borderId="0" xfId="0" applyNumberFormat="1" applyFont="1" applyAlignment="1">
      <alignment horizontal="center"/>
    </xf>
    <xf numFmtId="0" fontId="67" fillId="34" borderId="0" xfId="0" applyFont="1" applyFill="1"/>
    <xf numFmtId="3" fontId="11" fillId="0" borderId="0" xfId="0" applyNumberFormat="1" applyFont="1" applyAlignment="1">
      <alignment vertical="center" wrapText="1"/>
    </xf>
    <xf numFmtId="1" fontId="120" fillId="31" borderId="0" xfId="0" applyNumberFormat="1" applyFont="1" applyFill="1"/>
    <xf numFmtId="45" fontId="5" fillId="63" borderId="0" xfId="0" applyNumberFormat="1" applyFont="1" applyFill="1"/>
    <xf numFmtId="0" fontId="5" fillId="0" borderId="34" xfId="0" applyFont="1" applyBorder="1"/>
    <xf numFmtId="0" fontId="143" fillId="23" borderId="0" xfId="0" applyFont="1" applyFill="1" applyAlignment="1">
      <alignment horizontal="center"/>
    </xf>
    <xf numFmtId="0" fontId="12" fillId="35" borderId="1" xfId="0" applyFont="1" applyFill="1" applyBorder="1" applyAlignment="1">
      <alignment horizontal="center"/>
    </xf>
    <xf numFmtId="0" fontId="142" fillId="0" borderId="0" xfId="0" applyFont="1"/>
    <xf numFmtId="0" fontId="125" fillId="0" borderId="0" xfId="0" quotePrefix="1" applyFont="1" applyAlignment="1">
      <alignment horizontal="center"/>
    </xf>
    <xf numFmtId="0" fontId="6" fillId="0" borderId="0" xfId="0" quotePrefix="1" applyFont="1" applyAlignment="1">
      <alignment horizontal="center"/>
    </xf>
    <xf numFmtId="0" fontId="69" fillId="0" borderId="0" xfId="0" applyFont="1" applyAlignment="1">
      <alignment horizontal="center"/>
    </xf>
    <xf numFmtId="0" fontId="126" fillId="0" borderId="0" xfId="0" applyFont="1" applyAlignment="1">
      <alignment horizontal="center"/>
    </xf>
    <xf numFmtId="0" fontId="70" fillId="2" borderId="1" xfId="0" applyFont="1" applyFill="1" applyBorder="1" applyAlignment="1">
      <alignment horizontal="center"/>
    </xf>
    <xf numFmtId="14" fontId="108" fillId="70" borderId="0" xfId="0" applyNumberFormat="1" applyFont="1" applyFill="1"/>
    <xf numFmtId="0" fontId="118" fillId="0" borderId="1" xfId="0" applyFont="1" applyBorder="1" applyAlignment="1">
      <alignment horizontal="center"/>
    </xf>
    <xf numFmtId="0" fontId="145" fillId="0" borderId="0" xfId="0" applyFont="1"/>
    <xf numFmtId="45" fontId="145" fillId="0" borderId="0" xfId="0" applyNumberFormat="1" applyFont="1"/>
    <xf numFmtId="0" fontId="30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16" fillId="39" borderId="4" xfId="0" applyFont="1" applyFill="1" applyBorder="1"/>
    <xf numFmtId="0" fontId="12" fillId="46" borderId="1" xfId="0" applyFont="1" applyFill="1" applyBorder="1" applyAlignment="1">
      <alignment horizontal="center"/>
    </xf>
    <xf numFmtId="0" fontId="146" fillId="0" borderId="0" xfId="0" applyFont="1"/>
    <xf numFmtId="0" fontId="146" fillId="0" borderId="0" xfId="0" applyFont="1" applyAlignment="1">
      <alignment horizontal="right"/>
    </xf>
    <xf numFmtId="0" fontId="146" fillId="0" borderId="0" xfId="0" applyFont="1" applyAlignment="1">
      <alignment horizontal="center"/>
    </xf>
    <xf numFmtId="1" fontId="146" fillId="0" borderId="0" xfId="0" applyNumberFormat="1" applyFont="1"/>
    <xf numFmtId="0" fontId="147" fillId="77" borderId="51" xfId="0" applyFont="1" applyFill="1" applyBorder="1" applyAlignment="1">
      <alignment horizontal="left" vertical="center" wrapText="1"/>
    </xf>
    <xf numFmtId="1" fontId="0" fillId="54" borderId="50" xfId="0" applyNumberFormat="1" applyFill="1" applyBorder="1"/>
    <xf numFmtId="45" fontId="5" fillId="54" borderId="0" xfId="0" applyNumberFormat="1" applyFont="1" applyFill="1" applyAlignment="1">
      <alignment horizontal="right"/>
    </xf>
    <xf numFmtId="0" fontId="113" fillId="34" borderId="0" xfId="0" applyFont="1" applyFill="1"/>
    <xf numFmtId="0" fontId="113" fillId="28" borderId="0" xfId="0" applyFont="1" applyFill="1"/>
    <xf numFmtId="0" fontId="12" fillId="0" borderId="20" xfId="0" applyFont="1" applyBorder="1" applyAlignment="1">
      <alignment horizontal="center"/>
    </xf>
    <xf numFmtId="0" fontId="5" fillId="0" borderId="0" xfId="0" applyFont="1" applyFill="1"/>
    <xf numFmtId="0" fontId="0" fillId="0" borderId="0" xfId="0" applyFill="1"/>
    <xf numFmtId="0" fontId="7" fillId="0" borderId="0" xfId="0" applyFont="1" applyFill="1"/>
    <xf numFmtId="0" fontId="130" fillId="0" borderId="0" xfId="0" applyFont="1" applyFill="1"/>
    <xf numFmtId="0" fontId="72" fillId="0" borderId="0" xfId="0" applyFont="1" applyFill="1"/>
    <xf numFmtId="0" fontId="38" fillId="0" borderId="0" xfId="0" applyFont="1" applyFill="1"/>
    <xf numFmtId="0" fontId="136" fillId="0" borderId="0" xfId="0" applyFont="1" applyFill="1"/>
    <xf numFmtId="0" fontId="0" fillId="0" borderId="1" xfId="0" applyFill="1" applyBorder="1"/>
    <xf numFmtId="1" fontId="0" fillId="0" borderId="1" xfId="0" applyNumberFormat="1" applyFill="1" applyBorder="1"/>
    <xf numFmtId="14" fontId="0" fillId="0" borderId="0" xfId="0" applyNumberFormat="1" applyFill="1"/>
    <xf numFmtId="0" fontId="7" fillId="0" borderId="1" xfId="0" applyFont="1" applyFill="1" applyBorder="1"/>
    <xf numFmtId="0" fontId="5" fillId="0" borderId="1" xfId="0" applyFont="1" applyFill="1" applyBorder="1"/>
    <xf numFmtId="1" fontId="7" fillId="0" borderId="1" xfId="0" applyNumberFormat="1" applyFont="1" applyFill="1" applyBorder="1"/>
    <xf numFmtId="1" fontId="5" fillId="0" borderId="1" xfId="0" applyNumberFormat="1" applyFont="1" applyFill="1" applyBorder="1"/>
    <xf numFmtId="14" fontId="5" fillId="0" borderId="0" xfId="0" applyNumberFormat="1" applyFont="1" applyFill="1"/>
    <xf numFmtId="0" fontId="11" fillId="0" borderId="1" xfId="0" applyFont="1" applyFill="1" applyBorder="1"/>
    <xf numFmtId="0" fontId="21" fillId="0" borderId="1" xfId="0" applyFont="1" applyFill="1" applyBorder="1"/>
    <xf numFmtId="0" fontId="0" fillId="0" borderId="12" xfId="0" applyFill="1" applyBorder="1"/>
    <xf numFmtId="0" fontId="12" fillId="0" borderId="1" xfId="0" applyFont="1" applyFill="1" applyBorder="1"/>
    <xf numFmtId="0" fontId="115" fillId="0" borderId="0" xfId="0" applyFont="1" applyFill="1"/>
    <xf numFmtId="0" fontId="6" fillId="0" borderId="0" xfId="0" applyFont="1" applyFill="1"/>
    <xf numFmtId="0" fontId="12" fillId="0" borderId="34" xfId="0" applyFont="1" applyFill="1" applyBorder="1"/>
    <xf numFmtId="0" fontId="12" fillId="0" borderId="34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5" fillId="0" borderId="17" xfId="0" applyFont="1" applyFill="1" applyBorder="1"/>
    <xf numFmtId="1" fontId="0" fillId="0" borderId="0" xfId="0" applyNumberFormat="1" applyFill="1"/>
    <xf numFmtId="0" fontId="136" fillId="0" borderId="17" xfId="0" applyFont="1" applyFill="1" applyBorder="1"/>
    <xf numFmtId="0" fontId="88" fillId="0" borderId="1" xfId="0" applyFont="1" applyFill="1" applyBorder="1"/>
    <xf numFmtId="0" fontId="7" fillId="0" borderId="17" xfId="0" applyFont="1" applyFill="1" applyBorder="1"/>
    <xf numFmtId="0" fontId="12" fillId="0" borderId="0" xfId="0" applyFont="1" applyFill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/>
    <xf numFmtId="0" fontId="7" fillId="0" borderId="0" xfId="0" applyFont="1" applyFill="1" applyBorder="1"/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right"/>
    </xf>
    <xf numFmtId="0" fontId="29" fillId="0" borderId="0" xfId="0" applyFont="1" applyFill="1" applyAlignment="1">
      <alignment horizontal="center"/>
    </xf>
    <xf numFmtId="14" fontId="108" fillId="70" borderId="0" xfId="0" applyNumberFormat="1" applyFont="1" applyFill="1" applyAlignment="1">
      <alignment horizontal="center"/>
    </xf>
    <xf numFmtId="0" fontId="41" fillId="0" borderId="0" xfId="0" applyFont="1" applyFill="1"/>
    <xf numFmtId="0" fontId="0" fillId="0" borderId="0" xfId="0" applyFill="1" applyAlignment="1">
      <alignment horizontal="left"/>
    </xf>
    <xf numFmtId="45" fontId="0" fillId="0" borderId="0" xfId="0" applyNumberFormat="1" applyFill="1"/>
    <xf numFmtId="0" fontId="72" fillId="0" borderId="0" xfId="0" applyFont="1" applyFill="1" applyAlignment="1">
      <alignment horizontal="left"/>
    </xf>
    <xf numFmtId="45" fontId="72" fillId="0" borderId="0" xfId="0" applyNumberFormat="1" applyFont="1" applyFill="1"/>
    <xf numFmtId="0" fontId="5" fillId="0" borderId="0" xfId="0" applyFont="1" applyFill="1" applyAlignment="1">
      <alignment horizontal="left"/>
    </xf>
    <xf numFmtId="0" fontId="50" fillId="0" borderId="0" xfId="0" applyFont="1" applyFill="1"/>
    <xf numFmtId="45" fontId="91" fillId="54" borderId="0" xfId="0" applyNumberFormat="1" applyFont="1" applyFill="1"/>
    <xf numFmtId="0" fontId="30" fillId="0" borderId="0" xfId="0" applyFont="1" applyFill="1"/>
    <xf numFmtId="0" fontId="11" fillId="0" borderId="0" xfId="0" applyFont="1" applyFill="1" applyAlignment="1">
      <alignment vertical="center" wrapText="1"/>
    </xf>
    <xf numFmtId="0" fontId="5" fillId="54" borderId="50" xfId="1" applyFont="1" applyFill="1" applyBorder="1" applyAlignment="1" applyProtection="1">
      <alignment vertical="center" wrapText="1"/>
    </xf>
    <xf numFmtId="0" fontId="5" fillId="0" borderId="0" xfId="1" applyFont="1" applyBorder="1" applyAlignment="1" applyProtection="1">
      <alignment vertical="center" wrapText="1"/>
    </xf>
    <xf numFmtId="0" fontId="11" fillId="76" borderId="0" xfId="0" applyFont="1" applyFill="1" applyBorder="1" applyAlignment="1">
      <alignment vertical="center" wrapText="1"/>
    </xf>
    <xf numFmtId="0" fontId="5" fillId="46" borderId="1" xfId="0" applyFont="1" applyFill="1" applyBorder="1"/>
    <xf numFmtId="0" fontId="5" fillId="46" borderId="1" xfId="0" applyFont="1" applyFill="1" applyBorder="1" applyAlignment="1">
      <alignment horizontal="left"/>
    </xf>
    <xf numFmtId="0" fontId="41" fillId="0" borderId="17" xfId="0" applyFont="1" applyFill="1" applyBorder="1"/>
    <xf numFmtId="0" fontId="115" fillId="0" borderId="17" xfId="0" applyFont="1" applyFill="1" applyBorder="1"/>
    <xf numFmtId="1" fontId="12" fillId="0" borderId="1" xfId="0" applyNumberFormat="1" applyFont="1" applyFill="1" applyBorder="1" applyAlignment="1">
      <alignment horizontal="left"/>
    </xf>
    <xf numFmtId="1" fontId="12" fillId="0" borderId="1" xfId="0" applyNumberFormat="1" applyFont="1" applyFill="1" applyBorder="1" applyAlignment="1">
      <alignment horizontal="center"/>
    </xf>
    <xf numFmtId="1" fontId="12" fillId="0" borderId="0" xfId="0" applyNumberFormat="1" applyFont="1" applyFill="1" applyAlignment="1">
      <alignment horizontal="left"/>
    </xf>
    <xf numFmtId="169" fontId="0" fillId="0" borderId="0" xfId="0" applyNumberFormat="1"/>
    <xf numFmtId="0" fontId="78" fillId="23" borderId="0" xfId="0" applyFont="1" applyFill="1" applyAlignment="1">
      <alignment horizontal="center"/>
    </xf>
    <xf numFmtId="45" fontId="5" fillId="0" borderId="0" xfId="0" applyNumberFormat="1" applyFont="1" applyFill="1"/>
    <xf numFmtId="0" fontId="123" fillId="0" borderId="0" xfId="0" applyFont="1" applyFill="1"/>
    <xf numFmtId="0" fontId="7" fillId="0" borderId="0" xfId="0" applyFont="1"/>
    <xf numFmtId="0" fontId="0" fillId="0" borderId="4" xfId="0" applyFill="1" applyBorder="1"/>
    <xf numFmtId="0" fontId="5" fillId="0" borderId="4" xfId="0" applyFont="1" applyFill="1" applyBorder="1"/>
    <xf numFmtId="0" fontId="5" fillId="0" borderId="14" xfId="0" applyFont="1" applyFill="1" applyBorder="1"/>
    <xf numFmtId="0" fontId="0" fillId="0" borderId="14" xfId="0" applyFill="1" applyBorder="1"/>
    <xf numFmtId="0" fontId="0" fillId="0" borderId="8" xfId="0" applyFill="1" applyBorder="1"/>
    <xf numFmtId="0" fontId="62" fillId="0" borderId="0" xfId="0" applyFont="1" applyFill="1"/>
    <xf numFmtId="0" fontId="13" fillId="0" borderId="1" xfId="0" applyFont="1" applyFill="1" applyBorder="1"/>
    <xf numFmtId="0" fontId="72" fillId="0" borderId="17" xfId="0" applyFont="1" applyFill="1" applyBorder="1"/>
    <xf numFmtId="0" fontId="12" fillId="0" borderId="17" xfId="0" applyFont="1" applyFill="1" applyBorder="1"/>
    <xf numFmtId="0" fontId="12" fillId="0" borderId="0" xfId="0" applyFont="1" applyFill="1"/>
    <xf numFmtId="0" fontId="0" fillId="0" borderId="9" xfId="0" applyFill="1" applyBorder="1"/>
    <xf numFmtId="0" fontId="0" fillId="0" borderId="17" xfId="0" applyFill="1" applyBorder="1"/>
    <xf numFmtId="0" fontId="5" fillId="0" borderId="1" xfId="0" applyFont="1" applyFill="1" applyBorder="1" applyAlignment="1">
      <alignment horizontal="center"/>
    </xf>
    <xf numFmtId="0" fontId="32" fillId="0" borderId="0" xfId="0" applyFont="1" applyFill="1"/>
    <xf numFmtId="0" fontId="8" fillId="0" borderId="0" xfId="0" applyFont="1" applyFill="1"/>
    <xf numFmtId="0" fontId="5" fillId="0" borderId="1" xfId="0" applyFont="1" applyFill="1" applyBorder="1" applyAlignment="1">
      <alignment horizontal="left"/>
    </xf>
    <xf numFmtId="0" fontId="32" fillId="0" borderId="1" xfId="0" applyFont="1" applyFill="1" applyBorder="1"/>
    <xf numFmtId="0" fontId="30" fillId="0" borderId="1" xfId="0" applyFont="1" applyFill="1" applyBorder="1"/>
    <xf numFmtId="1" fontId="5" fillId="0" borderId="0" xfId="0" applyNumberFormat="1" applyFont="1" applyFill="1"/>
    <xf numFmtId="0" fontId="90" fillId="0" borderId="0" xfId="0" applyFont="1" applyFill="1"/>
    <xf numFmtId="0" fontId="148" fillId="0" borderId="0" xfId="0" applyFont="1"/>
    <xf numFmtId="1" fontId="0" fillId="34" borderId="0" xfId="0" applyNumberFormat="1" applyFill="1"/>
    <xf numFmtId="0" fontId="91" fillId="34" borderId="0" xfId="0" applyFont="1" applyFill="1"/>
    <xf numFmtId="14" fontId="91" fillId="34" borderId="0" xfId="0" applyNumberFormat="1" applyFont="1" applyFill="1"/>
    <xf numFmtId="45" fontId="0" fillId="34" borderId="0" xfId="0" applyNumberFormat="1" applyFill="1"/>
    <xf numFmtId="14" fontId="0" fillId="34" borderId="0" xfId="0" applyNumberFormat="1" applyFill="1"/>
    <xf numFmtId="0" fontId="7" fillId="0" borderId="0" xfId="0" applyFont="1"/>
    <xf numFmtId="0" fontId="6" fillId="22" borderId="1" xfId="0" applyFont="1" applyFill="1" applyBorder="1"/>
    <xf numFmtId="0" fontId="32" fillId="22" borderId="1" xfId="0" applyFont="1" applyFill="1" applyBorder="1" applyAlignment="1">
      <alignment horizontal="center"/>
    </xf>
    <xf numFmtId="0" fontId="5" fillId="0" borderId="5" xfId="0" applyFont="1" applyBorder="1"/>
    <xf numFmtId="0" fontId="5" fillId="0" borderId="27" xfId="0" applyFont="1" applyBorder="1"/>
    <xf numFmtId="0" fontId="74" fillId="0" borderId="0" xfId="0" applyFont="1" applyFill="1"/>
    <xf numFmtId="0" fontId="5" fillId="0" borderId="14" xfId="0" applyFont="1" applyBorder="1" applyAlignment="1">
      <alignment horizontal="center"/>
    </xf>
    <xf numFmtId="0" fontId="44" fillId="0" borderId="1" xfId="0" applyFont="1" applyFill="1" applyBorder="1"/>
    <xf numFmtId="0" fontId="74" fillId="0" borderId="17" xfId="0" applyFont="1" applyFill="1" applyBorder="1"/>
    <xf numFmtId="3" fontId="11" fillId="76" borderId="49" xfId="0" applyNumberFormat="1" applyFont="1" applyFill="1" applyBorder="1" applyAlignment="1">
      <alignment vertical="center" wrapText="1"/>
    </xf>
    <xf numFmtId="15" fontId="5" fillId="0" borderId="0" xfId="0" applyNumberFormat="1" applyFont="1" applyFill="1"/>
    <xf numFmtId="1" fontId="0" fillId="30" borderId="0" xfId="0" applyNumberFormat="1" applyFill="1"/>
    <xf numFmtId="1" fontId="6" fillId="0" borderId="0" xfId="0" applyNumberFormat="1" applyFont="1" applyFill="1"/>
    <xf numFmtId="0" fontId="16" fillId="0" borderId="0" xfId="0" applyFont="1" applyFill="1"/>
    <xf numFmtId="45" fontId="16" fillId="0" borderId="0" xfId="0" applyNumberFormat="1" applyFont="1" applyFill="1"/>
    <xf numFmtId="45" fontId="7" fillId="0" borderId="0" xfId="0" applyNumberFormat="1" applyFont="1" applyFill="1"/>
    <xf numFmtId="0" fontId="12" fillId="0" borderId="5" xfId="0" applyFont="1" applyFill="1" applyBorder="1"/>
    <xf numFmtId="0" fontId="12" fillId="0" borderId="20" xfId="0" applyFont="1" applyFill="1" applyBorder="1"/>
    <xf numFmtId="14" fontId="108" fillId="78" borderId="0" xfId="0" applyNumberFormat="1" applyFont="1" applyFill="1"/>
    <xf numFmtId="0" fontId="6" fillId="7" borderId="0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center"/>
    </xf>
    <xf numFmtId="0" fontId="11" fillId="40" borderId="4" xfId="0" applyFont="1" applyFill="1" applyBorder="1" applyAlignment="1">
      <alignment horizontal="center"/>
    </xf>
    <xf numFmtId="0" fontId="17" fillId="40" borderId="0" xfId="0" applyFont="1" applyFill="1" applyAlignment="1">
      <alignment horizontal="right"/>
    </xf>
    <xf numFmtId="1" fontId="66" fillId="0" borderId="0" xfId="0" applyNumberFormat="1" applyFont="1"/>
    <xf numFmtId="1" fontId="0" fillId="0" borderId="0" xfId="0" applyNumberFormat="1" applyBorder="1"/>
    <xf numFmtId="0" fontId="0" fillId="0" borderId="0" xfId="0" applyBorder="1"/>
    <xf numFmtId="0" fontId="55" fillId="0" borderId="0" xfId="0" applyFont="1" applyFill="1" applyBorder="1"/>
    <xf numFmtId="0" fontId="91" fillId="0" borderId="0" xfId="0" applyFont="1" applyFill="1" applyBorder="1"/>
    <xf numFmtId="0" fontId="5" fillId="0" borderId="0" xfId="0" applyFont="1" applyFill="1" applyBorder="1"/>
    <xf numFmtId="0" fontId="7" fillId="0" borderId="0" xfId="0" applyFont="1"/>
    <xf numFmtId="0" fontId="132" fillId="0" borderId="17" xfId="0" applyFont="1" applyFill="1" applyBorder="1"/>
    <xf numFmtId="0" fontId="132" fillId="0" borderId="0" xfId="0" applyFont="1" applyFill="1"/>
    <xf numFmtId="0" fontId="5" fillId="0" borderId="0" xfId="0" applyFont="1" applyAlignment="1">
      <alignment vertical="center" wrapText="1"/>
    </xf>
    <xf numFmtId="10" fontId="5" fillId="0" borderId="0" xfId="0" applyNumberFormat="1" applyFont="1" applyAlignment="1">
      <alignment vertical="center" wrapText="1"/>
    </xf>
    <xf numFmtId="0" fontId="12" fillId="3" borderId="16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5" fillId="28" borderId="0" xfId="1" applyFont="1" applyFill="1" applyAlignment="1" applyProtection="1">
      <alignment horizontal="left"/>
    </xf>
    <xf numFmtId="1" fontId="6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vertical="center" wrapText="1"/>
    </xf>
    <xf numFmtId="0" fontId="30" fillId="0" borderId="0" xfId="0" applyFont="1" applyFill="1" applyAlignment="1">
      <alignment horizontal="left"/>
    </xf>
    <xf numFmtId="0" fontId="5" fillId="0" borderId="1" xfId="0" applyFont="1" applyFill="1" applyBorder="1" applyAlignment="1">
      <alignment horizontal="right"/>
    </xf>
    <xf numFmtId="46" fontId="134" fillId="76" borderId="0" xfId="0" applyNumberFormat="1" applyFont="1" applyFill="1" applyBorder="1" applyAlignment="1">
      <alignment vertical="center" wrapText="1"/>
    </xf>
    <xf numFmtId="0" fontId="134" fillId="0" borderId="0" xfId="0" applyFont="1" applyBorder="1" applyAlignment="1">
      <alignment vertical="center" wrapText="1"/>
    </xf>
    <xf numFmtId="0" fontId="6" fillId="0" borderId="0" xfId="0" applyFont="1" applyFill="1" applyAlignment="1">
      <alignment horizontal="right"/>
    </xf>
    <xf numFmtId="0" fontId="6" fillId="40" borderId="6" xfId="0" applyFont="1" applyFill="1" applyBorder="1" applyAlignment="1">
      <alignment horizontal="center"/>
    </xf>
    <xf numFmtId="0" fontId="0" fillId="40" borderId="5" xfId="0" applyFill="1" applyBorder="1" applyAlignment="1">
      <alignment horizontal="center"/>
    </xf>
    <xf numFmtId="0" fontId="5" fillId="40" borderId="0" xfId="0" applyFont="1" applyFill="1" applyBorder="1"/>
    <xf numFmtId="0" fontId="0" fillId="40" borderId="0" xfId="0" applyFont="1" applyFill="1" applyBorder="1"/>
    <xf numFmtId="0" fontId="0" fillId="24" borderId="4" xfId="0" applyFill="1" applyBorder="1"/>
    <xf numFmtId="0" fontId="42" fillId="0" borderId="0" xfId="0" applyFont="1"/>
    <xf numFmtId="0" fontId="38" fillId="0" borderId="17" xfId="0" applyFont="1" applyFill="1" applyBorder="1"/>
    <xf numFmtId="0" fontId="0" fillId="0" borderId="18" xfId="0" applyFill="1" applyBorder="1"/>
    <xf numFmtId="14" fontId="30" fillId="0" borderId="0" xfId="0" applyNumberFormat="1" applyFont="1"/>
    <xf numFmtId="0" fontId="5" fillId="0" borderId="0" xfId="0" applyFont="1" applyBorder="1"/>
    <xf numFmtId="45" fontId="6" fillId="0" borderId="0" xfId="0" applyNumberFormat="1" applyFont="1" applyFill="1" applyAlignment="1">
      <alignment horizontal="center"/>
    </xf>
    <xf numFmtId="0" fontId="12" fillId="28" borderId="35" xfId="0" applyFont="1" applyFill="1" applyBorder="1"/>
    <xf numFmtId="0" fontId="11" fillId="30" borderId="0" xfId="0" applyFont="1" applyFill="1"/>
    <xf numFmtId="15" fontId="0" fillId="0" borderId="0" xfId="0" applyNumberFormat="1" applyFill="1"/>
    <xf numFmtId="0" fontId="114" fillId="0" borderId="0" xfId="0" applyFont="1" applyFill="1"/>
    <xf numFmtId="0" fontId="21" fillId="0" borderId="0" xfId="0" applyFont="1" applyFill="1"/>
    <xf numFmtId="0" fontId="44" fillId="0" borderId="17" xfId="0" applyFont="1" applyFill="1" applyBorder="1"/>
    <xf numFmtId="0" fontId="44" fillId="0" borderId="0" xfId="0" applyFont="1" applyFill="1"/>
    <xf numFmtId="14" fontId="0" fillId="0" borderId="0" xfId="0" applyNumberFormat="1" applyFill="1" applyBorder="1"/>
    <xf numFmtId="0" fontId="6" fillId="0" borderId="0" xfId="0" applyFont="1" applyFill="1" applyBorder="1"/>
    <xf numFmtId="0" fontId="30" fillId="0" borderId="0" xfId="0" applyFont="1" applyFill="1" applyBorder="1"/>
    <xf numFmtId="14" fontId="5" fillId="0" borderId="0" xfId="0" applyNumberFormat="1" applyFont="1" applyFill="1" applyBorder="1"/>
    <xf numFmtId="176" fontId="0" fillId="0" borderId="0" xfId="0" applyNumberFormat="1" applyFill="1"/>
    <xf numFmtId="171" fontId="8" fillId="0" borderId="0" xfId="0" applyNumberFormat="1" applyFont="1"/>
    <xf numFmtId="14" fontId="32" fillId="0" borderId="0" xfId="0" applyNumberFormat="1" applyFont="1"/>
    <xf numFmtId="45" fontId="6" fillId="0" borderId="0" xfId="0" applyNumberFormat="1" applyFont="1" applyFill="1"/>
    <xf numFmtId="0" fontId="5" fillId="28" borderId="0" xfId="1" applyFont="1" applyFill="1" applyBorder="1" applyAlignment="1" applyProtection="1">
      <alignment vertical="center" wrapText="1"/>
    </xf>
    <xf numFmtId="10" fontId="0" fillId="0" borderId="52" xfId="0" applyNumberFormat="1" applyFill="1" applyBorder="1"/>
    <xf numFmtId="1" fontId="69" fillId="37" borderId="0" xfId="0" applyNumberFormat="1" applyFont="1" applyFill="1" applyAlignment="1">
      <alignment horizontal="center"/>
    </xf>
    <xf numFmtId="21" fontId="6" fillId="0" borderId="0" xfId="0" applyNumberFormat="1" applyFont="1"/>
    <xf numFmtId="16" fontId="16" fillId="40" borderId="4" xfId="0" applyNumberFormat="1" applyFont="1" applyFill="1" applyBorder="1"/>
    <xf numFmtId="0" fontId="16" fillId="40" borderId="3" xfId="0" applyFont="1" applyFill="1" applyBorder="1" applyAlignment="1">
      <alignment horizontal="center"/>
    </xf>
    <xf numFmtId="0" fontId="0" fillId="0" borderId="53" xfId="0" applyFill="1" applyBorder="1"/>
    <xf numFmtId="0" fontId="5" fillId="0" borderId="53" xfId="0" applyFont="1" applyFill="1" applyBorder="1"/>
    <xf numFmtId="0" fontId="5" fillId="0" borderId="52" xfId="0" applyFont="1" applyFill="1" applyBorder="1"/>
    <xf numFmtId="1" fontId="117" fillId="0" borderId="0" xfId="0" applyNumberFormat="1" applyFont="1" applyFill="1"/>
    <xf numFmtId="0" fontId="117" fillId="0" borderId="0" xfId="0" applyFont="1" applyFill="1"/>
    <xf numFmtId="1" fontId="117" fillId="0" borderId="0" xfId="0" applyNumberFormat="1" applyFont="1" applyFill="1" applyAlignment="1">
      <alignment horizontal="right"/>
    </xf>
    <xf numFmtId="1" fontId="117" fillId="0" borderId="0" xfId="0" applyNumberFormat="1" applyFont="1" applyFill="1" applyAlignment="1">
      <alignment horizontal="center"/>
    </xf>
    <xf numFmtId="0" fontId="6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57" fillId="0" borderId="0" xfId="0" applyFont="1" applyFill="1" applyBorder="1"/>
    <xf numFmtId="0" fontId="30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right"/>
    </xf>
    <xf numFmtId="1" fontId="117" fillId="0" borderId="0" xfId="0" applyNumberFormat="1" applyFont="1" applyFill="1" applyBorder="1" applyAlignment="1">
      <alignment horizontal="right"/>
    </xf>
    <xf numFmtId="1" fontId="117" fillId="0" borderId="0" xfId="0" applyNumberFormat="1" applyFont="1" applyFill="1" applyBorder="1" applyAlignment="1">
      <alignment horizontal="left"/>
    </xf>
    <xf numFmtId="1" fontId="117" fillId="0" borderId="0" xfId="0" applyNumberFormat="1" applyFont="1" applyFill="1" applyBorder="1"/>
    <xf numFmtId="0" fontId="0" fillId="0" borderId="55" xfId="0" applyFill="1" applyBorder="1"/>
    <xf numFmtId="0" fontId="5" fillId="0" borderId="55" xfId="0" applyFont="1" applyFill="1" applyBorder="1"/>
    <xf numFmtId="0" fontId="33" fillId="0" borderId="1" xfId="0" applyFont="1" applyBorder="1"/>
    <xf numFmtId="0" fontId="106" fillId="0" borderId="1" xfId="0" applyFont="1" applyBorder="1"/>
    <xf numFmtId="0" fontId="5" fillId="0" borderId="52" xfId="0" applyFont="1" applyBorder="1"/>
    <xf numFmtId="0" fontId="5" fillId="0" borderId="52" xfId="0" applyFont="1" applyFill="1" applyBorder="1" applyAlignment="1">
      <alignment vertical="center" wrapText="1"/>
    </xf>
    <xf numFmtId="0" fontId="0" fillId="0" borderId="34" xfId="0" applyFill="1" applyBorder="1"/>
    <xf numFmtId="0" fontId="130" fillId="0" borderId="17" xfId="0" applyFont="1" applyFill="1" applyBorder="1"/>
    <xf numFmtId="1" fontId="12" fillId="0" borderId="0" xfId="0" applyNumberFormat="1" applyFont="1" applyFill="1" applyAlignment="1">
      <alignment vertical="center" wrapText="1"/>
    </xf>
    <xf numFmtId="0" fontId="0" fillId="0" borderId="6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44" fillId="0" borderId="17" xfId="0" applyFont="1" applyFill="1" applyBorder="1"/>
    <xf numFmtId="0" fontId="144" fillId="0" borderId="0" xfId="0" applyFont="1" applyFill="1"/>
    <xf numFmtId="0" fontId="13" fillId="0" borderId="17" xfId="0" applyFont="1" applyFill="1" applyBorder="1"/>
    <xf numFmtId="0" fontId="13" fillId="0" borderId="0" xfId="0" applyFont="1" applyFill="1"/>
    <xf numFmtId="0" fontId="5" fillId="0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28" borderId="49" xfId="1" applyFont="1" applyFill="1" applyBorder="1" applyAlignment="1" applyProtection="1">
      <alignment vertical="center" wrapText="1"/>
    </xf>
    <xf numFmtId="0" fontId="134" fillId="76" borderId="0" xfId="0" applyFont="1" applyFill="1" applyBorder="1" applyAlignment="1">
      <alignment vertical="center" wrapText="1"/>
    </xf>
    <xf numFmtId="0" fontId="5" fillId="0" borderId="56" xfId="0" applyFont="1" applyFill="1" applyBorder="1"/>
    <xf numFmtId="45" fontId="0" fillId="0" borderId="52" xfId="0" applyNumberFormat="1" applyFill="1" applyBorder="1" applyAlignment="1">
      <alignment horizontal="center" vertical="center"/>
    </xf>
    <xf numFmtId="0" fontId="117" fillId="0" borderId="0" xfId="0" applyFont="1" applyFill="1" applyAlignment="1">
      <alignment horizontal="right"/>
    </xf>
    <xf numFmtId="0" fontId="117" fillId="0" borderId="0" xfId="0" applyFont="1" applyFill="1" applyAlignment="1">
      <alignment horizontal="center"/>
    </xf>
    <xf numFmtId="0" fontId="8" fillId="28" borderId="1" xfId="0" applyFont="1" applyFill="1" applyBorder="1"/>
    <xf numFmtId="0" fontId="71" fillId="0" borderId="0" xfId="0" applyFont="1" applyFill="1" applyBorder="1"/>
    <xf numFmtId="10" fontId="5" fillId="0" borderId="0" xfId="0" applyNumberFormat="1" applyFont="1" applyFill="1" applyBorder="1"/>
    <xf numFmtId="9" fontId="5" fillId="0" borderId="0" xfId="0" applyNumberFormat="1" applyFont="1" applyFill="1" applyBorder="1"/>
    <xf numFmtId="0" fontId="5" fillId="0" borderId="55" xfId="0" applyFont="1" applyBorder="1"/>
    <xf numFmtId="0" fontId="0" fillId="0" borderId="0" xfId="0" applyAlignment="1"/>
    <xf numFmtId="45" fontId="5" fillId="0" borderId="0" xfId="0" applyNumberFormat="1" applyFont="1" applyAlignment="1"/>
    <xf numFmtId="0" fontId="5" fillId="0" borderId="0" xfId="0" applyFont="1" applyAlignment="1"/>
    <xf numFmtId="1" fontId="0" fillId="0" borderId="0" xfId="0" applyNumberFormat="1" applyAlignment="1"/>
    <xf numFmtId="45" fontId="0" fillId="0" borderId="0" xfId="0" applyNumberFormat="1" applyAlignment="1"/>
    <xf numFmtId="14" fontId="108" fillId="0" borderId="0" xfId="0" applyNumberFormat="1" applyFont="1" applyFill="1"/>
    <xf numFmtId="0" fontId="108" fillId="0" borderId="0" xfId="0" applyFont="1" applyFill="1"/>
    <xf numFmtId="0" fontId="115" fillId="22" borderId="0" xfId="0" applyFont="1" applyFill="1"/>
    <xf numFmtId="14" fontId="8" fillId="0" borderId="0" xfId="0" applyNumberFormat="1" applyFont="1"/>
    <xf numFmtId="0" fontId="115" fillId="24" borderId="0" xfId="0" applyFont="1" applyFill="1"/>
    <xf numFmtId="45" fontId="115" fillId="24" borderId="0" xfId="0" applyNumberFormat="1" applyFont="1" applyFill="1"/>
    <xf numFmtId="0" fontId="115" fillId="28" borderId="0" xfId="0" applyFont="1" applyFill="1"/>
    <xf numFmtId="45" fontId="115" fillId="28" borderId="0" xfId="0" applyNumberFormat="1" applyFont="1" applyFill="1"/>
    <xf numFmtId="0" fontId="115" fillId="30" borderId="0" xfId="0" applyFont="1" applyFill="1"/>
    <xf numFmtId="45" fontId="115" fillId="30" borderId="0" xfId="0" applyNumberFormat="1" applyFont="1" applyFill="1"/>
    <xf numFmtId="0" fontId="115" fillId="58" borderId="0" xfId="0" applyFont="1" applyFill="1"/>
    <xf numFmtId="45" fontId="115" fillId="58" borderId="0" xfId="0" applyNumberFormat="1" applyFont="1" applyFill="1"/>
    <xf numFmtId="0" fontId="115" fillId="55" borderId="0" xfId="0" applyFont="1" applyFill="1"/>
    <xf numFmtId="45" fontId="115" fillId="55" borderId="0" xfId="0" applyNumberFormat="1" applyFont="1" applyFill="1"/>
    <xf numFmtId="0" fontId="115" fillId="45" borderId="0" xfId="0" applyFont="1" applyFill="1"/>
    <xf numFmtId="45" fontId="115" fillId="45" borderId="0" xfId="0" applyNumberFormat="1" applyFont="1" applyFill="1"/>
    <xf numFmtId="45" fontId="115" fillId="0" borderId="0" xfId="0" applyNumberFormat="1" applyFont="1"/>
    <xf numFmtId="0" fontId="115" fillId="36" borderId="0" xfId="0" applyFont="1" applyFill="1"/>
    <xf numFmtId="0" fontId="115" fillId="70" borderId="0" xfId="0" applyFont="1" applyFill="1"/>
    <xf numFmtId="0" fontId="115" fillId="35" borderId="0" xfId="0" applyFont="1" applyFill="1"/>
    <xf numFmtId="0" fontId="115" fillId="64" borderId="0" xfId="0" applyFont="1" applyFill="1"/>
    <xf numFmtId="0" fontId="115" fillId="40" borderId="0" xfId="0" applyFont="1" applyFill="1"/>
    <xf numFmtId="0" fontId="115" fillId="62" borderId="0" xfId="0" applyFont="1" applyFill="1"/>
    <xf numFmtId="0" fontId="115" fillId="41" borderId="0" xfId="0" applyFont="1" applyFill="1"/>
    <xf numFmtId="0" fontId="115" fillId="66" borderId="0" xfId="0" applyFont="1" applyFill="1"/>
    <xf numFmtId="45" fontId="115" fillId="66" borderId="0" xfId="0" applyNumberFormat="1" applyFont="1" applyFill="1"/>
    <xf numFmtId="0" fontId="115" fillId="65" borderId="0" xfId="0" applyFont="1" applyFill="1"/>
    <xf numFmtId="45" fontId="115" fillId="65" borderId="0" xfId="0" applyNumberFormat="1" applyFont="1" applyFill="1"/>
    <xf numFmtId="45" fontId="115" fillId="36" borderId="0" xfId="0" applyNumberFormat="1" applyFont="1" applyFill="1"/>
    <xf numFmtId="0" fontId="115" fillId="52" borderId="0" xfId="0" applyFont="1" applyFill="1"/>
    <xf numFmtId="46" fontId="134" fillId="0" borderId="0" xfId="0" applyNumberFormat="1" applyFont="1" applyFill="1" applyAlignment="1">
      <alignment vertical="center" wrapText="1"/>
    </xf>
    <xf numFmtId="171" fontId="8" fillId="0" borderId="0" xfId="0" applyNumberFormat="1" applyFont="1" applyFill="1"/>
    <xf numFmtId="0" fontId="30" fillId="46" borderId="0" xfId="0" applyFont="1" applyFill="1" applyAlignment="1">
      <alignment horizontal="right"/>
    </xf>
    <xf numFmtId="0" fontId="5" fillId="0" borderId="34" xfId="0" applyFont="1" applyFill="1" applyBorder="1" applyAlignment="1">
      <alignment horizontal="right"/>
    </xf>
    <xf numFmtId="0" fontId="66" fillId="0" borderId="14" xfId="0" applyFont="1" applyBorder="1"/>
    <xf numFmtId="45" fontId="0" fillId="0" borderId="0" xfId="0" applyNumberFormat="1" applyFill="1" applyBorder="1" applyAlignment="1">
      <alignment horizontal="center" vertical="center"/>
    </xf>
    <xf numFmtId="10" fontId="0" fillId="0" borderId="0" xfId="0" applyNumberFormat="1" applyFill="1" applyBorder="1"/>
    <xf numFmtId="45" fontId="5" fillId="0" borderId="0" xfId="0" applyNumberFormat="1" applyFont="1" applyFill="1" applyBorder="1"/>
    <xf numFmtId="10" fontId="5" fillId="0" borderId="0" xfId="0" applyNumberFormat="1" applyFont="1" applyBorder="1" applyAlignment="1">
      <alignment vertical="center" wrapText="1"/>
    </xf>
    <xf numFmtId="9" fontId="5" fillId="0" borderId="0" xfId="0" applyNumberFormat="1" applyFont="1" applyBorder="1"/>
    <xf numFmtId="0" fontId="115" fillId="0" borderId="0" xfId="0" applyFont="1" applyFill="1" applyBorder="1"/>
    <xf numFmtId="45" fontId="115" fillId="0" borderId="0" xfId="0" applyNumberFormat="1" applyFont="1" applyFill="1" applyBorder="1"/>
    <xf numFmtId="0" fontId="0" fillId="0" borderId="20" xfId="0" applyFill="1" applyBorder="1"/>
    <xf numFmtId="45" fontId="0" fillId="30" borderId="0" xfId="0" applyNumberFormat="1" applyFill="1"/>
    <xf numFmtId="0" fontId="5" fillId="30" borderId="0" xfId="0" applyFont="1" applyFill="1" applyAlignment="1">
      <alignment horizontal="left"/>
    </xf>
    <xf numFmtId="0" fontId="7" fillId="0" borderId="0" xfId="0" applyFont="1"/>
    <xf numFmtId="46" fontId="12" fillId="0" borderId="0" xfId="0" applyNumberFormat="1" applyFont="1" applyBorder="1" applyAlignment="1">
      <alignment vertical="center" wrapText="1"/>
    </xf>
    <xf numFmtId="46" fontId="134" fillId="0" borderId="0" xfId="0" applyNumberFormat="1" applyFont="1" applyBorder="1" applyAlignment="1">
      <alignment vertical="center" wrapText="1"/>
    </xf>
    <xf numFmtId="0" fontId="11" fillId="0" borderId="0" xfId="0" applyFont="1" applyFill="1" applyBorder="1"/>
    <xf numFmtId="0" fontId="11" fillId="0" borderId="0" xfId="0" applyFont="1" applyFill="1" applyBorder="1" applyAlignment="1">
      <alignment vertical="center" wrapText="1"/>
    </xf>
    <xf numFmtId="3" fontId="11" fillId="0" borderId="0" xfId="0" applyNumberFormat="1" applyFont="1" applyFill="1" applyBorder="1" applyAlignment="1">
      <alignment vertical="center" wrapText="1"/>
    </xf>
    <xf numFmtId="15" fontId="8" fillId="0" borderId="0" xfId="0" applyNumberFormat="1" applyFont="1"/>
    <xf numFmtId="15" fontId="12" fillId="0" borderId="0" xfId="0" applyNumberFormat="1" applyFont="1"/>
    <xf numFmtId="0" fontId="0" fillId="0" borderId="0" xfId="0" applyFont="1" applyFill="1" applyBorder="1"/>
    <xf numFmtId="0" fontId="116" fillId="0" borderId="0" xfId="0" applyFont="1" applyFill="1" applyAlignment="1">
      <alignment horizontal="center"/>
    </xf>
    <xf numFmtId="0" fontId="41" fillId="22" borderId="0" xfId="0" applyFont="1" applyFill="1"/>
    <xf numFmtId="0" fontId="11" fillId="40" borderId="0" xfId="0" applyFont="1" applyFill="1" applyAlignment="1">
      <alignment horizontal="left"/>
    </xf>
    <xf numFmtId="0" fontId="115" fillId="0" borderId="1" xfId="0" applyFont="1" applyBorder="1"/>
    <xf numFmtId="0" fontId="149" fillId="0" borderId="58" xfId="0" applyFont="1" applyBorder="1"/>
    <xf numFmtId="0" fontId="69" fillId="0" borderId="0" xfId="0" applyFont="1" applyFill="1"/>
    <xf numFmtId="1" fontId="69" fillId="0" borderId="0" xfId="0" applyNumberFormat="1" applyFont="1" applyFill="1"/>
    <xf numFmtId="1" fontId="0" fillId="36" borderId="0" xfId="0" applyNumberFormat="1" applyFill="1"/>
    <xf numFmtId="0" fontId="91" fillId="36" borderId="0" xfId="0" applyFont="1" applyFill="1"/>
    <xf numFmtId="0" fontId="7" fillId="0" borderId="0" xfId="0" applyFont="1"/>
    <xf numFmtId="0" fontId="7" fillId="0" borderId="0" xfId="0" applyFont="1"/>
    <xf numFmtId="0" fontId="5" fillId="46" borderId="14" xfId="0" applyFont="1" applyFill="1" applyBorder="1"/>
    <xf numFmtId="0" fontId="0" fillId="46" borderId="14" xfId="0" applyFill="1" applyBorder="1"/>
    <xf numFmtId="177" fontId="6" fillId="0" borderId="0" xfId="0" applyNumberFormat="1" applyFont="1"/>
    <xf numFmtId="0" fontId="149" fillId="0" borderId="58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30" fillId="0" borderId="0" xfId="0" applyFont="1" applyBorder="1" applyAlignment="1">
      <alignment horizontal="center"/>
    </xf>
    <xf numFmtId="0" fontId="7" fillId="0" borderId="0" xfId="0" applyFont="1"/>
    <xf numFmtId="0" fontId="5" fillId="0" borderId="50" xfId="1" applyFont="1" applyFill="1" applyBorder="1" applyAlignment="1" applyProtection="1">
      <alignment vertical="center" wrapText="1"/>
    </xf>
    <xf numFmtId="0" fontId="0" fillId="0" borderId="7" xfId="0" applyFill="1" applyBorder="1" applyAlignment="1">
      <alignment horizontal="center"/>
    </xf>
    <xf numFmtId="0" fontId="0" fillId="0" borderId="0" xfId="0" applyFont="1" applyFill="1"/>
    <xf numFmtId="0" fontId="5" fillId="0" borderId="27" xfId="0" applyFont="1" applyFill="1" applyBorder="1"/>
    <xf numFmtId="170" fontId="0" fillId="40" borderId="0" xfId="0" applyNumberFormat="1" applyFill="1"/>
    <xf numFmtId="0" fontId="12" fillId="34" borderId="35" xfId="0" applyFont="1" applyFill="1" applyBorder="1" applyAlignment="1">
      <alignment horizontal="center"/>
    </xf>
    <xf numFmtId="0" fontId="32" fillId="0" borderId="14" xfId="0" applyFont="1" applyBorder="1"/>
    <xf numFmtId="0" fontId="32" fillId="35" borderId="14" xfId="0" applyFont="1" applyFill="1" applyBorder="1"/>
    <xf numFmtId="1" fontId="89" fillId="0" borderId="0" xfId="0" applyNumberFormat="1" applyFont="1" applyFill="1"/>
    <xf numFmtId="0" fontId="6" fillId="0" borderId="17" xfId="0" applyFont="1" applyFill="1" applyBorder="1"/>
    <xf numFmtId="0" fontId="11" fillId="0" borderId="17" xfId="0" applyFont="1" applyFill="1" applyBorder="1"/>
    <xf numFmtId="1" fontId="13" fillId="0" borderId="0" xfId="0" applyNumberFormat="1" applyFont="1" applyFill="1"/>
    <xf numFmtId="0" fontId="83" fillId="0" borderId="17" xfId="0" applyFont="1" applyFill="1" applyBorder="1"/>
    <xf numFmtId="0" fontId="84" fillId="0" borderId="0" xfId="0" applyFont="1" applyFill="1"/>
    <xf numFmtId="0" fontId="88" fillId="0" borderId="0" xfId="0" applyFont="1" applyFill="1"/>
    <xf numFmtId="14" fontId="0" fillId="0" borderId="0" xfId="0" applyNumberFormat="1" applyProtection="1">
      <protection locked="0"/>
    </xf>
    <xf numFmtId="45" fontId="0" fillId="0" borderId="0" xfId="0" applyNumberFormat="1" applyAlignment="1" applyProtection="1">
      <alignment horizontal="center" vertical="center"/>
      <protection locked="0"/>
    </xf>
    <xf numFmtId="1" fontId="6" fillId="0" borderId="1" xfId="0" applyNumberFormat="1" applyFont="1" applyBorder="1"/>
    <xf numFmtId="0" fontId="30" fillId="30" borderId="0" xfId="0" applyFont="1" applyFill="1"/>
    <xf numFmtId="0" fontId="7" fillId="0" borderId="0" xfId="0" applyFont="1"/>
    <xf numFmtId="0" fontId="5" fillId="28" borderId="1" xfId="0" applyFont="1" applyFill="1" applyBorder="1" applyAlignment="1">
      <alignment horizontal="left"/>
    </xf>
    <xf numFmtId="0" fontId="8" fillId="30" borderId="0" xfId="0" applyFont="1" applyFill="1"/>
    <xf numFmtId="0" fontId="31" fillId="0" borderId="1" xfId="0" applyFont="1" applyFill="1" applyBorder="1" applyAlignment="1">
      <alignment horizontal="center"/>
    </xf>
    <xf numFmtId="0" fontId="7" fillId="0" borderId="0" xfId="0" applyFont="1"/>
    <xf numFmtId="14" fontId="12" fillId="0" borderId="0" xfId="0" applyNumberFormat="1" applyFont="1" applyFill="1"/>
    <xf numFmtId="15" fontId="12" fillId="0" borderId="0" xfId="0" applyNumberFormat="1" applyFont="1" applyFill="1"/>
    <xf numFmtId="45" fontId="5" fillId="44" borderId="0" xfId="1" applyNumberFormat="1" applyFont="1" applyFill="1" applyAlignment="1" applyProtection="1"/>
    <xf numFmtId="0" fontId="5" fillId="0" borderId="0" xfId="1" applyFont="1" applyFill="1" applyAlignment="1" applyProtection="1">
      <alignment vertical="center" wrapText="1"/>
    </xf>
    <xf numFmtId="45" fontId="5" fillId="0" borderId="0" xfId="0" applyNumberFormat="1" applyFont="1" applyFill="1" applyBorder="1" applyAlignment="1">
      <alignment horizontal="center" vertical="center"/>
    </xf>
    <xf numFmtId="0" fontId="122" fillId="0" borderId="0" xfId="0" applyFont="1" applyFill="1"/>
    <xf numFmtId="0" fontId="115" fillId="0" borderId="3" xfId="0" applyFont="1" applyFill="1" applyBorder="1"/>
    <xf numFmtId="0" fontId="32" fillId="0" borderId="1" xfId="0" applyFont="1" applyFill="1" applyBorder="1" applyAlignment="1">
      <alignment horizontal="center"/>
    </xf>
    <xf numFmtId="0" fontId="0" fillId="0" borderId="36" xfId="0" applyFill="1" applyBorder="1"/>
    <xf numFmtId="0" fontId="71" fillId="0" borderId="20" xfId="0" applyFont="1" applyFill="1" applyBorder="1"/>
    <xf numFmtId="0" fontId="7" fillId="0" borderId="14" xfId="0" applyFont="1" applyFill="1" applyBorder="1"/>
    <xf numFmtId="0" fontId="70" fillId="0" borderId="1" xfId="0" applyFont="1" applyFill="1" applyBorder="1" applyAlignment="1">
      <alignment horizontal="center"/>
    </xf>
    <xf numFmtId="0" fontId="116" fillId="0" borderId="1" xfId="0" applyFont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116" fillId="0" borderId="0" xfId="0" applyFont="1" applyFill="1" applyAlignment="1">
      <alignment horizontal="right"/>
    </xf>
    <xf numFmtId="0" fontId="12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quotePrefix="1" applyFont="1" applyFill="1" applyBorder="1" applyAlignment="1">
      <alignment horizontal="center"/>
    </xf>
    <xf numFmtId="0" fontId="12" fillId="28" borderId="1" xfId="0" quotePrefix="1" applyFont="1" applyFill="1" applyBorder="1" applyAlignment="1">
      <alignment horizontal="center"/>
    </xf>
    <xf numFmtId="1" fontId="0" fillId="69" borderId="50" xfId="0" applyNumberFormat="1" applyFill="1" applyBorder="1"/>
    <xf numFmtId="14" fontId="5" fillId="69" borderId="0" xfId="0" applyNumberFormat="1" applyFont="1" applyFill="1"/>
    <xf numFmtId="1" fontId="5" fillId="69" borderId="50" xfId="0" applyNumberFormat="1" applyFont="1" applyFill="1" applyBorder="1"/>
    <xf numFmtId="0" fontId="5" fillId="69" borderId="50" xfId="1" applyFont="1" applyFill="1" applyBorder="1" applyAlignment="1" applyProtection="1">
      <alignment vertical="center" wrapText="1"/>
    </xf>
    <xf numFmtId="0" fontId="7" fillId="0" borderId="0" xfId="0" applyFont="1"/>
    <xf numFmtId="0" fontId="5" fillId="0" borderId="0" xfId="0" applyFont="1" applyProtection="1">
      <protection locked="0"/>
    </xf>
    <xf numFmtId="0" fontId="11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30" fillId="46" borderId="0" xfId="0" applyFont="1" applyFill="1" applyBorder="1"/>
    <xf numFmtId="0" fontId="30" fillId="28" borderId="0" xfId="0" applyFont="1" applyFill="1" applyBorder="1"/>
    <xf numFmtId="0" fontId="118" fillId="0" borderId="1" xfId="0" applyFont="1" applyFill="1" applyBorder="1" applyAlignment="1">
      <alignment horizontal="center"/>
    </xf>
    <xf numFmtId="45" fontId="38" fillId="0" borderId="0" xfId="0" applyNumberFormat="1" applyFont="1" applyFill="1"/>
    <xf numFmtId="0" fontId="0" fillId="51" borderId="0" xfId="0" applyFill="1"/>
    <xf numFmtId="0" fontId="39" fillId="28" borderId="0" xfId="0" applyFont="1" applyFill="1"/>
    <xf numFmtId="0" fontId="5" fillId="0" borderId="52" xfId="0" applyFont="1" applyFill="1" applyBorder="1" applyAlignment="1">
      <alignment horizontal="left"/>
    </xf>
    <xf numFmtId="0" fontId="7" fillId="0" borderId="0" xfId="0" applyFont="1"/>
    <xf numFmtId="0" fontId="32" fillId="0" borderId="14" xfId="0" applyFont="1" applyFill="1" applyBorder="1"/>
    <xf numFmtId="0" fontId="12" fillId="34" borderId="6" xfId="0" applyFont="1" applyFill="1" applyBorder="1" applyAlignment="1">
      <alignment horizontal="center"/>
    </xf>
    <xf numFmtId="0" fontId="82" fillId="79" borderId="0" xfId="0" applyFont="1" applyFill="1" applyBorder="1" applyAlignment="1">
      <alignment vertical="center" wrapText="1"/>
    </xf>
    <xf numFmtId="0" fontId="0" fillId="4" borderId="0" xfId="0" applyFont="1" applyFill="1"/>
    <xf numFmtId="0" fontId="74" fillId="0" borderId="0" xfId="3" applyFont="1" applyFill="1" applyBorder="1" applyProtection="1"/>
    <xf numFmtId="0" fontId="74" fillId="0" borderId="0" xfId="3" applyNumberFormat="1" applyFont="1" applyFill="1" applyBorder="1" applyProtection="1"/>
    <xf numFmtId="45" fontId="74" fillId="0" borderId="0" xfId="3" applyNumberFormat="1" applyFont="1" applyFill="1" applyAlignment="1" applyProtection="1">
      <alignment horizontal="center" vertical="center"/>
      <protection locked="0"/>
    </xf>
    <xf numFmtId="0" fontId="74" fillId="0" borderId="0" xfId="3" applyFont="1" applyFill="1" applyProtection="1"/>
    <xf numFmtId="45" fontId="82" fillId="0" borderId="0" xfId="0" applyNumberFormat="1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vertical="center" wrapText="1"/>
    </xf>
    <xf numFmtId="14" fontId="5" fillId="0" borderId="0" xfId="0" applyNumberFormat="1" applyFont="1" applyProtection="1">
      <protection locked="0"/>
    </xf>
    <xf numFmtId="45" fontId="5" fillId="0" borderId="0" xfId="0" applyNumberFormat="1" applyFont="1" applyAlignment="1" applyProtection="1">
      <alignment horizontal="center" vertical="center"/>
      <protection locked="0"/>
    </xf>
    <xf numFmtId="45" fontId="5" fillId="0" borderId="0" xfId="0" applyNumberFormat="1" applyFont="1" applyFill="1" applyAlignment="1" applyProtection="1">
      <alignment horizontal="center" vertical="center"/>
      <protection locked="0"/>
    </xf>
    <xf numFmtId="45" fontId="5" fillId="0" borderId="0" xfId="0" applyNumberFormat="1" applyFont="1" applyBorder="1" applyAlignment="1" applyProtection="1">
      <alignment horizontal="center" vertical="center"/>
      <protection locked="0"/>
    </xf>
    <xf numFmtId="45" fontId="5" fillId="0" borderId="0" xfId="0" applyNumberFormat="1" applyFont="1" applyFill="1" applyBorder="1" applyAlignment="1">
      <alignment horizontal="center"/>
    </xf>
    <xf numFmtId="45" fontId="5" fillId="0" borderId="52" xfId="0" applyNumberFormat="1" applyFont="1" applyFill="1" applyBorder="1" applyAlignment="1">
      <alignment horizontal="center" vertical="center"/>
    </xf>
    <xf numFmtId="45" fontId="5" fillId="0" borderId="52" xfId="0" applyNumberFormat="1" applyFont="1" applyFill="1" applyBorder="1" applyAlignment="1" applyProtection="1">
      <alignment horizontal="center" vertical="center"/>
      <protection locked="0"/>
    </xf>
    <xf numFmtId="45" fontId="5" fillId="0" borderId="52" xfId="0" applyNumberFormat="1" applyFont="1" applyBorder="1" applyAlignment="1" applyProtection="1">
      <alignment horizontal="center" vertical="center"/>
      <protection locked="0"/>
    </xf>
    <xf numFmtId="45" fontId="5" fillId="0" borderId="0" xfId="0" applyNumberFormat="1" applyFont="1" applyFill="1" applyBorder="1" applyAlignment="1" applyProtection="1">
      <alignment horizontal="center" vertical="center"/>
      <protection locked="0"/>
    </xf>
    <xf numFmtId="45" fontId="74" fillId="0" borderId="52" xfId="3" applyNumberFormat="1" applyFont="1" applyFill="1" applyBorder="1" applyAlignment="1" applyProtection="1">
      <alignment horizontal="center" vertical="center"/>
      <protection locked="0"/>
    </xf>
    <xf numFmtId="45" fontId="82" fillId="0" borderId="52" xfId="0" applyNumberFormat="1" applyFont="1" applyFill="1" applyBorder="1" applyAlignment="1">
      <alignment horizontal="center" vertical="center" wrapText="1"/>
    </xf>
    <xf numFmtId="0" fontId="74" fillId="0" borderId="52" xfId="3" applyFont="1" applyFill="1" applyBorder="1" applyProtection="1"/>
    <xf numFmtId="0" fontId="82" fillId="0" borderId="52" xfId="0" applyFont="1" applyFill="1" applyBorder="1" applyAlignment="1">
      <alignment vertical="center" wrapText="1"/>
    </xf>
    <xf numFmtId="0" fontId="74" fillId="0" borderId="55" xfId="3" applyFont="1" applyFill="1" applyBorder="1" applyProtection="1"/>
    <xf numFmtId="166" fontId="6" fillId="28" borderId="0" xfId="0" applyNumberFormat="1" applyFont="1" applyFill="1"/>
    <xf numFmtId="45" fontId="74" fillId="0" borderId="0" xfId="3" applyNumberFormat="1" applyFont="1" applyFill="1" applyBorder="1" applyAlignment="1" applyProtection="1">
      <alignment horizontal="center" vertical="center"/>
      <protection locked="0"/>
    </xf>
    <xf numFmtId="45" fontId="0" fillId="0" borderId="52" xfId="0" applyNumberFormat="1" applyBorder="1" applyAlignment="1" applyProtection="1">
      <alignment horizontal="center" vertical="center"/>
      <protection locked="0"/>
    </xf>
    <xf numFmtId="10" fontId="0" fillId="0" borderId="52" xfId="0" applyNumberFormat="1" applyBorder="1"/>
    <xf numFmtId="0" fontId="0" fillId="0" borderId="52" xfId="0" applyBorder="1"/>
    <xf numFmtId="0" fontId="66" fillId="0" borderId="0" xfId="0" applyFont="1" applyFill="1" applyAlignment="1">
      <alignment horizontal="center"/>
    </xf>
    <xf numFmtId="0" fontId="67" fillId="0" borderId="0" xfId="0" applyFont="1" applyFill="1" applyAlignment="1">
      <alignment horizontal="center"/>
    </xf>
    <xf numFmtId="14" fontId="5" fillId="0" borderId="0" xfId="0" applyNumberFormat="1" applyFont="1" applyBorder="1"/>
    <xf numFmtId="14" fontId="0" fillId="0" borderId="0" xfId="0" applyNumberFormat="1" applyBorder="1" applyProtection="1">
      <protection locked="0"/>
    </xf>
    <xf numFmtId="0" fontId="0" fillId="0" borderId="52" xfId="0" applyFill="1" applyBorder="1"/>
    <xf numFmtId="45" fontId="5" fillId="0" borderId="0" xfId="0" applyNumberFormat="1" applyFont="1" applyBorder="1" applyAlignment="1">
      <alignment horizontal="center"/>
    </xf>
    <xf numFmtId="45" fontId="0" fillId="0" borderId="0" xfId="0" applyNumberFormat="1" applyBorder="1" applyAlignment="1" applyProtection="1">
      <alignment horizontal="center" vertical="center"/>
      <protection locked="0"/>
    </xf>
    <xf numFmtId="10" fontId="0" fillId="0" borderId="0" xfId="0" applyNumberFormat="1" applyBorder="1"/>
    <xf numFmtId="1" fontId="5" fillId="0" borderId="0" xfId="0" applyNumberFormat="1" applyFont="1" applyFill="1" applyBorder="1"/>
    <xf numFmtId="0" fontId="12" fillId="28" borderId="1" xfId="0" applyFont="1" applyFill="1" applyBorder="1" applyAlignment="1"/>
    <xf numFmtId="0" fontId="31" fillId="34" borderId="1" xfId="0" applyFont="1" applyFill="1" applyBorder="1" applyAlignment="1">
      <alignment horizontal="center"/>
    </xf>
    <xf numFmtId="14" fontId="151" fillId="0" borderId="0" xfId="0" applyNumberFormat="1" applyFont="1"/>
    <xf numFmtId="45" fontId="41" fillId="0" borderId="0" xfId="0" applyNumberFormat="1" applyFont="1" applyFill="1"/>
    <xf numFmtId="0" fontId="5" fillId="0" borderId="55" xfId="0" applyFont="1" applyFill="1" applyBorder="1" applyAlignment="1">
      <alignment horizontal="left"/>
    </xf>
    <xf numFmtId="0" fontId="0" fillId="0" borderId="55" xfId="0" applyBorder="1"/>
    <xf numFmtId="0" fontId="130" fillId="0" borderId="0" xfId="0" applyFont="1" applyFill="1" applyAlignment="1">
      <alignment horizontal="left"/>
    </xf>
    <xf numFmtId="14" fontId="108" fillId="68" borderId="0" xfId="0" applyNumberFormat="1" applyFont="1" applyFill="1"/>
    <xf numFmtId="14" fontId="5" fillId="0" borderId="0" xfId="0" applyNumberFormat="1" applyFont="1" applyBorder="1" applyProtection="1">
      <protection locked="0"/>
    </xf>
    <xf numFmtId="14" fontId="6" fillId="0" borderId="0" xfId="0" applyNumberFormat="1" applyFont="1" applyProtection="1">
      <protection locked="0"/>
    </xf>
    <xf numFmtId="0" fontId="5" fillId="34" borderId="43" xfId="0" applyFont="1" applyFill="1" applyBorder="1"/>
    <xf numFmtId="0" fontId="5" fillId="2" borderId="5" xfId="0" applyFont="1" applyFill="1" applyBorder="1"/>
    <xf numFmtId="0" fontId="5" fillId="28" borderId="5" xfId="0" applyFont="1" applyFill="1" applyBorder="1"/>
    <xf numFmtId="1" fontId="0" fillId="0" borderId="5" xfId="0" applyNumberFormat="1" applyBorder="1"/>
    <xf numFmtId="45" fontId="6" fillId="0" borderId="5" xfId="0" applyNumberFormat="1" applyFont="1" applyBorder="1" applyAlignment="1">
      <alignment horizontal="center"/>
    </xf>
    <xf numFmtId="0" fontId="7" fillId="0" borderId="0" xfId="0" applyFont="1"/>
    <xf numFmtId="0" fontId="5" fillId="0" borderId="53" xfId="0" applyFont="1" applyBorder="1"/>
    <xf numFmtId="45" fontId="0" fillId="0" borderId="0" xfId="0" applyNumberFormat="1" applyBorder="1" applyAlignment="1">
      <alignment horizontal="center"/>
    </xf>
    <xf numFmtId="14" fontId="6" fillId="0" borderId="0" xfId="0" applyNumberFormat="1" applyFont="1" applyFill="1"/>
    <xf numFmtId="0" fontId="12" fillId="0" borderId="7" xfId="0" applyFont="1" applyFill="1" applyBorder="1"/>
    <xf numFmtId="45" fontId="0" fillId="0" borderId="0" xfId="0" applyNumberFormat="1" applyFill="1" applyAlignment="1" applyProtection="1">
      <alignment horizontal="center" vertical="center"/>
      <protection locked="0"/>
    </xf>
    <xf numFmtId="45" fontId="0" fillId="0" borderId="52" xfId="0" applyNumberFormat="1" applyFill="1" applyBorder="1" applyAlignment="1" applyProtection="1">
      <alignment horizontal="center" vertical="center"/>
      <protection locked="0"/>
    </xf>
    <xf numFmtId="0" fontId="116" fillId="2" borderId="0" xfId="0" applyFont="1" applyFill="1"/>
    <xf numFmtId="0" fontId="70" fillId="2" borderId="47" xfId="0" applyFont="1" applyFill="1" applyBorder="1" applyAlignment="1">
      <alignment horizontal="center"/>
    </xf>
    <xf numFmtId="0" fontId="71" fillId="0" borderId="1" xfId="0" applyFont="1" applyBorder="1" applyAlignment="1">
      <alignment horizontal="right"/>
    </xf>
    <xf numFmtId="0" fontId="152" fillId="35" borderId="1" xfId="0" applyFont="1" applyFill="1" applyBorder="1"/>
    <xf numFmtId="0" fontId="152" fillId="0" borderId="0" xfId="0" applyFont="1" applyAlignment="1">
      <alignment horizontal="left"/>
    </xf>
    <xf numFmtId="0" fontId="5" fillId="0" borderId="57" xfId="0" applyFont="1" applyBorder="1"/>
    <xf numFmtId="45" fontId="5" fillId="0" borderId="0" xfId="0" applyNumberFormat="1" applyFont="1" applyAlignment="1">
      <alignment horizontal="center" wrapText="1"/>
    </xf>
    <xf numFmtId="45" fontId="0" fillId="0" borderId="0" xfId="0" applyNumberFormat="1" applyFill="1" applyBorder="1" applyAlignment="1">
      <alignment horizontal="center"/>
    </xf>
    <xf numFmtId="45" fontId="0" fillId="0" borderId="0" xfId="0" applyNumberFormat="1" applyAlignment="1" applyProtection="1">
      <alignment horizontal="center"/>
      <protection locked="0"/>
    </xf>
    <xf numFmtId="45" fontId="0" fillId="0" borderId="52" xfId="0" applyNumberFormat="1" applyBorder="1" applyAlignment="1" applyProtection="1">
      <alignment horizontal="center"/>
      <protection locked="0"/>
    </xf>
    <xf numFmtId="45" fontId="0" fillId="0" borderId="52" xfId="0" applyNumberFormat="1" applyFill="1" applyBorder="1" applyAlignment="1">
      <alignment horizontal="center"/>
    </xf>
    <xf numFmtId="45" fontId="5" fillId="0" borderId="52" xfId="0" applyNumberFormat="1" applyFont="1" applyFill="1" applyBorder="1" applyAlignment="1">
      <alignment horizontal="center"/>
    </xf>
    <xf numFmtId="45" fontId="0" fillId="0" borderId="0" xfId="0" applyNumberFormat="1" applyBorder="1" applyAlignment="1" applyProtection="1">
      <alignment horizontal="center"/>
      <protection locked="0"/>
    </xf>
    <xf numFmtId="45" fontId="5" fillId="0" borderId="0" xfId="0" applyNumberFormat="1" applyFont="1" applyBorder="1" applyAlignment="1">
      <alignment horizontal="center" wrapText="1"/>
    </xf>
    <xf numFmtId="0" fontId="0" fillId="0" borderId="0" xfId="0" applyBorder="1" applyAlignment="1">
      <alignment vertical="center" wrapText="1"/>
    </xf>
    <xf numFmtId="1" fontId="10" fillId="80" borderId="0" xfId="0" applyNumberFormat="1" applyFont="1" applyFill="1" applyAlignment="1">
      <alignment horizontal="center"/>
    </xf>
    <xf numFmtId="0" fontId="7" fillId="0" borderId="0" xfId="0" applyFont="1"/>
    <xf numFmtId="0" fontId="30" fillId="22" borderId="1" xfId="0" applyFont="1" applyFill="1" applyBorder="1" applyAlignment="1">
      <alignment horizontal="center"/>
    </xf>
    <xf numFmtId="0" fontId="153" fillId="23" borderId="0" xfId="0" applyFont="1" applyFill="1" applyAlignment="1">
      <alignment horizontal="center"/>
    </xf>
    <xf numFmtId="0" fontId="30" fillId="46" borderId="0" xfId="0" applyFont="1" applyFill="1" applyBorder="1" applyAlignment="1">
      <alignment horizontal="center"/>
    </xf>
    <xf numFmtId="0" fontId="116" fillId="46" borderId="0" xfId="0" applyFont="1" applyFill="1" applyBorder="1" applyAlignment="1">
      <alignment horizontal="center"/>
    </xf>
    <xf numFmtId="0" fontId="30" fillId="28" borderId="0" xfId="0" applyFont="1" applyFill="1" applyBorder="1" applyAlignment="1">
      <alignment horizontal="center"/>
    </xf>
    <xf numFmtId="0" fontId="116" fillId="28" borderId="0" xfId="0" applyFont="1" applyFill="1" applyBorder="1" applyAlignment="1">
      <alignment horizontal="center"/>
    </xf>
    <xf numFmtId="0" fontId="5" fillId="46" borderId="1" xfId="0" applyFont="1" applyFill="1" applyBorder="1" applyAlignment="1">
      <alignment horizontal="center"/>
    </xf>
    <xf numFmtId="0" fontId="71" fillId="46" borderId="1" xfId="0" applyFont="1" applyFill="1" applyBorder="1" applyAlignment="1">
      <alignment horizontal="center"/>
    </xf>
    <xf numFmtId="0" fontId="16" fillId="0" borderId="0" xfId="0" applyFont="1" applyFill="1" applyBorder="1"/>
    <xf numFmtId="45" fontId="0" fillId="0" borderId="0" xfId="0" applyNumberFormat="1" applyFill="1" applyBorder="1" applyAlignment="1" applyProtection="1">
      <alignment horizontal="center" vertical="center"/>
      <protection locked="0"/>
    </xf>
    <xf numFmtId="0" fontId="6" fillId="0" borderId="0" xfId="0" applyFont="1" applyBorder="1"/>
    <xf numFmtId="0" fontId="154" fillId="0" borderId="0" xfId="0" applyFont="1" applyFill="1" applyBorder="1"/>
    <xf numFmtId="0" fontId="5" fillId="0" borderId="59" xfId="0" applyFont="1" applyFill="1" applyBorder="1"/>
    <xf numFmtId="0" fontId="5" fillId="0" borderId="59" xfId="0" applyFont="1" applyBorder="1"/>
    <xf numFmtId="0" fontId="105" fillId="0" borderId="0" xfId="0" applyFont="1" applyFill="1" applyBorder="1"/>
    <xf numFmtId="0" fontId="5" fillId="0" borderId="0" xfId="0" applyFont="1" applyBorder="1" applyAlignment="1">
      <alignment horizontal="left"/>
    </xf>
    <xf numFmtId="0" fontId="115" fillId="0" borderId="53" xfId="0" applyFont="1" applyFill="1" applyBorder="1"/>
    <xf numFmtId="0" fontId="5" fillId="0" borderId="56" xfId="0" applyFont="1" applyBorder="1"/>
    <xf numFmtId="9" fontId="5" fillId="0" borderId="0" xfId="0" applyNumberFormat="1" applyFont="1" applyFill="1" applyAlignment="1">
      <alignment horizontal="center" vertical="center" wrapText="1"/>
    </xf>
    <xf numFmtId="9" fontId="5" fillId="0" borderId="0" xfId="0" applyNumberFormat="1" applyFont="1" applyFill="1" applyBorder="1" applyAlignment="1">
      <alignment horizontal="center"/>
    </xf>
    <xf numFmtId="9" fontId="5" fillId="0" borderId="0" xfId="0" applyNumberFormat="1" applyFont="1" applyFill="1" applyAlignment="1">
      <alignment horizontal="center"/>
    </xf>
    <xf numFmtId="9" fontId="0" fillId="0" borderId="0" xfId="0" applyNumberFormat="1" applyFill="1" applyBorder="1" applyAlignment="1">
      <alignment horizontal="center"/>
    </xf>
    <xf numFmtId="9" fontId="5" fillId="0" borderId="0" xfId="0" applyNumberFormat="1" applyFont="1" applyBorder="1" applyAlignment="1">
      <alignment horizontal="center" vertical="center" wrapText="1"/>
    </xf>
    <xf numFmtId="9" fontId="5" fillId="0" borderId="0" xfId="0" applyNumberFormat="1" applyFont="1" applyFill="1" applyBorder="1" applyAlignment="1">
      <alignment horizontal="center" vertical="center" wrapText="1"/>
    </xf>
    <xf numFmtId="9" fontId="74" fillId="0" borderId="0" xfId="3" applyNumberFormat="1" applyFont="1" applyFill="1" applyBorder="1" applyAlignment="1" applyProtection="1">
      <alignment horizontal="center"/>
    </xf>
    <xf numFmtId="9" fontId="82" fillId="0" borderId="0" xfId="0" applyNumberFormat="1" applyFont="1" applyFill="1" applyBorder="1" applyAlignment="1">
      <alignment horizontal="center" vertical="center" wrapText="1"/>
    </xf>
    <xf numFmtId="9" fontId="5" fillId="0" borderId="0" xfId="0" applyNumberFormat="1" applyFont="1" applyBorder="1" applyAlignment="1">
      <alignment horizontal="center"/>
    </xf>
    <xf numFmtId="9" fontId="5" fillId="0" borderId="0" xfId="0" applyNumberFormat="1" applyFont="1" applyAlignment="1">
      <alignment horizontal="center" vertical="center" wrapText="1"/>
    </xf>
    <xf numFmtId="9" fontId="74" fillId="0" borderId="0" xfId="3" applyNumberFormat="1" applyFont="1" applyFill="1" applyAlignment="1" applyProtection="1">
      <alignment horizontal="center"/>
    </xf>
    <xf numFmtId="9" fontId="0" fillId="0" borderId="0" xfId="0" applyNumberFormat="1" applyBorder="1" applyAlignment="1">
      <alignment horizontal="center"/>
    </xf>
    <xf numFmtId="9" fontId="5" fillId="0" borderId="52" xfId="0" applyNumberFormat="1" applyFont="1" applyFill="1" applyBorder="1" applyAlignment="1">
      <alignment horizontal="center"/>
    </xf>
    <xf numFmtId="9" fontId="0" fillId="0" borderId="52" xfId="0" applyNumberFormat="1" applyFill="1" applyBorder="1" applyAlignment="1">
      <alignment horizontal="center"/>
    </xf>
    <xf numFmtId="9" fontId="0" fillId="0" borderId="52" xfId="0" applyNumberFormat="1" applyBorder="1" applyAlignment="1">
      <alignment horizontal="center"/>
    </xf>
    <xf numFmtId="9" fontId="5" fillId="0" borderId="52" xfId="0" applyNumberFormat="1" applyFont="1" applyBorder="1" applyAlignment="1">
      <alignment horizontal="center"/>
    </xf>
    <xf numFmtId="9" fontId="74" fillId="0" borderId="52" xfId="3" applyNumberFormat="1" applyFont="1" applyFill="1" applyBorder="1" applyAlignment="1" applyProtection="1">
      <alignment horizontal="center"/>
    </xf>
    <xf numFmtId="9" fontId="5" fillId="0" borderId="52" xfId="0" applyNumberFormat="1" applyFont="1" applyFill="1" applyBorder="1" applyAlignment="1">
      <alignment horizontal="center" vertical="center" wrapText="1"/>
    </xf>
    <xf numFmtId="9" fontId="82" fillId="0" borderId="52" xfId="0" applyNumberFormat="1" applyFont="1" applyFill="1" applyBorder="1" applyAlignment="1">
      <alignment horizontal="center" vertical="center" wrapText="1"/>
    </xf>
    <xf numFmtId="45" fontId="5" fillId="0" borderId="0" xfId="0" applyNumberFormat="1" applyFont="1" applyFill="1" applyAlignment="1">
      <alignment horizontal="center" vertical="center" wrapText="1"/>
    </xf>
    <xf numFmtId="45" fontId="5" fillId="0" borderId="0" xfId="0" applyNumberFormat="1" applyFont="1" applyFill="1" applyAlignment="1">
      <alignment horizontal="center"/>
    </xf>
    <xf numFmtId="45" fontId="5" fillId="0" borderId="0" xfId="0" applyNumberFormat="1" applyFont="1" applyBorder="1" applyAlignment="1">
      <alignment horizontal="center" vertical="center" wrapText="1"/>
    </xf>
    <xf numFmtId="45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45" fontId="5" fillId="28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45" fontId="5" fillId="0" borderId="0" xfId="0" applyNumberFormat="1" applyFont="1" applyAlignment="1">
      <alignment horizontal="center" vertical="center" wrapText="1"/>
    </xf>
    <xf numFmtId="46" fontId="5" fillId="0" borderId="0" xfId="0" applyNumberFormat="1" applyFont="1" applyFill="1" applyBorder="1" applyAlignment="1">
      <alignment horizontal="center"/>
    </xf>
    <xf numFmtId="45" fontId="5" fillId="0" borderId="52" xfId="0" applyNumberFormat="1" applyFont="1" applyFill="1" applyBorder="1" applyAlignment="1">
      <alignment horizontal="center" vertical="center" wrapText="1"/>
    </xf>
    <xf numFmtId="21" fontId="5" fillId="0" borderId="0" xfId="0" applyNumberFormat="1" applyFont="1" applyBorder="1" applyAlignment="1">
      <alignment horizontal="center"/>
    </xf>
    <xf numFmtId="0" fontId="7" fillId="0" borderId="0" xfId="0" applyFont="1"/>
    <xf numFmtId="0" fontId="5" fillId="0" borderId="53" xfId="0" applyFont="1" applyBorder="1" applyAlignment="1">
      <alignment vertical="center" wrapText="1"/>
    </xf>
    <xf numFmtId="0" fontId="5" fillId="0" borderId="53" xfId="0" applyFont="1" applyFill="1" applyBorder="1" applyAlignment="1">
      <alignment vertical="center" wrapText="1"/>
    </xf>
    <xf numFmtId="45" fontId="5" fillId="0" borderId="52" xfId="0" applyNumberFormat="1" applyFont="1" applyBorder="1" applyAlignment="1">
      <alignment horizontal="center" wrapText="1"/>
    </xf>
    <xf numFmtId="45" fontId="82" fillId="79" borderId="0" xfId="0" applyNumberFormat="1" applyFont="1" applyFill="1" applyBorder="1" applyAlignment="1">
      <alignment horizontal="center" wrapText="1"/>
    </xf>
    <xf numFmtId="0" fontId="5" fillId="0" borderId="52" xfId="0" applyFont="1" applyBorder="1" applyAlignment="1">
      <alignment vertical="center" wrapText="1"/>
    </xf>
    <xf numFmtId="45" fontId="74" fillId="0" borderId="0" xfId="0" applyNumberFormat="1" applyFont="1" applyFill="1" applyBorder="1" applyAlignment="1">
      <alignment horizontal="left"/>
    </xf>
    <xf numFmtId="0" fontId="5" fillId="0" borderId="54" xfId="0" applyFont="1" applyBorder="1"/>
    <xf numFmtId="0" fontId="0" fillId="0" borderId="52" xfId="0" applyBorder="1" applyAlignment="1">
      <alignment vertical="center" wrapText="1"/>
    </xf>
    <xf numFmtId="10" fontId="5" fillId="0" borderId="52" xfId="0" applyNumberFormat="1" applyFont="1" applyBorder="1" applyAlignment="1">
      <alignment vertical="center" wrapText="1"/>
    </xf>
    <xf numFmtId="10" fontId="82" fillId="79" borderId="0" xfId="0" applyNumberFormat="1" applyFont="1" applyFill="1" applyBorder="1" applyAlignment="1">
      <alignment vertical="center" wrapText="1"/>
    </xf>
    <xf numFmtId="1" fontId="5" fillId="36" borderId="0" xfId="0" applyNumberFormat="1" applyFont="1" applyFill="1"/>
    <xf numFmtId="1" fontId="5" fillId="52" borderId="0" xfId="0" applyNumberFormat="1" applyFont="1" applyFill="1"/>
    <xf numFmtId="0" fontId="5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1" fontId="5" fillId="51" borderId="4" xfId="0" applyNumberFormat="1" applyFont="1" applyFill="1" applyBorder="1"/>
    <xf numFmtId="1" fontId="0" fillId="66" borderId="4" xfId="0" applyNumberFormat="1" applyFill="1" applyBorder="1"/>
    <xf numFmtId="1" fontId="5" fillId="40" borderId="4" xfId="0" applyNumberFormat="1" applyFont="1" applyFill="1" applyBorder="1"/>
    <xf numFmtId="1" fontId="6" fillId="40" borderId="4" xfId="0" applyNumberFormat="1" applyFont="1" applyFill="1" applyBorder="1"/>
    <xf numFmtId="166" fontId="91" fillId="28" borderId="5" xfId="0" applyNumberFormat="1" applyFont="1" applyFill="1" applyBorder="1"/>
    <xf numFmtId="0" fontId="91" fillId="28" borderId="5" xfId="0" applyFont="1" applyFill="1" applyBorder="1"/>
    <xf numFmtId="20" fontId="91" fillId="27" borderId="5" xfId="0" applyNumberFormat="1" applyFont="1" applyFill="1" applyBorder="1"/>
    <xf numFmtId="0" fontId="13" fillId="0" borderId="0" xfId="0" applyFont="1" applyFill="1" applyBorder="1"/>
    <xf numFmtId="0" fontId="30" fillId="0" borderId="0" xfId="0" applyFont="1" applyFill="1" applyBorder="1" applyAlignment="1">
      <alignment horizontal="left"/>
    </xf>
    <xf numFmtId="0" fontId="13" fillId="0" borderId="7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12" fillId="0" borderId="12" xfId="0" applyFont="1" applyFill="1" applyBorder="1"/>
    <xf numFmtId="0" fontId="70" fillId="0" borderId="12" xfId="0" applyFont="1" applyFill="1" applyBorder="1"/>
    <xf numFmtId="0" fontId="12" fillId="0" borderId="6" xfId="0" applyFont="1" applyFill="1" applyBorder="1"/>
    <xf numFmtId="0" fontId="71" fillId="0" borderId="1" xfId="0" applyFont="1" applyFill="1" applyBorder="1"/>
    <xf numFmtId="0" fontId="12" fillId="46" borderId="37" xfId="0" applyFont="1" applyFill="1" applyBorder="1"/>
    <xf numFmtId="0" fontId="12" fillId="46" borderId="38" xfId="0" applyFont="1" applyFill="1" applyBorder="1"/>
    <xf numFmtId="0" fontId="11" fillId="0" borderId="0" xfId="0" applyFont="1" applyBorder="1" applyAlignment="1">
      <alignment horizontal="center"/>
    </xf>
    <xf numFmtId="0" fontId="0" fillId="0" borderId="0" xfId="0" applyProtection="1">
      <protection locked="0"/>
    </xf>
    <xf numFmtId="1" fontId="12" fillId="0" borderId="0" xfId="0" applyNumberFormat="1" applyFont="1" applyFill="1" applyAlignment="1">
      <alignment horizontal="center"/>
    </xf>
    <xf numFmtId="1" fontId="155" fillId="24" borderId="0" xfId="0" applyNumberFormat="1" applyFont="1" applyFill="1" applyAlignment="1">
      <alignment horizontal="center"/>
    </xf>
    <xf numFmtId="1" fontId="155" fillId="0" borderId="0" xfId="0" applyNumberFormat="1" applyFont="1" applyFill="1" applyAlignment="1">
      <alignment horizontal="center"/>
    </xf>
    <xf numFmtId="1" fontId="5" fillId="0" borderId="4" xfId="0" applyNumberFormat="1" applyFont="1" applyFill="1" applyBorder="1"/>
    <xf numFmtId="1" fontId="0" fillId="0" borderId="4" xfId="0" applyNumberFormat="1" applyFill="1" applyBorder="1"/>
    <xf numFmtId="14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10" fontId="5" fillId="0" borderId="0" xfId="0" applyNumberFormat="1" applyFont="1" applyFill="1"/>
    <xf numFmtId="14" fontId="5" fillId="0" borderId="0" xfId="0" applyNumberFormat="1" applyFont="1" applyFill="1" applyProtection="1">
      <protection locked="0"/>
    </xf>
    <xf numFmtId="0" fontId="5" fillId="0" borderId="20" xfId="0" applyFont="1" applyFill="1" applyBorder="1"/>
    <xf numFmtId="0" fontId="30" fillId="46" borderId="0" xfId="0" applyFont="1" applyFill="1" applyBorder="1" applyAlignment="1">
      <alignment horizontal="right"/>
    </xf>
    <xf numFmtId="0" fontId="5" fillId="0" borderId="0" xfId="0" applyFont="1" applyFill="1" applyAlignment="1"/>
    <xf numFmtId="0" fontId="71" fillId="0" borderId="1" xfId="0" applyFont="1" applyFill="1" applyBorder="1" applyAlignment="1">
      <alignment horizontal="center"/>
    </xf>
    <xf numFmtId="14" fontId="0" fillId="0" borderId="0" xfId="0" applyNumberFormat="1" applyFill="1" applyBorder="1" applyProtection="1">
      <protection locked="0"/>
    </xf>
    <xf numFmtId="0" fontId="12" fillId="22" borderId="1" xfId="0" applyFont="1" applyFill="1" applyBorder="1" applyAlignment="1">
      <alignment horizontal="center"/>
    </xf>
    <xf numFmtId="0" fontId="11" fillId="22" borderId="1" xfId="0" applyFont="1" applyFill="1" applyBorder="1" applyAlignment="1">
      <alignment horizontal="center"/>
    </xf>
    <xf numFmtId="0" fontId="13" fillId="22" borderId="1" xfId="0" applyFont="1" applyFill="1" applyBorder="1" applyAlignment="1">
      <alignment horizontal="center"/>
    </xf>
    <xf numFmtId="14" fontId="82" fillId="0" borderId="0" xfId="0" applyNumberFormat="1" applyFont="1" applyFill="1" applyBorder="1" applyAlignment="1">
      <alignment vertical="top" wrapText="1"/>
    </xf>
    <xf numFmtId="45" fontId="82" fillId="0" borderId="0" xfId="0" applyNumberFormat="1" applyFont="1" applyFill="1" applyBorder="1" applyAlignment="1">
      <alignment vertical="center" wrapText="1"/>
    </xf>
    <xf numFmtId="10" fontId="82" fillId="0" borderId="0" xfId="0" applyNumberFormat="1" applyFont="1" applyFill="1" applyBorder="1" applyAlignment="1">
      <alignment vertical="center" wrapText="1"/>
    </xf>
    <xf numFmtId="1" fontId="6" fillId="63" borderId="0" xfId="0" applyNumberFormat="1" applyFont="1" applyFill="1" applyAlignment="1">
      <alignment horizontal="center"/>
    </xf>
    <xf numFmtId="0" fontId="7" fillId="0" borderId="0" xfId="0" applyFont="1"/>
    <xf numFmtId="0" fontId="5" fillId="28" borderId="0" xfId="0" applyFont="1" applyFill="1" applyBorder="1"/>
    <xf numFmtId="0" fontId="5" fillId="0" borderId="0" xfId="0" quotePrefix="1" applyFont="1" applyFill="1" applyBorder="1"/>
    <xf numFmtId="16" fontId="0" fillId="40" borderId="0" xfId="0" applyNumberFormat="1" applyFill="1"/>
    <xf numFmtId="0" fontId="5" fillId="47" borderId="0" xfId="0" applyFont="1" applyFill="1" applyBorder="1"/>
    <xf numFmtId="0" fontId="71" fillId="0" borderId="0" xfId="0" applyFont="1" applyFill="1"/>
    <xf numFmtId="0" fontId="0" fillId="63" borderId="0" xfId="0" applyFill="1"/>
    <xf numFmtId="1" fontId="0" fillId="63" borderId="0" xfId="0" applyNumberFormat="1" applyFill="1"/>
    <xf numFmtId="1" fontId="12" fillId="63" borderId="0" xfId="0" applyNumberFormat="1" applyFont="1" applyFill="1"/>
    <xf numFmtId="1" fontId="11" fillId="63" borderId="0" xfId="0" applyNumberFormat="1" applyFont="1" applyFill="1"/>
    <xf numFmtId="1" fontId="30" fillId="0" borderId="0" xfId="0" applyNumberFormat="1" applyFont="1"/>
    <xf numFmtId="1" fontId="0" fillId="0" borderId="0" xfId="0" applyNumberFormat="1" applyFill="1" applyBorder="1"/>
    <xf numFmtId="1" fontId="11" fillId="0" borderId="0" xfId="0" applyNumberFormat="1" applyFont="1" applyFill="1" applyBorder="1" applyAlignment="1">
      <alignment vertical="center" wrapText="1"/>
    </xf>
    <xf numFmtId="1" fontId="6" fillId="0" borderId="0" xfId="0" applyNumberFormat="1" applyFont="1" applyFill="1" applyBorder="1"/>
    <xf numFmtId="0" fontId="0" fillId="29" borderId="1" xfId="0" applyFill="1" applyBorder="1"/>
    <xf numFmtId="176" fontId="0" fillId="29" borderId="0" xfId="0" applyNumberFormat="1" applyFill="1"/>
    <xf numFmtId="176" fontId="5" fillId="22" borderId="0" xfId="0" applyNumberFormat="1" applyFont="1" applyFill="1" applyAlignment="1">
      <alignment horizontal="center"/>
    </xf>
    <xf numFmtId="14" fontId="6" fillId="0" borderId="4" xfId="0" applyNumberFormat="1" applyFont="1" applyBorder="1"/>
    <xf numFmtId="14" fontId="0" fillId="0" borderId="4" xfId="0" applyNumberFormat="1" applyBorder="1"/>
    <xf numFmtId="14" fontId="0" fillId="0" borderId="4" xfId="0" applyNumberFormat="1" applyFill="1" applyBorder="1" applyProtection="1">
      <protection locked="0"/>
    </xf>
    <xf numFmtId="176" fontId="8" fillId="29" borderId="0" xfId="0" applyNumberFormat="1" applyFont="1" applyFill="1"/>
    <xf numFmtId="1" fontId="8" fillId="29" borderId="0" xfId="0" applyNumberFormat="1" applyFont="1" applyFill="1"/>
    <xf numFmtId="1" fontId="8" fillId="63" borderId="0" xfId="0" applyNumberFormat="1" applyFont="1" applyFill="1"/>
    <xf numFmtId="176" fontId="21" fillId="29" borderId="0" xfId="0" applyNumberFormat="1" applyFont="1" applyFill="1"/>
    <xf numFmtId="1" fontId="8" fillId="29" borderId="5" xfId="0" applyNumberFormat="1" applyFont="1" applyFill="1" applyBorder="1"/>
    <xf numFmtId="176" fontId="8" fillId="22" borderId="0" xfId="0" applyNumberFormat="1" applyFont="1" applyFill="1" applyAlignment="1">
      <alignment horizontal="center"/>
    </xf>
    <xf numFmtId="176" fontId="5" fillId="29" borderId="0" xfId="0" applyNumberFormat="1" applyFont="1" applyFill="1"/>
    <xf numFmtId="1" fontId="6" fillId="40" borderId="0" xfId="0" applyNumberFormat="1" applyFont="1" applyFill="1"/>
    <xf numFmtId="1" fontId="0" fillId="63" borderId="0" xfId="0" applyNumberFormat="1" applyFill="1" applyBorder="1"/>
    <xf numFmtId="176" fontId="0" fillId="40" borderId="0" xfId="0" applyNumberFormat="1" applyFill="1" applyBorder="1"/>
    <xf numFmtId="0" fontId="41" fillId="0" borderId="0" xfId="0" applyFont="1" applyFill="1" applyAlignment="1">
      <alignment horizontal="left"/>
    </xf>
    <xf numFmtId="0" fontId="74" fillId="0" borderId="0" xfId="0" applyFont="1" applyFill="1" applyAlignment="1">
      <alignment horizontal="left"/>
    </xf>
    <xf numFmtId="0" fontId="71" fillId="0" borderId="9" xfId="0" applyFont="1" applyFill="1" applyBorder="1"/>
    <xf numFmtId="0" fontId="13" fillId="0" borderId="14" xfId="0" applyFont="1" applyFill="1" applyBorder="1"/>
    <xf numFmtId="14" fontId="0" fillId="0" borderId="0" xfId="0" applyNumberFormat="1" applyBorder="1"/>
    <xf numFmtId="0" fontId="6" fillId="69" borderId="0" xfId="0" applyFont="1" applyFill="1"/>
    <xf numFmtId="14" fontId="0" fillId="69" borderId="0" xfId="0" applyNumberFormat="1" applyFill="1"/>
    <xf numFmtId="0" fontId="0" fillId="0" borderId="29" xfId="0" applyFill="1" applyBorder="1"/>
    <xf numFmtId="0" fontId="5" fillId="36" borderId="0" xfId="1" applyFont="1" applyFill="1" applyAlignment="1" applyProtection="1">
      <alignment vertical="center" wrapText="1"/>
    </xf>
    <xf numFmtId="0" fontId="11" fillId="0" borderId="0" xfId="0" applyFont="1" applyFill="1" applyBorder="1" applyAlignment="1">
      <alignment horizontal="right" vertical="center" wrapText="1"/>
    </xf>
    <xf numFmtId="0" fontId="11" fillId="76" borderId="0" xfId="0" applyFont="1" applyFill="1" applyAlignment="1">
      <alignment horizontal="right" vertical="center" wrapText="1"/>
    </xf>
    <xf numFmtId="0" fontId="11" fillId="0" borderId="0" xfId="0" applyFont="1" applyFill="1" applyAlignment="1">
      <alignment horizontal="right" vertical="center" wrapText="1"/>
    </xf>
    <xf numFmtId="0" fontId="0" fillId="0" borderId="0" xfId="0" applyFill="1" applyAlignment="1">
      <alignment horizontal="right"/>
    </xf>
    <xf numFmtId="3" fontId="11" fillId="0" borderId="0" xfId="0" applyNumberFormat="1" applyFont="1" applyFill="1" applyAlignment="1">
      <alignment horizontal="right"/>
    </xf>
    <xf numFmtId="3" fontId="11" fillId="0" borderId="0" xfId="0" applyNumberFormat="1" applyFont="1" applyFill="1" applyAlignment="1">
      <alignment horizontal="right" vertical="center" wrapText="1"/>
    </xf>
    <xf numFmtId="3" fontId="0" fillId="0" borderId="0" xfId="0" applyNumberFormat="1" applyFill="1" applyAlignment="1">
      <alignment horizontal="right"/>
    </xf>
    <xf numFmtId="0" fontId="11" fillId="0" borderId="0" xfId="0" applyFont="1" applyFill="1" applyAlignment="1">
      <alignment horizontal="right"/>
    </xf>
    <xf numFmtId="3" fontId="11" fillId="76" borderId="0" xfId="0" applyNumberFormat="1" applyFont="1" applyFill="1" applyAlignment="1">
      <alignment horizontal="right" vertical="center" wrapText="1"/>
    </xf>
    <xf numFmtId="0" fontId="11" fillId="0" borderId="49" xfId="0" applyFont="1" applyFill="1" applyBorder="1" applyAlignment="1">
      <alignment horizontal="right" vertical="center" wrapText="1"/>
    </xf>
    <xf numFmtId="0" fontId="0" fillId="0" borderId="49" xfId="0" applyFill="1" applyBorder="1" applyAlignment="1">
      <alignment horizontal="right"/>
    </xf>
    <xf numFmtId="3" fontId="11" fillId="0" borderId="49" xfId="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right" vertical="center" wrapText="1"/>
    </xf>
    <xf numFmtId="1" fontId="0" fillId="35" borderId="1" xfId="0" applyNumberFormat="1" applyFill="1" applyBorder="1"/>
    <xf numFmtId="0" fontId="3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/>
    <xf numFmtId="0" fontId="6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2" fillId="0" borderId="0" xfId="0" applyFont="1" applyAlignment="1"/>
    <xf numFmtId="0" fontId="30" fillId="28" borderId="0" xfId="0" applyFont="1" applyFill="1" applyAlignment="1"/>
    <xf numFmtId="45" fontId="30" fillId="0" borderId="0" xfId="0" applyNumberFormat="1" applyFont="1"/>
    <xf numFmtId="0" fontId="72" fillId="45" borderId="0" xfId="0" applyFont="1" applyFill="1" applyAlignment="1">
      <alignment horizontal="left"/>
    </xf>
    <xf numFmtId="0" fontId="157" fillId="0" borderId="0" xfId="4" applyFont="1" applyFill="1" applyBorder="1"/>
    <xf numFmtId="168" fontId="12" fillId="0" borderId="0" xfId="0" applyNumberFormat="1" applyFont="1"/>
    <xf numFmtId="1" fontId="140" fillId="0" borderId="0" xfId="0" applyNumberFormat="1" applyFont="1"/>
    <xf numFmtId="14" fontId="0" fillId="0" borderId="4" xfId="0" applyNumberFormat="1" applyFill="1" applyBorder="1"/>
    <xf numFmtId="0" fontId="12" fillId="22" borderId="1" xfId="0" applyFont="1" applyFill="1" applyBorder="1"/>
    <xf numFmtId="1" fontId="12" fillId="22" borderId="1" xfId="0" applyNumberFormat="1" applyFont="1" applyFill="1" applyBorder="1" applyAlignment="1">
      <alignment horizontal="center"/>
    </xf>
    <xf numFmtId="1" fontId="12" fillId="22" borderId="1" xfId="0" applyNumberFormat="1" applyFont="1" applyFill="1" applyBorder="1" applyAlignment="1">
      <alignment horizontal="left"/>
    </xf>
    <xf numFmtId="1" fontId="12" fillId="22" borderId="0" xfId="0" applyNumberFormat="1" applyFont="1" applyFill="1" applyAlignment="1">
      <alignment horizontal="left"/>
    </xf>
    <xf numFmtId="0" fontId="5" fillId="22" borderId="1" xfId="0" applyFont="1" applyFill="1" applyBorder="1" applyAlignment="1">
      <alignment horizontal="center"/>
    </xf>
    <xf numFmtId="0" fontId="30" fillId="34" borderId="8" xfId="0" applyFont="1" applyFill="1" applyBorder="1" applyAlignment="1">
      <alignment horizontal="center"/>
    </xf>
    <xf numFmtId="0" fontId="32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32" fillId="22" borderId="1" xfId="0" applyFont="1" applyFill="1" applyBorder="1"/>
    <xf numFmtId="0" fontId="12" fillId="0" borderId="0" xfId="0" applyFont="1" applyBorder="1" applyAlignment="1">
      <alignment horizontal="center"/>
    </xf>
    <xf numFmtId="0" fontId="12" fillId="22" borderId="0" xfId="0" applyFont="1" applyFill="1" applyBorder="1" applyAlignment="1">
      <alignment horizontal="center"/>
    </xf>
    <xf numFmtId="0" fontId="0" fillId="22" borderId="18" xfId="0" applyFill="1" applyBorder="1"/>
    <xf numFmtId="0" fontId="0" fillId="22" borderId="20" xfId="0" applyFill="1" applyBorder="1"/>
    <xf numFmtId="0" fontId="0" fillId="22" borderId="14" xfId="0" applyFill="1" applyBorder="1"/>
    <xf numFmtId="0" fontId="30" fillId="45" borderId="0" xfId="0" applyFont="1" applyFill="1"/>
    <xf numFmtId="14" fontId="16" fillId="0" borderId="0" xfId="0" applyNumberFormat="1" applyFont="1" applyFill="1"/>
    <xf numFmtId="0" fontId="0" fillId="0" borderId="1" xfId="0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12" fillId="24" borderId="44" xfId="0" applyFont="1" applyFill="1" applyBorder="1"/>
    <xf numFmtId="0" fontId="12" fillId="28" borderId="38" xfId="0" applyFont="1" applyFill="1" applyBorder="1"/>
    <xf numFmtId="0" fontId="78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/>
    </xf>
    <xf numFmtId="176" fontId="8" fillId="29" borderId="1" xfId="0" applyNumberFormat="1" applyFont="1" applyFill="1" applyBorder="1"/>
    <xf numFmtId="0" fontId="69" fillId="31" borderId="50" xfId="1" applyFont="1" applyFill="1" applyBorder="1" applyAlignment="1" applyProtection="1">
      <alignment vertical="center" wrapText="1"/>
    </xf>
    <xf numFmtId="0" fontId="113" fillId="0" borderId="0" xfId="0" applyFont="1" applyFill="1"/>
    <xf numFmtId="16" fontId="0" fillId="0" borderId="0" xfId="0" applyNumberFormat="1" applyFill="1"/>
    <xf numFmtId="0" fontId="30" fillId="22" borderId="0" xfId="0" applyFont="1" applyFill="1"/>
    <xf numFmtId="45" fontId="130" fillId="45" borderId="0" xfId="0" applyNumberFormat="1" applyFont="1" applyFill="1"/>
    <xf numFmtId="45" fontId="72" fillId="45" borderId="0" xfId="0" applyNumberFormat="1" applyFont="1" applyFill="1"/>
    <xf numFmtId="1" fontId="0" fillId="0" borderId="12" xfId="0" applyNumberFormat="1" applyFill="1" applyBorder="1"/>
    <xf numFmtId="1" fontId="5" fillId="52" borderId="0" xfId="0" applyNumberFormat="1" applyFont="1" applyFill="1" applyAlignment="1">
      <alignment horizontal="left"/>
    </xf>
    <xf numFmtId="0" fontId="8" fillId="0" borderId="0" xfId="0" applyFont="1" applyFill="1" applyBorder="1"/>
    <xf numFmtId="0" fontId="5" fillId="0" borderId="0" xfId="5" applyFill="1" applyBorder="1"/>
    <xf numFmtId="0" fontId="5" fillId="36" borderId="50" xfId="1" applyFont="1" applyFill="1" applyBorder="1" applyAlignment="1" applyProtection="1">
      <alignment vertical="center" wrapText="1"/>
    </xf>
    <xf numFmtId="0" fontId="30" fillId="34" borderId="0" xfId="0" applyFont="1" applyFill="1" applyBorder="1" applyAlignment="1">
      <alignment horizontal="center"/>
    </xf>
    <xf numFmtId="0" fontId="116" fillId="28" borderId="0" xfId="0" applyFont="1" applyFill="1" applyBorder="1" applyAlignment="1">
      <alignment horizontal="right"/>
    </xf>
    <xf numFmtId="0" fontId="159" fillId="28" borderId="0" xfId="0" applyFont="1" applyFill="1" applyBorder="1" applyAlignment="1">
      <alignment horizontal="right"/>
    </xf>
    <xf numFmtId="0" fontId="160" fillId="0" borderId="60" xfId="0" applyFont="1" applyBorder="1" applyAlignment="1">
      <alignment horizontal="left" vertical="center" wrapText="1"/>
    </xf>
    <xf numFmtId="0" fontId="136" fillId="22" borderId="0" xfId="0" applyFont="1" applyFill="1"/>
    <xf numFmtId="0" fontId="0" fillId="22" borderId="1" xfId="0" applyFill="1" applyBorder="1" applyAlignment="1">
      <alignment horizontal="center"/>
    </xf>
    <xf numFmtId="0" fontId="0" fillId="0" borderId="3" xfId="0" applyFill="1" applyBorder="1"/>
    <xf numFmtId="1" fontId="6" fillId="0" borderId="0" xfId="0" applyNumberFormat="1" applyFont="1" applyFill="1" applyAlignment="1">
      <alignment horizontal="left"/>
    </xf>
    <xf numFmtId="0" fontId="86" fillId="0" borderId="0" xfId="0" applyFont="1" applyFill="1" applyAlignment="1">
      <alignment horizontal="center"/>
    </xf>
    <xf numFmtId="0" fontId="65" fillId="0" borderId="0" xfId="0" applyFont="1" applyFill="1"/>
    <xf numFmtId="0" fontId="158" fillId="0" borderId="0" xfId="0" applyFont="1" applyFill="1"/>
    <xf numFmtId="0" fontId="0" fillId="0" borderId="46" xfId="0" applyFill="1" applyBorder="1"/>
    <xf numFmtId="0" fontId="136" fillId="22" borderId="17" xfId="0" applyFont="1" applyFill="1" applyBorder="1"/>
    <xf numFmtId="0" fontId="72" fillId="22" borderId="17" xfId="0" applyFont="1" applyFill="1" applyBorder="1"/>
    <xf numFmtId="0" fontId="72" fillId="22" borderId="0" xfId="0" applyFont="1" applyFill="1"/>
    <xf numFmtId="0" fontId="130" fillId="22" borderId="17" xfId="0" applyFont="1" applyFill="1" applyBorder="1"/>
    <xf numFmtId="0" fontId="130" fillId="22" borderId="0" xfId="0" applyFont="1" applyFill="1"/>
    <xf numFmtId="0" fontId="6" fillId="0" borderId="62" xfId="0" applyFont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5" fillId="0" borderId="62" xfId="0" applyFont="1" applyFill="1" applyBorder="1" applyAlignment="1">
      <alignment horizontal="center"/>
    </xf>
    <xf numFmtId="0" fontId="5" fillId="34" borderId="61" xfId="0" applyFont="1" applyFill="1" applyBorder="1" applyAlignment="1">
      <alignment horizontal="center"/>
    </xf>
    <xf numFmtId="0" fontId="5" fillId="35" borderId="20" xfId="0" applyFont="1" applyFill="1" applyBorder="1" applyAlignment="1">
      <alignment horizontal="center"/>
    </xf>
    <xf numFmtId="0" fontId="5" fillId="0" borderId="0" xfId="8" applyFont="1"/>
    <xf numFmtId="0" fontId="5" fillId="0" borderId="0" xfId="5" applyFont="1"/>
    <xf numFmtId="0" fontId="6" fillId="70" borderId="0" xfId="0" applyFont="1" applyFill="1"/>
    <xf numFmtId="0" fontId="11" fillId="45" borderId="0" xfId="0" applyFont="1" applyFill="1" applyAlignment="1">
      <alignment horizontal="right" vertical="center" wrapText="1"/>
    </xf>
    <xf numFmtId="3" fontId="11" fillId="45" borderId="0" xfId="0" applyNumberFormat="1" applyFont="1" applyFill="1" applyAlignment="1">
      <alignment vertical="center" wrapText="1"/>
    </xf>
    <xf numFmtId="14" fontId="74" fillId="0" borderId="0" xfId="6" applyNumberFormat="1" applyFont="1" applyFill="1" applyProtection="1"/>
    <xf numFmtId="45" fontId="74" fillId="0" borderId="0" xfId="8" applyNumberFormat="1" applyFont="1" applyFill="1" applyAlignment="1" applyProtection="1">
      <alignment horizontal="center" vertical="center"/>
      <protection locked="0"/>
    </xf>
    <xf numFmtId="0" fontId="74" fillId="0" borderId="0" xfId="8" applyFont="1" applyFill="1" applyProtection="1"/>
    <xf numFmtId="10" fontId="74" fillId="0" borderId="0" xfId="8" applyNumberFormat="1" applyFont="1" applyFill="1" applyProtection="1"/>
    <xf numFmtId="10" fontId="74" fillId="0" borderId="0" xfId="8" applyNumberFormat="1" applyFont="1" applyFill="1" applyBorder="1" applyProtection="1"/>
    <xf numFmtId="0" fontId="74" fillId="0" borderId="0" xfId="6" applyNumberFormat="1" applyFont="1" applyFill="1" applyProtection="1"/>
    <xf numFmtId="0" fontId="74" fillId="0" borderId="0" xfId="8" applyFont="1" applyFill="1" applyBorder="1" applyProtection="1"/>
    <xf numFmtId="0" fontId="74" fillId="0" borderId="0" xfId="6" applyFont="1" applyFill="1" applyBorder="1" applyProtection="1"/>
    <xf numFmtId="0" fontId="74" fillId="0" borderId="0" xfId="6" applyNumberFormat="1" applyFont="1" applyFill="1" applyBorder="1" applyProtection="1"/>
    <xf numFmtId="14" fontId="74" fillId="0" borderId="0" xfId="6" applyNumberFormat="1" applyFont="1" applyFill="1" applyBorder="1" applyProtection="1"/>
    <xf numFmtId="0" fontId="5" fillId="0" borderId="0" xfId="5" applyFont="1" applyFill="1"/>
    <xf numFmtId="0" fontId="156" fillId="24" borderId="0" xfId="0" applyFont="1" applyFill="1"/>
    <xf numFmtId="0" fontId="56" fillId="0" borderId="0" xfId="0" applyFont="1"/>
    <xf numFmtId="0" fontId="8" fillId="45" borderId="0" xfId="0" applyFont="1" applyFill="1"/>
    <xf numFmtId="45" fontId="2" fillId="0" borderId="0" xfId="9" applyNumberFormat="1" applyFill="1" applyAlignment="1" applyProtection="1">
      <alignment horizontal="center" vertical="center"/>
      <protection locked="0"/>
    </xf>
    <xf numFmtId="0" fontId="2" fillId="0" borderId="0" xfId="9" applyFill="1" applyProtection="1"/>
    <xf numFmtId="10" fontId="2" fillId="0" borderId="0" xfId="9" applyNumberFormat="1" applyFill="1" applyBorder="1" applyProtection="1"/>
    <xf numFmtId="10" fontId="2" fillId="0" borderId="0" xfId="9" applyNumberFormat="1" applyFill="1" applyProtection="1"/>
    <xf numFmtId="0" fontId="5" fillId="0" borderId="0" xfId="9" applyFont="1"/>
    <xf numFmtId="0" fontId="5" fillId="0" borderId="0" xfId="5" applyFont="1"/>
    <xf numFmtId="0" fontId="74" fillId="0" borderId="0" xfId="9" applyFont="1" applyFill="1" applyBorder="1" applyProtection="1"/>
    <xf numFmtId="45" fontId="0" fillId="0" borderId="0" xfId="0" applyNumberFormat="1" applyFill="1" applyBorder="1"/>
    <xf numFmtId="0" fontId="1" fillId="0" borderId="0" xfId="9" applyFont="1" applyFill="1" applyProtection="1"/>
    <xf numFmtId="0" fontId="0" fillId="45" borderId="0" xfId="0" applyFill="1" applyAlignment="1">
      <alignment horizontal="left"/>
    </xf>
    <xf numFmtId="45" fontId="0" fillId="45" borderId="0" xfId="0" applyNumberFormat="1" applyFill="1"/>
    <xf numFmtId="0" fontId="5" fillId="0" borderId="0" xfId="5" quotePrefix="1" applyFont="1"/>
    <xf numFmtId="0" fontId="74" fillId="0" borderId="0" xfId="9" applyFont="1" applyFill="1" applyProtection="1"/>
    <xf numFmtId="0" fontId="5" fillId="0" borderId="0" xfId="0" applyFont="1" applyFill="1" applyProtection="1">
      <protection locked="0"/>
    </xf>
    <xf numFmtId="14" fontId="5" fillId="0" borderId="0" xfId="0" applyNumberFormat="1" applyFont="1" applyFill="1" applyBorder="1" applyProtection="1">
      <protection locked="0"/>
    </xf>
    <xf numFmtId="0" fontId="5" fillId="0" borderId="0" xfId="5" applyFont="1" applyFill="1" applyBorder="1"/>
    <xf numFmtId="2" fontId="5" fillId="0" borderId="0" xfId="0" applyNumberFormat="1" applyFont="1" applyFill="1" applyProtection="1">
      <protection locked="0"/>
    </xf>
    <xf numFmtId="2" fontId="5" fillId="0" borderId="0" xfId="0" applyNumberFormat="1" applyFont="1" applyProtection="1">
      <protection locked="0"/>
    </xf>
    <xf numFmtId="45" fontId="74" fillId="0" borderId="0" xfId="9" applyNumberFormat="1" applyFont="1" applyFill="1" applyAlignment="1" applyProtection="1">
      <alignment horizontal="center" vertical="center"/>
      <protection locked="0"/>
    </xf>
    <xf numFmtId="10" fontId="74" fillId="0" borderId="0" xfId="9" applyNumberFormat="1" applyFont="1" applyFill="1" applyBorder="1" applyProtection="1"/>
    <xf numFmtId="10" fontId="74" fillId="0" borderId="0" xfId="9" applyNumberFormat="1" applyFont="1" applyFill="1" applyProtection="1"/>
    <xf numFmtId="0" fontId="5" fillId="0" borderId="0" xfId="4" applyFont="1" applyFill="1" applyBorder="1"/>
    <xf numFmtId="45" fontId="74" fillId="0" borderId="0" xfId="9" applyNumberFormat="1" applyFont="1" applyFill="1" applyProtection="1"/>
    <xf numFmtId="0" fontId="74" fillId="0" borderId="0" xfId="11" applyFont="1" applyFill="1" applyProtection="1"/>
    <xf numFmtId="45" fontId="74" fillId="0" borderId="0" xfId="12" applyNumberFormat="1" applyFont="1" applyFill="1" applyAlignment="1" applyProtection="1">
      <alignment horizontal="center" vertical="center"/>
      <protection locked="0"/>
    </xf>
    <xf numFmtId="10" fontId="74" fillId="0" borderId="0" xfId="12" applyNumberFormat="1" applyFont="1" applyFill="1" applyProtection="1"/>
    <xf numFmtId="0" fontId="74" fillId="0" borderId="0" xfId="11" applyFont="1" applyFill="1" applyBorder="1" applyProtection="1"/>
    <xf numFmtId="10" fontId="74" fillId="0" borderId="0" xfId="12" applyNumberFormat="1" applyFont="1" applyFill="1" applyBorder="1" applyProtection="1"/>
    <xf numFmtId="0" fontId="1" fillId="0" borderId="0" xfId="9" applyFont="1" applyFill="1" applyBorder="1" applyProtection="1"/>
    <xf numFmtId="1" fontId="12" fillId="22" borderId="1" xfId="0" applyNumberFormat="1" applyFont="1" applyFill="1" applyBorder="1"/>
    <xf numFmtId="1" fontId="5" fillId="22" borderId="1" xfId="0" applyNumberFormat="1" applyFont="1" applyFill="1" applyBorder="1"/>
    <xf numFmtId="1" fontId="30" fillId="0" borderId="0" xfId="0" applyNumberFormat="1" applyFont="1" applyFill="1" applyBorder="1" applyAlignment="1">
      <alignment horizontal="center"/>
    </xf>
    <xf numFmtId="0" fontId="88" fillId="0" borderId="17" xfId="0" applyFont="1" applyFill="1" applyBorder="1"/>
    <xf numFmtId="0" fontId="113" fillId="34" borderId="0" xfId="0" applyFont="1" applyFill="1" applyAlignment="1">
      <alignment horizontal="center"/>
    </xf>
    <xf numFmtId="0" fontId="113" fillId="34" borderId="0" xfId="0" applyFont="1" applyFill="1" applyAlignment="1">
      <alignment horizontal="left"/>
    </xf>
    <xf numFmtId="0" fontId="30" fillId="0" borderId="4" xfId="0" applyFont="1" applyFill="1" applyBorder="1" applyAlignment="1">
      <alignment horizontal="center"/>
    </xf>
    <xf numFmtId="1" fontId="161" fillId="34" borderId="0" xfId="0" applyNumberFormat="1" applyFont="1" applyFill="1"/>
    <xf numFmtId="0" fontId="5" fillId="22" borderId="1" xfId="0" applyFont="1" applyFill="1" applyBorder="1" applyAlignment="1">
      <alignment horizontal="left"/>
    </xf>
    <xf numFmtId="1" fontId="30" fillId="0" borderId="0" xfId="0" applyNumberFormat="1" applyFont="1" applyFill="1" applyBorder="1"/>
    <xf numFmtId="0" fontId="161" fillId="34" borderId="0" xfId="0" applyFont="1" applyFill="1"/>
    <xf numFmtId="0" fontId="32" fillId="0" borderId="0" xfId="0" applyFont="1" applyFill="1" applyBorder="1" applyAlignment="1">
      <alignment horizontal="right"/>
    </xf>
    <xf numFmtId="0" fontId="113" fillId="0" borderId="0" xfId="0" applyFont="1" applyFill="1" applyBorder="1" applyAlignment="1">
      <alignment horizontal="center"/>
    </xf>
    <xf numFmtId="0" fontId="66" fillId="0" borderId="1" xfId="0" applyFont="1" applyFill="1" applyBorder="1"/>
    <xf numFmtId="0" fontId="5" fillId="34" borderId="1" xfId="0" applyFont="1" applyFill="1" applyBorder="1" applyAlignment="1">
      <alignment horizontal="right"/>
    </xf>
    <xf numFmtId="0" fontId="5" fillId="28" borderId="1" xfId="0" applyFont="1" applyFill="1" applyBorder="1" applyAlignment="1">
      <alignment horizontal="right"/>
    </xf>
    <xf numFmtId="1" fontId="0" fillId="27" borderId="0" xfId="0" applyNumberFormat="1" applyFill="1"/>
    <xf numFmtId="0" fontId="12" fillId="27" borderId="0" xfId="0" applyFont="1" applyFill="1" applyAlignment="1">
      <alignment horizontal="center"/>
    </xf>
    <xf numFmtId="0" fontId="30" fillId="27" borderId="0" xfId="0" applyFont="1" applyFill="1"/>
    <xf numFmtId="0" fontId="30" fillId="27" borderId="0" xfId="0" applyFont="1" applyFill="1" applyAlignment="1">
      <alignment horizontal="center"/>
    </xf>
    <xf numFmtId="0" fontId="140" fillId="27" borderId="0" xfId="0" applyFont="1" applyFill="1"/>
    <xf numFmtId="0" fontId="30" fillId="27" borderId="0" xfId="0" applyFont="1" applyFill="1" applyAlignment="1">
      <alignment horizontal="left"/>
    </xf>
    <xf numFmtId="0" fontId="113" fillId="0" borderId="0" xfId="0" applyFont="1" applyFill="1" applyAlignment="1">
      <alignment horizontal="left"/>
    </xf>
    <xf numFmtId="0" fontId="161" fillId="0" borderId="0" xfId="0" applyFont="1" applyFill="1"/>
    <xf numFmtId="0" fontId="161" fillId="24" borderId="0" xfId="0" applyFont="1" applyFill="1"/>
    <xf numFmtId="0" fontId="153" fillId="81" borderId="0" xfId="0" applyFont="1" applyFill="1" applyAlignment="1">
      <alignment horizontal="center"/>
    </xf>
    <xf numFmtId="0" fontId="78" fillId="81" borderId="0" xfId="0" applyFont="1" applyFill="1" applyAlignment="1">
      <alignment horizontal="center"/>
    </xf>
    <xf numFmtId="0" fontId="55" fillId="0" borderId="0" xfId="0" applyFont="1" applyFill="1" applyAlignment="1"/>
    <xf numFmtId="0" fontId="55" fillId="0" borderId="0" xfId="0" applyFont="1" applyFill="1" applyAlignment="1">
      <alignment horizontal="left"/>
    </xf>
    <xf numFmtId="0" fontId="5" fillId="35" borderId="14" xfId="0" applyFont="1" applyFill="1" applyBorder="1" applyAlignment="1">
      <alignment horizontal="center"/>
    </xf>
    <xf numFmtId="0" fontId="5" fillId="27" borderId="0" xfId="0" applyFont="1" applyFill="1" applyAlignment="1">
      <alignment horizontal="center"/>
    </xf>
    <xf numFmtId="1" fontId="5" fillId="27" borderId="0" xfId="0" applyNumberFormat="1" applyFont="1" applyFill="1"/>
    <xf numFmtId="0" fontId="5" fillId="22" borderId="0" xfId="0" applyFont="1" applyFill="1" applyBorder="1"/>
    <xf numFmtId="0" fontId="30" fillId="34" borderId="0" xfId="0" applyFont="1" applyFill="1" applyBorder="1"/>
    <xf numFmtId="0" fontId="7" fillId="0" borderId="0" xfId="0" applyFont="1"/>
    <xf numFmtId="0" fontId="138" fillId="0" borderId="0" xfId="0" applyFont="1" applyAlignment="1">
      <alignment horizontal="center"/>
    </xf>
    <xf numFmtId="0" fontId="5" fillId="36" borderId="1" xfId="0" applyFont="1" applyFill="1" applyBorder="1" applyAlignment="1">
      <alignment horizontal="center"/>
    </xf>
  </cellXfs>
  <cellStyles count="13">
    <cellStyle name="Hyperlink" xfId="1" builtinId="8"/>
    <cellStyle name="Hyperlink 2" xfId="4" xr:uid="{7BF2B494-0BB4-40BF-A280-A2BE2F83D5CC}"/>
    <cellStyle name="Hyperlink 3" xfId="7" xr:uid="{BDC6C497-96AC-446C-9F41-6A933A3BB0D5}"/>
    <cellStyle name="Normal" xfId="0" builtinId="0"/>
    <cellStyle name="Normal 2" xfId="2" xr:uid="{00000000-0005-0000-0000-000002000000}"/>
    <cellStyle name="Normal 3" xfId="3" xr:uid="{F4CD3F7A-E474-4D95-81D5-4EE4295D6922}"/>
    <cellStyle name="Normal 3 2" xfId="8" xr:uid="{3B607490-5E5A-49FA-BBF0-4CB24B9D0146}"/>
    <cellStyle name="Normal 3 3" xfId="10" xr:uid="{E861DF38-37D4-4128-A89F-7BD25C7616FA}"/>
    <cellStyle name="Normal 3 4" xfId="12" xr:uid="{451919E9-20E2-4BCF-8C4C-EC946E454674}"/>
    <cellStyle name="Normal 4" xfId="5" xr:uid="{33C8721A-BEE9-4F29-911C-8A79D2D184A1}"/>
    <cellStyle name="Normal 5" xfId="6" xr:uid="{EDA88F80-6BD7-465A-AEC7-60C5AC7DC522}"/>
    <cellStyle name="Normal 6" xfId="9" xr:uid="{7E532C03-42B3-40F1-B77F-0F49375AF863}"/>
    <cellStyle name="Normal 7" xfId="11" xr:uid="{968F14E6-23B3-44A9-AEF1-AB0DD3936BA4}"/>
  </cellStyles>
  <dxfs count="1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CBCB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CCFFCC"/>
      <color rgb="FFFFFF99"/>
      <color rgb="FFFFFFCC"/>
      <color rgb="FF009900"/>
      <color rgb="FFCCFFFF"/>
      <color rgb="FF0000FF"/>
      <color rgb="FFFF00FF"/>
      <color rgb="FF66FF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National Chase the Place</a:t>
            </a:r>
          </a:p>
        </c:rich>
      </c:tx>
      <c:layout>
        <c:manualLayout>
          <c:xMode val="edge"/>
          <c:yMode val="edge"/>
          <c:x val="0.33730224086650712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730466290121"/>
          <c:y val="0.17732558139534885"/>
          <c:w val="0.71031883664829154"/>
          <c:h val="0.63953488372093026"/>
        </c:manualLayout>
      </c:layout>
      <c:areaChart>
        <c:grouping val="standard"/>
        <c:varyColors val="0"/>
        <c:ser>
          <c:idx val="0"/>
          <c:order val="0"/>
          <c:tx>
            <c:v>2013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Archives!$B$67:$I$67</c:f>
              <c:numCache>
                <c:formatCode>#,##0</c:formatCode>
                <c:ptCount val="8"/>
                <c:pt idx="0">
                  <c:v>35442</c:v>
                </c:pt>
                <c:pt idx="1">
                  <c:v>16592</c:v>
                </c:pt>
                <c:pt idx="2">
                  <c:v>10883</c:v>
                </c:pt>
                <c:pt idx="3">
                  <c:v>7089</c:v>
                </c:pt>
                <c:pt idx="4">
                  <c:v>5747</c:v>
                </c:pt>
                <c:pt idx="5">
                  <c:v>4863</c:v>
                </c:pt>
                <c:pt idx="6">
                  <c:v>4113</c:v>
                </c:pt>
                <c:pt idx="7">
                  <c:v>4021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3-47D4-B821-2C3527D696A3}"/>
            </c:ext>
          </c:extLst>
        </c:ser>
        <c:ser>
          <c:idx val="1"/>
          <c:order val="1"/>
          <c:tx>
            <c:v>2012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Archives!$B$84:$I$84</c:f>
              <c:numCache>
                <c:formatCode>General</c:formatCode>
                <c:ptCount val="8"/>
                <c:pt idx="0">
                  <c:v>17337</c:v>
                </c:pt>
                <c:pt idx="1">
                  <c:v>7615</c:v>
                </c:pt>
                <c:pt idx="2">
                  <c:v>4910</c:v>
                </c:pt>
                <c:pt idx="3">
                  <c:v>3724</c:v>
                </c:pt>
                <c:pt idx="4">
                  <c:v>2778</c:v>
                </c:pt>
                <c:pt idx="5">
                  <c:v>2367</c:v>
                </c:pt>
                <c:pt idx="6">
                  <c:v>2367</c:v>
                </c:pt>
                <c:pt idx="7">
                  <c:v>2367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3-47D4-B821-2C3527D6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131816"/>
        <c:axId val="1"/>
      </c:areaChart>
      <c:catAx>
        <c:axId val="314131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Week</a:t>
                </a:r>
              </a:p>
            </c:rich>
          </c:tx>
          <c:layout>
            <c:manualLayout>
              <c:xMode val="edge"/>
              <c:yMode val="edge"/>
              <c:x val="0.48015966052761605"/>
              <c:y val="0.89534883720930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Runners still chasing</a:t>
                </a:r>
              </a:p>
            </c:rich>
          </c:tx>
          <c:layout>
            <c:manualLayout>
              <c:xMode val="edge"/>
              <c:yMode val="edge"/>
              <c:x val="3.1746093258024202E-2"/>
              <c:y val="0.3226744186046511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131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79539619643667"/>
          <c:y val="0.44186046511627908"/>
          <c:w val="8.3333494802313529E-2"/>
          <c:h val="0.113372093023255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parkrun Saturday attendances</a:t>
            </a:r>
          </a:p>
        </c:rich>
      </c:tx>
      <c:layout>
        <c:manualLayout>
          <c:xMode val="edge"/>
          <c:yMode val="edge"/>
          <c:x val="0.30906197705232519"/>
          <c:y val="3.11751329603495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81255343053674"/>
          <c:y val="0.17026418770652471"/>
          <c:w val="0.70388460742283487"/>
          <c:h val="0.55635621898470045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Archives!$A$5:$A$18</c:f>
              <c:numCache>
                <c:formatCode>m/d/yyyy</c:formatCode>
                <c:ptCount val="14"/>
                <c:pt idx="0">
                  <c:v>42042</c:v>
                </c:pt>
                <c:pt idx="1">
                  <c:v>42035</c:v>
                </c:pt>
                <c:pt idx="2">
                  <c:v>42028</c:v>
                </c:pt>
                <c:pt idx="3">
                  <c:v>42021</c:v>
                </c:pt>
                <c:pt idx="4">
                  <c:v>42014</c:v>
                </c:pt>
                <c:pt idx="5">
                  <c:v>42007</c:v>
                </c:pt>
                <c:pt idx="6">
                  <c:v>42000</c:v>
                </c:pt>
                <c:pt idx="7">
                  <c:v>41993</c:v>
                </c:pt>
                <c:pt idx="8">
                  <c:v>41986</c:v>
                </c:pt>
                <c:pt idx="9">
                  <c:v>41979</c:v>
                </c:pt>
                <c:pt idx="10">
                  <c:v>41972</c:v>
                </c:pt>
                <c:pt idx="11">
                  <c:v>41965</c:v>
                </c:pt>
                <c:pt idx="12">
                  <c:v>41958</c:v>
                </c:pt>
                <c:pt idx="13">
                  <c:v>41951</c:v>
                </c:pt>
              </c:numCache>
            </c:numRef>
          </c:cat>
          <c:val>
            <c:numRef>
              <c:f>Archives!$B$5:$B$18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30732</c:v>
                </c:pt>
                <c:pt idx="7">
                  <c:v>46851</c:v>
                </c:pt>
                <c:pt idx="8">
                  <c:v>36113</c:v>
                </c:pt>
                <c:pt idx="9">
                  <c:v>41689</c:v>
                </c:pt>
                <c:pt idx="10">
                  <c:v>50564</c:v>
                </c:pt>
                <c:pt idx="11">
                  <c:v>50688</c:v>
                </c:pt>
                <c:pt idx="12">
                  <c:v>53888</c:v>
                </c:pt>
                <c:pt idx="13">
                  <c:v>53565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23F-AB66-80003C35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751664"/>
        <c:axId val="1"/>
      </c:areaChart>
      <c:dateAx>
        <c:axId val="36975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8705578582591563"/>
              <c:y val="0.9088750301517305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runners</a:t>
                </a:r>
              </a:p>
            </c:rich>
          </c:tx>
          <c:layout>
            <c:manualLayout>
              <c:xMode val="edge"/>
              <c:yMode val="edge"/>
              <c:x val="2.589000854888588E-2"/>
              <c:y val="0.3860920312781757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751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49654173073067"/>
          <c:y val="0.42206333854011763"/>
          <c:w val="0.10356003419554352"/>
          <c:h val="5.2757917317514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rava.com/athletes/7434179" TargetMode="External"/><Relationship Id="rId3" Type="http://schemas.openxmlformats.org/officeDocument/2006/relationships/image" Target="../media/image4.jpeg"/><Relationship Id="rId7" Type="http://schemas.openxmlformats.org/officeDocument/2006/relationships/hyperlink" Target="http://www.strava.com/athletes/8506793" TargetMode="External"/><Relationship Id="rId2" Type="http://schemas.openxmlformats.org/officeDocument/2006/relationships/hyperlink" Target="http://www.parkrun.com/about/parkrunclubs" TargetMode="External"/><Relationship Id="rId1" Type="http://schemas.openxmlformats.org/officeDocument/2006/relationships/image" Target="../media/image3.jpeg"/><Relationship Id="rId6" Type="http://schemas.openxmlformats.org/officeDocument/2006/relationships/image" Target="../media/image6.jpeg"/><Relationship Id="rId11" Type="http://schemas.openxmlformats.org/officeDocument/2006/relationships/image" Target="../media/image9.jpeg"/><Relationship Id="rId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hyperlink" Target="http://www.strava.com/athletes/2601337" TargetMode="External"/><Relationship Id="rId9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hyperlink" Target="http://www.strava.com/athletes/2601337" TargetMode="External"/><Relationship Id="rId21" Type="http://schemas.openxmlformats.org/officeDocument/2006/relationships/image" Target="../media/image22.png"/><Relationship Id="rId7" Type="http://schemas.openxmlformats.org/officeDocument/2006/relationships/hyperlink" Target="http://www.strava.com/athletes/7434179" TargetMode="External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4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hyperlink" Target="http://www.parkrun.com/about/parkrunclubs" TargetMode="External"/><Relationship Id="rId6" Type="http://schemas.openxmlformats.org/officeDocument/2006/relationships/hyperlink" Target="http://www.strava.com/athletes/8506793" TargetMode="External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image" Target="../media/image8.jpeg"/><Relationship Id="rId7" Type="http://schemas.openxmlformats.org/officeDocument/2006/relationships/hyperlink" Target="http://www.strava.com/athletes/7434179" TargetMode="External"/><Relationship Id="rId2" Type="http://schemas.openxmlformats.org/officeDocument/2006/relationships/image" Target="../media/image6.jpeg"/><Relationship Id="rId1" Type="http://schemas.openxmlformats.org/officeDocument/2006/relationships/hyperlink" Target="http://www.parkrun.com/about/parkrunclubs" TargetMode="External"/><Relationship Id="rId6" Type="http://schemas.openxmlformats.org/officeDocument/2006/relationships/image" Target="../media/image5.png"/><Relationship Id="rId5" Type="http://schemas.openxmlformats.org/officeDocument/2006/relationships/hyperlink" Target="http://www.strava.com/athletes/8506793" TargetMode="External"/><Relationship Id="rId10" Type="http://schemas.openxmlformats.org/officeDocument/2006/relationships/image" Target="../media/image7.jpeg"/><Relationship Id="rId4" Type="http://schemas.openxmlformats.org/officeDocument/2006/relationships/image" Target="../media/image9.jpeg"/><Relationship Id="rId9" Type="http://schemas.openxmlformats.org/officeDocument/2006/relationships/hyperlink" Target="http://www.strava.com/athletes/2601337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hyperlink" Target="http://www.strava.com/athletes/2601337" TargetMode="External"/><Relationship Id="rId7" Type="http://schemas.openxmlformats.org/officeDocument/2006/relationships/hyperlink" Target="http://www.strava.com/athletes/7434179" TargetMode="External"/><Relationship Id="rId2" Type="http://schemas.openxmlformats.org/officeDocument/2006/relationships/image" Target="../media/image4.jpeg"/><Relationship Id="rId1" Type="http://schemas.openxmlformats.org/officeDocument/2006/relationships/hyperlink" Target="http://www.parkrun.com/about/parkrunclubs" TargetMode="External"/><Relationship Id="rId6" Type="http://schemas.openxmlformats.org/officeDocument/2006/relationships/hyperlink" Target="http://www.strava.com/athletes/8506793" TargetMode="External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hyperlink" Target="http://www.strava.com/athletes/2601337" TargetMode="External"/><Relationship Id="rId7" Type="http://schemas.openxmlformats.org/officeDocument/2006/relationships/hyperlink" Target="http://www.strava.com/athletes/7434179" TargetMode="External"/><Relationship Id="rId2" Type="http://schemas.openxmlformats.org/officeDocument/2006/relationships/image" Target="../media/image4.jpeg"/><Relationship Id="rId1" Type="http://schemas.openxmlformats.org/officeDocument/2006/relationships/hyperlink" Target="http://www.parkrun.com/about/parkrunclubs" TargetMode="External"/><Relationship Id="rId6" Type="http://schemas.openxmlformats.org/officeDocument/2006/relationships/hyperlink" Target="http://www.strava.com/athletes/8506793" TargetMode="External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png"/><Relationship Id="rId1" Type="http://schemas.openxmlformats.org/officeDocument/2006/relationships/hyperlink" Target="http://www.google.co.uk/url?url=http://www.parkrun.org.uk/glasgow/&amp;rct=j&amp;frm=1&amp;q=&amp;esrc=s&amp;sa=U&amp;ei=fD5JVYG0NMvvaM7VgdgE&amp;ved=0CBgQ9QEwAQ&amp;usg=AFQjCNF4dIYB3xCdwJFWRGzrWwUVNQA7nQ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jpeg"/><Relationship Id="rId1" Type="http://schemas.openxmlformats.org/officeDocument/2006/relationships/hyperlink" Target="http://www.parkrun.com/about/parkrunclubs/" TargetMode="External"/><Relationship Id="rId4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25772</xdr:colOff>
      <xdr:row>10</xdr:row>
      <xdr:rowOff>0</xdr:rowOff>
    </xdr:from>
    <xdr:to>
      <xdr:col>1</xdr:col>
      <xdr:colOff>0</xdr:colOff>
      <xdr:row>13</xdr:row>
      <xdr:rowOff>0</xdr:rowOff>
    </xdr:to>
    <xdr:pic>
      <xdr:nvPicPr>
        <xdr:cNvPr id="2" name="Picture 3" descr="parkrun logo">
          <a:extLst>
            <a:ext uri="{FF2B5EF4-FFF2-40B4-BE49-F238E27FC236}">
              <a16:creationId xmlns:a16="http://schemas.microsoft.com/office/drawing/2014/main" id="{23D8EA62-6EEC-46B9-8070-3B5ADB5FC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2" y="1133475"/>
          <a:ext cx="73622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333763</xdr:colOff>
      <xdr:row>23</xdr:row>
      <xdr:rowOff>47625</xdr:rowOff>
    </xdr:to>
    <xdr:pic>
      <xdr:nvPicPr>
        <xdr:cNvPr id="3" name="Picture 2" descr="Member of the parkrun 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F88899-AD20-49E6-ACFF-E77581070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575193</xdr:colOff>
      <xdr:row>24</xdr:row>
      <xdr:rowOff>142875</xdr:rowOff>
    </xdr:to>
    <xdr:pic>
      <xdr:nvPicPr>
        <xdr:cNvPr id="4" name="Picture 3" descr="Strava log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97B6F5-9C76-4FD5-8840-EDB8488B7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57519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333763</xdr:colOff>
      <xdr:row>23</xdr:row>
      <xdr:rowOff>47625</xdr:rowOff>
    </xdr:to>
    <xdr:pic>
      <xdr:nvPicPr>
        <xdr:cNvPr id="5" name="Picture 4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D5E9C3-20FB-456C-AC7A-914A9D253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333763</xdr:colOff>
      <xdr:row>23</xdr:row>
      <xdr:rowOff>47626</xdr:rowOff>
    </xdr:to>
    <xdr:pic>
      <xdr:nvPicPr>
        <xdr:cNvPr id="6" name="Picture 5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58AB6A-22AF-4C9E-B1A0-35AE09A15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763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333763</xdr:colOff>
      <xdr:row>23</xdr:row>
      <xdr:rowOff>47625</xdr:rowOff>
    </xdr:to>
    <xdr:pic>
      <xdr:nvPicPr>
        <xdr:cNvPr id="7" name="Picture 6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798EF6-0BED-44B0-82B2-0DA40FD9E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575193</xdr:colOff>
      <xdr:row>24</xdr:row>
      <xdr:rowOff>142875</xdr:rowOff>
    </xdr:to>
    <xdr:pic>
      <xdr:nvPicPr>
        <xdr:cNvPr id="8" name="Picture 7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4664500-54A1-4752-8B8D-C3C9ACD70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57519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333763</xdr:colOff>
      <xdr:row>23</xdr:row>
      <xdr:rowOff>47625</xdr:rowOff>
    </xdr:to>
    <xdr:pic>
      <xdr:nvPicPr>
        <xdr:cNvPr id="9" name="Picture 8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EA61E7-8E3C-450D-B65F-9A394906E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575193</xdr:colOff>
      <xdr:row>24</xdr:row>
      <xdr:rowOff>142875</xdr:rowOff>
    </xdr:to>
    <xdr:pic>
      <xdr:nvPicPr>
        <xdr:cNvPr id="10" name="Picture 9" descr="Strava log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6C876CB-FDE7-49A0-AA33-DF82D9E48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57519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333763</xdr:colOff>
      <xdr:row>23</xdr:row>
      <xdr:rowOff>47626</xdr:rowOff>
    </xdr:to>
    <xdr:pic>
      <xdr:nvPicPr>
        <xdr:cNvPr id="11" name="Picture 10" descr="Member of the parkrun 2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DF9642-2823-4514-8799-64E6B4EA0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763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333763</xdr:colOff>
      <xdr:row>23</xdr:row>
      <xdr:rowOff>47625</xdr:rowOff>
    </xdr:to>
    <xdr:pic>
      <xdr:nvPicPr>
        <xdr:cNvPr id="12" name="Picture 11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2B3D99-177A-414F-B893-CF7F736DB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333763</xdr:colOff>
      <xdr:row>23</xdr:row>
      <xdr:rowOff>47626</xdr:rowOff>
    </xdr:to>
    <xdr:pic>
      <xdr:nvPicPr>
        <xdr:cNvPr id="13" name="Picture 12" descr="Member of the parkrun 2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1212D2-54B2-4AE5-96D1-362E9E709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763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333763</xdr:colOff>
      <xdr:row>23</xdr:row>
      <xdr:rowOff>47625</xdr:rowOff>
    </xdr:to>
    <xdr:pic>
      <xdr:nvPicPr>
        <xdr:cNvPr id="14" name="Picture 13" descr="Member of the parkrun 2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1C1DE0-B3F6-4496-A16E-946E575E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333375</xdr:colOff>
      <xdr:row>23</xdr:row>
      <xdr:rowOff>47625</xdr:rowOff>
    </xdr:to>
    <xdr:pic>
      <xdr:nvPicPr>
        <xdr:cNvPr id="15" name="Picture 14" descr="Member of the parkrun 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D1DC5E-ACC8-4E56-B394-CA0E6BAE9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567806</xdr:colOff>
      <xdr:row>24</xdr:row>
      <xdr:rowOff>142875</xdr:rowOff>
    </xdr:to>
    <xdr:pic>
      <xdr:nvPicPr>
        <xdr:cNvPr id="16" name="Picture 15" descr="Strava log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0D8FBE-ED57-47D9-BC9F-4796E63BA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56780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333375</xdr:colOff>
      <xdr:row>23</xdr:row>
      <xdr:rowOff>47625</xdr:rowOff>
    </xdr:to>
    <xdr:pic>
      <xdr:nvPicPr>
        <xdr:cNvPr id="17" name="Picture 16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F92F53-6FC2-468F-B6FF-57AA2159B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333375</xdr:colOff>
      <xdr:row>23</xdr:row>
      <xdr:rowOff>47626</xdr:rowOff>
    </xdr:to>
    <xdr:pic>
      <xdr:nvPicPr>
        <xdr:cNvPr id="18" name="Picture 17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79B26B-EAEB-4631-8353-FD733C6C4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375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333375</xdr:colOff>
      <xdr:row>23</xdr:row>
      <xdr:rowOff>47625</xdr:rowOff>
    </xdr:to>
    <xdr:pic>
      <xdr:nvPicPr>
        <xdr:cNvPr id="19" name="Picture 18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10838F-AC38-4836-86D4-3A716AB5E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567806</xdr:colOff>
      <xdr:row>24</xdr:row>
      <xdr:rowOff>142875</xdr:rowOff>
    </xdr:to>
    <xdr:pic>
      <xdr:nvPicPr>
        <xdr:cNvPr id="20" name="Picture 19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5F946F3-341F-4AA4-8F63-288877AD5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56780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333375</xdr:colOff>
      <xdr:row>23</xdr:row>
      <xdr:rowOff>47625</xdr:rowOff>
    </xdr:to>
    <xdr:pic>
      <xdr:nvPicPr>
        <xdr:cNvPr id="21" name="Picture 20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BF1324-E5C0-4E2A-BC6E-7E1D56DCD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567806</xdr:colOff>
      <xdr:row>24</xdr:row>
      <xdr:rowOff>142875</xdr:rowOff>
    </xdr:to>
    <xdr:pic>
      <xdr:nvPicPr>
        <xdr:cNvPr id="22" name="Picture 21" descr="Strava log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1731217-5D0B-4B97-A5F6-5EC978A2D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56780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333375</xdr:colOff>
      <xdr:row>23</xdr:row>
      <xdr:rowOff>47626</xdr:rowOff>
    </xdr:to>
    <xdr:pic>
      <xdr:nvPicPr>
        <xdr:cNvPr id="23" name="Picture 22" descr="Member of the parkrun 2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C9033-9E03-4FC2-85D8-43BF52D1D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375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333375</xdr:colOff>
      <xdr:row>23</xdr:row>
      <xdr:rowOff>47625</xdr:rowOff>
    </xdr:to>
    <xdr:pic>
      <xdr:nvPicPr>
        <xdr:cNvPr id="24" name="Picture 23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4D5A87-CBA2-417F-9D61-B107E0425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333375</xdr:colOff>
      <xdr:row>23</xdr:row>
      <xdr:rowOff>47626</xdr:rowOff>
    </xdr:to>
    <xdr:pic>
      <xdr:nvPicPr>
        <xdr:cNvPr id="25" name="Picture 24" descr="Member of the parkrun 2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733E95-1E8D-409A-807E-7FEE8DF3F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375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21</xdr:row>
      <xdr:rowOff>0</xdr:rowOff>
    </xdr:from>
    <xdr:to>
      <xdr:col>45</xdr:col>
      <xdr:colOff>333375</xdr:colOff>
      <xdr:row>23</xdr:row>
      <xdr:rowOff>47625</xdr:rowOff>
    </xdr:to>
    <xdr:pic>
      <xdr:nvPicPr>
        <xdr:cNvPr id="26" name="Picture 25" descr="Member of the parkrun 2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A4A5E3-60D0-45F7-95B8-66448D059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35718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333375</xdr:colOff>
      <xdr:row>338</xdr:row>
      <xdr:rowOff>9525</xdr:rowOff>
    </xdr:to>
    <xdr:pic>
      <xdr:nvPicPr>
        <xdr:cNvPr id="27" name="Picture 26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54984A-EDFF-4872-94DF-2E485CD90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88201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333375</xdr:colOff>
      <xdr:row>338</xdr:row>
      <xdr:rowOff>9525</xdr:rowOff>
    </xdr:to>
    <xdr:pic>
      <xdr:nvPicPr>
        <xdr:cNvPr id="28" name="Picture 27" descr="Member of the parkrun v25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DB02D9-B5B2-474D-9195-CD26E642E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900" y="88201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333375</xdr:colOff>
      <xdr:row>338</xdr:row>
      <xdr:rowOff>9525</xdr:rowOff>
    </xdr:to>
    <xdr:pic>
      <xdr:nvPicPr>
        <xdr:cNvPr id="29" name="Picture 28" descr="Member of the parkrun 2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856FF3-AAF8-4A21-B75C-88B62CD9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93154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333375</xdr:colOff>
      <xdr:row>338</xdr:row>
      <xdr:rowOff>9525</xdr:rowOff>
    </xdr:to>
    <xdr:pic>
      <xdr:nvPicPr>
        <xdr:cNvPr id="30" name="Picture 29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F8377C-BC3D-4597-863F-2D9461654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9810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333375</xdr:colOff>
      <xdr:row>338</xdr:row>
      <xdr:rowOff>9525</xdr:rowOff>
    </xdr:to>
    <xdr:pic>
      <xdr:nvPicPr>
        <xdr:cNvPr id="31" name="Picture 30" descr="Member of the parkrun v25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1F74EB-80F8-40B0-8F20-9E8BA2E73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900" y="9810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571500</xdr:colOff>
      <xdr:row>339</xdr:row>
      <xdr:rowOff>85725</xdr:rowOff>
    </xdr:to>
    <xdr:pic>
      <xdr:nvPicPr>
        <xdr:cNvPr id="32" name="Picture 31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02E049-5A2F-4797-99FB-8CA305F33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2800" y="9810750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333375</xdr:colOff>
      <xdr:row>338</xdr:row>
      <xdr:rowOff>9525</xdr:rowOff>
    </xdr:to>
    <xdr:pic>
      <xdr:nvPicPr>
        <xdr:cNvPr id="33" name="Picture 32" descr="Member of the parkrun 10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3891CA-48D1-4D10-9E9E-F6642F5C5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103060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333375</xdr:colOff>
      <xdr:row>338</xdr:row>
      <xdr:rowOff>9525</xdr:rowOff>
    </xdr:to>
    <xdr:pic>
      <xdr:nvPicPr>
        <xdr:cNvPr id="34" name="Picture 33" descr="Member of the parkrun v25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CD1048-8B33-47AE-A8E5-62C917715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900" y="103060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571500</xdr:colOff>
      <xdr:row>339</xdr:row>
      <xdr:rowOff>85725</xdr:rowOff>
    </xdr:to>
    <xdr:pic>
      <xdr:nvPicPr>
        <xdr:cNvPr id="35" name="Picture 34" descr="Strava log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C225457-33C0-4EB5-85B6-9CFA8ACC5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2800" y="10306050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333375</xdr:colOff>
      <xdr:row>338</xdr:row>
      <xdr:rowOff>9525</xdr:rowOff>
    </xdr:to>
    <xdr:pic>
      <xdr:nvPicPr>
        <xdr:cNvPr id="36" name="Picture 35" descr="Member of the parkrun 250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8F05F7-F13B-4BAB-8CA6-11457537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108013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336</xdr:row>
      <xdr:rowOff>0</xdr:rowOff>
    </xdr:from>
    <xdr:to>
      <xdr:col>16</xdr:col>
      <xdr:colOff>333375</xdr:colOff>
      <xdr:row>338</xdr:row>
      <xdr:rowOff>9525</xdr:rowOff>
    </xdr:to>
    <xdr:pic>
      <xdr:nvPicPr>
        <xdr:cNvPr id="37" name="Picture 36" descr="Member of the parkrun v25 Club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376645-43DF-42E5-8EF9-9A7394E34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900" y="108013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1292</xdr:row>
      <xdr:rowOff>0</xdr:rowOff>
    </xdr:from>
    <xdr:to>
      <xdr:col>35</xdr:col>
      <xdr:colOff>9525</xdr:colOff>
      <xdr:row>1293</xdr:row>
      <xdr:rowOff>142875</xdr:rowOff>
    </xdr:to>
    <xdr:sp macro="" textlink="">
      <xdr:nvSpPr>
        <xdr:cNvPr id="3077" name="AutoShape 5" descr="refresh12x12">
          <a:extLst>
            <a:ext uri="{FF2B5EF4-FFF2-40B4-BE49-F238E27FC236}">
              <a16:creationId xmlns:a16="http://schemas.microsoft.com/office/drawing/2014/main" id="{CAE9CE05-8929-42DD-96B5-1AD9CE726313}"/>
            </a:ext>
          </a:extLst>
        </xdr:cNvPr>
        <xdr:cNvSpPr>
          <a:spLocks noChangeAspect="1" noChangeArrowheads="1"/>
        </xdr:cNvSpPr>
      </xdr:nvSpPr>
      <xdr:spPr bwMode="auto">
        <a:xfrm>
          <a:off x="12306300" y="10301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40</xdr:col>
      <xdr:colOff>0</xdr:colOff>
      <xdr:row>1315</xdr:row>
      <xdr:rowOff>19050</xdr:rowOff>
    </xdr:from>
    <xdr:to>
      <xdr:col>41</xdr:col>
      <xdr:colOff>9525</xdr:colOff>
      <xdr:row>1317</xdr:row>
      <xdr:rowOff>0</xdr:rowOff>
    </xdr:to>
    <xdr:sp macro="" textlink="">
      <xdr:nvSpPr>
        <xdr:cNvPr id="3089" name="AutoShape 17" descr="refresh12x12">
          <a:extLst>
            <a:ext uri="{FF2B5EF4-FFF2-40B4-BE49-F238E27FC236}">
              <a16:creationId xmlns:a16="http://schemas.microsoft.com/office/drawing/2014/main" id="{8E20BA89-C4A3-40CF-A13E-2A550A6BAB50}"/>
            </a:ext>
          </a:extLst>
        </xdr:cNvPr>
        <xdr:cNvSpPr>
          <a:spLocks noChangeAspect="1" noChangeArrowheads="1"/>
        </xdr:cNvSpPr>
      </xdr:nvSpPr>
      <xdr:spPr bwMode="auto">
        <a:xfrm>
          <a:off x="1308735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333763</xdr:colOff>
      <xdr:row>1</xdr:row>
      <xdr:rowOff>152400</xdr:rowOff>
    </xdr:to>
    <xdr:pic>
      <xdr:nvPicPr>
        <xdr:cNvPr id="6" name="Picture 5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5039F0-3602-4E14-8A40-B9333F72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04298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575193</xdr:colOff>
      <xdr:row>3</xdr:row>
      <xdr:rowOff>47625</xdr:rowOff>
    </xdr:to>
    <xdr:pic>
      <xdr:nvPicPr>
        <xdr:cNvPr id="7" name="Picture 6" descr="Strava log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AE8D20-393B-426C-9110-858C78A65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042987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333763</xdr:colOff>
      <xdr:row>1</xdr:row>
      <xdr:rowOff>152400</xdr:rowOff>
    </xdr:to>
    <xdr:pic>
      <xdr:nvPicPr>
        <xdr:cNvPr id="8" name="Picture 7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89C18D-F9B0-4BF4-921E-65241A6BC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06108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333763</xdr:colOff>
      <xdr:row>1</xdr:row>
      <xdr:rowOff>152401</xdr:rowOff>
    </xdr:to>
    <xdr:pic>
      <xdr:nvPicPr>
        <xdr:cNvPr id="9" name="Picture 8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C2CB37-D40D-4612-B428-8DD65AB46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07918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333763</xdr:colOff>
      <xdr:row>1</xdr:row>
      <xdr:rowOff>152400</xdr:rowOff>
    </xdr:to>
    <xdr:pic>
      <xdr:nvPicPr>
        <xdr:cNvPr id="10" name="Picture 9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03E0B7-3712-452B-B1C2-56C8C37CF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097280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575193</xdr:colOff>
      <xdr:row>3</xdr:row>
      <xdr:rowOff>47625</xdr:rowOff>
    </xdr:to>
    <xdr:pic>
      <xdr:nvPicPr>
        <xdr:cNvPr id="11" name="Picture 10" descr="Strava log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0ED930-F18C-4EA6-8AD7-3F9EF5B9B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0972800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333763</xdr:colOff>
      <xdr:row>1</xdr:row>
      <xdr:rowOff>152400</xdr:rowOff>
    </xdr:to>
    <xdr:pic>
      <xdr:nvPicPr>
        <xdr:cNvPr id="12" name="Picture 11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B803F4-7192-4346-8E0C-3051DBF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11537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575193</xdr:colOff>
      <xdr:row>3</xdr:row>
      <xdr:rowOff>47625</xdr:rowOff>
    </xdr:to>
    <xdr:pic>
      <xdr:nvPicPr>
        <xdr:cNvPr id="13" name="Picture 12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1472638-B17C-4466-B3F7-7C80171B3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115377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333763</xdr:colOff>
      <xdr:row>1</xdr:row>
      <xdr:rowOff>152401</xdr:rowOff>
    </xdr:to>
    <xdr:pic>
      <xdr:nvPicPr>
        <xdr:cNvPr id="14" name="Picture 13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314FA3-8245-4545-A7A0-52DF35E07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1334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333763</xdr:colOff>
      <xdr:row>1</xdr:row>
      <xdr:rowOff>152400</xdr:rowOff>
    </xdr:to>
    <xdr:pic>
      <xdr:nvPicPr>
        <xdr:cNvPr id="15" name="Picture 14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3669EE-0843-4641-80F8-2EF67B78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15157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333763</xdr:colOff>
      <xdr:row>1</xdr:row>
      <xdr:rowOff>152401</xdr:rowOff>
    </xdr:to>
    <xdr:pic>
      <xdr:nvPicPr>
        <xdr:cNvPr id="16" name="Picture 15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BFA2A7-7EA1-434B-9E02-041CEB96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169670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333763</xdr:colOff>
      <xdr:row>1</xdr:row>
      <xdr:rowOff>152400</xdr:rowOff>
    </xdr:to>
    <xdr:pic>
      <xdr:nvPicPr>
        <xdr:cNvPr id="17" name="Picture 16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CC0A51-033E-46FC-BE58-CDD797FA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18776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333375</xdr:colOff>
      <xdr:row>1</xdr:row>
      <xdr:rowOff>152400</xdr:rowOff>
    </xdr:to>
    <xdr:pic>
      <xdr:nvPicPr>
        <xdr:cNvPr id="18" name="Picture 17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99575A-803A-482A-A3C1-330FAA925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104298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567806</xdr:colOff>
      <xdr:row>3</xdr:row>
      <xdr:rowOff>47625</xdr:rowOff>
    </xdr:to>
    <xdr:pic>
      <xdr:nvPicPr>
        <xdr:cNvPr id="19" name="Picture 18" descr="Strava log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9D9758-6A19-4E72-94C9-DDB89059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1042987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333375</xdr:colOff>
      <xdr:row>1</xdr:row>
      <xdr:rowOff>152400</xdr:rowOff>
    </xdr:to>
    <xdr:pic>
      <xdr:nvPicPr>
        <xdr:cNvPr id="20" name="Picture 19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C4512E-7C01-40A6-9892-750A73D41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106108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333375</xdr:colOff>
      <xdr:row>1</xdr:row>
      <xdr:rowOff>152401</xdr:rowOff>
    </xdr:to>
    <xdr:pic>
      <xdr:nvPicPr>
        <xdr:cNvPr id="21" name="Picture 20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84FE72-7AC0-4ED8-A64E-9578B7E36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107918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333375</xdr:colOff>
      <xdr:row>1</xdr:row>
      <xdr:rowOff>152400</xdr:rowOff>
    </xdr:to>
    <xdr:pic>
      <xdr:nvPicPr>
        <xdr:cNvPr id="22" name="Picture 21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58D352-3D29-4E5D-BBEC-BCD7DC62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1097280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567806</xdr:colOff>
      <xdr:row>3</xdr:row>
      <xdr:rowOff>47625</xdr:rowOff>
    </xdr:to>
    <xdr:pic>
      <xdr:nvPicPr>
        <xdr:cNvPr id="23" name="Picture 22" descr="Strava log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9D28D0D-5258-4EAF-A54C-BA4E5E6FC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10972800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333375</xdr:colOff>
      <xdr:row>1</xdr:row>
      <xdr:rowOff>152400</xdr:rowOff>
    </xdr:to>
    <xdr:pic>
      <xdr:nvPicPr>
        <xdr:cNvPr id="24" name="Picture 23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2F4613-064C-4DA9-9A71-A2DE7B4EC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111537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567806</xdr:colOff>
      <xdr:row>3</xdr:row>
      <xdr:rowOff>47625</xdr:rowOff>
    </xdr:to>
    <xdr:pic>
      <xdr:nvPicPr>
        <xdr:cNvPr id="25" name="Picture 24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9D1D768-9062-48E3-9273-55B54E73B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1115377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333375</xdr:colOff>
      <xdr:row>1</xdr:row>
      <xdr:rowOff>152401</xdr:rowOff>
    </xdr:to>
    <xdr:pic>
      <xdr:nvPicPr>
        <xdr:cNvPr id="26" name="Picture 25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B9FC59-655E-4075-8813-9669BFD13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11334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333375</xdr:colOff>
      <xdr:row>1</xdr:row>
      <xdr:rowOff>152400</xdr:rowOff>
    </xdr:to>
    <xdr:pic>
      <xdr:nvPicPr>
        <xdr:cNvPr id="27" name="Picture 26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1B36DF-3512-4DD9-99E5-99D3D79A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115157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333375</xdr:colOff>
      <xdr:row>1</xdr:row>
      <xdr:rowOff>152401</xdr:rowOff>
    </xdr:to>
    <xdr:pic>
      <xdr:nvPicPr>
        <xdr:cNvPr id="28" name="Picture 27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7DE356-0959-4225-BEF3-5058AEFBD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1169670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333375</xdr:colOff>
      <xdr:row>1</xdr:row>
      <xdr:rowOff>152400</xdr:rowOff>
    </xdr:to>
    <xdr:pic>
      <xdr:nvPicPr>
        <xdr:cNvPr id="29" name="Picture 28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6B9C7D-6B3C-4088-848E-219ED46D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118776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29</xdr:col>
      <xdr:colOff>57150</xdr:colOff>
      <xdr:row>1257</xdr:row>
      <xdr:rowOff>19050</xdr:rowOff>
    </xdr:from>
    <xdr:ext cx="304800" cy="304800"/>
    <xdr:sp macro="" textlink="">
      <xdr:nvSpPr>
        <xdr:cNvPr id="30" name="AutoShape 17" descr="refresh12x12">
          <a:extLst>
            <a:ext uri="{FF2B5EF4-FFF2-40B4-BE49-F238E27FC236}">
              <a16:creationId xmlns:a16="http://schemas.microsoft.com/office/drawing/2014/main" id="{6D3FE023-F4A0-4ADF-AC44-738FBB4A41E2}"/>
            </a:ext>
          </a:extLst>
        </xdr:cNvPr>
        <xdr:cNvSpPr>
          <a:spLocks noChangeAspect="1" noChangeArrowheads="1"/>
        </xdr:cNvSpPr>
      </xdr:nvSpPr>
      <xdr:spPr bwMode="auto">
        <a:xfrm>
          <a:off x="13087350" y="161705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1320</xdr:row>
      <xdr:rowOff>19050</xdr:rowOff>
    </xdr:from>
    <xdr:to>
      <xdr:col>8</xdr:col>
      <xdr:colOff>304800</xdr:colOff>
      <xdr:row>1322</xdr:row>
      <xdr:rowOff>9525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7E843A45-F7CB-4C55-8F1C-A073E50BB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78279425"/>
          <a:ext cx="6096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</xdr:colOff>
      <xdr:row>1383</xdr:row>
      <xdr:rowOff>0</xdr:rowOff>
    </xdr:from>
    <xdr:to>
      <xdr:col>12</xdr:col>
      <xdr:colOff>19050</xdr:colOff>
      <xdr:row>1384</xdr:row>
      <xdr:rowOff>142875</xdr:rowOff>
    </xdr:to>
    <xdr:pic>
      <xdr:nvPicPr>
        <xdr:cNvPr id="32" name="Picture 31" descr="South Africa">
          <a:extLst>
            <a:ext uri="{FF2B5EF4-FFF2-40B4-BE49-F238E27FC236}">
              <a16:creationId xmlns:a16="http://schemas.microsoft.com/office/drawing/2014/main" id="{303BDA57-A420-4C80-A049-5AE7CD947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210969225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1173</xdr:row>
      <xdr:rowOff>0</xdr:rowOff>
    </xdr:from>
    <xdr:to>
      <xdr:col>13</xdr:col>
      <xdr:colOff>19050</xdr:colOff>
      <xdr:row>1174</xdr:row>
      <xdr:rowOff>142875</xdr:rowOff>
    </xdr:to>
    <xdr:pic>
      <xdr:nvPicPr>
        <xdr:cNvPr id="33" name="Picture 32" descr="Sweden">
          <a:extLst>
            <a:ext uri="{FF2B5EF4-FFF2-40B4-BE49-F238E27FC236}">
              <a16:creationId xmlns:a16="http://schemas.microsoft.com/office/drawing/2014/main" id="{E631C763-C5BE-432F-B55C-9458257BF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61629725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1141</xdr:row>
      <xdr:rowOff>0</xdr:rowOff>
    </xdr:from>
    <xdr:to>
      <xdr:col>14</xdr:col>
      <xdr:colOff>0</xdr:colOff>
      <xdr:row>1142</xdr:row>
      <xdr:rowOff>142875</xdr:rowOff>
    </xdr:to>
    <xdr:pic>
      <xdr:nvPicPr>
        <xdr:cNvPr id="34" name="Picture 33" descr="Ireland">
          <a:extLst>
            <a:ext uri="{FF2B5EF4-FFF2-40B4-BE49-F238E27FC236}">
              <a16:creationId xmlns:a16="http://schemas.microsoft.com/office/drawing/2014/main" id="{9D9B1A47-0F2C-44EE-A24D-53C30AB58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8067375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1174</xdr:row>
      <xdr:rowOff>0</xdr:rowOff>
    </xdr:from>
    <xdr:to>
      <xdr:col>7</xdr:col>
      <xdr:colOff>285750</xdr:colOff>
      <xdr:row>1175</xdr:row>
      <xdr:rowOff>142875</xdr:rowOff>
    </xdr:to>
    <xdr:pic>
      <xdr:nvPicPr>
        <xdr:cNvPr id="35" name="Picture 34" descr="Denmark">
          <a:extLst>
            <a:ext uri="{FF2B5EF4-FFF2-40B4-BE49-F238E27FC236}">
              <a16:creationId xmlns:a16="http://schemas.microsoft.com/office/drawing/2014/main" id="{81ACD33B-4C3D-4446-80E0-8D7149290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62925125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1076</xdr:row>
      <xdr:rowOff>0</xdr:rowOff>
    </xdr:from>
    <xdr:to>
      <xdr:col>14</xdr:col>
      <xdr:colOff>0</xdr:colOff>
      <xdr:row>1077</xdr:row>
      <xdr:rowOff>142875</xdr:rowOff>
    </xdr:to>
    <xdr:pic>
      <xdr:nvPicPr>
        <xdr:cNvPr id="36" name="Picture 35" descr="Northern Ireland">
          <a:extLst>
            <a:ext uri="{FF2B5EF4-FFF2-40B4-BE49-F238E27FC236}">
              <a16:creationId xmlns:a16="http://schemas.microsoft.com/office/drawing/2014/main" id="{6BE9C0BB-00EE-4AA6-A9F6-E53B216A2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49485350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1119</xdr:row>
      <xdr:rowOff>0</xdr:rowOff>
    </xdr:from>
    <xdr:to>
      <xdr:col>11</xdr:col>
      <xdr:colOff>295275</xdr:colOff>
      <xdr:row>1120</xdr:row>
      <xdr:rowOff>142875</xdr:rowOff>
    </xdr:to>
    <xdr:pic>
      <xdr:nvPicPr>
        <xdr:cNvPr id="38" name="Picture 37" descr="Scotland">
          <a:extLst>
            <a:ext uri="{FF2B5EF4-FFF2-40B4-BE49-F238E27FC236}">
              <a16:creationId xmlns:a16="http://schemas.microsoft.com/office/drawing/2014/main" id="{CEE6C8EB-727C-40DA-8155-18D2DEE34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55314650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1274</xdr:row>
      <xdr:rowOff>0</xdr:rowOff>
    </xdr:from>
    <xdr:to>
      <xdr:col>12</xdr:col>
      <xdr:colOff>9525</xdr:colOff>
      <xdr:row>1275</xdr:row>
      <xdr:rowOff>142875</xdr:rowOff>
    </xdr:to>
    <xdr:pic>
      <xdr:nvPicPr>
        <xdr:cNvPr id="39" name="Picture 38" descr="Australia">
          <a:extLst>
            <a:ext uri="{FF2B5EF4-FFF2-40B4-BE49-F238E27FC236}">
              <a16:creationId xmlns:a16="http://schemas.microsoft.com/office/drawing/2014/main" id="{1F15FA95-1AE5-4253-8D6E-AE78B6020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66763700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304799</xdr:colOff>
      <xdr:row>1091</xdr:row>
      <xdr:rowOff>104774</xdr:rowOff>
    </xdr:from>
    <xdr:to>
      <xdr:col>12</xdr:col>
      <xdr:colOff>38099</xdr:colOff>
      <xdr:row>1094</xdr:row>
      <xdr:rowOff>9524</xdr:rowOff>
    </xdr:to>
    <xdr:pic>
      <xdr:nvPicPr>
        <xdr:cNvPr id="41" name="Picture 40" descr="Wales">
          <a:extLst>
            <a:ext uri="{FF2B5EF4-FFF2-40B4-BE49-F238E27FC236}">
              <a16:creationId xmlns:a16="http://schemas.microsoft.com/office/drawing/2014/main" id="{D729FB67-A898-4F4D-B2C9-694B42AF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4" y="143922749"/>
          <a:ext cx="6572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9524</xdr:colOff>
      <xdr:row>1172</xdr:row>
      <xdr:rowOff>142876</xdr:rowOff>
    </xdr:from>
    <xdr:to>
      <xdr:col>9</xdr:col>
      <xdr:colOff>295274</xdr:colOff>
      <xdr:row>1174</xdr:row>
      <xdr:rowOff>152400</xdr:rowOff>
    </xdr:to>
    <xdr:pic>
      <xdr:nvPicPr>
        <xdr:cNvPr id="42" name="Picture 41" descr="Norway">
          <a:extLst>
            <a:ext uri="{FF2B5EF4-FFF2-40B4-BE49-F238E27FC236}">
              <a16:creationId xmlns:a16="http://schemas.microsoft.com/office/drawing/2014/main" id="{EE154544-557F-45B6-A587-75D6A2C4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4" y="149628226"/>
          <a:ext cx="600075" cy="33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1173</xdr:row>
      <xdr:rowOff>0</xdr:rowOff>
    </xdr:from>
    <xdr:to>
      <xdr:col>18</xdr:col>
      <xdr:colOff>0</xdr:colOff>
      <xdr:row>1174</xdr:row>
      <xdr:rowOff>142875</xdr:rowOff>
    </xdr:to>
    <xdr:pic>
      <xdr:nvPicPr>
        <xdr:cNvPr id="43" name="Picture 42" descr="Germany">
          <a:extLst>
            <a:ext uri="{FF2B5EF4-FFF2-40B4-BE49-F238E27FC236}">
              <a16:creationId xmlns:a16="http://schemas.microsoft.com/office/drawing/2014/main" id="{90B2F639-AE56-42F5-9163-A333FE213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62763200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1230</xdr:row>
      <xdr:rowOff>19050</xdr:rowOff>
    </xdr:from>
    <xdr:to>
      <xdr:col>10</xdr:col>
      <xdr:colOff>304800</xdr:colOff>
      <xdr:row>1232</xdr:row>
      <xdr:rowOff>0</xdr:rowOff>
    </xdr:to>
    <xdr:pic>
      <xdr:nvPicPr>
        <xdr:cNvPr id="46" name="Picture 45" descr="https://m.files.bbci.co.uk/modules/bbc-morph-sport-country-flag-by-code/2.1.7/images/pol.png">
          <a:extLst>
            <a:ext uri="{FF2B5EF4-FFF2-40B4-BE49-F238E27FC236}">
              <a16:creationId xmlns:a16="http://schemas.microsoft.com/office/drawing/2014/main" id="{C4363A68-9DA7-4B3C-B471-4F59392F6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67154225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1230</xdr:row>
      <xdr:rowOff>19050</xdr:rowOff>
    </xdr:from>
    <xdr:to>
      <xdr:col>19</xdr:col>
      <xdr:colOff>38098</xdr:colOff>
      <xdr:row>1232</xdr:row>
      <xdr:rowOff>19049</xdr:rowOff>
    </xdr:to>
    <xdr:pic>
      <xdr:nvPicPr>
        <xdr:cNvPr id="47" name="Picture 46" descr="https://m.files.bbci.co.uk/modules/bbc-morph-sport-country-flag-by-code/2.1.7/images/rus.png">
          <a:extLst>
            <a:ext uri="{FF2B5EF4-FFF2-40B4-BE49-F238E27FC236}">
              <a16:creationId xmlns:a16="http://schemas.microsoft.com/office/drawing/2014/main" id="{BF4005AE-3C0B-4231-8D27-04D88531F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7154225"/>
          <a:ext cx="647698" cy="323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1230</xdr:row>
      <xdr:rowOff>28575</xdr:rowOff>
    </xdr:from>
    <xdr:to>
      <xdr:col>6</xdr:col>
      <xdr:colOff>266700</xdr:colOff>
      <xdr:row>1232</xdr:row>
      <xdr:rowOff>9525</xdr:rowOff>
    </xdr:to>
    <xdr:pic>
      <xdr:nvPicPr>
        <xdr:cNvPr id="48" name="Picture 47" descr="https://m.files.bbci.co.uk/modules/bbc-morph-sport-country-flag-by-code/2.1.7/images/cze.png">
          <a:extLst>
            <a:ext uri="{FF2B5EF4-FFF2-40B4-BE49-F238E27FC236}">
              <a16:creationId xmlns:a16="http://schemas.microsoft.com/office/drawing/2014/main" id="{D85E0A8E-E320-46B1-B0E8-E700BDCA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67163750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1249</xdr:row>
      <xdr:rowOff>0</xdr:rowOff>
    </xdr:from>
    <xdr:to>
      <xdr:col>21</xdr:col>
      <xdr:colOff>0</xdr:colOff>
      <xdr:row>1250</xdr:row>
      <xdr:rowOff>142875</xdr:rowOff>
    </xdr:to>
    <xdr:pic>
      <xdr:nvPicPr>
        <xdr:cNvPr id="49" name="Picture 48" descr="Australia">
          <a:extLst>
            <a:ext uri="{FF2B5EF4-FFF2-40B4-BE49-F238E27FC236}">
              <a16:creationId xmlns:a16="http://schemas.microsoft.com/office/drawing/2014/main" id="{287B4877-9302-40DF-B640-67A7F3903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63087050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</xdr:colOff>
      <xdr:row>1249</xdr:row>
      <xdr:rowOff>9525</xdr:rowOff>
    </xdr:from>
    <xdr:to>
      <xdr:col>14</xdr:col>
      <xdr:colOff>9525</xdr:colOff>
      <xdr:row>1250</xdr:row>
      <xdr:rowOff>152400</xdr:rowOff>
    </xdr:to>
    <xdr:pic>
      <xdr:nvPicPr>
        <xdr:cNvPr id="50" name="Picture 49" descr="Japan">
          <a:extLst>
            <a:ext uri="{FF2B5EF4-FFF2-40B4-BE49-F238E27FC236}">
              <a16:creationId xmlns:a16="http://schemas.microsoft.com/office/drawing/2014/main" id="{29B2D5E6-C865-4C37-92A5-A483C2444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63096575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9525</xdr:colOff>
      <xdr:row>1204</xdr:row>
      <xdr:rowOff>142875</xdr:rowOff>
    </xdr:from>
    <xdr:ext cx="609600" cy="304800"/>
    <xdr:pic>
      <xdr:nvPicPr>
        <xdr:cNvPr id="51" name="Picture 50" descr="Italy">
          <a:extLst>
            <a:ext uri="{FF2B5EF4-FFF2-40B4-BE49-F238E27FC236}">
              <a16:creationId xmlns:a16="http://schemas.microsoft.com/office/drawing/2014/main" id="{97A7BF13-D72F-462C-B583-1DEEAC836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54809825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0</xdr:colOff>
      <xdr:row>1174</xdr:row>
      <xdr:rowOff>0</xdr:rowOff>
    </xdr:from>
    <xdr:to>
      <xdr:col>16</xdr:col>
      <xdr:colOff>0</xdr:colOff>
      <xdr:row>1175</xdr:row>
      <xdr:rowOff>142875</xdr:rowOff>
    </xdr:to>
    <xdr:pic>
      <xdr:nvPicPr>
        <xdr:cNvPr id="52" name="Picture 51" descr="https://static.bbc.co.uk/onesport/2.11.699/images/flags/vide-code/fin.png">
          <a:extLst>
            <a:ext uri="{FF2B5EF4-FFF2-40B4-BE49-F238E27FC236}">
              <a16:creationId xmlns:a16="http://schemas.microsoft.com/office/drawing/2014/main" id="{61F6B903-F07E-4414-816B-E16B32D6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49809200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38100</xdr:colOff>
      <xdr:row>1359</xdr:row>
      <xdr:rowOff>28575</xdr:rowOff>
    </xdr:from>
    <xdr:ext cx="609600" cy="276225"/>
    <xdr:pic>
      <xdr:nvPicPr>
        <xdr:cNvPr id="53" name="Picture 52" descr="Canada">
          <a:extLst>
            <a:ext uri="{FF2B5EF4-FFF2-40B4-BE49-F238E27FC236}">
              <a16:creationId xmlns:a16="http://schemas.microsoft.com/office/drawing/2014/main" id="{F74CE2AE-597B-4EC9-B66A-97ABE9E31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81365525"/>
          <a:ext cx="6096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0</xdr:colOff>
      <xdr:row>1205</xdr:row>
      <xdr:rowOff>0</xdr:rowOff>
    </xdr:from>
    <xdr:to>
      <xdr:col>19</xdr:col>
      <xdr:colOff>0</xdr:colOff>
      <xdr:row>1206</xdr:row>
      <xdr:rowOff>142875</xdr:rowOff>
    </xdr:to>
    <xdr:pic>
      <xdr:nvPicPr>
        <xdr:cNvPr id="54" name="Picture 53" descr="France">
          <a:extLst>
            <a:ext uri="{FF2B5EF4-FFF2-40B4-BE49-F238E27FC236}">
              <a16:creationId xmlns:a16="http://schemas.microsoft.com/office/drawing/2014/main" id="{25852437-A457-4287-A814-E60CF853D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6001700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19050</xdr:colOff>
      <xdr:row>1173</xdr:row>
      <xdr:rowOff>9525</xdr:rowOff>
    </xdr:from>
    <xdr:to>
      <xdr:col>27</xdr:col>
      <xdr:colOff>628703</xdr:colOff>
      <xdr:row>1174</xdr:row>
      <xdr:rowOff>152426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22B56-AAE4-4876-8F4C-5B5E6150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953750" y="178498500"/>
          <a:ext cx="609653" cy="30482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1173</xdr:row>
      <xdr:rowOff>0</xdr:rowOff>
    </xdr:from>
    <xdr:to>
      <xdr:col>26</xdr:col>
      <xdr:colOff>0</xdr:colOff>
      <xdr:row>1174</xdr:row>
      <xdr:rowOff>142875</xdr:rowOff>
    </xdr:to>
    <xdr:pic>
      <xdr:nvPicPr>
        <xdr:cNvPr id="57" name="Picture 56" descr="Netherlands">
          <a:extLst>
            <a:ext uri="{FF2B5EF4-FFF2-40B4-BE49-F238E27FC236}">
              <a16:creationId xmlns:a16="http://schemas.microsoft.com/office/drawing/2014/main" id="{7A371177-09D2-4E83-9E19-BC4D0E45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178488975"/>
          <a:ext cx="6096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509</xdr:row>
      <xdr:rowOff>0</xdr:rowOff>
    </xdr:from>
    <xdr:to>
      <xdr:col>2</xdr:col>
      <xdr:colOff>304800</xdr:colOff>
      <xdr:row>510</xdr:row>
      <xdr:rowOff>142875</xdr:rowOff>
    </xdr:to>
    <xdr:sp macro="" textlink="">
      <xdr:nvSpPr>
        <xdr:cNvPr id="5121" name="AutoShape 1" descr="refresh12x12">
          <a:extLst>
            <a:ext uri="{FF2B5EF4-FFF2-40B4-BE49-F238E27FC236}">
              <a16:creationId xmlns:a16="http://schemas.microsoft.com/office/drawing/2014/main" id="{26321C23-54F3-4772-AE17-5AC2315CFB2A}"/>
            </a:ext>
          </a:extLst>
        </xdr:cNvPr>
        <xdr:cNvSpPr>
          <a:spLocks noChangeAspect="1" noChangeArrowheads="1"/>
        </xdr:cNvSpPr>
      </xdr:nvSpPr>
      <xdr:spPr bwMode="auto">
        <a:xfrm>
          <a:off x="438150" y="6943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589</xdr:row>
      <xdr:rowOff>0</xdr:rowOff>
    </xdr:from>
    <xdr:to>
      <xdr:col>17</xdr:col>
      <xdr:colOff>333375</xdr:colOff>
      <xdr:row>591</xdr:row>
      <xdr:rowOff>9525</xdr:rowOff>
    </xdr:to>
    <xdr:pic>
      <xdr:nvPicPr>
        <xdr:cNvPr id="2" name="Picture 1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68B5A4-0504-42EB-B75A-B662C9C57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333375</xdr:colOff>
      <xdr:row>591</xdr:row>
      <xdr:rowOff>9525</xdr:rowOff>
    </xdr:to>
    <xdr:pic>
      <xdr:nvPicPr>
        <xdr:cNvPr id="3" name="Picture 2" descr="Member of the parkrun v25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27BB37-70E7-4E73-BFF2-3CEB66BBF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333375</xdr:colOff>
      <xdr:row>591</xdr:row>
      <xdr:rowOff>9525</xdr:rowOff>
    </xdr:to>
    <xdr:pic>
      <xdr:nvPicPr>
        <xdr:cNvPr id="4" name="Picture 3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811A27-8F71-439F-81CC-E08DA53C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333375</xdr:colOff>
      <xdr:row>591</xdr:row>
      <xdr:rowOff>9525</xdr:rowOff>
    </xdr:to>
    <xdr:pic>
      <xdr:nvPicPr>
        <xdr:cNvPr id="5" name="Picture 4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93F052-4EEC-4318-B09C-581FEBF2B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333375</xdr:colOff>
      <xdr:row>591</xdr:row>
      <xdr:rowOff>9525</xdr:rowOff>
    </xdr:to>
    <xdr:pic>
      <xdr:nvPicPr>
        <xdr:cNvPr id="6" name="Picture 5" descr="Member of the parkrun v25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A0289D-4BC1-48D4-80D7-F3E391320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571500</xdr:colOff>
      <xdr:row>592</xdr:row>
      <xdr:rowOff>85725</xdr:rowOff>
    </xdr:to>
    <xdr:pic>
      <xdr:nvPicPr>
        <xdr:cNvPr id="7" name="Picture 6" descr="Strava log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3035DF7-283E-4A03-8B84-25AC67D05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333375</xdr:colOff>
      <xdr:row>591</xdr:row>
      <xdr:rowOff>9525</xdr:rowOff>
    </xdr:to>
    <xdr:pic>
      <xdr:nvPicPr>
        <xdr:cNvPr id="8" name="Picture 7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D197B2-AD0C-4744-AD2E-A22847D0A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333375</xdr:colOff>
      <xdr:row>591</xdr:row>
      <xdr:rowOff>9525</xdr:rowOff>
    </xdr:to>
    <xdr:pic>
      <xdr:nvPicPr>
        <xdr:cNvPr id="9" name="Picture 8" descr="Member of the parkrun v25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B2036E-FEEA-45F6-A903-BFF336706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571500</xdr:colOff>
      <xdr:row>592</xdr:row>
      <xdr:rowOff>85725</xdr:rowOff>
    </xdr:to>
    <xdr:pic>
      <xdr:nvPicPr>
        <xdr:cNvPr id="10" name="Picture 9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7EAA7EB-F591-49DC-AC6A-26ECB1906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333375</xdr:colOff>
      <xdr:row>591</xdr:row>
      <xdr:rowOff>9525</xdr:rowOff>
    </xdr:to>
    <xdr:pic>
      <xdr:nvPicPr>
        <xdr:cNvPr id="11" name="Picture 10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DE46D6-E017-4658-A98C-E4771BF43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589</xdr:row>
      <xdr:rowOff>0</xdr:rowOff>
    </xdr:from>
    <xdr:to>
      <xdr:col>17</xdr:col>
      <xdr:colOff>333375</xdr:colOff>
      <xdr:row>591</xdr:row>
      <xdr:rowOff>9525</xdr:rowOff>
    </xdr:to>
    <xdr:pic>
      <xdr:nvPicPr>
        <xdr:cNvPr id="12" name="Picture 11" descr="Member of the parkrun v25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B372B4-38FF-40A4-8D4E-BD3672D96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10118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333763</xdr:colOff>
      <xdr:row>3</xdr:row>
      <xdr:rowOff>47625</xdr:rowOff>
    </xdr:to>
    <xdr:pic>
      <xdr:nvPicPr>
        <xdr:cNvPr id="13" name="Picture 12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AC250F-A563-4CE5-B49C-DB36EB6E7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575193</xdr:colOff>
      <xdr:row>4</xdr:row>
      <xdr:rowOff>142875</xdr:rowOff>
    </xdr:to>
    <xdr:pic>
      <xdr:nvPicPr>
        <xdr:cNvPr id="14" name="Picture 13" descr="Strava log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BDCDCAD-28E4-42B4-9526-8AFDFBD74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57519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333763</xdr:colOff>
      <xdr:row>3</xdr:row>
      <xdr:rowOff>47625</xdr:rowOff>
    </xdr:to>
    <xdr:pic>
      <xdr:nvPicPr>
        <xdr:cNvPr id="15" name="Picture 14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CE6147-2E3F-4AB0-BBF6-EA98B8764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333763</xdr:colOff>
      <xdr:row>3</xdr:row>
      <xdr:rowOff>47626</xdr:rowOff>
    </xdr:to>
    <xdr:pic>
      <xdr:nvPicPr>
        <xdr:cNvPr id="16" name="Picture 15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0E0266-48E9-4920-BC9D-46C19C7AE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763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333763</xdr:colOff>
      <xdr:row>3</xdr:row>
      <xdr:rowOff>47625</xdr:rowOff>
    </xdr:to>
    <xdr:pic>
      <xdr:nvPicPr>
        <xdr:cNvPr id="17" name="Picture 16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E108D9-F80D-49FE-90DF-2A110AE9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575193</xdr:colOff>
      <xdr:row>4</xdr:row>
      <xdr:rowOff>142875</xdr:rowOff>
    </xdr:to>
    <xdr:pic>
      <xdr:nvPicPr>
        <xdr:cNvPr id="18" name="Picture 17" descr="Strava log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1B76992-96B3-4188-9B5F-ED172839B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57519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333763</xdr:colOff>
      <xdr:row>3</xdr:row>
      <xdr:rowOff>47625</xdr:rowOff>
    </xdr:to>
    <xdr:pic>
      <xdr:nvPicPr>
        <xdr:cNvPr id="19" name="Picture 18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3283C5-0653-4593-85E6-4A341030B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575193</xdr:colOff>
      <xdr:row>4</xdr:row>
      <xdr:rowOff>142875</xdr:rowOff>
    </xdr:to>
    <xdr:pic>
      <xdr:nvPicPr>
        <xdr:cNvPr id="20" name="Picture 19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2949F12-6F1B-4668-85B1-A65DF3236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57519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333763</xdr:colOff>
      <xdr:row>3</xdr:row>
      <xdr:rowOff>47626</xdr:rowOff>
    </xdr:to>
    <xdr:pic>
      <xdr:nvPicPr>
        <xdr:cNvPr id="21" name="Picture 20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0149F4-9B2C-4B45-8B39-D6B471C36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763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333763</xdr:colOff>
      <xdr:row>3</xdr:row>
      <xdr:rowOff>47625</xdr:rowOff>
    </xdr:to>
    <xdr:pic>
      <xdr:nvPicPr>
        <xdr:cNvPr id="22" name="Picture 21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8E6180-D545-46B5-B31D-AE47F441E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333763</xdr:colOff>
      <xdr:row>3</xdr:row>
      <xdr:rowOff>47626</xdr:rowOff>
    </xdr:to>
    <xdr:pic>
      <xdr:nvPicPr>
        <xdr:cNvPr id="23" name="Picture 22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2F77F-A152-4664-A81E-48444850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763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333763</xdr:colOff>
      <xdr:row>3</xdr:row>
      <xdr:rowOff>47625</xdr:rowOff>
    </xdr:to>
    <xdr:pic>
      <xdr:nvPicPr>
        <xdr:cNvPr id="24" name="Picture 23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D237D4-4061-4954-8B15-7D6225914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333375</xdr:colOff>
      <xdr:row>3</xdr:row>
      <xdr:rowOff>47625</xdr:rowOff>
    </xdr:to>
    <xdr:pic>
      <xdr:nvPicPr>
        <xdr:cNvPr id="25" name="Picture 24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BAAE2-E116-4EA3-B57A-AF5166912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567806</xdr:colOff>
      <xdr:row>4</xdr:row>
      <xdr:rowOff>142875</xdr:rowOff>
    </xdr:to>
    <xdr:pic>
      <xdr:nvPicPr>
        <xdr:cNvPr id="26" name="Picture 25" descr="Strava log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90C8832-74AA-4A12-9393-8A9155B5C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56780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333375</xdr:colOff>
      <xdr:row>3</xdr:row>
      <xdr:rowOff>47625</xdr:rowOff>
    </xdr:to>
    <xdr:pic>
      <xdr:nvPicPr>
        <xdr:cNvPr id="27" name="Picture 26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3C9259-6074-46AD-B767-7E32B4C6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333375</xdr:colOff>
      <xdr:row>3</xdr:row>
      <xdr:rowOff>47626</xdr:rowOff>
    </xdr:to>
    <xdr:pic>
      <xdr:nvPicPr>
        <xdr:cNvPr id="28" name="Picture 27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0EF714-8BE4-42F2-92F5-05E57DA45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375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333375</xdr:colOff>
      <xdr:row>3</xdr:row>
      <xdr:rowOff>47625</xdr:rowOff>
    </xdr:to>
    <xdr:pic>
      <xdr:nvPicPr>
        <xdr:cNvPr id="29" name="Picture 28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B09BF-8938-4594-9D5C-6B6BCACEA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567806</xdr:colOff>
      <xdr:row>4</xdr:row>
      <xdr:rowOff>142875</xdr:rowOff>
    </xdr:to>
    <xdr:pic>
      <xdr:nvPicPr>
        <xdr:cNvPr id="30" name="Picture 29" descr="Strava log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BB069B1-458A-4248-B242-45E1638F0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56780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333375</xdr:colOff>
      <xdr:row>3</xdr:row>
      <xdr:rowOff>47625</xdr:rowOff>
    </xdr:to>
    <xdr:pic>
      <xdr:nvPicPr>
        <xdr:cNvPr id="31" name="Picture 30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B497A9-265C-4C66-B757-B983667E4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567806</xdr:colOff>
      <xdr:row>4</xdr:row>
      <xdr:rowOff>142875</xdr:rowOff>
    </xdr:to>
    <xdr:pic>
      <xdr:nvPicPr>
        <xdr:cNvPr id="32" name="Picture 31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E9DDC9D-D421-4453-A410-657C25EEF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56780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333375</xdr:colOff>
      <xdr:row>3</xdr:row>
      <xdr:rowOff>47626</xdr:rowOff>
    </xdr:to>
    <xdr:pic>
      <xdr:nvPicPr>
        <xdr:cNvPr id="33" name="Picture 32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D43019-1B16-4A02-BD46-E95F918DF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375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333375</xdr:colOff>
      <xdr:row>3</xdr:row>
      <xdr:rowOff>47625</xdr:rowOff>
    </xdr:to>
    <xdr:pic>
      <xdr:nvPicPr>
        <xdr:cNvPr id="34" name="Picture 33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B99B79-8E35-4890-A676-6705412FB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333375</xdr:colOff>
      <xdr:row>3</xdr:row>
      <xdr:rowOff>47626</xdr:rowOff>
    </xdr:to>
    <xdr:pic>
      <xdr:nvPicPr>
        <xdr:cNvPr id="35" name="Picture 34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CACCD6-6852-49E6-94E3-D810C18FF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375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45</xdr:col>
      <xdr:colOff>333375</xdr:colOff>
      <xdr:row>3</xdr:row>
      <xdr:rowOff>47625</xdr:rowOff>
    </xdr:to>
    <xdr:pic>
      <xdr:nvPicPr>
        <xdr:cNvPr id="36" name="Picture 35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38BB0C-CDF9-40C8-80FC-84D3F09CA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3813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0</xdr:colOff>
      <xdr:row>7</xdr:row>
      <xdr:rowOff>0</xdr:rowOff>
    </xdr:from>
    <xdr:to>
      <xdr:col>47</xdr:col>
      <xdr:colOff>333763</xdr:colOff>
      <xdr:row>9</xdr:row>
      <xdr:rowOff>47625</xdr:rowOff>
    </xdr:to>
    <xdr:pic>
      <xdr:nvPicPr>
        <xdr:cNvPr id="2" name="Picture 1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AFB06B-4E43-4156-B240-FDC5755FE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575193</xdr:colOff>
      <xdr:row>10</xdr:row>
      <xdr:rowOff>142875</xdr:rowOff>
    </xdr:to>
    <xdr:pic>
      <xdr:nvPicPr>
        <xdr:cNvPr id="3" name="Picture 2" descr="Strava log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FA9EDC-0F35-4A22-9AB5-AF40E2C44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57519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333763</xdr:colOff>
      <xdr:row>9</xdr:row>
      <xdr:rowOff>47625</xdr:rowOff>
    </xdr:to>
    <xdr:pic>
      <xdr:nvPicPr>
        <xdr:cNvPr id="4" name="Picture 3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F04A51-C231-4E29-AA99-C60BB18C7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333763</xdr:colOff>
      <xdr:row>9</xdr:row>
      <xdr:rowOff>47626</xdr:rowOff>
    </xdr:to>
    <xdr:pic>
      <xdr:nvPicPr>
        <xdr:cNvPr id="5" name="Picture 4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C84D04-7FDE-4C1E-9E2B-2A689CD93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763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333763</xdr:colOff>
      <xdr:row>9</xdr:row>
      <xdr:rowOff>47625</xdr:rowOff>
    </xdr:to>
    <xdr:pic>
      <xdr:nvPicPr>
        <xdr:cNvPr id="6" name="Picture 5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71F5F-6AE1-401A-846D-EAC42E8E1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575193</xdr:colOff>
      <xdr:row>10</xdr:row>
      <xdr:rowOff>142875</xdr:rowOff>
    </xdr:to>
    <xdr:pic>
      <xdr:nvPicPr>
        <xdr:cNvPr id="7" name="Picture 6" descr="Strava log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7EFC93F-644E-481F-AA22-3254319BC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57519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333763</xdr:colOff>
      <xdr:row>9</xdr:row>
      <xdr:rowOff>47625</xdr:rowOff>
    </xdr:to>
    <xdr:pic>
      <xdr:nvPicPr>
        <xdr:cNvPr id="8" name="Picture 7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4694BC-3775-470A-9AF4-8E0C9D954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575193</xdr:colOff>
      <xdr:row>10</xdr:row>
      <xdr:rowOff>142875</xdr:rowOff>
    </xdr:to>
    <xdr:pic>
      <xdr:nvPicPr>
        <xdr:cNvPr id="9" name="Picture 8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4D4C596-CF2F-48B1-8009-4A46AB86A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57519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333763</xdr:colOff>
      <xdr:row>9</xdr:row>
      <xdr:rowOff>47626</xdr:rowOff>
    </xdr:to>
    <xdr:pic>
      <xdr:nvPicPr>
        <xdr:cNvPr id="10" name="Picture 9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F83200-635D-454D-AA6D-3946B25D8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763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333763</xdr:colOff>
      <xdr:row>9</xdr:row>
      <xdr:rowOff>47625</xdr:rowOff>
    </xdr:to>
    <xdr:pic>
      <xdr:nvPicPr>
        <xdr:cNvPr id="11" name="Picture 10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82032A-98B6-4748-807B-09B85DA63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333763</xdr:colOff>
      <xdr:row>9</xdr:row>
      <xdr:rowOff>47626</xdr:rowOff>
    </xdr:to>
    <xdr:pic>
      <xdr:nvPicPr>
        <xdr:cNvPr id="12" name="Picture 11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70B1B1-BEE3-4FA5-A649-3755D6AA6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763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333763</xdr:colOff>
      <xdr:row>9</xdr:row>
      <xdr:rowOff>47625</xdr:rowOff>
    </xdr:to>
    <xdr:pic>
      <xdr:nvPicPr>
        <xdr:cNvPr id="13" name="Picture 12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45829-4A6B-4E85-AED8-5FB78B418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7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333375</xdr:colOff>
      <xdr:row>9</xdr:row>
      <xdr:rowOff>47625</xdr:rowOff>
    </xdr:to>
    <xdr:pic>
      <xdr:nvPicPr>
        <xdr:cNvPr id="14" name="Picture 13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FABDD4-D8C1-4443-A688-829EE7390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567806</xdr:colOff>
      <xdr:row>10</xdr:row>
      <xdr:rowOff>142875</xdr:rowOff>
    </xdr:to>
    <xdr:pic>
      <xdr:nvPicPr>
        <xdr:cNvPr id="15" name="Picture 14" descr="Strava log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973688-5918-4B9B-B49E-F104C0849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56780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333375</xdr:colOff>
      <xdr:row>9</xdr:row>
      <xdr:rowOff>47625</xdr:rowOff>
    </xdr:to>
    <xdr:pic>
      <xdr:nvPicPr>
        <xdr:cNvPr id="16" name="Picture 15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4E7F7-92FD-4DD1-90B5-D32AC7E65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333375</xdr:colOff>
      <xdr:row>9</xdr:row>
      <xdr:rowOff>47626</xdr:rowOff>
    </xdr:to>
    <xdr:pic>
      <xdr:nvPicPr>
        <xdr:cNvPr id="17" name="Picture 16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93D880-5A16-4ED4-9608-590708C65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375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333375</xdr:colOff>
      <xdr:row>9</xdr:row>
      <xdr:rowOff>47625</xdr:rowOff>
    </xdr:to>
    <xdr:pic>
      <xdr:nvPicPr>
        <xdr:cNvPr id="18" name="Picture 17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653994-9F27-46EF-857B-C8FBDD9E3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567806</xdr:colOff>
      <xdr:row>10</xdr:row>
      <xdr:rowOff>142875</xdr:rowOff>
    </xdr:to>
    <xdr:pic>
      <xdr:nvPicPr>
        <xdr:cNvPr id="19" name="Picture 18" descr="Strava log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DDEBD89-0EBB-440B-A0A6-632E57DF4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56780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333375</xdr:colOff>
      <xdr:row>9</xdr:row>
      <xdr:rowOff>47625</xdr:rowOff>
    </xdr:to>
    <xdr:pic>
      <xdr:nvPicPr>
        <xdr:cNvPr id="20" name="Picture 19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EDB2B-037C-41AE-B89C-9D15F0EF2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567806</xdr:colOff>
      <xdr:row>10</xdr:row>
      <xdr:rowOff>142875</xdr:rowOff>
    </xdr:to>
    <xdr:pic>
      <xdr:nvPicPr>
        <xdr:cNvPr id="21" name="Picture 20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33DE761-CEDB-4A33-A1FE-DFABF9C4D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56780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333375</xdr:colOff>
      <xdr:row>9</xdr:row>
      <xdr:rowOff>47626</xdr:rowOff>
    </xdr:to>
    <xdr:pic>
      <xdr:nvPicPr>
        <xdr:cNvPr id="22" name="Picture 21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020880-DFF3-4E31-B7FF-9A522D763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375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333375</xdr:colOff>
      <xdr:row>9</xdr:row>
      <xdr:rowOff>47625</xdr:rowOff>
    </xdr:to>
    <xdr:pic>
      <xdr:nvPicPr>
        <xdr:cNvPr id="23" name="Picture 22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F4C34-C2C5-42CD-8CFA-B6C99FB18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333375</xdr:colOff>
      <xdr:row>9</xdr:row>
      <xdr:rowOff>47626</xdr:rowOff>
    </xdr:to>
    <xdr:pic>
      <xdr:nvPicPr>
        <xdr:cNvPr id="24" name="Picture 23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8E84E5-0660-4E33-A670-3198BAC57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375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7</xdr:row>
      <xdr:rowOff>0</xdr:rowOff>
    </xdr:from>
    <xdr:to>
      <xdr:col>47</xdr:col>
      <xdr:colOff>333375</xdr:colOff>
      <xdr:row>9</xdr:row>
      <xdr:rowOff>47625</xdr:rowOff>
    </xdr:to>
    <xdr:pic>
      <xdr:nvPicPr>
        <xdr:cNvPr id="25" name="Picture 24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E73080-31B0-4693-803F-58F99BF7A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050" y="4181475"/>
          <a:ext cx="333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0</xdr:colOff>
      <xdr:row>38</xdr:row>
      <xdr:rowOff>0</xdr:rowOff>
    </xdr:from>
    <xdr:to>
      <xdr:col>51</xdr:col>
      <xdr:colOff>333763</xdr:colOff>
      <xdr:row>40</xdr:row>
      <xdr:rowOff>9525</xdr:rowOff>
    </xdr:to>
    <xdr:pic>
      <xdr:nvPicPr>
        <xdr:cNvPr id="2" name="Picture 1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52490-81C6-4633-8A69-2FDEDB88D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575193</xdr:colOff>
      <xdr:row>41</xdr:row>
      <xdr:rowOff>85725</xdr:rowOff>
    </xdr:to>
    <xdr:pic>
      <xdr:nvPicPr>
        <xdr:cNvPr id="3" name="Picture 2" descr="Strava log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C4E042A-CE77-42F3-9B32-8824EAA27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57519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333763</xdr:colOff>
      <xdr:row>40</xdr:row>
      <xdr:rowOff>9525</xdr:rowOff>
    </xdr:to>
    <xdr:pic>
      <xdr:nvPicPr>
        <xdr:cNvPr id="4" name="Picture 3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9F3E63-386A-4237-B58C-D1318E44A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333763</xdr:colOff>
      <xdr:row>40</xdr:row>
      <xdr:rowOff>9526</xdr:rowOff>
    </xdr:to>
    <xdr:pic>
      <xdr:nvPicPr>
        <xdr:cNvPr id="5" name="Picture 4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5263F9-5DEC-4792-B023-2B04431E5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763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333763</xdr:colOff>
      <xdr:row>40</xdr:row>
      <xdr:rowOff>9525</xdr:rowOff>
    </xdr:to>
    <xdr:pic>
      <xdr:nvPicPr>
        <xdr:cNvPr id="6" name="Picture 5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0C69BF-89E6-40EA-912E-9D645A849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575193</xdr:colOff>
      <xdr:row>41</xdr:row>
      <xdr:rowOff>85725</xdr:rowOff>
    </xdr:to>
    <xdr:pic>
      <xdr:nvPicPr>
        <xdr:cNvPr id="7" name="Picture 6" descr="Strava log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125105D-8718-4794-958B-00FE7DE0D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57519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333763</xdr:colOff>
      <xdr:row>40</xdr:row>
      <xdr:rowOff>9525</xdr:rowOff>
    </xdr:to>
    <xdr:pic>
      <xdr:nvPicPr>
        <xdr:cNvPr id="8" name="Picture 7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546DC2-4C0E-49F9-A92C-36E7BA8AE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575193</xdr:colOff>
      <xdr:row>41</xdr:row>
      <xdr:rowOff>85725</xdr:rowOff>
    </xdr:to>
    <xdr:pic>
      <xdr:nvPicPr>
        <xdr:cNvPr id="9" name="Picture 8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A3E0F36-C5EE-42FF-9D6E-C64306C77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57519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333763</xdr:colOff>
      <xdr:row>40</xdr:row>
      <xdr:rowOff>9526</xdr:rowOff>
    </xdr:to>
    <xdr:pic>
      <xdr:nvPicPr>
        <xdr:cNvPr id="10" name="Picture 9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0B2B2-D115-4C05-8F74-58CDEAC7A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763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333763</xdr:colOff>
      <xdr:row>40</xdr:row>
      <xdr:rowOff>9525</xdr:rowOff>
    </xdr:to>
    <xdr:pic>
      <xdr:nvPicPr>
        <xdr:cNvPr id="11" name="Picture 10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F8F5F6-0729-45C7-9A13-4FDB651D4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333763</xdr:colOff>
      <xdr:row>40</xdr:row>
      <xdr:rowOff>9526</xdr:rowOff>
    </xdr:to>
    <xdr:pic>
      <xdr:nvPicPr>
        <xdr:cNvPr id="12" name="Picture 11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506CE3-2589-4A62-A615-B82D91AE5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763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333763</xdr:colOff>
      <xdr:row>40</xdr:row>
      <xdr:rowOff>9525</xdr:rowOff>
    </xdr:to>
    <xdr:pic>
      <xdr:nvPicPr>
        <xdr:cNvPr id="13" name="Picture 12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F11840-2489-4D46-8063-02260CCAB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76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333375</xdr:colOff>
      <xdr:row>40</xdr:row>
      <xdr:rowOff>9525</xdr:rowOff>
    </xdr:to>
    <xdr:pic>
      <xdr:nvPicPr>
        <xdr:cNvPr id="14" name="Picture 13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0265A8-2A8E-4917-B95D-F07900C40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567806</xdr:colOff>
      <xdr:row>41</xdr:row>
      <xdr:rowOff>85725</xdr:rowOff>
    </xdr:to>
    <xdr:pic>
      <xdr:nvPicPr>
        <xdr:cNvPr id="15" name="Picture 14" descr="Strava log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C66146-F264-4B0C-9762-FB5A752E6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56780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333375</xdr:colOff>
      <xdr:row>40</xdr:row>
      <xdr:rowOff>9525</xdr:rowOff>
    </xdr:to>
    <xdr:pic>
      <xdr:nvPicPr>
        <xdr:cNvPr id="16" name="Picture 15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D66FDE-D2F4-4ACE-AF00-FBBCFB9DE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333375</xdr:colOff>
      <xdr:row>40</xdr:row>
      <xdr:rowOff>9526</xdr:rowOff>
    </xdr:to>
    <xdr:pic>
      <xdr:nvPicPr>
        <xdr:cNvPr id="17" name="Picture 16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D8577B-9716-46B5-93F8-F256ECAE0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375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333375</xdr:colOff>
      <xdr:row>40</xdr:row>
      <xdr:rowOff>9525</xdr:rowOff>
    </xdr:to>
    <xdr:pic>
      <xdr:nvPicPr>
        <xdr:cNvPr id="18" name="Picture 17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EE6404-7D58-41EB-96AF-A6AC4172E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567806</xdr:colOff>
      <xdr:row>41</xdr:row>
      <xdr:rowOff>85725</xdr:rowOff>
    </xdr:to>
    <xdr:pic>
      <xdr:nvPicPr>
        <xdr:cNvPr id="19" name="Picture 18" descr="Strava log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17AD12B-AC4C-4EA0-A77F-826593DE3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56780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333375</xdr:colOff>
      <xdr:row>40</xdr:row>
      <xdr:rowOff>9525</xdr:rowOff>
    </xdr:to>
    <xdr:pic>
      <xdr:nvPicPr>
        <xdr:cNvPr id="20" name="Picture 19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B886EF-5D5A-406D-B8C1-B2969E53E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567806</xdr:colOff>
      <xdr:row>41</xdr:row>
      <xdr:rowOff>85725</xdr:rowOff>
    </xdr:to>
    <xdr:pic>
      <xdr:nvPicPr>
        <xdr:cNvPr id="21" name="Picture 20" descr="Strava log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6F3B347-2578-4EE1-9335-A8B3652AA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56780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333375</xdr:colOff>
      <xdr:row>40</xdr:row>
      <xdr:rowOff>9526</xdr:rowOff>
    </xdr:to>
    <xdr:pic>
      <xdr:nvPicPr>
        <xdr:cNvPr id="22" name="Picture 21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226B2-BC62-4F2E-B93D-79F9C5C9D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375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333375</xdr:colOff>
      <xdr:row>40</xdr:row>
      <xdr:rowOff>9525</xdr:rowOff>
    </xdr:to>
    <xdr:pic>
      <xdr:nvPicPr>
        <xdr:cNvPr id="23" name="Picture 22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BBEB54-D687-4480-B92C-F6353838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333375</xdr:colOff>
      <xdr:row>40</xdr:row>
      <xdr:rowOff>9526</xdr:rowOff>
    </xdr:to>
    <xdr:pic>
      <xdr:nvPicPr>
        <xdr:cNvPr id="24" name="Picture 23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134163-8B09-4B08-A030-6AF27DEA3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375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51</xdr:col>
      <xdr:colOff>333375</xdr:colOff>
      <xdr:row>40</xdr:row>
      <xdr:rowOff>9525</xdr:rowOff>
    </xdr:to>
    <xdr:pic>
      <xdr:nvPicPr>
        <xdr:cNvPr id="25" name="Picture 24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415933-53EF-4369-98D8-54BC41FC9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10191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37</xdr:row>
      <xdr:rowOff>0</xdr:rowOff>
    </xdr:from>
    <xdr:to>
      <xdr:col>11</xdr:col>
      <xdr:colOff>495300</xdr:colOff>
      <xdr:row>43</xdr:row>
      <xdr:rowOff>133350</xdr:rowOff>
    </xdr:to>
    <xdr:pic>
      <xdr:nvPicPr>
        <xdr:cNvPr id="4097" name="Picture 1" descr="ANd9GcQ9fmT70WOIrOEaQfdyrRhQpVxiFU9mPs2UzK1c21PgN7y7oDaTlo1tAqM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43528D-557C-4FB7-AB85-C54F13913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61722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48</xdr:row>
      <xdr:rowOff>0</xdr:rowOff>
    </xdr:from>
    <xdr:to>
      <xdr:col>11</xdr:col>
      <xdr:colOff>495300</xdr:colOff>
      <xdr:row>54</xdr:row>
      <xdr:rowOff>133350</xdr:rowOff>
    </xdr:to>
    <xdr:pic>
      <xdr:nvPicPr>
        <xdr:cNvPr id="4098" name="Picture 2" descr="ANd9GcQ9fmT70WOIrOEaQfdyrRhQpVxiFU9mPs2UzK1c21PgN7y7oDaTlo1tAqM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8C9EED-4089-4FCC-AA51-850DE79ED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78105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71</xdr:row>
      <xdr:rowOff>28575</xdr:rowOff>
    </xdr:from>
    <xdr:to>
      <xdr:col>15</xdr:col>
      <xdr:colOff>142875</xdr:colOff>
      <xdr:row>82</xdr:row>
      <xdr:rowOff>133350</xdr:rowOff>
    </xdr:to>
    <xdr:pic>
      <xdr:nvPicPr>
        <xdr:cNvPr id="4099" name="Picture 3" descr="parkrun logo">
          <a:extLst>
            <a:ext uri="{FF2B5EF4-FFF2-40B4-BE49-F238E27FC236}">
              <a16:creationId xmlns:a16="http://schemas.microsoft.com/office/drawing/2014/main" id="{52776CCD-F02A-4A29-AD43-998110611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0753725"/>
          <a:ext cx="3305175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63</xdr:row>
      <xdr:rowOff>85725</xdr:rowOff>
    </xdr:from>
    <xdr:to>
      <xdr:col>16</xdr:col>
      <xdr:colOff>571500</xdr:colOff>
      <xdr:row>83</xdr:row>
      <xdr:rowOff>123825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id="{941E011F-69E5-4222-A44B-F7819EF6A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495300</xdr:colOff>
      <xdr:row>13</xdr:row>
      <xdr:rowOff>38100</xdr:rowOff>
    </xdr:from>
    <xdr:to>
      <xdr:col>13</xdr:col>
      <xdr:colOff>285750</xdr:colOff>
      <xdr:row>37</xdr:row>
      <xdr:rowOff>123825</xdr:rowOff>
    </xdr:to>
    <xdr:graphicFrame macro="">
      <xdr:nvGraphicFramePr>
        <xdr:cNvPr id="1029" name="Chart 5">
          <a:extLst>
            <a:ext uri="{FF2B5EF4-FFF2-40B4-BE49-F238E27FC236}">
              <a16:creationId xmlns:a16="http://schemas.microsoft.com/office/drawing/2014/main" id="{0B903A45-C918-4ABB-9C69-7CED8FD21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2" name="Picture 1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F54687-3FF2-49F9-AA8F-A3883EDAB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1728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3" name="Picture 2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748EAF-E52C-4FD4-975F-8034B7701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334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4" name="Picture 3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B44ED6-3CAA-4273-80B3-819C0435D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966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5" name="Picture 4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8A5C15-4D11-466C-8D24-99793C795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5860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6" name="Picture 5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41DC4C-D6CD-4357-896B-61D34E2DF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8205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7" name="Picture 6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694A34-8059-4FAF-AAB1-848C0B2D7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9824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8" name="Picture 7" descr="Member of the parkrun 2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DA7FE3-F68F-4F6E-AC4C-0C6FA13C6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144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9" name="Picture 8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9E3519-D080-46E2-B0E5-F90873906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30630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10" name="Picture 9" descr="Member of the parkrun 10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1D7EDB-66DB-45DE-BE03-42388EC31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46822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333375</xdr:colOff>
      <xdr:row>69</xdr:row>
      <xdr:rowOff>9525</xdr:rowOff>
    </xdr:to>
    <xdr:pic>
      <xdr:nvPicPr>
        <xdr:cNvPr id="11" name="Picture 10" descr="Member of the parkrun 50 Clu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14C4D4-57BF-459E-AA6A-BB34ABD60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6301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iki.parkrun.com/index.php/Wycombe_Rye_junior_parkrun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arkrun.org.uk/gunnersbury/results/weeklyresults?runSeqNumber=147" TargetMode="External"/><Relationship Id="rId21" Type="http://schemas.openxmlformats.org/officeDocument/2006/relationships/hyperlink" Target="http://www.parkrun.org.uk/richmond/results/weeklyresults?runSeqNumber=108" TargetMode="External"/><Relationship Id="rId42" Type="http://schemas.openxmlformats.org/officeDocument/2006/relationships/hyperlink" Target="http://www.parkrun.org.uk/olddeerpark/results/weeklyresults?runSeqNumber=5" TargetMode="External"/><Relationship Id="rId63" Type="http://schemas.openxmlformats.org/officeDocument/2006/relationships/hyperlink" Target="http://www.parkrun.org.uk/gunnersbury/results/weeklyresults?runSeqNumber=310" TargetMode="External"/><Relationship Id="rId84" Type="http://schemas.openxmlformats.org/officeDocument/2006/relationships/hyperlink" Target="http://www.parkrun.org.uk/gunnersbury/results/weeklyresults?runSeqNumber=258" TargetMode="External"/><Relationship Id="rId138" Type="http://schemas.openxmlformats.org/officeDocument/2006/relationships/hyperlink" Target="http://www.parkrun.org.uk/gunnersbury/results/weeklyresults?runSeqNumber=71" TargetMode="External"/><Relationship Id="rId159" Type="http://schemas.openxmlformats.org/officeDocument/2006/relationships/hyperlink" Target="http://www.parkrun.org.uk/gunnersbury/results/weeklyresults?runSeqNumber=29" TargetMode="External"/><Relationship Id="rId170" Type="http://schemas.openxmlformats.org/officeDocument/2006/relationships/hyperlink" Target="http://www.parkrun.org.uk/gunnersbury/results/weeklyresults?runSeqNumber=13" TargetMode="External"/><Relationship Id="rId191" Type="http://schemas.openxmlformats.org/officeDocument/2006/relationships/hyperlink" Target="http://www.parkrun.org.uk/fulhampalace/results/weeklyresults?runSeqNumber=1" TargetMode="External"/><Relationship Id="rId107" Type="http://schemas.openxmlformats.org/officeDocument/2006/relationships/hyperlink" Target="http://www.parkrun.org.uk/gunnersbury/results/weeklyresults?runSeqNumber=169" TargetMode="External"/><Relationship Id="rId11" Type="http://schemas.openxmlformats.org/officeDocument/2006/relationships/hyperlink" Target="http://www.parkrun.org.uk/richmond/results/weeklyresults?runSeqNumber=156" TargetMode="External"/><Relationship Id="rId32" Type="http://schemas.openxmlformats.org/officeDocument/2006/relationships/hyperlink" Target="http://www.parkrun.org.uk/olddeerpark/results/weeklyresults?runSeqNumber=123" TargetMode="External"/><Relationship Id="rId53" Type="http://schemas.openxmlformats.org/officeDocument/2006/relationships/hyperlink" Target="http://www.parkrun.org.uk/gunnersbury/results/weeklyresults?runSeqNumber=340" TargetMode="External"/><Relationship Id="rId74" Type="http://schemas.openxmlformats.org/officeDocument/2006/relationships/hyperlink" Target="http://www.parkrun.org.uk/gunnersbury/results/weeklyresults?runSeqNumber=278" TargetMode="External"/><Relationship Id="rId128" Type="http://schemas.openxmlformats.org/officeDocument/2006/relationships/hyperlink" Target="http://www.parkrun.org.uk/gunnersbury/results/weeklyresults?runSeqNumber=100" TargetMode="External"/><Relationship Id="rId149" Type="http://schemas.openxmlformats.org/officeDocument/2006/relationships/hyperlink" Target="http://www.parkrun.org.uk/gunnersbury/results/weeklyresults?runSeqNumber=48" TargetMode="External"/><Relationship Id="rId5" Type="http://schemas.openxmlformats.org/officeDocument/2006/relationships/hyperlink" Target="http://www.parkrun.org.uk/richmond/results/weeklyresults?runSeqNumber=375" TargetMode="External"/><Relationship Id="rId95" Type="http://schemas.openxmlformats.org/officeDocument/2006/relationships/hyperlink" Target="http://www.parkrun.org.uk/gunnersbury/results/weeklyresults?runSeqNumber=215" TargetMode="External"/><Relationship Id="rId160" Type="http://schemas.openxmlformats.org/officeDocument/2006/relationships/hyperlink" Target="http://www.parkrun.org.uk/gunnersbury/results/weeklyresults?runSeqNumber=26" TargetMode="External"/><Relationship Id="rId181" Type="http://schemas.openxmlformats.org/officeDocument/2006/relationships/hyperlink" Target="http://www.parkrun.org.uk/fulhampalace/results/weeklyresults?runSeqNumber=264" TargetMode="External"/><Relationship Id="rId22" Type="http://schemas.openxmlformats.org/officeDocument/2006/relationships/hyperlink" Target="http://www.parkrun.org.uk/richmond/results/weeklyresults?runSeqNumber=107" TargetMode="External"/><Relationship Id="rId43" Type="http://schemas.openxmlformats.org/officeDocument/2006/relationships/hyperlink" Target="http://www.parkrun.org.uk/olddeerpark/results/weeklyresults?runSeqNumber=1" TargetMode="External"/><Relationship Id="rId64" Type="http://schemas.openxmlformats.org/officeDocument/2006/relationships/hyperlink" Target="http://www.parkrun.org.uk/gunnersbury/results/weeklyresults?runSeqNumber=309" TargetMode="External"/><Relationship Id="rId118" Type="http://schemas.openxmlformats.org/officeDocument/2006/relationships/hyperlink" Target="http://www.parkrun.org.uk/gunnersbury/results/weeklyresults?runSeqNumber=140" TargetMode="External"/><Relationship Id="rId139" Type="http://schemas.openxmlformats.org/officeDocument/2006/relationships/hyperlink" Target="http://www.parkrun.org.uk/gunnersbury/results/weeklyresults?runSeqNumber=69" TargetMode="External"/><Relationship Id="rId85" Type="http://schemas.openxmlformats.org/officeDocument/2006/relationships/hyperlink" Target="http://www.parkrun.org.uk/gunnersbury/results/weeklyresults?runSeqNumber=254" TargetMode="External"/><Relationship Id="rId150" Type="http://schemas.openxmlformats.org/officeDocument/2006/relationships/hyperlink" Target="http://www.parkrun.org.uk/gunnersbury/results/weeklyresults?runSeqNumber=46" TargetMode="External"/><Relationship Id="rId171" Type="http://schemas.openxmlformats.org/officeDocument/2006/relationships/hyperlink" Target="http://www.parkrun.org.uk/gunnersbury/results/weeklyresults?runSeqNumber=12" TargetMode="External"/><Relationship Id="rId192" Type="http://schemas.openxmlformats.org/officeDocument/2006/relationships/printerSettings" Target="../printerSettings/printerSettings10.bin"/><Relationship Id="rId12" Type="http://schemas.openxmlformats.org/officeDocument/2006/relationships/hyperlink" Target="http://www.parkrun.org.uk/richmond/results/weeklyresults?runSeqNumber=140" TargetMode="External"/><Relationship Id="rId33" Type="http://schemas.openxmlformats.org/officeDocument/2006/relationships/hyperlink" Target="http://www.parkrun.org.uk/olddeerpark/results/weeklyresults?runSeqNumber=79" TargetMode="External"/><Relationship Id="rId108" Type="http://schemas.openxmlformats.org/officeDocument/2006/relationships/hyperlink" Target="http://www.parkrun.org.uk/gunnersbury/results/weeklyresults?runSeqNumber=166" TargetMode="External"/><Relationship Id="rId129" Type="http://schemas.openxmlformats.org/officeDocument/2006/relationships/hyperlink" Target="http://www.parkrun.org.uk/gunnersbury/results/weeklyresults?runSeqNumber=96" TargetMode="External"/><Relationship Id="rId54" Type="http://schemas.openxmlformats.org/officeDocument/2006/relationships/hyperlink" Target="http://www.parkrun.org.uk/gunnersbury/results/weeklyresults?runSeqNumber=337" TargetMode="External"/><Relationship Id="rId75" Type="http://schemas.openxmlformats.org/officeDocument/2006/relationships/hyperlink" Target="http://www.parkrun.org.uk/gunnersbury/results/weeklyresults?runSeqNumber=276" TargetMode="External"/><Relationship Id="rId96" Type="http://schemas.openxmlformats.org/officeDocument/2006/relationships/hyperlink" Target="http://www.parkrun.org.uk/gunnersbury/results/weeklyresults?runSeqNumber=213" TargetMode="External"/><Relationship Id="rId140" Type="http://schemas.openxmlformats.org/officeDocument/2006/relationships/hyperlink" Target="http://www.parkrun.org.uk/gunnersbury/results/weeklyresults?runSeqNumber=65" TargetMode="External"/><Relationship Id="rId161" Type="http://schemas.openxmlformats.org/officeDocument/2006/relationships/hyperlink" Target="http://www.parkrun.org.uk/gunnersbury/results/weeklyresults?runSeqNumber=25" TargetMode="External"/><Relationship Id="rId182" Type="http://schemas.openxmlformats.org/officeDocument/2006/relationships/hyperlink" Target="http://www.parkrun.org.uk/fulhampalace/results/weeklyresults?runSeqNumber=221" TargetMode="External"/><Relationship Id="rId6" Type="http://schemas.openxmlformats.org/officeDocument/2006/relationships/hyperlink" Target="http://www.parkrun.org.uk/richmond/results/weeklyresults?runSeqNumber=323" TargetMode="External"/><Relationship Id="rId23" Type="http://schemas.openxmlformats.org/officeDocument/2006/relationships/hyperlink" Target="http://www.parkrun.org.uk/richmond/results/weeklyresults?runSeqNumber=106" TargetMode="External"/><Relationship Id="rId119" Type="http://schemas.openxmlformats.org/officeDocument/2006/relationships/hyperlink" Target="http://www.parkrun.org.uk/gunnersbury/results/weeklyresults?runSeqNumber=131" TargetMode="External"/><Relationship Id="rId44" Type="http://schemas.openxmlformats.org/officeDocument/2006/relationships/hyperlink" Target="http://www.parkrun.org.uk/gunnersbury/results/weeklyresults?runSeqNumber=365" TargetMode="External"/><Relationship Id="rId65" Type="http://schemas.openxmlformats.org/officeDocument/2006/relationships/hyperlink" Target="http://www.parkrun.org.uk/gunnersbury/results/weeklyresults?runSeqNumber=306" TargetMode="External"/><Relationship Id="rId86" Type="http://schemas.openxmlformats.org/officeDocument/2006/relationships/hyperlink" Target="http://www.parkrun.org.uk/gunnersbury/results/weeklyresults?runSeqNumber=250" TargetMode="External"/><Relationship Id="rId130" Type="http://schemas.openxmlformats.org/officeDocument/2006/relationships/hyperlink" Target="http://www.parkrun.org.uk/gunnersbury/results/weeklyresults?runSeqNumber=93" TargetMode="External"/><Relationship Id="rId151" Type="http://schemas.openxmlformats.org/officeDocument/2006/relationships/hyperlink" Target="http://www.parkrun.org.uk/gunnersbury/results/weeklyresults?runSeqNumber=44" TargetMode="External"/><Relationship Id="rId172" Type="http://schemas.openxmlformats.org/officeDocument/2006/relationships/hyperlink" Target="http://www.parkrun.org.uk/gunnersbury/results/weeklyresults?runSeqNumber=11" TargetMode="External"/><Relationship Id="rId13" Type="http://schemas.openxmlformats.org/officeDocument/2006/relationships/hyperlink" Target="http://www.parkrun.org.uk/richmond/results/weeklyresults?runSeqNumber=137" TargetMode="External"/><Relationship Id="rId18" Type="http://schemas.openxmlformats.org/officeDocument/2006/relationships/hyperlink" Target="http://www.parkrun.org.uk/richmond/results/weeklyresults?runSeqNumber=113" TargetMode="External"/><Relationship Id="rId39" Type="http://schemas.openxmlformats.org/officeDocument/2006/relationships/hyperlink" Target="http://www.parkrun.org.uk/olddeerpark/results/weeklyresults?runSeqNumber=24" TargetMode="External"/><Relationship Id="rId109" Type="http://schemas.openxmlformats.org/officeDocument/2006/relationships/hyperlink" Target="http://www.parkrun.org.uk/gunnersbury/results/weeklyresults?runSeqNumber=164" TargetMode="External"/><Relationship Id="rId34" Type="http://schemas.openxmlformats.org/officeDocument/2006/relationships/hyperlink" Target="http://www.parkrun.org.uk/olddeerpark/results/weeklyresults?runSeqNumber=66" TargetMode="External"/><Relationship Id="rId50" Type="http://schemas.openxmlformats.org/officeDocument/2006/relationships/hyperlink" Target="http://www.parkrun.org.uk/gunnersbury/results/weeklyresults?runSeqNumber=346" TargetMode="External"/><Relationship Id="rId55" Type="http://schemas.openxmlformats.org/officeDocument/2006/relationships/hyperlink" Target="http://www.parkrun.org.uk/gunnersbury/results/weeklyresults?runSeqNumber=335" TargetMode="External"/><Relationship Id="rId76" Type="http://schemas.openxmlformats.org/officeDocument/2006/relationships/hyperlink" Target="http://www.parkrun.org.uk/gunnersbury/results/weeklyresults?runSeqNumber=275" TargetMode="External"/><Relationship Id="rId97" Type="http://schemas.openxmlformats.org/officeDocument/2006/relationships/hyperlink" Target="http://www.parkrun.org.uk/gunnersbury/results/weeklyresults?runSeqNumber=210" TargetMode="External"/><Relationship Id="rId104" Type="http://schemas.openxmlformats.org/officeDocument/2006/relationships/hyperlink" Target="http://www.parkrun.org.uk/gunnersbury/results/weeklyresults?runSeqNumber=177" TargetMode="External"/><Relationship Id="rId120" Type="http://schemas.openxmlformats.org/officeDocument/2006/relationships/hyperlink" Target="http://www.parkrun.org.uk/gunnersbury/results/weeklyresults?runSeqNumber=126" TargetMode="External"/><Relationship Id="rId125" Type="http://schemas.openxmlformats.org/officeDocument/2006/relationships/hyperlink" Target="http://www.parkrun.org.uk/gunnersbury/results/weeklyresults?runSeqNumber=109" TargetMode="External"/><Relationship Id="rId141" Type="http://schemas.openxmlformats.org/officeDocument/2006/relationships/hyperlink" Target="http://www.parkrun.org.uk/gunnersbury/results/weeklyresults?runSeqNumber=64" TargetMode="External"/><Relationship Id="rId146" Type="http://schemas.openxmlformats.org/officeDocument/2006/relationships/hyperlink" Target="http://www.parkrun.org.uk/gunnersbury/results/weeklyresults?runSeqNumber=57" TargetMode="External"/><Relationship Id="rId167" Type="http://schemas.openxmlformats.org/officeDocument/2006/relationships/hyperlink" Target="http://www.parkrun.org.uk/gunnersbury/results/weeklyresults?runSeqNumber=17" TargetMode="External"/><Relationship Id="rId188" Type="http://schemas.openxmlformats.org/officeDocument/2006/relationships/hyperlink" Target="http://www.parkrun.org.uk/fulhampalace/results/weeklyresults?runSeqNumber=53" TargetMode="External"/><Relationship Id="rId7" Type="http://schemas.openxmlformats.org/officeDocument/2006/relationships/hyperlink" Target="http://www.parkrun.org.uk/richmond/results/weeklyresults?runSeqNumber=253" TargetMode="External"/><Relationship Id="rId71" Type="http://schemas.openxmlformats.org/officeDocument/2006/relationships/hyperlink" Target="http://www.parkrun.org.uk/gunnersbury/results/weeklyresults?runSeqNumber=287" TargetMode="External"/><Relationship Id="rId92" Type="http://schemas.openxmlformats.org/officeDocument/2006/relationships/hyperlink" Target="http://www.parkrun.org.uk/gunnersbury/results/weeklyresults?runSeqNumber=226" TargetMode="External"/><Relationship Id="rId162" Type="http://schemas.openxmlformats.org/officeDocument/2006/relationships/hyperlink" Target="http://www.parkrun.org.uk/gunnersbury/results/weeklyresults?runSeqNumber=24" TargetMode="External"/><Relationship Id="rId183" Type="http://schemas.openxmlformats.org/officeDocument/2006/relationships/hyperlink" Target="http://www.parkrun.org.uk/fulhampalace/results/weeklyresults?runSeqNumber=170" TargetMode="External"/><Relationship Id="rId2" Type="http://schemas.openxmlformats.org/officeDocument/2006/relationships/hyperlink" Target="http://www.parkrun.org.uk/richmond/results/weeklyresults?runSeqNumber=536" TargetMode="External"/><Relationship Id="rId29" Type="http://schemas.openxmlformats.org/officeDocument/2006/relationships/hyperlink" Target="http://www.parkrun.org.uk/olddeerpark/results/weeklyresults?runSeqNumber=295" TargetMode="External"/><Relationship Id="rId24" Type="http://schemas.openxmlformats.org/officeDocument/2006/relationships/hyperlink" Target="http://www.parkrun.org.uk/richmond/results/weeklyresults?runSeqNumber=105" TargetMode="External"/><Relationship Id="rId40" Type="http://schemas.openxmlformats.org/officeDocument/2006/relationships/hyperlink" Target="http://www.parkrun.org.uk/olddeerpark/results/weeklyresults?runSeqNumber=21" TargetMode="External"/><Relationship Id="rId45" Type="http://schemas.openxmlformats.org/officeDocument/2006/relationships/hyperlink" Target="http://www.parkrun.org.uk/gunnersbury/results/weeklyresults?runSeqNumber=364" TargetMode="External"/><Relationship Id="rId66" Type="http://schemas.openxmlformats.org/officeDocument/2006/relationships/hyperlink" Target="http://www.parkrun.org.uk/gunnersbury/results/weeklyresults?runSeqNumber=303" TargetMode="External"/><Relationship Id="rId87" Type="http://schemas.openxmlformats.org/officeDocument/2006/relationships/hyperlink" Target="http://www.parkrun.org.uk/gunnersbury/results/weeklyresults?runSeqNumber=244" TargetMode="External"/><Relationship Id="rId110" Type="http://schemas.openxmlformats.org/officeDocument/2006/relationships/hyperlink" Target="http://www.parkrun.org.uk/gunnersbury/results/weeklyresults?runSeqNumber=161" TargetMode="External"/><Relationship Id="rId115" Type="http://schemas.openxmlformats.org/officeDocument/2006/relationships/hyperlink" Target="http://www.parkrun.org.uk/gunnersbury/results/weeklyresults?runSeqNumber=152" TargetMode="External"/><Relationship Id="rId131" Type="http://schemas.openxmlformats.org/officeDocument/2006/relationships/hyperlink" Target="http://www.parkrun.org.uk/gunnersbury/results/weeklyresults?runSeqNumber=91" TargetMode="External"/><Relationship Id="rId136" Type="http://schemas.openxmlformats.org/officeDocument/2006/relationships/hyperlink" Target="http://www.parkrun.org.uk/gunnersbury/results/weeklyresults?runSeqNumber=76" TargetMode="External"/><Relationship Id="rId157" Type="http://schemas.openxmlformats.org/officeDocument/2006/relationships/hyperlink" Target="http://www.parkrun.org.uk/gunnersbury/results/weeklyresults?runSeqNumber=32" TargetMode="External"/><Relationship Id="rId178" Type="http://schemas.openxmlformats.org/officeDocument/2006/relationships/hyperlink" Target="http://www.parkrun.org.uk/gunnersbury/results/weeklyresults?runSeqNumber=2" TargetMode="External"/><Relationship Id="rId61" Type="http://schemas.openxmlformats.org/officeDocument/2006/relationships/hyperlink" Target="http://www.parkrun.org.uk/gunnersbury/results/weeklyresults?runSeqNumber=314" TargetMode="External"/><Relationship Id="rId82" Type="http://schemas.openxmlformats.org/officeDocument/2006/relationships/hyperlink" Target="http://www.parkrun.org.uk/gunnersbury/results/weeklyresults?runSeqNumber=265" TargetMode="External"/><Relationship Id="rId152" Type="http://schemas.openxmlformats.org/officeDocument/2006/relationships/hyperlink" Target="http://www.parkrun.org.uk/gunnersbury/results/weeklyresults?runSeqNumber=43" TargetMode="External"/><Relationship Id="rId173" Type="http://schemas.openxmlformats.org/officeDocument/2006/relationships/hyperlink" Target="http://www.parkrun.org.uk/gunnersbury/results/weeklyresults?runSeqNumber=10" TargetMode="External"/><Relationship Id="rId19" Type="http://schemas.openxmlformats.org/officeDocument/2006/relationships/hyperlink" Target="http://www.parkrun.org.uk/richmond/results/weeklyresults?runSeqNumber=111" TargetMode="External"/><Relationship Id="rId14" Type="http://schemas.openxmlformats.org/officeDocument/2006/relationships/hyperlink" Target="http://www.parkrun.org.uk/richmond/results/weeklyresults?runSeqNumber=134" TargetMode="External"/><Relationship Id="rId30" Type="http://schemas.openxmlformats.org/officeDocument/2006/relationships/hyperlink" Target="http://www.parkrun.org.uk/olddeerpark/results/weeklyresults?runSeqNumber=265" TargetMode="External"/><Relationship Id="rId35" Type="http://schemas.openxmlformats.org/officeDocument/2006/relationships/hyperlink" Target="http://www.parkrun.org.uk/olddeerpark/results/weeklyresults?runSeqNumber=54" TargetMode="External"/><Relationship Id="rId56" Type="http://schemas.openxmlformats.org/officeDocument/2006/relationships/hyperlink" Target="http://www.parkrun.org.uk/gunnersbury/results/weeklyresults?runSeqNumber=328" TargetMode="External"/><Relationship Id="rId77" Type="http://schemas.openxmlformats.org/officeDocument/2006/relationships/hyperlink" Target="http://www.parkrun.org.uk/gunnersbury/results/weeklyresults?runSeqNumber=274" TargetMode="External"/><Relationship Id="rId100" Type="http://schemas.openxmlformats.org/officeDocument/2006/relationships/hyperlink" Target="http://www.parkrun.org.uk/gunnersbury/results/weeklyresults?runSeqNumber=198" TargetMode="External"/><Relationship Id="rId105" Type="http://schemas.openxmlformats.org/officeDocument/2006/relationships/hyperlink" Target="http://www.parkrun.org.uk/gunnersbury/results/weeklyresults?runSeqNumber=174" TargetMode="External"/><Relationship Id="rId126" Type="http://schemas.openxmlformats.org/officeDocument/2006/relationships/hyperlink" Target="http://www.parkrun.org.uk/gunnersbury/results/weeklyresults?runSeqNumber=104" TargetMode="External"/><Relationship Id="rId147" Type="http://schemas.openxmlformats.org/officeDocument/2006/relationships/hyperlink" Target="http://www.parkrun.org.uk/gunnersbury/results/weeklyresults?runSeqNumber=56" TargetMode="External"/><Relationship Id="rId168" Type="http://schemas.openxmlformats.org/officeDocument/2006/relationships/hyperlink" Target="http://www.parkrun.org.uk/gunnersbury/results/weeklyresults?runSeqNumber=16" TargetMode="External"/><Relationship Id="rId8" Type="http://schemas.openxmlformats.org/officeDocument/2006/relationships/hyperlink" Target="http://www.parkrun.org.uk/richmond/results/weeklyresults?runSeqNumber=201" TargetMode="External"/><Relationship Id="rId51" Type="http://schemas.openxmlformats.org/officeDocument/2006/relationships/hyperlink" Target="http://www.parkrun.org.uk/gunnersbury/results/weeklyresults?runSeqNumber=344" TargetMode="External"/><Relationship Id="rId72" Type="http://schemas.openxmlformats.org/officeDocument/2006/relationships/hyperlink" Target="http://www.parkrun.org.uk/gunnersbury/results/weeklyresults?runSeqNumber=282" TargetMode="External"/><Relationship Id="rId93" Type="http://schemas.openxmlformats.org/officeDocument/2006/relationships/hyperlink" Target="http://www.parkrun.org.uk/gunnersbury/results/weeklyresults?runSeqNumber=223" TargetMode="External"/><Relationship Id="rId98" Type="http://schemas.openxmlformats.org/officeDocument/2006/relationships/hyperlink" Target="http://www.parkrun.org.uk/gunnersbury/results/weeklyresults?runSeqNumber=206" TargetMode="External"/><Relationship Id="rId121" Type="http://schemas.openxmlformats.org/officeDocument/2006/relationships/hyperlink" Target="http://www.parkrun.org.uk/gunnersbury/results/weeklyresults?runSeqNumber=120" TargetMode="External"/><Relationship Id="rId142" Type="http://schemas.openxmlformats.org/officeDocument/2006/relationships/hyperlink" Target="http://www.parkrun.org.uk/gunnersbury/results/weeklyresults?runSeqNumber=61" TargetMode="External"/><Relationship Id="rId163" Type="http://schemas.openxmlformats.org/officeDocument/2006/relationships/hyperlink" Target="http://www.parkrun.org.uk/gunnersbury/results/weeklyresults?runSeqNumber=23" TargetMode="External"/><Relationship Id="rId184" Type="http://schemas.openxmlformats.org/officeDocument/2006/relationships/hyperlink" Target="http://www.parkrun.org.uk/fulhampalace/results/weeklyresults?runSeqNumber=161" TargetMode="External"/><Relationship Id="rId189" Type="http://schemas.openxmlformats.org/officeDocument/2006/relationships/hyperlink" Target="http://www.parkrun.org.uk/fulhampalace/results/weeklyresults?runSeqNumber=10" TargetMode="External"/><Relationship Id="rId3" Type="http://schemas.openxmlformats.org/officeDocument/2006/relationships/hyperlink" Target="http://www.parkrun.org.uk/richmond/results/weeklyresults?runSeqNumber=480" TargetMode="External"/><Relationship Id="rId25" Type="http://schemas.openxmlformats.org/officeDocument/2006/relationships/hyperlink" Target="http://www.parkrun.org.uk/richmond/results/weeklyresults?runSeqNumber=104" TargetMode="External"/><Relationship Id="rId46" Type="http://schemas.openxmlformats.org/officeDocument/2006/relationships/hyperlink" Target="http://www.parkrun.org.uk/gunnersbury/results/weeklyresults?runSeqNumber=362" TargetMode="External"/><Relationship Id="rId67" Type="http://schemas.openxmlformats.org/officeDocument/2006/relationships/hyperlink" Target="http://www.parkrun.org.uk/gunnersbury/results/weeklyresults?runSeqNumber=300" TargetMode="External"/><Relationship Id="rId116" Type="http://schemas.openxmlformats.org/officeDocument/2006/relationships/hyperlink" Target="http://www.parkrun.org.uk/gunnersbury/results/weeklyresults?runSeqNumber=149" TargetMode="External"/><Relationship Id="rId137" Type="http://schemas.openxmlformats.org/officeDocument/2006/relationships/hyperlink" Target="http://www.parkrun.org.uk/gunnersbury/results/weeklyresults?runSeqNumber=74" TargetMode="External"/><Relationship Id="rId158" Type="http://schemas.openxmlformats.org/officeDocument/2006/relationships/hyperlink" Target="http://www.parkrun.org.uk/gunnersbury/results/weeklyresults?runSeqNumber=30" TargetMode="External"/><Relationship Id="rId20" Type="http://schemas.openxmlformats.org/officeDocument/2006/relationships/hyperlink" Target="http://www.parkrun.org.uk/richmond/results/weeklyresults?runSeqNumber=110" TargetMode="External"/><Relationship Id="rId41" Type="http://schemas.openxmlformats.org/officeDocument/2006/relationships/hyperlink" Target="http://www.parkrun.org.uk/olddeerpark/results/weeklyresults?runSeqNumber=18" TargetMode="External"/><Relationship Id="rId62" Type="http://schemas.openxmlformats.org/officeDocument/2006/relationships/hyperlink" Target="http://www.parkrun.org.uk/gunnersbury/results/weeklyresults?runSeqNumber=311" TargetMode="External"/><Relationship Id="rId83" Type="http://schemas.openxmlformats.org/officeDocument/2006/relationships/hyperlink" Target="http://www.parkrun.org.uk/gunnersbury/results/weeklyresults?runSeqNumber=263" TargetMode="External"/><Relationship Id="rId88" Type="http://schemas.openxmlformats.org/officeDocument/2006/relationships/hyperlink" Target="http://www.parkrun.org.uk/gunnersbury/results/weeklyresults?runSeqNumber=240" TargetMode="External"/><Relationship Id="rId111" Type="http://schemas.openxmlformats.org/officeDocument/2006/relationships/hyperlink" Target="http://www.parkrun.org.uk/gunnersbury/results/weeklyresults?runSeqNumber=160" TargetMode="External"/><Relationship Id="rId132" Type="http://schemas.openxmlformats.org/officeDocument/2006/relationships/hyperlink" Target="http://www.parkrun.org.uk/gunnersbury/results/weeklyresults?runSeqNumber=88" TargetMode="External"/><Relationship Id="rId153" Type="http://schemas.openxmlformats.org/officeDocument/2006/relationships/hyperlink" Target="http://www.parkrun.org.uk/gunnersbury/results/weeklyresults?runSeqNumber=37" TargetMode="External"/><Relationship Id="rId174" Type="http://schemas.openxmlformats.org/officeDocument/2006/relationships/hyperlink" Target="http://www.parkrun.org.uk/gunnersbury/results/weeklyresults?runSeqNumber=7" TargetMode="External"/><Relationship Id="rId179" Type="http://schemas.openxmlformats.org/officeDocument/2006/relationships/hyperlink" Target="http://www.parkrun.org.uk/gunnersbury/results/weeklyresults?runSeqNumber=1" TargetMode="External"/><Relationship Id="rId190" Type="http://schemas.openxmlformats.org/officeDocument/2006/relationships/hyperlink" Target="http://www.parkrun.org.uk/fulhampalace/results/weeklyresults?runSeqNumber=5" TargetMode="External"/><Relationship Id="rId15" Type="http://schemas.openxmlformats.org/officeDocument/2006/relationships/hyperlink" Target="http://www.parkrun.org.uk/richmond/results/weeklyresults?runSeqNumber=129" TargetMode="External"/><Relationship Id="rId36" Type="http://schemas.openxmlformats.org/officeDocument/2006/relationships/hyperlink" Target="http://www.parkrun.org.uk/olddeerpark/results/weeklyresults?runSeqNumber=46" TargetMode="External"/><Relationship Id="rId57" Type="http://schemas.openxmlformats.org/officeDocument/2006/relationships/hyperlink" Target="http://www.parkrun.org.uk/gunnersbury/results/weeklyresults?runSeqNumber=325" TargetMode="External"/><Relationship Id="rId106" Type="http://schemas.openxmlformats.org/officeDocument/2006/relationships/hyperlink" Target="http://www.parkrun.org.uk/gunnersbury/results/weeklyresults?runSeqNumber=172" TargetMode="External"/><Relationship Id="rId127" Type="http://schemas.openxmlformats.org/officeDocument/2006/relationships/hyperlink" Target="http://www.parkrun.org.uk/gunnersbury/results/weeklyresults?runSeqNumber=103" TargetMode="External"/><Relationship Id="rId10" Type="http://schemas.openxmlformats.org/officeDocument/2006/relationships/hyperlink" Target="http://www.parkrun.org.uk/richmond/results/weeklyresults?runSeqNumber=176" TargetMode="External"/><Relationship Id="rId31" Type="http://schemas.openxmlformats.org/officeDocument/2006/relationships/hyperlink" Target="http://www.parkrun.org.uk/olddeerpark/results/weeklyresults?runSeqNumber=138" TargetMode="External"/><Relationship Id="rId52" Type="http://schemas.openxmlformats.org/officeDocument/2006/relationships/hyperlink" Target="http://www.parkrun.org.uk/gunnersbury/results/weeklyresults?runSeqNumber=343" TargetMode="External"/><Relationship Id="rId73" Type="http://schemas.openxmlformats.org/officeDocument/2006/relationships/hyperlink" Target="http://www.parkrun.org.uk/gunnersbury/results/weeklyresults?runSeqNumber=279" TargetMode="External"/><Relationship Id="rId78" Type="http://schemas.openxmlformats.org/officeDocument/2006/relationships/hyperlink" Target="http://www.parkrun.org.uk/gunnersbury/results/weeklyresults?runSeqNumber=273" TargetMode="External"/><Relationship Id="rId94" Type="http://schemas.openxmlformats.org/officeDocument/2006/relationships/hyperlink" Target="http://www.parkrun.org.uk/gunnersbury/results/weeklyresults?runSeqNumber=217" TargetMode="External"/><Relationship Id="rId99" Type="http://schemas.openxmlformats.org/officeDocument/2006/relationships/hyperlink" Target="http://www.parkrun.org.uk/gunnersbury/results/weeklyresults?runSeqNumber=202" TargetMode="External"/><Relationship Id="rId101" Type="http://schemas.openxmlformats.org/officeDocument/2006/relationships/hyperlink" Target="http://www.parkrun.org.uk/gunnersbury/results/weeklyresults?runSeqNumber=194" TargetMode="External"/><Relationship Id="rId122" Type="http://schemas.openxmlformats.org/officeDocument/2006/relationships/hyperlink" Target="http://www.parkrun.org.uk/gunnersbury/results/weeklyresults?runSeqNumber=119" TargetMode="External"/><Relationship Id="rId143" Type="http://schemas.openxmlformats.org/officeDocument/2006/relationships/hyperlink" Target="http://www.parkrun.org.uk/gunnersbury/results/weeklyresults?runSeqNumber=60" TargetMode="External"/><Relationship Id="rId148" Type="http://schemas.openxmlformats.org/officeDocument/2006/relationships/hyperlink" Target="http://www.parkrun.org.uk/gunnersbury/results/weeklyresults?runSeqNumber=52" TargetMode="External"/><Relationship Id="rId164" Type="http://schemas.openxmlformats.org/officeDocument/2006/relationships/hyperlink" Target="http://www.parkrun.org.uk/gunnersbury/results/weeklyresults?runSeqNumber=21" TargetMode="External"/><Relationship Id="rId169" Type="http://schemas.openxmlformats.org/officeDocument/2006/relationships/hyperlink" Target="http://www.parkrun.org.uk/gunnersbury/results/weeklyresults?runSeqNumber=15" TargetMode="External"/><Relationship Id="rId185" Type="http://schemas.openxmlformats.org/officeDocument/2006/relationships/hyperlink" Target="http://www.parkrun.org.uk/fulhampalace/results/weeklyresults?runSeqNumber=144" TargetMode="External"/><Relationship Id="rId4" Type="http://schemas.openxmlformats.org/officeDocument/2006/relationships/hyperlink" Target="http://www.parkrun.org.uk/richmond/results/weeklyresults?runSeqNumber=428" TargetMode="External"/><Relationship Id="rId9" Type="http://schemas.openxmlformats.org/officeDocument/2006/relationships/hyperlink" Target="http://www.parkrun.org.uk/richmond/results/weeklyresults?runSeqNumber=182" TargetMode="External"/><Relationship Id="rId180" Type="http://schemas.openxmlformats.org/officeDocument/2006/relationships/hyperlink" Target="http://www.parkrun.org.uk/fulhampalace/results/weeklyresults?runSeqNumber=269" TargetMode="External"/><Relationship Id="rId26" Type="http://schemas.openxmlformats.org/officeDocument/2006/relationships/hyperlink" Target="http://www.parkrun.org.uk/olddeerpark/results/weeklyresults?runSeqNumber=421" TargetMode="External"/><Relationship Id="rId47" Type="http://schemas.openxmlformats.org/officeDocument/2006/relationships/hyperlink" Target="http://www.parkrun.org.uk/gunnersbury/results/weeklyresults?runSeqNumber=358" TargetMode="External"/><Relationship Id="rId68" Type="http://schemas.openxmlformats.org/officeDocument/2006/relationships/hyperlink" Target="http://www.parkrun.org.uk/gunnersbury/results/weeklyresults?runSeqNumber=297" TargetMode="External"/><Relationship Id="rId89" Type="http://schemas.openxmlformats.org/officeDocument/2006/relationships/hyperlink" Target="http://www.parkrun.org.uk/gunnersbury/results/weeklyresults?runSeqNumber=237" TargetMode="External"/><Relationship Id="rId112" Type="http://schemas.openxmlformats.org/officeDocument/2006/relationships/hyperlink" Target="http://www.parkrun.org.uk/gunnersbury/results/weeklyresults?runSeqNumber=159" TargetMode="External"/><Relationship Id="rId133" Type="http://schemas.openxmlformats.org/officeDocument/2006/relationships/hyperlink" Target="http://www.parkrun.org.uk/gunnersbury/results/weeklyresults?runSeqNumber=86" TargetMode="External"/><Relationship Id="rId154" Type="http://schemas.openxmlformats.org/officeDocument/2006/relationships/hyperlink" Target="http://www.parkrun.org.uk/gunnersbury/results/weeklyresults?runSeqNumber=35" TargetMode="External"/><Relationship Id="rId175" Type="http://schemas.openxmlformats.org/officeDocument/2006/relationships/hyperlink" Target="http://www.parkrun.org.uk/gunnersbury/results/weeklyresults?runSeqNumber=6" TargetMode="External"/><Relationship Id="rId16" Type="http://schemas.openxmlformats.org/officeDocument/2006/relationships/hyperlink" Target="http://www.parkrun.org.uk/richmond/results/weeklyresults?runSeqNumber=127" TargetMode="External"/><Relationship Id="rId37" Type="http://schemas.openxmlformats.org/officeDocument/2006/relationships/hyperlink" Target="http://www.parkrun.org.uk/olddeerpark/results/weeklyresults?runSeqNumber=31" TargetMode="External"/><Relationship Id="rId58" Type="http://schemas.openxmlformats.org/officeDocument/2006/relationships/hyperlink" Target="http://www.parkrun.org.uk/gunnersbury/results/weeklyresults?runSeqNumber=322" TargetMode="External"/><Relationship Id="rId79" Type="http://schemas.openxmlformats.org/officeDocument/2006/relationships/hyperlink" Target="http://www.parkrun.org.uk/gunnersbury/results/weeklyresults?runSeqNumber=269" TargetMode="External"/><Relationship Id="rId102" Type="http://schemas.openxmlformats.org/officeDocument/2006/relationships/hyperlink" Target="http://www.parkrun.org.uk/gunnersbury/results/weeklyresults?runSeqNumber=187" TargetMode="External"/><Relationship Id="rId123" Type="http://schemas.openxmlformats.org/officeDocument/2006/relationships/hyperlink" Target="http://www.parkrun.org.uk/gunnersbury/results/weeklyresults?runSeqNumber=113" TargetMode="External"/><Relationship Id="rId144" Type="http://schemas.openxmlformats.org/officeDocument/2006/relationships/hyperlink" Target="http://www.parkrun.org.uk/gunnersbury/results/weeklyresults?runSeqNumber=59" TargetMode="External"/><Relationship Id="rId90" Type="http://schemas.openxmlformats.org/officeDocument/2006/relationships/hyperlink" Target="http://www.parkrun.org.uk/gunnersbury/results/weeklyresults?runSeqNumber=234" TargetMode="External"/><Relationship Id="rId165" Type="http://schemas.openxmlformats.org/officeDocument/2006/relationships/hyperlink" Target="http://www.parkrun.org.uk/gunnersbury/results/weeklyresults?runSeqNumber=20" TargetMode="External"/><Relationship Id="rId186" Type="http://schemas.openxmlformats.org/officeDocument/2006/relationships/hyperlink" Target="http://www.parkrun.org.uk/fulhampalace/results/weeklyresults?runSeqNumber=107" TargetMode="External"/><Relationship Id="rId27" Type="http://schemas.openxmlformats.org/officeDocument/2006/relationships/hyperlink" Target="http://www.parkrun.org.uk/olddeerpark/results/weeklyresults?runSeqNumber=401" TargetMode="External"/><Relationship Id="rId48" Type="http://schemas.openxmlformats.org/officeDocument/2006/relationships/hyperlink" Target="http://www.parkrun.org.uk/gunnersbury/results/weeklyresults?runSeqNumber=355" TargetMode="External"/><Relationship Id="rId69" Type="http://schemas.openxmlformats.org/officeDocument/2006/relationships/hyperlink" Target="http://www.parkrun.org.uk/gunnersbury/results/weeklyresults?runSeqNumber=294" TargetMode="External"/><Relationship Id="rId113" Type="http://schemas.openxmlformats.org/officeDocument/2006/relationships/hyperlink" Target="http://www.parkrun.org.uk/gunnersbury/results/weeklyresults?runSeqNumber=155" TargetMode="External"/><Relationship Id="rId134" Type="http://schemas.openxmlformats.org/officeDocument/2006/relationships/hyperlink" Target="http://www.parkrun.org.uk/gunnersbury/results/weeklyresults?runSeqNumber=84" TargetMode="External"/><Relationship Id="rId80" Type="http://schemas.openxmlformats.org/officeDocument/2006/relationships/hyperlink" Target="http://www.parkrun.org.uk/gunnersbury/results/weeklyresults?runSeqNumber=268" TargetMode="External"/><Relationship Id="rId155" Type="http://schemas.openxmlformats.org/officeDocument/2006/relationships/hyperlink" Target="http://www.parkrun.org.uk/gunnersbury/results/weeklyresults?runSeqNumber=34" TargetMode="External"/><Relationship Id="rId176" Type="http://schemas.openxmlformats.org/officeDocument/2006/relationships/hyperlink" Target="http://www.parkrun.org.uk/gunnersbury/results/weeklyresults?runSeqNumber=5" TargetMode="External"/><Relationship Id="rId17" Type="http://schemas.openxmlformats.org/officeDocument/2006/relationships/hyperlink" Target="http://www.parkrun.org.uk/richmond/results/weeklyresults?runSeqNumber=118" TargetMode="External"/><Relationship Id="rId38" Type="http://schemas.openxmlformats.org/officeDocument/2006/relationships/hyperlink" Target="http://www.parkrun.org.uk/olddeerpark/results/weeklyresults?runSeqNumber=29" TargetMode="External"/><Relationship Id="rId59" Type="http://schemas.openxmlformats.org/officeDocument/2006/relationships/hyperlink" Target="http://www.parkrun.org.uk/gunnersbury/results/weeklyresults?runSeqNumber=318" TargetMode="External"/><Relationship Id="rId103" Type="http://schemas.openxmlformats.org/officeDocument/2006/relationships/hyperlink" Target="http://www.parkrun.org.uk/gunnersbury/results/weeklyresults?runSeqNumber=184" TargetMode="External"/><Relationship Id="rId124" Type="http://schemas.openxmlformats.org/officeDocument/2006/relationships/hyperlink" Target="http://www.parkrun.org.uk/gunnersbury/results/weeklyresults?runSeqNumber=110" TargetMode="External"/><Relationship Id="rId70" Type="http://schemas.openxmlformats.org/officeDocument/2006/relationships/hyperlink" Target="http://www.parkrun.org.uk/gunnersbury/results/weeklyresults?runSeqNumber=288" TargetMode="External"/><Relationship Id="rId91" Type="http://schemas.openxmlformats.org/officeDocument/2006/relationships/hyperlink" Target="http://www.parkrun.org.uk/gunnersbury/results/weeklyresults?runSeqNumber=231" TargetMode="External"/><Relationship Id="rId145" Type="http://schemas.openxmlformats.org/officeDocument/2006/relationships/hyperlink" Target="http://www.parkrun.org.uk/gunnersbury/results/weeklyresults?runSeqNumber=58" TargetMode="External"/><Relationship Id="rId166" Type="http://schemas.openxmlformats.org/officeDocument/2006/relationships/hyperlink" Target="http://www.parkrun.org.uk/gunnersbury/results/weeklyresults?runSeqNumber=19" TargetMode="External"/><Relationship Id="rId187" Type="http://schemas.openxmlformats.org/officeDocument/2006/relationships/hyperlink" Target="http://www.parkrun.org.uk/fulhampalace/results/weeklyresults?runSeqNumber=64" TargetMode="External"/><Relationship Id="rId1" Type="http://schemas.openxmlformats.org/officeDocument/2006/relationships/hyperlink" Target="http://www.parkrun.org.uk/richmond/results/weeklyresults?runSeqNumber=592" TargetMode="External"/><Relationship Id="rId28" Type="http://schemas.openxmlformats.org/officeDocument/2006/relationships/hyperlink" Target="http://www.parkrun.org.uk/olddeerpark/results/weeklyresults?runSeqNumber=350" TargetMode="External"/><Relationship Id="rId49" Type="http://schemas.openxmlformats.org/officeDocument/2006/relationships/hyperlink" Target="http://www.parkrun.org.uk/gunnersbury/results/weeklyresults?runSeqNumber=351" TargetMode="External"/><Relationship Id="rId114" Type="http://schemas.openxmlformats.org/officeDocument/2006/relationships/hyperlink" Target="http://www.parkrun.org.uk/gunnersbury/results/weeklyresults?runSeqNumber=154" TargetMode="External"/><Relationship Id="rId60" Type="http://schemas.openxmlformats.org/officeDocument/2006/relationships/hyperlink" Target="http://www.parkrun.org.uk/gunnersbury/results/weeklyresults?runSeqNumber=316" TargetMode="External"/><Relationship Id="rId81" Type="http://schemas.openxmlformats.org/officeDocument/2006/relationships/hyperlink" Target="http://www.parkrun.org.uk/gunnersbury/results/weeklyresults?runSeqNumber=267" TargetMode="External"/><Relationship Id="rId135" Type="http://schemas.openxmlformats.org/officeDocument/2006/relationships/hyperlink" Target="http://www.parkrun.org.uk/gunnersbury/results/weeklyresults?runSeqNumber=80" TargetMode="External"/><Relationship Id="rId156" Type="http://schemas.openxmlformats.org/officeDocument/2006/relationships/hyperlink" Target="http://www.parkrun.org.uk/gunnersbury/results/weeklyresults?runSeqNumber=33" TargetMode="External"/><Relationship Id="rId177" Type="http://schemas.openxmlformats.org/officeDocument/2006/relationships/hyperlink" Target="http://www.parkrun.org.uk/gunnersbury/results/weeklyresults?runSeqNumber=3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0@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support.parkrun.com/hc/en-us/articles/200566523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mailto:0@25:22" TargetMode="External"/><Relationship Id="rId2" Type="http://schemas.openxmlformats.org/officeDocument/2006/relationships/hyperlink" Target="mailto:0@:19:22" TargetMode="External"/><Relationship Id="rId1" Type="http://schemas.openxmlformats.org/officeDocument/2006/relationships/hyperlink" Target="mailto:0@27:41" TargetMode="External"/><Relationship Id="rId4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1" Type="http://schemas.openxmlformats.org/officeDocument/2006/relationships/hyperlink" Target="http://www.parkrun.org.uk/results/athleteresultshistory/?athleteNumber=138470" TargetMode="External"/><Relationship Id="rId170" Type="http://schemas.openxmlformats.org/officeDocument/2006/relationships/hyperlink" Target="http://www.parkrun.org.uk/results/athleteresultshistory/?athleteNumber=53357" TargetMode="External"/><Relationship Id="rId268" Type="http://schemas.openxmlformats.org/officeDocument/2006/relationships/hyperlink" Target="http://www.parkrun.org.uk/results/athleteresultshistory/?athleteNumber=20059" TargetMode="External"/><Relationship Id="rId475" Type="http://schemas.openxmlformats.org/officeDocument/2006/relationships/hyperlink" Target="http://www.parkrun.org.uk/results/athleteresultshistory/?athleteNumber=106179" TargetMode="External"/><Relationship Id="rId682" Type="http://schemas.openxmlformats.org/officeDocument/2006/relationships/hyperlink" Target="http://www.parkrun.org.uk/results/athleteresultshistory/?athleteNumber=164022" TargetMode="External"/><Relationship Id="rId128" Type="http://schemas.openxmlformats.org/officeDocument/2006/relationships/hyperlink" Target="http://www.parkrun.org.uk/results/athleteresultshistory/?athleteNumber=74141" TargetMode="External"/><Relationship Id="rId335" Type="http://schemas.openxmlformats.org/officeDocument/2006/relationships/hyperlink" Target="http://www.parkrun.org.uk/results/athleteresultshistory/?athleteNumber=78677" TargetMode="External"/><Relationship Id="rId542" Type="http://schemas.openxmlformats.org/officeDocument/2006/relationships/hyperlink" Target="http://www.parkrun.org.uk/results/athleteresultshistory/?athleteNumber=80189" TargetMode="External"/><Relationship Id="rId987" Type="http://schemas.openxmlformats.org/officeDocument/2006/relationships/hyperlink" Target="http://www.parkrun.org.uk/results/athleteresultshistory/?athleteNumber=39036" TargetMode="External"/><Relationship Id="rId402" Type="http://schemas.openxmlformats.org/officeDocument/2006/relationships/hyperlink" Target="http://www.parkrun.org.uk/results/athleteresultshistory/?athleteNumber=54950" TargetMode="External"/><Relationship Id="rId847" Type="http://schemas.openxmlformats.org/officeDocument/2006/relationships/hyperlink" Target="http://www.parkrun.org.uk/results/athleteresultshistory/?athleteNumber=116857" TargetMode="External"/><Relationship Id="rId1032" Type="http://schemas.openxmlformats.org/officeDocument/2006/relationships/hyperlink" Target="http://www.parkrun.org.uk/results/athleteresultshistory/?athleteNumber=106774" TargetMode="External"/><Relationship Id="rId707" Type="http://schemas.openxmlformats.org/officeDocument/2006/relationships/hyperlink" Target="http://www.parkrun.org.uk/results/athleteresultshistory/?athleteNumber=86702" TargetMode="External"/><Relationship Id="rId914" Type="http://schemas.openxmlformats.org/officeDocument/2006/relationships/hyperlink" Target="http://www.parkrun.org.uk/results/athleteresultshistory/?athleteNumber=42078" TargetMode="External"/><Relationship Id="rId43" Type="http://schemas.openxmlformats.org/officeDocument/2006/relationships/hyperlink" Target="http://www.parkrun.org.uk/results/athleteresultshistory/?athleteNumber=47715" TargetMode="External"/><Relationship Id="rId192" Type="http://schemas.openxmlformats.org/officeDocument/2006/relationships/hyperlink" Target="http://www.parkrun.org.uk/results/athleteresultshistory/?athleteNumber=28885" TargetMode="External"/><Relationship Id="rId497" Type="http://schemas.openxmlformats.org/officeDocument/2006/relationships/hyperlink" Target="http://www.parkrun.org.uk/results/athleteresultshistory/?athleteNumber=18200" TargetMode="External"/><Relationship Id="rId357" Type="http://schemas.openxmlformats.org/officeDocument/2006/relationships/hyperlink" Target="http://www.parkrun.org.uk/results/athleteresultshistory/?athleteNumber=39874" TargetMode="External"/><Relationship Id="rId217" Type="http://schemas.openxmlformats.org/officeDocument/2006/relationships/hyperlink" Target="http://www.parkrun.org.uk/results/athleteresultshistory/?athleteNumber=49021" TargetMode="External"/><Relationship Id="rId564" Type="http://schemas.openxmlformats.org/officeDocument/2006/relationships/hyperlink" Target="http://www.parkrun.org.uk/results/athleteresultshistory/?athleteNumber=39029" TargetMode="External"/><Relationship Id="rId771" Type="http://schemas.openxmlformats.org/officeDocument/2006/relationships/hyperlink" Target="http://www.parkrun.org.uk/results/athleteresultshistory/?athleteNumber=25471" TargetMode="External"/><Relationship Id="rId869" Type="http://schemas.openxmlformats.org/officeDocument/2006/relationships/hyperlink" Target="http://www.parkrun.org.uk/results/athleteresultshistory/?athleteNumber=1759" TargetMode="External"/><Relationship Id="rId424" Type="http://schemas.openxmlformats.org/officeDocument/2006/relationships/hyperlink" Target="http://www.parkrun.org.uk/results/athleteresultshistory/?athleteNumber=51403" TargetMode="External"/><Relationship Id="rId631" Type="http://schemas.openxmlformats.org/officeDocument/2006/relationships/hyperlink" Target="http://www.parkrun.org.uk/results/athleteresultshistory/?athleteNumber=113791" TargetMode="External"/><Relationship Id="rId729" Type="http://schemas.openxmlformats.org/officeDocument/2006/relationships/hyperlink" Target="http://www.parkrun.org.uk/results/athleteresultshistory/?athleteNumber=1488" TargetMode="External"/><Relationship Id="rId1054" Type="http://schemas.openxmlformats.org/officeDocument/2006/relationships/hyperlink" Target="http://www.parkrun.org.uk/results/athleteresultshistory/?athleteNumber=124177" TargetMode="External"/><Relationship Id="rId936" Type="http://schemas.openxmlformats.org/officeDocument/2006/relationships/hyperlink" Target="http://www.parkrun.org.uk/results/athleteresultshistory/?athleteNumber=1892" TargetMode="External"/><Relationship Id="rId65" Type="http://schemas.openxmlformats.org/officeDocument/2006/relationships/hyperlink" Target="http://www.parkrun.org.uk/results/athleteresultshistory/?athleteNumber=78668" TargetMode="External"/><Relationship Id="rId281" Type="http://schemas.openxmlformats.org/officeDocument/2006/relationships/hyperlink" Target="http://www.parkrun.org.uk/results/athleteresultshistory/?athleteNumber=99574" TargetMode="External"/><Relationship Id="rId141" Type="http://schemas.openxmlformats.org/officeDocument/2006/relationships/hyperlink" Target="http://www.parkrun.org.uk/results/athleteresultshistory/?athleteNumber=107518" TargetMode="External"/><Relationship Id="rId379" Type="http://schemas.openxmlformats.org/officeDocument/2006/relationships/hyperlink" Target="http://www.parkrun.org.uk/results/athleteresultshistory/?athleteNumber=51405" TargetMode="External"/><Relationship Id="rId586" Type="http://schemas.openxmlformats.org/officeDocument/2006/relationships/hyperlink" Target="http://www.parkrun.org.uk/results/athleteresultshistory/?athleteNumber=41208" TargetMode="External"/><Relationship Id="rId793" Type="http://schemas.openxmlformats.org/officeDocument/2006/relationships/hyperlink" Target="http://www.parkrun.org.uk/results/athleteresultshistory/?athleteNumber=1679" TargetMode="External"/><Relationship Id="rId7" Type="http://schemas.openxmlformats.org/officeDocument/2006/relationships/hyperlink" Target="http://www.parkrun.org.uk/results/athleteresultshistory/?athleteNumber=8953" TargetMode="External"/><Relationship Id="rId239" Type="http://schemas.openxmlformats.org/officeDocument/2006/relationships/hyperlink" Target="http://www.parkrun.org.uk/results/athleteresultshistory/?athleteNumber=33063" TargetMode="External"/><Relationship Id="rId446" Type="http://schemas.openxmlformats.org/officeDocument/2006/relationships/hyperlink" Target="http://www.parkrun.org.uk/results/athleteresultshistory/?athleteNumber=167770" TargetMode="External"/><Relationship Id="rId653" Type="http://schemas.openxmlformats.org/officeDocument/2006/relationships/hyperlink" Target="http://www.parkrun.org.uk/results/athleteresultshistory/?athleteNumber=80575" TargetMode="External"/><Relationship Id="rId1076" Type="http://schemas.openxmlformats.org/officeDocument/2006/relationships/hyperlink" Target="http://www.parkrun.org.uk/results/athleteresultshistory/?athleteNumber=21185" TargetMode="External"/><Relationship Id="rId292" Type="http://schemas.openxmlformats.org/officeDocument/2006/relationships/hyperlink" Target="http://www.parkrun.org.uk/results/athleteresultshistory/?athleteNumber=53726" TargetMode="External"/><Relationship Id="rId306" Type="http://schemas.openxmlformats.org/officeDocument/2006/relationships/hyperlink" Target="http://www.parkrun.org.uk/results/athleteresultshistory/?athleteNumber=14085" TargetMode="External"/><Relationship Id="rId860" Type="http://schemas.openxmlformats.org/officeDocument/2006/relationships/hyperlink" Target="http://www.parkrun.org.uk/results/athleteresultshistory/?athleteNumber=98846" TargetMode="External"/><Relationship Id="rId958" Type="http://schemas.openxmlformats.org/officeDocument/2006/relationships/hyperlink" Target="http://www.parkrun.org.uk/results/athleteresultshistory/?athleteNumber=101150" TargetMode="External"/><Relationship Id="rId87" Type="http://schemas.openxmlformats.org/officeDocument/2006/relationships/hyperlink" Target="http://www.parkrun.org.uk/results/athleteresultshistory/?athleteNumber=11836" TargetMode="External"/><Relationship Id="rId513" Type="http://schemas.openxmlformats.org/officeDocument/2006/relationships/hyperlink" Target="http://www.parkrun.org.uk/results/athleteresultshistory/?athleteNumber=95743" TargetMode="External"/><Relationship Id="rId597" Type="http://schemas.openxmlformats.org/officeDocument/2006/relationships/hyperlink" Target="http://www.parkrun.org.uk/results/athleteresultshistory/?athleteNumber=158157" TargetMode="External"/><Relationship Id="rId720" Type="http://schemas.openxmlformats.org/officeDocument/2006/relationships/hyperlink" Target="http://www.parkrun.org.uk/results/athleteresultshistory/?athleteNumber=8035" TargetMode="External"/><Relationship Id="rId818" Type="http://schemas.openxmlformats.org/officeDocument/2006/relationships/hyperlink" Target="http://www.parkrun.org.uk/results/athleteresultshistory/?athleteNumber=8259" TargetMode="External"/><Relationship Id="rId152" Type="http://schemas.openxmlformats.org/officeDocument/2006/relationships/hyperlink" Target="http://www.parkrun.org.uk/results/athleteresultshistory/?athleteNumber=98802" TargetMode="External"/><Relationship Id="rId457" Type="http://schemas.openxmlformats.org/officeDocument/2006/relationships/hyperlink" Target="http://www.parkrun.org.uk/results/athleteresultshistory/?athleteNumber=25431" TargetMode="External"/><Relationship Id="rId1003" Type="http://schemas.openxmlformats.org/officeDocument/2006/relationships/hyperlink" Target="http://www.parkrun.org.uk/results/athleteresultshistory/?athleteNumber=108116" TargetMode="External"/><Relationship Id="rId1087" Type="http://schemas.openxmlformats.org/officeDocument/2006/relationships/hyperlink" Target="http://www.parkrun.org.uk/results/athleteresultshistory/?athleteNumber=47655" TargetMode="External"/><Relationship Id="rId664" Type="http://schemas.openxmlformats.org/officeDocument/2006/relationships/hyperlink" Target="http://www.parkrun.org.uk/results/athleteresultshistory/?athleteNumber=1349" TargetMode="External"/><Relationship Id="rId871" Type="http://schemas.openxmlformats.org/officeDocument/2006/relationships/hyperlink" Target="http://www.parkrun.org.uk/results/athleteresultshistory/?athleteNumber=73636" TargetMode="External"/><Relationship Id="rId969" Type="http://schemas.openxmlformats.org/officeDocument/2006/relationships/hyperlink" Target="http://www.parkrun.org.uk/results/athleteresultshistory/?athleteNumber=1998" TargetMode="External"/><Relationship Id="rId14" Type="http://schemas.openxmlformats.org/officeDocument/2006/relationships/hyperlink" Target="http://www.parkrun.org.uk/results/athleteresultshistory/?athleteNumber=11488" TargetMode="External"/><Relationship Id="rId317" Type="http://schemas.openxmlformats.org/officeDocument/2006/relationships/hyperlink" Target="http://www.parkrun.org.uk/results/athleteresultshistory/?athleteNumber=37039" TargetMode="External"/><Relationship Id="rId524" Type="http://schemas.openxmlformats.org/officeDocument/2006/relationships/hyperlink" Target="http://www.parkrun.org.uk/results/athleteresultshistory/?athleteNumber=16106" TargetMode="External"/><Relationship Id="rId731" Type="http://schemas.openxmlformats.org/officeDocument/2006/relationships/hyperlink" Target="http://www.parkrun.org.uk/results/athleteresultshistory/?athleteNumber=5561" TargetMode="External"/><Relationship Id="rId98" Type="http://schemas.openxmlformats.org/officeDocument/2006/relationships/hyperlink" Target="http://www.parkrun.org.uk/results/athleteresultshistory/?athleteNumber=74936" TargetMode="External"/><Relationship Id="rId163" Type="http://schemas.openxmlformats.org/officeDocument/2006/relationships/hyperlink" Target="http://www.parkrun.org.uk/results/athleteresultshistory/?athleteNumber=10405" TargetMode="External"/><Relationship Id="rId370" Type="http://schemas.openxmlformats.org/officeDocument/2006/relationships/hyperlink" Target="http://www.parkrun.org.uk/results/athleteresultshistory/?athleteNumber=194679" TargetMode="External"/><Relationship Id="rId829" Type="http://schemas.openxmlformats.org/officeDocument/2006/relationships/hyperlink" Target="http://www.parkrun.org.uk/results/athleteresultshistory/?athleteNumber=47757" TargetMode="External"/><Relationship Id="rId1014" Type="http://schemas.openxmlformats.org/officeDocument/2006/relationships/hyperlink" Target="http://www.parkrun.org.uk/results/athleteresultshistory/?athleteNumber=21385" TargetMode="External"/><Relationship Id="rId230" Type="http://schemas.openxmlformats.org/officeDocument/2006/relationships/hyperlink" Target="http://www.parkrun.org.uk/results/athleteresultshistory/?athleteNumber=47837" TargetMode="External"/><Relationship Id="rId468" Type="http://schemas.openxmlformats.org/officeDocument/2006/relationships/hyperlink" Target="http://www.parkrun.org.uk/results/athleteresultshistory/?athleteNumber=16053" TargetMode="External"/><Relationship Id="rId675" Type="http://schemas.openxmlformats.org/officeDocument/2006/relationships/hyperlink" Target="http://www.parkrun.org.uk/results/athleteresultshistory/?athleteNumber=101694" TargetMode="External"/><Relationship Id="rId882" Type="http://schemas.openxmlformats.org/officeDocument/2006/relationships/hyperlink" Target="http://www.parkrun.org.uk/results/athleteresultshistory/?athleteNumber=50048" TargetMode="External"/><Relationship Id="rId25" Type="http://schemas.openxmlformats.org/officeDocument/2006/relationships/hyperlink" Target="http://www.parkrun.org.uk/results/athleteresultshistory/?athleteNumber=4433" TargetMode="External"/><Relationship Id="rId328" Type="http://schemas.openxmlformats.org/officeDocument/2006/relationships/hyperlink" Target="http://www.parkrun.org.uk/results/athleteresultshistory/?athleteNumber=667" TargetMode="External"/><Relationship Id="rId535" Type="http://schemas.openxmlformats.org/officeDocument/2006/relationships/hyperlink" Target="http://www.parkrun.org.uk/results/athleteresultshistory/?athleteNumber=25370" TargetMode="External"/><Relationship Id="rId742" Type="http://schemas.openxmlformats.org/officeDocument/2006/relationships/hyperlink" Target="http://www.parkrun.org.uk/results/athleteresultshistory/?athleteNumber=24942" TargetMode="External"/><Relationship Id="rId174" Type="http://schemas.openxmlformats.org/officeDocument/2006/relationships/hyperlink" Target="http://www.parkrun.org.uk/results/athleteresultshistory/?athleteNumber=11865" TargetMode="External"/><Relationship Id="rId381" Type="http://schemas.openxmlformats.org/officeDocument/2006/relationships/hyperlink" Target="http://www.parkrun.org.uk/results/athleteresultshistory/?athleteNumber=90911" TargetMode="External"/><Relationship Id="rId602" Type="http://schemas.openxmlformats.org/officeDocument/2006/relationships/hyperlink" Target="http://www.parkrun.org.uk/results/athleteresultshistory/?athleteNumber=79331" TargetMode="External"/><Relationship Id="rId1025" Type="http://schemas.openxmlformats.org/officeDocument/2006/relationships/hyperlink" Target="http://www.parkrun.org.uk/results/athleteresultshistory/?athleteNumber=2108" TargetMode="External"/><Relationship Id="rId241" Type="http://schemas.openxmlformats.org/officeDocument/2006/relationships/hyperlink" Target="http://www.parkrun.org.uk/results/athleteresultshistory/?athleteNumber=61185" TargetMode="External"/><Relationship Id="rId479" Type="http://schemas.openxmlformats.org/officeDocument/2006/relationships/hyperlink" Target="http://www.parkrun.org.uk/results/athleteresultshistory/?athleteNumber=120595" TargetMode="External"/><Relationship Id="rId686" Type="http://schemas.openxmlformats.org/officeDocument/2006/relationships/hyperlink" Target="http://www.parkrun.org.uk/results/athleteresultshistory/?athleteNumber=3694" TargetMode="External"/><Relationship Id="rId893" Type="http://schemas.openxmlformats.org/officeDocument/2006/relationships/hyperlink" Target="http://www.parkrun.org.uk/results/athleteresultshistory/?athleteNumber=105483" TargetMode="External"/><Relationship Id="rId907" Type="http://schemas.openxmlformats.org/officeDocument/2006/relationships/hyperlink" Target="http://www.parkrun.org.uk/results/athleteresultshistory/?athleteNumber=13693" TargetMode="External"/><Relationship Id="rId36" Type="http://schemas.openxmlformats.org/officeDocument/2006/relationships/hyperlink" Target="http://www.parkrun.org.uk/results/athleteresultshistory/?athleteNumber=12799" TargetMode="External"/><Relationship Id="rId339" Type="http://schemas.openxmlformats.org/officeDocument/2006/relationships/hyperlink" Target="http://www.parkrun.org.uk/results/athleteresultshistory/?athleteNumber=698" TargetMode="External"/><Relationship Id="rId546" Type="http://schemas.openxmlformats.org/officeDocument/2006/relationships/hyperlink" Target="http://www.parkrun.org.uk/results/athleteresultshistory/?athleteNumber=166950" TargetMode="External"/><Relationship Id="rId753" Type="http://schemas.openxmlformats.org/officeDocument/2006/relationships/hyperlink" Target="http://www.parkrun.org.uk/results/athleteresultshistory/?athleteNumber=3105" TargetMode="External"/><Relationship Id="rId101" Type="http://schemas.openxmlformats.org/officeDocument/2006/relationships/hyperlink" Target="http://www.parkrun.org.uk/results/athleteresultshistory/?athleteNumber=72680" TargetMode="External"/><Relationship Id="rId185" Type="http://schemas.openxmlformats.org/officeDocument/2006/relationships/hyperlink" Target="http://www.parkrun.org.uk/results/athleteresultshistory/?athleteNumber=22445" TargetMode="External"/><Relationship Id="rId406" Type="http://schemas.openxmlformats.org/officeDocument/2006/relationships/hyperlink" Target="http://www.parkrun.org.uk/results/athleteresultshistory/?athleteNumber=16074" TargetMode="External"/><Relationship Id="rId960" Type="http://schemas.openxmlformats.org/officeDocument/2006/relationships/hyperlink" Target="http://www.parkrun.org.uk/results/athleteresultshistory/?athleteNumber=10336" TargetMode="External"/><Relationship Id="rId1036" Type="http://schemas.openxmlformats.org/officeDocument/2006/relationships/hyperlink" Target="http://www.parkrun.org.uk/results/athleteresultshistory/?athleteNumber=59348" TargetMode="External"/><Relationship Id="rId392" Type="http://schemas.openxmlformats.org/officeDocument/2006/relationships/hyperlink" Target="http://www.parkrun.org.uk/results/athleteresultshistory/?athleteNumber=59903" TargetMode="External"/><Relationship Id="rId613" Type="http://schemas.openxmlformats.org/officeDocument/2006/relationships/hyperlink" Target="http://www.parkrun.org.uk/results/athleteresultshistory/?athleteNumber=17947" TargetMode="External"/><Relationship Id="rId697" Type="http://schemas.openxmlformats.org/officeDocument/2006/relationships/hyperlink" Target="http://www.parkrun.org.uk/results/athleteresultshistory/?athleteNumber=160891" TargetMode="External"/><Relationship Id="rId820" Type="http://schemas.openxmlformats.org/officeDocument/2006/relationships/hyperlink" Target="http://www.parkrun.org.uk/results/athleteresultshistory/?athleteNumber=66935" TargetMode="External"/><Relationship Id="rId918" Type="http://schemas.openxmlformats.org/officeDocument/2006/relationships/hyperlink" Target="http://www.parkrun.org.uk/results/athleteresultshistory/?athleteNumber=38403" TargetMode="External"/><Relationship Id="rId252" Type="http://schemas.openxmlformats.org/officeDocument/2006/relationships/hyperlink" Target="http://www.parkrun.org.uk/results/athleteresultshistory/?athleteNumber=6341" TargetMode="External"/><Relationship Id="rId47" Type="http://schemas.openxmlformats.org/officeDocument/2006/relationships/hyperlink" Target="http://www.parkrun.org.uk/results/athleteresultshistory/?athleteNumber=16439" TargetMode="External"/><Relationship Id="rId112" Type="http://schemas.openxmlformats.org/officeDocument/2006/relationships/hyperlink" Target="http://www.parkrun.org.uk/results/athleteresultshistory/?athleteNumber=3051" TargetMode="External"/><Relationship Id="rId557" Type="http://schemas.openxmlformats.org/officeDocument/2006/relationships/hyperlink" Target="http://www.parkrun.org.uk/results/athleteresultshistory/?athleteNumber=28367" TargetMode="External"/><Relationship Id="rId764" Type="http://schemas.openxmlformats.org/officeDocument/2006/relationships/hyperlink" Target="http://www.parkrun.org.uk/results/athleteresultshistory/?athleteNumber=38066" TargetMode="External"/><Relationship Id="rId971" Type="http://schemas.openxmlformats.org/officeDocument/2006/relationships/hyperlink" Target="http://www.parkrun.org.uk/results/athleteresultshistory/?athleteNumber=64658" TargetMode="External"/><Relationship Id="rId196" Type="http://schemas.openxmlformats.org/officeDocument/2006/relationships/hyperlink" Target="http://www.parkrun.org.uk/results/athleteresultshistory/?athleteNumber=425" TargetMode="External"/><Relationship Id="rId417" Type="http://schemas.openxmlformats.org/officeDocument/2006/relationships/hyperlink" Target="http://www.parkrun.org.uk/results/athleteresultshistory/?athleteNumber=17251" TargetMode="External"/><Relationship Id="rId624" Type="http://schemas.openxmlformats.org/officeDocument/2006/relationships/hyperlink" Target="http://www.parkrun.org.uk/results/athleteresultshistory/?athleteNumber=172153" TargetMode="External"/><Relationship Id="rId831" Type="http://schemas.openxmlformats.org/officeDocument/2006/relationships/hyperlink" Target="http://www.parkrun.org.uk/results/athleteresultshistory/?athleteNumber=211316" TargetMode="External"/><Relationship Id="rId1047" Type="http://schemas.openxmlformats.org/officeDocument/2006/relationships/hyperlink" Target="http://www.parkrun.org.uk/results/athleteresultshistory/?athleteNumber=33499" TargetMode="External"/><Relationship Id="rId263" Type="http://schemas.openxmlformats.org/officeDocument/2006/relationships/hyperlink" Target="http://www.parkrun.org.uk/results/athleteresultshistory/?athleteNumber=176679" TargetMode="External"/><Relationship Id="rId470" Type="http://schemas.openxmlformats.org/officeDocument/2006/relationships/hyperlink" Target="http://www.parkrun.org.uk/results/athleteresultshistory/?athleteNumber=6835" TargetMode="External"/><Relationship Id="rId929" Type="http://schemas.openxmlformats.org/officeDocument/2006/relationships/hyperlink" Target="http://www.parkrun.org.uk/results/athleteresultshistory/?athleteNumber=14727" TargetMode="External"/><Relationship Id="rId58" Type="http://schemas.openxmlformats.org/officeDocument/2006/relationships/hyperlink" Target="http://www.parkrun.org.uk/results/athleteresultshistory/?athleteNumber=37847" TargetMode="External"/><Relationship Id="rId123" Type="http://schemas.openxmlformats.org/officeDocument/2006/relationships/hyperlink" Target="http://www.parkrun.org.uk/results/athleteresultshistory/?athleteNumber=46076" TargetMode="External"/><Relationship Id="rId330" Type="http://schemas.openxmlformats.org/officeDocument/2006/relationships/hyperlink" Target="http://www.parkrun.org.uk/results/athleteresultshistory/?athleteNumber=113124" TargetMode="External"/><Relationship Id="rId568" Type="http://schemas.openxmlformats.org/officeDocument/2006/relationships/hyperlink" Target="http://www.parkrun.org.uk/results/athleteresultshistory/?athleteNumber=8021" TargetMode="External"/><Relationship Id="rId775" Type="http://schemas.openxmlformats.org/officeDocument/2006/relationships/hyperlink" Target="http://www.parkrun.org.uk/results/athleteresultshistory/?athleteNumber=79284" TargetMode="External"/><Relationship Id="rId982" Type="http://schemas.openxmlformats.org/officeDocument/2006/relationships/hyperlink" Target="http://www.parkrun.org.uk/results/athleteresultshistory/?athleteNumber=10581" TargetMode="External"/><Relationship Id="rId428" Type="http://schemas.openxmlformats.org/officeDocument/2006/relationships/hyperlink" Target="http://www.parkrun.org.uk/results/athleteresultshistory/?athleteNumber=191091" TargetMode="External"/><Relationship Id="rId635" Type="http://schemas.openxmlformats.org/officeDocument/2006/relationships/hyperlink" Target="http://www.parkrun.org.uk/results/athleteresultshistory/?athleteNumber=105613" TargetMode="External"/><Relationship Id="rId842" Type="http://schemas.openxmlformats.org/officeDocument/2006/relationships/hyperlink" Target="http://www.parkrun.org.uk/results/athleteresultshistory/?athleteNumber=26898" TargetMode="External"/><Relationship Id="rId1058" Type="http://schemas.openxmlformats.org/officeDocument/2006/relationships/hyperlink" Target="http://www.parkrun.org.uk/results/athleteresultshistory/?athleteNumber=48579" TargetMode="External"/><Relationship Id="rId274" Type="http://schemas.openxmlformats.org/officeDocument/2006/relationships/hyperlink" Target="http://www.parkrun.org.uk/results/athleteresultshistory/?athleteNumber=45317" TargetMode="External"/><Relationship Id="rId481" Type="http://schemas.openxmlformats.org/officeDocument/2006/relationships/hyperlink" Target="http://www.parkrun.org.uk/results/athleteresultshistory/?athleteNumber=51098" TargetMode="External"/><Relationship Id="rId702" Type="http://schemas.openxmlformats.org/officeDocument/2006/relationships/hyperlink" Target="http://www.parkrun.org.uk/results/athleteresultshistory/?athleteNumber=1435" TargetMode="External"/><Relationship Id="rId69" Type="http://schemas.openxmlformats.org/officeDocument/2006/relationships/hyperlink" Target="http://www.parkrun.org.uk/results/athleteresultshistory/?athleteNumber=43614" TargetMode="External"/><Relationship Id="rId134" Type="http://schemas.openxmlformats.org/officeDocument/2006/relationships/hyperlink" Target="http://www.parkrun.org.uk/results/athleteresultshistory/?athleteNumber=31086" TargetMode="External"/><Relationship Id="rId579" Type="http://schemas.openxmlformats.org/officeDocument/2006/relationships/hyperlink" Target="http://www.parkrun.org.uk/results/athleteresultshistory/?athleteNumber=12545" TargetMode="External"/><Relationship Id="rId786" Type="http://schemas.openxmlformats.org/officeDocument/2006/relationships/hyperlink" Target="http://www.parkrun.org.uk/results/athleteresultshistory/?athleteNumber=67851" TargetMode="External"/><Relationship Id="rId993" Type="http://schemas.openxmlformats.org/officeDocument/2006/relationships/hyperlink" Target="http://www.parkrun.org.uk/results/athleteresultshistory/?athleteNumber=20436" TargetMode="External"/><Relationship Id="rId341" Type="http://schemas.openxmlformats.org/officeDocument/2006/relationships/hyperlink" Target="http://www.parkrun.org.uk/results/athleteresultshistory/?athleteNumber=26645" TargetMode="External"/><Relationship Id="rId439" Type="http://schemas.openxmlformats.org/officeDocument/2006/relationships/hyperlink" Target="http://www.parkrun.org.uk/results/athleteresultshistory/?athleteNumber=193335" TargetMode="External"/><Relationship Id="rId646" Type="http://schemas.openxmlformats.org/officeDocument/2006/relationships/hyperlink" Target="http://www.parkrun.org.uk/results/athleteresultshistory/?athleteNumber=113449" TargetMode="External"/><Relationship Id="rId1069" Type="http://schemas.openxmlformats.org/officeDocument/2006/relationships/hyperlink" Target="http://www.parkrun.org.uk/results/athleteresultshistory/?athleteNumber=15543" TargetMode="External"/><Relationship Id="rId201" Type="http://schemas.openxmlformats.org/officeDocument/2006/relationships/hyperlink" Target="http://www.parkrun.org.uk/results/athleteresultshistory/?athleteNumber=100649" TargetMode="External"/><Relationship Id="rId285" Type="http://schemas.openxmlformats.org/officeDocument/2006/relationships/hyperlink" Target="http://www.parkrun.org.uk/results/athleteresultshistory/?athleteNumber=107922" TargetMode="External"/><Relationship Id="rId506" Type="http://schemas.openxmlformats.org/officeDocument/2006/relationships/hyperlink" Target="http://www.parkrun.org.uk/results/athleteresultshistory/?athleteNumber=178969" TargetMode="External"/><Relationship Id="rId853" Type="http://schemas.openxmlformats.org/officeDocument/2006/relationships/hyperlink" Target="http://www.parkrun.org.uk/results/athleteresultshistory/?athleteNumber=87995" TargetMode="External"/><Relationship Id="rId492" Type="http://schemas.openxmlformats.org/officeDocument/2006/relationships/hyperlink" Target="http://www.parkrun.org.uk/results/athleteresultshistory/?athleteNumber=75934" TargetMode="External"/><Relationship Id="rId713" Type="http://schemas.openxmlformats.org/officeDocument/2006/relationships/hyperlink" Target="http://www.parkrun.org.uk/results/athleteresultshistory/?athleteNumber=139452" TargetMode="External"/><Relationship Id="rId797" Type="http://schemas.openxmlformats.org/officeDocument/2006/relationships/hyperlink" Target="http://www.parkrun.org.uk/results/athleteresultshistory/?athleteNumber=14674" TargetMode="External"/><Relationship Id="rId920" Type="http://schemas.openxmlformats.org/officeDocument/2006/relationships/hyperlink" Target="http://www.parkrun.org.uk/results/athleteresultshistory/?athleteNumber=19258" TargetMode="External"/><Relationship Id="rId145" Type="http://schemas.openxmlformats.org/officeDocument/2006/relationships/hyperlink" Target="http://www.parkrun.org.uk/results/athleteresultshistory/?athleteNumber=44823" TargetMode="External"/><Relationship Id="rId352" Type="http://schemas.openxmlformats.org/officeDocument/2006/relationships/hyperlink" Target="http://www.parkrun.org.uk/results/athleteresultshistory/?athleteNumber=10048" TargetMode="External"/><Relationship Id="rId212" Type="http://schemas.openxmlformats.org/officeDocument/2006/relationships/hyperlink" Target="http://www.parkrun.org.uk/results/athleteresultshistory/?athleteNumber=5300" TargetMode="External"/><Relationship Id="rId657" Type="http://schemas.openxmlformats.org/officeDocument/2006/relationships/hyperlink" Target="http://www.parkrun.org.uk/results/athleteresultshistory/?athleteNumber=1345" TargetMode="External"/><Relationship Id="rId864" Type="http://schemas.openxmlformats.org/officeDocument/2006/relationships/hyperlink" Target="http://www.parkrun.org.uk/results/athleteresultshistory/?athleteNumber=4432" TargetMode="External"/><Relationship Id="rId296" Type="http://schemas.openxmlformats.org/officeDocument/2006/relationships/hyperlink" Target="http://www.parkrun.org.uk/results/athleteresultshistory/?athleteNumber=206080" TargetMode="External"/><Relationship Id="rId517" Type="http://schemas.openxmlformats.org/officeDocument/2006/relationships/hyperlink" Target="http://www.parkrun.org.uk/results/athleteresultshistory/?athleteNumber=42687" TargetMode="External"/><Relationship Id="rId724" Type="http://schemas.openxmlformats.org/officeDocument/2006/relationships/hyperlink" Target="http://www.parkrun.org.uk/results/athleteresultshistory/?athleteNumber=83326" TargetMode="External"/><Relationship Id="rId931" Type="http://schemas.openxmlformats.org/officeDocument/2006/relationships/hyperlink" Target="http://www.parkrun.org.uk/results/athleteresultshistory/?athleteNumber=52953" TargetMode="External"/><Relationship Id="rId60" Type="http://schemas.openxmlformats.org/officeDocument/2006/relationships/hyperlink" Target="http://www.parkrun.org.uk/results/athleteresultshistory/?athleteNumber=119" TargetMode="External"/><Relationship Id="rId156" Type="http://schemas.openxmlformats.org/officeDocument/2006/relationships/hyperlink" Target="http://www.parkrun.org.uk/results/athleteresultshistory/?athleteNumber=64631" TargetMode="External"/><Relationship Id="rId363" Type="http://schemas.openxmlformats.org/officeDocument/2006/relationships/hyperlink" Target="http://www.parkrun.org.uk/results/athleteresultshistory/?athleteNumber=115223" TargetMode="External"/><Relationship Id="rId570" Type="http://schemas.openxmlformats.org/officeDocument/2006/relationships/hyperlink" Target="http://www.parkrun.org.uk/results/athleteresultshistory/?athleteNumber=97278" TargetMode="External"/><Relationship Id="rId1007" Type="http://schemas.openxmlformats.org/officeDocument/2006/relationships/hyperlink" Target="http://www.parkrun.org.uk/results/athleteresultshistory/?athleteNumber=49766" TargetMode="External"/><Relationship Id="rId223" Type="http://schemas.openxmlformats.org/officeDocument/2006/relationships/hyperlink" Target="http://www.parkrun.org.uk/results/athleteresultshistory/?athleteNumber=91802" TargetMode="External"/><Relationship Id="rId430" Type="http://schemas.openxmlformats.org/officeDocument/2006/relationships/hyperlink" Target="http://www.parkrun.org.uk/results/athleteresultshistory/?athleteNumber=3351" TargetMode="External"/><Relationship Id="rId668" Type="http://schemas.openxmlformats.org/officeDocument/2006/relationships/hyperlink" Target="http://www.parkrun.org.uk/results/athleteresultshistory/?athleteNumber=70580" TargetMode="External"/><Relationship Id="rId875" Type="http://schemas.openxmlformats.org/officeDocument/2006/relationships/hyperlink" Target="http://www.parkrun.org.uk/results/athleteresultshistory/?athleteNumber=1781" TargetMode="External"/><Relationship Id="rId1060" Type="http://schemas.openxmlformats.org/officeDocument/2006/relationships/hyperlink" Target="http://www.parkrun.org.uk/results/athleteresultshistory/?athleteNumber=93311" TargetMode="External"/><Relationship Id="rId18" Type="http://schemas.openxmlformats.org/officeDocument/2006/relationships/hyperlink" Target="http://www.parkrun.org.uk/results/athleteresultshistory/?athleteNumber=29" TargetMode="External"/><Relationship Id="rId528" Type="http://schemas.openxmlformats.org/officeDocument/2006/relationships/hyperlink" Target="http://www.parkrun.org.uk/results/athleteresultshistory/?athleteNumber=36485" TargetMode="External"/><Relationship Id="rId735" Type="http://schemas.openxmlformats.org/officeDocument/2006/relationships/hyperlink" Target="http://www.parkrun.org.uk/results/athleteresultshistory/?athleteNumber=49849" TargetMode="External"/><Relationship Id="rId942" Type="http://schemas.openxmlformats.org/officeDocument/2006/relationships/hyperlink" Target="http://www.parkrun.org.uk/results/athleteresultshistory/?athleteNumber=22544" TargetMode="External"/><Relationship Id="rId167" Type="http://schemas.openxmlformats.org/officeDocument/2006/relationships/hyperlink" Target="http://www.parkrun.org.uk/results/athleteresultshistory/?athleteNumber=81402" TargetMode="External"/><Relationship Id="rId374" Type="http://schemas.openxmlformats.org/officeDocument/2006/relationships/hyperlink" Target="http://www.parkrun.org.uk/results/athleteresultshistory/?athleteNumber=6095" TargetMode="External"/><Relationship Id="rId581" Type="http://schemas.openxmlformats.org/officeDocument/2006/relationships/hyperlink" Target="http://www.parkrun.org.uk/results/athleteresultshistory/?athleteNumber=132794" TargetMode="External"/><Relationship Id="rId1018" Type="http://schemas.openxmlformats.org/officeDocument/2006/relationships/hyperlink" Target="http://www.parkrun.org.uk/results/athleteresultshistory/?athleteNumber=51869" TargetMode="External"/><Relationship Id="rId71" Type="http://schemas.openxmlformats.org/officeDocument/2006/relationships/hyperlink" Target="http://www.parkrun.org.uk/results/athleteresultshistory/?athleteNumber=12208" TargetMode="External"/><Relationship Id="rId234" Type="http://schemas.openxmlformats.org/officeDocument/2006/relationships/hyperlink" Target="http://www.parkrun.org.uk/results/athleteresultshistory/?athleteNumber=507" TargetMode="External"/><Relationship Id="rId679" Type="http://schemas.openxmlformats.org/officeDocument/2006/relationships/hyperlink" Target="http://www.parkrun.org.uk/results/athleteresultshistory/?athleteNumber=30854" TargetMode="External"/><Relationship Id="rId802" Type="http://schemas.openxmlformats.org/officeDocument/2006/relationships/hyperlink" Target="http://www.parkrun.org.uk/results/athleteresultshistory/?athleteNumber=43916" TargetMode="External"/><Relationship Id="rId886" Type="http://schemas.openxmlformats.org/officeDocument/2006/relationships/hyperlink" Target="http://www.parkrun.org.uk/results/athleteresultshistory/?athleteNumber=9138" TargetMode="External"/><Relationship Id="rId2" Type="http://schemas.openxmlformats.org/officeDocument/2006/relationships/hyperlink" Target="http://www.parkrun.org.uk/results/athleteresultshistory/?athleteNumber=135944" TargetMode="External"/><Relationship Id="rId29" Type="http://schemas.openxmlformats.org/officeDocument/2006/relationships/hyperlink" Target="http://www.parkrun.org.uk/results/athleteresultshistory/?athleteNumber=91546" TargetMode="External"/><Relationship Id="rId441" Type="http://schemas.openxmlformats.org/officeDocument/2006/relationships/hyperlink" Target="http://www.parkrun.org.uk/results/athleteresultshistory/?athleteNumber=884" TargetMode="External"/><Relationship Id="rId539" Type="http://schemas.openxmlformats.org/officeDocument/2006/relationships/hyperlink" Target="http://www.parkrun.org.uk/results/athleteresultshistory/?athleteNumber=4053" TargetMode="External"/><Relationship Id="rId746" Type="http://schemas.openxmlformats.org/officeDocument/2006/relationships/hyperlink" Target="http://www.parkrun.org.uk/results/athleteresultshistory/?athleteNumber=3360" TargetMode="External"/><Relationship Id="rId1071" Type="http://schemas.openxmlformats.org/officeDocument/2006/relationships/hyperlink" Target="http://www.parkrun.org.uk/results/athleteresultshistory/?athleteNumber=140381" TargetMode="External"/><Relationship Id="rId178" Type="http://schemas.openxmlformats.org/officeDocument/2006/relationships/hyperlink" Target="http://www.parkrun.org.uk/results/athleteresultshistory/?athleteNumber=143334" TargetMode="External"/><Relationship Id="rId301" Type="http://schemas.openxmlformats.org/officeDocument/2006/relationships/hyperlink" Target="http://www.parkrun.org.uk/results/athleteresultshistory/?athleteNumber=13338" TargetMode="External"/><Relationship Id="rId953" Type="http://schemas.openxmlformats.org/officeDocument/2006/relationships/hyperlink" Target="http://www.parkrun.org.uk/results/athleteresultshistory/?athleteNumber=57950" TargetMode="External"/><Relationship Id="rId1029" Type="http://schemas.openxmlformats.org/officeDocument/2006/relationships/hyperlink" Target="http://www.parkrun.org.uk/results/athleteresultshistory/?athleteNumber=2311" TargetMode="External"/><Relationship Id="rId82" Type="http://schemas.openxmlformats.org/officeDocument/2006/relationships/hyperlink" Target="http://www.parkrun.org.uk/results/athleteresultshistory/?athleteNumber=10333" TargetMode="External"/><Relationship Id="rId385" Type="http://schemas.openxmlformats.org/officeDocument/2006/relationships/hyperlink" Target="http://www.parkrun.org.uk/results/athleteresultshistory/?athleteNumber=44445" TargetMode="External"/><Relationship Id="rId592" Type="http://schemas.openxmlformats.org/officeDocument/2006/relationships/hyperlink" Target="http://www.parkrun.org.uk/results/athleteresultshistory/?athleteNumber=17008" TargetMode="External"/><Relationship Id="rId606" Type="http://schemas.openxmlformats.org/officeDocument/2006/relationships/hyperlink" Target="http://www.parkrun.org.uk/results/athleteresultshistory/?athleteNumber=18653" TargetMode="External"/><Relationship Id="rId813" Type="http://schemas.openxmlformats.org/officeDocument/2006/relationships/hyperlink" Target="http://www.parkrun.org.uk/results/athleteresultshistory/?athleteNumber=75494" TargetMode="External"/><Relationship Id="rId245" Type="http://schemas.openxmlformats.org/officeDocument/2006/relationships/hyperlink" Target="http://www.parkrun.org.uk/results/athleteresultshistory/?athleteNumber=16948" TargetMode="External"/><Relationship Id="rId452" Type="http://schemas.openxmlformats.org/officeDocument/2006/relationships/hyperlink" Target="http://www.parkrun.org.uk/results/athleteresultshistory/?athleteNumber=18556" TargetMode="External"/><Relationship Id="rId897" Type="http://schemas.openxmlformats.org/officeDocument/2006/relationships/hyperlink" Target="http://www.parkrun.org.uk/results/athleteresultshistory/?athleteNumber=18846" TargetMode="External"/><Relationship Id="rId1082" Type="http://schemas.openxmlformats.org/officeDocument/2006/relationships/hyperlink" Target="http://www.parkrun.org.uk/results/athleteresultshistory/?athleteNumber=89660" TargetMode="External"/><Relationship Id="rId105" Type="http://schemas.openxmlformats.org/officeDocument/2006/relationships/hyperlink" Target="http://www.parkrun.org.uk/results/athleteresultshistory/?athleteNumber=36559" TargetMode="External"/><Relationship Id="rId312" Type="http://schemas.openxmlformats.org/officeDocument/2006/relationships/hyperlink" Target="http://www.parkrun.org.uk/results/athleteresultshistory/?athleteNumber=31341" TargetMode="External"/><Relationship Id="rId757" Type="http://schemas.openxmlformats.org/officeDocument/2006/relationships/hyperlink" Target="http://www.parkrun.org.uk/results/athleteresultshistory/?athleteNumber=6850" TargetMode="External"/><Relationship Id="rId964" Type="http://schemas.openxmlformats.org/officeDocument/2006/relationships/hyperlink" Target="http://www.parkrun.org.uk/results/athleteresultshistory/?athleteNumber=18629" TargetMode="External"/><Relationship Id="rId93" Type="http://schemas.openxmlformats.org/officeDocument/2006/relationships/hyperlink" Target="http://www.parkrun.org.uk/results/athleteresultshistory/?athleteNumber=15515" TargetMode="External"/><Relationship Id="rId189" Type="http://schemas.openxmlformats.org/officeDocument/2006/relationships/hyperlink" Target="http://www.parkrun.org.uk/results/athleteresultshistory/?athleteNumber=398" TargetMode="External"/><Relationship Id="rId396" Type="http://schemas.openxmlformats.org/officeDocument/2006/relationships/hyperlink" Target="http://www.parkrun.org.uk/results/athleteresultshistory/?athleteNumber=74237" TargetMode="External"/><Relationship Id="rId617" Type="http://schemas.openxmlformats.org/officeDocument/2006/relationships/hyperlink" Target="http://www.parkrun.org.uk/results/athleteresultshistory/?athleteNumber=101545" TargetMode="External"/><Relationship Id="rId824" Type="http://schemas.openxmlformats.org/officeDocument/2006/relationships/hyperlink" Target="http://www.parkrun.org.uk/results/athleteresultshistory/?athleteNumber=14842" TargetMode="External"/><Relationship Id="rId256" Type="http://schemas.openxmlformats.org/officeDocument/2006/relationships/hyperlink" Target="http://www.parkrun.org.uk/results/athleteresultshistory/?athleteNumber=51127" TargetMode="External"/><Relationship Id="rId463" Type="http://schemas.openxmlformats.org/officeDocument/2006/relationships/hyperlink" Target="http://www.parkrun.org.uk/results/athleteresultshistory/?athleteNumber=9261" TargetMode="External"/><Relationship Id="rId670" Type="http://schemas.openxmlformats.org/officeDocument/2006/relationships/hyperlink" Target="http://www.parkrun.org.uk/results/athleteresultshistory/?athleteNumber=17554" TargetMode="External"/><Relationship Id="rId1093" Type="http://schemas.openxmlformats.org/officeDocument/2006/relationships/hyperlink" Target="http://www.parkrun.org.uk/results/athleteresultshistory/?athleteNumber=42663" TargetMode="External"/><Relationship Id="rId116" Type="http://schemas.openxmlformats.org/officeDocument/2006/relationships/hyperlink" Target="http://www.parkrun.org.uk/results/athleteresultshistory/?athleteNumber=93745" TargetMode="External"/><Relationship Id="rId323" Type="http://schemas.openxmlformats.org/officeDocument/2006/relationships/hyperlink" Target="http://www.parkrun.org.uk/results/athleteresultshistory/?athleteNumber=83873" TargetMode="External"/><Relationship Id="rId530" Type="http://schemas.openxmlformats.org/officeDocument/2006/relationships/hyperlink" Target="http://www.parkrun.org.uk/results/athleteresultshistory/?athleteNumber=101873" TargetMode="External"/><Relationship Id="rId768" Type="http://schemas.openxmlformats.org/officeDocument/2006/relationships/hyperlink" Target="http://www.parkrun.org.uk/results/athleteresultshistory/?athleteNumber=205080" TargetMode="External"/><Relationship Id="rId975" Type="http://schemas.openxmlformats.org/officeDocument/2006/relationships/hyperlink" Target="http://www.parkrun.org.uk/results/athleteresultshistory/?athleteNumber=211076" TargetMode="External"/><Relationship Id="rId20" Type="http://schemas.openxmlformats.org/officeDocument/2006/relationships/hyperlink" Target="http://www.parkrun.org.uk/results/athleteresultshistory/?athleteNumber=5852" TargetMode="External"/><Relationship Id="rId628" Type="http://schemas.openxmlformats.org/officeDocument/2006/relationships/hyperlink" Target="http://www.parkrun.org.uk/results/athleteresultshistory/?athleteNumber=16279" TargetMode="External"/><Relationship Id="rId835" Type="http://schemas.openxmlformats.org/officeDocument/2006/relationships/hyperlink" Target="http://www.parkrun.org.uk/results/athleteresultshistory/?athleteNumber=123982" TargetMode="External"/><Relationship Id="rId267" Type="http://schemas.openxmlformats.org/officeDocument/2006/relationships/hyperlink" Target="http://www.parkrun.org.uk/results/athleteresultshistory/?athleteNumber=84276" TargetMode="External"/><Relationship Id="rId474" Type="http://schemas.openxmlformats.org/officeDocument/2006/relationships/hyperlink" Target="http://www.parkrun.org.uk/results/athleteresultshistory/?athleteNumber=18014" TargetMode="External"/><Relationship Id="rId1020" Type="http://schemas.openxmlformats.org/officeDocument/2006/relationships/hyperlink" Target="http://www.parkrun.org.uk/results/athleteresultshistory/?athleteNumber=50950" TargetMode="External"/><Relationship Id="rId127" Type="http://schemas.openxmlformats.org/officeDocument/2006/relationships/hyperlink" Target="http://www.parkrun.org.uk/results/athleteresultshistory/?athleteNumber=77735" TargetMode="External"/><Relationship Id="rId681" Type="http://schemas.openxmlformats.org/officeDocument/2006/relationships/hyperlink" Target="http://www.parkrun.org.uk/results/athleteresultshistory/?athleteNumber=58891" TargetMode="External"/><Relationship Id="rId779" Type="http://schemas.openxmlformats.org/officeDocument/2006/relationships/hyperlink" Target="http://www.parkrun.org.uk/results/athleteresultshistory/?athleteNumber=55557" TargetMode="External"/><Relationship Id="rId902" Type="http://schemas.openxmlformats.org/officeDocument/2006/relationships/hyperlink" Target="http://www.parkrun.org.uk/results/athleteresultshistory/?athleteNumber=8757" TargetMode="External"/><Relationship Id="rId986" Type="http://schemas.openxmlformats.org/officeDocument/2006/relationships/hyperlink" Target="http://www.parkrun.org.uk/results/athleteresultshistory/?athleteNumber=42943" TargetMode="External"/><Relationship Id="rId31" Type="http://schemas.openxmlformats.org/officeDocument/2006/relationships/hyperlink" Target="http://www.parkrun.org.uk/results/athleteresultshistory/?athleteNumber=27618" TargetMode="External"/><Relationship Id="rId334" Type="http://schemas.openxmlformats.org/officeDocument/2006/relationships/hyperlink" Target="http://www.parkrun.org.uk/results/athleteresultshistory/?athleteNumber=34733" TargetMode="External"/><Relationship Id="rId541" Type="http://schemas.openxmlformats.org/officeDocument/2006/relationships/hyperlink" Target="http://www.parkrun.org.uk/results/athleteresultshistory/?athleteNumber=1083" TargetMode="External"/><Relationship Id="rId639" Type="http://schemas.openxmlformats.org/officeDocument/2006/relationships/hyperlink" Target="http://www.parkrun.org.uk/results/athleteresultshistory/?athleteNumber=83516" TargetMode="External"/><Relationship Id="rId180" Type="http://schemas.openxmlformats.org/officeDocument/2006/relationships/hyperlink" Target="http://www.parkrun.org.uk/results/athleteresultshistory/?athleteNumber=104692" TargetMode="External"/><Relationship Id="rId278" Type="http://schemas.openxmlformats.org/officeDocument/2006/relationships/hyperlink" Target="http://www.parkrun.org.uk/results/athleteresultshistory/?athleteNumber=109222" TargetMode="External"/><Relationship Id="rId401" Type="http://schemas.openxmlformats.org/officeDocument/2006/relationships/hyperlink" Target="http://www.parkrun.org.uk/results/athleteresultshistory/?athleteNumber=17970" TargetMode="External"/><Relationship Id="rId846" Type="http://schemas.openxmlformats.org/officeDocument/2006/relationships/hyperlink" Target="http://www.parkrun.org.uk/results/athleteresultshistory/?athleteNumber=55307" TargetMode="External"/><Relationship Id="rId1031" Type="http://schemas.openxmlformats.org/officeDocument/2006/relationships/hyperlink" Target="http://www.parkrun.org.uk/results/athleteresultshistory/?athleteNumber=55022" TargetMode="External"/><Relationship Id="rId485" Type="http://schemas.openxmlformats.org/officeDocument/2006/relationships/hyperlink" Target="http://www.parkrun.org.uk/results/athleteresultshistory/?athleteNumber=34172" TargetMode="External"/><Relationship Id="rId692" Type="http://schemas.openxmlformats.org/officeDocument/2006/relationships/hyperlink" Target="http://www.parkrun.org.uk/results/athleteresultshistory/?athleteNumber=174133" TargetMode="External"/><Relationship Id="rId706" Type="http://schemas.openxmlformats.org/officeDocument/2006/relationships/hyperlink" Target="http://www.parkrun.org.uk/results/athleteresultshistory/?athleteNumber=71828" TargetMode="External"/><Relationship Id="rId913" Type="http://schemas.openxmlformats.org/officeDocument/2006/relationships/hyperlink" Target="http://www.parkrun.org.uk/results/athleteresultshistory/?athleteNumber=81914" TargetMode="External"/><Relationship Id="rId42" Type="http://schemas.openxmlformats.org/officeDocument/2006/relationships/hyperlink" Target="http://www.parkrun.org.uk/results/athleteresultshistory/?athleteNumber=3353" TargetMode="External"/><Relationship Id="rId138" Type="http://schemas.openxmlformats.org/officeDocument/2006/relationships/hyperlink" Target="http://www.parkrun.org.uk/results/athleteresultshistory/?athleteNumber=84013" TargetMode="External"/><Relationship Id="rId345" Type="http://schemas.openxmlformats.org/officeDocument/2006/relationships/hyperlink" Target="http://www.parkrun.org.uk/results/athleteresultshistory/?athleteNumber=5407" TargetMode="External"/><Relationship Id="rId552" Type="http://schemas.openxmlformats.org/officeDocument/2006/relationships/hyperlink" Target="http://www.parkrun.org.uk/results/athleteresultshistory/?athleteNumber=14082" TargetMode="External"/><Relationship Id="rId997" Type="http://schemas.openxmlformats.org/officeDocument/2006/relationships/hyperlink" Target="http://www.parkrun.org.uk/results/athleteresultshistory/?athleteNumber=45221" TargetMode="External"/><Relationship Id="rId191" Type="http://schemas.openxmlformats.org/officeDocument/2006/relationships/hyperlink" Target="http://www.parkrun.org.uk/results/athleteresultshistory/?athleteNumber=74612" TargetMode="External"/><Relationship Id="rId205" Type="http://schemas.openxmlformats.org/officeDocument/2006/relationships/hyperlink" Target="http://www.parkrun.org.uk/results/athleteresultshistory/?athleteNumber=2749" TargetMode="External"/><Relationship Id="rId412" Type="http://schemas.openxmlformats.org/officeDocument/2006/relationships/hyperlink" Target="http://www.parkrun.org.uk/results/athleteresultshistory/?athleteNumber=25329" TargetMode="External"/><Relationship Id="rId857" Type="http://schemas.openxmlformats.org/officeDocument/2006/relationships/hyperlink" Target="http://www.parkrun.org.uk/results/athleteresultshistory/?athleteNumber=11049" TargetMode="External"/><Relationship Id="rId1042" Type="http://schemas.openxmlformats.org/officeDocument/2006/relationships/hyperlink" Target="http://www.parkrun.org.uk/results/athleteresultshistory/?athleteNumber=2152" TargetMode="External"/><Relationship Id="rId289" Type="http://schemas.openxmlformats.org/officeDocument/2006/relationships/hyperlink" Target="http://www.parkrun.org.uk/results/athleteresultshistory/?athleteNumber=31202" TargetMode="External"/><Relationship Id="rId496" Type="http://schemas.openxmlformats.org/officeDocument/2006/relationships/hyperlink" Target="http://www.parkrun.org.uk/results/athleteresultshistory/?athleteNumber=109274" TargetMode="External"/><Relationship Id="rId717" Type="http://schemas.openxmlformats.org/officeDocument/2006/relationships/hyperlink" Target="http://www.parkrun.org.uk/results/athleteresultshistory/?athleteNumber=1463" TargetMode="External"/><Relationship Id="rId924" Type="http://schemas.openxmlformats.org/officeDocument/2006/relationships/hyperlink" Target="http://www.parkrun.org.uk/results/athleteresultshistory/?athleteNumber=1873" TargetMode="External"/><Relationship Id="rId53" Type="http://schemas.openxmlformats.org/officeDocument/2006/relationships/hyperlink" Target="http://www.parkrun.org.uk/results/athleteresultshistory/?athleteNumber=45173" TargetMode="External"/><Relationship Id="rId149" Type="http://schemas.openxmlformats.org/officeDocument/2006/relationships/hyperlink" Target="http://www.parkrun.org.uk/results/athleteresultshistory/?athleteNumber=16935" TargetMode="External"/><Relationship Id="rId356" Type="http://schemas.openxmlformats.org/officeDocument/2006/relationships/hyperlink" Target="http://www.parkrun.org.uk/results/athleteresultshistory/?athleteNumber=175311" TargetMode="External"/><Relationship Id="rId563" Type="http://schemas.openxmlformats.org/officeDocument/2006/relationships/hyperlink" Target="http://www.parkrun.org.uk/results/athleteresultshistory/?athleteNumber=70653" TargetMode="External"/><Relationship Id="rId770" Type="http://schemas.openxmlformats.org/officeDocument/2006/relationships/hyperlink" Target="http://www.parkrun.org.uk/results/athleteresultshistory/?athleteNumber=8863" TargetMode="External"/><Relationship Id="rId216" Type="http://schemas.openxmlformats.org/officeDocument/2006/relationships/hyperlink" Target="http://www.parkrun.org.uk/results/athleteresultshistory/?athleteNumber=68340" TargetMode="External"/><Relationship Id="rId423" Type="http://schemas.openxmlformats.org/officeDocument/2006/relationships/hyperlink" Target="http://www.parkrun.org.uk/results/athleteresultshistory/?athleteNumber=8680" TargetMode="External"/><Relationship Id="rId868" Type="http://schemas.openxmlformats.org/officeDocument/2006/relationships/hyperlink" Target="http://www.parkrun.org.uk/results/athleteresultshistory/?athleteNumber=55818" TargetMode="External"/><Relationship Id="rId1053" Type="http://schemas.openxmlformats.org/officeDocument/2006/relationships/hyperlink" Target="http://www.parkrun.org.uk/results/athleteresultshistory/?athleteNumber=46441" TargetMode="External"/><Relationship Id="rId630" Type="http://schemas.openxmlformats.org/officeDocument/2006/relationships/hyperlink" Target="http://www.parkrun.org.uk/results/athleteresultshistory/?athleteNumber=26761" TargetMode="External"/><Relationship Id="rId728" Type="http://schemas.openxmlformats.org/officeDocument/2006/relationships/hyperlink" Target="http://www.parkrun.org.uk/results/athleteresultshistory/?athleteNumber=7887" TargetMode="External"/><Relationship Id="rId935" Type="http://schemas.openxmlformats.org/officeDocument/2006/relationships/hyperlink" Target="http://www.parkrun.org.uk/results/athleteresultshistory/?athleteNumber=46194" TargetMode="External"/><Relationship Id="rId64" Type="http://schemas.openxmlformats.org/officeDocument/2006/relationships/hyperlink" Target="http://www.parkrun.org.uk/results/athleteresultshistory/?athleteNumber=161283" TargetMode="External"/><Relationship Id="rId367" Type="http://schemas.openxmlformats.org/officeDocument/2006/relationships/hyperlink" Target="http://www.parkrun.org.uk/results/athleteresultshistory/?athleteNumber=18989" TargetMode="External"/><Relationship Id="rId574" Type="http://schemas.openxmlformats.org/officeDocument/2006/relationships/hyperlink" Target="http://www.parkrun.org.uk/results/athleteresultshistory/?athleteNumber=44905" TargetMode="External"/><Relationship Id="rId227" Type="http://schemas.openxmlformats.org/officeDocument/2006/relationships/hyperlink" Target="http://www.parkrun.org.uk/results/athleteresultshistory/?athleteNumber=83312" TargetMode="External"/><Relationship Id="rId781" Type="http://schemas.openxmlformats.org/officeDocument/2006/relationships/hyperlink" Target="http://www.parkrun.org.uk/results/athleteresultshistory/?athleteNumber=56740" TargetMode="External"/><Relationship Id="rId879" Type="http://schemas.openxmlformats.org/officeDocument/2006/relationships/hyperlink" Target="http://www.parkrun.org.uk/results/athleteresultshistory/?athleteNumber=189837" TargetMode="External"/><Relationship Id="rId434" Type="http://schemas.openxmlformats.org/officeDocument/2006/relationships/hyperlink" Target="http://www.parkrun.org.uk/results/athleteresultshistory/?athleteNumber=177017" TargetMode="External"/><Relationship Id="rId641" Type="http://schemas.openxmlformats.org/officeDocument/2006/relationships/hyperlink" Target="http://www.parkrun.org.uk/results/athleteresultshistory/?athleteNumber=42656" TargetMode="External"/><Relationship Id="rId739" Type="http://schemas.openxmlformats.org/officeDocument/2006/relationships/hyperlink" Target="http://www.parkrun.org.uk/results/athleteresultshistory/?athleteNumber=37503" TargetMode="External"/><Relationship Id="rId1064" Type="http://schemas.openxmlformats.org/officeDocument/2006/relationships/hyperlink" Target="http://www.parkrun.org.uk/results/athleteresultshistory/?athleteNumber=80772" TargetMode="External"/><Relationship Id="rId280" Type="http://schemas.openxmlformats.org/officeDocument/2006/relationships/hyperlink" Target="http://www.parkrun.org.uk/results/athleteresultshistory/?athleteNumber=188250" TargetMode="External"/><Relationship Id="rId501" Type="http://schemas.openxmlformats.org/officeDocument/2006/relationships/hyperlink" Target="http://www.parkrun.org.uk/results/athleteresultshistory/?athleteNumber=49984" TargetMode="External"/><Relationship Id="rId946" Type="http://schemas.openxmlformats.org/officeDocument/2006/relationships/hyperlink" Target="http://www.parkrun.org.uk/results/athleteresultshistory/?athleteNumber=14374" TargetMode="External"/><Relationship Id="rId75" Type="http://schemas.openxmlformats.org/officeDocument/2006/relationships/hyperlink" Target="http://www.parkrun.org.uk/results/athleteresultshistory/?athleteNumber=7167" TargetMode="External"/><Relationship Id="rId140" Type="http://schemas.openxmlformats.org/officeDocument/2006/relationships/hyperlink" Target="http://www.parkrun.org.uk/results/athleteresultshistory/?athleteNumber=13807" TargetMode="External"/><Relationship Id="rId378" Type="http://schemas.openxmlformats.org/officeDocument/2006/relationships/hyperlink" Target="http://www.parkrun.org.uk/results/athleteresultshistory/?athleteNumber=104515" TargetMode="External"/><Relationship Id="rId585" Type="http://schemas.openxmlformats.org/officeDocument/2006/relationships/hyperlink" Target="http://www.parkrun.org.uk/results/athleteresultshistory/?athleteNumber=45171" TargetMode="External"/><Relationship Id="rId792" Type="http://schemas.openxmlformats.org/officeDocument/2006/relationships/hyperlink" Target="http://www.parkrun.org.uk/results/athleteresultshistory/?athleteNumber=121453" TargetMode="External"/><Relationship Id="rId806" Type="http://schemas.openxmlformats.org/officeDocument/2006/relationships/hyperlink" Target="http://www.parkrun.org.uk/results/athleteresultshistory/?athleteNumber=3921" TargetMode="External"/><Relationship Id="rId6" Type="http://schemas.openxmlformats.org/officeDocument/2006/relationships/hyperlink" Target="http://www.parkrun.org.uk/results/athleteresultshistory/?athleteNumber=70727" TargetMode="External"/><Relationship Id="rId238" Type="http://schemas.openxmlformats.org/officeDocument/2006/relationships/hyperlink" Target="http://www.parkrun.org.uk/results/athleteresultshistory/?athleteNumber=67463" TargetMode="External"/><Relationship Id="rId445" Type="http://schemas.openxmlformats.org/officeDocument/2006/relationships/hyperlink" Target="http://www.parkrun.org.uk/results/athleteresultshistory/?athleteNumber=82100" TargetMode="External"/><Relationship Id="rId652" Type="http://schemas.openxmlformats.org/officeDocument/2006/relationships/hyperlink" Target="http://www.parkrun.org.uk/results/athleteresultshistory/?athleteNumber=35421" TargetMode="External"/><Relationship Id="rId1075" Type="http://schemas.openxmlformats.org/officeDocument/2006/relationships/hyperlink" Target="http://www.parkrun.org.uk/results/athleteresultshistory/?athleteNumber=2244" TargetMode="External"/><Relationship Id="rId291" Type="http://schemas.openxmlformats.org/officeDocument/2006/relationships/hyperlink" Target="http://www.parkrun.org.uk/results/athleteresultshistory/?athleteNumber=12616" TargetMode="External"/><Relationship Id="rId305" Type="http://schemas.openxmlformats.org/officeDocument/2006/relationships/hyperlink" Target="http://www.parkrun.org.uk/results/athleteresultshistory/?athleteNumber=16486" TargetMode="External"/><Relationship Id="rId512" Type="http://schemas.openxmlformats.org/officeDocument/2006/relationships/hyperlink" Target="http://www.parkrun.org.uk/results/athleteresultshistory/?athleteNumber=1022" TargetMode="External"/><Relationship Id="rId957" Type="http://schemas.openxmlformats.org/officeDocument/2006/relationships/hyperlink" Target="http://www.parkrun.org.uk/results/athleteresultshistory/?athleteNumber=29227" TargetMode="External"/><Relationship Id="rId86" Type="http://schemas.openxmlformats.org/officeDocument/2006/relationships/hyperlink" Target="http://www.parkrun.org.uk/results/athleteresultshistory/?athleteNumber=81401" TargetMode="External"/><Relationship Id="rId151" Type="http://schemas.openxmlformats.org/officeDocument/2006/relationships/hyperlink" Target="http://www.parkrun.org.uk/results/athleteresultshistory/?athleteNumber=53469" TargetMode="External"/><Relationship Id="rId389" Type="http://schemas.openxmlformats.org/officeDocument/2006/relationships/hyperlink" Target="http://www.parkrun.org.uk/results/athleteresultshistory/?athleteNumber=10558" TargetMode="External"/><Relationship Id="rId596" Type="http://schemas.openxmlformats.org/officeDocument/2006/relationships/hyperlink" Target="http://www.parkrun.org.uk/results/athleteresultshistory/?athleteNumber=77078" TargetMode="External"/><Relationship Id="rId817" Type="http://schemas.openxmlformats.org/officeDocument/2006/relationships/hyperlink" Target="http://www.parkrun.org.uk/results/athleteresultshistory/?athleteNumber=1669" TargetMode="External"/><Relationship Id="rId1002" Type="http://schemas.openxmlformats.org/officeDocument/2006/relationships/hyperlink" Target="http://www.parkrun.org.uk/results/athleteresultshistory/?athleteNumber=58114" TargetMode="External"/><Relationship Id="rId249" Type="http://schemas.openxmlformats.org/officeDocument/2006/relationships/hyperlink" Target="http://www.parkrun.org.uk/results/athleteresultshistory/?athleteNumber=65712" TargetMode="External"/><Relationship Id="rId456" Type="http://schemas.openxmlformats.org/officeDocument/2006/relationships/hyperlink" Target="http://www.parkrun.org.uk/results/athleteresultshistory/?athleteNumber=38581" TargetMode="External"/><Relationship Id="rId663" Type="http://schemas.openxmlformats.org/officeDocument/2006/relationships/hyperlink" Target="http://www.parkrun.org.uk/results/athleteresultshistory/?athleteNumber=22136" TargetMode="External"/><Relationship Id="rId870" Type="http://schemas.openxmlformats.org/officeDocument/2006/relationships/hyperlink" Target="http://www.parkrun.org.uk/results/athleteresultshistory/?athleteNumber=2360" TargetMode="External"/><Relationship Id="rId1086" Type="http://schemas.openxmlformats.org/officeDocument/2006/relationships/hyperlink" Target="http://www.parkrun.org.uk/results/athleteresultshistory/?athleteNumber=6422" TargetMode="External"/><Relationship Id="rId13" Type="http://schemas.openxmlformats.org/officeDocument/2006/relationships/hyperlink" Target="http://www.parkrun.org.uk/results/athleteresultshistory/?athleteNumber=4884" TargetMode="External"/><Relationship Id="rId109" Type="http://schemas.openxmlformats.org/officeDocument/2006/relationships/hyperlink" Target="http://www.parkrun.org.uk/results/athleteresultshistory/?athleteNumber=20024" TargetMode="External"/><Relationship Id="rId316" Type="http://schemas.openxmlformats.org/officeDocument/2006/relationships/hyperlink" Target="http://www.parkrun.org.uk/results/athleteresultshistory/?athleteNumber=46724" TargetMode="External"/><Relationship Id="rId523" Type="http://schemas.openxmlformats.org/officeDocument/2006/relationships/hyperlink" Target="http://www.parkrun.org.uk/results/athleteresultshistory/?athleteNumber=8390" TargetMode="External"/><Relationship Id="rId968" Type="http://schemas.openxmlformats.org/officeDocument/2006/relationships/hyperlink" Target="http://www.parkrun.org.uk/results/athleteresultshistory/?athleteNumber=31405" TargetMode="External"/><Relationship Id="rId97" Type="http://schemas.openxmlformats.org/officeDocument/2006/relationships/hyperlink" Target="http://www.parkrun.org.uk/results/athleteresultshistory/?athleteNumber=22424" TargetMode="External"/><Relationship Id="rId730" Type="http://schemas.openxmlformats.org/officeDocument/2006/relationships/hyperlink" Target="http://www.parkrun.org.uk/results/athleteresultshistory/?athleteNumber=29133" TargetMode="External"/><Relationship Id="rId828" Type="http://schemas.openxmlformats.org/officeDocument/2006/relationships/hyperlink" Target="http://www.parkrun.org.uk/results/athleteresultshistory/?athleteNumber=53380" TargetMode="External"/><Relationship Id="rId1013" Type="http://schemas.openxmlformats.org/officeDocument/2006/relationships/hyperlink" Target="http://www.parkrun.org.uk/results/athleteresultshistory/?athleteNumber=9870" TargetMode="External"/><Relationship Id="rId162" Type="http://schemas.openxmlformats.org/officeDocument/2006/relationships/hyperlink" Target="http://www.parkrun.org.uk/results/athleteresultshistory/?athleteNumber=57289" TargetMode="External"/><Relationship Id="rId467" Type="http://schemas.openxmlformats.org/officeDocument/2006/relationships/hyperlink" Target="http://www.parkrun.org.uk/results/athleteresultshistory/?athleteNumber=38670" TargetMode="External"/><Relationship Id="rId1097" Type="http://schemas.openxmlformats.org/officeDocument/2006/relationships/drawing" Target="../drawings/drawing9.xml"/><Relationship Id="rId674" Type="http://schemas.openxmlformats.org/officeDocument/2006/relationships/hyperlink" Target="http://www.parkrun.org.uk/results/athleteresultshistory/?athleteNumber=12394" TargetMode="External"/><Relationship Id="rId881" Type="http://schemas.openxmlformats.org/officeDocument/2006/relationships/hyperlink" Target="http://www.parkrun.org.uk/results/athleteresultshistory/?athleteNumber=14661" TargetMode="External"/><Relationship Id="rId979" Type="http://schemas.openxmlformats.org/officeDocument/2006/relationships/hyperlink" Target="http://www.parkrun.org.uk/results/athleteresultshistory/?athleteNumber=9671" TargetMode="External"/><Relationship Id="rId24" Type="http://schemas.openxmlformats.org/officeDocument/2006/relationships/hyperlink" Target="http://www.parkrun.org.uk/results/athleteresultshistory/?athleteNumber=34930" TargetMode="External"/><Relationship Id="rId327" Type="http://schemas.openxmlformats.org/officeDocument/2006/relationships/hyperlink" Target="http://www.parkrun.org.uk/results/athleteresultshistory/?athleteNumber=17348" TargetMode="External"/><Relationship Id="rId534" Type="http://schemas.openxmlformats.org/officeDocument/2006/relationships/hyperlink" Target="http://www.parkrun.org.uk/results/athleteresultshistory/?athleteNumber=1058" TargetMode="External"/><Relationship Id="rId741" Type="http://schemas.openxmlformats.org/officeDocument/2006/relationships/hyperlink" Target="http://www.parkrun.org.uk/results/athleteresultshistory/?athleteNumber=44806" TargetMode="External"/><Relationship Id="rId839" Type="http://schemas.openxmlformats.org/officeDocument/2006/relationships/hyperlink" Target="http://www.parkrun.org.uk/results/athleteresultshistory/?athleteNumber=78647" TargetMode="External"/><Relationship Id="rId173" Type="http://schemas.openxmlformats.org/officeDocument/2006/relationships/hyperlink" Target="http://www.parkrun.org.uk/results/athleteresultshistory/?athleteNumber=63585" TargetMode="External"/><Relationship Id="rId380" Type="http://schemas.openxmlformats.org/officeDocument/2006/relationships/hyperlink" Target="http://www.parkrun.org.uk/results/athleteresultshistory/?athleteNumber=95201" TargetMode="External"/><Relationship Id="rId601" Type="http://schemas.openxmlformats.org/officeDocument/2006/relationships/hyperlink" Target="http://www.parkrun.org.uk/results/athleteresultshistory/?athleteNumber=1205" TargetMode="External"/><Relationship Id="rId1024" Type="http://schemas.openxmlformats.org/officeDocument/2006/relationships/hyperlink" Target="http://www.parkrun.org.uk/results/athleteresultshistory/?athleteNumber=75732" TargetMode="External"/><Relationship Id="rId240" Type="http://schemas.openxmlformats.org/officeDocument/2006/relationships/hyperlink" Target="http://www.parkrun.org.uk/results/athleteresultshistory/?athleteNumber=70839" TargetMode="External"/><Relationship Id="rId478" Type="http://schemas.openxmlformats.org/officeDocument/2006/relationships/hyperlink" Target="http://www.parkrun.org.uk/results/athleteresultshistory/?athleteNumber=15227" TargetMode="External"/><Relationship Id="rId685" Type="http://schemas.openxmlformats.org/officeDocument/2006/relationships/hyperlink" Target="http://www.parkrun.org.uk/results/athleteresultshistory/?athleteNumber=10555" TargetMode="External"/><Relationship Id="rId892" Type="http://schemas.openxmlformats.org/officeDocument/2006/relationships/hyperlink" Target="http://www.parkrun.org.uk/results/athleteresultshistory/?athleteNumber=18302" TargetMode="External"/><Relationship Id="rId906" Type="http://schemas.openxmlformats.org/officeDocument/2006/relationships/hyperlink" Target="http://www.parkrun.org.uk/results/athleteresultshistory/?athleteNumber=70689" TargetMode="External"/><Relationship Id="rId35" Type="http://schemas.openxmlformats.org/officeDocument/2006/relationships/hyperlink" Target="http://www.parkrun.org.uk/results/athleteresultshistory/?athleteNumber=16352" TargetMode="External"/><Relationship Id="rId100" Type="http://schemas.openxmlformats.org/officeDocument/2006/relationships/hyperlink" Target="http://www.parkrun.org.uk/results/athleteresultshistory/?athleteNumber=155245" TargetMode="External"/><Relationship Id="rId338" Type="http://schemas.openxmlformats.org/officeDocument/2006/relationships/hyperlink" Target="http://www.parkrun.org.uk/results/athleteresultshistory/?athleteNumber=25065" TargetMode="External"/><Relationship Id="rId545" Type="http://schemas.openxmlformats.org/officeDocument/2006/relationships/hyperlink" Target="http://www.parkrun.org.uk/results/athleteresultshistory/?athleteNumber=41256" TargetMode="External"/><Relationship Id="rId752" Type="http://schemas.openxmlformats.org/officeDocument/2006/relationships/hyperlink" Target="http://www.parkrun.org.uk/results/athleteresultshistory/?athleteNumber=12275" TargetMode="External"/><Relationship Id="rId184" Type="http://schemas.openxmlformats.org/officeDocument/2006/relationships/hyperlink" Target="http://www.parkrun.org.uk/results/athleteresultshistory/?athleteNumber=386" TargetMode="External"/><Relationship Id="rId391" Type="http://schemas.openxmlformats.org/officeDocument/2006/relationships/hyperlink" Target="http://www.parkrun.org.uk/results/athleteresultshistory/?athleteNumber=6483" TargetMode="External"/><Relationship Id="rId405" Type="http://schemas.openxmlformats.org/officeDocument/2006/relationships/hyperlink" Target="http://www.parkrun.org.uk/results/athleteresultshistory/?athleteNumber=56885" TargetMode="External"/><Relationship Id="rId612" Type="http://schemas.openxmlformats.org/officeDocument/2006/relationships/hyperlink" Target="http://www.parkrun.org.uk/results/athleteresultshistory/?athleteNumber=1244" TargetMode="External"/><Relationship Id="rId1035" Type="http://schemas.openxmlformats.org/officeDocument/2006/relationships/hyperlink" Target="http://www.parkrun.org.uk/results/athleteresultshistory/?athleteNumber=50834" TargetMode="External"/><Relationship Id="rId251" Type="http://schemas.openxmlformats.org/officeDocument/2006/relationships/hyperlink" Target="http://www.parkrun.org.uk/results/athleteresultshistory/?athleteNumber=102403" TargetMode="External"/><Relationship Id="rId489" Type="http://schemas.openxmlformats.org/officeDocument/2006/relationships/hyperlink" Target="http://www.parkrun.org.uk/results/athleteresultshistory/?athleteNumber=154121" TargetMode="External"/><Relationship Id="rId696" Type="http://schemas.openxmlformats.org/officeDocument/2006/relationships/hyperlink" Target="http://www.parkrun.org.uk/results/athleteresultshistory/?athleteNumber=114646" TargetMode="External"/><Relationship Id="rId917" Type="http://schemas.openxmlformats.org/officeDocument/2006/relationships/hyperlink" Target="http://www.parkrun.org.uk/results/athleteresultshistory/?athleteNumber=92128" TargetMode="External"/><Relationship Id="rId46" Type="http://schemas.openxmlformats.org/officeDocument/2006/relationships/hyperlink" Target="http://www.parkrun.org.uk/results/athleteresultshistory/?athleteNumber=141322" TargetMode="External"/><Relationship Id="rId349" Type="http://schemas.openxmlformats.org/officeDocument/2006/relationships/hyperlink" Target="http://www.parkrun.org.uk/results/athleteresultshistory/?athleteNumber=42795" TargetMode="External"/><Relationship Id="rId556" Type="http://schemas.openxmlformats.org/officeDocument/2006/relationships/hyperlink" Target="http://www.parkrun.org.uk/results/athleteresultshistory/?athleteNumber=40418" TargetMode="External"/><Relationship Id="rId763" Type="http://schemas.openxmlformats.org/officeDocument/2006/relationships/hyperlink" Target="http://www.parkrun.org.uk/results/athleteresultshistory/?athleteNumber=113936" TargetMode="External"/><Relationship Id="rId111" Type="http://schemas.openxmlformats.org/officeDocument/2006/relationships/hyperlink" Target="http://www.parkrun.org.uk/results/athleteresultshistory/?athleteNumber=138844" TargetMode="External"/><Relationship Id="rId195" Type="http://schemas.openxmlformats.org/officeDocument/2006/relationships/hyperlink" Target="http://www.parkrun.org.uk/results/athleteresultshistory/?athleteNumber=2585" TargetMode="External"/><Relationship Id="rId209" Type="http://schemas.openxmlformats.org/officeDocument/2006/relationships/hyperlink" Target="http://www.parkrun.org.uk/results/athleteresultshistory/?athleteNumber=17429" TargetMode="External"/><Relationship Id="rId416" Type="http://schemas.openxmlformats.org/officeDocument/2006/relationships/hyperlink" Target="http://www.parkrun.org.uk/results/athleteresultshistory/?athleteNumber=120652" TargetMode="External"/><Relationship Id="rId970" Type="http://schemas.openxmlformats.org/officeDocument/2006/relationships/hyperlink" Target="http://www.parkrun.org.uk/results/athleteresultshistory/?athleteNumber=32374" TargetMode="External"/><Relationship Id="rId1046" Type="http://schemas.openxmlformats.org/officeDocument/2006/relationships/hyperlink" Target="http://www.parkrun.org.uk/results/athleteresultshistory/?athleteNumber=9195" TargetMode="External"/><Relationship Id="rId623" Type="http://schemas.openxmlformats.org/officeDocument/2006/relationships/hyperlink" Target="http://www.parkrun.org.uk/results/athleteresultshistory/?athleteNumber=19071" TargetMode="External"/><Relationship Id="rId830" Type="http://schemas.openxmlformats.org/officeDocument/2006/relationships/hyperlink" Target="http://www.parkrun.org.uk/results/athleteresultshistory/?athleteNumber=112208" TargetMode="External"/><Relationship Id="rId928" Type="http://schemas.openxmlformats.org/officeDocument/2006/relationships/hyperlink" Target="http://www.parkrun.org.uk/results/athleteresultshistory/?athleteNumber=54076" TargetMode="External"/><Relationship Id="rId57" Type="http://schemas.openxmlformats.org/officeDocument/2006/relationships/hyperlink" Target="http://www.parkrun.org.uk/results/athleteresultshistory/?athleteNumber=115" TargetMode="External"/><Relationship Id="rId262" Type="http://schemas.openxmlformats.org/officeDocument/2006/relationships/hyperlink" Target="http://www.parkrun.org.uk/results/athleteresultshistory/?athleteNumber=63552" TargetMode="External"/><Relationship Id="rId567" Type="http://schemas.openxmlformats.org/officeDocument/2006/relationships/hyperlink" Target="http://www.parkrun.org.uk/results/athleteresultshistory/?athleteNumber=1166" TargetMode="External"/><Relationship Id="rId122" Type="http://schemas.openxmlformats.org/officeDocument/2006/relationships/hyperlink" Target="http://www.parkrun.org.uk/results/athleteresultshistory/?athleteNumber=242" TargetMode="External"/><Relationship Id="rId774" Type="http://schemas.openxmlformats.org/officeDocument/2006/relationships/hyperlink" Target="http://www.parkrun.org.uk/results/athleteresultshistory/?athleteNumber=1575" TargetMode="External"/><Relationship Id="rId981" Type="http://schemas.openxmlformats.org/officeDocument/2006/relationships/hyperlink" Target="http://www.parkrun.org.uk/results/athleteresultshistory/?athleteNumber=56276" TargetMode="External"/><Relationship Id="rId1057" Type="http://schemas.openxmlformats.org/officeDocument/2006/relationships/hyperlink" Target="http://www.parkrun.org.uk/results/athleteresultshistory/?athleteNumber=79944" TargetMode="External"/><Relationship Id="rId427" Type="http://schemas.openxmlformats.org/officeDocument/2006/relationships/hyperlink" Target="http://www.parkrun.org.uk/results/athleteresultshistory/?athleteNumber=2603" TargetMode="External"/><Relationship Id="rId634" Type="http://schemas.openxmlformats.org/officeDocument/2006/relationships/hyperlink" Target="http://www.parkrun.org.uk/results/athleteresultshistory/?athleteNumber=17269" TargetMode="External"/><Relationship Id="rId841" Type="http://schemas.openxmlformats.org/officeDocument/2006/relationships/hyperlink" Target="http://www.parkrun.org.uk/results/athleteresultshistory/?athleteNumber=1707" TargetMode="External"/><Relationship Id="rId273" Type="http://schemas.openxmlformats.org/officeDocument/2006/relationships/hyperlink" Target="http://www.parkrun.org.uk/results/athleteresultshistory/?athleteNumber=16791" TargetMode="External"/><Relationship Id="rId480" Type="http://schemas.openxmlformats.org/officeDocument/2006/relationships/hyperlink" Target="http://www.parkrun.org.uk/results/athleteresultshistory/?athleteNumber=3081" TargetMode="External"/><Relationship Id="rId701" Type="http://schemas.openxmlformats.org/officeDocument/2006/relationships/hyperlink" Target="http://www.parkrun.org.uk/results/athleteresultshistory/?athleteNumber=3989" TargetMode="External"/><Relationship Id="rId939" Type="http://schemas.openxmlformats.org/officeDocument/2006/relationships/hyperlink" Target="http://www.parkrun.org.uk/results/athleteresultshistory/?athleteNumber=16124" TargetMode="External"/><Relationship Id="rId68" Type="http://schemas.openxmlformats.org/officeDocument/2006/relationships/hyperlink" Target="http://www.parkrun.org.uk/results/athleteresultshistory/?athleteNumber=19079" TargetMode="External"/><Relationship Id="rId133" Type="http://schemas.openxmlformats.org/officeDocument/2006/relationships/hyperlink" Target="http://www.parkrun.org.uk/results/athleteresultshistory/?athleteNumber=61873" TargetMode="External"/><Relationship Id="rId340" Type="http://schemas.openxmlformats.org/officeDocument/2006/relationships/hyperlink" Target="http://www.parkrun.org.uk/results/athleteresultshistory/?athleteNumber=110257" TargetMode="External"/><Relationship Id="rId578" Type="http://schemas.openxmlformats.org/officeDocument/2006/relationships/hyperlink" Target="http://www.parkrun.org.uk/results/athleteresultshistory/?athleteNumber=14884" TargetMode="External"/><Relationship Id="rId785" Type="http://schemas.openxmlformats.org/officeDocument/2006/relationships/hyperlink" Target="http://www.parkrun.org.uk/results/athleteresultshistory/?athleteNumber=40268" TargetMode="External"/><Relationship Id="rId992" Type="http://schemas.openxmlformats.org/officeDocument/2006/relationships/hyperlink" Target="http://www.parkrun.org.uk/results/athleteresultshistory/?athleteNumber=88020" TargetMode="External"/><Relationship Id="rId200" Type="http://schemas.openxmlformats.org/officeDocument/2006/relationships/hyperlink" Target="http://www.parkrun.org.uk/results/athleteresultshistory/?athleteNumber=22725" TargetMode="External"/><Relationship Id="rId438" Type="http://schemas.openxmlformats.org/officeDocument/2006/relationships/hyperlink" Target="http://www.parkrun.org.uk/results/athleteresultshistory/?athleteNumber=42350" TargetMode="External"/><Relationship Id="rId645" Type="http://schemas.openxmlformats.org/officeDocument/2006/relationships/hyperlink" Target="http://www.parkrun.org.uk/results/athleteresultshistory/?athleteNumber=101559" TargetMode="External"/><Relationship Id="rId852" Type="http://schemas.openxmlformats.org/officeDocument/2006/relationships/hyperlink" Target="http://www.parkrun.org.uk/results/athleteresultshistory/?athleteNumber=1729" TargetMode="External"/><Relationship Id="rId1068" Type="http://schemas.openxmlformats.org/officeDocument/2006/relationships/hyperlink" Target="http://www.parkrun.org.uk/results/athleteresultshistory/?athleteNumber=40651" TargetMode="External"/><Relationship Id="rId284" Type="http://schemas.openxmlformats.org/officeDocument/2006/relationships/hyperlink" Target="http://www.parkrun.org.uk/results/athleteresultshistory/?athleteNumber=558" TargetMode="External"/><Relationship Id="rId491" Type="http://schemas.openxmlformats.org/officeDocument/2006/relationships/hyperlink" Target="http://www.parkrun.org.uk/results/athleteresultshistory/?athleteNumber=49891" TargetMode="External"/><Relationship Id="rId505" Type="http://schemas.openxmlformats.org/officeDocument/2006/relationships/hyperlink" Target="http://www.parkrun.org.uk/results/athleteresultshistory/?athleteNumber=37351" TargetMode="External"/><Relationship Id="rId712" Type="http://schemas.openxmlformats.org/officeDocument/2006/relationships/hyperlink" Target="http://www.parkrun.org.uk/results/athleteresultshistory/?athleteNumber=85880" TargetMode="External"/><Relationship Id="rId79" Type="http://schemas.openxmlformats.org/officeDocument/2006/relationships/hyperlink" Target="http://www.parkrun.org.uk/results/athleteresultshistory/?athleteNumber=15584" TargetMode="External"/><Relationship Id="rId144" Type="http://schemas.openxmlformats.org/officeDocument/2006/relationships/hyperlink" Target="http://www.parkrun.org.uk/results/athleteresultshistory/?athleteNumber=136862" TargetMode="External"/><Relationship Id="rId589" Type="http://schemas.openxmlformats.org/officeDocument/2006/relationships/hyperlink" Target="http://www.parkrun.org.uk/results/athleteresultshistory/?athleteNumber=52980" TargetMode="External"/><Relationship Id="rId796" Type="http://schemas.openxmlformats.org/officeDocument/2006/relationships/hyperlink" Target="http://www.parkrun.org.uk/results/athleteresultshistory/?athleteNumber=96112" TargetMode="External"/><Relationship Id="rId351" Type="http://schemas.openxmlformats.org/officeDocument/2006/relationships/hyperlink" Target="http://www.parkrun.org.uk/results/athleteresultshistory/?athleteNumber=93796" TargetMode="External"/><Relationship Id="rId449" Type="http://schemas.openxmlformats.org/officeDocument/2006/relationships/hyperlink" Target="http://www.parkrun.org.uk/results/athleteresultshistory/?athleteNumber=213475" TargetMode="External"/><Relationship Id="rId656" Type="http://schemas.openxmlformats.org/officeDocument/2006/relationships/hyperlink" Target="http://www.parkrun.org.uk/results/athleteresultshistory/?athleteNumber=28821" TargetMode="External"/><Relationship Id="rId863" Type="http://schemas.openxmlformats.org/officeDocument/2006/relationships/hyperlink" Target="http://www.parkrun.org.uk/results/athleteresultshistory/?athleteNumber=20006" TargetMode="External"/><Relationship Id="rId1079" Type="http://schemas.openxmlformats.org/officeDocument/2006/relationships/hyperlink" Target="http://www.parkrun.org.uk/results/athleteresultshistory/?athleteNumber=68203" TargetMode="External"/><Relationship Id="rId211" Type="http://schemas.openxmlformats.org/officeDocument/2006/relationships/hyperlink" Target="http://www.parkrun.org.uk/results/athleteresultshistory/?athleteNumber=6670" TargetMode="External"/><Relationship Id="rId295" Type="http://schemas.openxmlformats.org/officeDocument/2006/relationships/hyperlink" Target="http://www.parkrun.org.uk/results/athleteresultshistory/?athleteNumber=78337" TargetMode="External"/><Relationship Id="rId309" Type="http://schemas.openxmlformats.org/officeDocument/2006/relationships/hyperlink" Target="http://www.parkrun.org.uk/results/athleteresultshistory/?athleteNumber=63991" TargetMode="External"/><Relationship Id="rId516" Type="http://schemas.openxmlformats.org/officeDocument/2006/relationships/hyperlink" Target="http://www.parkrun.org.uk/results/athleteresultshistory/?athleteNumber=54968" TargetMode="External"/><Relationship Id="rId723" Type="http://schemas.openxmlformats.org/officeDocument/2006/relationships/hyperlink" Target="http://www.parkrun.org.uk/results/athleteresultshistory/?athleteNumber=42854" TargetMode="External"/><Relationship Id="rId930" Type="http://schemas.openxmlformats.org/officeDocument/2006/relationships/hyperlink" Target="http://www.parkrun.org.uk/results/athleteresultshistory/?athleteNumber=19783" TargetMode="External"/><Relationship Id="rId1006" Type="http://schemas.openxmlformats.org/officeDocument/2006/relationships/hyperlink" Target="http://www.parkrun.org.uk/results/athleteresultshistory/?athleteNumber=48668" TargetMode="External"/><Relationship Id="rId155" Type="http://schemas.openxmlformats.org/officeDocument/2006/relationships/hyperlink" Target="http://www.parkrun.org.uk/results/athleteresultshistory/?athleteNumber=14348" TargetMode="External"/><Relationship Id="rId362" Type="http://schemas.openxmlformats.org/officeDocument/2006/relationships/hyperlink" Target="http://www.parkrun.org.uk/results/athleteresultshistory/?athleteNumber=183386" TargetMode="External"/><Relationship Id="rId222" Type="http://schemas.openxmlformats.org/officeDocument/2006/relationships/hyperlink" Target="http://www.parkrun.org.uk/results/athleteresultshistory/?athleteNumber=488" TargetMode="External"/><Relationship Id="rId667" Type="http://schemas.openxmlformats.org/officeDocument/2006/relationships/hyperlink" Target="http://www.parkrun.org.uk/results/athleteresultshistory/?athleteNumber=79736" TargetMode="External"/><Relationship Id="rId874" Type="http://schemas.openxmlformats.org/officeDocument/2006/relationships/hyperlink" Target="http://www.parkrun.org.uk/results/athleteresultshistory/?athleteNumber=5071" TargetMode="External"/><Relationship Id="rId17" Type="http://schemas.openxmlformats.org/officeDocument/2006/relationships/hyperlink" Target="http://www.parkrun.org.uk/results/athleteresultshistory/?athleteNumber=65272" TargetMode="External"/><Relationship Id="rId527" Type="http://schemas.openxmlformats.org/officeDocument/2006/relationships/hyperlink" Target="http://www.parkrun.org.uk/results/athleteresultshistory/?athleteNumber=58414" TargetMode="External"/><Relationship Id="rId734" Type="http://schemas.openxmlformats.org/officeDocument/2006/relationships/hyperlink" Target="http://www.parkrun.org.uk/results/athleteresultshistory/?athleteNumber=128950" TargetMode="External"/><Relationship Id="rId941" Type="http://schemas.openxmlformats.org/officeDocument/2006/relationships/hyperlink" Target="http://www.parkrun.org.uk/results/athleteresultshistory/?athleteNumber=47559" TargetMode="External"/><Relationship Id="rId70" Type="http://schemas.openxmlformats.org/officeDocument/2006/relationships/hyperlink" Target="http://www.parkrun.org.uk/results/athleteresultshistory/?athleteNumber=34628" TargetMode="External"/><Relationship Id="rId166" Type="http://schemas.openxmlformats.org/officeDocument/2006/relationships/hyperlink" Target="http://www.parkrun.org.uk/results/athleteresultshistory/?athleteNumber=5628" TargetMode="External"/><Relationship Id="rId373" Type="http://schemas.openxmlformats.org/officeDocument/2006/relationships/hyperlink" Target="http://www.parkrun.org.uk/results/athleteresultshistory/?athleteNumber=147540" TargetMode="External"/><Relationship Id="rId580" Type="http://schemas.openxmlformats.org/officeDocument/2006/relationships/hyperlink" Target="http://www.parkrun.org.uk/results/athleteresultshistory/?athleteNumber=202552" TargetMode="External"/><Relationship Id="rId801" Type="http://schemas.openxmlformats.org/officeDocument/2006/relationships/hyperlink" Target="http://www.parkrun.org.uk/results/athleteresultshistory/?athleteNumber=26151" TargetMode="External"/><Relationship Id="rId1017" Type="http://schemas.openxmlformats.org/officeDocument/2006/relationships/hyperlink" Target="http://www.parkrun.org.uk/results/athleteresultshistory/?athleteNumber=2097" TargetMode="External"/><Relationship Id="rId1" Type="http://schemas.openxmlformats.org/officeDocument/2006/relationships/hyperlink" Target="http://www.parkrun.org.uk/results/athleteresultshistory/?athleteNumber=9954" TargetMode="External"/><Relationship Id="rId233" Type="http://schemas.openxmlformats.org/officeDocument/2006/relationships/hyperlink" Target="http://www.parkrun.org.uk/results/athleteresultshistory/?athleteNumber=4556" TargetMode="External"/><Relationship Id="rId440" Type="http://schemas.openxmlformats.org/officeDocument/2006/relationships/hyperlink" Target="http://www.parkrun.org.uk/results/athleteresultshistory/?athleteNumber=175955" TargetMode="External"/><Relationship Id="rId678" Type="http://schemas.openxmlformats.org/officeDocument/2006/relationships/hyperlink" Target="http://www.parkrun.org.uk/results/athleteresultshistory/?athleteNumber=67515" TargetMode="External"/><Relationship Id="rId885" Type="http://schemas.openxmlformats.org/officeDocument/2006/relationships/hyperlink" Target="http://www.parkrun.org.uk/results/athleteresultshistory/?athleteNumber=51116" TargetMode="External"/><Relationship Id="rId1070" Type="http://schemas.openxmlformats.org/officeDocument/2006/relationships/hyperlink" Target="http://www.parkrun.org.uk/results/athleteresultshistory/?athleteNumber=2241" TargetMode="External"/><Relationship Id="rId28" Type="http://schemas.openxmlformats.org/officeDocument/2006/relationships/hyperlink" Target="http://www.parkrun.org.uk/results/athleteresultshistory/?athleteNumber=44930" TargetMode="External"/><Relationship Id="rId300" Type="http://schemas.openxmlformats.org/officeDocument/2006/relationships/hyperlink" Target="http://www.parkrun.org.uk/results/athleteresultshistory/?athleteNumber=56739" TargetMode="External"/><Relationship Id="rId538" Type="http://schemas.openxmlformats.org/officeDocument/2006/relationships/hyperlink" Target="http://www.parkrun.org.uk/results/athleteresultshistory/?athleteNumber=56117" TargetMode="External"/><Relationship Id="rId745" Type="http://schemas.openxmlformats.org/officeDocument/2006/relationships/hyperlink" Target="http://www.parkrun.org.uk/results/athleteresultshistory/?athleteNumber=86909" TargetMode="External"/><Relationship Id="rId952" Type="http://schemas.openxmlformats.org/officeDocument/2006/relationships/hyperlink" Target="http://www.parkrun.org.uk/results/athleteresultshistory/?athleteNumber=105058" TargetMode="External"/><Relationship Id="rId81" Type="http://schemas.openxmlformats.org/officeDocument/2006/relationships/hyperlink" Target="http://www.parkrun.org.uk/results/athleteresultshistory/?athleteNumber=137462" TargetMode="External"/><Relationship Id="rId177" Type="http://schemas.openxmlformats.org/officeDocument/2006/relationships/hyperlink" Target="http://www.parkrun.org.uk/results/athleteresultshistory/?athleteNumber=14902" TargetMode="External"/><Relationship Id="rId384" Type="http://schemas.openxmlformats.org/officeDocument/2006/relationships/hyperlink" Target="http://www.parkrun.org.uk/results/athleteresultshistory/?athleteNumber=84987" TargetMode="External"/><Relationship Id="rId591" Type="http://schemas.openxmlformats.org/officeDocument/2006/relationships/hyperlink" Target="http://www.parkrun.org.uk/results/athleteresultshistory/?athleteNumber=120702" TargetMode="External"/><Relationship Id="rId605" Type="http://schemas.openxmlformats.org/officeDocument/2006/relationships/hyperlink" Target="http://www.parkrun.org.uk/results/athleteresultshistory/?athleteNumber=77088" TargetMode="External"/><Relationship Id="rId812" Type="http://schemas.openxmlformats.org/officeDocument/2006/relationships/hyperlink" Target="http://www.parkrun.org.uk/results/athleteresultshistory/?athleteNumber=49479" TargetMode="External"/><Relationship Id="rId1028" Type="http://schemas.openxmlformats.org/officeDocument/2006/relationships/hyperlink" Target="http://www.parkrun.org.uk/results/athleteresultshistory/?athleteNumber=104052" TargetMode="External"/><Relationship Id="rId244" Type="http://schemas.openxmlformats.org/officeDocument/2006/relationships/hyperlink" Target="http://www.parkrun.org.uk/results/athleteresultshistory/?athleteNumber=38605" TargetMode="External"/><Relationship Id="rId689" Type="http://schemas.openxmlformats.org/officeDocument/2006/relationships/hyperlink" Target="http://www.parkrun.org.uk/results/athleteresultshistory/?athleteNumber=36553" TargetMode="External"/><Relationship Id="rId896" Type="http://schemas.openxmlformats.org/officeDocument/2006/relationships/hyperlink" Target="http://www.parkrun.org.uk/results/athleteresultshistory/?athleteNumber=74039" TargetMode="External"/><Relationship Id="rId1081" Type="http://schemas.openxmlformats.org/officeDocument/2006/relationships/hyperlink" Target="http://www.parkrun.org.uk/results/athleteresultshistory/?athleteNumber=62653" TargetMode="External"/><Relationship Id="rId39" Type="http://schemas.openxmlformats.org/officeDocument/2006/relationships/hyperlink" Target="http://www.parkrun.org.uk/results/athleteresultshistory/?athleteNumber=15617" TargetMode="External"/><Relationship Id="rId451" Type="http://schemas.openxmlformats.org/officeDocument/2006/relationships/hyperlink" Target="http://www.parkrun.org.uk/results/athleteresultshistory/?athleteNumber=8057" TargetMode="External"/><Relationship Id="rId549" Type="http://schemas.openxmlformats.org/officeDocument/2006/relationships/hyperlink" Target="http://www.parkrun.org.uk/results/athleteresultshistory/?athleteNumber=1109" TargetMode="External"/><Relationship Id="rId756" Type="http://schemas.openxmlformats.org/officeDocument/2006/relationships/hyperlink" Target="http://www.parkrun.org.uk/results/athleteresultshistory/?athleteNumber=59626" TargetMode="External"/><Relationship Id="rId104" Type="http://schemas.openxmlformats.org/officeDocument/2006/relationships/hyperlink" Target="http://www.parkrun.org.uk/results/athleteresultshistory/?athleteNumber=34340" TargetMode="External"/><Relationship Id="rId188" Type="http://schemas.openxmlformats.org/officeDocument/2006/relationships/hyperlink" Target="http://www.parkrun.org.uk/results/athleteresultshistory/?athleteNumber=12604" TargetMode="External"/><Relationship Id="rId311" Type="http://schemas.openxmlformats.org/officeDocument/2006/relationships/hyperlink" Target="http://www.parkrun.org.uk/results/athleteresultshistory/?athleteNumber=30096" TargetMode="External"/><Relationship Id="rId395" Type="http://schemas.openxmlformats.org/officeDocument/2006/relationships/hyperlink" Target="http://www.parkrun.org.uk/results/athleteresultshistory/?athleteNumber=36277" TargetMode="External"/><Relationship Id="rId409" Type="http://schemas.openxmlformats.org/officeDocument/2006/relationships/hyperlink" Target="http://www.parkrun.org.uk/results/athleteresultshistory/?athleteNumber=13423" TargetMode="External"/><Relationship Id="rId963" Type="http://schemas.openxmlformats.org/officeDocument/2006/relationships/hyperlink" Target="http://www.parkrun.org.uk/results/athleteresultshistory/?athleteNumber=41540" TargetMode="External"/><Relationship Id="rId1039" Type="http://schemas.openxmlformats.org/officeDocument/2006/relationships/hyperlink" Target="http://www.parkrun.org.uk/results/athleteresultshistory/?athleteNumber=2146" TargetMode="External"/><Relationship Id="rId92" Type="http://schemas.openxmlformats.org/officeDocument/2006/relationships/hyperlink" Target="http://www.parkrun.org.uk/results/athleteresultshistory/?athleteNumber=46017" TargetMode="External"/><Relationship Id="rId616" Type="http://schemas.openxmlformats.org/officeDocument/2006/relationships/hyperlink" Target="http://www.parkrun.org.uk/results/athleteresultshistory/?athleteNumber=165475" TargetMode="External"/><Relationship Id="rId823" Type="http://schemas.openxmlformats.org/officeDocument/2006/relationships/hyperlink" Target="http://www.parkrun.org.uk/results/athleteresultshistory/?athleteNumber=69759" TargetMode="External"/><Relationship Id="rId255" Type="http://schemas.openxmlformats.org/officeDocument/2006/relationships/hyperlink" Target="http://www.parkrun.org.uk/results/athleteresultshistory/?athleteNumber=143126" TargetMode="External"/><Relationship Id="rId462" Type="http://schemas.openxmlformats.org/officeDocument/2006/relationships/hyperlink" Target="http://www.parkrun.org.uk/results/athleteresultshistory/?athleteNumber=31872" TargetMode="External"/><Relationship Id="rId1092" Type="http://schemas.openxmlformats.org/officeDocument/2006/relationships/hyperlink" Target="http://www.parkrun.org.uk/results/athleteresultshistory/?athleteNumber=66164" TargetMode="External"/><Relationship Id="rId115" Type="http://schemas.openxmlformats.org/officeDocument/2006/relationships/hyperlink" Target="http://www.parkrun.org.uk/results/athleteresultshistory/?athleteNumber=223" TargetMode="External"/><Relationship Id="rId322" Type="http://schemas.openxmlformats.org/officeDocument/2006/relationships/hyperlink" Target="http://www.parkrun.org.uk/results/athleteresultshistory/?athleteNumber=650" TargetMode="External"/><Relationship Id="rId767" Type="http://schemas.openxmlformats.org/officeDocument/2006/relationships/hyperlink" Target="http://www.parkrun.org.uk/results/athleteresultshistory/?athleteNumber=1564" TargetMode="External"/><Relationship Id="rId974" Type="http://schemas.openxmlformats.org/officeDocument/2006/relationships/hyperlink" Target="http://www.parkrun.org.uk/results/athleteresultshistory/?athleteNumber=74172" TargetMode="External"/><Relationship Id="rId199" Type="http://schemas.openxmlformats.org/officeDocument/2006/relationships/hyperlink" Target="http://www.parkrun.org.uk/results/athleteresultshistory/?athleteNumber=28401" TargetMode="External"/><Relationship Id="rId627" Type="http://schemas.openxmlformats.org/officeDocument/2006/relationships/hyperlink" Target="http://www.parkrun.org.uk/results/athleteresultshistory/?athleteNumber=46418" TargetMode="External"/><Relationship Id="rId834" Type="http://schemas.openxmlformats.org/officeDocument/2006/relationships/hyperlink" Target="http://www.parkrun.org.uk/results/athleteresultshistory/?athleteNumber=5207" TargetMode="External"/><Relationship Id="rId266" Type="http://schemas.openxmlformats.org/officeDocument/2006/relationships/hyperlink" Target="http://www.parkrun.org.uk/results/athleteresultshistory/?athleteNumber=537" TargetMode="External"/><Relationship Id="rId473" Type="http://schemas.openxmlformats.org/officeDocument/2006/relationships/hyperlink" Target="http://www.parkrun.org.uk/results/athleteresultshistory/?athleteNumber=96943" TargetMode="External"/><Relationship Id="rId680" Type="http://schemas.openxmlformats.org/officeDocument/2006/relationships/hyperlink" Target="http://www.parkrun.org.uk/results/athleteresultshistory/?athleteNumber=102194" TargetMode="External"/><Relationship Id="rId901" Type="http://schemas.openxmlformats.org/officeDocument/2006/relationships/hyperlink" Target="http://www.parkrun.org.uk/results/athleteresultshistory/?athleteNumber=49712" TargetMode="External"/><Relationship Id="rId30" Type="http://schemas.openxmlformats.org/officeDocument/2006/relationships/hyperlink" Target="http://www.parkrun.org.uk/results/athleteresultshistory/?athleteNumber=32950" TargetMode="External"/><Relationship Id="rId126" Type="http://schemas.openxmlformats.org/officeDocument/2006/relationships/hyperlink" Target="http://www.parkrun.org.uk/results/athleteresultshistory/?athleteNumber=9923" TargetMode="External"/><Relationship Id="rId333" Type="http://schemas.openxmlformats.org/officeDocument/2006/relationships/hyperlink" Target="http://www.parkrun.org.uk/results/athleteresultshistory/?athleteNumber=148716" TargetMode="External"/><Relationship Id="rId540" Type="http://schemas.openxmlformats.org/officeDocument/2006/relationships/hyperlink" Target="http://www.parkrun.org.uk/results/athleteresultshistory/?athleteNumber=57044" TargetMode="External"/><Relationship Id="rId778" Type="http://schemas.openxmlformats.org/officeDocument/2006/relationships/hyperlink" Target="http://www.parkrun.org.uk/results/athleteresultshistory/?athleteNumber=6743" TargetMode="External"/><Relationship Id="rId985" Type="http://schemas.openxmlformats.org/officeDocument/2006/relationships/hyperlink" Target="http://www.parkrun.org.uk/results/athleteresultshistory/?athleteNumber=9792" TargetMode="External"/><Relationship Id="rId638" Type="http://schemas.openxmlformats.org/officeDocument/2006/relationships/hyperlink" Target="http://www.parkrun.org.uk/results/athleteresultshistory/?athleteNumber=14592" TargetMode="External"/><Relationship Id="rId845" Type="http://schemas.openxmlformats.org/officeDocument/2006/relationships/hyperlink" Target="http://www.parkrun.org.uk/results/athleteresultshistory/?athleteNumber=59595" TargetMode="External"/><Relationship Id="rId1030" Type="http://schemas.openxmlformats.org/officeDocument/2006/relationships/hyperlink" Target="http://www.parkrun.org.uk/results/athleteresultshistory/?athleteNumber=35200" TargetMode="External"/><Relationship Id="rId277" Type="http://schemas.openxmlformats.org/officeDocument/2006/relationships/hyperlink" Target="http://www.parkrun.org.uk/results/athleteresultshistory/?athleteNumber=2763" TargetMode="External"/><Relationship Id="rId400" Type="http://schemas.openxmlformats.org/officeDocument/2006/relationships/hyperlink" Target="http://www.parkrun.org.uk/results/athleteresultshistory/?athleteNumber=68183" TargetMode="External"/><Relationship Id="rId484" Type="http://schemas.openxmlformats.org/officeDocument/2006/relationships/hyperlink" Target="http://www.parkrun.org.uk/results/athleteresultshistory/?athleteNumber=3920" TargetMode="External"/><Relationship Id="rId705" Type="http://schemas.openxmlformats.org/officeDocument/2006/relationships/hyperlink" Target="http://www.parkrun.org.uk/results/athleteresultshistory/?athleteNumber=6346" TargetMode="External"/><Relationship Id="rId137" Type="http://schemas.openxmlformats.org/officeDocument/2006/relationships/hyperlink" Target="http://www.parkrun.org.uk/results/athleteresultshistory/?athleteNumber=65742" TargetMode="External"/><Relationship Id="rId344" Type="http://schemas.openxmlformats.org/officeDocument/2006/relationships/hyperlink" Target="http://www.parkrun.org.uk/results/athleteresultshistory/?athleteNumber=50617" TargetMode="External"/><Relationship Id="rId691" Type="http://schemas.openxmlformats.org/officeDocument/2006/relationships/hyperlink" Target="http://www.parkrun.org.uk/results/athleteresultshistory/?athleteNumber=2726" TargetMode="External"/><Relationship Id="rId789" Type="http://schemas.openxmlformats.org/officeDocument/2006/relationships/hyperlink" Target="http://www.parkrun.org.uk/results/athleteresultshistory/?athleteNumber=1620" TargetMode="External"/><Relationship Id="rId912" Type="http://schemas.openxmlformats.org/officeDocument/2006/relationships/hyperlink" Target="http://www.parkrun.org.uk/results/athleteresultshistory/?athleteNumber=16896" TargetMode="External"/><Relationship Id="rId996" Type="http://schemas.openxmlformats.org/officeDocument/2006/relationships/hyperlink" Target="http://www.parkrun.org.uk/results/athleteresultshistory/?athleteNumber=2069" TargetMode="External"/><Relationship Id="rId41" Type="http://schemas.openxmlformats.org/officeDocument/2006/relationships/hyperlink" Target="http://www.parkrun.org.uk/results/athleteresultshistory/?athleteNumber=6178" TargetMode="External"/><Relationship Id="rId551" Type="http://schemas.openxmlformats.org/officeDocument/2006/relationships/hyperlink" Target="http://www.parkrun.org.uk/results/athleteresultshistory/?athleteNumber=56042" TargetMode="External"/><Relationship Id="rId649" Type="http://schemas.openxmlformats.org/officeDocument/2006/relationships/hyperlink" Target="http://www.parkrun.org.uk/results/athleteresultshistory/?athleteNumber=133780" TargetMode="External"/><Relationship Id="rId856" Type="http://schemas.openxmlformats.org/officeDocument/2006/relationships/hyperlink" Target="http://www.parkrun.org.uk/results/athleteresultshistory/?athleteNumber=9956" TargetMode="External"/><Relationship Id="rId190" Type="http://schemas.openxmlformats.org/officeDocument/2006/relationships/hyperlink" Target="http://www.parkrun.org.uk/results/athleteresultshistory/?athleteNumber=107113" TargetMode="External"/><Relationship Id="rId204" Type="http://schemas.openxmlformats.org/officeDocument/2006/relationships/hyperlink" Target="http://www.parkrun.org.uk/results/athleteresultshistory/?athleteNumber=43221" TargetMode="External"/><Relationship Id="rId288" Type="http://schemas.openxmlformats.org/officeDocument/2006/relationships/hyperlink" Target="http://www.parkrun.org.uk/results/athleteresultshistory/?athleteNumber=44515" TargetMode="External"/><Relationship Id="rId411" Type="http://schemas.openxmlformats.org/officeDocument/2006/relationships/hyperlink" Target="http://www.parkrun.org.uk/results/athleteresultshistory/?athleteNumber=61655" TargetMode="External"/><Relationship Id="rId509" Type="http://schemas.openxmlformats.org/officeDocument/2006/relationships/hyperlink" Target="http://www.parkrun.org.uk/results/athleteresultshistory/?athleteNumber=98656" TargetMode="External"/><Relationship Id="rId1041" Type="http://schemas.openxmlformats.org/officeDocument/2006/relationships/hyperlink" Target="http://www.parkrun.org.uk/results/athleteresultshistory/?athleteNumber=44556" TargetMode="External"/><Relationship Id="rId495" Type="http://schemas.openxmlformats.org/officeDocument/2006/relationships/hyperlink" Target="http://www.parkrun.org.uk/results/athleteresultshistory/?athleteNumber=71209" TargetMode="External"/><Relationship Id="rId716" Type="http://schemas.openxmlformats.org/officeDocument/2006/relationships/hyperlink" Target="http://www.parkrun.org.uk/results/athleteresultshistory/?athleteNumber=24022" TargetMode="External"/><Relationship Id="rId923" Type="http://schemas.openxmlformats.org/officeDocument/2006/relationships/hyperlink" Target="http://www.parkrun.org.uk/results/athleteresultshistory/?athleteNumber=16760" TargetMode="External"/><Relationship Id="rId52" Type="http://schemas.openxmlformats.org/officeDocument/2006/relationships/hyperlink" Target="http://www.parkrun.org.uk/results/athleteresultshistory/?athleteNumber=98661" TargetMode="External"/><Relationship Id="rId148" Type="http://schemas.openxmlformats.org/officeDocument/2006/relationships/hyperlink" Target="http://www.parkrun.org.uk/results/athleteresultshistory/?athleteNumber=4284" TargetMode="External"/><Relationship Id="rId355" Type="http://schemas.openxmlformats.org/officeDocument/2006/relationships/hyperlink" Target="http://www.parkrun.org.uk/results/athleteresultshistory/?athleteNumber=726" TargetMode="External"/><Relationship Id="rId562" Type="http://schemas.openxmlformats.org/officeDocument/2006/relationships/hyperlink" Target="http://www.parkrun.org.uk/results/athleteresultshistory/?athleteNumber=37675" TargetMode="External"/><Relationship Id="rId215" Type="http://schemas.openxmlformats.org/officeDocument/2006/relationships/hyperlink" Target="http://www.parkrun.org.uk/results/athleteresultshistory/?athleteNumber=153959" TargetMode="External"/><Relationship Id="rId422" Type="http://schemas.openxmlformats.org/officeDocument/2006/relationships/hyperlink" Target="http://www.parkrun.org.uk/results/athleteresultshistory/?athleteNumber=37580" TargetMode="External"/><Relationship Id="rId867" Type="http://schemas.openxmlformats.org/officeDocument/2006/relationships/hyperlink" Target="http://www.parkrun.org.uk/results/athleteresultshistory/?athleteNumber=30876" TargetMode="External"/><Relationship Id="rId1052" Type="http://schemas.openxmlformats.org/officeDocument/2006/relationships/hyperlink" Target="http://www.parkrun.org.uk/results/athleteresultshistory/?athleteNumber=62211" TargetMode="External"/><Relationship Id="rId299" Type="http://schemas.openxmlformats.org/officeDocument/2006/relationships/hyperlink" Target="http://www.parkrun.org.uk/results/athleteresultshistory/?athleteNumber=587" TargetMode="External"/><Relationship Id="rId727" Type="http://schemas.openxmlformats.org/officeDocument/2006/relationships/hyperlink" Target="http://www.parkrun.org.uk/results/athleteresultshistory/?athleteNumber=7999" TargetMode="External"/><Relationship Id="rId934" Type="http://schemas.openxmlformats.org/officeDocument/2006/relationships/hyperlink" Target="http://www.parkrun.org.uk/results/athleteresultshistory/?athleteNumber=45422" TargetMode="External"/><Relationship Id="rId63" Type="http://schemas.openxmlformats.org/officeDocument/2006/relationships/hyperlink" Target="http://www.parkrun.org.uk/results/athleteresultshistory/?athleteNumber=80190" TargetMode="External"/><Relationship Id="rId159" Type="http://schemas.openxmlformats.org/officeDocument/2006/relationships/hyperlink" Target="http://www.parkrun.org.uk/results/athleteresultshistory/?athleteNumber=105827" TargetMode="External"/><Relationship Id="rId366" Type="http://schemas.openxmlformats.org/officeDocument/2006/relationships/hyperlink" Target="http://www.parkrun.org.uk/results/athleteresultshistory/?athleteNumber=177666" TargetMode="External"/><Relationship Id="rId573" Type="http://schemas.openxmlformats.org/officeDocument/2006/relationships/hyperlink" Target="http://www.parkrun.org.uk/results/athleteresultshistory/?athleteNumber=71617" TargetMode="External"/><Relationship Id="rId780" Type="http://schemas.openxmlformats.org/officeDocument/2006/relationships/hyperlink" Target="http://www.parkrun.org.uk/results/athleteresultshistory/?athleteNumber=112399" TargetMode="External"/><Relationship Id="rId226" Type="http://schemas.openxmlformats.org/officeDocument/2006/relationships/hyperlink" Target="http://www.parkrun.org.uk/results/athleteresultshistory/?athleteNumber=21283" TargetMode="External"/><Relationship Id="rId433" Type="http://schemas.openxmlformats.org/officeDocument/2006/relationships/hyperlink" Target="http://www.parkrun.org.uk/results/athleteresultshistory/?athleteNumber=66375" TargetMode="External"/><Relationship Id="rId878" Type="http://schemas.openxmlformats.org/officeDocument/2006/relationships/hyperlink" Target="http://www.parkrun.org.uk/results/athleteresultshistory/?athleteNumber=93783" TargetMode="External"/><Relationship Id="rId1063" Type="http://schemas.openxmlformats.org/officeDocument/2006/relationships/hyperlink" Target="http://www.parkrun.org.uk/results/athleteresultshistory/?athleteNumber=84881" TargetMode="External"/><Relationship Id="rId640" Type="http://schemas.openxmlformats.org/officeDocument/2006/relationships/hyperlink" Target="http://www.parkrun.org.uk/results/athleteresultshistory/?athleteNumber=17732" TargetMode="External"/><Relationship Id="rId738" Type="http://schemas.openxmlformats.org/officeDocument/2006/relationships/hyperlink" Target="http://www.parkrun.org.uk/results/athleteresultshistory/?athleteNumber=93329" TargetMode="External"/><Relationship Id="rId945" Type="http://schemas.openxmlformats.org/officeDocument/2006/relationships/hyperlink" Target="http://www.parkrun.org.uk/results/athleteresultshistory/?athleteNumber=11017" TargetMode="External"/><Relationship Id="rId74" Type="http://schemas.openxmlformats.org/officeDocument/2006/relationships/hyperlink" Target="http://www.parkrun.org.uk/results/athleteresultshistory/?athleteNumber=60099" TargetMode="External"/><Relationship Id="rId377" Type="http://schemas.openxmlformats.org/officeDocument/2006/relationships/hyperlink" Target="http://www.parkrun.org.uk/results/athleteresultshistory/?athleteNumber=14675" TargetMode="External"/><Relationship Id="rId500" Type="http://schemas.openxmlformats.org/officeDocument/2006/relationships/hyperlink" Target="http://www.parkrun.org.uk/results/athleteresultshistory/?athleteNumber=67177" TargetMode="External"/><Relationship Id="rId584" Type="http://schemas.openxmlformats.org/officeDocument/2006/relationships/hyperlink" Target="http://www.parkrun.org.uk/results/athleteresultshistory/?athleteNumber=19072" TargetMode="External"/><Relationship Id="rId805" Type="http://schemas.openxmlformats.org/officeDocument/2006/relationships/hyperlink" Target="http://www.parkrun.org.uk/results/athleteresultshistory/?athleteNumber=103009" TargetMode="External"/><Relationship Id="rId5" Type="http://schemas.openxmlformats.org/officeDocument/2006/relationships/hyperlink" Target="http://www.parkrun.org.uk/results/athleteresultshistory/?athleteNumber=11" TargetMode="External"/><Relationship Id="rId237" Type="http://schemas.openxmlformats.org/officeDocument/2006/relationships/hyperlink" Target="http://www.parkrun.org.uk/results/athleteresultshistory/?athleteNumber=107496" TargetMode="External"/><Relationship Id="rId791" Type="http://schemas.openxmlformats.org/officeDocument/2006/relationships/hyperlink" Target="http://www.parkrun.org.uk/results/athleteresultshistory/?athleteNumber=1623" TargetMode="External"/><Relationship Id="rId889" Type="http://schemas.openxmlformats.org/officeDocument/2006/relationships/hyperlink" Target="http://www.parkrun.org.uk/results/athleteresultshistory/?athleteNumber=37186" TargetMode="External"/><Relationship Id="rId1074" Type="http://schemas.openxmlformats.org/officeDocument/2006/relationships/hyperlink" Target="http://www.parkrun.org.uk/results/athleteresultshistory/?athleteNumber=2243" TargetMode="External"/><Relationship Id="rId444" Type="http://schemas.openxmlformats.org/officeDocument/2006/relationships/hyperlink" Target="http://www.parkrun.org.uk/results/athleteresultshistory/?athleteNumber=33677" TargetMode="External"/><Relationship Id="rId651" Type="http://schemas.openxmlformats.org/officeDocument/2006/relationships/hyperlink" Target="http://www.parkrun.org.uk/results/athleteresultshistory/?athleteNumber=51745" TargetMode="External"/><Relationship Id="rId749" Type="http://schemas.openxmlformats.org/officeDocument/2006/relationships/hyperlink" Target="http://www.parkrun.org.uk/results/athleteresultshistory/?athleteNumber=21818" TargetMode="External"/><Relationship Id="rId290" Type="http://schemas.openxmlformats.org/officeDocument/2006/relationships/hyperlink" Target="http://www.parkrun.org.uk/results/athleteresultshistory/?athleteNumber=143249" TargetMode="External"/><Relationship Id="rId304" Type="http://schemas.openxmlformats.org/officeDocument/2006/relationships/hyperlink" Target="http://www.parkrun.org.uk/results/athleteresultshistory/?athleteNumber=64318" TargetMode="External"/><Relationship Id="rId388" Type="http://schemas.openxmlformats.org/officeDocument/2006/relationships/hyperlink" Target="http://www.parkrun.org.uk/results/athleteresultshistory/?athleteNumber=100653" TargetMode="External"/><Relationship Id="rId511" Type="http://schemas.openxmlformats.org/officeDocument/2006/relationships/hyperlink" Target="http://www.parkrun.org.uk/results/athleteresultshistory/?athleteNumber=15896" TargetMode="External"/><Relationship Id="rId609" Type="http://schemas.openxmlformats.org/officeDocument/2006/relationships/hyperlink" Target="http://www.parkrun.org.uk/results/athleteresultshistory/?athleteNumber=13826" TargetMode="External"/><Relationship Id="rId956" Type="http://schemas.openxmlformats.org/officeDocument/2006/relationships/hyperlink" Target="http://www.parkrun.org.uk/results/athleteresultshistory/?athleteNumber=18023" TargetMode="External"/><Relationship Id="rId85" Type="http://schemas.openxmlformats.org/officeDocument/2006/relationships/hyperlink" Target="http://www.parkrun.org.uk/results/athleteresultshistory/?athleteNumber=87724" TargetMode="External"/><Relationship Id="rId150" Type="http://schemas.openxmlformats.org/officeDocument/2006/relationships/hyperlink" Target="http://www.parkrun.org.uk/results/athleteresultshistory/?athleteNumber=299" TargetMode="External"/><Relationship Id="rId595" Type="http://schemas.openxmlformats.org/officeDocument/2006/relationships/hyperlink" Target="http://www.parkrun.org.uk/results/athleteresultshistory/?athleteNumber=146609" TargetMode="External"/><Relationship Id="rId816" Type="http://schemas.openxmlformats.org/officeDocument/2006/relationships/hyperlink" Target="http://www.parkrun.org.uk/results/athleteresultshistory/?athleteNumber=24202" TargetMode="External"/><Relationship Id="rId1001" Type="http://schemas.openxmlformats.org/officeDocument/2006/relationships/hyperlink" Target="http://www.parkrun.org.uk/results/athleteresultshistory/?athleteNumber=80797" TargetMode="External"/><Relationship Id="rId248" Type="http://schemas.openxmlformats.org/officeDocument/2006/relationships/hyperlink" Target="http://www.parkrun.org.uk/results/athleteresultshistory/?athleteNumber=36306" TargetMode="External"/><Relationship Id="rId455" Type="http://schemas.openxmlformats.org/officeDocument/2006/relationships/hyperlink" Target="http://www.parkrun.org.uk/results/athleteresultshistory/?athleteNumber=7786" TargetMode="External"/><Relationship Id="rId662" Type="http://schemas.openxmlformats.org/officeDocument/2006/relationships/hyperlink" Target="http://www.parkrun.org.uk/results/athleteresultshistory/?athleteNumber=82127" TargetMode="External"/><Relationship Id="rId1085" Type="http://schemas.openxmlformats.org/officeDocument/2006/relationships/hyperlink" Target="http://www.parkrun.org.uk/results/athleteresultshistory/?athleteNumber=13268" TargetMode="External"/><Relationship Id="rId12" Type="http://schemas.openxmlformats.org/officeDocument/2006/relationships/hyperlink" Target="http://www.parkrun.org.uk/results/athleteresultshistory/?athleteNumber=151377" TargetMode="External"/><Relationship Id="rId108" Type="http://schemas.openxmlformats.org/officeDocument/2006/relationships/hyperlink" Target="http://www.parkrun.org.uk/results/athleteresultshistory/?athleteNumber=133837" TargetMode="External"/><Relationship Id="rId315" Type="http://schemas.openxmlformats.org/officeDocument/2006/relationships/hyperlink" Target="http://www.parkrun.org.uk/results/athleteresultshistory/?athleteNumber=34281" TargetMode="External"/><Relationship Id="rId522" Type="http://schemas.openxmlformats.org/officeDocument/2006/relationships/hyperlink" Target="http://www.parkrun.org.uk/results/athleteresultshistory/?athleteNumber=128128" TargetMode="External"/><Relationship Id="rId967" Type="http://schemas.openxmlformats.org/officeDocument/2006/relationships/hyperlink" Target="http://www.parkrun.org.uk/results/athleteresultshistory/?athleteNumber=16010" TargetMode="External"/><Relationship Id="rId96" Type="http://schemas.openxmlformats.org/officeDocument/2006/relationships/hyperlink" Target="http://www.parkrun.org.uk/results/athleteresultshistory/?athleteNumber=35429" TargetMode="External"/><Relationship Id="rId161" Type="http://schemas.openxmlformats.org/officeDocument/2006/relationships/hyperlink" Target="http://www.parkrun.org.uk/results/athleteresultshistory/?athleteNumber=143236" TargetMode="External"/><Relationship Id="rId399" Type="http://schemas.openxmlformats.org/officeDocument/2006/relationships/hyperlink" Target="http://www.parkrun.org.uk/results/athleteresultshistory/?athleteNumber=63786" TargetMode="External"/><Relationship Id="rId827" Type="http://schemas.openxmlformats.org/officeDocument/2006/relationships/hyperlink" Target="http://www.parkrun.org.uk/results/athleteresultshistory/?athleteNumber=68021" TargetMode="External"/><Relationship Id="rId1012" Type="http://schemas.openxmlformats.org/officeDocument/2006/relationships/hyperlink" Target="http://www.parkrun.org.uk/results/athleteresultshistory/?athleteNumber=30941" TargetMode="External"/><Relationship Id="rId259" Type="http://schemas.openxmlformats.org/officeDocument/2006/relationships/hyperlink" Target="http://www.parkrun.org.uk/results/athleteresultshistory/?athleteNumber=162162" TargetMode="External"/><Relationship Id="rId466" Type="http://schemas.openxmlformats.org/officeDocument/2006/relationships/hyperlink" Target="http://www.parkrun.org.uk/results/athleteresultshistory/?athleteNumber=124562" TargetMode="External"/><Relationship Id="rId673" Type="http://schemas.openxmlformats.org/officeDocument/2006/relationships/hyperlink" Target="http://www.parkrun.org.uk/results/athleteresultshistory/?athleteNumber=59307" TargetMode="External"/><Relationship Id="rId880" Type="http://schemas.openxmlformats.org/officeDocument/2006/relationships/hyperlink" Target="http://www.parkrun.org.uk/results/athleteresultshistory/?athleteNumber=92700" TargetMode="External"/><Relationship Id="rId1096" Type="http://schemas.openxmlformats.org/officeDocument/2006/relationships/printerSettings" Target="../printerSettings/printerSettings18.bin"/><Relationship Id="rId23" Type="http://schemas.openxmlformats.org/officeDocument/2006/relationships/hyperlink" Target="http://www.parkrun.org.uk/results/athleteresultshistory/?athleteNumber=120847" TargetMode="External"/><Relationship Id="rId119" Type="http://schemas.openxmlformats.org/officeDocument/2006/relationships/hyperlink" Target="http://www.parkrun.org.uk/results/athleteresultshistory/?athleteNumber=17373" TargetMode="External"/><Relationship Id="rId326" Type="http://schemas.openxmlformats.org/officeDocument/2006/relationships/hyperlink" Target="http://www.parkrun.org.uk/results/athleteresultshistory/?athleteNumber=12324" TargetMode="External"/><Relationship Id="rId533" Type="http://schemas.openxmlformats.org/officeDocument/2006/relationships/hyperlink" Target="http://www.parkrun.org.uk/results/athleteresultshistory/?athleteNumber=78606" TargetMode="External"/><Relationship Id="rId978" Type="http://schemas.openxmlformats.org/officeDocument/2006/relationships/hyperlink" Target="http://www.parkrun.org.uk/results/athleteresultshistory/?athleteNumber=87466" TargetMode="External"/><Relationship Id="rId740" Type="http://schemas.openxmlformats.org/officeDocument/2006/relationships/hyperlink" Target="http://www.parkrun.org.uk/results/athleteresultshistory/?athleteNumber=82186" TargetMode="External"/><Relationship Id="rId838" Type="http://schemas.openxmlformats.org/officeDocument/2006/relationships/hyperlink" Target="http://www.parkrun.org.uk/results/athleteresultshistory/?athleteNumber=98439" TargetMode="External"/><Relationship Id="rId1023" Type="http://schemas.openxmlformats.org/officeDocument/2006/relationships/hyperlink" Target="http://www.parkrun.org.uk/results/athleteresultshistory/?athleteNumber=5172" TargetMode="External"/><Relationship Id="rId172" Type="http://schemas.openxmlformats.org/officeDocument/2006/relationships/hyperlink" Target="http://www.parkrun.org.uk/results/athleteresultshistory/?athleteNumber=349" TargetMode="External"/><Relationship Id="rId477" Type="http://schemas.openxmlformats.org/officeDocument/2006/relationships/hyperlink" Target="http://www.parkrun.org.uk/results/athleteresultshistory/?athleteNumber=962" TargetMode="External"/><Relationship Id="rId600" Type="http://schemas.openxmlformats.org/officeDocument/2006/relationships/hyperlink" Target="http://www.parkrun.org.uk/results/athleteresultshistory/?athleteNumber=210555" TargetMode="External"/><Relationship Id="rId684" Type="http://schemas.openxmlformats.org/officeDocument/2006/relationships/hyperlink" Target="http://www.parkrun.org.uk/results/athleteresultshistory/?athleteNumber=5159" TargetMode="External"/><Relationship Id="rId337" Type="http://schemas.openxmlformats.org/officeDocument/2006/relationships/hyperlink" Target="http://www.parkrun.org.uk/results/athleteresultshistory/?athleteNumber=38278" TargetMode="External"/><Relationship Id="rId891" Type="http://schemas.openxmlformats.org/officeDocument/2006/relationships/hyperlink" Target="http://www.parkrun.org.uk/results/athleteresultshistory/?athleteNumber=75992" TargetMode="External"/><Relationship Id="rId905" Type="http://schemas.openxmlformats.org/officeDocument/2006/relationships/hyperlink" Target="http://www.parkrun.org.uk/results/athleteresultshistory/?athleteNumber=174462" TargetMode="External"/><Relationship Id="rId989" Type="http://schemas.openxmlformats.org/officeDocument/2006/relationships/hyperlink" Target="http://www.parkrun.org.uk/results/athleteresultshistory/?athleteNumber=2056" TargetMode="External"/><Relationship Id="rId34" Type="http://schemas.openxmlformats.org/officeDocument/2006/relationships/hyperlink" Target="http://www.parkrun.org.uk/results/athleteresultshistory/?athleteNumber=18477" TargetMode="External"/><Relationship Id="rId544" Type="http://schemas.openxmlformats.org/officeDocument/2006/relationships/hyperlink" Target="http://www.parkrun.org.uk/results/athleteresultshistory/?athleteNumber=144148" TargetMode="External"/><Relationship Id="rId751" Type="http://schemas.openxmlformats.org/officeDocument/2006/relationships/hyperlink" Target="http://www.parkrun.org.uk/results/athleteresultshistory/?athleteNumber=173012" TargetMode="External"/><Relationship Id="rId849" Type="http://schemas.openxmlformats.org/officeDocument/2006/relationships/hyperlink" Target="http://www.parkrun.org.uk/results/athleteresultshistory/?athleteNumber=25006" TargetMode="External"/><Relationship Id="rId183" Type="http://schemas.openxmlformats.org/officeDocument/2006/relationships/hyperlink" Target="http://www.parkrun.org.uk/results/athleteresultshistory/?athleteNumber=377" TargetMode="External"/><Relationship Id="rId390" Type="http://schemas.openxmlformats.org/officeDocument/2006/relationships/hyperlink" Target="http://www.parkrun.org.uk/results/athleteresultshistory/?athleteNumber=13965" TargetMode="External"/><Relationship Id="rId404" Type="http://schemas.openxmlformats.org/officeDocument/2006/relationships/hyperlink" Target="http://www.parkrun.org.uk/results/athleteresultshistory/?athleteNumber=33099" TargetMode="External"/><Relationship Id="rId611" Type="http://schemas.openxmlformats.org/officeDocument/2006/relationships/hyperlink" Target="http://www.parkrun.org.uk/results/athleteresultshistory/?athleteNumber=59875" TargetMode="External"/><Relationship Id="rId1034" Type="http://schemas.openxmlformats.org/officeDocument/2006/relationships/hyperlink" Target="http://www.parkrun.org.uk/results/athleteresultshistory/?athleteNumber=56487" TargetMode="External"/><Relationship Id="rId250" Type="http://schemas.openxmlformats.org/officeDocument/2006/relationships/hyperlink" Target="http://www.parkrun.org.uk/results/athleteresultshistory/?athleteNumber=82196" TargetMode="External"/><Relationship Id="rId488" Type="http://schemas.openxmlformats.org/officeDocument/2006/relationships/hyperlink" Target="http://www.parkrun.org.uk/results/athleteresultshistory/?athleteNumber=136419" TargetMode="External"/><Relationship Id="rId695" Type="http://schemas.openxmlformats.org/officeDocument/2006/relationships/hyperlink" Target="http://www.parkrun.org.uk/results/athleteresultshistory/?athleteNumber=14724" TargetMode="External"/><Relationship Id="rId709" Type="http://schemas.openxmlformats.org/officeDocument/2006/relationships/hyperlink" Target="http://www.parkrun.org.uk/results/athleteresultshistory/?athleteNumber=32175" TargetMode="External"/><Relationship Id="rId916" Type="http://schemas.openxmlformats.org/officeDocument/2006/relationships/hyperlink" Target="http://www.parkrun.org.uk/results/athleteresultshistory/?athleteNumber=113437" TargetMode="External"/><Relationship Id="rId45" Type="http://schemas.openxmlformats.org/officeDocument/2006/relationships/hyperlink" Target="http://www.parkrun.org.uk/results/athleteresultshistory/?athleteNumber=29990" TargetMode="External"/><Relationship Id="rId110" Type="http://schemas.openxmlformats.org/officeDocument/2006/relationships/hyperlink" Target="http://www.parkrun.org.uk/results/athleteresultshistory/?athleteNumber=27724" TargetMode="External"/><Relationship Id="rId348" Type="http://schemas.openxmlformats.org/officeDocument/2006/relationships/hyperlink" Target="http://www.parkrun.org.uk/results/athleteresultshistory/?athleteNumber=121355" TargetMode="External"/><Relationship Id="rId555" Type="http://schemas.openxmlformats.org/officeDocument/2006/relationships/hyperlink" Target="http://www.parkrun.org.uk/results/athleteresultshistory/?athleteNumber=72492" TargetMode="External"/><Relationship Id="rId762" Type="http://schemas.openxmlformats.org/officeDocument/2006/relationships/hyperlink" Target="http://www.parkrun.org.uk/results/athleteresultshistory/?athleteNumber=147616" TargetMode="External"/><Relationship Id="rId194" Type="http://schemas.openxmlformats.org/officeDocument/2006/relationships/hyperlink" Target="http://www.parkrun.org.uk/results/athleteresultshistory/?athleteNumber=25828" TargetMode="External"/><Relationship Id="rId208" Type="http://schemas.openxmlformats.org/officeDocument/2006/relationships/hyperlink" Target="http://www.parkrun.org.uk/results/athleteresultshistory/?athleteNumber=56148" TargetMode="External"/><Relationship Id="rId415" Type="http://schemas.openxmlformats.org/officeDocument/2006/relationships/hyperlink" Target="http://www.parkrun.org.uk/results/athleteresultshistory/?athleteNumber=67943" TargetMode="External"/><Relationship Id="rId622" Type="http://schemas.openxmlformats.org/officeDocument/2006/relationships/hyperlink" Target="http://www.parkrun.org.uk/results/athleteresultshistory/?athleteNumber=8258" TargetMode="External"/><Relationship Id="rId1045" Type="http://schemas.openxmlformats.org/officeDocument/2006/relationships/hyperlink" Target="http://www.parkrun.org.uk/results/athleteresultshistory/?athleteNumber=91676" TargetMode="External"/><Relationship Id="rId261" Type="http://schemas.openxmlformats.org/officeDocument/2006/relationships/hyperlink" Target="http://www.parkrun.org.uk/results/athleteresultshistory/?athleteNumber=20705" TargetMode="External"/><Relationship Id="rId499" Type="http://schemas.openxmlformats.org/officeDocument/2006/relationships/hyperlink" Target="http://www.parkrun.org.uk/results/athleteresultshistory/?athleteNumber=12323" TargetMode="External"/><Relationship Id="rId927" Type="http://schemas.openxmlformats.org/officeDocument/2006/relationships/hyperlink" Target="http://www.parkrun.org.uk/results/athleteresultshistory/?athleteNumber=74409" TargetMode="External"/><Relationship Id="rId56" Type="http://schemas.openxmlformats.org/officeDocument/2006/relationships/hyperlink" Target="http://www.parkrun.org.uk/results/athleteresultshistory/?athleteNumber=41719" TargetMode="External"/><Relationship Id="rId359" Type="http://schemas.openxmlformats.org/officeDocument/2006/relationships/hyperlink" Target="http://www.parkrun.org.uk/results/athleteresultshistory/?athleteNumber=31786" TargetMode="External"/><Relationship Id="rId566" Type="http://schemas.openxmlformats.org/officeDocument/2006/relationships/hyperlink" Target="http://www.parkrun.org.uk/results/athleteresultshistory/?athleteNumber=7800" TargetMode="External"/><Relationship Id="rId773" Type="http://schemas.openxmlformats.org/officeDocument/2006/relationships/hyperlink" Target="http://www.parkrun.org.uk/results/athleteresultshistory/?athleteNumber=120310" TargetMode="External"/><Relationship Id="rId121" Type="http://schemas.openxmlformats.org/officeDocument/2006/relationships/hyperlink" Target="http://www.parkrun.org.uk/results/athleteresultshistory/?athleteNumber=81048" TargetMode="External"/><Relationship Id="rId219" Type="http://schemas.openxmlformats.org/officeDocument/2006/relationships/hyperlink" Target="http://www.parkrun.org.uk/results/athleteresultshistory/?athleteNumber=481" TargetMode="External"/><Relationship Id="rId426" Type="http://schemas.openxmlformats.org/officeDocument/2006/relationships/hyperlink" Target="http://www.parkrun.org.uk/results/athleteresultshistory/?athleteNumber=27772" TargetMode="External"/><Relationship Id="rId633" Type="http://schemas.openxmlformats.org/officeDocument/2006/relationships/hyperlink" Target="http://www.parkrun.org.uk/results/athleteresultshistory/?athleteNumber=152556" TargetMode="External"/><Relationship Id="rId980" Type="http://schemas.openxmlformats.org/officeDocument/2006/relationships/hyperlink" Target="http://www.parkrun.org.uk/results/athleteresultshistory/?athleteNumber=25306" TargetMode="External"/><Relationship Id="rId1056" Type="http://schemas.openxmlformats.org/officeDocument/2006/relationships/hyperlink" Target="http://www.parkrun.org.uk/results/athleteresultshistory/?athleteNumber=106773" TargetMode="External"/><Relationship Id="rId840" Type="http://schemas.openxmlformats.org/officeDocument/2006/relationships/hyperlink" Target="http://www.parkrun.org.uk/results/athleteresultshistory/?athleteNumber=91555" TargetMode="External"/><Relationship Id="rId938" Type="http://schemas.openxmlformats.org/officeDocument/2006/relationships/hyperlink" Target="http://www.parkrun.org.uk/results/athleteresultshistory/?athleteNumber=64134" TargetMode="External"/><Relationship Id="rId67" Type="http://schemas.openxmlformats.org/officeDocument/2006/relationships/hyperlink" Target="http://www.parkrun.org.uk/results/athleteresultshistory/?athleteNumber=123165" TargetMode="External"/><Relationship Id="rId272" Type="http://schemas.openxmlformats.org/officeDocument/2006/relationships/hyperlink" Target="http://www.parkrun.org.uk/results/athleteresultshistory/?athleteNumber=83513" TargetMode="External"/><Relationship Id="rId577" Type="http://schemas.openxmlformats.org/officeDocument/2006/relationships/hyperlink" Target="http://www.parkrun.org.uk/results/athleteresultshistory/?athleteNumber=37725" TargetMode="External"/><Relationship Id="rId700" Type="http://schemas.openxmlformats.org/officeDocument/2006/relationships/hyperlink" Target="http://www.parkrun.org.uk/results/athleteresultshistory/?athleteNumber=77359" TargetMode="External"/><Relationship Id="rId132" Type="http://schemas.openxmlformats.org/officeDocument/2006/relationships/hyperlink" Target="http://www.parkrun.org.uk/results/athleteresultshistory/?athleteNumber=133824" TargetMode="External"/><Relationship Id="rId784" Type="http://schemas.openxmlformats.org/officeDocument/2006/relationships/hyperlink" Target="http://www.parkrun.org.uk/results/athleteresultshistory/?athleteNumber=117798" TargetMode="External"/><Relationship Id="rId991" Type="http://schemas.openxmlformats.org/officeDocument/2006/relationships/hyperlink" Target="http://www.parkrun.org.uk/results/athleteresultshistory/?athleteNumber=18922" TargetMode="External"/><Relationship Id="rId1067" Type="http://schemas.openxmlformats.org/officeDocument/2006/relationships/hyperlink" Target="http://www.parkrun.org.uk/results/athleteresultshistory/?athleteNumber=146965" TargetMode="External"/><Relationship Id="rId437" Type="http://schemas.openxmlformats.org/officeDocument/2006/relationships/hyperlink" Target="http://www.parkrun.org.uk/results/athleteresultshistory/?athleteNumber=17187" TargetMode="External"/><Relationship Id="rId644" Type="http://schemas.openxmlformats.org/officeDocument/2006/relationships/hyperlink" Target="http://www.parkrun.org.uk/results/athleteresultshistory/?athleteNumber=9173" TargetMode="External"/><Relationship Id="rId851" Type="http://schemas.openxmlformats.org/officeDocument/2006/relationships/hyperlink" Target="http://www.parkrun.org.uk/results/athleteresultshistory/?athleteNumber=18911" TargetMode="External"/><Relationship Id="rId283" Type="http://schemas.openxmlformats.org/officeDocument/2006/relationships/hyperlink" Target="http://www.parkrun.org.uk/results/athleteresultshistory/?athleteNumber=12625" TargetMode="External"/><Relationship Id="rId490" Type="http://schemas.openxmlformats.org/officeDocument/2006/relationships/hyperlink" Target="http://www.parkrun.org.uk/results/athleteresultshistory/?athleteNumber=134810" TargetMode="External"/><Relationship Id="rId504" Type="http://schemas.openxmlformats.org/officeDocument/2006/relationships/hyperlink" Target="http://www.parkrun.org.uk/results/athleteresultshistory/?athleteNumber=13846" TargetMode="External"/><Relationship Id="rId711" Type="http://schemas.openxmlformats.org/officeDocument/2006/relationships/hyperlink" Target="http://www.parkrun.org.uk/results/athleteresultshistory/?athleteNumber=16584" TargetMode="External"/><Relationship Id="rId949" Type="http://schemas.openxmlformats.org/officeDocument/2006/relationships/hyperlink" Target="http://www.parkrun.org.uk/results/athleteresultshistory/?athleteNumber=5253" TargetMode="External"/><Relationship Id="rId78" Type="http://schemas.openxmlformats.org/officeDocument/2006/relationships/hyperlink" Target="http://www.parkrun.org.uk/results/athleteresultshistory/?athleteNumber=135" TargetMode="External"/><Relationship Id="rId143" Type="http://schemas.openxmlformats.org/officeDocument/2006/relationships/hyperlink" Target="http://www.parkrun.org.uk/results/athleteresultshistory/?athleteNumber=47585" TargetMode="External"/><Relationship Id="rId350" Type="http://schemas.openxmlformats.org/officeDocument/2006/relationships/hyperlink" Target="http://www.parkrun.org.uk/results/athleteresultshistory/?athleteNumber=16526" TargetMode="External"/><Relationship Id="rId588" Type="http://schemas.openxmlformats.org/officeDocument/2006/relationships/hyperlink" Target="http://www.parkrun.org.uk/results/athleteresultshistory/?athleteNumber=9229" TargetMode="External"/><Relationship Id="rId795" Type="http://schemas.openxmlformats.org/officeDocument/2006/relationships/hyperlink" Target="http://www.parkrun.org.uk/results/athleteresultshistory/?athleteNumber=93024" TargetMode="External"/><Relationship Id="rId809" Type="http://schemas.openxmlformats.org/officeDocument/2006/relationships/hyperlink" Target="http://www.parkrun.org.uk/results/athleteresultshistory/?athleteNumber=119334" TargetMode="External"/><Relationship Id="rId9" Type="http://schemas.openxmlformats.org/officeDocument/2006/relationships/hyperlink" Target="http://www.parkrun.org.uk/results/athleteresultshistory/?athleteNumber=39857" TargetMode="External"/><Relationship Id="rId210" Type="http://schemas.openxmlformats.org/officeDocument/2006/relationships/hyperlink" Target="http://www.parkrun.org.uk/results/athleteresultshistory/?athleteNumber=137754" TargetMode="External"/><Relationship Id="rId448" Type="http://schemas.openxmlformats.org/officeDocument/2006/relationships/hyperlink" Target="http://www.parkrun.org.uk/results/athleteresultshistory/?athleteNumber=22748" TargetMode="External"/><Relationship Id="rId655" Type="http://schemas.openxmlformats.org/officeDocument/2006/relationships/hyperlink" Target="http://www.parkrun.org.uk/results/athleteresultshistory/?athleteNumber=22243" TargetMode="External"/><Relationship Id="rId862" Type="http://schemas.openxmlformats.org/officeDocument/2006/relationships/hyperlink" Target="http://www.parkrun.org.uk/results/athleteresultshistory/?athleteNumber=115964" TargetMode="External"/><Relationship Id="rId1078" Type="http://schemas.openxmlformats.org/officeDocument/2006/relationships/hyperlink" Target="http://www.parkrun.org.uk/results/athleteresultshistory/?athleteNumber=59876" TargetMode="External"/><Relationship Id="rId294" Type="http://schemas.openxmlformats.org/officeDocument/2006/relationships/hyperlink" Target="http://www.parkrun.org.uk/results/athleteresultshistory/?athleteNumber=62111" TargetMode="External"/><Relationship Id="rId308" Type="http://schemas.openxmlformats.org/officeDocument/2006/relationships/hyperlink" Target="http://www.parkrun.org.uk/results/athleteresultshistory/?athleteNumber=15372" TargetMode="External"/><Relationship Id="rId515" Type="http://schemas.openxmlformats.org/officeDocument/2006/relationships/hyperlink" Target="http://www.parkrun.org.uk/results/athleteresultshistory/?athleteNumber=218171" TargetMode="External"/><Relationship Id="rId722" Type="http://schemas.openxmlformats.org/officeDocument/2006/relationships/hyperlink" Target="http://www.parkrun.org.uk/results/athleteresultshistory/?athleteNumber=17873" TargetMode="External"/><Relationship Id="rId89" Type="http://schemas.openxmlformats.org/officeDocument/2006/relationships/hyperlink" Target="http://www.parkrun.org.uk/results/athleteresultshistory/?athleteNumber=56651" TargetMode="External"/><Relationship Id="rId154" Type="http://schemas.openxmlformats.org/officeDocument/2006/relationships/hyperlink" Target="http://www.parkrun.org.uk/results/athleteresultshistory/?athleteNumber=101816" TargetMode="External"/><Relationship Id="rId361" Type="http://schemas.openxmlformats.org/officeDocument/2006/relationships/hyperlink" Target="http://www.parkrun.org.uk/results/athleteresultshistory/?athleteNumber=16947" TargetMode="External"/><Relationship Id="rId599" Type="http://schemas.openxmlformats.org/officeDocument/2006/relationships/hyperlink" Target="http://www.parkrun.org.uk/results/athleteresultshistory/?athleteNumber=75734" TargetMode="External"/><Relationship Id="rId1005" Type="http://schemas.openxmlformats.org/officeDocument/2006/relationships/hyperlink" Target="http://www.parkrun.org.uk/results/athleteresultshistory/?athleteNumber=13824" TargetMode="External"/><Relationship Id="rId459" Type="http://schemas.openxmlformats.org/officeDocument/2006/relationships/hyperlink" Target="http://www.parkrun.org.uk/results/athleteresultshistory/?athleteNumber=43692" TargetMode="External"/><Relationship Id="rId666" Type="http://schemas.openxmlformats.org/officeDocument/2006/relationships/hyperlink" Target="http://www.parkrun.org.uk/results/athleteresultshistory/?athleteNumber=15143" TargetMode="External"/><Relationship Id="rId873" Type="http://schemas.openxmlformats.org/officeDocument/2006/relationships/hyperlink" Target="http://www.parkrun.org.uk/results/athleteresultshistory/?athleteNumber=77417" TargetMode="External"/><Relationship Id="rId1089" Type="http://schemas.openxmlformats.org/officeDocument/2006/relationships/hyperlink" Target="http://www.parkrun.org.uk/results/athleteresultshistory/?athleteNumber=54594" TargetMode="External"/><Relationship Id="rId16" Type="http://schemas.openxmlformats.org/officeDocument/2006/relationships/hyperlink" Target="http://www.parkrun.org.uk/results/athleteresultshistory/?athleteNumber=10080" TargetMode="External"/><Relationship Id="rId221" Type="http://schemas.openxmlformats.org/officeDocument/2006/relationships/hyperlink" Target="http://www.parkrun.org.uk/results/athleteresultshistory/?athleteNumber=229919" TargetMode="External"/><Relationship Id="rId319" Type="http://schemas.openxmlformats.org/officeDocument/2006/relationships/hyperlink" Target="http://www.parkrun.org.uk/results/athleteresultshistory/?athleteNumber=37581" TargetMode="External"/><Relationship Id="rId526" Type="http://schemas.openxmlformats.org/officeDocument/2006/relationships/hyperlink" Target="http://www.parkrun.org.uk/results/athleteresultshistory/?athleteNumber=59485" TargetMode="External"/><Relationship Id="rId733" Type="http://schemas.openxmlformats.org/officeDocument/2006/relationships/hyperlink" Target="http://www.parkrun.org.uk/results/athleteresultshistory/?athleteNumber=17413" TargetMode="External"/><Relationship Id="rId940" Type="http://schemas.openxmlformats.org/officeDocument/2006/relationships/hyperlink" Target="http://www.parkrun.org.uk/results/athleteresultshistory/?athleteNumber=13195" TargetMode="External"/><Relationship Id="rId1016" Type="http://schemas.openxmlformats.org/officeDocument/2006/relationships/hyperlink" Target="http://www.parkrun.org.uk/results/athleteresultshistory/?athleteNumber=23695" TargetMode="External"/><Relationship Id="rId165" Type="http://schemas.openxmlformats.org/officeDocument/2006/relationships/hyperlink" Target="http://www.parkrun.org.uk/results/athleteresultshistory/?athleteNumber=2477" TargetMode="External"/><Relationship Id="rId372" Type="http://schemas.openxmlformats.org/officeDocument/2006/relationships/hyperlink" Target="http://www.parkrun.org.uk/results/athleteresultshistory/?athleteNumber=106749" TargetMode="External"/><Relationship Id="rId677" Type="http://schemas.openxmlformats.org/officeDocument/2006/relationships/hyperlink" Target="http://www.parkrun.org.uk/results/athleteresultshistory/?athleteNumber=143892" TargetMode="External"/><Relationship Id="rId800" Type="http://schemas.openxmlformats.org/officeDocument/2006/relationships/hyperlink" Target="http://www.parkrun.org.uk/results/athleteresultshistory/?athleteNumber=125705" TargetMode="External"/><Relationship Id="rId232" Type="http://schemas.openxmlformats.org/officeDocument/2006/relationships/hyperlink" Target="http://www.parkrun.org.uk/results/athleteresultshistory/?athleteNumber=60005" TargetMode="External"/><Relationship Id="rId884" Type="http://schemas.openxmlformats.org/officeDocument/2006/relationships/hyperlink" Target="http://www.parkrun.org.uk/results/athleteresultshistory/?athleteNumber=121768" TargetMode="External"/><Relationship Id="rId27" Type="http://schemas.openxmlformats.org/officeDocument/2006/relationships/hyperlink" Target="http://www.parkrun.org.uk/results/athleteresultshistory/?athleteNumber=36925" TargetMode="External"/><Relationship Id="rId537" Type="http://schemas.openxmlformats.org/officeDocument/2006/relationships/hyperlink" Target="http://www.parkrun.org.uk/results/athleteresultshistory/?athleteNumber=1063" TargetMode="External"/><Relationship Id="rId744" Type="http://schemas.openxmlformats.org/officeDocument/2006/relationships/hyperlink" Target="http://www.parkrun.org.uk/results/athleteresultshistory/?athleteNumber=136487" TargetMode="External"/><Relationship Id="rId951" Type="http://schemas.openxmlformats.org/officeDocument/2006/relationships/hyperlink" Target="http://www.parkrun.org.uk/results/athleteresultshistory/?athleteNumber=17134" TargetMode="External"/><Relationship Id="rId80" Type="http://schemas.openxmlformats.org/officeDocument/2006/relationships/hyperlink" Target="http://www.parkrun.org.uk/results/athleteresultshistory/?athleteNumber=62717" TargetMode="External"/><Relationship Id="rId176" Type="http://schemas.openxmlformats.org/officeDocument/2006/relationships/hyperlink" Target="http://www.parkrun.org.uk/results/athleteresultshistory/?athleteNumber=20744" TargetMode="External"/><Relationship Id="rId383" Type="http://schemas.openxmlformats.org/officeDocument/2006/relationships/hyperlink" Target="http://www.parkrun.org.uk/results/athleteresultshistory/?athleteNumber=96790" TargetMode="External"/><Relationship Id="rId590" Type="http://schemas.openxmlformats.org/officeDocument/2006/relationships/hyperlink" Target="http://www.parkrun.org.uk/results/athleteresultshistory/?athleteNumber=3102" TargetMode="External"/><Relationship Id="rId604" Type="http://schemas.openxmlformats.org/officeDocument/2006/relationships/hyperlink" Target="http://www.parkrun.org.uk/results/athleteresultshistory/?athleteNumber=52697" TargetMode="External"/><Relationship Id="rId811" Type="http://schemas.openxmlformats.org/officeDocument/2006/relationships/hyperlink" Target="http://www.parkrun.org.uk/results/athleteresultshistory/?athleteNumber=14233" TargetMode="External"/><Relationship Id="rId1027" Type="http://schemas.openxmlformats.org/officeDocument/2006/relationships/hyperlink" Target="http://www.parkrun.org.uk/results/athleteresultshistory/?athleteNumber=2460" TargetMode="External"/><Relationship Id="rId243" Type="http://schemas.openxmlformats.org/officeDocument/2006/relationships/hyperlink" Target="http://www.parkrun.org.uk/results/athleteresultshistory/?athleteNumber=33755" TargetMode="External"/><Relationship Id="rId450" Type="http://schemas.openxmlformats.org/officeDocument/2006/relationships/hyperlink" Target="http://www.parkrun.org.uk/results/athleteresultshistory/?athleteNumber=30626" TargetMode="External"/><Relationship Id="rId688" Type="http://schemas.openxmlformats.org/officeDocument/2006/relationships/hyperlink" Target="http://www.parkrun.org.uk/results/athleteresultshistory/?athleteNumber=45334" TargetMode="External"/><Relationship Id="rId895" Type="http://schemas.openxmlformats.org/officeDocument/2006/relationships/hyperlink" Target="http://www.parkrun.org.uk/results/athleteresultshistory/?athleteNumber=20077" TargetMode="External"/><Relationship Id="rId909" Type="http://schemas.openxmlformats.org/officeDocument/2006/relationships/hyperlink" Target="http://www.parkrun.org.uk/results/athleteresultshistory/?athleteNumber=73804" TargetMode="External"/><Relationship Id="rId1080" Type="http://schemas.openxmlformats.org/officeDocument/2006/relationships/hyperlink" Target="http://www.parkrun.org.uk/results/athleteresultshistory/?athleteNumber=32259" TargetMode="External"/><Relationship Id="rId38" Type="http://schemas.openxmlformats.org/officeDocument/2006/relationships/hyperlink" Target="http://www.parkrun.org.uk/results/athleteresultshistory/?athleteNumber=125856" TargetMode="External"/><Relationship Id="rId103" Type="http://schemas.openxmlformats.org/officeDocument/2006/relationships/hyperlink" Target="http://www.parkrun.org.uk/results/athleteresultshistory/?athleteNumber=207" TargetMode="External"/><Relationship Id="rId310" Type="http://schemas.openxmlformats.org/officeDocument/2006/relationships/hyperlink" Target="http://www.parkrun.org.uk/results/athleteresultshistory/?athleteNumber=5717" TargetMode="External"/><Relationship Id="rId548" Type="http://schemas.openxmlformats.org/officeDocument/2006/relationships/hyperlink" Target="http://www.parkrun.org.uk/results/athleteresultshistory/?athleteNumber=2647" TargetMode="External"/><Relationship Id="rId755" Type="http://schemas.openxmlformats.org/officeDocument/2006/relationships/hyperlink" Target="http://www.parkrun.org.uk/results/athleteresultshistory/?athleteNumber=54115" TargetMode="External"/><Relationship Id="rId962" Type="http://schemas.openxmlformats.org/officeDocument/2006/relationships/hyperlink" Target="http://www.parkrun.org.uk/results/athleteresultshistory/?athleteNumber=1974" TargetMode="External"/><Relationship Id="rId91" Type="http://schemas.openxmlformats.org/officeDocument/2006/relationships/hyperlink" Target="http://www.parkrun.org.uk/results/athleteresultshistory/?athleteNumber=95326" TargetMode="External"/><Relationship Id="rId187" Type="http://schemas.openxmlformats.org/officeDocument/2006/relationships/hyperlink" Target="http://www.parkrun.org.uk/results/athleteresultshistory/?athleteNumber=41573" TargetMode="External"/><Relationship Id="rId394" Type="http://schemas.openxmlformats.org/officeDocument/2006/relationships/hyperlink" Target="http://www.parkrun.org.uk/results/athleteresultshistory/?athleteNumber=40126" TargetMode="External"/><Relationship Id="rId408" Type="http://schemas.openxmlformats.org/officeDocument/2006/relationships/hyperlink" Target="http://www.parkrun.org.uk/results/athleteresultshistory/?athleteNumber=65610" TargetMode="External"/><Relationship Id="rId615" Type="http://schemas.openxmlformats.org/officeDocument/2006/relationships/hyperlink" Target="http://www.parkrun.org.uk/results/athleteresultshistory/?athleteNumber=94681" TargetMode="External"/><Relationship Id="rId822" Type="http://schemas.openxmlformats.org/officeDocument/2006/relationships/hyperlink" Target="http://www.parkrun.org.uk/results/athleteresultshistory/?athleteNumber=62117" TargetMode="External"/><Relationship Id="rId1038" Type="http://schemas.openxmlformats.org/officeDocument/2006/relationships/hyperlink" Target="http://www.parkrun.org.uk/results/athleteresultshistory/?athleteNumber=2145" TargetMode="External"/><Relationship Id="rId254" Type="http://schemas.openxmlformats.org/officeDocument/2006/relationships/hyperlink" Target="http://www.parkrun.org.uk/results/athleteresultshistory/?athleteNumber=158841" TargetMode="External"/><Relationship Id="rId699" Type="http://schemas.openxmlformats.org/officeDocument/2006/relationships/hyperlink" Target="http://www.parkrun.org.uk/results/athleteresultshistory/?athleteNumber=31647" TargetMode="External"/><Relationship Id="rId1091" Type="http://schemas.openxmlformats.org/officeDocument/2006/relationships/hyperlink" Target="http://www.parkrun.org.uk/results/athleteresultshistory/?athleteNumber=68583" TargetMode="External"/><Relationship Id="rId49" Type="http://schemas.openxmlformats.org/officeDocument/2006/relationships/hyperlink" Target="http://www.parkrun.org.uk/results/athleteresultshistory/?athleteNumber=44068" TargetMode="External"/><Relationship Id="rId114" Type="http://schemas.openxmlformats.org/officeDocument/2006/relationships/hyperlink" Target="http://www.parkrun.org.uk/results/athleteresultshistory/?athleteNumber=108284" TargetMode="External"/><Relationship Id="rId461" Type="http://schemas.openxmlformats.org/officeDocument/2006/relationships/hyperlink" Target="http://www.parkrun.org.uk/results/athleteresultshistory/?athleteNumber=25278" TargetMode="External"/><Relationship Id="rId559" Type="http://schemas.openxmlformats.org/officeDocument/2006/relationships/hyperlink" Target="http://www.parkrun.org.uk/results/athleteresultshistory/?athleteNumber=5830" TargetMode="External"/><Relationship Id="rId766" Type="http://schemas.openxmlformats.org/officeDocument/2006/relationships/hyperlink" Target="http://www.parkrun.org.uk/results/athleteresultshistory/?athleteNumber=14735" TargetMode="External"/><Relationship Id="rId198" Type="http://schemas.openxmlformats.org/officeDocument/2006/relationships/hyperlink" Target="http://www.parkrun.org.uk/results/athleteresultshistory/?athleteNumber=92692" TargetMode="External"/><Relationship Id="rId321" Type="http://schemas.openxmlformats.org/officeDocument/2006/relationships/hyperlink" Target="http://www.parkrun.org.uk/results/athleteresultshistory/?athleteNumber=28890" TargetMode="External"/><Relationship Id="rId419" Type="http://schemas.openxmlformats.org/officeDocument/2006/relationships/hyperlink" Target="http://www.parkrun.org.uk/results/athleteresultshistory/?athleteNumber=8745" TargetMode="External"/><Relationship Id="rId626" Type="http://schemas.openxmlformats.org/officeDocument/2006/relationships/hyperlink" Target="http://www.parkrun.org.uk/results/athleteresultshistory/?athleteNumber=17409" TargetMode="External"/><Relationship Id="rId973" Type="http://schemas.openxmlformats.org/officeDocument/2006/relationships/hyperlink" Target="http://www.parkrun.org.uk/results/athleteresultshistory/?athleteNumber=110992" TargetMode="External"/><Relationship Id="rId1049" Type="http://schemas.openxmlformats.org/officeDocument/2006/relationships/hyperlink" Target="http://www.parkrun.org.uk/results/athleteresultshistory/?athleteNumber=53884" TargetMode="External"/><Relationship Id="rId833" Type="http://schemas.openxmlformats.org/officeDocument/2006/relationships/hyperlink" Target="http://www.parkrun.org.uk/results/athleteresultshistory/?athleteNumber=29299" TargetMode="External"/><Relationship Id="rId265" Type="http://schemas.openxmlformats.org/officeDocument/2006/relationships/hyperlink" Target="http://www.parkrun.org.uk/results/athleteresultshistory/?athleteNumber=118363" TargetMode="External"/><Relationship Id="rId472" Type="http://schemas.openxmlformats.org/officeDocument/2006/relationships/hyperlink" Target="http://www.parkrun.org.uk/results/athleteresultshistory/?athleteNumber=953" TargetMode="External"/><Relationship Id="rId900" Type="http://schemas.openxmlformats.org/officeDocument/2006/relationships/hyperlink" Target="http://www.parkrun.org.uk/results/athleteresultshistory/?athleteNumber=3845" TargetMode="External"/><Relationship Id="rId125" Type="http://schemas.openxmlformats.org/officeDocument/2006/relationships/hyperlink" Target="http://www.parkrun.org.uk/results/athleteresultshistory/?athleteNumber=181446" TargetMode="External"/><Relationship Id="rId332" Type="http://schemas.openxmlformats.org/officeDocument/2006/relationships/hyperlink" Target="http://www.parkrun.org.uk/results/athleteresultshistory/?athleteNumber=18237" TargetMode="External"/><Relationship Id="rId777" Type="http://schemas.openxmlformats.org/officeDocument/2006/relationships/hyperlink" Target="http://www.parkrun.org.uk/results/athleteresultshistory/?athleteNumber=61854" TargetMode="External"/><Relationship Id="rId984" Type="http://schemas.openxmlformats.org/officeDocument/2006/relationships/hyperlink" Target="http://www.parkrun.org.uk/results/athleteresultshistory/?athleteNumber=42217" TargetMode="External"/><Relationship Id="rId637" Type="http://schemas.openxmlformats.org/officeDocument/2006/relationships/hyperlink" Target="http://www.parkrun.org.uk/results/athleteresultshistory/?athleteNumber=156798" TargetMode="External"/><Relationship Id="rId844" Type="http://schemas.openxmlformats.org/officeDocument/2006/relationships/hyperlink" Target="http://www.parkrun.org.uk/results/athleteresultshistory/?athleteNumber=46590" TargetMode="External"/><Relationship Id="rId276" Type="http://schemas.openxmlformats.org/officeDocument/2006/relationships/hyperlink" Target="http://www.parkrun.org.uk/results/athleteresultshistory/?athleteNumber=164007" TargetMode="External"/><Relationship Id="rId483" Type="http://schemas.openxmlformats.org/officeDocument/2006/relationships/hyperlink" Target="http://www.parkrun.org.uk/results/athleteresultshistory/?athleteNumber=74484" TargetMode="External"/><Relationship Id="rId690" Type="http://schemas.openxmlformats.org/officeDocument/2006/relationships/hyperlink" Target="http://www.parkrun.org.uk/results/athleteresultshistory/?athleteNumber=104530" TargetMode="External"/><Relationship Id="rId704" Type="http://schemas.openxmlformats.org/officeDocument/2006/relationships/hyperlink" Target="http://www.parkrun.org.uk/results/athleteresultshistory/?athleteNumber=44018" TargetMode="External"/><Relationship Id="rId911" Type="http://schemas.openxmlformats.org/officeDocument/2006/relationships/hyperlink" Target="http://www.parkrun.org.uk/results/athleteresultshistory/?athleteNumber=11477" TargetMode="External"/><Relationship Id="rId40" Type="http://schemas.openxmlformats.org/officeDocument/2006/relationships/hyperlink" Target="http://www.parkrun.org.uk/results/athleteresultshistory/?athleteNumber=21436" TargetMode="External"/><Relationship Id="rId136" Type="http://schemas.openxmlformats.org/officeDocument/2006/relationships/hyperlink" Target="http://www.parkrun.org.uk/results/athleteresultshistory/?athleteNumber=67309" TargetMode="External"/><Relationship Id="rId343" Type="http://schemas.openxmlformats.org/officeDocument/2006/relationships/hyperlink" Target="http://www.parkrun.org.uk/results/athleteresultshistory/?athleteNumber=15591" TargetMode="External"/><Relationship Id="rId550" Type="http://schemas.openxmlformats.org/officeDocument/2006/relationships/hyperlink" Target="http://www.parkrun.org.uk/results/athleteresultshistory/?athleteNumber=63990" TargetMode="External"/><Relationship Id="rId788" Type="http://schemas.openxmlformats.org/officeDocument/2006/relationships/hyperlink" Target="http://www.parkrun.org.uk/results/athleteresultshistory/?athleteNumber=64563" TargetMode="External"/><Relationship Id="rId995" Type="http://schemas.openxmlformats.org/officeDocument/2006/relationships/hyperlink" Target="http://www.parkrun.org.uk/results/athleteresultshistory/?athleteNumber=62533" TargetMode="External"/><Relationship Id="rId203" Type="http://schemas.openxmlformats.org/officeDocument/2006/relationships/hyperlink" Target="http://www.parkrun.org.uk/results/athleteresultshistory/?athleteNumber=3391" TargetMode="External"/><Relationship Id="rId648" Type="http://schemas.openxmlformats.org/officeDocument/2006/relationships/hyperlink" Target="http://www.parkrun.org.uk/results/athleteresultshistory/?athleteNumber=39292" TargetMode="External"/><Relationship Id="rId855" Type="http://schemas.openxmlformats.org/officeDocument/2006/relationships/hyperlink" Target="http://www.parkrun.org.uk/results/athleteresultshistory/?athleteNumber=1737" TargetMode="External"/><Relationship Id="rId1040" Type="http://schemas.openxmlformats.org/officeDocument/2006/relationships/hyperlink" Target="http://www.parkrun.org.uk/results/athleteresultshistory/?athleteNumber=126166" TargetMode="External"/><Relationship Id="rId287" Type="http://schemas.openxmlformats.org/officeDocument/2006/relationships/hyperlink" Target="http://www.parkrun.org.uk/results/athleteresultshistory/?athleteNumber=562" TargetMode="External"/><Relationship Id="rId410" Type="http://schemas.openxmlformats.org/officeDocument/2006/relationships/hyperlink" Target="http://www.parkrun.org.uk/results/athleteresultshistory/?athleteNumber=6872" TargetMode="External"/><Relationship Id="rId494" Type="http://schemas.openxmlformats.org/officeDocument/2006/relationships/hyperlink" Target="http://www.parkrun.org.uk/results/athleteresultshistory/?athleteNumber=78960" TargetMode="External"/><Relationship Id="rId508" Type="http://schemas.openxmlformats.org/officeDocument/2006/relationships/hyperlink" Target="http://www.parkrun.org.uk/results/athleteresultshistory/?athleteNumber=142567" TargetMode="External"/><Relationship Id="rId715" Type="http://schemas.openxmlformats.org/officeDocument/2006/relationships/hyperlink" Target="http://www.parkrun.org.uk/results/athleteresultshistory/?athleteNumber=108426" TargetMode="External"/><Relationship Id="rId922" Type="http://schemas.openxmlformats.org/officeDocument/2006/relationships/hyperlink" Target="http://www.parkrun.org.uk/results/athleteresultshistory/?athleteNumber=101223" TargetMode="External"/><Relationship Id="rId147" Type="http://schemas.openxmlformats.org/officeDocument/2006/relationships/hyperlink" Target="http://www.parkrun.org.uk/results/athleteresultshistory/?athleteNumber=80911" TargetMode="External"/><Relationship Id="rId354" Type="http://schemas.openxmlformats.org/officeDocument/2006/relationships/hyperlink" Target="http://www.parkrun.org.uk/results/athleteresultshistory/?athleteNumber=13216" TargetMode="External"/><Relationship Id="rId799" Type="http://schemas.openxmlformats.org/officeDocument/2006/relationships/hyperlink" Target="http://www.parkrun.org.uk/results/athleteresultshistory/?athleteNumber=114247" TargetMode="External"/><Relationship Id="rId51" Type="http://schemas.openxmlformats.org/officeDocument/2006/relationships/hyperlink" Target="http://www.parkrun.org.uk/results/athleteresultshistory/?athleteNumber=16583" TargetMode="External"/><Relationship Id="rId561" Type="http://schemas.openxmlformats.org/officeDocument/2006/relationships/hyperlink" Target="http://www.parkrun.org.uk/results/athleteresultshistory/?athleteNumber=6847" TargetMode="External"/><Relationship Id="rId659" Type="http://schemas.openxmlformats.org/officeDocument/2006/relationships/hyperlink" Target="http://www.parkrun.org.uk/results/athleteresultshistory/?athleteNumber=76113" TargetMode="External"/><Relationship Id="rId866" Type="http://schemas.openxmlformats.org/officeDocument/2006/relationships/hyperlink" Target="http://www.parkrun.org.uk/results/athleteresultshistory/?athleteNumber=4417" TargetMode="External"/><Relationship Id="rId214" Type="http://schemas.openxmlformats.org/officeDocument/2006/relationships/hyperlink" Target="http://www.parkrun.org.uk/results/athleteresultshistory/?athleteNumber=23870" TargetMode="External"/><Relationship Id="rId298" Type="http://schemas.openxmlformats.org/officeDocument/2006/relationships/hyperlink" Target="http://www.parkrun.org.uk/results/athleteresultshistory/?athleteNumber=44702" TargetMode="External"/><Relationship Id="rId421" Type="http://schemas.openxmlformats.org/officeDocument/2006/relationships/hyperlink" Target="http://www.parkrun.org.uk/results/athleteresultshistory/?athleteNumber=46015" TargetMode="External"/><Relationship Id="rId519" Type="http://schemas.openxmlformats.org/officeDocument/2006/relationships/hyperlink" Target="http://www.parkrun.org.uk/results/athleteresultshistory/?athleteNumber=13733" TargetMode="External"/><Relationship Id="rId1051" Type="http://schemas.openxmlformats.org/officeDocument/2006/relationships/hyperlink" Target="http://www.parkrun.org.uk/results/athleteresultshistory/?athleteNumber=85453" TargetMode="External"/><Relationship Id="rId158" Type="http://schemas.openxmlformats.org/officeDocument/2006/relationships/hyperlink" Target="http://www.parkrun.org.uk/results/athleteresultshistory/?athleteNumber=17265" TargetMode="External"/><Relationship Id="rId726" Type="http://schemas.openxmlformats.org/officeDocument/2006/relationships/hyperlink" Target="http://www.parkrun.org.uk/results/athleteresultshistory/?athleteNumber=152531" TargetMode="External"/><Relationship Id="rId933" Type="http://schemas.openxmlformats.org/officeDocument/2006/relationships/hyperlink" Target="http://www.parkrun.org.uk/results/athleteresultshistory/?athleteNumber=74670" TargetMode="External"/><Relationship Id="rId1009" Type="http://schemas.openxmlformats.org/officeDocument/2006/relationships/hyperlink" Target="http://www.parkrun.org.uk/results/athleteresultshistory/?athleteNumber=22369" TargetMode="External"/><Relationship Id="rId62" Type="http://schemas.openxmlformats.org/officeDocument/2006/relationships/hyperlink" Target="http://www.parkrun.org.uk/results/athleteresultshistory/?athleteNumber=31873" TargetMode="External"/><Relationship Id="rId365" Type="http://schemas.openxmlformats.org/officeDocument/2006/relationships/hyperlink" Target="http://www.parkrun.org.uk/results/athleteresultshistory/?athleteNumber=95224" TargetMode="External"/><Relationship Id="rId572" Type="http://schemas.openxmlformats.org/officeDocument/2006/relationships/hyperlink" Target="http://www.parkrun.org.uk/results/athleteresultshistory/?athleteNumber=34180" TargetMode="External"/><Relationship Id="rId225" Type="http://schemas.openxmlformats.org/officeDocument/2006/relationships/hyperlink" Target="http://www.parkrun.org.uk/results/athleteresultshistory/?athleteNumber=43181" TargetMode="External"/><Relationship Id="rId432" Type="http://schemas.openxmlformats.org/officeDocument/2006/relationships/hyperlink" Target="http://www.parkrun.org.uk/results/athleteresultshistory/?athleteNumber=89651" TargetMode="External"/><Relationship Id="rId877" Type="http://schemas.openxmlformats.org/officeDocument/2006/relationships/hyperlink" Target="http://www.parkrun.org.uk/results/athleteresultshistory/?athleteNumber=1786" TargetMode="External"/><Relationship Id="rId1062" Type="http://schemas.openxmlformats.org/officeDocument/2006/relationships/hyperlink" Target="http://www.parkrun.org.uk/results/athleteresultshistory/?athleteNumber=9934" TargetMode="External"/><Relationship Id="rId737" Type="http://schemas.openxmlformats.org/officeDocument/2006/relationships/hyperlink" Target="http://www.parkrun.org.uk/results/athleteresultshistory/?athleteNumber=14593" TargetMode="External"/><Relationship Id="rId944" Type="http://schemas.openxmlformats.org/officeDocument/2006/relationships/hyperlink" Target="http://www.parkrun.org.uk/results/athleteresultshistory/?athleteNumber=76721" TargetMode="External"/><Relationship Id="rId73" Type="http://schemas.openxmlformats.org/officeDocument/2006/relationships/hyperlink" Target="http://www.parkrun.org.uk/results/athleteresultshistory/?athleteNumber=104174" TargetMode="External"/><Relationship Id="rId169" Type="http://schemas.openxmlformats.org/officeDocument/2006/relationships/hyperlink" Target="http://www.parkrun.org.uk/results/athleteresultshistory/?athleteNumber=67401" TargetMode="External"/><Relationship Id="rId376" Type="http://schemas.openxmlformats.org/officeDocument/2006/relationships/hyperlink" Target="http://www.parkrun.org.uk/results/athleteresultshistory/?athleteNumber=751" TargetMode="External"/><Relationship Id="rId583" Type="http://schemas.openxmlformats.org/officeDocument/2006/relationships/hyperlink" Target="http://www.parkrun.org.uk/results/athleteresultshistory/?athleteNumber=46364" TargetMode="External"/><Relationship Id="rId790" Type="http://schemas.openxmlformats.org/officeDocument/2006/relationships/hyperlink" Target="http://www.parkrun.org.uk/results/athleteresultshistory/?athleteNumber=37771" TargetMode="External"/><Relationship Id="rId804" Type="http://schemas.openxmlformats.org/officeDocument/2006/relationships/hyperlink" Target="http://www.parkrun.org.uk/results/athleteresultshistory/?athleteNumber=46350" TargetMode="External"/><Relationship Id="rId4" Type="http://schemas.openxmlformats.org/officeDocument/2006/relationships/hyperlink" Target="http://www.parkrun.org.uk/results/athleteresultshistory/?athleteNumber=75711" TargetMode="External"/><Relationship Id="rId236" Type="http://schemas.openxmlformats.org/officeDocument/2006/relationships/hyperlink" Target="http://www.parkrun.org.uk/results/athleteresultshistory/?athleteNumber=43350" TargetMode="External"/><Relationship Id="rId443" Type="http://schemas.openxmlformats.org/officeDocument/2006/relationships/hyperlink" Target="http://www.parkrun.org.uk/results/athleteresultshistory/?athleteNumber=8572" TargetMode="External"/><Relationship Id="rId650" Type="http://schemas.openxmlformats.org/officeDocument/2006/relationships/hyperlink" Target="http://www.parkrun.org.uk/results/athleteresultshistory/?athleteNumber=56118" TargetMode="External"/><Relationship Id="rId888" Type="http://schemas.openxmlformats.org/officeDocument/2006/relationships/hyperlink" Target="http://www.parkrun.org.uk/results/athleteresultshistory/?athleteNumber=2979" TargetMode="External"/><Relationship Id="rId1073" Type="http://schemas.openxmlformats.org/officeDocument/2006/relationships/hyperlink" Target="http://www.parkrun.org.uk/results/athleteresultshistory/?athleteNumber=92651" TargetMode="External"/><Relationship Id="rId303" Type="http://schemas.openxmlformats.org/officeDocument/2006/relationships/hyperlink" Target="http://www.parkrun.org.uk/results/athleteresultshistory/?athleteNumber=34342" TargetMode="External"/><Relationship Id="rId748" Type="http://schemas.openxmlformats.org/officeDocument/2006/relationships/hyperlink" Target="http://www.parkrun.org.uk/results/athleteresultshistory/?athleteNumber=1526" TargetMode="External"/><Relationship Id="rId955" Type="http://schemas.openxmlformats.org/officeDocument/2006/relationships/hyperlink" Target="http://www.parkrun.org.uk/results/athleteresultshistory/?athleteNumber=44712" TargetMode="External"/><Relationship Id="rId84" Type="http://schemas.openxmlformats.org/officeDocument/2006/relationships/hyperlink" Target="http://www.parkrun.org.uk/results/athleteresultshistory/?athleteNumber=99095" TargetMode="External"/><Relationship Id="rId387" Type="http://schemas.openxmlformats.org/officeDocument/2006/relationships/hyperlink" Target="http://www.parkrun.org.uk/results/athleteresultshistory/?athleteNumber=51545" TargetMode="External"/><Relationship Id="rId510" Type="http://schemas.openxmlformats.org/officeDocument/2006/relationships/hyperlink" Target="http://www.parkrun.org.uk/results/athleteresultshistory/?athleteNumber=2606" TargetMode="External"/><Relationship Id="rId594" Type="http://schemas.openxmlformats.org/officeDocument/2006/relationships/hyperlink" Target="http://www.parkrun.org.uk/results/athleteresultshistory/?athleteNumber=34477" TargetMode="External"/><Relationship Id="rId608" Type="http://schemas.openxmlformats.org/officeDocument/2006/relationships/hyperlink" Target="http://www.parkrun.org.uk/results/athleteresultshistory/?athleteNumber=45627" TargetMode="External"/><Relationship Id="rId815" Type="http://schemas.openxmlformats.org/officeDocument/2006/relationships/hyperlink" Target="http://www.parkrun.org.uk/results/athleteresultshistory/?athleteNumber=83327" TargetMode="External"/><Relationship Id="rId247" Type="http://schemas.openxmlformats.org/officeDocument/2006/relationships/hyperlink" Target="http://www.parkrun.org.uk/results/athleteresultshistory/?athleteNumber=16726" TargetMode="External"/><Relationship Id="rId899" Type="http://schemas.openxmlformats.org/officeDocument/2006/relationships/hyperlink" Target="http://www.parkrun.org.uk/results/athleteresultshistory/?athleteNumber=1827" TargetMode="External"/><Relationship Id="rId1000" Type="http://schemas.openxmlformats.org/officeDocument/2006/relationships/hyperlink" Target="http://www.parkrun.org.uk/results/athleteresultshistory/?athleteNumber=17679" TargetMode="External"/><Relationship Id="rId1084" Type="http://schemas.openxmlformats.org/officeDocument/2006/relationships/hyperlink" Target="http://www.parkrun.org.uk/results/athleteresultshistory/?athleteNumber=36143" TargetMode="External"/><Relationship Id="rId107" Type="http://schemas.openxmlformats.org/officeDocument/2006/relationships/hyperlink" Target="http://www.parkrun.org.uk/results/athleteresultshistory/?athleteNumber=22039" TargetMode="External"/><Relationship Id="rId454" Type="http://schemas.openxmlformats.org/officeDocument/2006/relationships/hyperlink" Target="http://www.parkrun.org.uk/results/athleteresultshistory/?athleteNumber=35226" TargetMode="External"/><Relationship Id="rId661" Type="http://schemas.openxmlformats.org/officeDocument/2006/relationships/hyperlink" Target="http://www.parkrun.org.uk/results/athleteresultshistory/?athleteNumber=51534" TargetMode="External"/><Relationship Id="rId759" Type="http://schemas.openxmlformats.org/officeDocument/2006/relationships/hyperlink" Target="http://www.parkrun.org.uk/results/athleteresultshistory/?athleteNumber=86672" TargetMode="External"/><Relationship Id="rId966" Type="http://schemas.openxmlformats.org/officeDocument/2006/relationships/hyperlink" Target="http://www.parkrun.org.uk/results/athleteresultshistory/?athleteNumber=76882" TargetMode="External"/><Relationship Id="rId11" Type="http://schemas.openxmlformats.org/officeDocument/2006/relationships/hyperlink" Target="http://www.parkrun.org.uk/results/athleteresultshistory/?athleteNumber=5556" TargetMode="External"/><Relationship Id="rId314" Type="http://schemas.openxmlformats.org/officeDocument/2006/relationships/hyperlink" Target="http://www.parkrun.org.uk/results/athleteresultshistory/?athleteNumber=37504" TargetMode="External"/><Relationship Id="rId398" Type="http://schemas.openxmlformats.org/officeDocument/2006/relationships/hyperlink" Target="http://www.parkrun.org.uk/results/athleteresultshistory/?athleteNumber=31340" TargetMode="External"/><Relationship Id="rId521" Type="http://schemas.openxmlformats.org/officeDocument/2006/relationships/hyperlink" Target="http://www.parkrun.org.uk/results/athleteresultshistory/?athleteNumber=10378" TargetMode="External"/><Relationship Id="rId619" Type="http://schemas.openxmlformats.org/officeDocument/2006/relationships/hyperlink" Target="http://www.parkrun.org.uk/results/athleteresultshistory/?athleteNumber=30614" TargetMode="External"/><Relationship Id="rId95" Type="http://schemas.openxmlformats.org/officeDocument/2006/relationships/hyperlink" Target="http://www.parkrun.org.uk/results/athleteresultshistory/?athleteNumber=72665" TargetMode="External"/><Relationship Id="rId160" Type="http://schemas.openxmlformats.org/officeDocument/2006/relationships/hyperlink" Target="http://www.parkrun.org.uk/results/athleteresultshistory/?athleteNumber=80499" TargetMode="External"/><Relationship Id="rId826" Type="http://schemas.openxmlformats.org/officeDocument/2006/relationships/hyperlink" Target="http://www.parkrun.org.uk/results/athleteresultshistory/?athleteNumber=70471" TargetMode="External"/><Relationship Id="rId1011" Type="http://schemas.openxmlformats.org/officeDocument/2006/relationships/hyperlink" Target="http://www.parkrun.org.uk/results/athleteresultshistory/?athleteNumber=16588" TargetMode="External"/><Relationship Id="rId258" Type="http://schemas.openxmlformats.org/officeDocument/2006/relationships/hyperlink" Target="http://www.parkrun.org.uk/results/athleteresultshistory/?athleteNumber=64277" TargetMode="External"/><Relationship Id="rId465" Type="http://schemas.openxmlformats.org/officeDocument/2006/relationships/hyperlink" Target="http://www.parkrun.org.uk/results/athleteresultshistory/?athleteNumber=34006" TargetMode="External"/><Relationship Id="rId672" Type="http://schemas.openxmlformats.org/officeDocument/2006/relationships/hyperlink" Target="http://www.parkrun.org.uk/results/athleteresultshistory/?athleteNumber=39239" TargetMode="External"/><Relationship Id="rId1095" Type="http://schemas.openxmlformats.org/officeDocument/2006/relationships/hyperlink" Target="http://www.parkrun.org.uk/results/athleteresultshistory/?athleteNumber=76435" TargetMode="External"/><Relationship Id="rId22" Type="http://schemas.openxmlformats.org/officeDocument/2006/relationships/hyperlink" Target="http://www.parkrun.org.uk/results/athleteresultshistory/?athleteNumber=22628" TargetMode="External"/><Relationship Id="rId118" Type="http://schemas.openxmlformats.org/officeDocument/2006/relationships/hyperlink" Target="http://www.parkrun.org.uk/results/athleteresultshistory/?athleteNumber=41852" TargetMode="External"/><Relationship Id="rId325" Type="http://schemas.openxmlformats.org/officeDocument/2006/relationships/hyperlink" Target="http://www.parkrun.org.uk/results/athleteresultshistory/?athleteNumber=656" TargetMode="External"/><Relationship Id="rId532" Type="http://schemas.openxmlformats.org/officeDocument/2006/relationships/hyperlink" Target="http://www.parkrun.org.uk/results/athleteresultshistory/?athleteNumber=25124" TargetMode="External"/><Relationship Id="rId977" Type="http://schemas.openxmlformats.org/officeDocument/2006/relationships/hyperlink" Target="http://www.parkrun.org.uk/results/athleteresultshistory/?athleteNumber=13963" TargetMode="External"/><Relationship Id="rId171" Type="http://schemas.openxmlformats.org/officeDocument/2006/relationships/hyperlink" Target="http://www.parkrun.org.uk/results/athleteresultshistory/?athleteNumber=62819" TargetMode="External"/><Relationship Id="rId837" Type="http://schemas.openxmlformats.org/officeDocument/2006/relationships/hyperlink" Target="http://www.parkrun.org.uk/results/athleteresultshistory/?athleteNumber=22565" TargetMode="External"/><Relationship Id="rId1022" Type="http://schemas.openxmlformats.org/officeDocument/2006/relationships/hyperlink" Target="http://www.parkrun.org.uk/results/athleteresultshistory/?athleteNumber=139625" TargetMode="External"/><Relationship Id="rId269" Type="http://schemas.openxmlformats.org/officeDocument/2006/relationships/hyperlink" Target="http://www.parkrun.org.uk/results/athleteresultshistory/?athleteNumber=542" TargetMode="External"/><Relationship Id="rId476" Type="http://schemas.openxmlformats.org/officeDocument/2006/relationships/hyperlink" Target="http://www.parkrun.org.uk/results/athleteresultshistory/?athleteNumber=213518" TargetMode="External"/><Relationship Id="rId683" Type="http://schemas.openxmlformats.org/officeDocument/2006/relationships/hyperlink" Target="http://www.parkrun.org.uk/results/athleteresultshistory/?athleteNumber=53778" TargetMode="External"/><Relationship Id="rId890" Type="http://schemas.openxmlformats.org/officeDocument/2006/relationships/hyperlink" Target="http://www.parkrun.org.uk/results/athleteresultshistory/?athleteNumber=29361" TargetMode="External"/><Relationship Id="rId904" Type="http://schemas.openxmlformats.org/officeDocument/2006/relationships/hyperlink" Target="http://www.parkrun.org.uk/results/athleteresultshistory/?athleteNumber=15408" TargetMode="External"/><Relationship Id="rId33" Type="http://schemas.openxmlformats.org/officeDocument/2006/relationships/hyperlink" Target="http://www.parkrun.org.uk/results/athleteresultshistory/?athleteNumber=5334" TargetMode="External"/><Relationship Id="rId129" Type="http://schemas.openxmlformats.org/officeDocument/2006/relationships/hyperlink" Target="http://www.parkrun.org.uk/results/athleteresultshistory/?athleteNumber=44298" TargetMode="External"/><Relationship Id="rId336" Type="http://schemas.openxmlformats.org/officeDocument/2006/relationships/hyperlink" Target="http://www.parkrun.org.uk/results/athleteresultshistory/?athleteNumber=63768" TargetMode="External"/><Relationship Id="rId543" Type="http://schemas.openxmlformats.org/officeDocument/2006/relationships/hyperlink" Target="http://www.parkrun.org.uk/results/athleteresultshistory/?athleteNumber=178849" TargetMode="External"/><Relationship Id="rId988" Type="http://schemas.openxmlformats.org/officeDocument/2006/relationships/hyperlink" Target="http://www.parkrun.org.uk/results/athleteresultshistory/?athleteNumber=69484" TargetMode="External"/><Relationship Id="rId182" Type="http://schemas.openxmlformats.org/officeDocument/2006/relationships/hyperlink" Target="http://www.parkrun.org.uk/results/athleteresultshistory/?athleteNumber=45634" TargetMode="External"/><Relationship Id="rId403" Type="http://schemas.openxmlformats.org/officeDocument/2006/relationships/hyperlink" Target="http://www.parkrun.org.uk/results/athleteresultshistory/?athleteNumber=76664" TargetMode="External"/><Relationship Id="rId750" Type="http://schemas.openxmlformats.org/officeDocument/2006/relationships/hyperlink" Target="http://www.parkrun.org.uk/results/athleteresultshistory/?athleteNumber=61044" TargetMode="External"/><Relationship Id="rId848" Type="http://schemas.openxmlformats.org/officeDocument/2006/relationships/hyperlink" Target="http://www.parkrun.org.uk/results/athleteresultshistory/?athleteNumber=17333" TargetMode="External"/><Relationship Id="rId1033" Type="http://schemas.openxmlformats.org/officeDocument/2006/relationships/hyperlink" Target="http://www.parkrun.org.uk/results/athleteresultshistory/?athleteNumber=73480" TargetMode="External"/><Relationship Id="rId487" Type="http://schemas.openxmlformats.org/officeDocument/2006/relationships/hyperlink" Target="http://www.parkrun.org.uk/results/athleteresultshistory/?athleteNumber=987" TargetMode="External"/><Relationship Id="rId610" Type="http://schemas.openxmlformats.org/officeDocument/2006/relationships/hyperlink" Target="http://www.parkrun.org.uk/results/athleteresultshistory/?athleteNumber=54087" TargetMode="External"/><Relationship Id="rId694" Type="http://schemas.openxmlformats.org/officeDocument/2006/relationships/hyperlink" Target="http://www.parkrun.org.uk/results/athleteresultshistory/?athleteNumber=23985" TargetMode="External"/><Relationship Id="rId708" Type="http://schemas.openxmlformats.org/officeDocument/2006/relationships/hyperlink" Target="http://www.parkrun.org.uk/results/athleteresultshistory/?athleteNumber=22749" TargetMode="External"/><Relationship Id="rId915" Type="http://schemas.openxmlformats.org/officeDocument/2006/relationships/hyperlink" Target="http://www.parkrun.org.uk/results/athleteresultshistory/?athleteNumber=70172" TargetMode="External"/><Relationship Id="rId347" Type="http://schemas.openxmlformats.org/officeDocument/2006/relationships/hyperlink" Target="http://www.parkrun.org.uk/results/athleteresultshistory/?athleteNumber=45227" TargetMode="External"/><Relationship Id="rId999" Type="http://schemas.openxmlformats.org/officeDocument/2006/relationships/hyperlink" Target="http://www.parkrun.org.uk/results/athleteresultshistory/?athleteNumber=3948" TargetMode="External"/><Relationship Id="rId44" Type="http://schemas.openxmlformats.org/officeDocument/2006/relationships/hyperlink" Target="http://www.parkrun.org.uk/results/athleteresultshistory/?athleteNumber=72703" TargetMode="External"/><Relationship Id="rId554" Type="http://schemas.openxmlformats.org/officeDocument/2006/relationships/hyperlink" Target="http://www.parkrun.org.uk/results/athleteresultshistory/?athleteNumber=3892" TargetMode="External"/><Relationship Id="rId761" Type="http://schemas.openxmlformats.org/officeDocument/2006/relationships/hyperlink" Target="http://www.parkrun.org.uk/results/athleteresultshistory/?athleteNumber=31830" TargetMode="External"/><Relationship Id="rId859" Type="http://schemas.openxmlformats.org/officeDocument/2006/relationships/hyperlink" Target="http://www.parkrun.org.uk/results/athleteresultshistory/?athleteNumber=52949" TargetMode="External"/><Relationship Id="rId193" Type="http://schemas.openxmlformats.org/officeDocument/2006/relationships/hyperlink" Target="http://www.parkrun.org.uk/results/athleteresultshistory/?athleteNumber=88474" TargetMode="External"/><Relationship Id="rId207" Type="http://schemas.openxmlformats.org/officeDocument/2006/relationships/hyperlink" Target="http://www.parkrun.org.uk/results/athleteresultshistory/?athleteNumber=128450" TargetMode="External"/><Relationship Id="rId414" Type="http://schemas.openxmlformats.org/officeDocument/2006/relationships/hyperlink" Target="http://www.parkrun.org.uk/results/athleteresultshistory/?athleteNumber=123415" TargetMode="External"/><Relationship Id="rId498" Type="http://schemas.openxmlformats.org/officeDocument/2006/relationships/hyperlink" Target="http://www.parkrun.org.uk/results/athleteresultshistory/?athleteNumber=1049" TargetMode="External"/><Relationship Id="rId621" Type="http://schemas.openxmlformats.org/officeDocument/2006/relationships/hyperlink" Target="http://www.parkrun.org.uk/results/athleteresultshistory/?athleteNumber=1269" TargetMode="External"/><Relationship Id="rId1044" Type="http://schemas.openxmlformats.org/officeDocument/2006/relationships/hyperlink" Target="http://www.parkrun.org.uk/results/athleteresultshistory/?athleteNumber=57525" TargetMode="External"/><Relationship Id="rId260" Type="http://schemas.openxmlformats.org/officeDocument/2006/relationships/hyperlink" Target="http://www.parkrun.org.uk/results/athleteresultshistory/?athleteNumber=87508" TargetMode="External"/><Relationship Id="rId719" Type="http://schemas.openxmlformats.org/officeDocument/2006/relationships/hyperlink" Target="http://www.parkrun.org.uk/results/athleteresultshistory/?athleteNumber=74659" TargetMode="External"/><Relationship Id="rId926" Type="http://schemas.openxmlformats.org/officeDocument/2006/relationships/hyperlink" Target="http://www.parkrun.org.uk/results/athleteresultshistory/?athleteNumber=13199" TargetMode="External"/><Relationship Id="rId55" Type="http://schemas.openxmlformats.org/officeDocument/2006/relationships/hyperlink" Target="http://www.parkrun.org.uk/results/athleteresultshistory/?athleteNumber=201144" TargetMode="External"/><Relationship Id="rId120" Type="http://schemas.openxmlformats.org/officeDocument/2006/relationships/hyperlink" Target="http://www.parkrun.org.uk/results/athleteresultshistory/?athleteNumber=57641" TargetMode="External"/><Relationship Id="rId358" Type="http://schemas.openxmlformats.org/officeDocument/2006/relationships/hyperlink" Target="http://www.parkrun.org.uk/results/athleteresultshistory/?athleteNumber=55556" TargetMode="External"/><Relationship Id="rId565" Type="http://schemas.openxmlformats.org/officeDocument/2006/relationships/hyperlink" Target="http://www.parkrun.org.uk/results/athleteresultshistory/?athleteNumber=29122" TargetMode="External"/><Relationship Id="rId772" Type="http://schemas.openxmlformats.org/officeDocument/2006/relationships/hyperlink" Target="http://www.parkrun.org.uk/results/athleteresultshistory/?athleteNumber=16165" TargetMode="External"/><Relationship Id="rId218" Type="http://schemas.openxmlformats.org/officeDocument/2006/relationships/hyperlink" Target="http://www.parkrun.org.uk/results/athleteresultshistory/?athleteNumber=2584" TargetMode="External"/><Relationship Id="rId425" Type="http://schemas.openxmlformats.org/officeDocument/2006/relationships/hyperlink" Target="http://www.parkrun.org.uk/results/athleteresultshistory/?athleteNumber=128794" TargetMode="External"/><Relationship Id="rId632" Type="http://schemas.openxmlformats.org/officeDocument/2006/relationships/hyperlink" Target="http://www.parkrun.org.uk/results/athleteresultshistory/?athleteNumber=41450" TargetMode="External"/><Relationship Id="rId1055" Type="http://schemas.openxmlformats.org/officeDocument/2006/relationships/hyperlink" Target="http://www.parkrun.org.uk/results/athleteresultshistory/?athleteNumber=57662" TargetMode="External"/><Relationship Id="rId271" Type="http://schemas.openxmlformats.org/officeDocument/2006/relationships/hyperlink" Target="http://www.parkrun.org.uk/results/athleteresultshistory/?athleteNumber=79143" TargetMode="External"/><Relationship Id="rId937" Type="http://schemas.openxmlformats.org/officeDocument/2006/relationships/hyperlink" Target="http://www.parkrun.org.uk/results/athleteresultshistory/?athleteNumber=40715" TargetMode="External"/><Relationship Id="rId66" Type="http://schemas.openxmlformats.org/officeDocument/2006/relationships/hyperlink" Target="http://www.parkrun.org.uk/results/athleteresultshistory/?athleteNumber=5173" TargetMode="External"/><Relationship Id="rId131" Type="http://schemas.openxmlformats.org/officeDocument/2006/relationships/hyperlink" Target="http://www.parkrun.org.uk/results/athleteresultshistory/?athleteNumber=6903" TargetMode="External"/><Relationship Id="rId369" Type="http://schemas.openxmlformats.org/officeDocument/2006/relationships/hyperlink" Target="http://www.parkrun.org.uk/results/athleteresultshistory/?athleteNumber=63659" TargetMode="External"/><Relationship Id="rId576" Type="http://schemas.openxmlformats.org/officeDocument/2006/relationships/hyperlink" Target="http://www.parkrun.org.uk/results/athleteresultshistory/?athleteNumber=88551" TargetMode="External"/><Relationship Id="rId783" Type="http://schemas.openxmlformats.org/officeDocument/2006/relationships/hyperlink" Target="http://www.parkrun.org.uk/results/athleteresultshistory/?athleteNumber=2900" TargetMode="External"/><Relationship Id="rId990" Type="http://schemas.openxmlformats.org/officeDocument/2006/relationships/hyperlink" Target="http://www.parkrun.org.uk/results/athleteresultshistory/?athleteNumber=22706" TargetMode="External"/><Relationship Id="rId229" Type="http://schemas.openxmlformats.org/officeDocument/2006/relationships/hyperlink" Target="http://www.parkrun.org.uk/results/athleteresultshistory/?athleteNumber=19207" TargetMode="External"/><Relationship Id="rId436" Type="http://schemas.openxmlformats.org/officeDocument/2006/relationships/hyperlink" Target="http://www.parkrun.org.uk/results/athleteresultshistory/?athleteNumber=94588" TargetMode="External"/><Relationship Id="rId643" Type="http://schemas.openxmlformats.org/officeDocument/2006/relationships/hyperlink" Target="http://www.parkrun.org.uk/results/athleteresultshistory/?athleteNumber=10661" TargetMode="External"/><Relationship Id="rId1066" Type="http://schemas.openxmlformats.org/officeDocument/2006/relationships/hyperlink" Target="http://www.parkrun.org.uk/results/athleteresultshistory/?athleteNumber=105544" TargetMode="External"/><Relationship Id="rId850" Type="http://schemas.openxmlformats.org/officeDocument/2006/relationships/hyperlink" Target="http://www.parkrun.org.uk/results/athleteresultshistory/?athleteNumber=68020" TargetMode="External"/><Relationship Id="rId948" Type="http://schemas.openxmlformats.org/officeDocument/2006/relationships/hyperlink" Target="http://www.parkrun.org.uk/results/athleteresultshistory/?athleteNumber=21699" TargetMode="External"/><Relationship Id="rId77" Type="http://schemas.openxmlformats.org/officeDocument/2006/relationships/hyperlink" Target="http://www.parkrun.org.uk/results/athleteresultshistory/?athleteNumber=20273" TargetMode="External"/><Relationship Id="rId282" Type="http://schemas.openxmlformats.org/officeDocument/2006/relationships/hyperlink" Target="http://www.parkrun.org.uk/results/athleteresultshistory/?athleteNumber=141222" TargetMode="External"/><Relationship Id="rId503" Type="http://schemas.openxmlformats.org/officeDocument/2006/relationships/hyperlink" Target="http://www.parkrun.org.uk/results/athleteresultshistory/?athleteNumber=60155" TargetMode="External"/><Relationship Id="rId587" Type="http://schemas.openxmlformats.org/officeDocument/2006/relationships/hyperlink" Target="http://www.parkrun.org.uk/results/athleteresultshistory/?athleteNumber=7517" TargetMode="External"/><Relationship Id="rId710" Type="http://schemas.openxmlformats.org/officeDocument/2006/relationships/hyperlink" Target="http://www.parkrun.org.uk/results/athleteresultshistory/?athleteNumber=176174" TargetMode="External"/><Relationship Id="rId808" Type="http://schemas.openxmlformats.org/officeDocument/2006/relationships/hyperlink" Target="http://www.parkrun.org.uk/results/athleteresultshistory/?athleteNumber=32294" TargetMode="External"/><Relationship Id="rId8" Type="http://schemas.openxmlformats.org/officeDocument/2006/relationships/hyperlink" Target="http://www.parkrun.org.uk/results/athleteresultshistory/?athleteNumber=14113" TargetMode="External"/><Relationship Id="rId142" Type="http://schemas.openxmlformats.org/officeDocument/2006/relationships/hyperlink" Target="http://www.parkrun.org.uk/results/athleteresultshistory/?athleteNumber=7661" TargetMode="External"/><Relationship Id="rId447" Type="http://schemas.openxmlformats.org/officeDocument/2006/relationships/hyperlink" Target="http://www.parkrun.org.uk/results/athleteresultshistory/?athleteNumber=137225" TargetMode="External"/><Relationship Id="rId794" Type="http://schemas.openxmlformats.org/officeDocument/2006/relationships/hyperlink" Target="http://www.parkrun.org.uk/results/athleteresultshistory/?athleteNumber=156644" TargetMode="External"/><Relationship Id="rId1077" Type="http://schemas.openxmlformats.org/officeDocument/2006/relationships/hyperlink" Target="http://www.parkrun.org.uk/results/athleteresultshistory/?athleteNumber=13858" TargetMode="External"/><Relationship Id="rId654" Type="http://schemas.openxmlformats.org/officeDocument/2006/relationships/hyperlink" Target="http://www.parkrun.org.uk/results/athleteresultshistory/?athleteNumber=14299" TargetMode="External"/><Relationship Id="rId861" Type="http://schemas.openxmlformats.org/officeDocument/2006/relationships/hyperlink" Target="http://www.parkrun.org.uk/results/athleteresultshistory/?athleteNumber=218360" TargetMode="External"/><Relationship Id="rId959" Type="http://schemas.openxmlformats.org/officeDocument/2006/relationships/hyperlink" Target="http://www.parkrun.org.uk/results/athleteresultshistory/?athleteNumber=1968" TargetMode="External"/><Relationship Id="rId293" Type="http://schemas.openxmlformats.org/officeDocument/2006/relationships/hyperlink" Target="http://www.parkrun.org.uk/results/athleteresultshistory/?athleteNumber=19653" TargetMode="External"/><Relationship Id="rId307" Type="http://schemas.openxmlformats.org/officeDocument/2006/relationships/hyperlink" Target="http://www.parkrun.org.uk/results/athleteresultshistory/?athleteNumber=15189" TargetMode="External"/><Relationship Id="rId514" Type="http://schemas.openxmlformats.org/officeDocument/2006/relationships/hyperlink" Target="http://www.parkrun.org.uk/results/athleteresultshistory/?athleteNumber=31855" TargetMode="External"/><Relationship Id="rId721" Type="http://schemas.openxmlformats.org/officeDocument/2006/relationships/hyperlink" Target="http://www.parkrun.org.uk/results/athleteresultshistory/?athleteNumber=2898" TargetMode="External"/><Relationship Id="rId88" Type="http://schemas.openxmlformats.org/officeDocument/2006/relationships/hyperlink" Target="http://www.parkrun.org.uk/results/athleteresultshistory/?athleteNumber=20595" TargetMode="External"/><Relationship Id="rId153" Type="http://schemas.openxmlformats.org/officeDocument/2006/relationships/hyperlink" Target="http://www.parkrun.org.uk/results/athleteresultshistory/?athleteNumber=20437" TargetMode="External"/><Relationship Id="rId360" Type="http://schemas.openxmlformats.org/officeDocument/2006/relationships/hyperlink" Target="http://www.parkrun.org.uk/results/athleteresultshistory/?athleteNumber=16006" TargetMode="External"/><Relationship Id="rId598" Type="http://schemas.openxmlformats.org/officeDocument/2006/relationships/hyperlink" Target="http://www.parkrun.org.uk/results/athleteresultshistory/?athleteNumber=103508" TargetMode="External"/><Relationship Id="rId819" Type="http://schemas.openxmlformats.org/officeDocument/2006/relationships/hyperlink" Target="http://www.parkrun.org.uk/results/athleteresultshistory/?athleteNumber=1674" TargetMode="External"/><Relationship Id="rId1004" Type="http://schemas.openxmlformats.org/officeDocument/2006/relationships/hyperlink" Target="http://www.parkrun.org.uk/results/athleteresultshistory/?athleteNumber=8174" TargetMode="External"/><Relationship Id="rId220" Type="http://schemas.openxmlformats.org/officeDocument/2006/relationships/hyperlink" Target="http://www.parkrun.org.uk/results/athleteresultshistory/?athleteNumber=23593" TargetMode="External"/><Relationship Id="rId458" Type="http://schemas.openxmlformats.org/officeDocument/2006/relationships/hyperlink" Target="http://www.parkrun.org.uk/results/athleteresultshistory/?athleteNumber=5677" TargetMode="External"/><Relationship Id="rId665" Type="http://schemas.openxmlformats.org/officeDocument/2006/relationships/hyperlink" Target="http://www.parkrun.org.uk/results/athleteresultshistory/?athleteNumber=65986" TargetMode="External"/><Relationship Id="rId872" Type="http://schemas.openxmlformats.org/officeDocument/2006/relationships/hyperlink" Target="http://www.parkrun.org.uk/results/athleteresultshistory/?athleteNumber=33213" TargetMode="External"/><Relationship Id="rId1088" Type="http://schemas.openxmlformats.org/officeDocument/2006/relationships/hyperlink" Target="http://www.parkrun.org.uk/results/athleteresultshistory/?athleteNumber=27434" TargetMode="External"/><Relationship Id="rId15" Type="http://schemas.openxmlformats.org/officeDocument/2006/relationships/hyperlink" Target="http://www.parkrun.org.uk/results/athleteresultshistory/?athleteNumber=24255" TargetMode="External"/><Relationship Id="rId318" Type="http://schemas.openxmlformats.org/officeDocument/2006/relationships/hyperlink" Target="http://www.parkrun.org.uk/results/athleteresultshistory/?athleteNumber=52647" TargetMode="External"/><Relationship Id="rId525" Type="http://schemas.openxmlformats.org/officeDocument/2006/relationships/hyperlink" Target="http://www.parkrun.org.uk/results/athleteresultshistory/?athleteNumber=15057" TargetMode="External"/><Relationship Id="rId732" Type="http://schemas.openxmlformats.org/officeDocument/2006/relationships/hyperlink" Target="http://www.parkrun.org.uk/results/athleteresultshistory/?athleteNumber=2464" TargetMode="External"/><Relationship Id="rId99" Type="http://schemas.openxmlformats.org/officeDocument/2006/relationships/hyperlink" Target="http://www.parkrun.org.uk/results/athleteresultshistory/?athleteNumber=207977" TargetMode="External"/><Relationship Id="rId164" Type="http://schemas.openxmlformats.org/officeDocument/2006/relationships/hyperlink" Target="http://www.parkrun.org.uk/results/athleteresultshistory/?athleteNumber=12039" TargetMode="External"/><Relationship Id="rId371" Type="http://schemas.openxmlformats.org/officeDocument/2006/relationships/hyperlink" Target="http://www.parkrun.org.uk/results/athleteresultshistory/?athleteNumber=88653" TargetMode="External"/><Relationship Id="rId1015" Type="http://schemas.openxmlformats.org/officeDocument/2006/relationships/hyperlink" Target="http://www.parkrun.org.uk/results/athleteresultshistory/?athleteNumber=6540" TargetMode="External"/><Relationship Id="rId469" Type="http://schemas.openxmlformats.org/officeDocument/2006/relationships/hyperlink" Target="http://www.parkrun.org.uk/results/athleteresultshistory/?athleteNumber=105828" TargetMode="External"/><Relationship Id="rId676" Type="http://schemas.openxmlformats.org/officeDocument/2006/relationships/hyperlink" Target="http://www.parkrun.org.uk/results/athleteresultshistory/?athleteNumber=179735" TargetMode="External"/><Relationship Id="rId883" Type="http://schemas.openxmlformats.org/officeDocument/2006/relationships/hyperlink" Target="http://www.parkrun.org.uk/results/athleteresultshistory/?athleteNumber=209511" TargetMode="External"/><Relationship Id="rId26" Type="http://schemas.openxmlformats.org/officeDocument/2006/relationships/hyperlink" Target="http://www.parkrun.org.uk/results/athleteresultshistory/?athleteNumber=52" TargetMode="External"/><Relationship Id="rId231" Type="http://schemas.openxmlformats.org/officeDocument/2006/relationships/hyperlink" Target="http://www.parkrun.org.uk/results/athleteresultshistory/?athleteNumber=492" TargetMode="External"/><Relationship Id="rId329" Type="http://schemas.openxmlformats.org/officeDocument/2006/relationships/hyperlink" Target="http://www.parkrun.org.uk/results/athleteresultshistory/?athleteNumber=27752" TargetMode="External"/><Relationship Id="rId536" Type="http://schemas.openxmlformats.org/officeDocument/2006/relationships/hyperlink" Target="http://www.parkrun.org.uk/results/athleteresultshistory/?athleteNumber=13860" TargetMode="External"/><Relationship Id="rId175" Type="http://schemas.openxmlformats.org/officeDocument/2006/relationships/hyperlink" Target="http://www.parkrun.org.uk/results/athleteresultshistory/?athleteNumber=111400" TargetMode="External"/><Relationship Id="rId743" Type="http://schemas.openxmlformats.org/officeDocument/2006/relationships/hyperlink" Target="http://www.parkrun.org.uk/results/athleteresultshistory/?athleteNumber=77243" TargetMode="External"/><Relationship Id="rId950" Type="http://schemas.openxmlformats.org/officeDocument/2006/relationships/hyperlink" Target="http://www.parkrun.org.uk/results/athleteresultshistory/?athleteNumber=26084" TargetMode="External"/><Relationship Id="rId1026" Type="http://schemas.openxmlformats.org/officeDocument/2006/relationships/hyperlink" Target="http://www.parkrun.org.uk/results/athleteresultshistory/?athleteNumber=82435" TargetMode="External"/><Relationship Id="rId382" Type="http://schemas.openxmlformats.org/officeDocument/2006/relationships/hyperlink" Target="http://www.parkrun.org.uk/results/athleteresultshistory/?athleteNumber=143202" TargetMode="External"/><Relationship Id="rId603" Type="http://schemas.openxmlformats.org/officeDocument/2006/relationships/hyperlink" Target="http://www.parkrun.org.uk/results/athleteresultshistory/?athleteNumber=232279" TargetMode="External"/><Relationship Id="rId687" Type="http://schemas.openxmlformats.org/officeDocument/2006/relationships/hyperlink" Target="http://www.parkrun.org.uk/results/athleteresultshistory/?athleteNumber=22740" TargetMode="External"/><Relationship Id="rId810" Type="http://schemas.openxmlformats.org/officeDocument/2006/relationships/hyperlink" Target="http://www.parkrun.org.uk/results/athleteresultshistory/?athleteNumber=5227" TargetMode="External"/><Relationship Id="rId908" Type="http://schemas.openxmlformats.org/officeDocument/2006/relationships/hyperlink" Target="http://www.parkrun.org.uk/results/athleteresultshistory/?athleteNumber=7945" TargetMode="External"/><Relationship Id="rId242" Type="http://schemas.openxmlformats.org/officeDocument/2006/relationships/hyperlink" Target="http://www.parkrun.org.uk/results/athleteresultshistory/?athleteNumber=12964" TargetMode="External"/><Relationship Id="rId894" Type="http://schemas.openxmlformats.org/officeDocument/2006/relationships/hyperlink" Target="http://www.parkrun.org.uk/results/athleteresultshistory/?athleteNumber=70363" TargetMode="External"/><Relationship Id="rId37" Type="http://schemas.openxmlformats.org/officeDocument/2006/relationships/hyperlink" Target="http://www.parkrun.org.uk/results/athleteresultshistory/?athleteNumber=16041" TargetMode="External"/><Relationship Id="rId102" Type="http://schemas.openxmlformats.org/officeDocument/2006/relationships/hyperlink" Target="http://www.parkrun.org.uk/results/athleteresultshistory/?athleteNumber=54147" TargetMode="External"/><Relationship Id="rId547" Type="http://schemas.openxmlformats.org/officeDocument/2006/relationships/hyperlink" Target="http://www.parkrun.org.uk/results/athleteresultshistory/?athleteNumber=77867" TargetMode="External"/><Relationship Id="rId754" Type="http://schemas.openxmlformats.org/officeDocument/2006/relationships/hyperlink" Target="http://www.parkrun.org.uk/results/athleteresultshistory/?athleteNumber=17131" TargetMode="External"/><Relationship Id="rId961" Type="http://schemas.openxmlformats.org/officeDocument/2006/relationships/hyperlink" Target="http://www.parkrun.org.uk/results/athleteresultshistory/?athleteNumber=1972" TargetMode="External"/><Relationship Id="rId90" Type="http://schemas.openxmlformats.org/officeDocument/2006/relationships/hyperlink" Target="http://www.parkrun.org.uk/results/athleteresultshistory/?athleteNumber=128022" TargetMode="External"/><Relationship Id="rId186" Type="http://schemas.openxmlformats.org/officeDocument/2006/relationships/hyperlink" Target="http://www.parkrun.org.uk/results/athleteresultshistory/?athleteNumber=32321" TargetMode="External"/><Relationship Id="rId393" Type="http://schemas.openxmlformats.org/officeDocument/2006/relationships/hyperlink" Target="http://www.parkrun.org.uk/results/athleteresultshistory/?athleteNumber=110733" TargetMode="External"/><Relationship Id="rId407" Type="http://schemas.openxmlformats.org/officeDocument/2006/relationships/hyperlink" Target="http://www.parkrun.org.uk/results/athleteresultshistory/?athleteNumber=126472" TargetMode="External"/><Relationship Id="rId614" Type="http://schemas.openxmlformats.org/officeDocument/2006/relationships/hyperlink" Target="http://www.parkrun.org.uk/results/athleteresultshistory/?athleteNumber=158131" TargetMode="External"/><Relationship Id="rId821" Type="http://schemas.openxmlformats.org/officeDocument/2006/relationships/hyperlink" Target="http://www.parkrun.org.uk/results/athleteresultshistory/?athleteNumber=67255" TargetMode="External"/><Relationship Id="rId1037" Type="http://schemas.openxmlformats.org/officeDocument/2006/relationships/hyperlink" Target="http://www.parkrun.org.uk/results/athleteresultshistory/?athleteNumber=71499" TargetMode="External"/><Relationship Id="rId253" Type="http://schemas.openxmlformats.org/officeDocument/2006/relationships/hyperlink" Target="http://www.parkrun.org.uk/results/athleteresultshistory/?athleteNumber=111306" TargetMode="External"/><Relationship Id="rId460" Type="http://schemas.openxmlformats.org/officeDocument/2006/relationships/hyperlink" Target="http://www.parkrun.org.uk/results/athleteresultshistory/?athleteNumber=47450" TargetMode="External"/><Relationship Id="rId698" Type="http://schemas.openxmlformats.org/officeDocument/2006/relationships/hyperlink" Target="http://www.parkrun.org.uk/results/athleteresultshistory/?athleteNumber=52324" TargetMode="External"/><Relationship Id="rId919" Type="http://schemas.openxmlformats.org/officeDocument/2006/relationships/hyperlink" Target="http://www.parkrun.org.uk/results/athleteresultshistory/?athleteNumber=5059" TargetMode="External"/><Relationship Id="rId1090" Type="http://schemas.openxmlformats.org/officeDocument/2006/relationships/hyperlink" Target="http://www.parkrun.org.uk/results/athleteresultshistory/?athleteNumber=79326" TargetMode="External"/><Relationship Id="rId48" Type="http://schemas.openxmlformats.org/officeDocument/2006/relationships/hyperlink" Target="http://www.parkrun.org.uk/results/athleteresultshistory/?athleteNumber=100" TargetMode="External"/><Relationship Id="rId113" Type="http://schemas.openxmlformats.org/officeDocument/2006/relationships/hyperlink" Target="http://www.parkrun.org.uk/results/athleteresultshistory/?athleteNumber=28318" TargetMode="External"/><Relationship Id="rId320" Type="http://schemas.openxmlformats.org/officeDocument/2006/relationships/hyperlink" Target="http://www.parkrun.org.uk/results/athleteresultshistory/?athleteNumber=91604" TargetMode="External"/><Relationship Id="rId558" Type="http://schemas.openxmlformats.org/officeDocument/2006/relationships/hyperlink" Target="http://www.parkrun.org.uk/results/athleteresultshistory/?athleteNumber=53872" TargetMode="External"/><Relationship Id="rId765" Type="http://schemas.openxmlformats.org/officeDocument/2006/relationships/hyperlink" Target="http://www.parkrun.org.uk/results/athleteresultshistory/?athleteNumber=4553" TargetMode="External"/><Relationship Id="rId972" Type="http://schemas.openxmlformats.org/officeDocument/2006/relationships/hyperlink" Target="http://www.parkrun.org.uk/results/athleteresultshistory/?athleteNumber=20066" TargetMode="External"/><Relationship Id="rId197" Type="http://schemas.openxmlformats.org/officeDocument/2006/relationships/hyperlink" Target="http://www.parkrun.org.uk/results/athleteresultshistory/?athleteNumber=10411" TargetMode="External"/><Relationship Id="rId418" Type="http://schemas.openxmlformats.org/officeDocument/2006/relationships/hyperlink" Target="http://www.parkrun.org.uk/results/athleteresultshistory/?athleteNumber=148773" TargetMode="External"/><Relationship Id="rId625" Type="http://schemas.openxmlformats.org/officeDocument/2006/relationships/hyperlink" Target="http://www.parkrun.org.uk/results/athleteresultshistory/?athleteNumber=1277" TargetMode="External"/><Relationship Id="rId832" Type="http://schemas.openxmlformats.org/officeDocument/2006/relationships/hyperlink" Target="http://www.parkrun.org.uk/results/athleteresultshistory/?athleteNumber=55810" TargetMode="External"/><Relationship Id="rId1048" Type="http://schemas.openxmlformats.org/officeDocument/2006/relationships/hyperlink" Target="http://www.parkrun.org.uk/results/athleteresultshistory/?athleteNumber=2192" TargetMode="External"/><Relationship Id="rId264" Type="http://schemas.openxmlformats.org/officeDocument/2006/relationships/hyperlink" Target="http://www.parkrun.org.uk/results/athleteresultshistory/?athleteNumber=186644" TargetMode="External"/><Relationship Id="rId471" Type="http://schemas.openxmlformats.org/officeDocument/2006/relationships/hyperlink" Target="http://www.parkrun.org.uk/results/athleteresultshistory/?athleteNumber=80914" TargetMode="External"/><Relationship Id="rId59" Type="http://schemas.openxmlformats.org/officeDocument/2006/relationships/hyperlink" Target="http://www.parkrun.org.uk/results/athleteresultshistory/?athleteNumber=19702" TargetMode="External"/><Relationship Id="rId124" Type="http://schemas.openxmlformats.org/officeDocument/2006/relationships/hyperlink" Target="http://www.parkrun.org.uk/results/athleteresultshistory/?athleteNumber=5414" TargetMode="External"/><Relationship Id="rId569" Type="http://schemas.openxmlformats.org/officeDocument/2006/relationships/hyperlink" Target="http://www.parkrun.org.uk/results/athleteresultshistory/?athleteNumber=134261" TargetMode="External"/><Relationship Id="rId776" Type="http://schemas.openxmlformats.org/officeDocument/2006/relationships/hyperlink" Target="http://www.parkrun.org.uk/results/athleteresultshistory/?athleteNumber=69679" TargetMode="External"/><Relationship Id="rId983" Type="http://schemas.openxmlformats.org/officeDocument/2006/relationships/hyperlink" Target="http://www.parkrun.org.uk/results/athleteresultshistory/?athleteNumber=15541" TargetMode="External"/><Relationship Id="rId331" Type="http://schemas.openxmlformats.org/officeDocument/2006/relationships/hyperlink" Target="http://www.parkrun.org.uk/results/athleteresultshistory/?athleteNumber=97017" TargetMode="External"/><Relationship Id="rId429" Type="http://schemas.openxmlformats.org/officeDocument/2006/relationships/hyperlink" Target="http://www.parkrun.org.uk/results/athleteresultshistory/?athleteNumber=16603" TargetMode="External"/><Relationship Id="rId636" Type="http://schemas.openxmlformats.org/officeDocument/2006/relationships/hyperlink" Target="http://www.parkrun.org.uk/results/athleteresultshistory/?athleteNumber=5877" TargetMode="External"/><Relationship Id="rId1059" Type="http://schemas.openxmlformats.org/officeDocument/2006/relationships/hyperlink" Target="http://www.parkrun.org.uk/results/athleteresultshistory/?athleteNumber=200447" TargetMode="External"/><Relationship Id="rId843" Type="http://schemas.openxmlformats.org/officeDocument/2006/relationships/hyperlink" Target="http://www.parkrun.org.uk/results/athleteresultshistory/?athleteNumber=60666" TargetMode="External"/><Relationship Id="rId275" Type="http://schemas.openxmlformats.org/officeDocument/2006/relationships/hyperlink" Target="http://www.parkrun.org.uk/results/athleteresultshistory/?athleteNumber=22010" TargetMode="External"/><Relationship Id="rId482" Type="http://schemas.openxmlformats.org/officeDocument/2006/relationships/hyperlink" Target="http://www.parkrun.org.uk/results/athleteresultshistory/?athleteNumber=5844" TargetMode="External"/><Relationship Id="rId703" Type="http://schemas.openxmlformats.org/officeDocument/2006/relationships/hyperlink" Target="http://www.parkrun.org.uk/results/athleteresultshistory/?athleteNumber=46781" TargetMode="External"/><Relationship Id="rId910" Type="http://schemas.openxmlformats.org/officeDocument/2006/relationships/hyperlink" Target="http://www.parkrun.org.uk/results/athleteresultshistory/?athleteNumber=63755" TargetMode="External"/><Relationship Id="rId135" Type="http://schemas.openxmlformats.org/officeDocument/2006/relationships/hyperlink" Target="http://www.parkrun.org.uk/results/athleteresultshistory/?athleteNumber=150710" TargetMode="External"/><Relationship Id="rId342" Type="http://schemas.openxmlformats.org/officeDocument/2006/relationships/hyperlink" Target="http://www.parkrun.org.uk/results/athleteresultshistory/?athleteNumber=42153" TargetMode="External"/><Relationship Id="rId787" Type="http://schemas.openxmlformats.org/officeDocument/2006/relationships/hyperlink" Target="http://www.parkrun.org.uk/results/athleteresultshistory/?athleteNumber=7742" TargetMode="External"/><Relationship Id="rId994" Type="http://schemas.openxmlformats.org/officeDocument/2006/relationships/hyperlink" Target="http://www.parkrun.org.uk/results/athleteresultshistory/?athleteNumber=27150" TargetMode="External"/><Relationship Id="rId202" Type="http://schemas.openxmlformats.org/officeDocument/2006/relationships/hyperlink" Target="http://www.parkrun.org.uk/results/athleteresultshistory/?athleteNumber=110307" TargetMode="External"/><Relationship Id="rId647" Type="http://schemas.openxmlformats.org/officeDocument/2006/relationships/hyperlink" Target="http://www.parkrun.org.uk/results/athleteresultshistory/?athleteNumber=40923" TargetMode="External"/><Relationship Id="rId854" Type="http://schemas.openxmlformats.org/officeDocument/2006/relationships/hyperlink" Target="http://www.parkrun.org.uk/results/athleteresultshistory/?athleteNumber=146341" TargetMode="External"/><Relationship Id="rId286" Type="http://schemas.openxmlformats.org/officeDocument/2006/relationships/hyperlink" Target="http://www.parkrun.org.uk/results/athleteresultshistory/?athleteNumber=560" TargetMode="External"/><Relationship Id="rId493" Type="http://schemas.openxmlformats.org/officeDocument/2006/relationships/hyperlink" Target="http://www.parkrun.org.uk/results/athleteresultshistory/?athleteNumber=28667" TargetMode="External"/><Relationship Id="rId507" Type="http://schemas.openxmlformats.org/officeDocument/2006/relationships/hyperlink" Target="http://www.parkrun.org.uk/results/athleteresultshistory/?athleteNumber=45852" TargetMode="External"/><Relationship Id="rId714" Type="http://schemas.openxmlformats.org/officeDocument/2006/relationships/hyperlink" Target="http://www.parkrun.org.uk/results/athleteresultshistory/?athleteNumber=91548" TargetMode="External"/><Relationship Id="rId921" Type="http://schemas.openxmlformats.org/officeDocument/2006/relationships/hyperlink" Target="http://www.parkrun.org.uk/results/athleteresultshistory/?athleteNumber=93268" TargetMode="External"/><Relationship Id="rId50" Type="http://schemas.openxmlformats.org/officeDocument/2006/relationships/hyperlink" Target="http://www.parkrun.org.uk/results/athleteresultshistory/?athleteNumber=25916" TargetMode="External"/><Relationship Id="rId146" Type="http://schemas.openxmlformats.org/officeDocument/2006/relationships/hyperlink" Target="http://www.parkrun.org.uk/results/athleteresultshistory/?athleteNumber=19881" TargetMode="External"/><Relationship Id="rId353" Type="http://schemas.openxmlformats.org/officeDocument/2006/relationships/hyperlink" Target="http://www.parkrun.org.uk/results/athleteresultshistory/?athleteNumber=721" TargetMode="External"/><Relationship Id="rId560" Type="http://schemas.openxmlformats.org/officeDocument/2006/relationships/hyperlink" Target="http://www.parkrun.org.uk/results/athleteresultshistory/?athleteNumber=77401" TargetMode="External"/><Relationship Id="rId798" Type="http://schemas.openxmlformats.org/officeDocument/2006/relationships/hyperlink" Target="http://www.parkrun.org.uk/results/athleteresultshistory/?athleteNumber=1634" TargetMode="External"/><Relationship Id="rId213" Type="http://schemas.openxmlformats.org/officeDocument/2006/relationships/hyperlink" Target="http://www.parkrun.org.uk/results/athleteresultshistory/?athleteNumber=82805" TargetMode="External"/><Relationship Id="rId420" Type="http://schemas.openxmlformats.org/officeDocument/2006/relationships/hyperlink" Target="http://www.parkrun.org.uk/results/athleteresultshistory/?athleteNumber=5857" TargetMode="External"/><Relationship Id="rId658" Type="http://schemas.openxmlformats.org/officeDocument/2006/relationships/hyperlink" Target="http://www.parkrun.org.uk/results/athleteresultshistory/?athleteNumber=139720" TargetMode="External"/><Relationship Id="rId865" Type="http://schemas.openxmlformats.org/officeDocument/2006/relationships/hyperlink" Target="http://www.parkrun.org.uk/results/athleteresultshistory/?athleteNumber=39248" TargetMode="External"/><Relationship Id="rId1050" Type="http://schemas.openxmlformats.org/officeDocument/2006/relationships/hyperlink" Target="http://www.parkrun.org.uk/results/athleteresultshistory/?athleteNumber=21266" TargetMode="External"/><Relationship Id="rId297" Type="http://schemas.openxmlformats.org/officeDocument/2006/relationships/hyperlink" Target="http://www.parkrun.org.uk/results/athleteresultshistory/?athleteNumber=10785" TargetMode="External"/><Relationship Id="rId518" Type="http://schemas.openxmlformats.org/officeDocument/2006/relationships/hyperlink" Target="http://www.parkrun.org.uk/results/athleteresultshistory/?athleteNumber=69007" TargetMode="External"/><Relationship Id="rId725" Type="http://schemas.openxmlformats.org/officeDocument/2006/relationships/hyperlink" Target="http://www.parkrun.org.uk/results/athleteresultshistory/?athleteNumber=78255" TargetMode="External"/><Relationship Id="rId932" Type="http://schemas.openxmlformats.org/officeDocument/2006/relationships/hyperlink" Target="http://www.parkrun.org.uk/results/athleteresultshistory/?athleteNumber=17428" TargetMode="External"/><Relationship Id="rId157" Type="http://schemas.openxmlformats.org/officeDocument/2006/relationships/hyperlink" Target="http://www.parkrun.org.uk/results/athleteresultshistory/?athleteNumber=13422" TargetMode="External"/><Relationship Id="rId364" Type="http://schemas.openxmlformats.org/officeDocument/2006/relationships/hyperlink" Target="http://www.parkrun.org.uk/results/athleteresultshistory/?athleteNumber=19249" TargetMode="External"/><Relationship Id="rId1008" Type="http://schemas.openxmlformats.org/officeDocument/2006/relationships/hyperlink" Target="http://www.parkrun.org.uk/results/athleteresultshistory/?athleteNumber=167741" TargetMode="External"/><Relationship Id="rId61" Type="http://schemas.openxmlformats.org/officeDocument/2006/relationships/hyperlink" Target="http://www.parkrun.org.uk/results/athleteresultshistory/?athleteNumber=45772" TargetMode="External"/><Relationship Id="rId571" Type="http://schemas.openxmlformats.org/officeDocument/2006/relationships/hyperlink" Target="http://www.parkrun.org.uk/results/athleteresultshistory/?athleteNumber=1170" TargetMode="External"/><Relationship Id="rId669" Type="http://schemas.openxmlformats.org/officeDocument/2006/relationships/hyperlink" Target="http://www.parkrun.org.uk/results/athleteresultshistory/?athleteNumber=1364" TargetMode="External"/><Relationship Id="rId876" Type="http://schemas.openxmlformats.org/officeDocument/2006/relationships/hyperlink" Target="http://www.parkrun.org.uk/results/athleteresultshistory/?athleteNumber=46052" TargetMode="External"/><Relationship Id="rId19" Type="http://schemas.openxmlformats.org/officeDocument/2006/relationships/hyperlink" Target="http://www.parkrun.org.uk/results/athleteresultshistory/?athleteNumber=58265" TargetMode="External"/><Relationship Id="rId224" Type="http://schemas.openxmlformats.org/officeDocument/2006/relationships/hyperlink" Target="http://www.parkrun.org.uk/results/athleteresultshistory/?athleteNumber=493" TargetMode="External"/><Relationship Id="rId431" Type="http://schemas.openxmlformats.org/officeDocument/2006/relationships/hyperlink" Target="http://www.parkrun.org.uk/results/athleteresultshistory/?athleteNumber=130526" TargetMode="External"/><Relationship Id="rId529" Type="http://schemas.openxmlformats.org/officeDocument/2006/relationships/hyperlink" Target="http://www.parkrun.org.uk/results/athleteresultshistory/?athleteNumber=30600" TargetMode="External"/><Relationship Id="rId736" Type="http://schemas.openxmlformats.org/officeDocument/2006/relationships/hyperlink" Target="http://www.parkrun.org.uk/results/athleteresultshistory/?athleteNumber=17969" TargetMode="External"/><Relationship Id="rId1061" Type="http://schemas.openxmlformats.org/officeDocument/2006/relationships/hyperlink" Target="http://www.parkrun.org.uk/results/athleteresultshistory/?athleteNumber=206636" TargetMode="External"/><Relationship Id="rId168" Type="http://schemas.openxmlformats.org/officeDocument/2006/relationships/hyperlink" Target="http://www.parkrun.org.uk/results/athleteresultshistory/?athleteNumber=80191" TargetMode="External"/><Relationship Id="rId943" Type="http://schemas.openxmlformats.org/officeDocument/2006/relationships/hyperlink" Target="http://www.parkrun.org.uk/results/athleteresultshistory/?athleteNumber=1897" TargetMode="External"/><Relationship Id="rId1019" Type="http://schemas.openxmlformats.org/officeDocument/2006/relationships/hyperlink" Target="http://www.parkrun.org.uk/results/athleteresultshistory/?athleteNumber=19577" TargetMode="External"/><Relationship Id="rId72" Type="http://schemas.openxmlformats.org/officeDocument/2006/relationships/hyperlink" Target="http://www.parkrun.org.uk/results/athleteresultshistory/?athleteNumber=25482" TargetMode="External"/><Relationship Id="rId375" Type="http://schemas.openxmlformats.org/officeDocument/2006/relationships/hyperlink" Target="http://www.parkrun.org.uk/results/athleteresultshistory/?athleteNumber=53944" TargetMode="External"/><Relationship Id="rId582" Type="http://schemas.openxmlformats.org/officeDocument/2006/relationships/hyperlink" Target="http://www.parkrun.org.uk/results/athleteresultshistory/?athleteNumber=148333" TargetMode="External"/><Relationship Id="rId803" Type="http://schemas.openxmlformats.org/officeDocument/2006/relationships/hyperlink" Target="http://www.parkrun.org.uk/results/athleteresultshistory/?athleteNumber=68744" TargetMode="External"/><Relationship Id="rId3" Type="http://schemas.openxmlformats.org/officeDocument/2006/relationships/hyperlink" Target="http://www.parkrun.org.uk/results/athleteresultshistory/?athleteNumber=16934" TargetMode="External"/><Relationship Id="rId235" Type="http://schemas.openxmlformats.org/officeDocument/2006/relationships/hyperlink" Target="http://www.parkrun.org.uk/results/athleteresultshistory/?athleteNumber=15619" TargetMode="External"/><Relationship Id="rId442" Type="http://schemas.openxmlformats.org/officeDocument/2006/relationships/hyperlink" Target="http://www.parkrun.org.uk/results/athleteresultshistory/?athleteNumber=10311" TargetMode="External"/><Relationship Id="rId887" Type="http://schemas.openxmlformats.org/officeDocument/2006/relationships/hyperlink" Target="http://www.parkrun.org.uk/results/athleteresultshistory/?athleteNumber=31033" TargetMode="External"/><Relationship Id="rId1072" Type="http://schemas.openxmlformats.org/officeDocument/2006/relationships/hyperlink" Target="http://www.parkrun.org.uk/results/athleteresultshistory/?athleteNumber=39490" TargetMode="External"/><Relationship Id="rId302" Type="http://schemas.openxmlformats.org/officeDocument/2006/relationships/hyperlink" Target="http://www.parkrun.org.uk/results/athleteresultshistory/?athleteNumber=2944" TargetMode="External"/><Relationship Id="rId747" Type="http://schemas.openxmlformats.org/officeDocument/2006/relationships/hyperlink" Target="http://www.parkrun.org.uk/results/athleteresultshistory/?athleteNumber=3712" TargetMode="External"/><Relationship Id="rId954" Type="http://schemas.openxmlformats.org/officeDocument/2006/relationships/hyperlink" Target="http://www.parkrun.org.uk/results/athleteresultshistory/?athleteNumber=108816" TargetMode="External"/><Relationship Id="rId83" Type="http://schemas.openxmlformats.org/officeDocument/2006/relationships/hyperlink" Target="http://www.parkrun.org.uk/results/athleteresultshistory/?athleteNumber=69313" TargetMode="External"/><Relationship Id="rId179" Type="http://schemas.openxmlformats.org/officeDocument/2006/relationships/hyperlink" Target="http://www.parkrun.org.uk/results/athleteresultshistory/?athleteNumber=19147" TargetMode="External"/><Relationship Id="rId386" Type="http://schemas.openxmlformats.org/officeDocument/2006/relationships/hyperlink" Target="http://www.parkrun.org.uk/results/athleteresultshistory/?athleteNumber=9963" TargetMode="External"/><Relationship Id="rId593" Type="http://schemas.openxmlformats.org/officeDocument/2006/relationships/hyperlink" Target="http://www.parkrun.org.uk/results/athleteresultshistory/?athleteNumber=168858" TargetMode="External"/><Relationship Id="rId607" Type="http://schemas.openxmlformats.org/officeDocument/2006/relationships/hyperlink" Target="http://www.parkrun.org.uk/results/athleteresultshistory/?athleteNumber=16786" TargetMode="External"/><Relationship Id="rId814" Type="http://schemas.openxmlformats.org/officeDocument/2006/relationships/hyperlink" Target="http://www.parkrun.org.uk/results/athleteresultshistory/?athleteNumber=15140" TargetMode="External"/><Relationship Id="rId246" Type="http://schemas.openxmlformats.org/officeDocument/2006/relationships/hyperlink" Target="http://www.parkrun.org.uk/results/athleteresultshistory/?athleteNumber=68233" TargetMode="External"/><Relationship Id="rId453" Type="http://schemas.openxmlformats.org/officeDocument/2006/relationships/hyperlink" Target="http://www.parkrun.org.uk/results/athleteresultshistory/?athleteNumber=9253" TargetMode="External"/><Relationship Id="rId660" Type="http://schemas.openxmlformats.org/officeDocument/2006/relationships/hyperlink" Target="http://www.parkrun.org.uk/results/athleteresultshistory/?athleteNumber=56741" TargetMode="External"/><Relationship Id="rId898" Type="http://schemas.openxmlformats.org/officeDocument/2006/relationships/hyperlink" Target="http://www.parkrun.org.uk/results/athleteresultshistory/?athleteNumber=114726" TargetMode="External"/><Relationship Id="rId1083" Type="http://schemas.openxmlformats.org/officeDocument/2006/relationships/hyperlink" Target="http://www.parkrun.org.uk/results/athleteresultshistory/?athleteNumber=34141" TargetMode="External"/><Relationship Id="rId106" Type="http://schemas.openxmlformats.org/officeDocument/2006/relationships/hyperlink" Target="http://www.parkrun.org.uk/results/athleteresultshistory/?athleteNumber=12071" TargetMode="External"/><Relationship Id="rId313" Type="http://schemas.openxmlformats.org/officeDocument/2006/relationships/hyperlink" Target="http://www.parkrun.org.uk/results/athleteresultshistory/?athleteNumber=4534" TargetMode="External"/><Relationship Id="rId758" Type="http://schemas.openxmlformats.org/officeDocument/2006/relationships/hyperlink" Target="http://www.parkrun.org.uk/results/athleteresultshistory/?athleteNumber=20344" TargetMode="External"/><Relationship Id="rId965" Type="http://schemas.openxmlformats.org/officeDocument/2006/relationships/hyperlink" Target="http://www.parkrun.org.uk/results/athleteresultshistory/?athleteNumber=93416" TargetMode="External"/><Relationship Id="rId10" Type="http://schemas.openxmlformats.org/officeDocument/2006/relationships/hyperlink" Target="http://www.parkrun.org.uk/results/athleteresultshistory/?athleteNumber=132157" TargetMode="External"/><Relationship Id="rId94" Type="http://schemas.openxmlformats.org/officeDocument/2006/relationships/hyperlink" Target="http://www.parkrun.org.uk/results/athleteresultshistory/?athleteNumber=69985" TargetMode="External"/><Relationship Id="rId397" Type="http://schemas.openxmlformats.org/officeDocument/2006/relationships/hyperlink" Target="http://www.parkrun.org.uk/results/athleteresultshistory/?athleteNumber=138449" TargetMode="External"/><Relationship Id="rId520" Type="http://schemas.openxmlformats.org/officeDocument/2006/relationships/hyperlink" Target="http://www.parkrun.org.uk/results/athleteresultshistory/?athleteNumber=9844" TargetMode="External"/><Relationship Id="rId618" Type="http://schemas.openxmlformats.org/officeDocument/2006/relationships/hyperlink" Target="http://www.parkrun.org.uk/results/athleteresultshistory/?athleteNumber=14043" TargetMode="External"/><Relationship Id="rId825" Type="http://schemas.openxmlformats.org/officeDocument/2006/relationships/hyperlink" Target="http://www.parkrun.org.uk/results/athleteresultshistory/?athleteNumber=18178" TargetMode="External"/><Relationship Id="rId257" Type="http://schemas.openxmlformats.org/officeDocument/2006/relationships/hyperlink" Target="http://www.parkrun.org.uk/results/athleteresultshistory/?athleteNumber=61315" TargetMode="External"/><Relationship Id="rId464" Type="http://schemas.openxmlformats.org/officeDocument/2006/relationships/hyperlink" Target="http://www.parkrun.org.uk/results/athleteresultshistory/?athleteNumber=52152" TargetMode="External"/><Relationship Id="rId1010" Type="http://schemas.openxmlformats.org/officeDocument/2006/relationships/hyperlink" Target="http://www.parkrun.org.uk/results/athleteresultshistory/?athleteNumber=2089" TargetMode="External"/><Relationship Id="rId1094" Type="http://schemas.openxmlformats.org/officeDocument/2006/relationships/hyperlink" Target="http://www.parkrun.org.uk/results/athleteresultshistory/?athleteNumber=120780" TargetMode="External"/><Relationship Id="rId117" Type="http://schemas.openxmlformats.org/officeDocument/2006/relationships/hyperlink" Target="http://www.parkrun.org.uk/results/athleteresultshistory/?athleteNumber=5027" TargetMode="External"/><Relationship Id="rId671" Type="http://schemas.openxmlformats.org/officeDocument/2006/relationships/hyperlink" Target="http://www.parkrun.org.uk/results/athleteresultshistory/?athleteNumber=17266" TargetMode="External"/><Relationship Id="rId769" Type="http://schemas.openxmlformats.org/officeDocument/2006/relationships/hyperlink" Target="http://www.parkrun.org.uk/results/athleteresultshistory/?athleteNumber=13110" TargetMode="External"/><Relationship Id="rId976" Type="http://schemas.openxmlformats.org/officeDocument/2006/relationships/hyperlink" Target="http://www.parkrun.org.uk/results/athleteresultshistory/?athleteNumber=41934" TargetMode="External"/><Relationship Id="rId324" Type="http://schemas.openxmlformats.org/officeDocument/2006/relationships/hyperlink" Target="http://www.parkrun.org.uk/results/athleteresultshistory/?athleteNumber=61984" TargetMode="External"/><Relationship Id="rId531" Type="http://schemas.openxmlformats.org/officeDocument/2006/relationships/hyperlink" Target="http://www.parkrun.org.uk/results/athleteresultshistory/?athleteNumber=75610" TargetMode="External"/><Relationship Id="rId629" Type="http://schemas.openxmlformats.org/officeDocument/2006/relationships/hyperlink" Target="http://www.parkrun.org.uk/results/athleteresultshistory/?athleteNumber=41476" TargetMode="External"/><Relationship Id="rId836" Type="http://schemas.openxmlformats.org/officeDocument/2006/relationships/hyperlink" Target="http://www.parkrun.org.uk/results/athleteresultshistory/?athleteNumber=134331" TargetMode="External"/><Relationship Id="rId1021" Type="http://schemas.openxmlformats.org/officeDocument/2006/relationships/hyperlink" Target="http://www.parkrun.org.uk/results/athleteresultshistory/?athleteNumber=77851" TargetMode="External"/><Relationship Id="rId903" Type="http://schemas.openxmlformats.org/officeDocument/2006/relationships/hyperlink" Target="http://www.parkrun.org.uk/results/athleteresultshistory/?athleteNumber=50108" TargetMode="External"/><Relationship Id="rId32" Type="http://schemas.openxmlformats.org/officeDocument/2006/relationships/hyperlink" Target="http://www.parkrun.org.uk/results/athleteresultshistory/?athleteNumber=97081" TargetMode="External"/><Relationship Id="rId181" Type="http://schemas.openxmlformats.org/officeDocument/2006/relationships/hyperlink" Target="http://www.parkrun.org.uk/results/athleteresultshistory/?athleteNumber=50137" TargetMode="External"/><Relationship Id="rId279" Type="http://schemas.openxmlformats.org/officeDocument/2006/relationships/hyperlink" Target="http://www.parkrun.org.uk/results/athleteresultshistory/?athleteNumber=45355" TargetMode="External"/><Relationship Id="rId486" Type="http://schemas.openxmlformats.org/officeDocument/2006/relationships/hyperlink" Target="http://www.parkrun.org.uk/results/athleteresultshistory/?athleteNumber=84038" TargetMode="External"/><Relationship Id="rId693" Type="http://schemas.openxmlformats.org/officeDocument/2006/relationships/hyperlink" Target="http://www.parkrun.org.uk/results/athleteresultshistory/?athleteNumber=83030" TargetMode="External"/><Relationship Id="rId139" Type="http://schemas.openxmlformats.org/officeDocument/2006/relationships/hyperlink" Target="http://www.parkrun.org.uk/results/athleteresultshistory/?athleteNumber=130575" TargetMode="External"/><Relationship Id="rId346" Type="http://schemas.openxmlformats.org/officeDocument/2006/relationships/hyperlink" Target="http://www.parkrun.org.uk/results/athleteresultshistory/?athleteNumber=15695" TargetMode="External"/><Relationship Id="rId553" Type="http://schemas.openxmlformats.org/officeDocument/2006/relationships/hyperlink" Target="http://www.parkrun.org.uk/results/athleteresultshistory/?athleteNumber=210758" TargetMode="External"/><Relationship Id="rId760" Type="http://schemas.openxmlformats.org/officeDocument/2006/relationships/hyperlink" Target="http://www.parkrun.org.uk/results/athleteresultshistory/?athleteNumber=13534" TargetMode="External"/><Relationship Id="rId998" Type="http://schemas.openxmlformats.org/officeDocument/2006/relationships/hyperlink" Target="http://www.parkrun.org.uk/results/athleteresultshistory/?athleteNumber=40660" TargetMode="External"/><Relationship Id="rId206" Type="http://schemas.openxmlformats.org/officeDocument/2006/relationships/hyperlink" Target="http://www.parkrun.org.uk/results/athleteresultshistory/?athleteNumber=25463" TargetMode="External"/><Relationship Id="rId413" Type="http://schemas.openxmlformats.org/officeDocument/2006/relationships/hyperlink" Target="http://www.parkrun.org.uk/results/athleteresultshistory/?athleteNumber=2740" TargetMode="External"/><Relationship Id="rId858" Type="http://schemas.openxmlformats.org/officeDocument/2006/relationships/hyperlink" Target="http://www.parkrun.org.uk/results/athleteresultshistory/?athleteNumber=194748" TargetMode="External"/><Relationship Id="rId1043" Type="http://schemas.openxmlformats.org/officeDocument/2006/relationships/hyperlink" Target="http://www.parkrun.org.uk/results/athleteresultshistory/?athleteNumber=77058" TargetMode="External"/><Relationship Id="rId620" Type="http://schemas.openxmlformats.org/officeDocument/2006/relationships/hyperlink" Target="http://www.parkrun.org.uk/results/athleteresultshistory/?athleteNumber=51509" TargetMode="External"/><Relationship Id="rId718" Type="http://schemas.openxmlformats.org/officeDocument/2006/relationships/hyperlink" Target="http://www.parkrun.org.uk/results/athleteresultshistory/?athleteNumber=15303" TargetMode="External"/><Relationship Id="rId925" Type="http://schemas.openxmlformats.org/officeDocument/2006/relationships/hyperlink" Target="http://www.parkrun.org.uk/results/athleteresultshistory/?athleteNumber=19602" TargetMode="External"/><Relationship Id="rId54" Type="http://schemas.openxmlformats.org/officeDocument/2006/relationships/hyperlink" Target="http://www.parkrun.org.uk/results/athleteresultshistory/?athleteNumber=142367" TargetMode="External"/><Relationship Id="rId270" Type="http://schemas.openxmlformats.org/officeDocument/2006/relationships/hyperlink" Target="http://www.parkrun.org.uk/results/athleteresultshistory/?athleteNumber=5854" TargetMode="External"/><Relationship Id="rId130" Type="http://schemas.openxmlformats.org/officeDocument/2006/relationships/hyperlink" Target="http://www.parkrun.org.uk/results/athleteresultshistory/?athleteNumber=23466" TargetMode="External"/><Relationship Id="rId368" Type="http://schemas.openxmlformats.org/officeDocument/2006/relationships/hyperlink" Target="http://www.parkrun.org.uk/results/athleteresultshistory/?athleteNumber=208915" TargetMode="External"/><Relationship Id="rId575" Type="http://schemas.openxmlformats.org/officeDocument/2006/relationships/hyperlink" Target="http://www.parkrun.org.uk/results/athleteresultshistory/?athleteNumber=23126" TargetMode="External"/><Relationship Id="rId782" Type="http://schemas.openxmlformats.org/officeDocument/2006/relationships/hyperlink" Target="http://www.parkrun.org.uk/results/athleteresultshistory/?athleteNumber=36558" TargetMode="External"/><Relationship Id="rId228" Type="http://schemas.openxmlformats.org/officeDocument/2006/relationships/hyperlink" Target="http://www.parkrun.org.uk/results/athleteresultshistory/?athleteNumber=42934" TargetMode="External"/><Relationship Id="rId435" Type="http://schemas.openxmlformats.org/officeDocument/2006/relationships/hyperlink" Target="http://www.parkrun.org.uk/results/athleteresultshistory/?athleteNumber=45938" TargetMode="External"/><Relationship Id="rId642" Type="http://schemas.openxmlformats.org/officeDocument/2006/relationships/hyperlink" Target="http://www.parkrun.org.uk/results/athleteresultshistory/?athleteNumber=71638" TargetMode="External"/><Relationship Id="rId1065" Type="http://schemas.openxmlformats.org/officeDocument/2006/relationships/hyperlink" Target="http://www.parkrun.org.uk/results/athleteresultshistory/?athleteNumber=108427" TargetMode="External"/><Relationship Id="rId502" Type="http://schemas.openxmlformats.org/officeDocument/2006/relationships/hyperlink" Target="http://www.parkrun.org.uk/results/athleteresultshistory/?athleteNumber=38413" TargetMode="External"/><Relationship Id="rId947" Type="http://schemas.openxmlformats.org/officeDocument/2006/relationships/hyperlink" Target="http://www.parkrun.org.uk/results/athleteresultshistory/?athleteNumber=37545" TargetMode="External"/><Relationship Id="rId76" Type="http://schemas.openxmlformats.org/officeDocument/2006/relationships/hyperlink" Target="http://www.parkrun.org.uk/results/athleteresultshistory/?athleteNumber=137893" TargetMode="External"/><Relationship Id="rId807" Type="http://schemas.openxmlformats.org/officeDocument/2006/relationships/hyperlink" Target="http://www.parkrun.org.uk/results/athleteresultshistory/?athleteNumber=1673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gareth.hobby@baesystems.com" TargetMode="External"/><Relationship Id="rId13" Type="http://schemas.openxmlformats.org/officeDocument/2006/relationships/hyperlink" Target="mailto:neil.frediani@ba.com" TargetMode="External"/><Relationship Id="rId3" Type="http://schemas.openxmlformats.org/officeDocument/2006/relationships/hyperlink" Target="mailto:10krimmer@tiscali.co.uk" TargetMode="External"/><Relationship Id="rId7" Type="http://schemas.openxmlformats.org/officeDocument/2006/relationships/hyperlink" Target="mailto:benchaytor@gmail.com" TargetMode="External"/><Relationship Id="rId12" Type="http://schemas.openxmlformats.org/officeDocument/2006/relationships/hyperlink" Target="mailto:juliebarclay@hotmail.co.uk" TargetMode="External"/><Relationship Id="rId2" Type="http://schemas.openxmlformats.org/officeDocument/2006/relationships/hyperlink" Target="mailto:shampton@sky.com" TargetMode="External"/><Relationship Id="rId16" Type="http://schemas.openxmlformats.org/officeDocument/2006/relationships/printerSettings" Target="../printerSettings/printerSettings5.bin"/><Relationship Id="rId1" Type="http://schemas.openxmlformats.org/officeDocument/2006/relationships/hyperlink" Target="mailto:melholman@googlemail.com" TargetMode="External"/><Relationship Id="rId6" Type="http://schemas.openxmlformats.org/officeDocument/2006/relationships/hyperlink" Target="mailto:connormartin@hotmail.com" TargetMode="External"/><Relationship Id="rId11" Type="http://schemas.openxmlformats.org/officeDocument/2006/relationships/hyperlink" Target="mailto:hammer_rosie@hotmail.co.uk" TargetMode="External"/><Relationship Id="rId5" Type="http://schemas.openxmlformats.org/officeDocument/2006/relationships/hyperlink" Target="mailto:marziacoltelli@yahoo.co.uk" TargetMode="External"/><Relationship Id="rId15" Type="http://schemas.openxmlformats.org/officeDocument/2006/relationships/hyperlink" Target="mailto:dmayerova@gmail.com" TargetMode="External"/><Relationship Id="rId10" Type="http://schemas.openxmlformats.org/officeDocument/2006/relationships/hyperlink" Target="mailto:Paul.e.timms@ba.com" TargetMode="External"/><Relationship Id="rId4" Type="http://schemas.openxmlformats.org/officeDocument/2006/relationships/hyperlink" Target="mailto:snookster@ntlworld.com" TargetMode="External"/><Relationship Id="rId9" Type="http://schemas.openxmlformats.org/officeDocument/2006/relationships/hyperlink" Target="mailto:Roy12002uk@yahoo.co.uk" TargetMode="External"/><Relationship Id="rId14" Type="http://schemas.openxmlformats.org/officeDocument/2006/relationships/hyperlink" Target="mailto:sreeram.sethuraman@amadeus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0@34@35" TargetMode="External"/><Relationship Id="rId1" Type="http://schemas.openxmlformats.org/officeDocument/2006/relationships/hyperlink" Target="mailto:8@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593"/>
  <sheetViews>
    <sheetView topLeftCell="A264" zoomScale="97" workbookViewId="0">
      <selection activeCell="E299" sqref="E299"/>
    </sheetView>
  </sheetViews>
  <sheetFormatPr defaultRowHeight="12.75" x14ac:dyDescent="0.2"/>
  <cols>
    <col min="2" max="2" width="7.42578125" customWidth="1"/>
    <col min="3" max="3" width="26.7109375" customWidth="1"/>
    <col min="5" max="5" width="7" customWidth="1"/>
    <col min="6" max="6" width="17.28515625" customWidth="1"/>
    <col min="7" max="7" width="6.7109375" style="1" customWidth="1"/>
    <col min="8" max="8" width="17.28515625" customWidth="1"/>
    <col min="9" max="9" width="6.7109375" style="1" customWidth="1"/>
    <col min="10" max="10" width="16.5703125" style="1" customWidth="1"/>
    <col min="11" max="11" width="10.28515625" style="1" customWidth="1"/>
    <col min="12" max="12" width="6" style="9" customWidth="1"/>
    <col min="13" max="13" width="10.140625" style="8" bestFit="1" customWidth="1"/>
    <col min="14" max="15" width="9.140625" style="3"/>
    <col min="16" max="16" width="17" customWidth="1"/>
    <col min="20" max="20" width="10.140625" bestFit="1" customWidth="1"/>
    <col min="23" max="23" width="10.28515625" customWidth="1"/>
    <col min="25" max="25" width="12.42578125" bestFit="1" customWidth="1"/>
  </cols>
  <sheetData>
    <row r="1" spans="1:33" x14ac:dyDescent="0.2">
      <c r="C1" s="2" t="s">
        <v>2817</v>
      </c>
      <c r="D1" s="2"/>
      <c r="E1" s="2"/>
      <c r="F1" s="2"/>
      <c r="G1" s="3"/>
      <c r="H1" s="2"/>
      <c r="I1" s="3"/>
      <c r="J1" s="3"/>
      <c r="K1" s="3"/>
      <c r="L1" s="99"/>
      <c r="M1" s="8" t="s">
        <v>179</v>
      </c>
    </row>
    <row r="2" spans="1:33" x14ac:dyDescent="0.2">
      <c r="C2" s="2" t="s">
        <v>1500</v>
      </c>
      <c r="D2" s="2"/>
      <c r="E2" s="2"/>
      <c r="F2" s="2"/>
      <c r="G2" s="3"/>
      <c r="H2" s="2"/>
      <c r="I2" s="3"/>
      <c r="J2" s="3"/>
      <c r="K2" s="3"/>
      <c r="L2" s="99"/>
      <c r="M2" s="8" t="s">
        <v>5875</v>
      </c>
    </row>
    <row r="3" spans="1:33" x14ac:dyDescent="0.2">
      <c r="A3" s="7" t="s">
        <v>5815</v>
      </c>
      <c r="C3" s="2"/>
      <c r="D3" s="4"/>
      <c r="E3" s="4"/>
      <c r="F3" s="7" t="s">
        <v>5877</v>
      </c>
      <c r="G3" s="8" t="s">
        <v>3069</v>
      </c>
      <c r="H3" s="7" t="s">
        <v>5877</v>
      </c>
      <c r="I3" s="8" t="s">
        <v>3069</v>
      </c>
      <c r="J3" s="8" t="s">
        <v>2420</v>
      </c>
      <c r="K3" s="8"/>
      <c r="L3" s="235"/>
      <c r="M3" s="8" t="s">
        <v>177</v>
      </c>
      <c r="N3" s="8" t="s">
        <v>5879</v>
      </c>
      <c r="O3" s="8" t="s">
        <v>5880</v>
      </c>
    </row>
    <row r="4" spans="1:33" x14ac:dyDescent="0.2">
      <c r="A4" s="7" t="s">
        <v>5273</v>
      </c>
      <c r="C4" s="2" t="s">
        <v>2899</v>
      </c>
      <c r="D4" s="4" t="s">
        <v>5875</v>
      </c>
      <c r="E4" s="4" t="s">
        <v>5876</v>
      </c>
      <c r="F4" s="7" t="s">
        <v>5879</v>
      </c>
      <c r="G4" s="8" t="s">
        <v>5878</v>
      </c>
      <c r="H4" s="7" t="s">
        <v>5880</v>
      </c>
      <c r="I4" s="8" t="s">
        <v>5878</v>
      </c>
      <c r="J4" s="8" t="s">
        <v>2366</v>
      </c>
      <c r="K4" s="8" t="s">
        <v>2367</v>
      </c>
      <c r="L4" s="235" t="s">
        <v>5272</v>
      </c>
      <c r="M4" s="8" t="s">
        <v>178</v>
      </c>
      <c r="N4" s="8" t="s">
        <v>180</v>
      </c>
      <c r="O4" s="8" t="s">
        <v>181</v>
      </c>
      <c r="P4" s="8" t="s">
        <v>1398</v>
      </c>
      <c r="Q4" s="382" t="s">
        <v>1399</v>
      </c>
    </row>
    <row r="5" spans="1:33" x14ac:dyDescent="0.2">
      <c r="A5">
        <v>291</v>
      </c>
      <c r="B5" s="27" t="s">
        <v>1609</v>
      </c>
      <c r="C5" s="15" t="s">
        <v>4288</v>
      </c>
      <c r="D5" s="24">
        <f>Runners!Q374</f>
        <v>3</v>
      </c>
      <c r="E5" s="183">
        <f>Runners!Q373</f>
        <v>3</v>
      </c>
      <c r="F5" s="6" t="s">
        <v>5097</v>
      </c>
      <c r="G5" s="1">
        <v>1.6863425925925928E-2</v>
      </c>
      <c r="H5" s="80" t="s">
        <v>3254</v>
      </c>
      <c r="I5" s="1">
        <v>1.7974537037037035E-2</v>
      </c>
      <c r="J5" s="1" t="s">
        <v>5097</v>
      </c>
      <c r="K5" s="34">
        <v>40761</v>
      </c>
      <c r="L5" s="9">
        <v>9</v>
      </c>
      <c r="M5" s="8">
        <v>1.9155092592592592E-2</v>
      </c>
      <c r="N5" s="3">
        <v>1.0868055555555556E-2</v>
      </c>
      <c r="O5" s="3">
        <v>1.2256944444444444E-2</v>
      </c>
      <c r="P5" s="3"/>
      <c r="Q5" s="103" t="s">
        <v>2227</v>
      </c>
      <c r="R5" s="103"/>
      <c r="U5" s="53"/>
      <c r="W5" s="1">
        <f>$N$700-N5</f>
        <v>3.0817266282383987E-4</v>
      </c>
      <c r="X5" s="1">
        <f>N5-$N$700</f>
        <v>-3.0817266282383987E-4</v>
      </c>
      <c r="Y5" s="9">
        <v>9</v>
      </c>
      <c r="Z5">
        <f>Y5*Y5</f>
        <v>81</v>
      </c>
      <c r="AB5" s="1">
        <f>N5-$N$88</f>
        <v>1.2847222222222218E-3</v>
      </c>
      <c r="AC5" s="1"/>
      <c r="AE5" s="1"/>
      <c r="AF5" s="9"/>
    </row>
    <row r="6" spans="1:33" x14ac:dyDescent="0.2">
      <c r="A6">
        <v>52</v>
      </c>
      <c r="B6" s="27" t="s">
        <v>509</v>
      </c>
      <c r="C6" s="74" t="s">
        <v>391</v>
      </c>
      <c r="D6" s="24">
        <f>Runners!G1304</f>
        <v>4</v>
      </c>
      <c r="E6" s="183">
        <f>Runners!G1303</f>
        <v>4</v>
      </c>
      <c r="F6" s="6" t="s">
        <v>1000</v>
      </c>
      <c r="G6" s="1">
        <v>2.0173611111111111E-2</v>
      </c>
      <c r="J6" s="1" t="s">
        <v>1000</v>
      </c>
      <c r="K6" s="34">
        <v>40908</v>
      </c>
      <c r="L6" s="9">
        <v>13</v>
      </c>
      <c r="M6" s="8">
        <v>1.8530092592592595E-2</v>
      </c>
      <c r="N6" s="3">
        <v>1.0324074074074074E-2</v>
      </c>
      <c r="O6" s="3">
        <v>1.1655092592592594E-2</v>
      </c>
      <c r="W6" s="1">
        <f>$N$700-N6</f>
        <v>8.5215414430532196E-4</v>
      </c>
      <c r="X6" s="1">
        <f>N6-$N$700</f>
        <v>-8.5215414430532196E-4</v>
      </c>
      <c r="Y6" s="9">
        <v>56</v>
      </c>
      <c r="Z6">
        <f t="shared" ref="Z6:Z602" si="0">Y6*Y6</f>
        <v>3136</v>
      </c>
      <c r="AB6" s="1">
        <f>N6-$N$88</f>
        <v>7.4074074074073973E-4</v>
      </c>
      <c r="AC6" s="1"/>
      <c r="AE6" s="1"/>
      <c r="AF6" s="9"/>
    </row>
    <row r="7" spans="1:33" x14ac:dyDescent="0.2">
      <c r="A7">
        <v>10</v>
      </c>
      <c r="B7" s="556" t="s">
        <v>1675</v>
      </c>
      <c r="C7" s="532" t="s">
        <v>4203</v>
      </c>
      <c r="D7" s="531">
        <f>Runners!G1073</f>
        <v>3</v>
      </c>
      <c r="E7" s="541">
        <f>Runners!G1072</f>
        <v>7</v>
      </c>
      <c r="F7" s="79" t="s">
        <v>298</v>
      </c>
      <c r="G7" s="334">
        <v>1.6354166666666666E-2</v>
      </c>
      <c r="H7" s="80" t="s">
        <v>5903</v>
      </c>
      <c r="I7" s="1">
        <v>1.9305555555555555E-2</v>
      </c>
      <c r="J7" s="334" t="s">
        <v>6140</v>
      </c>
      <c r="K7" s="34">
        <v>42736</v>
      </c>
      <c r="L7" s="9">
        <v>311</v>
      </c>
      <c r="M7" s="8">
        <v>1.9212962962962963E-2</v>
      </c>
      <c r="N7" s="3">
        <v>1.0069444444444445E-2</v>
      </c>
      <c r="O7" s="3">
        <v>1.1550925925925925E-2</v>
      </c>
      <c r="Q7" s="555" t="s">
        <v>6213</v>
      </c>
      <c r="R7" s="510"/>
      <c r="W7" s="1"/>
      <c r="X7" s="1"/>
      <c r="Y7" s="9"/>
      <c r="AB7" s="1"/>
      <c r="AC7" s="1"/>
      <c r="AE7" s="1"/>
      <c r="AF7" s="9"/>
    </row>
    <row r="8" spans="1:33" x14ac:dyDescent="0.2">
      <c r="A8">
        <v>648</v>
      </c>
      <c r="B8" s="27" t="s">
        <v>4320</v>
      </c>
      <c r="C8" s="74" t="s">
        <v>3093</v>
      </c>
      <c r="D8" s="24">
        <f>Runners!G1289</f>
        <v>2</v>
      </c>
      <c r="E8" s="183">
        <f>Runners!G1288</f>
        <v>2</v>
      </c>
      <c r="F8" s="6" t="s">
        <v>909</v>
      </c>
      <c r="G8" s="1">
        <v>2.071759259259259E-2</v>
      </c>
      <c r="H8" t="s">
        <v>5894</v>
      </c>
      <c r="I8" s="1">
        <v>2.0706018518518519E-2</v>
      </c>
      <c r="J8" s="1" t="s">
        <v>5061</v>
      </c>
      <c r="K8" s="34">
        <v>42436</v>
      </c>
      <c r="L8" s="9">
        <v>232</v>
      </c>
      <c r="M8" s="8">
        <v>2.1030092592592597E-2</v>
      </c>
      <c r="N8" s="3">
        <v>1.0543981481481481E-2</v>
      </c>
      <c r="O8" s="3">
        <v>1.2395833333333335E-2</v>
      </c>
      <c r="W8" s="1">
        <f>$N$700-N8</f>
        <v>6.3224673689791545E-4</v>
      </c>
      <c r="X8" s="1">
        <f>N8-$N$700</f>
        <v>-6.3224673689791545E-4</v>
      </c>
      <c r="Y8" s="9">
        <v>37</v>
      </c>
      <c r="Z8">
        <f t="shared" si="0"/>
        <v>1369</v>
      </c>
      <c r="AB8" s="1">
        <f>N8-$N$88</f>
        <v>9.6064814814814624E-4</v>
      </c>
      <c r="AC8" s="1"/>
      <c r="AE8" s="1"/>
      <c r="AF8" s="9"/>
    </row>
    <row r="9" spans="1:33" x14ac:dyDescent="0.2">
      <c r="A9">
        <v>1267</v>
      </c>
      <c r="B9" s="27" t="s">
        <v>5930</v>
      </c>
      <c r="C9" s="74" t="s">
        <v>4090</v>
      </c>
      <c r="D9" s="24">
        <f>Runners!G216</f>
        <v>5</v>
      </c>
      <c r="E9" s="183">
        <f>Runners!G215</f>
        <v>7</v>
      </c>
      <c r="F9" s="6" t="s">
        <v>5096</v>
      </c>
      <c r="G9" s="1">
        <v>1.4791666666666668E-2</v>
      </c>
      <c r="J9" s="1" t="s">
        <v>4778</v>
      </c>
      <c r="K9" s="34">
        <v>42203</v>
      </c>
      <c r="L9" s="9">
        <v>186</v>
      </c>
      <c r="M9" s="8">
        <v>1.9803240740740739E-2</v>
      </c>
      <c r="N9" s="3">
        <v>1.1817129629629629E-2</v>
      </c>
      <c r="O9" s="3">
        <v>1.3865740740740739E-2</v>
      </c>
      <c r="Q9" s="53"/>
      <c r="R9" s="53"/>
      <c r="U9" s="53"/>
      <c r="W9" s="1">
        <f>$N$700-N9</f>
        <v>-6.409014112502328E-4</v>
      </c>
      <c r="X9" s="1">
        <f>N9-$N$700</f>
        <v>6.409014112502328E-4</v>
      </c>
      <c r="Y9" s="9">
        <v>73</v>
      </c>
      <c r="Z9">
        <f t="shared" si="0"/>
        <v>5329</v>
      </c>
      <c r="AB9" s="1">
        <f>N9-$N$88</f>
        <v>2.2337962962962945E-3</v>
      </c>
      <c r="AC9" s="1"/>
      <c r="AE9" s="1"/>
      <c r="AF9" s="9"/>
    </row>
    <row r="10" spans="1:33" x14ac:dyDescent="0.2">
      <c r="A10">
        <v>407</v>
      </c>
      <c r="B10" s="27" t="s">
        <v>813</v>
      </c>
      <c r="C10" s="74" t="s">
        <v>3304</v>
      </c>
      <c r="D10" s="24">
        <f>Runners!G420</f>
        <v>12</v>
      </c>
      <c r="E10" s="183">
        <f>Runners!G419</f>
        <v>17</v>
      </c>
      <c r="F10" s="6" t="s">
        <v>5881</v>
      </c>
      <c r="G10" s="1">
        <v>1.4826388888888889E-2</v>
      </c>
      <c r="H10" s="1374" t="s">
        <v>5241</v>
      </c>
      <c r="I10" s="1412">
        <v>1.6238425925925924E-2</v>
      </c>
      <c r="J10" s="1" t="s">
        <v>1000</v>
      </c>
      <c r="K10" s="34">
        <v>41314</v>
      </c>
      <c r="L10" s="9">
        <v>54</v>
      </c>
      <c r="M10" s="8">
        <v>2.028935185185185E-2</v>
      </c>
      <c r="N10" s="3">
        <v>1.1423611111111112E-2</v>
      </c>
      <c r="O10" s="3">
        <v>1.224537037037037E-2</v>
      </c>
      <c r="W10" s="1">
        <f>$N$700-N10</f>
        <v>-2.4738289273171579E-4</v>
      </c>
      <c r="X10" s="1">
        <f>N10-$N$700</f>
        <v>2.4738289273171579E-4</v>
      </c>
      <c r="Y10" s="9">
        <v>39</v>
      </c>
      <c r="Z10">
        <f t="shared" si="0"/>
        <v>1521</v>
      </c>
      <c r="AB10" s="1">
        <f>N10-$N$88</f>
        <v>1.8402777777777775E-3</v>
      </c>
      <c r="AC10" s="1"/>
      <c r="AE10" s="1"/>
      <c r="AF10" s="9"/>
    </row>
    <row r="11" spans="1:33" x14ac:dyDescent="0.2">
      <c r="A11">
        <v>300</v>
      </c>
      <c r="B11" s="27" t="s">
        <v>1611</v>
      </c>
      <c r="C11" s="74" t="s">
        <v>999</v>
      </c>
      <c r="D11" s="24">
        <f>Runners!G460</f>
        <v>7</v>
      </c>
      <c r="E11" s="183">
        <f>Runners!G459</f>
        <v>8</v>
      </c>
      <c r="F11" s="6" t="s">
        <v>1000</v>
      </c>
      <c r="G11" s="1">
        <v>1.9803240740740739E-2</v>
      </c>
      <c r="H11" s="1374" t="s">
        <v>1440</v>
      </c>
      <c r="I11" s="1412">
        <v>2.1064814814814814E-2</v>
      </c>
      <c r="J11" s="32" t="s">
        <v>1000</v>
      </c>
      <c r="K11" s="34">
        <v>41132</v>
      </c>
      <c r="L11" s="9">
        <v>36</v>
      </c>
      <c r="M11" s="8">
        <v>1.8969907407407408E-2</v>
      </c>
      <c r="N11" s="3">
        <v>1.105324074074074E-2</v>
      </c>
      <c r="O11" s="3">
        <v>1.252314814814815E-2</v>
      </c>
      <c r="P11" t="s">
        <v>988</v>
      </c>
      <c r="W11" s="1">
        <f>$N$700-N11</f>
        <v>1.2298747763865581E-4</v>
      </c>
      <c r="X11" s="1">
        <f>N11-$N$700</f>
        <v>-1.2298747763865581E-4</v>
      </c>
      <c r="Y11" s="9">
        <v>7</v>
      </c>
      <c r="Z11">
        <f t="shared" si="0"/>
        <v>49</v>
      </c>
      <c r="AB11" s="1">
        <f>N11-$N$88</f>
        <v>1.4699074074074059E-3</v>
      </c>
      <c r="AC11" s="1"/>
      <c r="AE11" s="1"/>
      <c r="AF11" s="9"/>
    </row>
    <row r="12" spans="1:33" x14ac:dyDescent="0.2">
      <c r="A12">
        <v>2204</v>
      </c>
      <c r="B12" s="493" t="s">
        <v>12899</v>
      </c>
      <c r="C12" s="415" t="s">
        <v>12900</v>
      </c>
      <c r="D12" s="24">
        <f>Runners!Q1200</f>
        <v>1</v>
      </c>
      <c r="E12" s="183">
        <f>Runners!Q1199</f>
        <v>1</v>
      </c>
      <c r="F12" s="6"/>
      <c r="H12" s="513" t="s">
        <v>8441</v>
      </c>
      <c r="I12" s="512">
        <v>2.3946759259259261E-2</v>
      </c>
      <c r="J12" s="512" t="s">
        <v>8441</v>
      </c>
      <c r="K12" s="34">
        <v>43631</v>
      </c>
      <c r="L12" s="9">
        <v>503</v>
      </c>
      <c r="M12" s="8">
        <v>1.9629629629629629E-2</v>
      </c>
      <c r="N12" s="3">
        <v>1.1898148148148149E-2</v>
      </c>
      <c r="O12" s="3">
        <v>1.2962962962962963E-2</v>
      </c>
      <c r="P12" s="80" t="s">
        <v>12901</v>
      </c>
      <c r="W12" s="1">
        <f>$N$700-N12</f>
        <v>-7.2191992976875299E-4</v>
      </c>
      <c r="X12" s="1">
        <f>N12-$N$700</f>
        <v>7.2191992976875299E-4</v>
      </c>
      <c r="Y12" s="9"/>
      <c r="AB12" s="1">
        <f>N12-$N$88</f>
        <v>2.3148148148148147E-3</v>
      </c>
      <c r="AC12" s="1"/>
      <c r="AE12" s="1"/>
      <c r="AF12" s="9"/>
    </row>
    <row r="13" spans="1:33" x14ac:dyDescent="0.2">
      <c r="A13">
        <v>2364</v>
      </c>
      <c r="B13" s="27" t="s">
        <v>12784</v>
      </c>
      <c r="C13" s="415" t="s">
        <v>12786</v>
      </c>
      <c r="D13" s="24">
        <f>Runners!G957</f>
        <v>1</v>
      </c>
      <c r="E13" s="183">
        <f>Runners!G956</f>
        <v>1</v>
      </c>
      <c r="F13" s="6"/>
      <c r="H13" s="1374" t="s">
        <v>1062</v>
      </c>
      <c r="I13" s="1412">
        <v>2.3159722222222224E-2</v>
      </c>
      <c r="J13" s="512" t="s">
        <v>1062</v>
      </c>
      <c r="K13" s="34">
        <v>43617</v>
      </c>
      <c r="L13" s="173" t="s">
        <v>12783</v>
      </c>
      <c r="M13" s="8">
        <v>2.0324074074074074E-2</v>
      </c>
      <c r="N13" s="3">
        <v>1.230324074074074E-2</v>
      </c>
      <c r="O13" s="3">
        <v>1.5092592592592593E-2</v>
      </c>
      <c r="P13" s="3"/>
      <c r="Q13" s="80" t="s">
        <v>12785</v>
      </c>
      <c r="X13" s="1">
        <f>$N$700-N13</f>
        <v>-1.1270125223613436E-3</v>
      </c>
      <c r="Y13" s="1">
        <f>N13-$N$700</f>
        <v>1.1270125223613436E-3</v>
      </c>
      <c r="Z13" s="9"/>
      <c r="AC13" s="1">
        <f>N13-$N$88</f>
        <v>2.7199074074074053E-3</v>
      </c>
      <c r="AD13" s="1"/>
      <c r="AF13" s="1"/>
      <c r="AG13" s="9"/>
    </row>
    <row r="14" spans="1:33" x14ac:dyDescent="0.2">
      <c r="A14">
        <v>64</v>
      </c>
      <c r="B14" s="27" t="s">
        <v>1357</v>
      </c>
      <c r="C14" s="74" t="s">
        <v>494</v>
      </c>
      <c r="D14" s="24">
        <f>Runners!H420</f>
        <v>3</v>
      </c>
      <c r="E14" s="183">
        <f>Runners!H419</f>
        <v>3</v>
      </c>
      <c r="F14" s="79" t="s">
        <v>1270</v>
      </c>
      <c r="G14" s="1">
        <v>1.4305555555555557E-2</v>
      </c>
      <c r="J14" s="32" t="s">
        <v>1000</v>
      </c>
      <c r="K14" s="34">
        <v>41825</v>
      </c>
      <c r="L14" s="9">
        <v>115</v>
      </c>
      <c r="M14" s="8">
        <v>1.9212962962962963E-2</v>
      </c>
      <c r="N14" s="3">
        <v>1.1238425925925928E-2</v>
      </c>
      <c r="O14" s="3">
        <v>1.2395833333333335E-2</v>
      </c>
      <c r="W14" s="1">
        <f t="shared" ref="W14:W20" si="1">$N$700-N14</f>
        <v>-6.2197707546531728E-5</v>
      </c>
      <c r="X14" s="1">
        <f t="shared" ref="X14:X20" si="2">N14-$N$700</f>
        <v>6.2197707546531728E-5</v>
      </c>
      <c r="Y14" s="9">
        <v>23</v>
      </c>
      <c r="Z14">
        <f t="shared" si="0"/>
        <v>529</v>
      </c>
      <c r="AB14" s="1">
        <f t="shared" ref="AB14:AB20" si="3">N14-$N$88</f>
        <v>1.6550925925925934E-3</v>
      </c>
      <c r="AC14" s="1"/>
      <c r="AE14" s="1"/>
      <c r="AF14" s="9"/>
    </row>
    <row r="15" spans="1:33" x14ac:dyDescent="0.2">
      <c r="A15">
        <v>103</v>
      </c>
      <c r="B15" s="552" t="s">
        <v>3441</v>
      </c>
      <c r="C15" s="532" t="s">
        <v>4575</v>
      </c>
      <c r="D15" s="531">
        <f>Runners!G579</f>
        <v>1</v>
      </c>
      <c r="E15" s="541">
        <f>Runners!G578</f>
        <v>1</v>
      </c>
      <c r="F15" s="6"/>
      <c r="H15" s="513" t="s">
        <v>1440</v>
      </c>
      <c r="I15" s="1">
        <v>1.9247685185185184E-2</v>
      </c>
      <c r="J15" s="334" t="s">
        <v>1440</v>
      </c>
      <c r="K15" s="34">
        <v>43288</v>
      </c>
      <c r="L15" s="1398">
        <v>418</v>
      </c>
      <c r="M15" s="8">
        <v>1.9895833333333331E-2</v>
      </c>
      <c r="N15" s="3">
        <v>1.0937500000000001E-2</v>
      </c>
      <c r="O15" s="3">
        <v>1.2581018518518519E-2</v>
      </c>
      <c r="W15" s="1">
        <f t="shared" si="1"/>
        <v>2.3872821837939498E-4</v>
      </c>
      <c r="X15" s="1">
        <f t="shared" si="2"/>
        <v>-2.3872821837939498E-4</v>
      </c>
      <c r="Y15" s="9"/>
      <c r="AB15" s="1">
        <f t="shared" si="3"/>
        <v>1.3541666666666667E-3</v>
      </c>
      <c r="AC15" s="1"/>
      <c r="AE15" s="1"/>
      <c r="AF15" s="9"/>
    </row>
    <row r="16" spans="1:33" x14ac:dyDescent="0.2">
      <c r="A16">
        <v>50</v>
      </c>
      <c r="B16" s="27" t="s">
        <v>4046</v>
      </c>
      <c r="C16" s="74" t="s">
        <v>1898</v>
      </c>
      <c r="D16" s="24">
        <f>Runners!G714</f>
        <v>4</v>
      </c>
      <c r="E16" s="183">
        <f>Runners!G713</f>
        <v>7</v>
      </c>
      <c r="F16" s="6" t="s">
        <v>1000</v>
      </c>
      <c r="G16" s="1">
        <v>1.8912037037037036E-2</v>
      </c>
      <c r="H16" s="197" t="s">
        <v>23</v>
      </c>
      <c r="I16" s="32">
        <v>2.1099537037037038E-2</v>
      </c>
      <c r="J16" s="32" t="s">
        <v>1000</v>
      </c>
      <c r="K16" s="33">
        <v>42245</v>
      </c>
      <c r="L16" s="9">
        <v>194</v>
      </c>
      <c r="M16" s="8">
        <v>1.8912037037037036E-2</v>
      </c>
      <c r="N16" s="3">
        <v>1.1435185185185185E-2</v>
      </c>
      <c r="O16" s="3">
        <v>1.2719907407407407E-2</v>
      </c>
      <c r="P16" s="5"/>
      <c r="Q16" s="103" t="s">
        <v>1395</v>
      </c>
      <c r="R16" s="103"/>
      <c r="U16" s="53"/>
      <c r="W16" s="1">
        <f t="shared" si="1"/>
        <v>-2.5895696680578936E-4</v>
      </c>
      <c r="X16" s="1">
        <f t="shared" si="2"/>
        <v>2.5895696680578936E-4</v>
      </c>
      <c r="Y16" s="9">
        <v>40</v>
      </c>
      <c r="Z16">
        <f t="shared" si="0"/>
        <v>1600</v>
      </c>
      <c r="AB16" s="1">
        <f t="shared" si="3"/>
        <v>1.8518518518518511E-3</v>
      </c>
      <c r="AC16" s="1"/>
      <c r="AE16" s="1"/>
      <c r="AF16" s="9"/>
    </row>
    <row r="17" spans="1:32" x14ac:dyDescent="0.2">
      <c r="A17">
        <v>1811</v>
      </c>
      <c r="B17" s="493" t="s">
        <v>16779</v>
      </c>
      <c r="C17" s="415" t="s">
        <v>16780</v>
      </c>
      <c r="D17" s="24">
        <f>Runners!S1410</f>
        <v>1</v>
      </c>
      <c r="E17" s="183">
        <f>Runners!S1409</f>
        <v>1</v>
      </c>
      <c r="F17" s="79" t="s">
        <v>334</v>
      </c>
      <c r="G17" s="1">
        <v>1.4236111111111111E-2</v>
      </c>
      <c r="H17" s="197"/>
      <c r="I17" s="32"/>
      <c r="J17" s="334" t="s">
        <v>334</v>
      </c>
      <c r="K17" s="33">
        <v>43855</v>
      </c>
      <c r="M17" s="8">
        <v>2.8611111111111115E-2</v>
      </c>
      <c r="N17" s="3">
        <v>1.1805555555555555E-2</v>
      </c>
      <c r="O17" s="3">
        <v>1.4166666666666666E-2</v>
      </c>
      <c r="P17" s="1899"/>
      <c r="Q17" s="1474"/>
      <c r="R17" s="1474"/>
      <c r="U17" s="53"/>
      <c r="W17" s="1">
        <f t="shared" si="1"/>
        <v>-6.2932733717615923E-4</v>
      </c>
      <c r="X17" s="1">
        <f t="shared" si="2"/>
        <v>6.2932733717615923E-4</v>
      </c>
      <c r="Y17" s="9"/>
      <c r="AB17" s="1">
        <f t="shared" si="3"/>
        <v>2.2222222222222209E-3</v>
      </c>
      <c r="AC17" s="1"/>
      <c r="AE17" s="1"/>
      <c r="AF17" s="9"/>
    </row>
    <row r="18" spans="1:32" x14ac:dyDescent="0.2">
      <c r="A18">
        <v>450</v>
      </c>
      <c r="B18" s="27" t="s">
        <v>4617</v>
      </c>
      <c r="C18" s="74" t="s">
        <v>993</v>
      </c>
      <c r="D18" s="24">
        <f>Runners!G374</f>
        <v>4</v>
      </c>
      <c r="E18" s="183">
        <f>Runners!G373</f>
        <v>5</v>
      </c>
      <c r="F18" s="6" t="s">
        <v>5096</v>
      </c>
      <c r="G18" s="1">
        <v>1.4687499999999999E-2</v>
      </c>
      <c r="H18" s="80" t="s">
        <v>3254</v>
      </c>
      <c r="I18" s="1">
        <v>1.7708333333333333E-2</v>
      </c>
      <c r="J18" s="1" t="s">
        <v>5096</v>
      </c>
      <c r="K18" s="34">
        <v>41580</v>
      </c>
      <c r="L18" s="9">
        <v>76</v>
      </c>
      <c r="M18" s="8">
        <v>1.9560185185185184E-2</v>
      </c>
      <c r="N18" s="3">
        <v>1.0439814814814813E-2</v>
      </c>
      <c r="O18" s="3">
        <v>1.2708333333333334E-2</v>
      </c>
      <c r="Q18" s="103" t="s">
        <v>269</v>
      </c>
      <c r="R18" s="103"/>
      <c r="U18" s="53"/>
      <c r="W18" s="1">
        <f t="shared" si="1"/>
        <v>7.3641340356458279E-4</v>
      </c>
      <c r="X18" s="1">
        <f t="shared" si="2"/>
        <v>-7.3641340356458279E-4</v>
      </c>
      <c r="Y18" s="9">
        <v>46</v>
      </c>
      <c r="Z18">
        <f t="shared" si="0"/>
        <v>2116</v>
      </c>
      <c r="AB18" s="1">
        <f t="shared" si="3"/>
        <v>8.564814814814789E-4</v>
      </c>
      <c r="AC18" s="1"/>
      <c r="AE18" s="1"/>
      <c r="AF18" s="9"/>
    </row>
    <row r="19" spans="1:32" x14ac:dyDescent="0.2">
      <c r="A19">
        <v>341</v>
      </c>
      <c r="B19" s="27" t="s">
        <v>4503</v>
      </c>
      <c r="C19" s="74" t="s">
        <v>841</v>
      </c>
      <c r="D19" s="24">
        <f>Runners!G1138</f>
        <v>1</v>
      </c>
      <c r="E19" s="183">
        <f>Runners!G1137</f>
        <v>1</v>
      </c>
      <c r="F19" s="6" t="s">
        <v>1000</v>
      </c>
      <c r="G19" s="1">
        <v>2.0046296296296295E-2</v>
      </c>
      <c r="H19" s="53"/>
      <c r="J19" s="32" t="s">
        <v>1000</v>
      </c>
      <c r="K19" s="34">
        <v>41930</v>
      </c>
      <c r="L19" s="9">
        <v>135</v>
      </c>
      <c r="M19" s="8">
        <v>2.0474537037037038E-2</v>
      </c>
      <c r="N19" s="3">
        <v>1.2048611111111112E-2</v>
      </c>
      <c r="O19" s="3">
        <v>1.3796296296296298E-2</v>
      </c>
      <c r="Q19" s="53"/>
      <c r="R19" s="53"/>
      <c r="U19" s="53"/>
      <c r="W19" s="1">
        <f t="shared" si="1"/>
        <v>-8.7238289273171635E-4</v>
      </c>
      <c r="X19" s="1">
        <f t="shared" si="2"/>
        <v>8.7238289273171635E-4</v>
      </c>
      <c r="Y19" s="9">
        <v>93</v>
      </c>
      <c r="Z19">
        <f t="shared" si="0"/>
        <v>8649</v>
      </c>
      <c r="AB19" s="1">
        <f t="shared" si="3"/>
        <v>2.465277777777778E-3</v>
      </c>
      <c r="AC19" s="1"/>
      <c r="AE19" s="1"/>
      <c r="AF19" s="9"/>
    </row>
    <row r="20" spans="1:32" x14ac:dyDescent="0.2">
      <c r="A20">
        <v>2427</v>
      </c>
      <c r="B20" s="27" t="s">
        <v>15449</v>
      </c>
      <c r="C20" s="415" t="s">
        <v>13376</v>
      </c>
      <c r="D20" s="24">
        <f>Runners!G877</f>
        <v>2</v>
      </c>
      <c r="E20" s="183">
        <f>Runners!G876</f>
        <v>2</v>
      </c>
      <c r="F20" s="1415" t="s">
        <v>15491</v>
      </c>
      <c r="G20" s="1412">
        <v>2.0543981481481479E-2</v>
      </c>
      <c r="H20" s="1374" t="s">
        <v>1062</v>
      </c>
      <c r="I20" s="1412">
        <v>2.3344907407407408E-2</v>
      </c>
      <c r="J20" s="334" t="s">
        <v>9179</v>
      </c>
      <c r="K20" s="34">
        <v>43722</v>
      </c>
      <c r="M20" s="8">
        <v>2.1111111111111108E-2</v>
      </c>
      <c r="N20" s="3">
        <v>1.136574074074074E-2</v>
      </c>
      <c r="O20" s="3">
        <v>1.2824074074074073E-2</v>
      </c>
      <c r="Q20" s="53"/>
      <c r="R20" s="53"/>
      <c r="U20" s="53"/>
      <c r="W20" s="1">
        <f t="shared" si="1"/>
        <v>-1.8951252236134447E-4</v>
      </c>
      <c r="X20" s="1">
        <f t="shared" si="2"/>
        <v>1.8951252236134447E-4</v>
      </c>
      <c r="Y20" s="9"/>
      <c r="AB20" s="1">
        <f t="shared" si="3"/>
        <v>1.7824074074074062E-3</v>
      </c>
      <c r="AC20" s="1"/>
      <c r="AE20" s="1"/>
      <c r="AF20" s="9"/>
    </row>
    <row r="21" spans="1:32" x14ac:dyDescent="0.2">
      <c r="A21">
        <v>1798</v>
      </c>
      <c r="B21" s="568" t="s">
        <v>12657</v>
      </c>
      <c r="C21" s="568" t="s">
        <v>10400</v>
      </c>
      <c r="D21" s="585"/>
      <c r="E21" s="1002"/>
      <c r="F21" s="6"/>
      <c r="H21" s="53"/>
      <c r="J21" s="32"/>
      <c r="K21" s="34"/>
      <c r="Q21" s="635" t="s">
        <v>12658</v>
      </c>
      <c r="R21" s="635"/>
      <c r="U21" s="53"/>
      <c r="W21" s="1"/>
      <c r="X21" s="1"/>
      <c r="Y21" s="9"/>
      <c r="AB21" s="1"/>
      <c r="AC21" s="1"/>
      <c r="AE21" s="1"/>
      <c r="AF21" s="9"/>
    </row>
    <row r="22" spans="1:32" x14ac:dyDescent="0.2">
      <c r="A22">
        <v>1235</v>
      </c>
      <c r="B22" s="493" t="s">
        <v>9073</v>
      </c>
      <c r="C22" s="415" t="s">
        <v>9074</v>
      </c>
      <c r="D22" s="24">
        <f>Runners!O1410</f>
        <v>1</v>
      </c>
      <c r="E22" s="183">
        <f>Runners!O1409</f>
        <v>1</v>
      </c>
      <c r="F22" s="79" t="s">
        <v>8360</v>
      </c>
      <c r="G22" s="1">
        <v>1.6481481481481482E-2</v>
      </c>
      <c r="H22" s="53"/>
      <c r="J22" s="334" t="s">
        <v>8360</v>
      </c>
      <c r="K22" s="34">
        <v>43106</v>
      </c>
      <c r="L22" s="1398">
        <v>377</v>
      </c>
      <c r="M22" s="8">
        <v>2.8043981481481479E-2</v>
      </c>
      <c r="N22" s="3">
        <v>1.0416666666666666E-2</v>
      </c>
      <c r="O22" s="3">
        <v>1.2881944444444446E-2</v>
      </c>
      <c r="Q22" s="53"/>
      <c r="R22" s="53"/>
      <c r="U22" s="53"/>
      <c r="W22" s="1">
        <f t="shared" ref="W22:W53" si="4">$N$700-N22</f>
        <v>7.5956155171272993E-4</v>
      </c>
      <c r="X22" s="1">
        <f t="shared" ref="X22:X53" si="5">N22-$N$700</f>
        <v>-7.5956155171272993E-4</v>
      </c>
      <c r="Y22" s="9"/>
      <c r="AB22" s="1">
        <f t="shared" ref="AB22:AB53" si="6">N22-$N$88</f>
        <v>8.3333333333333176E-4</v>
      </c>
      <c r="AC22" s="1"/>
      <c r="AE22" s="1"/>
      <c r="AF22" s="9"/>
    </row>
    <row r="23" spans="1:32" x14ac:dyDescent="0.2">
      <c r="A23">
        <v>395</v>
      </c>
      <c r="B23" s="27" t="s">
        <v>122</v>
      </c>
      <c r="C23" s="15" t="s">
        <v>4289</v>
      </c>
      <c r="D23" s="24">
        <f>Runners!H1304</f>
        <v>1</v>
      </c>
      <c r="E23" s="183">
        <f>Runners!H1303</f>
        <v>1</v>
      </c>
      <c r="F23" s="6" t="s">
        <v>1000</v>
      </c>
      <c r="G23" s="1">
        <v>1.9571759259259257E-2</v>
      </c>
      <c r="J23" s="32" t="s">
        <v>1000</v>
      </c>
      <c r="K23" s="34">
        <v>41272</v>
      </c>
      <c r="L23" s="9">
        <v>49</v>
      </c>
      <c r="M23" s="8">
        <v>1.8877314814814816E-2</v>
      </c>
      <c r="N23" s="3">
        <v>1.1018518518518518E-2</v>
      </c>
      <c r="O23" s="3">
        <v>1.2442129629629629E-2</v>
      </c>
      <c r="W23" s="1">
        <f t="shared" si="4"/>
        <v>1.5770969986087825E-4</v>
      </c>
      <c r="X23" s="1">
        <f t="shared" si="5"/>
        <v>-1.5770969986087825E-4</v>
      </c>
      <c r="Y23" s="9">
        <v>4</v>
      </c>
      <c r="Z23">
        <f t="shared" si="0"/>
        <v>16</v>
      </c>
      <c r="AB23" s="1">
        <f t="shared" si="6"/>
        <v>1.4351851851851834E-3</v>
      </c>
      <c r="AC23" s="1"/>
      <c r="AE23" s="1"/>
      <c r="AF23" s="9"/>
    </row>
    <row r="24" spans="1:32" x14ac:dyDescent="0.2">
      <c r="A24">
        <v>38</v>
      </c>
      <c r="B24" s="27" t="s">
        <v>2989</v>
      </c>
      <c r="C24" s="74" t="s">
        <v>4453</v>
      </c>
      <c r="D24" s="24">
        <f>Runners!R374</f>
        <v>2</v>
      </c>
      <c r="E24" s="183">
        <f>Runners!R373</f>
        <v>3</v>
      </c>
      <c r="F24" s="6" t="s">
        <v>5096</v>
      </c>
      <c r="G24" s="1">
        <v>1.4953703703703705E-2</v>
      </c>
      <c r="J24" s="1" t="s">
        <v>1000</v>
      </c>
      <c r="K24" s="34">
        <v>42112</v>
      </c>
      <c r="L24" s="9">
        <v>160</v>
      </c>
      <c r="M24" s="8">
        <v>1.9664351851851853E-2</v>
      </c>
      <c r="N24" s="3">
        <v>1.1458333333333334E-2</v>
      </c>
      <c r="O24" s="3">
        <v>1.2581018518518519E-2</v>
      </c>
      <c r="W24" s="1">
        <f t="shared" si="4"/>
        <v>-2.8210511495393824E-4</v>
      </c>
      <c r="X24" s="1">
        <f t="shared" si="5"/>
        <v>2.8210511495393824E-4</v>
      </c>
      <c r="Y24" s="9">
        <v>42</v>
      </c>
      <c r="Z24">
        <f t="shared" si="0"/>
        <v>1764</v>
      </c>
      <c r="AB24" s="1">
        <f t="shared" si="6"/>
        <v>1.8749999999999999E-3</v>
      </c>
      <c r="AC24" s="1"/>
      <c r="AE24" s="1"/>
      <c r="AF24" s="9"/>
    </row>
    <row r="25" spans="1:32" x14ac:dyDescent="0.2">
      <c r="A25">
        <v>3</v>
      </c>
      <c r="B25" s="27" t="s">
        <v>579</v>
      </c>
      <c r="C25" s="74" t="s">
        <v>527</v>
      </c>
      <c r="D25" s="947">
        <f>Runners!I216</f>
        <v>13</v>
      </c>
      <c r="E25" s="948">
        <f>Runners!I215</f>
        <v>60</v>
      </c>
      <c r="F25" s="6" t="s">
        <v>4407</v>
      </c>
      <c r="G25" s="32">
        <v>1.5104166666666667E-2</v>
      </c>
      <c r="H25" s="206" t="s">
        <v>5241</v>
      </c>
      <c r="I25" s="32">
        <v>1.5162037037037036E-2</v>
      </c>
      <c r="J25" s="32" t="s">
        <v>1000</v>
      </c>
      <c r="K25" s="33">
        <v>41818</v>
      </c>
      <c r="L25" s="9">
        <v>113</v>
      </c>
      <c r="M25" s="8">
        <v>1.8252314814814815E-2</v>
      </c>
      <c r="N25" s="3">
        <v>1.0706018518518517E-2</v>
      </c>
      <c r="O25" s="3">
        <v>1.1817129629629629E-2</v>
      </c>
      <c r="P25" t="s">
        <v>7787</v>
      </c>
      <c r="Q25" s="53"/>
      <c r="R25" s="53"/>
      <c r="U25" s="53"/>
      <c r="W25" s="1">
        <f t="shared" si="4"/>
        <v>4.7020969986087853E-4</v>
      </c>
      <c r="X25" s="1">
        <f t="shared" si="5"/>
        <v>-4.7020969986087853E-4</v>
      </c>
      <c r="Y25" s="9">
        <v>23</v>
      </c>
      <c r="Z25">
        <f t="shared" si="0"/>
        <v>529</v>
      </c>
      <c r="AB25" s="1">
        <f t="shared" si="6"/>
        <v>1.1226851851851832E-3</v>
      </c>
      <c r="AC25" s="1"/>
      <c r="AE25" s="1"/>
      <c r="AF25" s="9"/>
    </row>
    <row r="26" spans="1:32" x14ac:dyDescent="0.2">
      <c r="A26">
        <v>1245</v>
      </c>
      <c r="B26" s="27" t="s">
        <v>5007</v>
      </c>
      <c r="C26" s="74" t="s">
        <v>2885</v>
      </c>
      <c r="D26" s="24">
        <f>Runners!O539</f>
        <v>4</v>
      </c>
      <c r="E26" s="183">
        <f>Runners!O538</f>
        <v>4</v>
      </c>
      <c r="F26" s="6" t="s">
        <v>3884</v>
      </c>
      <c r="G26" s="1">
        <v>1.9016203703703705E-2</v>
      </c>
      <c r="J26" s="254" t="s">
        <v>3884</v>
      </c>
      <c r="K26" s="34">
        <v>42259</v>
      </c>
      <c r="L26" s="9">
        <v>196</v>
      </c>
      <c r="M26" s="8">
        <v>2.1238425925925924E-2</v>
      </c>
      <c r="N26" s="3">
        <v>1.2337962962962962E-2</v>
      </c>
      <c r="O26" s="3">
        <v>1.4363425925925925E-2</v>
      </c>
      <c r="W26" s="1">
        <f t="shared" si="4"/>
        <v>-1.161734744583566E-3</v>
      </c>
      <c r="X26" s="1">
        <f t="shared" si="5"/>
        <v>1.161734744583566E-3</v>
      </c>
      <c r="Y26" s="99">
        <v>118</v>
      </c>
      <c r="Z26">
        <f t="shared" si="0"/>
        <v>13924</v>
      </c>
      <c r="AB26" s="1">
        <f t="shared" si="6"/>
        <v>2.7546296296296277E-3</v>
      </c>
      <c r="AC26" s="1"/>
      <c r="AE26" s="1"/>
      <c r="AF26" s="9"/>
    </row>
    <row r="27" spans="1:32" x14ac:dyDescent="0.2">
      <c r="A27">
        <v>406</v>
      </c>
      <c r="B27" s="27" t="s">
        <v>3603</v>
      </c>
      <c r="C27" s="74" t="s">
        <v>1783</v>
      </c>
      <c r="D27" s="24">
        <f>Runners!H460</f>
        <v>2</v>
      </c>
      <c r="E27" s="183">
        <f>Runners!H459</f>
        <v>2</v>
      </c>
      <c r="F27" s="6" t="s">
        <v>1000</v>
      </c>
      <c r="G27" s="1">
        <v>1.7361111111111112E-2</v>
      </c>
      <c r="J27" s="1" t="s">
        <v>4778</v>
      </c>
      <c r="K27" s="34">
        <v>41874</v>
      </c>
      <c r="L27" s="9">
        <v>125</v>
      </c>
      <c r="M27" s="8">
        <v>1.9340277777777779E-2</v>
      </c>
      <c r="N27" s="3">
        <v>1.1041666666666667E-2</v>
      </c>
      <c r="O27" s="3">
        <v>1.2442129629629629E-2</v>
      </c>
      <c r="W27" s="1">
        <f t="shared" si="4"/>
        <v>1.3456155171272938E-4</v>
      </c>
      <c r="X27" s="1">
        <f t="shared" si="5"/>
        <v>-1.3456155171272938E-4</v>
      </c>
      <c r="Y27" s="9">
        <v>6</v>
      </c>
      <c r="Z27">
        <f t="shared" si="0"/>
        <v>36</v>
      </c>
      <c r="AB27" s="1">
        <f t="shared" si="6"/>
        <v>1.4583333333333323E-3</v>
      </c>
      <c r="AC27" s="1"/>
      <c r="AE27" s="1"/>
      <c r="AF27" s="9"/>
    </row>
    <row r="28" spans="1:32" x14ac:dyDescent="0.2">
      <c r="A28">
        <v>240</v>
      </c>
      <c r="B28" s="556" t="s">
        <v>10190</v>
      </c>
      <c r="C28" s="532" t="s">
        <v>10191</v>
      </c>
      <c r="D28" s="531">
        <f>Runners!H1048</f>
        <v>1</v>
      </c>
      <c r="E28" s="541">
        <f>Runners!H1047</f>
        <v>4</v>
      </c>
      <c r="F28" s="6"/>
      <c r="H28" s="1091" t="s">
        <v>10188</v>
      </c>
      <c r="I28" s="1">
        <v>2.359953703703704E-2</v>
      </c>
      <c r="J28" s="1" t="s">
        <v>10188</v>
      </c>
      <c r="K28" s="34">
        <v>43337</v>
      </c>
      <c r="L28" s="1398">
        <v>434</v>
      </c>
      <c r="M28" s="8">
        <v>1.9675925925925927E-2</v>
      </c>
      <c r="N28" s="3">
        <v>1.1064814814814814E-2</v>
      </c>
      <c r="O28" s="3">
        <v>1.2222222222222223E-2</v>
      </c>
      <c r="Q28" s="581" t="s">
        <v>10189</v>
      </c>
      <c r="R28" s="530"/>
      <c r="S28" s="510"/>
      <c r="W28" s="1">
        <f t="shared" si="4"/>
        <v>1.1141340356458224E-4</v>
      </c>
      <c r="X28" s="1">
        <f t="shared" si="5"/>
        <v>-1.1141340356458224E-4</v>
      </c>
      <c r="Y28" s="9"/>
      <c r="AB28" s="1">
        <f t="shared" si="6"/>
        <v>1.4814814814814795E-3</v>
      </c>
      <c r="AC28" s="1"/>
      <c r="AE28" s="1"/>
      <c r="AF28" s="9"/>
    </row>
    <row r="29" spans="1:32" x14ac:dyDescent="0.2">
      <c r="A29">
        <v>288</v>
      </c>
      <c r="B29" s="530" t="s">
        <v>6389</v>
      </c>
      <c r="C29" s="581" t="s">
        <v>6390</v>
      </c>
      <c r="D29" s="530"/>
      <c r="E29" s="582"/>
      <c r="F29" s="6"/>
      <c r="K29" s="34"/>
      <c r="M29" s="8">
        <v>1.9270833333333334E-2</v>
      </c>
      <c r="N29" s="3">
        <v>1.0555555555555554E-2</v>
      </c>
      <c r="O29" s="3">
        <v>1.2581018518518519E-2</v>
      </c>
      <c r="Q29" s="530" t="s">
        <v>6391</v>
      </c>
      <c r="R29" s="530"/>
      <c r="S29" s="552"/>
      <c r="T29" s="552"/>
      <c r="W29" s="1">
        <f t="shared" si="4"/>
        <v>6.2067266282384188E-4</v>
      </c>
      <c r="X29" s="1">
        <f t="shared" si="5"/>
        <v>-6.2067266282384188E-4</v>
      </c>
      <c r="Y29" s="9"/>
      <c r="AB29" s="1">
        <f t="shared" si="6"/>
        <v>9.7222222222221981E-4</v>
      </c>
      <c r="AC29" s="1"/>
      <c r="AE29" s="1"/>
      <c r="AF29" s="9"/>
    </row>
    <row r="30" spans="1:32" x14ac:dyDescent="0.2">
      <c r="A30">
        <v>1200</v>
      </c>
      <c r="B30" s="27" t="s">
        <v>1462</v>
      </c>
      <c r="C30" s="74" t="s">
        <v>1459</v>
      </c>
      <c r="D30" s="24">
        <f>Runners!G1116</f>
        <v>1</v>
      </c>
      <c r="E30" s="183">
        <f>Runners!G1115</f>
        <v>1</v>
      </c>
      <c r="F30" s="6" t="s">
        <v>627</v>
      </c>
      <c r="G30" s="1">
        <v>1.6689814814814817E-2</v>
      </c>
      <c r="J30" s="1" t="s">
        <v>627</v>
      </c>
      <c r="K30" s="34">
        <v>42686</v>
      </c>
      <c r="L30" s="9">
        <v>303</v>
      </c>
      <c r="M30" s="8">
        <v>1.9745370370370371E-2</v>
      </c>
      <c r="N30" s="3">
        <v>1.1273148148148148E-2</v>
      </c>
      <c r="O30" s="3">
        <v>1.2604166666666666E-2</v>
      </c>
      <c r="P30" t="s">
        <v>1463</v>
      </c>
      <c r="W30" s="1">
        <f t="shared" si="4"/>
        <v>-9.6919929768752439E-5</v>
      </c>
      <c r="X30" s="1">
        <f t="shared" si="5"/>
        <v>9.6919929768752439E-5</v>
      </c>
      <c r="Y30" s="9"/>
      <c r="AB30" s="1">
        <f t="shared" si="6"/>
        <v>1.6898148148148141E-3</v>
      </c>
      <c r="AC30" s="1"/>
      <c r="AE30" s="1"/>
      <c r="AF30" s="9"/>
    </row>
    <row r="31" spans="1:32" x14ac:dyDescent="0.2">
      <c r="A31">
        <v>46</v>
      </c>
      <c r="B31" s="27" t="s">
        <v>5473</v>
      </c>
      <c r="C31" s="74" t="s">
        <v>5153</v>
      </c>
      <c r="D31" s="24">
        <f>Runners!G554</f>
        <v>1</v>
      </c>
      <c r="E31" s="183">
        <f>Runners!G553</f>
        <v>1</v>
      </c>
      <c r="F31" s="6" t="s">
        <v>1000</v>
      </c>
      <c r="G31" s="1">
        <v>1.9108796296296294E-2</v>
      </c>
      <c r="J31" s="1" t="s">
        <v>1000</v>
      </c>
      <c r="K31" s="34">
        <v>42644</v>
      </c>
      <c r="L31" s="9">
        <v>288</v>
      </c>
      <c r="M31" s="8">
        <v>2.1076388888888891E-2</v>
      </c>
      <c r="N31" s="3">
        <v>1.087962962962963E-2</v>
      </c>
      <c r="O31" s="3">
        <v>1.2893518518518519E-2</v>
      </c>
      <c r="W31" s="1">
        <f t="shared" si="4"/>
        <v>2.965985887497663E-4</v>
      </c>
      <c r="X31" s="1">
        <f t="shared" si="5"/>
        <v>-2.965985887497663E-4</v>
      </c>
      <c r="Y31" s="9"/>
      <c r="AB31" s="1">
        <f t="shared" si="6"/>
        <v>1.2962962962962954E-3</v>
      </c>
      <c r="AC31" s="1"/>
      <c r="AE31" s="1"/>
      <c r="AF31" s="9"/>
    </row>
    <row r="32" spans="1:32" x14ac:dyDescent="0.2">
      <c r="A32">
        <v>11</v>
      </c>
      <c r="B32" s="27" t="s">
        <v>510</v>
      </c>
      <c r="C32" s="74" t="s">
        <v>1822</v>
      </c>
      <c r="D32" s="24">
        <f>Runners!I420</f>
        <v>8</v>
      </c>
      <c r="E32" s="183">
        <f>Runners!I419</f>
        <v>9</v>
      </c>
      <c r="F32" s="6" t="s">
        <v>1270</v>
      </c>
      <c r="G32" s="1">
        <v>1.4560185185185183E-2</v>
      </c>
      <c r="H32" s="206" t="s">
        <v>3168</v>
      </c>
      <c r="I32" s="1">
        <v>1.9398148148148147E-2</v>
      </c>
      <c r="J32" s="1" t="s">
        <v>1000</v>
      </c>
      <c r="K32" s="34">
        <v>41076</v>
      </c>
      <c r="L32" s="9">
        <v>26</v>
      </c>
      <c r="M32" s="8">
        <v>1.9791666666666666E-2</v>
      </c>
      <c r="N32" s="3">
        <v>1.0752314814814814E-2</v>
      </c>
      <c r="O32" s="3">
        <v>1.1759259259259259E-2</v>
      </c>
      <c r="W32" s="1">
        <f t="shared" si="4"/>
        <v>4.2391340356458251E-4</v>
      </c>
      <c r="X32" s="1">
        <f t="shared" si="5"/>
        <v>-4.2391340356458251E-4</v>
      </c>
      <c r="Y32" s="9">
        <v>15</v>
      </c>
      <c r="Z32">
        <f t="shared" si="0"/>
        <v>225</v>
      </c>
      <c r="AB32" s="1">
        <f t="shared" si="6"/>
        <v>1.1689814814814792E-3</v>
      </c>
      <c r="AC32" s="1"/>
      <c r="AE32" s="1"/>
      <c r="AF32" s="9"/>
    </row>
    <row r="33" spans="1:32" x14ac:dyDescent="0.2">
      <c r="A33">
        <v>121</v>
      </c>
      <c r="B33" s="27" t="s">
        <v>5227</v>
      </c>
      <c r="C33" s="74" t="s">
        <v>1964</v>
      </c>
      <c r="D33" s="24">
        <f>Runners!G683</f>
        <v>3</v>
      </c>
      <c r="E33" s="183">
        <f>Runners!G682</f>
        <v>7</v>
      </c>
      <c r="F33" s="6" t="s">
        <v>5096</v>
      </c>
      <c r="G33" s="1">
        <v>1.5462962962962963E-2</v>
      </c>
      <c r="H33" s="513" t="s">
        <v>10188</v>
      </c>
      <c r="I33" s="1">
        <v>2.2997685185185187E-2</v>
      </c>
      <c r="J33" s="1" t="s">
        <v>5096</v>
      </c>
      <c r="K33" s="34">
        <v>41986</v>
      </c>
      <c r="L33" s="9">
        <v>146</v>
      </c>
      <c r="M33" s="8">
        <v>1.9340277777777779E-2</v>
      </c>
      <c r="N33" s="3">
        <v>1.0925925925925924E-2</v>
      </c>
      <c r="O33" s="3">
        <v>1.324074074074074E-2</v>
      </c>
      <c r="W33" s="1">
        <f t="shared" si="4"/>
        <v>2.5030229245347202E-4</v>
      </c>
      <c r="X33" s="1">
        <f t="shared" si="5"/>
        <v>-2.5030229245347202E-4</v>
      </c>
      <c r="Y33" s="9">
        <v>4</v>
      </c>
      <c r="Z33">
        <f t="shared" si="0"/>
        <v>16</v>
      </c>
      <c r="AB33" s="1">
        <f t="shared" si="6"/>
        <v>1.3425925925925897E-3</v>
      </c>
      <c r="AC33" s="1"/>
      <c r="AE33" s="1"/>
      <c r="AF33" s="9"/>
    </row>
    <row r="34" spans="1:32" x14ac:dyDescent="0.2">
      <c r="A34">
        <v>1670</v>
      </c>
      <c r="B34" s="493" t="s">
        <v>12427</v>
      </c>
      <c r="C34" s="415" t="s">
        <v>12426</v>
      </c>
      <c r="D34" s="24">
        <f>Runners!K1378</f>
        <v>1</v>
      </c>
      <c r="E34" s="183">
        <f>Runners!K1377</f>
        <v>1</v>
      </c>
      <c r="F34" s="79" t="s">
        <v>1000</v>
      </c>
      <c r="G34" s="1">
        <v>1.8865740740740742E-2</v>
      </c>
      <c r="H34" s="513"/>
      <c r="J34" s="1432" t="s">
        <v>1000</v>
      </c>
      <c r="K34" s="1379">
        <v>43568</v>
      </c>
      <c r="L34" s="1398">
        <v>489</v>
      </c>
      <c r="M34" s="8">
        <v>2.071759259259259E-2</v>
      </c>
      <c r="N34" s="3">
        <v>1.1111111111111112E-2</v>
      </c>
      <c r="O34" s="3">
        <v>1.2534722222222223E-2</v>
      </c>
      <c r="W34" s="1">
        <f t="shared" si="4"/>
        <v>6.5117107268284485E-5</v>
      </c>
      <c r="X34" s="1">
        <f t="shared" si="5"/>
        <v>-6.5117107268284485E-5</v>
      </c>
      <c r="Y34" s="9"/>
      <c r="AB34" s="1">
        <f t="shared" si="6"/>
        <v>1.5277777777777772E-3</v>
      </c>
      <c r="AC34" s="1"/>
      <c r="AE34" s="1"/>
      <c r="AF34" s="9"/>
    </row>
    <row r="35" spans="1:32" x14ac:dyDescent="0.2">
      <c r="A35">
        <v>99</v>
      </c>
      <c r="B35" s="552" t="s">
        <v>732</v>
      </c>
      <c r="C35" s="511" t="s">
        <v>4379</v>
      </c>
      <c r="D35" s="531">
        <f>Runners!J460</f>
        <v>6</v>
      </c>
      <c r="E35" s="541">
        <f>Runners!J459</f>
        <v>7</v>
      </c>
      <c r="F35" s="1130" t="s">
        <v>3790</v>
      </c>
      <c r="G35" s="1121">
        <v>1.5717592592592592E-2</v>
      </c>
      <c r="H35" s="1091" t="s">
        <v>4596</v>
      </c>
      <c r="I35" s="1121">
        <v>1.7743055555555557E-2</v>
      </c>
      <c r="J35" s="334" t="s">
        <v>4778</v>
      </c>
      <c r="K35" s="34">
        <v>42805</v>
      </c>
      <c r="L35" s="9">
        <v>325</v>
      </c>
      <c r="M35" s="8">
        <v>1.8622685185185183E-2</v>
      </c>
      <c r="N35" s="3">
        <v>1.1226851851851854E-2</v>
      </c>
      <c r="O35" s="3">
        <v>1.2430555555555554E-2</v>
      </c>
      <c r="P35" s="5" t="s">
        <v>6074</v>
      </c>
      <c r="W35" s="1">
        <f t="shared" si="4"/>
        <v>-5.0623633472458157E-5</v>
      </c>
      <c r="X35" s="1">
        <f t="shared" si="5"/>
        <v>5.0623633472458157E-5</v>
      </c>
      <c r="Y35" s="9"/>
      <c r="AB35" s="1">
        <f t="shared" si="6"/>
        <v>1.6435185185185198E-3</v>
      </c>
      <c r="AC35" s="1"/>
      <c r="AE35" s="1"/>
      <c r="AF35" s="9"/>
    </row>
    <row r="36" spans="1:32" x14ac:dyDescent="0.2">
      <c r="A36">
        <v>378</v>
      </c>
      <c r="B36" s="27" t="s">
        <v>3600</v>
      </c>
      <c r="C36" s="511" t="s">
        <v>6003</v>
      </c>
      <c r="D36" s="24">
        <f>Runners!H579</f>
        <v>2</v>
      </c>
      <c r="E36" s="183">
        <f>Runners!I459</f>
        <v>2</v>
      </c>
      <c r="F36" s="6" t="s">
        <v>1000</v>
      </c>
      <c r="G36" s="1">
        <v>1.7708333333333333E-2</v>
      </c>
      <c r="J36" s="1" t="s">
        <v>4778</v>
      </c>
      <c r="K36" s="34">
        <v>41797</v>
      </c>
      <c r="L36" s="9">
        <v>109</v>
      </c>
      <c r="M36" s="8">
        <v>2.0555555555555556E-2</v>
      </c>
      <c r="N36" s="3">
        <v>1.042824074074074E-2</v>
      </c>
      <c r="O36" s="3">
        <v>1.2685185185185183E-2</v>
      </c>
      <c r="W36" s="1">
        <f t="shared" si="4"/>
        <v>7.4798747763865636E-4</v>
      </c>
      <c r="X36" s="1">
        <f t="shared" si="5"/>
        <v>-7.4798747763865636E-4</v>
      </c>
      <c r="Y36" s="9">
        <v>29</v>
      </c>
      <c r="Z36">
        <f t="shared" si="0"/>
        <v>841</v>
      </c>
      <c r="AB36" s="1">
        <f t="shared" si="6"/>
        <v>8.4490740740740533E-4</v>
      </c>
      <c r="AC36" s="1"/>
      <c r="AE36" s="1"/>
      <c r="AF36" s="9"/>
    </row>
    <row r="37" spans="1:32" x14ac:dyDescent="0.2">
      <c r="A37">
        <v>1422</v>
      </c>
      <c r="B37" s="552" t="s">
        <v>3808</v>
      </c>
      <c r="C37" s="511" t="s">
        <v>3947</v>
      </c>
      <c r="D37" s="531">
        <f>Runners!H579</f>
        <v>2</v>
      </c>
      <c r="E37" s="541">
        <f>Runners!H578</f>
        <v>2</v>
      </c>
      <c r="F37" s="52" t="s">
        <v>1000</v>
      </c>
      <c r="G37" s="32">
        <v>2.0532407407407405E-2</v>
      </c>
      <c r="J37" s="32" t="s">
        <v>1000</v>
      </c>
      <c r="K37" s="34">
        <v>42700</v>
      </c>
      <c r="L37" s="9">
        <v>305</v>
      </c>
      <c r="M37" s="8">
        <v>2.0578703703703703E-2</v>
      </c>
      <c r="N37" s="3">
        <v>1.2048611111111112E-2</v>
      </c>
      <c r="O37" s="3">
        <v>1.3101851851851852E-2</v>
      </c>
      <c r="P37" t="s">
        <v>2794</v>
      </c>
      <c r="W37" s="1">
        <f t="shared" si="4"/>
        <v>-8.7238289273171635E-4</v>
      </c>
      <c r="X37" s="1">
        <f t="shared" si="5"/>
        <v>8.7238289273171635E-4</v>
      </c>
      <c r="Y37" s="99">
        <v>113</v>
      </c>
      <c r="Z37">
        <f t="shared" si="0"/>
        <v>12769</v>
      </c>
      <c r="AB37" s="1">
        <f t="shared" si="6"/>
        <v>2.465277777777778E-3</v>
      </c>
      <c r="AC37" s="1"/>
      <c r="AE37" s="1"/>
      <c r="AF37" s="9"/>
    </row>
    <row r="38" spans="1:32" x14ac:dyDescent="0.2">
      <c r="A38">
        <v>15</v>
      </c>
      <c r="B38" s="27" t="s">
        <v>5123</v>
      </c>
      <c r="C38" s="511" t="s">
        <v>5883</v>
      </c>
      <c r="D38" s="24">
        <f>Runners!G148</f>
        <v>63</v>
      </c>
      <c r="E38" s="183">
        <f>Runners!G147</f>
        <v>3743</v>
      </c>
      <c r="F38" s="52" t="s">
        <v>5884</v>
      </c>
      <c r="G38" s="1">
        <v>1.298611111111111E-2</v>
      </c>
      <c r="H38" s="1375" t="s">
        <v>9797</v>
      </c>
      <c r="I38" s="1412">
        <v>1.4247685185185184E-2</v>
      </c>
      <c r="J38" s="1" t="s">
        <v>4584</v>
      </c>
      <c r="K38" s="34">
        <v>39942</v>
      </c>
      <c r="L38" s="9">
        <v>2</v>
      </c>
      <c r="M38" s="8">
        <v>1.9537037037037037E-2</v>
      </c>
      <c r="N38" s="3">
        <v>1.1145833333333334E-2</v>
      </c>
      <c r="O38" s="3">
        <v>1.238425925925926E-2</v>
      </c>
      <c r="P38" t="s">
        <v>988</v>
      </c>
      <c r="Q38" s="103" t="s">
        <v>3456</v>
      </c>
      <c r="R38" s="103"/>
      <c r="S38" s="53"/>
      <c r="U38" s="53"/>
      <c r="W38" s="1">
        <f t="shared" si="4"/>
        <v>3.039488504606204E-5</v>
      </c>
      <c r="X38" s="1">
        <f t="shared" si="5"/>
        <v>-3.039488504606204E-5</v>
      </c>
      <c r="Y38" s="9">
        <v>15</v>
      </c>
      <c r="Z38">
        <f t="shared" si="0"/>
        <v>225</v>
      </c>
      <c r="AB38" s="1">
        <f t="shared" si="6"/>
        <v>1.5624999999999997E-3</v>
      </c>
      <c r="AC38" s="1"/>
      <c r="AE38" s="1"/>
      <c r="AF38" s="9"/>
    </row>
    <row r="39" spans="1:32" x14ac:dyDescent="0.2">
      <c r="A39">
        <v>108</v>
      </c>
      <c r="B39" s="27" t="s">
        <v>5119</v>
      </c>
      <c r="C39" s="74" t="s">
        <v>1821</v>
      </c>
      <c r="D39" s="24">
        <f>Runners!G539</f>
        <v>2</v>
      </c>
      <c r="E39" s="183">
        <f>Runners!G538</f>
        <v>4</v>
      </c>
      <c r="F39" s="6" t="s">
        <v>1000</v>
      </c>
      <c r="G39" s="1">
        <v>1.8078703703703704E-2</v>
      </c>
      <c r="H39" s="513" t="s">
        <v>1062</v>
      </c>
      <c r="I39" s="1">
        <v>2.326388888888889E-2</v>
      </c>
      <c r="J39" s="32" t="s">
        <v>1000</v>
      </c>
      <c r="K39" s="34">
        <v>40999</v>
      </c>
      <c r="L39" s="9">
        <v>21</v>
      </c>
      <c r="M39" s="8">
        <v>1.9328703703703702E-2</v>
      </c>
      <c r="N39" s="3">
        <v>1.0289351851851852E-2</v>
      </c>
      <c r="O39" s="3">
        <v>1.2291666666666666E-2</v>
      </c>
      <c r="Q39" s="53" t="s">
        <v>5598</v>
      </c>
      <c r="U39" s="53"/>
      <c r="W39" s="1">
        <f t="shared" si="4"/>
        <v>8.8687636652754441E-4</v>
      </c>
      <c r="X39" s="1">
        <f t="shared" si="5"/>
        <v>-8.8687636652754441E-4</v>
      </c>
      <c r="Y39" s="9">
        <v>59</v>
      </c>
      <c r="Z39">
        <f t="shared" si="0"/>
        <v>3481</v>
      </c>
      <c r="AB39" s="1">
        <f t="shared" si="6"/>
        <v>7.0601851851851728E-4</v>
      </c>
      <c r="AC39" s="1"/>
      <c r="AE39" s="1"/>
      <c r="AF39" s="9"/>
    </row>
    <row r="40" spans="1:32" x14ac:dyDescent="0.2">
      <c r="A40">
        <v>1840</v>
      </c>
      <c r="B40" s="27" t="s">
        <v>9457</v>
      </c>
      <c r="C40" s="415" t="s">
        <v>9142</v>
      </c>
      <c r="D40" s="24">
        <f>Runners!N854</f>
        <v>2</v>
      </c>
      <c r="E40" s="183">
        <f>Runners!N853</f>
        <v>5</v>
      </c>
      <c r="F40" s="6" t="s">
        <v>1000</v>
      </c>
      <c r="G40" s="1">
        <v>2.0127314814814817E-2</v>
      </c>
      <c r="H40" s="1374" t="s">
        <v>1062</v>
      </c>
      <c r="I40" s="1412">
        <v>2.3136574074074077E-2</v>
      </c>
      <c r="J40" s="512" t="s">
        <v>1062</v>
      </c>
      <c r="K40" s="34">
        <v>43176</v>
      </c>
      <c r="L40" s="1398">
        <v>391</v>
      </c>
      <c r="M40" s="8">
        <v>2.0972222222222222E-2</v>
      </c>
      <c r="N40" s="3">
        <v>1.1539351851851851E-2</v>
      </c>
      <c r="O40" s="3">
        <v>1.3587962962962963E-2</v>
      </c>
      <c r="Q40" s="53"/>
      <c r="U40" s="53"/>
      <c r="W40" s="1">
        <f t="shared" si="4"/>
        <v>-3.6312363347245497E-4</v>
      </c>
      <c r="X40" s="1">
        <f t="shared" si="5"/>
        <v>3.6312363347245497E-4</v>
      </c>
      <c r="Y40" s="9"/>
      <c r="AB40" s="1">
        <f t="shared" si="6"/>
        <v>1.9560185185185167E-3</v>
      </c>
      <c r="AC40" s="1"/>
      <c r="AE40" s="1"/>
      <c r="AF40" s="9"/>
    </row>
    <row r="41" spans="1:32" x14ac:dyDescent="0.2">
      <c r="A41">
        <v>779</v>
      </c>
      <c r="B41" s="27" t="s">
        <v>1455</v>
      </c>
      <c r="C41" s="74" t="s">
        <v>1456</v>
      </c>
      <c r="D41" s="24">
        <f>Runners!H957</f>
        <v>4</v>
      </c>
      <c r="E41" s="183">
        <f>Runners!H956</f>
        <v>7</v>
      </c>
      <c r="F41" s="6" t="s">
        <v>5096</v>
      </c>
      <c r="G41" s="1">
        <v>1.6342592592592593E-2</v>
      </c>
      <c r="J41" s="1" t="s">
        <v>1000</v>
      </c>
      <c r="K41" s="34">
        <v>42098</v>
      </c>
      <c r="L41" s="9">
        <v>159</v>
      </c>
      <c r="M41" s="8">
        <v>1.892361111111111E-2</v>
      </c>
      <c r="N41" s="3">
        <v>1.019675925925926E-2</v>
      </c>
      <c r="O41" s="3">
        <v>1.1921296296296298E-2</v>
      </c>
      <c r="Q41" s="27" t="s">
        <v>2556</v>
      </c>
      <c r="R41" s="27"/>
      <c r="S41" s="27"/>
      <c r="W41" s="1">
        <f t="shared" si="4"/>
        <v>9.7946895912013644E-4</v>
      </c>
      <c r="X41" s="1">
        <f t="shared" si="5"/>
        <v>-9.7946895912013644E-4</v>
      </c>
      <c r="Y41" s="9">
        <v>67</v>
      </c>
      <c r="Z41">
        <f t="shared" si="0"/>
        <v>4489</v>
      </c>
      <c r="AB41" s="1">
        <f t="shared" si="6"/>
        <v>6.1342592592592525E-4</v>
      </c>
      <c r="AC41" s="1"/>
      <c r="AE41" s="1"/>
      <c r="AF41" s="9"/>
    </row>
    <row r="42" spans="1:32" x14ac:dyDescent="0.2">
      <c r="A42">
        <v>966</v>
      </c>
      <c r="B42" s="552" t="s">
        <v>8085</v>
      </c>
      <c r="C42" s="532" t="s">
        <v>8086</v>
      </c>
      <c r="D42" s="531">
        <f>Runners!G1165</f>
        <v>1</v>
      </c>
      <c r="E42" s="541">
        <f>Runners!G1164</f>
        <v>1</v>
      </c>
      <c r="F42" s="79" t="s">
        <v>1000</v>
      </c>
      <c r="G42" s="1">
        <v>1.9942129629629629E-2</v>
      </c>
      <c r="J42" s="334" t="s">
        <v>1000</v>
      </c>
      <c r="K42" s="34">
        <v>42910</v>
      </c>
      <c r="L42" s="9">
        <v>341</v>
      </c>
      <c r="M42" s="8">
        <v>2.4699074074074078E-2</v>
      </c>
      <c r="N42" s="3">
        <v>1.1157407407407408E-2</v>
      </c>
      <c r="O42" s="3">
        <v>1.2916666666666667E-2</v>
      </c>
      <c r="W42" s="1">
        <f t="shared" si="4"/>
        <v>1.8820810971988469E-5</v>
      </c>
      <c r="X42" s="1">
        <f t="shared" si="5"/>
        <v>-1.8820810971988469E-5</v>
      </c>
      <c r="Y42" s="9"/>
      <c r="AB42" s="1">
        <f t="shared" si="6"/>
        <v>1.5740740740740732E-3</v>
      </c>
      <c r="AC42" s="1"/>
      <c r="AE42" s="1"/>
      <c r="AF42" s="9"/>
    </row>
    <row r="43" spans="1:32" x14ac:dyDescent="0.2">
      <c r="A43">
        <v>295</v>
      </c>
      <c r="B43" s="552" t="s">
        <v>6418</v>
      </c>
      <c r="C43" s="532" t="s">
        <v>2079</v>
      </c>
      <c r="D43" s="531">
        <f>Runners!G1087</f>
        <v>1</v>
      </c>
      <c r="E43" s="541">
        <f>Runners!G1086</f>
        <v>1</v>
      </c>
      <c r="F43" s="6" t="s">
        <v>1000</v>
      </c>
      <c r="G43" s="1">
        <v>1.8530092592592595E-2</v>
      </c>
      <c r="J43" s="1" t="s">
        <v>1000</v>
      </c>
      <c r="K43" s="34">
        <v>42784</v>
      </c>
      <c r="L43" s="9">
        <v>321</v>
      </c>
      <c r="M43" s="8">
        <v>1.9189814814814816E-2</v>
      </c>
      <c r="N43" s="3">
        <v>1.042824074074074E-2</v>
      </c>
      <c r="O43" s="3">
        <v>1.1863425925925925E-2</v>
      </c>
      <c r="W43" s="1">
        <f t="shared" si="4"/>
        <v>7.4798747763865636E-4</v>
      </c>
      <c r="X43" s="1">
        <f t="shared" si="5"/>
        <v>-7.4798747763865636E-4</v>
      </c>
      <c r="Y43" s="9"/>
      <c r="AB43" s="1">
        <f t="shared" si="6"/>
        <v>8.4490740740740533E-4</v>
      </c>
      <c r="AC43" s="1"/>
      <c r="AE43" s="1"/>
      <c r="AF43" s="9"/>
    </row>
    <row r="44" spans="1:32" x14ac:dyDescent="0.2">
      <c r="A44">
        <v>1069</v>
      </c>
      <c r="B44" s="585" t="s">
        <v>11765</v>
      </c>
      <c r="C44" s="568" t="s">
        <v>11787</v>
      </c>
      <c r="D44" s="585"/>
      <c r="E44" s="1002"/>
      <c r="F44" s="79" t="s">
        <v>1212</v>
      </c>
      <c r="G44" s="334" t="s">
        <v>1212</v>
      </c>
      <c r="J44" s="334" t="s">
        <v>1212</v>
      </c>
      <c r="K44" s="523" t="s">
        <v>1212</v>
      </c>
      <c r="L44" s="1473"/>
      <c r="M44" s="8">
        <v>1.0520833333333333E-2</v>
      </c>
      <c r="N44" s="3">
        <v>1.269675925925926E-2</v>
      </c>
      <c r="O44" s="3">
        <v>2.7777777777777776E-2</v>
      </c>
      <c r="Q44" s="1588" t="s">
        <v>12640</v>
      </c>
      <c r="R44" s="1588"/>
      <c r="W44" s="1">
        <f t="shared" si="4"/>
        <v>-1.520531040879864E-3</v>
      </c>
      <c r="X44" s="1">
        <f t="shared" si="5"/>
        <v>1.520531040879864E-3</v>
      </c>
      <c r="Y44" s="9"/>
      <c r="AB44" s="1">
        <f t="shared" si="6"/>
        <v>3.1134259259259257E-3</v>
      </c>
      <c r="AC44" s="1"/>
      <c r="AE44" s="1"/>
      <c r="AF44" s="9"/>
    </row>
    <row r="45" spans="1:32" x14ac:dyDescent="0.2">
      <c r="A45">
        <v>1339</v>
      </c>
      <c r="B45" s="27" t="s">
        <v>3032</v>
      </c>
      <c r="C45" s="511" t="s">
        <v>355</v>
      </c>
      <c r="D45" s="24">
        <f>Runners!I957</f>
        <v>2</v>
      </c>
      <c r="E45" s="183">
        <f>Runners!I956</f>
        <v>2</v>
      </c>
      <c r="F45" s="6"/>
      <c r="H45" s="319" t="s">
        <v>8441</v>
      </c>
      <c r="I45" s="1">
        <v>2.2928240740740739E-2</v>
      </c>
      <c r="J45" s="1" t="s">
        <v>1062</v>
      </c>
      <c r="K45" s="34">
        <v>42511</v>
      </c>
      <c r="L45" s="9">
        <v>257</v>
      </c>
      <c r="M45" s="8">
        <v>2.0381944444444446E-2</v>
      </c>
      <c r="N45" s="3">
        <v>1.1030092592592591E-2</v>
      </c>
      <c r="O45" s="3">
        <v>1.2858796296296297E-2</v>
      </c>
      <c r="W45" s="1">
        <f t="shared" si="4"/>
        <v>1.4613562578680468E-4</v>
      </c>
      <c r="X45" s="1">
        <f t="shared" si="5"/>
        <v>-1.4613562578680468E-4</v>
      </c>
      <c r="Y45" s="9">
        <v>3</v>
      </c>
      <c r="Z45">
        <f>Y45*Y45</f>
        <v>9</v>
      </c>
      <c r="AB45" s="1">
        <f t="shared" si="6"/>
        <v>1.446759259259257E-3</v>
      </c>
      <c r="AC45" s="1"/>
      <c r="AE45" s="1"/>
      <c r="AF45" s="9"/>
    </row>
    <row r="46" spans="1:32" x14ac:dyDescent="0.2">
      <c r="A46">
        <v>1824</v>
      </c>
      <c r="B46" s="493" t="s">
        <v>8946</v>
      </c>
      <c r="C46" s="532" t="s">
        <v>8948</v>
      </c>
      <c r="D46" s="24">
        <f>Runners!R1200</f>
        <v>5</v>
      </c>
      <c r="E46" s="183">
        <f>Runners!R1199</f>
        <v>10</v>
      </c>
      <c r="F46" s="79" t="s">
        <v>4637</v>
      </c>
      <c r="G46" s="1">
        <v>1.7916666666666668E-2</v>
      </c>
      <c r="H46" s="197" t="s">
        <v>8441</v>
      </c>
      <c r="I46" s="1">
        <v>2.193287037037037E-2</v>
      </c>
      <c r="J46" s="334" t="s">
        <v>9066</v>
      </c>
      <c r="K46" s="34">
        <v>43106</v>
      </c>
      <c r="L46" s="1398">
        <v>378</v>
      </c>
      <c r="M46" s="8">
        <v>1.9143518518518518E-2</v>
      </c>
      <c r="N46" s="3">
        <v>1.105324074074074E-2</v>
      </c>
      <c r="O46" s="3">
        <v>1.3101851851851852E-2</v>
      </c>
      <c r="W46" s="1">
        <f t="shared" si="4"/>
        <v>1.2298747763865581E-4</v>
      </c>
      <c r="X46" s="1">
        <f t="shared" si="5"/>
        <v>-1.2298747763865581E-4</v>
      </c>
      <c r="Y46" s="9"/>
      <c r="AB46" s="1">
        <f t="shared" si="6"/>
        <v>1.4699074074074059E-3</v>
      </c>
      <c r="AC46" s="1"/>
      <c r="AE46" s="1"/>
      <c r="AF46" s="9"/>
    </row>
    <row r="47" spans="1:32" x14ac:dyDescent="0.2">
      <c r="A47">
        <v>112</v>
      </c>
      <c r="B47" s="493" t="s">
        <v>6398</v>
      </c>
      <c r="C47" s="532" t="s">
        <v>6399</v>
      </c>
      <c r="D47" s="24">
        <f>Runners!J957</f>
        <v>1</v>
      </c>
      <c r="E47" s="183">
        <f>Runners!J956</f>
        <v>1</v>
      </c>
      <c r="F47" s="6"/>
      <c r="H47" s="319" t="s">
        <v>1062</v>
      </c>
      <c r="I47" s="1">
        <v>2.8715277777777781E-2</v>
      </c>
      <c r="J47" s="334" t="s">
        <v>1062</v>
      </c>
      <c r="K47" s="34">
        <v>42777</v>
      </c>
      <c r="L47" s="9">
        <v>320</v>
      </c>
      <c r="M47" s="8">
        <v>2.1724537037037039E-2</v>
      </c>
      <c r="N47" s="3">
        <v>1.1886574074074075E-2</v>
      </c>
      <c r="O47" s="3">
        <v>1.4490740740740742E-2</v>
      </c>
      <c r="W47" s="1">
        <f t="shared" si="4"/>
        <v>-7.1034585569467942E-4</v>
      </c>
      <c r="X47" s="1">
        <f t="shared" si="5"/>
        <v>7.1034585569467942E-4</v>
      </c>
      <c r="Y47" s="9"/>
      <c r="AB47" s="1">
        <f t="shared" si="6"/>
        <v>2.3032407407407411E-3</v>
      </c>
      <c r="AC47" s="1"/>
      <c r="AE47" s="1"/>
      <c r="AF47" s="9"/>
    </row>
    <row r="48" spans="1:32" x14ac:dyDescent="0.2">
      <c r="A48">
        <v>2352</v>
      </c>
      <c r="B48" s="556" t="s">
        <v>2527</v>
      </c>
      <c r="C48" s="532" t="s">
        <v>12711</v>
      </c>
      <c r="D48" s="531">
        <f>Runners!K460</f>
        <v>3</v>
      </c>
      <c r="E48" s="541">
        <f>Runners!K459</f>
        <v>3</v>
      </c>
      <c r="F48" s="1411" t="s">
        <v>4778</v>
      </c>
      <c r="G48" s="1412">
        <v>2.7418981481481485E-2</v>
      </c>
      <c r="H48" s="319"/>
      <c r="J48" s="334" t="s">
        <v>4778</v>
      </c>
      <c r="K48" s="34">
        <v>43617</v>
      </c>
      <c r="L48" s="9" t="s">
        <v>12783</v>
      </c>
      <c r="M48" s="1515">
        <v>2.0416666666666666E-2</v>
      </c>
      <c r="N48" s="1530">
        <v>1.1516203703703702E-2</v>
      </c>
      <c r="O48" s="1530">
        <v>1.3472222222222221E-2</v>
      </c>
      <c r="P48" s="1370" t="s">
        <v>2873</v>
      </c>
      <c r="W48" s="1">
        <f t="shared" si="4"/>
        <v>-3.3997548532430609E-4</v>
      </c>
      <c r="X48" s="1">
        <f t="shared" si="5"/>
        <v>3.3997548532430609E-4</v>
      </c>
      <c r="Y48" s="9"/>
      <c r="AB48" s="1">
        <f t="shared" si="6"/>
        <v>1.9328703703703678E-3</v>
      </c>
      <c r="AC48" s="1"/>
      <c r="AE48" s="1"/>
      <c r="AF48" s="9"/>
    </row>
    <row r="49" spans="1:32" x14ac:dyDescent="0.2">
      <c r="A49">
        <v>1865</v>
      </c>
      <c r="B49" s="556" t="s">
        <v>15488</v>
      </c>
      <c r="C49" s="532" t="s">
        <v>15494</v>
      </c>
      <c r="D49" s="531">
        <f>Runners!G1410</f>
        <v>1</v>
      </c>
      <c r="E49" s="541">
        <f>Runners!G1409</f>
        <v>1</v>
      </c>
      <c r="F49" s="1415" t="s">
        <v>5573</v>
      </c>
      <c r="G49" s="1412">
        <v>1.6909722222222225E-2</v>
      </c>
      <c r="H49" s="319"/>
      <c r="J49" s="334" t="s">
        <v>5573</v>
      </c>
      <c r="K49" s="34">
        <v>43722</v>
      </c>
      <c r="M49" s="1515">
        <v>2.8460648148148148E-2</v>
      </c>
      <c r="N49" s="1530">
        <v>1.2210648148148146E-2</v>
      </c>
      <c r="O49" s="1530">
        <v>1.4907407407407406E-2</v>
      </c>
      <c r="P49" s="1370"/>
      <c r="W49" s="1">
        <f t="shared" si="4"/>
        <v>-1.0344199297687498E-3</v>
      </c>
      <c r="X49" s="1">
        <f t="shared" si="5"/>
        <v>1.0344199297687498E-3</v>
      </c>
      <c r="Y49" s="9"/>
      <c r="AB49" s="1">
        <f t="shared" si="6"/>
        <v>2.6273148148148115E-3</v>
      </c>
      <c r="AC49" s="1"/>
      <c r="AE49" s="1"/>
      <c r="AF49" s="9"/>
    </row>
    <row r="50" spans="1:32" x14ac:dyDescent="0.2">
      <c r="A50" s="585">
        <v>1378</v>
      </c>
      <c r="B50" s="568" t="s">
        <v>9690</v>
      </c>
      <c r="C50" s="568" t="s">
        <v>9691</v>
      </c>
      <c r="D50" s="585"/>
      <c r="E50" s="1002"/>
      <c r="F50" s="6"/>
      <c r="H50" s="319"/>
      <c r="J50" s="334"/>
      <c r="K50" s="34"/>
      <c r="M50" s="8">
        <v>2.0462962962962964E-2</v>
      </c>
      <c r="N50" s="3">
        <v>1.1458333333333334E-2</v>
      </c>
      <c r="O50" s="3">
        <v>1.4722222222222222E-2</v>
      </c>
      <c r="W50" s="1">
        <f t="shared" si="4"/>
        <v>-2.8210511495393824E-4</v>
      </c>
      <c r="X50" s="1">
        <f t="shared" si="5"/>
        <v>2.8210511495393824E-4</v>
      </c>
      <c r="Y50" s="9"/>
      <c r="AB50" s="1">
        <f t="shared" si="6"/>
        <v>1.8749999999999999E-3</v>
      </c>
      <c r="AC50" s="1"/>
      <c r="AE50" s="1"/>
      <c r="AF50" s="9"/>
    </row>
    <row r="51" spans="1:32" x14ac:dyDescent="0.2">
      <c r="A51">
        <v>29</v>
      </c>
      <c r="B51" s="27" t="s">
        <v>2508</v>
      </c>
      <c r="C51" s="74" t="s">
        <v>4544</v>
      </c>
      <c r="D51" s="24">
        <f>Runners!O460</f>
        <v>5</v>
      </c>
      <c r="E51" s="183">
        <f>Runners!O459</f>
        <v>5</v>
      </c>
      <c r="F51" s="1411" t="s">
        <v>5882</v>
      </c>
      <c r="G51" s="1412">
        <v>1.6944444444444443E-2</v>
      </c>
      <c r="J51" s="1" t="s">
        <v>4778</v>
      </c>
      <c r="K51" s="34">
        <v>41839</v>
      </c>
      <c r="L51" s="9">
        <v>118</v>
      </c>
      <c r="M51" s="8">
        <v>1.9849537037037037E-2</v>
      </c>
      <c r="N51" s="3">
        <v>1.0868055555555556E-2</v>
      </c>
      <c r="O51" s="3">
        <v>1.3101851851851852E-2</v>
      </c>
      <c r="Q51" s="530" t="s">
        <v>6072</v>
      </c>
      <c r="R51" s="530"/>
      <c r="S51" s="530" t="s">
        <v>16485</v>
      </c>
      <c r="T51" s="530"/>
      <c r="U51" s="530"/>
      <c r="W51" s="1">
        <f t="shared" si="4"/>
        <v>3.0817266282383987E-4</v>
      </c>
      <c r="X51" s="1">
        <f t="shared" si="5"/>
        <v>-3.0817266282383987E-4</v>
      </c>
      <c r="Y51" s="9">
        <v>9</v>
      </c>
      <c r="Z51">
        <f t="shared" si="0"/>
        <v>81</v>
      </c>
      <c r="AB51" s="1">
        <f t="shared" si="6"/>
        <v>1.2847222222222218E-3</v>
      </c>
      <c r="AC51" s="1"/>
      <c r="AE51" s="1"/>
      <c r="AF51" s="9"/>
    </row>
    <row r="52" spans="1:32" x14ac:dyDescent="0.2">
      <c r="A52">
        <v>1452</v>
      </c>
      <c r="B52" s="27" t="s">
        <v>2712</v>
      </c>
      <c r="C52" s="74" t="s">
        <v>2711</v>
      </c>
      <c r="D52" s="24">
        <f>Runners!S374</f>
        <v>4</v>
      </c>
      <c r="E52" s="183">
        <f>Runners!S373</f>
        <v>4</v>
      </c>
      <c r="F52" s="1411" t="s">
        <v>1270</v>
      </c>
      <c r="G52" s="1412">
        <v>1.4166666666666666E-2</v>
      </c>
      <c r="H52" s="80" t="s">
        <v>3254</v>
      </c>
      <c r="I52" s="1">
        <v>1.7650462962962962E-2</v>
      </c>
      <c r="J52" s="1" t="s">
        <v>1270</v>
      </c>
      <c r="K52" s="34">
        <v>42476</v>
      </c>
      <c r="L52" s="9">
        <f>250</f>
        <v>250</v>
      </c>
      <c r="M52" s="8">
        <v>2.0219907407407409E-2</v>
      </c>
      <c r="N52" s="3">
        <v>1.1064814814814814E-2</v>
      </c>
      <c r="O52" s="3">
        <v>1.3090277777777779E-2</v>
      </c>
      <c r="W52" s="1">
        <f t="shared" si="4"/>
        <v>1.1141340356458224E-4</v>
      </c>
      <c r="X52" s="1">
        <f t="shared" si="5"/>
        <v>-1.1141340356458224E-4</v>
      </c>
      <c r="Y52" s="9">
        <v>115</v>
      </c>
      <c r="Z52">
        <f>Y52*Y52</f>
        <v>13225</v>
      </c>
      <c r="AB52" s="1">
        <f t="shared" si="6"/>
        <v>1.4814814814814795E-3</v>
      </c>
      <c r="AC52" s="1"/>
      <c r="AE52" s="1"/>
      <c r="AF52" s="9"/>
    </row>
    <row r="53" spans="1:32" x14ac:dyDescent="0.2">
      <c r="A53">
        <v>1432</v>
      </c>
      <c r="B53" s="493" t="s">
        <v>501</v>
      </c>
      <c r="C53" s="415" t="s">
        <v>7944</v>
      </c>
      <c r="D53" s="24">
        <f>Runners!Q787</f>
        <v>3</v>
      </c>
      <c r="E53" s="183">
        <f>Runners!Q786</f>
        <v>10</v>
      </c>
      <c r="F53" s="79" t="s">
        <v>4467</v>
      </c>
      <c r="G53" s="334">
        <v>1.8472222222222223E-2</v>
      </c>
      <c r="H53" s="80" t="s">
        <v>9553</v>
      </c>
      <c r="I53" s="1">
        <v>1.6087962962962964E-2</v>
      </c>
      <c r="J53" s="334" t="s">
        <v>4467</v>
      </c>
      <c r="K53" s="523" t="s">
        <v>7963</v>
      </c>
      <c r="L53" s="9">
        <v>337</v>
      </c>
      <c r="M53" s="8">
        <v>1.909722222222222E-2</v>
      </c>
      <c r="N53" s="3">
        <v>1.0798611111111111E-2</v>
      </c>
      <c r="O53" s="3">
        <v>1.2233796296296296E-2</v>
      </c>
      <c r="Q53" s="1370"/>
      <c r="R53" s="1371"/>
      <c r="S53" s="1371"/>
      <c r="W53" s="1">
        <f t="shared" si="4"/>
        <v>3.7761710726828476E-4</v>
      </c>
      <c r="X53" s="1">
        <f t="shared" si="5"/>
        <v>-3.7761710726828476E-4</v>
      </c>
      <c r="Y53" s="9"/>
      <c r="AB53" s="1">
        <f t="shared" si="6"/>
        <v>1.2152777777777769E-3</v>
      </c>
      <c r="AC53" s="1"/>
      <c r="AE53" s="1"/>
      <c r="AF53" s="9"/>
    </row>
    <row r="54" spans="1:32" x14ac:dyDescent="0.2">
      <c r="A54">
        <v>279</v>
      </c>
      <c r="B54" s="556" t="s">
        <v>8008</v>
      </c>
      <c r="C54" s="532" t="s">
        <v>8015</v>
      </c>
      <c r="D54" s="531">
        <f>Runners!H554</f>
        <v>2</v>
      </c>
      <c r="E54" s="541">
        <f>Runners!H553</f>
        <v>2</v>
      </c>
      <c r="F54" s="79" t="s">
        <v>1000</v>
      </c>
      <c r="G54" s="334">
        <v>2.0011574074074074E-2</v>
      </c>
      <c r="J54" s="334" t="s">
        <v>4778</v>
      </c>
      <c r="K54" s="523">
        <v>43197</v>
      </c>
      <c r="L54" s="1398">
        <v>401</v>
      </c>
      <c r="M54" s="8">
        <v>2.0601851851851854E-2</v>
      </c>
      <c r="N54" s="3">
        <v>1.292824074074074E-2</v>
      </c>
      <c r="O54" s="3">
        <v>1.3842592592592594E-2</v>
      </c>
      <c r="P54" t="s">
        <v>8016</v>
      </c>
      <c r="W54" s="1">
        <f t="shared" ref="W54:W75" si="7">$N$700-N54</f>
        <v>-1.7520125223613441E-3</v>
      </c>
      <c r="X54" s="1">
        <f t="shared" ref="X54:X75" si="8">N54-$N$700</f>
        <v>1.7520125223613441E-3</v>
      </c>
      <c r="Y54" s="9"/>
      <c r="AB54" s="1">
        <f t="shared" ref="AB54:AB75" si="9">N54-$N$88</f>
        <v>3.3449074074074058E-3</v>
      </c>
      <c r="AC54" s="1"/>
      <c r="AE54" s="1"/>
      <c r="AF54" s="9"/>
    </row>
    <row r="55" spans="1:32" x14ac:dyDescent="0.2">
      <c r="A55">
        <v>2300</v>
      </c>
      <c r="B55" s="556" t="s">
        <v>16648</v>
      </c>
      <c r="C55" s="532" t="s">
        <v>16647</v>
      </c>
      <c r="D55" s="531">
        <f>Runners!I1304</f>
        <v>1</v>
      </c>
      <c r="E55" s="541">
        <f>Runners!I1303</f>
        <v>1</v>
      </c>
      <c r="F55" s="79" t="s">
        <v>1000</v>
      </c>
      <c r="G55" s="334">
        <v>2.119212962962963E-2</v>
      </c>
      <c r="J55" s="334" t="s">
        <v>1000</v>
      </c>
      <c r="K55" s="523">
        <v>43834</v>
      </c>
      <c r="L55" s="1398"/>
      <c r="M55" s="8">
        <v>2.3055555555555555E-2</v>
      </c>
      <c r="N55" s="3">
        <v>1.0706018518518517E-2</v>
      </c>
      <c r="O55" s="3">
        <v>1.3784722222222224E-2</v>
      </c>
      <c r="W55" s="1">
        <f t="shared" si="7"/>
        <v>4.7020969986087853E-4</v>
      </c>
      <c r="X55" s="1">
        <f t="shared" si="8"/>
        <v>-4.7020969986087853E-4</v>
      </c>
      <c r="Y55" s="9"/>
      <c r="AB55" s="1">
        <f t="shared" si="9"/>
        <v>1.1226851851851832E-3</v>
      </c>
      <c r="AC55" s="1"/>
      <c r="AE55" s="1"/>
      <c r="AF55" s="9"/>
    </row>
    <row r="56" spans="1:32" x14ac:dyDescent="0.2">
      <c r="A56">
        <v>1275</v>
      </c>
      <c r="B56" s="27" t="s">
        <v>5716</v>
      </c>
      <c r="C56" s="74" t="s">
        <v>3259</v>
      </c>
      <c r="D56" s="24">
        <f>Runners!G1000</f>
        <v>4</v>
      </c>
      <c r="E56" s="183">
        <f>Runners!G999</f>
        <v>4</v>
      </c>
      <c r="F56" s="6" t="s">
        <v>5096</v>
      </c>
      <c r="G56" s="1">
        <v>1.4571759259259258E-2</v>
      </c>
      <c r="H56" s="319" t="s">
        <v>2670</v>
      </c>
      <c r="I56" s="1">
        <v>1.4479166666666668E-2</v>
      </c>
      <c r="J56" s="1" t="s">
        <v>2670</v>
      </c>
      <c r="K56" s="34">
        <v>42448</v>
      </c>
      <c r="L56" s="9">
        <v>240</v>
      </c>
      <c r="M56" s="8">
        <v>1.8831018518518518E-2</v>
      </c>
      <c r="N56" s="3">
        <v>1.0949074074074075E-2</v>
      </c>
      <c r="O56" s="3">
        <v>1.2048611111111112E-2</v>
      </c>
      <c r="W56" s="1">
        <f t="shared" si="7"/>
        <v>2.2715414430532141E-4</v>
      </c>
      <c r="X56" s="1">
        <f t="shared" si="8"/>
        <v>-2.2715414430532141E-4</v>
      </c>
      <c r="Y56" s="9">
        <v>2</v>
      </c>
      <c r="Z56">
        <f t="shared" si="0"/>
        <v>4</v>
      </c>
      <c r="AB56" s="1">
        <f t="shared" si="9"/>
        <v>1.3657407407407403E-3</v>
      </c>
      <c r="AC56" s="1"/>
      <c r="AE56" s="1"/>
      <c r="AF56" s="9"/>
    </row>
    <row r="57" spans="1:32" x14ac:dyDescent="0.2">
      <c r="A57">
        <v>22</v>
      </c>
      <c r="B57" s="27" t="s">
        <v>1702</v>
      </c>
      <c r="C57" s="74" t="s">
        <v>5704</v>
      </c>
      <c r="D57" s="24">
        <f>Runners!H374</f>
        <v>44</v>
      </c>
      <c r="E57" s="183">
        <f>Runners!H373</f>
        <v>683</v>
      </c>
      <c r="F57" s="79" t="s">
        <v>5886</v>
      </c>
      <c r="G57" s="1">
        <v>1.2430555555555554E-2</v>
      </c>
      <c r="H57" s="513" t="s">
        <v>9806</v>
      </c>
      <c r="I57" s="1">
        <v>1.4490740740740742E-2</v>
      </c>
      <c r="J57" s="254" t="s">
        <v>748</v>
      </c>
      <c r="K57" s="34">
        <v>40040</v>
      </c>
      <c r="L57" s="9">
        <v>3</v>
      </c>
      <c r="M57" s="8">
        <v>1.9525462962962963E-2</v>
      </c>
      <c r="N57" s="3">
        <v>1.0520833333333333E-2</v>
      </c>
      <c r="O57" s="3">
        <v>1.1886574074074075E-2</v>
      </c>
      <c r="P57" t="s">
        <v>989</v>
      </c>
      <c r="Q57" s="103" t="s">
        <v>3933</v>
      </c>
      <c r="R57" s="103"/>
      <c r="U57" s="53"/>
      <c r="W57" s="1">
        <f t="shared" si="7"/>
        <v>6.5539488504606259E-4</v>
      </c>
      <c r="X57" s="1">
        <f t="shared" si="8"/>
        <v>-6.5539488504606259E-4</v>
      </c>
      <c r="Y57" s="9">
        <v>39</v>
      </c>
      <c r="Z57">
        <f t="shared" si="0"/>
        <v>1521</v>
      </c>
      <c r="AB57" s="1">
        <f t="shared" si="9"/>
        <v>9.374999999999991E-4</v>
      </c>
      <c r="AC57" s="1"/>
      <c r="AE57" s="1"/>
      <c r="AF57" s="9"/>
    </row>
    <row r="58" spans="1:32" x14ac:dyDescent="0.2">
      <c r="A58">
        <v>384</v>
      </c>
      <c r="B58" s="493" t="s">
        <v>5007</v>
      </c>
      <c r="C58" s="415" t="s">
        <v>10587</v>
      </c>
      <c r="D58" s="24">
        <f>Runners!H1073</f>
        <v>1</v>
      </c>
      <c r="E58" s="183">
        <f>Runners!H1072</f>
        <v>1</v>
      </c>
      <c r="F58" s="1130" t="s">
        <v>4239</v>
      </c>
      <c r="G58" s="1121">
        <v>2.1539351851851851E-2</v>
      </c>
      <c r="H58" s="513"/>
      <c r="J58" s="265" t="s">
        <v>4239</v>
      </c>
      <c r="K58" s="34">
        <v>43351</v>
      </c>
      <c r="L58" s="1453">
        <v>438</v>
      </c>
      <c r="M58" s="8">
        <v>2.0902777777777781E-2</v>
      </c>
      <c r="N58" s="3">
        <v>1.1435185185185185E-2</v>
      </c>
      <c r="O58" s="3">
        <v>1.3344907407407408E-2</v>
      </c>
      <c r="Q58" s="53"/>
      <c r="R58" s="53"/>
      <c r="U58" s="53"/>
      <c r="W58" s="1">
        <f t="shared" si="7"/>
        <v>-2.5895696680578936E-4</v>
      </c>
      <c r="X58" s="1">
        <f t="shared" si="8"/>
        <v>2.5895696680578936E-4</v>
      </c>
      <c r="Y58" s="9"/>
      <c r="AB58" s="1">
        <f t="shared" si="9"/>
        <v>1.8518518518518511E-3</v>
      </c>
      <c r="AC58" s="1"/>
      <c r="AE58" s="1"/>
      <c r="AF58" s="9"/>
    </row>
    <row r="59" spans="1:32" x14ac:dyDescent="0.2">
      <c r="A59">
        <v>947</v>
      </c>
      <c r="B59" s="556" t="s">
        <v>11806</v>
      </c>
      <c r="C59" s="532" t="s">
        <v>11807</v>
      </c>
      <c r="D59" s="531">
        <f>Runners!O745</f>
        <v>2</v>
      </c>
      <c r="E59" s="541">
        <f>Runners!O744</f>
        <v>2</v>
      </c>
      <c r="F59" s="79" t="s">
        <v>5097</v>
      </c>
      <c r="G59" s="334">
        <v>1.8020833333333333E-2</v>
      </c>
      <c r="H59" s="80"/>
      <c r="I59" s="334"/>
      <c r="J59" s="334" t="s">
        <v>5097</v>
      </c>
      <c r="K59" s="34">
        <v>43596</v>
      </c>
      <c r="L59" s="1453">
        <v>495</v>
      </c>
      <c r="M59" s="8">
        <v>1.9803240740740739E-2</v>
      </c>
      <c r="N59" s="3">
        <v>1.042824074074074E-2</v>
      </c>
      <c r="O59" s="3">
        <v>1.2372685185185186E-2</v>
      </c>
      <c r="Q59" s="581" t="s">
        <v>11808</v>
      </c>
      <c r="R59" s="581"/>
      <c r="U59" s="53"/>
      <c r="W59" s="1">
        <f t="shared" si="7"/>
        <v>7.4798747763865636E-4</v>
      </c>
      <c r="X59" s="1">
        <f t="shared" si="8"/>
        <v>-7.4798747763865636E-4</v>
      </c>
      <c r="Y59" s="9"/>
      <c r="AB59" s="1">
        <f t="shared" si="9"/>
        <v>8.4490740740740533E-4</v>
      </c>
      <c r="AC59" s="1"/>
      <c r="AE59" s="1"/>
      <c r="AF59" s="9"/>
    </row>
    <row r="60" spans="1:32" x14ac:dyDescent="0.2">
      <c r="A60">
        <v>696</v>
      </c>
      <c r="B60" s="27" t="s">
        <v>1736</v>
      </c>
      <c r="C60" s="74" t="s">
        <v>2961</v>
      </c>
      <c r="D60" s="24">
        <f>Runners!H815</f>
        <v>1</v>
      </c>
      <c r="E60" s="183">
        <f>Runners!H814</f>
        <v>1</v>
      </c>
      <c r="F60" s="6" t="s">
        <v>909</v>
      </c>
      <c r="G60" s="1">
        <v>1.7210648148148149E-2</v>
      </c>
      <c r="J60" s="254" t="s">
        <v>909</v>
      </c>
      <c r="K60" s="34">
        <v>42560</v>
      </c>
      <c r="L60" s="9">
        <v>269</v>
      </c>
      <c r="M60" s="8">
        <v>1.9479166666666669E-2</v>
      </c>
      <c r="N60" s="3">
        <v>1.091435185185185E-2</v>
      </c>
      <c r="O60" s="3">
        <v>1.2731481481481481E-2</v>
      </c>
      <c r="Q60" s="53"/>
      <c r="R60" s="53"/>
      <c r="U60" s="53"/>
      <c r="W60" s="1">
        <f t="shared" si="7"/>
        <v>2.6187636652754559E-4</v>
      </c>
      <c r="X60" s="1">
        <f t="shared" si="8"/>
        <v>-2.6187636652754559E-4</v>
      </c>
      <c r="Y60" s="9"/>
      <c r="AB60" s="1">
        <f t="shared" si="9"/>
        <v>1.3310185185185161E-3</v>
      </c>
      <c r="AC60" s="1"/>
      <c r="AE60" s="1"/>
      <c r="AF60" s="9"/>
    </row>
    <row r="61" spans="1:32" x14ac:dyDescent="0.2">
      <c r="A61">
        <v>2306</v>
      </c>
      <c r="B61" s="493" t="s">
        <v>13122</v>
      </c>
      <c r="C61" s="415" t="s">
        <v>13123</v>
      </c>
      <c r="D61" s="24">
        <f>Runners!I1073</f>
        <v>1</v>
      </c>
      <c r="E61" s="183">
        <f>Runners!I1072</f>
        <v>1</v>
      </c>
      <c r="F61" s="79" t="s">
        <v>5881</v>
      </c>
      <c r="G61" s="1">
        <v>1.53125E-2</v>
      </c>
      <c r="J61" s="334" t="s">
        <v>5881</v>
      </c>
      <c r="K61" s="34">
        <v>43659</v>
      </c>
      <c r="M61" s="8">
        <v>1.9594907407407405E-2</v>
      </c>
      <c r="N61" s="3">
        <v>1.1249999999999998E-2</v>
      </c>
      <c r="O61" s="3">
        <v>1.2268518518518519E-2</v>
      </c>
      <c r="Q61" s="53"/>
      <c r="R61" s="53"/>
      <c r="U61" s="53"/>
      <c r="W61" s="1">
        <f t="shared" si="7"/>
        <v>-7.3771781620601828E-5</v>
      </c>
      <c r="X61" s="1">
        <f t="shared" si="8"/>
        <v>7.3771781620601828E-5</v>
      </c>
      <c r="Y61" s="9"/>
      <c r="AB61" s="1">
        <f t="shared" si="9"/>
        <v>1.6666666666666635E-3</v>
      </c>
      <c r="AC61" s="1"/>
      <c r="AE61" s="1"/>
      <c r="AF61" s="9"/>
    </row>
    <row r="62" spans="1:32" x14ac:dyDescent="0.2">
      <c r="A62">
        <v>874</v>
      </c>
      <c r="B62" s="27" t="s">
        <v>4034</v>
      </c>
      <c r="C62" s="74" t="s">
        <v>802</v>
      </c>
      <c r="D62" s="24">
        <f>Runners!H630</f>
        <v>11</v>
      </c>
      <c r="E62" s="183">
        <f>Runners!H629</f>
        <v>15</v>
      </c>
      <c r="F62" s="79" t="s">
        <v>127</v>
      </c>
      <c r="G62" s="1">
        <v>1.4432870370370372E-2</v>
      </c>
      <c r="H62" t="s">
        <v>944</v>
      </c>
      <c r="I62" s="1">
        <v>1.7210648148148149E-2</v>
      </c>
      <c r="J62" s="6" t="s">
        <v>4035</v>
      </c>
      <c r="K62" s="34">
        <v>42091</v>
      </c>
      <c r="L62" s="9">
        <v>158</v>
      </c>
      <c r="M62" s="8">
        <v>0.02</v>
      </c>
      <c r="N62" s="3">
        <v>1.125E-2</v>
      </c>
      <c r="O62" s="3">
        <v>1.34375E-2</v>
      </c>
      <c r="P62" t="s">
        <v>4036</v>
      </c>
      <c r="Q62" s="53"/>
      <c r="R62" s="53"/>
      <c r="U62" s="53"/>
      <c r="W62" s="1">
        <f t="shared" si="7"/>
        <v>-7.3771781620603563E-5</v>
      </c>
      <c r="X62" s="1">
        <f t="shared" si="8"/>
        <v>7.3771781620603563E-5</v>
      </c>
      <c r="Y62" s="9">
        <v>24</v>
      </c>
      <c r="Z62">
        <f t="shared" si="0"/>
        <v>576</v>
      </c>
      <c r="AB62" s="1">
        <f t="shared" si="9"/>
        <v>1.6666666666666653E-3</v>
      </c>
      <c r="AC62" s="1"/>
      <c r="AE62" s="1"/>
      <c r="AF62" s="9"/>
    </row>
    <row r="63" spans="1:32" x14ac:dyDescent="0.2">
      <c r="A63">
        <v>1393</v>
      </c>
      <c r="B63" s="27" t="s">
        <v>1995</v>
      </c>
      <c r="C63" s="74" t="s">
        <v>4845</v>
      </c>
      <c r="D63" s="24">
        <f>Runners!O1225</f>
        <v>5</v>
      </c>
      <c r="E63" s="183">
        <f>Runners!O1224</f>
        <v>5</v>
      </c>
      <c r="F63" s="6" t="s">
        <v>1000</v>
      </c>
      <c r="G63" s="1">
        <v>1.9155092592592592E-2</v>
      </c>
      <c r="H63" s="319" t="s">
        <v>4596</v>
      </c>
      <c r="I63" s="1">
        <v>1.7997685185185186E-2</v>
      </c>
      <c r="J63" s="6" t="s">
        <v>1000</v>
      </c>
      <c r="K63" s="34">
        <v>42406</v>
      </c>
      <c r="L63" s="9">
        <v>226</v>
      </c>
      <c r="M63" s="8">
        <v>1.9849537037037037E-2</v>
      </c>
      <c r="N63" s="3">
        <v>1.1886574074074075E-2</v>
      </c>
      <c r="O63" s="3">
        <v>1.667824074074074E-2</v>
      </c>
      <c r="Q63" s="53"/>
      <c r="R63" s="53"/>
      <c r="U63" s="53"/>
      <c r="W63" s="1">
        <f t="shared" si="7"/>
        <v>-7.1034585569467942E-4</v>
      </c>
      <c r="X63" s="1">
        <f t="shared" si="8"/>
        <v>7.1034585569467942E-4</v>
      </c>
      <c r="Y63" s="9">
        <v>79</v>
      </c>
      <c r="Z63">
        <f t="shared" si="0"/>
        <v>6241</v>
      </c>
      <c r="AB63" s="1">
        <f t="shared" si="9"/>
        <v>2.3032407407407411E-3</v>
      </c>
      <c r="AC63" s="1"/>
      <c r="AE63" s="1"/>
      <c r="AF63" s="9"/>
    </row>
    <row r="64" spans="1:32" x14ac:dyDescent="0.2">
      <c r="A64">
        <v>1421</v>
      </c>
      <c r="B64" s="893" t="s">
        <v>2039</v>
      </c>
      <c r="C64" s="894" t="s">
        <v>10193</v>
      </c>
      <c r="D64" s="24">
        <f>Runners!P1225</f>
        <v>3</v>
      </c>
      <c r="E64" s="183">
        <f>Runners!P1224</f>
        <v>3</v>
      </c>
      <c r="F64" s="6" t="s">
        <v>334</v>
      </c>
      <c r="G64" s="1">
        <v>1.4236111111111111E-2</v>
      </c>
      <c r="H64" s="319"/>
      <c r="J64" s="6" t="s">
        <v>1000</v>
      </c>
      <c r="K64" s="34">
        <v>42476</v>
      </c>
      <c r="L64" s="9">
        <f>250</f>
        <v>250</v>
      </c>
      <c r="M64" s="8">
        <v>2.2129629629629628E-2</v>
      </c>
      <c r="N64" s="3">
        <v>1.5462962962962963E-2</v>
      </c>
      <c r="O64" s="3">
        <v>1.8622685185185183E-2</v>
      </c>
      <c r="Q64" s="53"/>
      <c r="R64" s="53"/>
      <c r="U64" s="53"/>
      <c r="W64" s="1">
        <f t="shared" si="7"/>
        <v>-4.2867347445835671E-3</v>
      </c>
      <c r="X64" s="1">
        <f t="shared" si="8"/>
        <v>4.2867347445835671E-3</v>
      </c>
      <c r="Y64" s="9"/>
      <c r="AB64" s="1">
        <f t="shared" si="9"/>
        <v>5.8796296296296287E-3</v>
      </c>
      <c r="AC64" s="1"/>
      <c r="AE64" s="1"/>
      <c r="AF64" s="9"/>
    </row>
    <row r="65" spans="1:32" x14ac:dyDescent="0.2">
      <c r="A65">
        <v>418</v>
      </c>
      <c r="B65" s="27" t="s">
        <v>321</v>
      </c>
      <c r="C65" s="74" t="s">
        <v>2867</v>
      </c>
      <c r="D65" s="24">
        <f>Runners!Q1225</f>
        <v>3</v>
      </c>
      <c r="E65" s="183">
        <f>Runners!Q1224</f>
        <v>3</v>
      </c>
      <c r="F65" s="6" t="s">
        <v>1000</v>
      </c>
      <c r="G65" s="1">
        <v>1.8402777777777778E-2</v>
      </c>
      <c r="J65" s="32" t="s">
        <v>1000</v>
      </c>
      <c r="K65" s="34">
        <v>42189</v>
      </c>
      <c r="L65" s="9">
        <v>183</v>
      </c>
      <c r="M65" s="8">
        <v>1.9699074074074074E-2</v>
      </c>
      <c r="N65" s="3">
        <v>1.2129629629629629E-2</v>
      </c>
      <c r="O65" s="3">
        <v>1.3946759259259258E-2</v>
      </c>
      <c r="Q65" s="1003" t="s">
        <v>9412</v>
      </c>
      <c r="R65" s="1003"/>
      <c r="S65" s="510"/>
      <c r="U65" s="53"/>
      <c r="W65" s="1">
        <f t="shared" si="7"/>
        <v>-9.5340141125023307E-4</v>
      </c>
      <c r="X65" s="1">
        <f t="shared" si="8"/>
        <v>9.5340141125023307E-4</v>
      </c>
      <c r="Y65" s="99">
        <v>100</v>
      </c>
      <c r="Z65">
        <f t="shared" si="0"/>
        <v>10000</v>
      </c>
      <c r="AB65" s="1">
        <f t="shared" si="9"/>
        <v>2.5462962962962948E-3</v>
      </c>
      <c r="AC65" s="1"/>
      <c r="AE65" s="1"/>
      <c r="AF65" s="9"/>
    </row>
    <row r="66" spans="1:32" x14ac:dyDescent="0.2">
      <c r="A66">
        <v>172</v>
      </c>
      <c r="B66" s="27" t="s">
        <v>2503</v>
      </c>
      <c r="C66" s="74" t="s">
        <v>692</v>
      </c>
      <c r="D66" s="24">
        <f>Runners!P745</f>
        <v>8</v>
      </c>
      <c r="E66" s="183">
        <f>Runners!P744</f>
        <v>8</v>
      </c>
      <c r="F66" s="1415" t="s">
        <v>12794</v>
      </c>
      <c r="G66" s="1412">
        <v>1.4537037037037038E-2</v>
      </c>
      <c r="J66" s="32" t="s">
        <v>3345</v>
      </c>
      <c r="K66" s="34">
        <v>42665</v>
      </c>
      <c r="L66" s="9">
        <v>295</v>
      </c>
      <c r="M66" s="8">
        <v>1.9108796296296294E-2</v>
      </c>
      <c r="N66" s="3">
        <v>1.1099537037037038E-2</v>
      </c>
      <c r="O66" s="394">
        <v>1.2314814814814815E-2</v>
      </c>
      <c r="Q66" s="103" t="s">
        <v>5173</v>
      </c>
      <c r="R66" s="103"/>
      <c r="U66" s="53"/>
      <c r="W66" s="1">
        <f t="shared" si="7"/>
        <v>7.6691181342358056E-5</v>
      </c>
      <c r="X66" s="1">
        <f t="shared" si="8"/>
        <v>-7.6691181342358056E-5</v>
      </c>
      <c r="Y66" s="9">
        <v>11</v>
      </c>
      <c r="Z66">
        <f t="shared" si="0"/>
        <v>121</v>
      </c>
      <c r="AB66" s="1">
        <f t="shared" si="9"/>
        <v>1.5162037037037036E-3</v>
      </c>
      <c r="AC66" s="1"/>
      <c r="AE66" s="1"/>
      <c r="AF66" s="1"/>
    </row>
    <row r="67" spans="1:32" x14ac:dyDescent="0.2">
      <c r="A67">
        <v>905</v>
      </c>
      <c r="B67" s="27" t="s">
        <v>2545</v>
      </c>
      <c r="C67" s="74" t="s">
        <v>2544</v>
      </c>
      <c r="D67" s="24">
        <f>Runners!H1289</f>
        <v>2</v>
      </c>
      <c r="E67" s="183">
        <f>Runners!H1288</f>
        <v>2</v>
      </c>
      <c r="F67" s="363" t="s">
        <v>909</v>
      </c>
      <c r="G67" s="1">
        <v>1.982638888888889E-2</v>
      </c>
      <c r="H67" t="s">
        <v>5894</v>
      </c>
      <c r="I67" s="1">
        <v>1.9814814814814816E-2</v>
      </c>
      <c r="J67" s="1" t="s">
        <v>5061</v>
      </c>
      <c r="K67" s="34">
        <v>42182</v>
      </c>
      <c r="L67" s="9">
        <v>181</v>
      </c>
      <c r="M67" s="8">
        <v>2.2303240740740738E-2</v>
      </c>
      <c r="N67" s="3">
        <v>1.1215277777777777E-2</v>
      </c>
      <c r="O67" s="3">
        <v>1.3564814814814816E-2</v>
      </c>
      <c r="Q67" s="53"/>
      <c r="R67" s="53"/>
      <c r="U67" s="53"/>
      <c r="W67" s="1">
        <f t="shared" si="7"/>
        <v>-3.9049559398381117E-5</v>
      </c>
      <c r="X67" s="1">
        <f t="shared" si="8"/>
        <v>3.9049559398381117E-5</v>
      </c>
      <c r="Y67" s="9">
        <v>21</v>
      </c>
      <c r="Z67">
        <f t="shared" si="0"/>
        <v>441</v>
      </c>
      <c r="AB67" s="1">
        <f t="shared" si="9"/>
        <v>1.6319444444444428E-3</v>
      </c>
      <c r="AC67" s="1"/>
      <c r="AE67" s="1"/>
      <c r="AF67" s="1"/>
    </row>
    <row r="68" spans="1:32" x14ac:dyDescent="0.2">
      <c r="A68">
        <v>210</v>
      </c>
      <c r="B68" s="27" t="s">
        <v>5310</v>
      </c>
      <c r="C68" s="74" t="s">
        <v>4936</v>
      </c>
      <c r="D68" s="1334">
        <f>Runners!O309</f>
        <v>20</v>
      </c>
      <c r="E68" s="948">
        <f>Runners!O308</f>
        <v>37</v>
      </c>
      <c r="F68" s="6" t="s">
        <v>5881</v>
      </c>
      <c r="G68" s="1">
        <v>1.3900462962962962E-2</v>
      </c>
      <c r="H68" s="80" t="s">
        <v>3254</v>
      </c>
      <c r="I68" s="1">
        <v>1.8912037037037036E-2</v>
      </c>
      <c r="J68" s="1" t="s">
        <v>1000</v>
      </c>
      <c r="K68" s="34">
        <v>42154</v>
      </c>
      <c r="L68" s="9">
        <v>173</v>
      </c>
      <c r="M68" s="8">
        <v>2.101851851851852E-2</v>
      </c>
      <c r="N68" s="3">
        <v>1.1875E-2</v>
      </c>
      <c r="O68" s="3">
        <v>1.3333333333333334E-2</v>
      </c>
      <c r="Q68" s="53"/>
      <c r="R68" s="53"/>
      <c r="U68" s="53"/>
      <c r="W68" s="1">
        <f t="shared" si="7"/>
        <v>-6.9877178162060412E-4</v>
      </c>
      <c r="X68" s="1">
        <f t="shared" si="8"/>
        <v>6.9877178162060412E-4</v>
      </c>
      <c r="Y68" s="9">
        <v>78</v>
      </c>
      <c r="Z68">
        <f t="shared" si="0"/>
        <v>6084</v>
      </c>
      <c r="AB68" s="1">
        <f t="shared" si="9"/>
        <v>2.2916666666666658E-3</v>
      </c>
      <c r="AC68" s="1"/>
      <c r="AE68" s="1"/>
      <c r="AF68" s="1"/>
    </row>
    <row r="69" spans="1:32" x14ac:dyDescent="0.2">
      <c r="A69">
        <v>131</v>
      </c>
      <c r="B69" s="27" t="s">
        <v>5473</v>
      </c>
      <c r="C69" s="74" t="s">
        <v>5471</v>
      </c>
      <c r="D69" s="74">
        <f>Runners!G1048</f>
        <v>1</v>
      </c>
      <c r="E69" s="183">
        <f>Runners!G1047</f>
        <v>1</v>
      </c>
      <c r="F69" s="6"/>
      <c r="H69" s="2" t="s">
        <v>3254</v>
      </c>
      <c r="I69" s="1">
        <v>1.8298611111111113E-2</v>
      </c>
      <c r="J69" s="1" t="s">
        <v>3254</v>
      </c>
      <c r="K69" s="34">
        <v>42567</v>
      </c>
      <c r="L69" s="9">
        <v>271</v>
      </c>
      <c r="M69" s="8">
        <v>2.074074074074074E-2</v>
      </c>
      <c r="N69" s="3">
        <v>1.0983796296296297E-2</v>
      </c>
      <c r="O69" s="3">
        <v>1.2627314814814815E-2</v>
      </c>
      <c r="Q69" s="53"/>
      <c r="R69" s="53"/>
      <c r="U69" s="53"/>
      <c r="W69" s="1">
        <f t="shared" si="7"/>
        <v>1.9243192208309896E-4</v>
      </c>
      <c r="X69" s="1">
        <f t="shared" si="8"/>
        <v>-1.9243192208309896E-4</v>
      </c>
      <c r="Y69" s="9"/>
      <c r="AB69" s="1">
        <f t="shared" si="9"/>
        <v>1.4004629629629627E-3</v>
      </c>
      <c r="AC69" s="1"/>
      <c r="AE69" s="1"/>
      <c r="AF69" s="1"/>
    </row>
    <row r="70" spans="1:32" x14ac:dyDescent="0.2">
      <c r="A70">
        <v>6</v>
      </c>
      <c r="B70" s="27" t="s">
        <v>2527</v>
      </c>
      <c r="C70" s="74" t="s">
        <v>2526</v>
      </c>
      <c r="D70" s="24">
        <f>Runners!H1000</f>
        <v>3</v>
      </c>
      <c r="E70" s="183">
        <f>Runners!H999</f>
        <v>4</v>
      </c>
      <c r="F70" s="6" t="s">
        <v>1270</v>
      </c>
      <c r="G70" s="1">
        <v>1.3854166666666666E-2</v>
      </c>
      <c r="J70" s="1" t="s">
        <v>654</v>
      </c>
      <c r="K70" s="34">
        <v>41601</v>
      </c>
      <c r="L70" s="9">
        <v>78</v>
      </c>
      <c r="M70" s="8">
        <v>1.8703703703703705E-2</v>
      </c>
      <c r="N70" s="3">
        <v>1.0300925925925927E-2</v>
      </c>
      <c r="O70" s="3">
        <v>1.1643518518518518E-2</v>
      </c>
      <c r="W70" s="1">
        <f t="shared" si="7"/>
        <v>8.7530229245346911E-4</v>
      </c>
      <c r="X70" s="1">
        <f t="shared" si="8"/>
        <v>-8.7530229245346911E-4</v>
      </c>
      <c r="Y70" s="9">
        <v>58</v>
      </c>
      <c r="Z70">
        <f t="shared" si="0"/>
        <v>3364</v>
      </c>
      <c r="AB70" s="1">
        <f t="shared" si="9"/>
        <v>7.1759259259259259E-4</v>
      </c>
      <c r="AC70" s="1"/>
      <c r="AE70" s="1"/>
      <c r="AF70" s="1"/>
    </row>
    <row r="71" spans="1:32" x14ac:dyDescent="0.2">
      <c r="A71">
        <v>464</v>
      </c>
      <c r="B71" s="27" t="s">
        <v>2685</v>
      </c>
      <c r="C71" s="74" t="s">
        <v>5632</v>
      </c>
      <c r="D71" s="24">
        <f>Runners!R815</f>
        <v>3</v>
      </c>
      <c r="E71" s="183">
        <f>Runners!R814</f>
        <v>3</v>
      </c>
      <c r="F71" s="6" t="s">
        <v>5096</v>
      </c>
      <c r="G71" s="1">
        <v>1.4826388888888889E-2</v>
      </c>
      <c r="H71" s="206" t="s">
        <v>2670</v>
      </c>
      <c r="I71" s="1">
        <v>1.5127314814814816E-2</v>
      </c>
      <c r="J71" s="1" t="s">
        <v>5096</v>
      </c>
      <c r="K71" s="34">
        <v>42231</v>
      </c>
      <c r="L71" s="9">
        <v>192</v>
      </c>
      <c r="M71" s="8">
        <v>2.0300925925925927E-2</v>
      </c>
      <c r="N71" s="3">
        <v>1.0474537037037037E-2</v>
      </c>
      <c r="O71" s="3">
        <v>1.247685185185185E-2</v>
      </c>
      <c r="W71" s="1">
        <f t="shared" si="7"/>
        <v>7.0169118134235861E-4</v>
      </c>
      <c r="X71" s="1">
        <f t="shared" si="8"/>
        <v>-7.0169118134235861E-4</v>
      </c>
      <c r="Y71" s="9">
        <v>43</v>
      </c>
      <c r="Z71">
        <f t="shared" si="0"/>
        <v>1849</v>
      </c>
      <c r="AB71" s="1">
        <f t="shared" si="9"/>
        <v>8.9120370370370308E-4</v>
      </c>
      <c r="AC71" s="1"/>
      <c r="AE71" s="1"/>
      <c r="AF71" s="1"/>
    </row>
    <row r="72" spans="1:32" x14ac:dyDescent="0.2">
      <c r="A72">
        <v>104</v>
      </c>
      <c r="B72" s="27" t="s">
        <v>1277</v>
      </c>
      <c r="C72" s="74" t="s">
        <v>5656</v>
      </c>
      <c r="D72" s="24">
        <f>Runners!M957</f>
        <v>5</v>
      </c>
      <c r="E72" s="183">
        <f>Runners!M956</f>
        <v>86</v>
      </c>
      <c r="F72" s="6" t="s">
        <v>1000</v>
      </c>
      <c r="G72" s="1">
        <v>1.8148148148148146E-2</v>
      </c>
      <c r="H72" s="2" t="s">
        <v>3254</v>
      </c>
      <c r="I72" s="3">
        <v>1.7905092592592594E-2</v>
      </c>
      <c r="J72" s="32" t="s">
        <v>1000</v>
      </c>
      <c r="K72" s="34">
        <v>41111</v>
      </c>
      <c r="L72" s="9">
        <v>32</v>
      </c>
      <c r="M72" s="8">
        <v>1.8402777777777778E-2</v>
      </c>
      <c r="N72" s="3">
        <v>1.0115740740740741E-2</v>
      </c>
      <c r="O72" s="3">
        <v>1.1284722222222222E-2</v>
      </c>
      <c r="W72" s="1">
        <f t="shared" si="7"/>
        <v>1.0604874776386549E-3</v>
      </c>
      <c r="X72" s="1">
        <f t="shared" si="8"/>
        <v>-1.0604874776386549E-3</v>
      </c>
      <c r="Y72" s="9">
        <v>74</v>
      </c>
      <c r="Z72">
        <f t="shared" si="0"/>
        <v>5476</v>
      </c>
      <c r="AB72" s="1">
        <f t="shared" si="9"/>
        <v>5.3240740740740679E-4</v>
      </c>
      <c r="AC72" s="1"/>
      <c r="AE72" s="1"/>
      <c r="AF72" s="1"/>
    </row>
    <row r="73" spans="1:32" x14ac:dyDescent="0.2">
      <c r="A73">
        <v>654</v>
      </c>
      <c r="B73" s="27" t="s">
        <v>2936</v>
      </c>
      <c r="C73" s="74" t="s">
        <v>4510</v>
      </c>
      <c r="D73" s="24">
        <f>Runners!I554</f>
        <v>2</v>
      </c>
      <c r="E73" s="183">
        <f>Runners!I553</f>
        <v>2</v>
      </c>
      <c r="F73" s="6" t="s">
        <v>1000</v>
      </c>
      <c r="G73" s="1">
        <v>2.1319444444444443E-2</v>
      </c>
      <c r="J73" s="32" t="s">
        <v>1000</v>
      </c>
      <c r="K73" s="34">
        <v>42315</v>
      </c>
      <c r="L73" s="9">
        <v>206</v>
      </c>
      <c r="M73" s="8">
        <v>2.1053240740740744E-2</v>
      </c>
      <c r="N73" s="3">
        <v>1.1747685185185186E-2</v>
      </c>
      <c r="O73" s="3">
        <v>1.3541666666666667E-2</v>
      </c>
      <c r="P73" t="s">
        <v>5616</v>
      </c>
      <c r="W73" s="1">
        <f t="shared" si="7"/>
        <v>-5.7145696680578964E-4</v>
      </c>
      <c r="X73" s="1">
        <f t="shared" si="8"/>
        <v>5.7145696680578964E-4</v>
      </c>
      <c r="Y73" s="9">
        <v>67</v>
      </c>
      <c r="Z73">
        <f>Y73*Y73</f>
        <v>4489</v>
      </c>
      <c r="AB73" s="1">
        <f t="shared" si="9"/>
        <v>2.1643518518518513E-3</v>
      </c>
      <c r="AC73" s="1"/>
      <c r="AE73" s="1"/>
      <c r="AF73" s="1"/>
    </row>
    <row r="74" spans="1:32" x14ac:dyDescent="0.2">
      <c r="A74">
        <v>213</v>
      </c>
      <c r="B74" s="27" t="s">
        <v>1090</v>
      </c>
      <c r="C74" s="74" t="s">
        <v>2295</v>
      </c>
      <c r="D74" s="24">
        <f>Runners!L957</f>
        <v>2</v>
      </c>
      <c r="E74" s="183">
        <f>Runners!L956</f>
        <v>2</v>
      </c>
      <c r="F74" s="6" t="s">
        <v>1000</v>
      </c>
      <c r="G74" s="32">
        <v>1.8969907407407408E-2</v>
      </c>
      <c r="H74" s="206" t="s">
        <v>1062</v>
      </c>
      <c r="I74" s="1">
        <v>2.4930555555555553E-2</v>
      </c>
      <c r="J74" s="1" t="s">
        <v>1000</v>
      </c>
      <c r="K74" s="34">
        <v>42651</v>
      </c>
      <c r="L74" s="9">
        <v>290</v>
      </c>
      <c r="M74" s="8">
        <v>2.1053240740740744E-2</v>
      </c>
      <c r="N74" s="3">
        <v>1.1458333333333334E-2</v>
      </c>
      <c r="O74" s="3">
        <v>1.3321759259259261E-2</v>
      </c>
      <c r="P74" t="s">
        <v>5020</v>
      </c>
      <c r="Q74" s="53"/>
      <c r="R74" s="53"/>
      <c r="U74" s="53"/>
      <c r="W74" s="1">
        <f t="shared" si="7"/>
        <v>-2.8210511495393824E-4</v>
      </c>
      <c r="X74" s="1">
        <f t="shared" si="8"/>
        <v>2.8210511495393824E-4</v>
      </c>
      <c r="Y74" s="9"/>
      <c r="AB74" s="1">
        <f t="shared" si="9"/>
        <v>1.8749999999999999E-3</v>
      </c>
      <c r="AC74" s="1"/>
      <c r="AE74" s="1"/>
      <c r="AF74" s="1"/>
    </row>
    <row r="75" spans="1:32" x14ac:dyDescent="0.2">
      <c r="A75">
        <v>8</v>
      </c>
      <c r="B75" s="27" t="s">
        <v>3010</v>
      </c>
      <c r="C75" s="74" t="s">
        <v>2251</v>
      </c>
      <c r="D75" s="24">
        <f>Runners!G630</f>
        <v>8</v>
      </c>
      <c r="E75" s="183">
        <f>Runners!G629</f>
        <v>11</v>
      </c>
      <c r="F75" s="6" t="s">
        <v>1000</v>
      </c>
      <c r="G75" s="32">
        <v>1.7141203703703704E-2</v>
      </c>
      <c r="H75" s="80" t="s">
        <v>4596</v>
      </c>
      <c r="I75" s="1">
        <v>1.7557870370370373E-2</v>
      </c>
      <c r="J75" s="1" t="s">
        <v>1000</v>
      </c>
      <c r="K75" s="34">
        <v>41671</v>
      </c>
      <c r="L75" s="9">
        <v>90</v>
      </c>
      <c r="M75" s="8">
        <v>1.8263888888888889E-2</v>
      </c>
      <c r="N75" s="3">
        <v>1.0046296296296296E-2</v>
      </c>
      <c r="O75" s="3">
        <v>1.1608796296296296E-2</v>
      </c>
      <c r="Q75" s="103" t="s">
        <v>980</v>
      </c>
      <c r="R75" s="103"/>
      <c r="U75" s="53"/>
      <c r="W75" s="1">
        <f t="shared" si="7"/>
        <v>1.1299319220830998E-3</v>
      </c>
      <c r="X75" s="1">
        <f t="shared" si="8"/>
        <v>-1.1299319220830998E-3</v>
      </c>
      <c r="Y75" s="9">
        <v>80</v>
      </c>
      <c r="Z75">
        <f>Y75*Y75</f>
        <v>6400</v>
      </c>
      <c r="AB75" s="1">
        <f t="shared" si="9"/>
        <v>4.629629629629619E-4</v>
      </c>
      <c r="AC75" s="1"/>
      <c r="AE75" s="1"/>
      <c r="AF75" s="1"/>
    </row>
    <row r="76" spans="1:32" x14ac:dyDescent="0.2">
      <c r="A76">
        <v>2555</v>
      </c>
      <c r="B76" s="493" t="s">
        <v>16712</v>
      </c>
      <c r="C76" s="415" t="s">
        <v>16713</v>
      </c>
      <c r="D76" s="24">
        <f>Runners!N957</f>
        <v>1</v>
      </c>
      <c r="E76" s="183">
        <f>Runners!N956</f>
        <v>1</v>
      </c>
      <c r="F76" s="6"/>
      <c r="G76" s="32"/>
      <c r="H76" s="513" t="s">
        <v>1062</v>
      </c>
      <c r="I76" s="1">
        <v>2.6238425925925925E-2</v>
      </c>
      <c r="J76" s="512" t="s">
        <v>1062</v>
      </c>
      <c r="K76" s="34">
        <v>43841</v>
      </c>
      <c r="Q76" s="1474"/>
      <c r="R76" s="1474"/>
      <c r="U76" s="53"/>
      <c r="W76" s="1"/>
      <c r="X76" s="1"/>
      <c r="Y76" s="9"/>
      <c r="AB76" s="1"/>
      <c r="AC76" s="1"/>
      <c r="AE76" s="1"/>
      <c r="AF76" s="1"/>
    </row>
    <row r="77" spans="1:32" x14ac:dyDescent="0.2">
      <c r="A77">
        <v>443</v>
      </c>
      <c r="B77" s="27" t="s">
        <v>5982</v>
      </c>
      <c r="C77" s="74" t="s">
        <v>5983</v>
      </c>
      <c r="D77" s="24">
        <f>Runners!J420</f>
        <v>3</v>
      </c>
      <c r="E77" s="183">
        <f>Runners!J419</f>
        <v>8</v>
      </c>
      <c r="F77" s="6" t="s">
        <v>5951</v>
      </c>
      <c r="G77" s="32">
        <v>2.1296296296296299E-2</v>
      </c>
      <c r="J77" s="1" t="s">
        <v>5951</v>
      </c>
      <c r="K77" s="34">
        <v>42308</v>
      </c>
      <c r="L77" s="9">
        <v>205</v>
      </c>
      <c r="M77" s="8">
        <v>1.8877314814814816E-2</v>
      </c>
      <c r="N77" s="3">
        <v>1.1296296296296296E-2</v>
      </c>
      <c r="O77" s="3">
        <v>1.2500000000000001E-2</v>
      </c>
      <c r="Q77" s="635" t="s">
        <v>10910</v>
      </c>
      <c r="R77" s="635"/>
      <c r="S77" s="530"/>
      <c r="U77" s="53"/>
      <c r="W77" s="1">
        <f t="shared" ref="W77:W104" si="10">$N$700-N77</f>
        <v>-1.2006807791689958E-4</v>
      </c>
      <c r="X77" s="1">
        <f t="shared" ref="X77:X104" si="11">N77-$N$700</f>
        <v>1.2006807791689958E-4</v>
      </c>
      <c r="Y77" s="9">
        <v>28</v>
      </c>
      <c r="Z77">
        <f>Y77*Y77</f>
        <v>784</v>
      </c>
      <c r="AB77" s="1">
        <f t="shared" ref="AB77:AB87" si="12">N77-$N$88</f>
        <v>1.7129629629629613E-3</v>
      </c>
      <c r="AC77" s="1"/>
      <c r="AE77" s="1"/>
      <c r="AF77" s="1"/>
    </row>
    <row r="78" spans="1:32" x14ac:dyDescent="0.2">
      <c r="A78">
        <v>76</v>
      </c>
      <c r="B78" s="27" t="s">
        <v>4424</v>
      </c>
      <c r="C78" s="74" t="s">
        <v>182</v>
      </c>
      <c r="D78" s="24">
        <f>Runners!M460</f>
        <v>9</v>
      </c>
      <c r="E78" s="183">
        <f>Runners!M459</f>
        <v>10</v>
      </c>
      <c r="F78" s="6" t="s">
        <v>5096</v>
      </c>
      <c r="G78" s="1">
        <v>1.4259259259259261E-2</v>
      </c>
      <c r="H78" s="206" t="s">
        <v>2670</v>
      </c>
      <c r="I78" s="1">
        <v>1.4502314814814815E-2</v>
      </c>
      <c r="J78" s="1" t="s">
        <v>5096</v>
      </c>
      <c r="K78" s="34">
        <v>41594</v>
      </c>
      <c r="L78" s="9">
        <v>77</v>
      </c>
      <c r="M78" s="8">
        <v>1.7361111111111112E-2</v>
      </c>
      <c r="N78" s="3">
        <v>1.0601851851851854E-2</v>
      </c>
      <c r="O78" s="3">
        <v>1.1944444444444445E-2</v>
      </c>
      <c r="P78" t="s">
        <v>2282</v>
      </c>
      <c r="W78" s="1">
        <f t="shared" si="10"/>
        <v>5.743763665275424E-4</v>
      </c>
      <c r="X78" s="1">
        <f t="shared" si="11"/>
        <v>-5.743763665275424E-4</v>
      </c>
      <c r="Y78" s="9">
        <v>32</v>
      </c>
      <c r="Z78">
        <f>Y78*Y78</f>
        <v>1024</v>
      </c>
      <c r="AB78" s="1">
        <f t="shared" si="12"/>
        <v>1.0185185185185193E-3</v>
      </c>
      <c r="AC78" s="1"/>
      <c r="AE78" s="1"/>
      <c r="AF78" s="1"/>
    </row>
    <row r="79" spans="1:32" x14ac:dyDescent="0.2">
      <c r="A79">
        <v>27</v>
      </c>
      <c r="B79" s="27" t="s">
        <v>4528</v>
      </c>
      <c r="C79" s="74" t="s">
        <v>2830</v>
      </c>
      <c r="D79" s="24">
        <f>Runners!L460</f>
        <v>7</v>
      </c>
      <c r="E79" s="183">
        <f>Runners!L459</f>
        <v>25</v>
      </c>
      <c r="F79" s="534" t="s">
        <v>3790</v>
      </c>
      <c r="G79" s="512">
        <v>1.6458333333333332E-2</v>
      </c>
      <c r="H79" s="513" t="s">
        <v>4596</v>
      </c>
      <c r="I79" s="512">
        <v>1.7800925925925925E-2</v>
      </c>
      <c r="J79" s="1" t="s">
        <v>4778</v>
      </c>
      <c r="K79" s="34">
        <v>41965</v>
      </c>
      <c r="L79" s="9">
        <v>144</v>
      </c>
      <c r="M79" s="8">
        <v>1.8391203703703705E-2</v>
      </c>
      <c r="N79" s="3">
        <v>1.0138888888888888E-2</v>
      </c>
      <c r="O79" s="3">
        <v>1.1423611111111112E-2</v>
      </c>
      <c r="P79" s="3"/>
      <c r="Q79" s="103" t="s">
        <v>2305</v>
      </c>
      <c r="R79" s="103"/>
      <c r="U79" s="53"/>
      <c r="W79" s="1">
        <f t="shared" si="10"/>
        <v>1.0373393294905078E-3</v>
      </c>
      <c r="X79" s="1">
        <f t="shared" si="11"/>
        <v>-1.0373393294905078E-3</v>
      </c>
      <c r="Y79" s="9">
        <v>72</v>
      </c>
      <c r="Z79">
        <f t="shared" si="0"/>
        <v>5184</v>
      </c>
      <c r="AB79" s="1">
        <f t="shared" si="12"/>
        <v>5.5555555555555393E-4</v>
      </c>
      <c r="AC79" s="1"/>
      <c r="AE79" s="1"/>
      <c r="AF79" s="1"/>
    </row>
    <row r="80" spans="1:32" x14ac:dyDescent="0.2">
      <c r="A80">
        <v>2180</v>
      </c>
      <c r="B80" s="552" t="s">
        <v>11015</v>
      </c>
      <c r="C80" s="532" t="s">
        <v>10983</v>
      </c>
      <c r="D80" s="531">
        <f>Runners!H216</f>
        <v>35</v>
      </c>
      <c r="E80" s="541">
        <f>Runners!H215</f>
        <v>80</v>
      </c>
      <c r="F80" s="79" t="s">
        <v>5886</v>
      </c>
      <c r="G80" s="334">
        <v>1.2372685185185186E-2</v>
      </c>
      <c r="H80" s="513" t="s">
        <v>9797</v>
      </c>
      <c r="I80" s="512">
        <v>1.4097222222222221E-2</v>
      </c>
      <c r="J80" s="1121" t="s">
        <v>11062</v>
      </c>
      <c r="K80" s="34">
        <v>43421</v>
      </c>
      <c r="L80" s="1398">
        <v>453</v>
      </c>
      <c r="M80" s="8">
        <v>2.0625000000000001E-2</v>
      </c>
      <c r="N80" s="3">
        <v>1.1423611111111112E-2</v>
      </c>
      <c r="O80" s="3">
        <v>1.3182870370370371E-2</v>
      </c>
      <c r="P80" s="3"/>
      <c r="Q80" s="53"/>
      <c r="R80" s="53"/>
      <c r="U80" s="53"/>
      <c r="W80" s="1">
        <f t="shared" si="10"/>
        <v>-2.4738289273171579E-4</v>
      </c>
      <c r="X80" s="1">
        <f t="shared" si="11"/>
        <v>2.4738289273171579E-4</v>
      </c>
      <c r="Y80" s="9"/>
      <c r="AB80" s="1">
        <f t="shared" si="12"/>
        <v>1.8402777777777775E-3</v>
      </c>
      <c r="AC80" s="1"/>
      <c r="AE80" s="1"/>
      <c r="AF80" s="1"/>
    </row>
    <row r="81" spans="1:32" x14ac:dyDescent="0.2">
      <c r="A81">
        <v>176</v>
      </c>
      <c r="B81" s="27" t="s">
        <v>1610</v>
      </c>
      <c r="C81" s="74" t="s">
        <v>6005</v>
      </c>
      <c r="D81" s="24">
        <f>Runners!H877</f>
        <v>5</v>
      </c>
      <c r="E81" s="183">
        <f>Runners!H876</f>
        <v>6</v>
      </c>
      <c r="F81" s="6" t="s">
        <v>1270</v>
      </c>
      <c r="G81" s="1">
        <v>1.3472222222222221E-2</v>
      </c>
      <c r="H81" s="513" t="s">
        <v>5894</v>
      </c>
      <c r="I81" s="1">
        <v>2.1377314814814818E-2</v>
      </c>
      <c r="J81" s="1" t="s">
        <v>1270</v>
      </c>
      <c r="K81" s="34">
        <v>41090</v>
      </c>
      <c r="L81" s="9">
        <v>28</v>
      </c>
      <c r="M81" s="8">
        <v>1.849537037037037E-2</v>
      </c>
      <c r="N81" s="3">
        <v>1.0173611111111111E-2</v>
      </c>
      <c r="O81" s="3">
        <v>1.1863425925925925E-2</v>
      </c>
      <c r="W81" s="1">
        <f t="shared" si="10"/>
        <v>1.0026171072682853E-3</v>
      </c>
      <c r="X81" s="1">
        <f t="shared" si="11"/>
        <v>-1.0026171072682853E-3</v>
      </c>
      <c r="Y81" s="9">
        <v>69</v>
      </c>
      <c r="Z81">
        <f t="shared" si="0"/>
        <v>4761</v>
      </c>
      <c r="AB81" s="1">
        <f t="shared" si="12"/>
        <v>5.9027777777777637E-4</v>
      </c>
      <c r="AC81" s="1"/>
      <c r="AE81" s="1"/>
      <c r="AF81" s="1"/>
    </row>
    <row r="82" spans="1:32" x14ac:dyDescent="0.2">
      <c r="A82">
        <v>1252</v>
      </c>
      <c r="B82" s="27" t="s">
        <v>1511</v>
      </c>
      <c r="C82" s="74" t="s">
        <v>1030</v>
      </c>
      <c r="D82" s="24">
        <f>Runners!G815</f>
        <v>1</v>
      </c>
      <c r="E82" s="183">
        <f>Runners!G814</f>
        <v>1</v>
      </c>
      <c r="F82" s="6" t="s">
        <v>909</v>
      </c>
      <c r="G82" s="1">
        <v>1.7326388888888888E-2</v>
      </c>
      <c r="J82" s="1" t="s">
        <v>909</v>
      </c>
      <c r="K82" s="34">
        <v>42287</v>
      </c>
      <c r="L82" s="9">
        <v>199</v>
      </c>
      <c r="M82" s="8">
        <v>2.0393518518518519E-2</v>
      </c>
      <c r="N82" s="3">
        <v>1.2013888888888888E-2</v>
      </c>
      <c r="O82" s="3">
        <v>1.4699074074074074E-2</v>
      </c>
      <c r="W82" s="1">
        <f t="shared" si="10"/>
        <v>-8.3766067050949217E-4</v>
      </c>
      <c r="X82" s="1">
        <f t="shared" si="11"/>
        <v>8.3766067050949217E-4</v>
      </c>
      <c r="Y82" s="9">
        <v>90</v>
      </c>
      <c r="Z82">
        <f t="shared" si="0"/>
        <v>8100</v>
      </c>
      <c r="AB82" s="1">
        <f t="shared" si="12"/>
        <v>2.4305555555555539E-3</v>
      </c>
      <c r="AC82" s="1"/>
      <c r="AE82" s="1"/>
      <c r="AF82" s="1"/>
    </row>
    <row r="83" spans="1:32" x14ac:dyDescent="0.2">
      <c r="A83">
        <v>711</v>
      </c>
      <c r="B83" s="493" t="s">
        <v>16254</v>
      </c>
      <c r="C83" s="415" t="s">
        <v>16255</v>
      </c>
      <c r="D83" s="24">
        <f>Runners!T1410</f>
        <v>1</v>
      </c>
      <c r="E83" s="183">
        <f>Runners!T1409</f>
        <v>1</v>
      </c>
      <c r="F83" s="1415" t="s">
        <v>8462</v>
      </c>
      <c r="G83" s="1412">
        <v>1.4421296296296295E-2</v>
      </c>
      <c r="H83" s="1371"/>
      <c r="I83" s="1412"/>
      <c r="J83" s="1432" t="s">
        <v>8462</v>
      </c>
      <c r="K83" s="1379">
        <v>43813</v>
      </c>
      <c r="M83" s="8">
        <v>2.6759259259259257E-2</v>
      </c>
      <c r="N83" s="3">
        <v>1.0069444444444445E-2</v>
      </c>
      <c r="O83" s="3">
        <v>1.298611111111111E-2</v>
      </c>
      <c r="W83" s="1">
        <f t="shared" si="10"/>
        <v>1.1067837739349509E-3</v>
      </c>
      <c r="X83" s="1">
        <f t="shared" si="11"/>
        <v>-1.1067837739349509E-3</v>
      </c>
      <c r="Y83" s="9"/>
      <c r="AB83" s="1">
        <f t="shared" si="12"/>
        <v>4.8611111111111077E-4</v>
      </c>
      <c r="AC83" s="1"/>
      <c r="AE83" s="1"/>
      <c r="AF83" s="1"/>
    </row>
    <row r="84" spans="1:32" x14ac:dyDescent="0.2">
      <c r="A84">
        <v>851</v>
      </c>
      <c r="B84" s="27" t="s">
        <v>372</v>
      </c>
      <c r="C84" s="74" t="s">
        <v>373</v>
      </c>
      <c r="D84" s="24">
        <f>Runners!I374</f>
        <v>3</v>
      </c>
      <c r="E84" s="183">
        <f>Runners!I373</f>
        <v>3</v>
      </c>
      <c r="F84" s="6" t="s">
        <v>5096</v>
      </c>
      <c r="G84" s="1">
        <v>1.4363425925925925E-2</v>
      </c>
      <c r="H84" s="206" t="s">
        <v>1062</v>
      </c>
      <c r="I84" s="1">
        <v>2.4270833333333335E-2</v>
      </c>
      <c r="J84" s="1" t="s">
        <v>5096</v>
      </c>
      <c r="K84" s="34">
        <v>41790</v>
      </c>
      <c r="L84" s="9">
        <v>106</v>
      </c>
      <c r="M84" s="8">
        <v>1.9212962962962963E-2</v>
      </c>
      <c r="N84" s="3">
        <v>1.0752314814814814E-2</v>
      </c>
      <c r="O84" s="3">
        <v>1.2685185185185183E-2</v>
      </c>
      <c r="W84" s="1">
        <f t="shared" si="10"/>
        <v>4.2391340356458251E-4</v>
      </c>
      <c r="X84" s="1">
        <f t="shared" si="11"/>
        <v>-4.2391340356458251E-4</v>
      </c>
      <c r="Y84" s="9">
        <v>21</v>
      </c>
      <c r="Z84">
        <f t="shared" si="0"/>
        <v>441</v>
      </c>
      <c r="AB84" s="1">
        <f t="shared" si="12"/>
        <v>1.1689814814814792E-3</v>
      </c>
      <c r="AC84" s="1"/>
      <c r="AE84" s="1"/>
      <c r="AF84" s="1"/>
    </row>
    <row r="85" spans="1:32" x14ac:dyDescent="0.2">
      <c r="A85">
        <v>392</v>
      </c>
      <c r="B85" s="27" t="s">
        <v>5126</v>
      </c>
      <c r="C85" s="74" t="s">
        <v>5430</v>
      </c>
      <c r="D85" s="24">
        <f>Runners!N460</f>
        <v>7</v>
      </c>
      <c r="E85" s="183">
        <f>Runners!N459</f>
        <v>11</v>
      </c>
      <c r="F85" s="6" t="s">
        <v>5096</v>
      </c>
      <c r="G85" s="1">
        <v>1.480324074074074E-2</v>
      </c>
      <c r="H85" s="319" t="s">
        <v>2670</v>
      </c>
      <c r="I85" s="1">
        <v>1.4120370370370368E-2</v>
      </c>
      <c r="J85" s="1" t="s">
        <v>4778</v>
      </c>
      <c r="K85" s="34">
        <v>41475</v>
      </c>
      <c r="L85" s="9">
        <v>65</v>
      </c>
      <c r="M85" s="8">
        <v>1.8113425925925925E-2</v>
      </c>
      <c r="N85" s="3">
        <v>1.0555555555555554E-2</v>
      </c>
      <c r="O85" s="3">
        <v>1.1921296296296298E-2</v>
      </c>
      <c r="P85" s="80" t="s">
        <v>15809</v>
      </c>
      <c r="W85" s="1">
        <f t="shared" si="10"/>
        <v>6.2067266282384188E-4</v>
      </c>
      <c r="X85" s="1">
        <f t="shared" si="11"/>
        <v>-6.2067266282384188E-4</v>
      </c>
      <c r="Y85" s="9">
        <v>36</v>
      </c>
      <c r="Z85">
        <f t="shared" si="0"/>
        <v>1296</v>
      </c>
      <c r="AB85" s="1">
        <f t="shared" si="12"/>
        <v>9.7222222222221981E-4</v>
      </c>
      <c r="AC85" s="1"/>
      <c r="AE85" s="1"/>
      <c r="AF85" s="1"/>
    </row>
    <row r="86" spans="1:32" x14ac:dyDescent="0.2">
      <c r="A86">
        <v>415</v>
      </c>
      <c r="B86" s="27" t="s">
        <v>2390</v>
      </c>
      <c r="C86" s="74" t="s">
        <v>2727</v>
      </c>
      <c r="D86" s="24">
        <f>Runners!I1000</f>
        <v>1</v>
      </c>
      <c r="E86" s="183">
        <f>Runners!I999</f>
        <v>1</v>
      </c>
      <c r="F86" s="6" t="s">
        <v>1270</v>
      </c>
      <c r="G86" s="1">
        <v>1.3692129629629629E-2</v>
      </c>
      <c r="J86" s="1" t="s">
        <v>1270</v>
      </c>
      <c r="K86" s="34">
        <v>41216</v>
      </c>
      <c r="L86" s="9">
        <v>41</v>
      </c>
      <c r="M86" s="8">
        <v>1.8749999999999999E-2</v>
      </c>
      <c r="N86" s="3">
        <v>1.1643518518518518E-2</v>
      </c>
      <c r="O86" s="3">
        <v>1.3263888888888889E-2</v>
      </c>
      <c r="W86" s="1">
        <f t="shared" si="10"/>
        <v>-4.672903001391223E-4</v>
      </c>
      <c r="X86" s="1">
        <f t="shared" si="11"/>
        <v>4.672903001391223E-4</v>
      </c>
      <c r="Y86" s="9">
        <v>58</v>
      </c>
      <c r="Z86">
        <f t="shared" si="0"/>
        <v>3364</v>
      </c>
      <c r="AB86" s="1">
        <f t="shared" si="12"/>
        <v>2.060185185185184E-3</v>
      </c>
      <c r="AC86" s="1"/>
      <c r="AE86" s="1"/>
      <c r="AF86" s="1"/>
    </row>
    <row r="87" spans="1:32" x14ac:dyDescent="0.2">
      <c r="A87">
        <v>245</v>
      </c>
      <c r="B87" s="27" t="s">
        <v>5217</v>
      </c>
      <c r="C87" s="74" t="s">
        <v>5633</v>
      </c>
      <c r="D87" s="24">
        <f>Runners!S815</f>
        <v>1</v>
      </c>
      <c r="E87" s="183">
        <f>Runners!S814</f>
        <v>1</v>
      </c>
      <c r="F87" s="6" t="s">
        <v>4584</v>
      </c>
      <c r="G87" s="1">
        <v>2.0636574074074075E-2</v>
      </c>
      <c r="J87" s="1" t="s">
        <v>4584</v>
      </c>
      <c r="K87" s="34">
        <v>42525</v>
      </c>
      <c r="L87" s="9">
        <v>262</v>
      </c>
      <c r="M87" s="8">
        <v>1.9108796296296294E-2</v>
      </c>
      <c r="N87" s="3">
        <v>1.0937499999999999E-2</v>
      </c>
      <c r="O87" s="3">
        <v>1.2546296296296297E-2</v>
      </c>
      <c r="P87" t="s">
        <v>3427</v>
      </c>
      <c r="W87" s="1">
        <f t="shared" si="10"/>
        <v>2.3872821837939671E-4</v>
      </c>
      <c r="X87" s="1">
        <f t="shared" si="11"/>
        <v>-2.3872821837939671E-4</v>
      </c>
      <c r="Y87" s="9"/>
      <c r="AB87" s="1">
        <f t="shared" si="12"/>
        <v>1.354166666666665E-3</v>
      </c>
      <c r="AC87" s="1"/>
      <c r="AE87" s="1"/>
      <c r="AF87" s="1"/>
    </row>
    <row r="88" spans="1:32" x14ac:dyDescent="0.2">
      <c r="A88">
        <v>1</v>
      </c>
      <c r="B88" s="27" t="s">
        <v>1700</v>
      </c>
      <c r="C88" s="74" t="s">
        <v>5885</v>
      </c>
      <c r="D88" s="183">
        <f>Runners!H148</f>
        <v>69</v>
      </c>
      <c r="E88" s="183">
        <f>Runners!H147</f>
        <v>2057</v>
      </c>
      <c r="F88" s="6" t="s">
        <v>5886</v>
      </c>
      <c r="G88" s="51">
        <v>1.2013888888888888E-2</v>
      </c>
      <c r="H88" t="s">
        <v>5887</v>
      </c>
      <c r="I88" s="3">
        <v>1.3101851851851852E-2</v>
      </c>
      <c r="J88" s="3" t="s">
        <v>4467</v>
      </c>
      <c r="K88" s="332">
        <v>38710</v>
      </c>
      <c r="L88" s="99">
        <v>1</v>
      </c>
      <c r="M88" s="8">
        <v>1.8518518518518521E-2</v>
      </c>
      <c r="N88" s="3">
        <v>9.5833333333333343E-3</v>
      </c>
      <c r="O88" s="3">
        <v>1.1087962962962964E-2</v>
      </c>
      <c r="P88" t="s">
        <v>5970</v>
      </c>
      <c r="T88" s="34">
        <v>38264</v>
      </c>
      <c r="W88" s="1">
        <f t="shared" si="10"/>
        <v>1.5928948850460617E-3</v>
      </c>
      <c r="X88" s="1">
        <f t="shared" si="11"/>
        <v>-1.5928948850460617E-3</v>
      </c>
      <c r="Y88" s="99">
        <v>120</v>
      </c>
      <c r="Z88">
        <f t="shared" si="0"/>
        <v>14400</v>
      </c>
      <c r="AB88" s="1">
        <f t="shared" ref="AB88:AB104" si="13">N88-$N$88</f>
        <v>0</v>
      </c>
      <c r="AC88" s="1"/>
      <c r="AE88" s="1"/>
      <c r="AF88" s="1"/>
    </row>
    <row r="89" spans="1:32" x14ac:dyDescent="0.2">
      <c r="A89">
        <v>1240</v>
      </c>
      <c r="B89" s="27" t="s">
        <v>3453</v>
      </c>
      <c r="C89" s="74" t="s">
        <v>5351</v>
      </c>
      <c r="D89" s="24">
        <f>Runners!H683</f>
        <v>2</v>
      </c>
      <c r="E89" s="183">
        <f>Runners!H682</f>
        <v>2</v>
      </c>
      <c r="F89" s="6" t="s">
        <v>654</v>
      </c>
      <c r="G89" s="32">
        <v>1.9490740740740743E-2</v>
      </c>
      <c r="H89" s="513" t="s">
        <v>1062</v>
      </c>
      <c r="I89" s="334">
        <v>2.3009259259259257E-2</v>
      </c>
      <c r="J89" s="32" t="s">
        <v>654</v>
      </c>
      <c r="K89" s="33">
        <v>42574</v>
      </c>
      <c r="L89" s="104">
        <v>275</v>
      </c>
      <c r="M89" s="8">
        <v>2.0069444444444442E-2</v>
      </c>
      <c r="N89" s="3">
        <v>1.0902777777777777E-2</v>
      </c>
      <c r="O89" s="3">
        <v>1.247685185185185E-2</v>
      </c>
      <c r="T89" s="34"/>
      <c r="W89" s="1">
        <f t="shared" si="10"/>
        <v>2.7345044060161916E-4</v>
      </c>
      <c r="X89" s="1">
        <f t="shared" si="11"/>
        <v>-2.7345044060161916E-4</v>
      </c>
      <c r="Y89" s="99"/>
      <c r="AB89" s="1">
        <f t="shared" si="13"/>
        <v>1.3194444444444425E-3</v>
      </c>
      <c r="AC89" s="1"/>
      <c r="AE89" s="1"/>
      <c r="AF89" s="1"/>
    </row>
    <row r="90" spans="1:32" x14ac:dyDescent="0.2">
      <c r="A90">
        <v>544</v>
      </c>
      <c r="B90" s="27" t="s">
        <v>2927</v>
      </c>
      <c r="C90" s="74" t="s">
        <v>2906</v>
      </c>
      <c r="D90" s="24">
        <f>Runners!S1271</f>
        <v>1</v>
      </c>
      <c r="E90" s="183">
        <f>Runners!S1270</f>
        <v>1</v>
      </c>
      <c r="F90" s="6"/>
      <c r="H90" s="206" t="s">
        <v>888</v>
      </c>
      <c r="I90" s="1">
        <v>2.0694444444444446E-2</v>
      </c>
      <c r="J90" s="254" t="s">
        <v>888</v>
      </c>
      <c r="K90" s="34">
        <v>42385</v>
      </c>
      <c r="L90" s="9">
        <v>222</v>
      </c>
      <c r="M90" s="8">
        <v>2.0162037037037037E-2</v>
      </c>
      <c r="N90" s="3">
        <v>1.0625000000000001E-2</v>
      </c>
      <c r="O90" s="3">
        <v>1.238425925925926E-2</v>
      </c>
      <c r="W90" s="1">
        <f t="shared" si="10"/>
        <v>5.5122821837939526E-4</v>
      </c>
      <c r="X90" s="1">
        <f t="shared" si="11"/>
        <v>-5.5122821837939526E-4</v>
      </c>
      <c r="Y90" s="9">
        <v>30</v>
      </c>
      <c r="Z90">
        <f t="shared" si="0"/>
        <v>900</v>
      </c>
      <c r="AB90" s="1">
        <f t="shared" si="13"/>
        <v>1.0416666666666664E-3</v>
      </c>
      <c r="AC90" s="1"/>
      <c r="AE90" s="1"/>
      <c r="AF90" s="1"/>
    </row>
    <row r="91" spans="1:32" x14ac:dyDescent="0.2">
      <c r="A91">
        <v>2253</v>
      </c>
      <c r="B91" s="556" t="s">
        <v>11836</v>
      </c>
      <c r="C91" s="532" t="s">
        <v>11837</v>
      </c>
      <c r="D91" s="541">
        <f>Runners!P309</f>
        <v>15</v>
      </c>
      <c r="E91" s="541">
        <f>Runners!P308</f>
        <v>29</v>
      </c>
      <c r="F91" s="1415" t="s">
        <v>16544</v>
      </c>
      <c r="G91" s="1432">
        <v>1.5428240740740741E-2</v>
      </c>
      <c r="H91" s="319" t="s">
        <v>9806</v>
      </c>
      <c r="I91" s="1">
        <v>1.4722222222222222E-2</v>
      </c>
      <c r="J91" s="1332" t="s">
        <v>5881</v>
      </c>
      <c r="K91" s="34">
        <v>43526</v>
      </c>
      <c r="L91" s="1398">
        <v>473</v>
      </c>
      <c r="M91" s="8">
        <v>2.1851851851851848E-2</v>
      </c>
      <c r="N91" s="3">
        <v>1.1574074074074075E-2</v>
      </c>
      <c r="O91" s="3">
        <v>1.306712962962963E-2</v>
      </c>
      <c r="P91" s="80" t="s">
        <v>15835</v>
      </c>
      <c r="W91" s="1">
        <f t="shared" si="10"/>
        <v>-3.9784585569467915E-4</v>
      </c>
      <c r="X91" s="1">
        <f t="shared" si="11"/>
        <v>3.9784585569467915E-4</v>
      </c>
      <c r="Y91" s="9"/>
      <c r="AB91" s="1">
        <f t="shared" si="13"/>
        <v>1.9907407407407408E-3</v>
      </c>
      <c r="AC91" s="1"/>
      <c r="AE91" s="1"/>
      <c r="AF91" s="1"/>
    </row>
    <row r="92" spans="1:32" x14ac:dyDescent="0.2">
      <c r="A92">
        <v>128</v>
      </c>
      <c r="B92" s="27" t="s">
        <v>219</v>
      </c>
      <c r="C92" s="15" t="s">
        <v>3520</v>
      </c>
      <c r="D92" s="24">
        <f>Runners!G832</f>
        <v>4</v>
      </c>
      <c r="E92" s="183">
        <f>Runners!G831</f>
        <v>5</v>
      </c>
      <c r="F92" s="6" t="s">
        <v>1000</v>
      </c>
      <c r="G92" s="32">
        <v>1.7314814814814814E-2</v>
      </c>
      <c r="I92" s="3"/>
      <c r="J92" s="32" t="s">
        <v>1000</v>
      </c>
      <c r="K92" s="33">
        <v>41566</v>
      </c>
      <c r="L92" s="9">
        <v>75</v>
      </c>
      <c r="M92" s="8">
        <v>1.8298611111111113E-2</v>
      </c>
      <c r="N92" s="3">
        <v>1.0833333333333334E-2</v>
      </c>
      <c r="O92" s="3">
        <v>1.1435185185185185E-2</v>
      </c>
      <c r="W92" s="1">
        <f t="shared" si="10"/>
        <v>3.4289488504606232E-4</v>
      </c>
      <c r="X92" s="1">
        <f t="shared" si="11"/>
        <v>-3.4289488504606232E-4</v>
      </c>
      <c r="Y92" s="9">
        <v>12</v>
      </c>
      <c r="Z92">
        <f t="shared" si="0"/>
        <v>144</v>
      </c>
      <c r="AB92" s="1">
        <f t="shared" si="13"/>
        <v>1.2499999999999994E-3</v>
      </c>
      <c r="AC92" s="1"/>
      <c r="AE92" s="1"/>
      <c r="AF92" s="1"/>
    </row>
    <row r="93" spans="1:32" x14ac:dyDescent="0.2">
      <c r="A93">
        <v>78</v>
      </c>
      <c r="B93" s="493" t="s">
        <v>6287</v>
      </c>
      <c r="C93" s="415" t="s">
        <v>3157</v>
      </c>
      <c r="D93" s="24">
        <f>Runners!I877</f>
        <v>3</v>
      </c>
      <c r="E93" s="183">
        <f>Runners!I876</f>
        <v>3</v>
      </c>
      <c r="F93" s="79" t="s">
        <v>5096</v>
      </c>
      <c r="G93" s="32">
        <v>1.4351851851851852E-2</v>
      </c>
      <c r="H93" s="513" t="s">
        <v>1062</v>
      </c>
      <c r="I93" s="334">
        <v>2.6539351851851852E-2</v>
      </c>
      <c r="J93" s="512" t="s">
        <v>1062</v>
      </c>
      <c r="K93" s="33">
        <v>42749</v>
      </c>
      <c r="L93" s="1398">
        <v>316</v>
      </c>
      <c r="M93" s="8">
        <v>2.0949074074074075E-2</v>
      </c>
      <c r="N93" s="3">
        <v>1.1261574074074071E-2</v>
      </c>
      <c r="O93" s="3">
        <v>1.2106481481481482E-2</v>
      </c>
      <c r="W93" s="1">
        <f t="shared" si="10"/>
        <v>-8.5345855694675399E-5</v>
      </c>
      <c r="X93" s="1">
        <f t="shared" si="11"/>
        <v>8.5345855694675399E-5</v>
      </c>
      <c r="Y93" s="9"/>
      <c r="AB93" s="1">
        <f t="shared" si="13"/>
        <v>1.6782407407407371E-3</v>
      </c>
      <c r="AC93" s="1"/>
      <c r="AE93" s="1"/>
      <c r="AF93" s="1"/>
    </row>
    <row r="94" spans="1:32" x14ac:dyDescent="0.2">
      <c r="A94">
        <v>189</v>
      </c>
      <c r="B94" s="27" t="s">
        <v>4903</v>
      </c>
      <c r="C94" s="74" t="s">
        <v>2913</v>
      </c>
      <c r="D94" s="24">
        <f>Runners!K877</f>
        <v>4</v>
      </c>
      <c r="E94" s="183">
        <f>Runners!K876</f>
        <v>9</v>
      </c>
      <c r="F94" s="79" t="s">
        <v>8150</v>
      </c>
      <c r="G94" s="1">
        <v>1.4340277777777776E-2</v>
      </c>
      <c r="J94" s="334" t="s">
        <v>8150</v>
      </c>
      <c r="K94" s="523">
        <v>40845</v>
      </c>
      <c r="L94" s="9">
        <v>58</v>
      </c>
      <c r="M94" s="8">
        <v>1.8715277777777779E-2</v>
      </c>
      <c r="N94" s="3">
        <v>1.0300925925925927E-2</v>
      </c>
      <c r="O94" s="3">
        <v>1.1469907407407408E-2</v>
      </c>
      <c r="Q94" s="530" t="s">
        <v>8146</v>
      </c>
      <c r="R94" s="530"/>
      <c r="W94" s="1">
        <f t="shared" si="10"/>
        <v>8.7530229245346911E-4</v>
      </c>
      <c r="X94" s="1">
        <f t="shared" si="11"/>
        <v>-8.7530229245346911E-4</v>
      </c>
      <c r="Y94" s="9">
        <v>58</v>
      </c>
      <c r="Z94">
        <f t="shared" si="0"/>
        <v>3364</v>
      </c>
      <c r="AB94" s="1">
        <f t="shared" si="13"/>
        <v>7.1759259259259259E-4</v>
      </c>
      <c r="AC94" s="1"/>
      <c r="AE94" s="1"/>
      <c r="AF94" s="1"/>
    </row>
    <row r="95" spans="1:32" x14ac:dyDescent="0.2">
      <c r="A95">
        <v>581</v>
      </c>
      <c r="B95" s="27" t="s">
        <v>1448</v>
      </c>
      <c r="C95" s="74" t="s">
        <v>799</v>
      </c>
      <c r="D95" s="24">
        <f>Runners!I148</f>
        <v>5</v>
      </c>
      <c r="E95" s="183">
        <f>Runners!I147</f>
        <v>7</v>
      </c>
      <c r="F95" s="6" t="s">
        <v>5096</v>
      </c>
      <c r="G95" s="1">
        <v>1.7361111111111112E-2</v>
      </c>
      <c r="J95" s="1" t="s">
        <v>4778</v>
      </c>
      <c r="K95" s="34">
        <v>42665</v>
      </c>
      <c r="L95" s="9">
        <v>296</v>
      </c>
      <c r="M95" s="8">
        <v>2.1805555555555554E-2</v>
      </c>
      <c r="N95" s="3">
        <v>1.1481481481481483E-2</v>
      </c>
      <c r="O95" s="3">
        <v>1.3761574074074074E-2</v>
      </c>
      <c r="P95" t="s">
        <v>247</v>
      </c>
      <c r="W95" s="1">
        <f t="shared" si="10"/>
        <v>-3.0525326310208711E-4</v>
      </c>
      <c r="X95" s="1">
        <f t="shared" si="11"/>
        <v>3.0525326310208711E-4</v>
      </c>
      <c r="Y95" s="9"/>
      <c r="AB95" s="1">
        <f t="shared" si="13"/>
        <v>1.8981481481481488E-3</v>
      </c>
      <c r="AC95" s="1"/>
      <c r="AE95" s="1"/>
      <c r="AF95" s="1"/>
    </row>
    <row r="96" spans="1:32" x14ac:dyDescent="0.2">
      <c r="A96">
        <v>132</v>
      </c>
      <c r="B96" s="27" t="s">
        <v>4904</v>
      </c>
      <c r="C96" s="74" t="s">
        <v>4901</v>
      </c>
      <c r="D96" s="24">
        <f>Runners!I579</f>
        <v>3</v>
      </c>
      <c r="E96" s="183">
        <f>Runners!I578</f>
        <v>3</v>
      </c>
      <c r="F96" s="6" t="s">
        <v>5882</v>
      </c>
      <c r="G96" s="32">
        <v>1.579861111111111E-2</v>
      </c>
      <c r="H96" s="1091" t="s">
        <v>1440</v>
      </c>
      <c r="I96" s="334">
        <v>2.0486111111111111E-2</v>
      </c>
      <c r="J96" s="32" t="s">
        <v>5882</v>
      </c>
      <c r="K96" s="33">
        <v>41741</v>
      </c>
      <c r="L96" s="9">
        <v>97</v>
      </c>
      <c r="M96" s="8">
        <v>1.9189814814814816E-2</v>
      </c>
      <c r="N96" s="3">
        <v>1.0555555555555554E-2</v>
      </c>
      <c r="O96" s="3">
        <v>1.4537037037037038E-2</v>
      </c>
      <c r="P96" t="s">
        <v>988</v>
      </c>
      <c r="W96" s="1">
        <f t="shared" si="10"/>
        <v>6.2067266282384188E-4</v>
      </c>
      <c r="X96" s="1">
        <f t="shared" si="11"/>
        <v>-6.2067266282384188E-4</v>
      </c>
      <c r="Y96" s="9">
        <v>36</v>
      </c>
      <c r="Z96">
        <f t="shared" si="0"/>
        <v>1296</v>
      </c>
      <c r="AB96" s="1">
        <f t="shared" si="13"/>
        <v>9.7222222222221981E-4</v>
      </c>
      <c r="AC96" s="1"/>
      <c r="AE96" s="1"/>
      <c r="AF96" s="1"/>
    </row>
    <row r="97" spans="1:32" x14ac:dyDescent="0.2">
      <c r="A97">
        <v>9</v>
      </c>
      <c r="B97" s="27" t="s">
        <v>5185</v>
      </c>
      <c r="C97" s="74" t="s">
        <v>5188</v>
      </c>
      <c r="D97" s="24">
        <f>Runners!I1116</f>
        <v>6</v>
      </c>
      <c r="E97" s="183">
        <f>Runners!I1115</f>
        <v>20</v>
      </c>
      <c r="F97" s="6" t="s">
        <v>627</v>
      </c>
      <c r="G97" s="1">
        <v>1.4583333333333332E-2</v>
      </c>
      <c r="H97" s="80" t="s">
        <v>128</v>
      </c>
      <c r="I97" s="1">
        <v>2.5231481481481483E-2</v>
      </c>
      <c r="J97" s="1" t="s">
        <v>627</v>
      </c>
      <c r="K97" s="34">
        <v>41405</v>
      </c>
      <c r="L97" s="9">
        <v>60</v>
      </c>
      <c r="M97" s="8">
        <v>1.8645833333333334E-2</v>
      </c>
      <c r="N97" s="3">
        <v>0.01</v>
      </c>
      <c r="O97" s="3">
        <v>1.1226851851851854E-2</v>
      </c>
      <c r="P97" t="s">
        <v>3213</v>
      </c>
      <c r="W97" s="1">
        <f t="shared" si="10"/>
        <v>1.1762282183793958E-3</v>
      </c>
      <c r="X97" s="1">
        <f t="shared" si="11"/>
        <v>-1.1762282183793958E-3</v>
      </c>
      <c r="Y97" s="9">
        <v>68</v>
      </c>
      <c r="Z97">
        <f t="shared" si="0"/>
        <v>4624</v>
      </c>
      <c r="AB97" s="1">
        <f t="shared" si="13"/>
        <v>4.1666666666666588E-4</v>
      </c>
      <c r="AC97" s="1"/>
      <c r="AE97" s="1"/>
      <c r="AF97" s="1"/>
    </row>
    <row r="98" spans="1:32" x14ac:dyDescent="0.2">
      <c r="A98">
        <v>1738</v>
      </c>
      <c r="B98" s="27" t="s">
        <v>11784</v>
      </c>
      <c r="C98" s="415" t="s">
        <v>11759</v>
      </c>
      <c r="D98" s="24">
        <f>Runners!G1315</f>
        <v>1</v>
      </c>
      <c r="E98" s="183">
        <f>Runners!G1314</f>
        <v>1</v>
      </c>
      <c r="F98" s="6" t="s">
        <v>756</v>
      </c>
      <c r="G98" s="1">
        <v>2.0370370370370369E-2</v>
      </c>
      <c r="J98" s="1" t="s">
        <v>756</v>
      </c>
      <c r="K98" s="34">
        <v>43140</v>
      </c>
      <c r="L98" s="1398">
        <v>468</v>
      </c>
      <c r="M98" s="8">
        <v>2.6168981481481477E-2</v>
      </c>
      <c r="N98" s="3">
        <v>1.1307870370370371E-2</v>
      </c>
      <c r="O98" s="3">
        <v>1.4178240740740741E-2</v>
      </c>
      <c r="W98" s="1">
        <f t="shared" si="10"/>
        <v>-1.3164215199097488E-4</v>
      </c>
      <c r="X98" s="1">
        <f t="shared" si="11"/>
        <v>1.3164215199097488E-4</v>
      </c>
      <c r="Y98" s="9"/>
      <c r="AB98" s="1">
        <f t="shared" si="13"/>
        <v>1.7245370370370366E-3</v>
      </c>
      <c r="AC98" s="1"/>
      <c r="AE98" s="1"/>
      <c r="AF98" s="1"/>
    </row>
    <row r="99" spans="1:32" x14ac:dyDescent="0.2">
      <c r="A99">
        <v>155</v>
      </c>
      <c r="B99" s="27" t="s">
        <v>4985</v>
      </c>
      <c r="C99" s="74" t="s">
        <v>972</v>
      </c>
      <c r="D99" s="24">
        <f>Runners!J1000</f>
        <v>3</v>
      </c>
      <c r="E99" s="183">
        <f>Runners!J999</f>
        <v>3</v>
      </c>
      <c r="F99" s="6" t="s">
        <v>2725</v>
      </c>
      <c r="G99" s="1">
        <v>1.7766203703703704E-2</v>
      </c>
      <c r="H99" s="513" t="s">
        <v>1062</v>
      </c>
      <c r="I99" s="1">
        <v>2.479166666666667E-2</v>
      </c>
      <c r="J99" s="1" t="s">
        <v>2725</v>
      </c>
      <c r="K99" s="34">
        <v>42301</v>
      </c>
      <c r="L99" s="9">
        <v>201</v>
      </c>
      <c r="M99" s="8">
        <v>1.9583333333333331E-2</v>
      </c>
      <c r="N99" s="3">
        <v>1.1145833333333334E-2</v>
      </c>
      <c r="O99" s="3">
        <v>1.2800925925925926E-2</v>
      </c>
      <c r="W99" s="1">
        <f t="shared" si="10"/>
        <v>3.039488504606204E-5</v>
      </c>
      <c r="X99" s="1">
        <f t="shared" si="11"/>
        <v>-3.039488504606204E-5</v>
      </c>
      <c r="Y99" s="9">
        <v>15</v>
      </c>
      <c r="Z99">
        <f t="shared" si="0"/>
        <v>225</v>
      </c>
      <c r="AB99" s="1">
        <f t="shared" si="13"/>
        <v>1.5624999999999997E-3</v>
      </c>
      <c r="AC99" s="1"/>
      <c r="AE99" s="1"/>
      <c r="AF99" s="1"/>
    </row>
    <row r="100" spans="1:32" x14ac:dyDescent="0.2">
      <c r="A100">
        <v>556</v>
      </c>
      <c r="B100" s="27" t="s">
        <v>1986</v>
      </c>
      <c r="C100" s="74" t="s">
        <v>1985</v>
      </c>
      <c r="D100" s="531">
        <f>Runners!K1165</f>
        <v>1</v>
      </c>
      <c r="E100" s="541">
        <f>Runners!K1164</f>
        <v>2</v>
      </c>
      <c r="F100" s="6" t="s">
        <v>2334</v>
      </c>
      <c r="G100" s="1">
        <v>1.292824074074074E-2</v>
      </c>
      <c r="J100" s="1" t="s">
        <v>2334</v>
      </c>
      <c r="K100" s="34">
        <v>42147</v>
      </c>
      <c r="L100" s="9">
        <v>170</v>
      </c>
      <c r="M100" s="8">
        <v>1.9363425925925926E-2</v>
      </c>
      <c r="N100" s="3">
        <v>1.1655092592592594E-2</v>
      </c>
      <c r="O100" s="3">
        <v>1.3680555555555555E-2</v>
      </c>
      <c r="W100" s="1">
        <f t="shared" si="10"/>
        <v>-4.7886437421319761E-4</v>
      </c>
      <c r="X100" s="1">
        <f t="shared" si="11"/>
        <v>4.7886437421319761E-4</v>
      </c>
      <c r="Y100" s="9">
        <v>59</v>
      </c>
      <c r="Z100">
        <f t="shared" si="0"/>
        <v>3481</v>
      </c>
      <c r="AB100" s="1">
        <f t="shared" si="13"/>
        <v>2.0717592592592593E-3</v>
      </c>
      <c r="AC100" s="1"/>
      <c r="AE100" s="1"/>
      <c r="AF100" s="1"/>
    </row>
    <row r="101" spans="1:32" x14ac:dyDescent="0.2">
      <c r="A101">
        <v>1765</v>
      </c>
      <c r="B101" s="493" t="s">
        <v>9017</v>
      </c>
      <c r="C101" s="415" t="s">
        <v>8514</v>
      </c>
      <c r="D101" s="531">
        <f>Runners!P539</f>
        <v>1</v>
      </c>
      <c r="E101" s="541">
        <f>Runners!P538</f>
        <v>1</v>
      </c>
      <c r="F101" s="79" t="s">
        <v>1000</v>
      </c>
      <c r="G101" s="1">
        <v>1.9652777777777779E-2</v>
      </c>
      <c r="J101" s="334" t="s">
        <v>1000</v>
      </c>
      <c r="K101" s="34">
        <v>43101</v>
      </c>
      <c r="L101" s="1398">
        <v>375</v>
      </c>
      <c r="M101" s="8">
        <v>1.9756944444444445E-2</v>
      </c>
      <c r="N101" s="3">
        <v>1.0844907407407407E-2</v>
      </c>
      <c r="O101" s="3">
        <v>1.2708333333333334E-2</v>
      </c>
      <c r="W101" s="1">
        <f t="shared" si="10"/>
        <v>3.3132081097198875E-4</v>
      </c>
      <c r="X101" s="1">
        <f t="shared" si="11"/>
        <v>-3.3132081097198875E-4</v>
      </c>
      <c r="Y101" s="9"/>
      <c r="AB101" s="1">
        <f t="shared" si="13"/>
        <v>1.2615740740740729E-3</v>
      </c>
      <c r="AC101" s="1"/>
      <c r="AE101" s="1"/>
      <c r="AF101" s="1"/>
    </row>
    <row r="102" spans="1:32" x14ac:dyDescent="0.2">
      <c r="A102">
        <v>1945</v>
      </c>
      <c r="B102" s="556" t="s">
        <v>9619</v>
      </c>
      <c r="C102" s="532" t="s">
        <v>9580</v>
      </c>
      <c r="D102" s="531">
        <f>Runners!P460</f>
        <v>3</v>
      </c>
      <c r="E102" s="541">
        <f>Runners!P459</f>
        <v>4</v>
      </c>
      <c r="F102" s="79" t="s">
        <v>1000</v>
      </c>
      <c r="G102" s="1">
        <v>1.9166666666666669E-2</v>
      </c>
      <c r="H102" s="1370" t="s">
        <v>1440</v>
      </c>
      <c r="I102" s="1412">
        <v>1.9479166666666669E-2</v>
      </c>
      <c r="J102" s="334" t="s">
        <v>4778</v>
      </c>
      <c r="K102" s="34">
        <v>43218</v>
      </c>
      <c r="L102" s="1398">
        <v>405</v>
      </c>
      <c r="M102" s="8">
        <v>1.9594907407407405E-2</v>
      </c>
      <c r="N102" s="3">
        <v>1.082175925925926E-2</v>
      </c>
      <c r="O102" s="3">
        <v>1.3668981481481482E-2</v>
      </c>
      <c r="Q102" s="80" t="s">
        <v>9662</v>
      </c>
      <c r="W102" s="1">
        <f t="shared" si="10"/>
        <v>3.5446895912013589E-4</v>
      </c>
      <c r="X102" s="1">
        <f t="shared" si="11"/>
        <v>-3.5446895912013589E-4</v>
      </c>
      <c r="Y102" s="9"/>
      <c r="AB102" s="1">
        <f t="shared" si="13"/>
        <v>1.2384259259259258E-3</v>
      </c>
      <c r="AC102" s="1"/>
      <c r="AE102" s="1"/>
      <c r="AF102" s="1"/>
    </row>
    <row r="103" spans="1:32" x14ac:dyDescent="0.2">
      <c r="A103">
        <v>655</v>
      </c>
      <c r="B103" s="27" t="s">
        <v>4966</v>
      </c>
      <c r="C103" s="74" t="s">
        <v>3403</v>
      </c>
      <c r="D103" s="24">
        <f>Runners!I815</f>
        <v>2</v>
      </c>
      <c r="E103" s="183">
        <f>Runners!I814</f>
        <v>7</v>
      </c>
      <c r="F103" s="6" t="s">
        <v>909</v>
      </c>
      <c r="G103" s="1">
        <v>1.650462962962963E-2</v>
      </c>
      <c r="H103" t="s">
        <v>5894</v>
      </c>
      <c r="I103" s="1">
        <v>2.0231481481481482E-2</v>
      </c>
      <c r="J103" s="1" t="s">
        <v>909</v>
      </c>
      <c r="K103" s="34">
        <v>42168</v>
      </c>
      <c r="L103" s="9">
        <v>176</v>
      </c>
      <c r="M103" s="8">
        <v>1.8749999999999999E-2</v>
      </c>
      <c r="N103" s="3">
        <v>1.1238425925925928E-2</v>
      </c>
      <c r="O103" s="3">
        <v>1.2881944444444446E-2</v>
      </c>
      <c r="W103" s="1">
        <f t="shared" si="10"/>
        <v>-6.2197707546531728E-5</v>
      </c>
      <c r="X103" s="1">
        <f t="shared" si="11"/>
        <v>6.2197707546531728E-5</v>
      </c>
      <c r="Y103" s="9">
        <v>23</v>
      </c>
      <c r="Z103">
        <f t="shared" si="0"/>
        <v>529</v>
      </c>
      <c r="AB103" s="1">
        <f t="shared" si="13"/>
        <v>1.6550925925925934E-3</v>
      </c>
      <c r="AC103" s="1"/>
      <c r="AE103" s="1"/>
      <c r="AF103" s="1"/>
    </row>
    <row r="104" spans="1:32" x14ac:dyDescent="0.2">
      <c r="A104">
        <v>2350</v>
      </c>
      <c r="B104" s="493" t="s">
        <v>13378</v>
      </c>
      <c r="C104" s="415" t="s">
        <v>13416</v>
      </c>
      <c r="D104" s="24">
        <f>Runners!J877</f>
        <v>2</v>
      </c>
      <c r="E104" s="183">
        <f>Runners!J876</f>
        <v>2</v>
      </c>
      <c r="F104" s="6"/>
      <c r="H104" s="1374" t="s">
        <v>1062</v>
      </c>
      <c r="I104" s="1">
        <v>2.34375E-2</v>
      </c>
      <c r="J104" s="512" t="s">
        <v>1062</v>
      </c>
      <c r="K104" s="34">
        <v>43680</v>
      </c>
      <c r="M104" s="8">
        <v>2.0706018518518519E-2</v>
      </c>
      <c r="N104" s="3">
        <v>1.1493055555555555E-2</v>
      </c>
      <c r="O104" s="3">
        <v>1.324074074074074E-2</v>
      </c>
      <c r="P104" t="s">
        <v>13409</v>
      </c>
      <c r="W104" s="1">
        <f t="shared" si="10"/>
        <v>-3.1682733717615895E-4</v>
      </c>
      <c r="X104" s="1">
        <f t="shared" si="11"/>
        <v>3.1682733717615895E-4</v>
      </c>
      <c r="Y104" s="9"/>
      <c r="AB104" s="1">
        <f t="shared" si="13"/>
        <v>1.9097222222222206E-3</v>
      </c>
      <c r="AC104" s="1"/>
      <c r="AE104" s="1"/>
      <c r="AF104" s="1"/>
    </row>
    <row r="105" spans="1:32" x14ac:dyDescent="0.2">
      <c r="A105">
        <v>1394</v>
      </c>
      <c r="B105" s="493" t="s">
        <v>8175</v>
      </c>
      <c r="C105" s="415" t="s">
        <v>8177</v>
      </c>
      <c r="D105" s="24">
        <f>Runners!R1225</f>
        <v>2</v>
      </c>
      <c r="E105" s="183">
        <f>Runners!R1224</f>
        <v>6</v>
      </c>
      <c r="F105" s="1295" t="s">
        <v>3790</v>
      </c>
      <c r="G105" s="1">
        <v>1.6759259259259258E-2</v>
      </c>
      <c r="H105" s="513" t="s">
        <v>4596</v>
      </c>
      <c r="I105" s="1">
        <v>1.8564814814814815E-2</v>
      </c>
      <c r="J105" s="334" t="s">
        <v>6180</v>
      </c>
      <c r="K105" s="34">
        <v>42924</v>
      </c>
      <c r="L105" s="9">
        <v>344</v>
      </c>
      <c r="M105" s="8">
        <v>2.1840277777777778E-2</v>
      </c>
      <c r="W105" s="1"/>
      <c r="X105" s="1"/>
      <c r="Y105" s="9"/>
      <c r="AB105" s="1"/>
      <c r="AC105" s="1"/>
      <c r="AE105" s="1"/>
      <c r="AF105" s="1"/>
    </row>
    <row r="106" spans="1:32" x14ac:dyDescent="0.2">
      <c r="A106">
        <v>879</v>
      </c>
      <c r="B106" s="27" t="s">
        <v>2522</v>
      </c>
      <c r="C106" s="74" t="s">
        <v>2521</v>
      </c>
      <c r="D106" s="24">
        <f>Runners!K1000</f>
        <v>2</v>
      </c>
      <c r="E106" s="183">
        <f>Runners!K999</f>
        <v>2</v>
      </c>
      <c r="F106" s="6" t="s">
        <v>2628</v>
      </c>
      <c r="G106" s="1">
        <v>1.7233796296296296E-2</v>
      </c>
      <c r="J106" s="1" t="s">
        <v>654</v>
      </c>
      <c r="K106" s="34">
        <v>41825</v>
      </c>
      <c r="L106" s="9">
        <v>114</v>
      </c>
      <c r="M106" s="8">
        <v>1.8715277777777779E-2</v>
      </c>
      <c r="N106" s="3">
        <v>1.2060185185185186E-2</v>
      </c>
      <c r="O106" s="3">
        <v>1.3946759259259258E-2</v>
      </c>
      <c r="W106" s="1">
        <f t="shared" ref="W106:W114" si="14">$N$700-N106</f>
        <v>-8.8395696680578992E-4</v>
      </c>
      <c r="X106" s="1">
        <f t="shared" ref="X106:X114" si="15">N106-$N$700</f>
        <v>8.8395696680578992E-4</v>
      </c>
      <c r="Y106" s="9">
        <v>94</v>
      </c>
      <c r="Z106">
        <f t="shared" si="0"/>
        <v>8836</v>
      </c>
      <c r="AB106" s="1">
        <f t="shared" ref="AB106:AB114" si="16">N106-$N$88</f>
        <v>2.4768518518518516E-3</v>
      </c>
      <c r="AC106" s="1"/>
      <c r="AE106" s="1"/>
      <c r="AF106" s="1"/>
    </row>
    <row r="107" spans="1:32" x14ac:dyDescent="0.2">
      <c r="A107">
        <v>441</v>
      </c>
      <c r="B107" s="27" t="s">
        <v>5144</v>
      </c>
      <c r="C107" s="74" t="s">
        <v>5145</v>
      </c>
      <c r="D107" s="24">
        <f>Runners!J554</f>
        <v>1</v>
      </c>
      <c r="E107" s="183">
        <f>Runners!J553</f>
        <v>1</v>
      </c>
      <c r="F107" s="6" t="s">
        <v>1000</v>
      </c>
      <c r="G107" s="1">
        <v>1.7488425925925925E-2</v>
      </c>
      <c r="J107" s="32" t="s">
        <v>1000</v>
      </c>
      <c r="K107" s="34">
        <v>41748</v>
      </c>
      <c r="L107" s="9">
        <v>100</v>
      </c>
      <c r="M107" s="8">
        <v>1.9050925925925926E-2</v>
      </c>
      <c r="N107" s="3">
        <v>1.037037037037037E-2</v>
      </c>
      <c r="O107" s="3">
        <v>1.224537037037037E-2</v>
      </c>
      <c r="W107" s="1">
        <f t="shared" si="14"/>
        <v>8.0585784800902595E-4</v>
      </c>
      <c r="X107" s="1">
        <f t="shared" si="15"/>
        <v>-8.0585784800902595E-4</v>
      </c>
      <c r="Y107" s="9">
        <v>52</v>
      </c>
      <c r="Z107">
        <f t="shared" si="0"/>
        <v>2704</v>
      </c>
      <c r="AB107" s="1">
        <f t="shared" si="16"/>
        <v>7.8703703703703574E-4</v>
      </c>
      <c r="AC107" s="1"/>
      <c r="AE107" s="1"/>
      <c r="AF107" s="1"/>
    </row>
    <row r="108" spans="1:32" x14ac:dyDescent="0.2">
      <c r="A108">
        <v>449</v>
      </c>
      <c r="B108" s="556" t="s">
        <v>2029</v>
      </c>
      <c r="C108" s="532" t="s">
        <v>693</v>
      </c>
      <c r="D108" s="531">
        <f>Runners!M714</f>
        <v>5</v>
      </c>
      <c r="E108" s="541">
        <f>Runners!M713</f>
        <v>5</v>
      </c>
      <c r="F108" s="79" t="s">
        <v>127</v>
      </c>
      <c r="G108" s="1">
        <v>1.4664351851851852E-2</v>
      </c>
      <c r="H108" s="80" t="s">
        <v>128</v>
      </c>
      <c r="I108" s="1">
        <v>2.3645833333333335E-2</v>
      </c>
      <c r="J108" s="334" t="s">
        <v>13475</v>
      </c>
      <c r="K108" s="34">
        <v>43687</v>
      </c>
      <c r="M108" s="8">
        <v>1.9606481481481482E-2</v>
      </c>
      <c r="N108" s="3">
        <v>1.0405092592592593E-2</v>
      </c>
      <c r="O108" s="3">
        <v>1.1979166666666666E-2</v>
      </c>
      <c r="W108" s="1">
        <f t="shared" si="14"/>
        <v>7.711356257868035E-4</v>
      </c>
      <c r="X108" s="1">
        <f t="shared" si="15"/>
        <v>-7.711356257868035E-4</v>
      </c>
      <c r="Y108" s="9"/>
      <c r="AB108" s="1">
        <f t="shared" si="16"/>
        <v>8.2175925925925819E-4</v>
      </c>
      <c r="AC108" s="1"/>
      <c r="AE108" s="1"/>
      <c r="AF108" s="1"/>
    </row>
    <row r="109" spans="1:32" x14ac:dyDescent="0.2">
      <c r="A109">
        <v>422</v>
      </c>
      <c r="B109" s="27" t="s">
        <v>1449</v>
      </c>
      <c r="C109" s="74" t="s">
        <v>798</v>
      </c>
      <c r="D109" s="948">
        <f>Runners!H309</f>
        <v>38</v>
      </c>
      <c r="E109" s="948">
        <f>Runners!H308</f>
        <v>119</v>
      </c>
      <c r="F109" s="6" t="s">
        <v>5886</v>
      </c>
      <c r="G109" s="1">
        <v>1.3055555555555556E-2</v>
      </c>
      <c r="H109" s="513" t="s">
        <v>9806</v>
      </c>
      <c r="I109" s="1">
        <v>1.4548611111111111E-2</v>
      </c>
      <c r="J109" s="32" t="s">
        <v>4467</v>
      </c>
      <c r="K109" s="34">
        <v>42658</v>
      </c>
      <c r="L109" s="9">
        <v>293</v>
      </c>
      <c r="M109" s="8">
        <v>2.1145833333333332E-2</v>
      </c>
      <c r="N109" s="3">
        <v>1.1921296296296298E-2</v>
      </c>
      <c r="O109" s="3">
        <v>1.3587962962962963E-2</v>
      </c>
      <c r="W109" s="1">
        <f t="shared" si="14"/>
        <v>-7.4506807791690187E-4</v>
      </c>
      <c r="X109" s="1">
        <f t="shared" si="15"/>
        <v>7.4506807791690187E-4</v>
      </c>
      <c r="Y109" s="9"/>
      <c r="AB109" s="1">
        <f t="shared" si="16"/>
        <v>2.3379629629629636E-3</v>
      </c>
      <c r="AC109" s="1"/>
      <c r="AE109" s="1"/>
      <c r="AF109" s="1"/>
    </row>
    <row r="110" spans="1:32" x14ac:dyDescent="0.2">
      <c r="A110">
        <v>955</v>
      </c>
      <c r="B110" s="27" t="s">
        <v>4811</v>
      </c>
      <c r="C110" s="74" t="s">
        <v>1410</v>
      </c>
      <c r="D110" s="24">
        <f>Runners!I630</f>
        <v>5</v>
      </c>
      <c r="E110" s="183">
        <f>Runners!I629</f>
        <v>29</v>
      </c>
      <c r="F110" s="6" t="s">
        <v>4897</v>
      </c>
      <c r="G110" s="1">
        <v>1.6250000000000001E-2</v>
      </c>
      <c r="H110" s="80" t="s">
        <v>944</v>
      </c>
      <c r="I110" s="1">
        <v>1.7453703703703704E-2</v>
      </c>
      <c r="J110" s="1" t="s">
        <v>803</v>
      </c>
      <c r="K110" s="34">
        <v>41902</v>
      </c>
      <c r="L110" s="9">
        <v>131</v>
      </c>
      <c r="M110" s="8">
        <v>1.9560185185185184E-2</v>
      </c>
      <c r="N110" s="3">
        <v>1.0868055555555556E-2</v>
      </c>
      <c r="O110" s="3">
        <v>1.2037037037037035E-2</v>
      </c>
      <c r="W110" s="1">
        <f t="shared" si="14"/>
        <v>3.0817266282383987E-4</v>
      </c>
      <c r="X110" s="1">
        <f t="shared" si="15"/>
        <v>-3.0817266282383987E-4</v>
      </c>
      <c r="Y110" s="9">
        <v>20</v>
      </c>
      <c r="Z110">
        <f t="shared" si="0"/>
        <v>400</v>
      </c>
      <c r="AB110" s="1">
        <f t="shared" si="16"/>
        <v>1.2847222222222218E-3</v>
      </c>
      <c r="AC110" s="1"/>
      <c r="AE110" s="1"/>
      <c r="AF110" s="1"/>
    </row>
    <row r="111" spans="1:32" x14ac:dyDescent="0.2">
      <c r="A111">
        <v>348</v>
      </c>
      <c r="B111" s="1722" t="s">
        <v>15943</v>
      </c>
      <c r="C111" s="415" t="s">
        <v>694</v>
      </c>
      <c r="D111" s="1371">
        <f>Runners!G745</f>
        <v>1</v>
      </c>
      <c r="E111" s="1398">
        <f>Runners!G744</f>
        <v>1</v>
      </c>
      <c r="F111" s="79" t="s">
        <v>12695</v>
      </c>
      <c r="G111" s="1">
        <v>1.4224537037037037E-2</v>
      </c>
      <c r="H111" s="80"/>
      <c r="J111" s="334" t="s">
        <v>12695</v>
      </c>
      <c r="K111" s="34">
        <v>43778</v>
      </c>
      <c r="M111" s="8">
        <v>1.9837962962962963E-2</v>
      </c>
      <c r="N111" s="3">
        <v>1.0636574074074074E-2</v>
      </c>
      <c r="O111" s="3">
        <v>1.2997685185185183E-2</v>
      </c>
      <c r="W111" s="1">
        <f t="shared" si="14"/>
        <v>5.3965414430532169E-4</v>
      </c>
      <c r="X111" s="1">
        <f t="shared" si="15"/>
        <v>-5.3965414430532169E-4</v>
      </c>
      <c r="Y111" s="9"/>
      <c r="AB111" s="1">
        <f t="shared" si="16"/>
        <v>1.05324074074074E-3</v>
      </c>
      <c r="AC111" s="1"/>
      <c r="AE111" s="1"/>
      <c r="AF111" s="1"/>
    </row>
    <row r="112" spans="1:32" x14ac:dyDescent="0.2">
      <c r="A112">
        <v>2212</v>
      </c>
      <c r="B112" s="493" t="s">
        <v>10321</v>
      </c>
      <c r="C112" s="415" t="s">
        <v>15183</v>
      </c>
      <c r="D112" s="24">
        <f>Runners!S854</f>
        <v>1</v>
      </c>
      <c r="E112" s="183">
        <f>Runners!S853</f>
        <v>1</v>
      </c>
      <c r="F112" s="6"/>
      <c r="H112" s="1374" t="s">
        <v>1062</v>
      </c>
      <c r="I112" s="1412">
        <v>3.0462962962962966E-2</v>
      </c>
      <c r="J112" s="1414" t="s">
        <v>1062</v>
      </c>
      <c r="K112" s="34">
        <v>43694</v>
      </c>
      <c r="M112" s="8">
        <v>2.2430555555555554E-2</v>
      </c>
      <c r="N112" s="3">
        <v>1.2615740740740742E-2</v>
      </c>
      <c r="O112" s="3">
        <v>1.4328703703703703E-2</v>
      </c>
      <c r="P112" s="80" t="s">
        <v>15189</v>
      </c>
      <c r="W112" s="1">
        <f t="shared" si="14"/>
        <v>-1.4395125223613456E-3</v>
      </c>
      <c r="X112" s="1">
        <f t="shared" si="15"/>
        <v>1.4395125223613456E-3</v>
      </c>
      <c r="Y112" s="9"/>
      <c r="AB112" s="1">
        <f t="shared" si="16"/>
        <v>3.0324074074074073E-3</v>
      </c>
      <c r="AC112" s="1"/>
      <c r="AE112" s="1"/>
      <c r="AF112" s="1"/>
    </row>
    <row r="113" spans="1:32" x14ac:dyDescent="0.2">
      <c r="A113">
        <v>838</v>
      </c>
      <c r="B113" s="27" t="s">
        <v>4251</v>
      </c>
      <c r="C113" s="74" t="s">
        <v>5973</v>
      </c>
      <c r="D113" s="24">
        <f>Runners!G1245</f>
        <v>2</v>
      </c>
      <c r="E113" s="183">
        <f>Runners!G1244</f>
        <v>2</v>
      </c>
      <c r="F113" s="6" t="s">
        <v>1000</v>
      </c>
      <c r="G113" s="1">
        <v>1.9143518518518518E-2</v>
      </c>
      <c r="H113" s="206" t="s">
        <v>888</v>
      </c>
      <c r="I113" s="1">
        <v>1.9930555555555556E-2</v>
      </c>
      <c r="J113" s="206" t="s">
        <v>888</v>
      </c>
      <c r="K113" s="34">
        <v>41965</v>
      </c>
      <c r="L113" s="9">
        <v>143</v>
      </c>
      <c r="M113" s="8">
        <v>1.7280092592592593E-2</v>
      </c>
      <c r="N113" s="3">
        <v>1.1435185185185185E-2</v>
      </c>
      <c r="O113" s="3">
        <v>1.2708333333333334E-2</v>
      </c>
      <c r="Q113" s="53"/>
      <c r="R113" s="5"/>
      <c r="U113" s="53"/>
      <c r="W113" s="1">
        <f t="shared" si="14"/>
        <v>-2.5895696680578936E-4</v>
      </c>
      <c r="X113" s="1">
        <f t="shared" si="15"/>
        <v>2.5895696680578936E-4</v>
      </c>
      <c r="Y113" s="9">
        <v>40</v>
      </c>
      <c r="Z113">
        <f t="shared" si="0"/>
        <v>1600</v>
      </c>
      <c r="AB113" s="1">
        <f t="shared" si="16"/>
        <v>1.8518518518518511E-3</v>
      </c>
      <c r="AC113" s="1"/>
      <c r="AE113" s="1"/>
      <c r="AF113" s="1"/>
    </row>
    <row r="114" spans="1:32" x14ac:dyDescent="0.2">
      <c r="A114">
        <v>1832</v>
      </c>
      <c r="B114" s="493" t="s">
        <v>9762</v>
      </c>
      <c r="C114" s="415" t="s">
        <v>9760</v>
      </c>
      <c r="D114" s="24">
        <f>Runners!N714</f>
        <v>1</v>
      </c>
      <c r="E114" s="183">
        <f>Runners!N713</f>
        <v>25</v>
      </c>
      <c r="F114" s="79" t="s">
        <v>5573</v>
      </c>
      <c r="G114" s="1">
        <v>1.6597222222222222E-2</v>
      </c>
      <c r="H114" s="206"/>
      <c r="J114" s="80" t="s">
        <v>5573</v>
      </c>
      <c r="K114" s="34">
        <v>43232</v>
      </c>
      <c r="L114" s="1398">
        <v>407</v>
      </c>
      <c r="M114" s="8">
        <v>2.1307870370370369E-2</v>
      </c>
      <c r="N114" s="3">
        <v>1.1979166666666666E-2</v>
      </c>
      <c r="O114" s="3">
        <v>1.3969907407407408E-2</v>
      </c>
      <c r="Q114" s="53"/>
      <c r="R114" s="5"/>
      <c r="U114" s="53"/>
      <c r="W114" s="1">
        <f t="shared" si="14"/>
        <v>-8.0293844828726972E-4</v>
      </c>
      <c r="X114" s="1">
        <f t="shared" si="15"/>
        <v>8.0293844828726972E-4</v>
      </c>
      <c r="Y114" s="9"/>
      <c r="AB114" s="1">
        <f t="shared" si="16"/>
        <v>2.3958333333333314E-3</v>
      </c>
      <c r="AC114" s="1"/>
      <c r="AE114" s="1"/>
      <c r="AF114" s="1"/>
    </row>
    <row r="115" spans="1:32" x14ac:dyDescent="0.2">
      <c r="A115">
        <v>567</v>
      </c>
      <c r="B115" s="568" t="s">
        <v>10526</v>
      </c>
      <c r="C115" s="568" t="s">
        <v>8651</v>
      </c>
      <c r="D115" s="585">
        <f>Runners!K554</f>
        <v>1</v>
      </c>
      <c r="E115" s="1002">
        <f>Runners!K553</f>
        <v>1</v>
      </c>
      <c r="F115" s="79"/>
      <c r="H115" s="206"/>
      <c r="J115" s="80"/>
      <c r="K115" s="34"/>
      <c r="Q115" s="53"/>
      <c r="R115" s="5"/>
      <c r="U115" s="53"/>
      <c r="W115" s="1"/>
      <c r="X115" s="1"/>
      <c r="Y115" s="9"/>
      <c r="AB115" s="1"/>
      <c r="AC115" s="1"/>
      <c r="AE115" s="1"/>
      <c r="AF115" s="1"/>
    </row>
    <row r="116" spans="1:32" x14ac:dyDescent="0.2">
      <c r="A116">
        <v>519</v>
      </c>
      <c r="B116" s="27" t="s">
        <v>1125</v>
      </c>
      <c r="C116" s="74" t="s">
        <v>1126</v>
      </c>
      <c r="D116" s="24">
        <f>Runners!M630</f>
        <v>2</v>
      </c>
      <c r="E116" s="183">
        <f>Runners!M629</f>
        <v>4</v>
      </c>
      <c r="F116" s="79" t="s">
        <v>11185</v>
      </c>
      <c r="G116" s="1">
        <v>1.269675925925926E-2</v>
      </c>
      <c r="J116" s="32" t="s">
        <v>1000</v>
      </c>
      <c r="K116" s="34">
        <v>41657</v>
      </c>
      <c r="L116" s="9">
        <v>88</v>
      </c>
      <c r="M116" s="8">
        <v>1.9212962962962963E-2</v>
      </c>
      <c r="N116" s="3">
        <v>1.1944444444444445E-2</v>
      </c>
      <c r="O116" s="3">
        <v>1.3217592592592593E-2</v>
      </c>
      <c r="W116" s="1">
        <f t="shared" ref="W116:W121" si="17">$N$700-N116</f>
        <v>-7.6821622606504901E-4</v>
      </c>
      <c r="X116" s="1">
        <f t="shared" ref="X116:X121" si="18">N116-$N$700</f>
        <v>7.6821622606504901E-4</v>
      </c>
      <c r="Y116" s="9">
        <v>84</v>
      </c>
      <c r="Z116">
        <f t="shared" si="0"/>
        <v>7056</v>
      </c>
      <c r="AB116" s="1">
        <f t="shared" ref="AB116:AB125" si="19">N116-$N$88</f>
        <v>2.3611111111111107E-3</v>
      </c>
      <c r="AC116" s="1"/>
      <c r="AE116" s="1"/>
      <c r="AF116" s="1"/>
    </row>
    <row r="117" spans="1:32" x14ac:dyDescent="0.2">
      <c r="A117">
        <v>1882</v>
      </c>
      <c r="B117" s="556" t="s">
        <v>9506</v>
      </c>
      <c r="C117" s="532" t="s">
        <v>9407</v>
      </c>
      <c r="D117" s="531">
        <f>Runners!J148</f>
        <v>10</v>
      </c>
      <c r="E117" s="541">
        <f>Runners!J147</f>
        <v>14</v>
      </c>
      <c r="F117" s="534" t="s">
        <v>3790</v>
      </c>
      <c r="G117" s="334">
        <v>1.7488425925925925E-2</v>
      </c>
      <c r="H117" s="513" t="s">
        <v>4596</v>
      </c>
      <c r="I117" s="334">
        <v>1.7719907407407406E-2</v>
      </c>
      <c r="J117" s="512" t="s">
        <v>6180</v>
      </c>
      <c r="K117" s="34">
        <v>43183</v>
      </c>
      <c r="L117" s="1398">
        <v>393</v>
      </c>
      <c r="M117" s="8">
        <v>4032</v>
      </c>
      <c r="N117" s="3">
        <v>1.0590277777777777E-2</v>
      </c>
      <c r="O117" s="3">
        <v>1.2372685185185186E-2</v>
      </c>
      <c r="Q117" s="530" t="s">
        <v>9814</v>
      </c>
      <c r="R117" s="530"/>
      <c r="W117" s="1">
        <f t="shared" si="17"/>
        <v>5.8595044060161944E-4</v>
      </c>
      <c r="X117" s="1">
        <f t="shared" si="18"/>
        <v>-5.8595044060161944E-4</v>
      </c>
      <c r="Y117" s="9"/>
      <c r="AB117" s="1">
        <f t="shared" si="19"/>
        <v>1.0069444444444423E-3</v>
      </c>
      <c r="AC117" s="1"/>
      <c r="AE117" s="1"/>
      <c r="AF117" s="1"/>
    </row>
    <row r="118" spans="1:32" x14ac:dyDescent="0.2">
      <c r="A118">
        <v>438</v>
      </c>
      <c r="B118" s="27" t="s">
        <v>3310</v>
      </c>
      <c r="C118" s="74" t="s">
        <v>3311</v>
      </c>
      <c r="D118" s="24">
        <f>Runners!N1354</f>
        <v>7</v>
      </c>
      <c r="E118" s="183">
        <f>Runners!N1353</f>
        <v>15</v>
      </c>
      <c r="F118" s="630" t="s">
        <v>2821</v>
      </c>
      <c r="G118" s="1">
        <v>1.4884259259259259E-2</v>
      </c>
      <c r="H118" s="197" t="s">
        <v>5241</v>
      </c>
      <c r="I118" s="1">
        <v>1.5405092592592593E-2</v>
      </c>
      <c r="J118" s="265" t="s">
        <v>5241</v>
      </c>
      <c r="K118" s="34">
        <v>42427</v>
      </c>
      <c r="L118" s="9">
        <v>231</v>
      </c>
      <c r="M118" s="8">
        <v>2.1817129629629631E-2</v>
      </c>
      <c r="N118" s="3">
        <v>1.0868055555555556E-2</v>
      </c>
      <c r="O118" s="3">
        <v>1.2002314814814815E-2</v>
      </c>
      <c r="Q118" s="581" t="s">
        <v>10907</v>
      </c>
      <c r="R118" s="530"/>
      <c r="S118" s="530"/>
      <c r="W118" s="1">
        <f t="shared" si="17"/>
        <v>3.0817266282383987E-4</v>
      </c>
      <c r="X118" s="1">
        <f t="shared" si="18"/>
        <v>-3.0817266282383987E-4</v>
      </c>
      <c r="Y118" s="9">
        <v>1</v>
      </c>
      <c r="Z118">
        <f t="shared" si="0"/>
        <v>1</v>
      </c>
      <c r="AB118" s="1">
        <f t="shared" si="19"/>
        <v>1.2847222222222218E-3</v>
      </c>
      <c r="AC118" s="1"/>
      <c r="AE118" s="1"/>
      <c r="AF118" s="1"/>
    </row>
    <row r="119" spans="1:32" x14ac:dyDescent="0.2">
      <c r="A119">
        <v>1795</v>
      </c>
      <c r="B119" s="493" t="s">
        <v>9057</v>
      </c>
      <c r="C119" s="415" t="s">
        <v>9689</v>
      </c>
      <c r="D119" s="24">
        <f>Runners!O957</f>
        <v>1</v>
      </c>
      <c r="E119" s="183">
        <f>Runners!O956</f>
        <v>1</v>
      </c>
      <c r="F119" s="79" t="s">
        <v>5096</v>
      </c>
      <c r="G119" s="334">
        <v>1.5949074074074074E-2</v>
      </c>
      <c r="H119" s="197"/>
      <c r="J119" s="334" t="s">
        <v>5096</v>
      </c>
      <c r="K119" s="34">
        <v>43113</v>
      </c>
      <c r="L119" s="1398">
        <v>379</v>
      </c>
      <c r="M119" s="8">
        <v>2.1851851851851848E-2</v>
      </c>
      <c r="N119" s="3">
        <v>1.2129629629629629E-2</v>
      </c>
      <c r="O119" s="3">
        <v>1.4780092592592595E-2</v>
      </c>
      <c r="W119" s="1">
        <f t="shared" si="17"/>
        <v>-9.5340141125023307E-4</v>
      </c>
      <c r="X119" s="1">
        <f t="shared" si="18"/>
        <v>9.5340141125023307E-4</v>
      </c>
      <c r="Y119" s="9"/>
      <c r="AB119" s="1">
        <f t="shared" si="19"/>
        <v>2.5462962962962948E-3</v>
      </c>
      <c r="AC119" s="1"/>
      <c r="AE119" s="1"/>
      <c r="AF119" s="1"/>
    </row>
    <row r="120" spans="1:32" x14ac:dyDescent="0.2">
      <c r="A120">
        <v>1708</v>
      </c>
      <c r="B120" s="493" t="s">
        <v>8408</v>
      </c>
      <c r="C120" s="415" t="s">
        <v>8407</v>
      </c>
      <c r="D120" s="24">
        <f>Runners!H1378</f>
        <v>8</v>
      </c>
      <c r="E120" s="183">
        <f>Runners!H1377</f>
        <v>12</v>
      </c>
      <c r="F120" s="79" t="s">
        <v>5882</v>
      </c>
      <c r="G120" s="1">
        <v>1.6643518518518519E-2</v>
      </c>
      <c r="H120" s="80" t="s">
        <v>944</v>
      </c>
      <c r="I120" s="1">
        <v>1.8067129629629631E-2</v>
      </c>
      <c r="J120" s="334" t="s">
        <v>944</v>
      </c>
      <c r="K120" s="34">
        <v>42966</v>
      </c>
      <c r="L120" s="9">
        <v>358</v>
      </c>
      <c r="M120" s="8">
        <v>1.8726851851851852E-2</v>
      </c>
      <c r="N120" s="3">
        <v>1.1886574074074075E-2</v>
      </c>
      <c r="O120" s="3">
        <v>1.3333333333333334E-2</v>
      </c>
      <c r="W120" s="1">
        <f t="shared" si="17"/>
        <v>-7.1034585569467942E-4</v>
      </c>
      <c r="X120" s="1">
        <f t="shared" si="18"/>
        <v>7.1034585569467942E-4</v>
      </c>
      <c r="Y120" s="9"/>
      <c r="AB120" s="1">
        <f t="shared" si="19"/>
        <v>2.3032407407407411E-3</v>
      </c>
      <c r="AC120" s="1"/>
      <c r="AE120" s="1"/>
      <c r="AF120" s="1"/>
    </row>
    <row r="121" spans="1:32" x14ac:dyDescent="0.2">
      <c r="A121">
        <v>572</v>
      </c>
      <c r="B121" s="556" t="s">
        <v>1454</v>
      </c>
      <c r="C121" s="532" t="s">
        <v>5359</v>
      </c>
      <c r="D121" s="531">
        <f>Runners!P957</f>
        <v>5</v>
      </c>
      <c r="E121" s="541">
        <f>Runners!P956</f>
        <v>5</v>
      </c>
      <c r="F121" s="1415" t="s">
        <v>3790</v>
      </c>
      <c r="G121" s="1432">
        <v>1.7905092592592594E-2</v>
      </c>
      <c r="H121" s="1374" t="s">
        <v>4596</v>
      </c>
      <c r="I121" s="1412">
        <v>1.7905092592592594E-2</v>
      </c>
      <c r="J121" s="334" t="s">
        <v>1000</v>
      </c>
      <c r="K121" s="34">
        <v>43309</v>
      </c>
      <c r="L121" s="1398">
        <v>429</v>
      </c>
      <c r="M121" s="8">
        <v>2.0590277777777777E-2</v>
      </c>
      <c r="N121" s="3">
        <v>1.0462962962962964E-2</v>
      </c>
      <c r="O121" s="3">
        <v>1.2673611111111109E-2</v>
      </c>
      <c r="Q121" s="510" t="s">
        <v>9793</v>
      </c>
      <c r="R121" s="510"/>
      <c r="W121" s="1">
        <f t="shared" si="17"/>
        <v>7.1326525541643218E-4</v>
      </c>
      <c r="X121" s="1">
        <f t="shared" si="18"/>
        <v>-7.1326525541643218E-4</v>
      </c>
      <c r="Y121" s="9"/>
      <c r="AB121" s="1">
        <f t="shared" si="19"/>
        <v>8.7962962962962951E-4</v>
      </c>
      <c r="AC121" s="1"/>
      <c r="AE121" s="1"/>
      <c r="AF121" s="1"/>
    </row>
    <row r="122" spans="1:32" x14ac:dyDescent="0.2">
      <c r="A122">
        <v>1062</v>
      </c>
      <c r="B122" s="556" t="s">
        <v>16465</v>
      </c>
      <c r="C122" s="532" t="s">
        <v>16466</v>
      </c>
      <c r="D122" s="531">
        <f>Runners!J1304</f>
        <v>1</v>
      </c>
      <c r="E122" s="541">
        <f>Runners!J1303</f>
        <v>1</v>
      </c>
      <c r="F122" s="1415" t="s">
        <v>1000</v>
      </c>
      <c r="G122" s="1432">
        <v>2.0821759259259259E-2</v>
      </c>
      <c r="H122" s="1374"/>
      <c r="I122" s="1412"/>
      <c r="J122" s="334" t="s">
        <v>1000</v>
      </c>
      <c r="K122" s="34">
        <v>43831</v>
      </c>
      <c r="L122" s="1398"/>
      <c r="Q122" s="1371"/>
      <c r="R122" s="1371"/>
      <c r="W122" s="1"/>
      <c r="X122" s="1"/>
      <c r="Y122" s="9"/>
      <c r="AB122" s="1"/>
      <c r="AC122" s="1"/>
      <c r="AE122" s="1"/>
      <c r="AF122" s="1"/>
    </row>
    <row r="123" spans="1:32" x14ac:dyDescent="0.2">
      <c r="A123">
        <v>907</v>
      </c>
      <c r="B123" s="27" t="s">
        <v>8385</v>
      </c>
      <c r="C123" s="532" t="s">
        <v>8386</v>
      </c>
      <c r="D123" s="24">
        <f>Runners!H1116</f>
        <v>2</v>
      </c>
      <c r="E123" s="183">
        <f>Runners!H1115</f>
        <v>2</v>
      </c>
      <c r="F123" s="630"/>
      <c r="H123" s="80" t="s">
        <v>3254</v>
      </c>
      <c r="I123" s="334">
        <v>1.8229166666666668E-2</v>
      </c>
      <c r="J123" s="334" t="s">
        <v>3254</v>
      </c>
      <c r="K123" s="34">
        <v>42966</v>
      </c>
      <c r="L123" s="9">
        <v>357</v>
      </c>
      <c r="M123" s="8">
        <v>1.9629629629629629E-2</v>
      </c>
      <c r="N123" s="3">
        <v>1.1423611111111112E-2</v>
      </c>
      <c r="O123" s="3">
        <v>1.2141203703703704E-2</v>
      </c>
      <c r="Q123" s="581" t="s">
        <v>12656</v>
      </c>
      <c r="R123" s="530"/>
      <c r="W123" s="1">
        <f t="shared" ref="W123:W149" si="20">$N$700-N123</f>
        <v>-2.4738289273171579E-4</v>
      </c>
      <c r="X123" s="1">
        <f t="shared" ref="X123:X149" si="21">N123-$N$700</f>
        <v>2.4738289273171579E-4</v>
      </c>
      <c r="Y123" s="9"/>
      <c r="AB123" s="1">
        <f t="shared" si="19"/>
        <v>1.8402777777777775E-3</v>
      </c>
      <c r="AC123" s="1"/>
      <c r="AE123" s="1"/>
      <c r="AF123" s="1"/>
    </row>
    <row r="124" spans="1:32" x14ac:dyDescent="0.2">
      <c r="A124">
        <v>188</v>
      </c>
      <c r="B124" s="27" t="s">
        <v>1625</v>
      </c>
      <c r="C124" s="74" t="s">
        <v>5431</v>
      </c>
      <c r="D124" s="24">
        <f>Runners!T815</f>
        <v>2</v>
      </c>
      <c r="E124" s="183">
        <f>Runners!T814</f>
        <v>2</v>
      </c>
      <c r="F124" s="6" t="s">
        <v>1000</v>
      </c>
      <c r="G124" s="1">
        <v>1.7824074074074076E-2</v>
      </c>
      <c r="J124" s="1" t="s">
        <v>4584</v>
      </c>
      <c r="K124" s="34">
        <v>41461</v>
      </c>
      <c r="L124" s="9">
        <v>63</v>
      </c>
      <c r="M124" s="8">
        <v>1.832175925925926E-2</v>
      </c>
      <c r="N124" s="3">
        <v>1.1493055555555555E-2</v>
      </c>
      <c r="O124" s="3">
        <v>1.2939814814814814E-2</v>
      </c>
      <c r="W124" s="1">
        <f t="shared" si="20"/>
        <v>-3.1682733717615895E-4</v>
      </c>
      <c r="X124" s="1">
        <f t="shared" si="21"/>
        <v>3.1682733717615895E-4</v>
      </c>
      <c r="Y124" s="9">
        <v>45</v>
      </c>
      <c r="Z124">
        <f>Y124*Y124</f>
        <v>2025</v>
      </c>
      <c r="AB124" s="1">
        <f t="shared" si="19"/>
        <v>1.9097222222222206E-3</v>
      </c>
      <c r="AC124" s="1"/>
      <c r="AE124" s="1"/>
      <c r="AF124" s="1"/>
    </row>
    <row r="125" spans="1:32" x14ac:dyDescent="0.2">
      <c r="A125">
        <v>2117</v>
      </c>
      <c r="B125" s="556" t="s">
        <v>10791</v>
      </c>
      <c r="C125" s="532" t="s">
        <v>10792</v>
      </c>
      <c r="D125" s="531">
        <f>Runners!H832</f>
        <v>2</v>
      </c>
      <c r="E125" s="541">
        <f>Runners!H831</f>
        <v>2</v>
      </c>
      <c r="F125" s="534" t="s">
        <v>3790</v>
      </c>
      <c r="G125" s="334">
        <v>1.6527777777777777E-2</v>
      </c>
      <c r="H125" s="513" t="s">
        <v>4596</v>
      </c>
      <c r="I125" s="1">
        <v>1.741898148148148E-2</v>
      </c>
      <c r="J125" s="512" t="s">
        <v>6180</v>
      </c>
      <c r="K125" s="34">
        <v>43589</v>
      </c>
      <c r="L125" s="1398">
        <v>493</v>
      </c>
      <c r="M125" s="8">
        <v>1.9074074074074073E-2</v>
      </c>
      <c r="N125" s="3">
        <v>1.1018518518518518E-2</v>
      </c>
      <c r="O125" s="3">
        <v>1.2951388888888887E-2</v>
      </c>
      <c r="Q125" s="1370"/>
      <c r="R125" s="1371"/>
      <c r="S125" s="1371"/>
      <c r="W125" s="1">
        <f t="shared" si="20"/>
        <v>1.5770969986087825E-4</v>
      </c>
      <c r="X125" s="1">
        <f t="shared" si="21"/>
        <v>-1.5770969986087825E-4</v>
      </c>
      <c r="Y125" s="9"/>
      <c r="AB125" s="1">
        <f t="shared" si="19"/>
        <v>1.4351851851851834E-3</v>
      </c>
      <c r="AC125" s="1"/>
      <c r="AE125" s="1"/>
      <c r="AF125" s="1"/>
    </row>
    <row r="126" spans="1:32" x14ac:dyDescent="0.2">
      <c r="A126">
        <v>328</v>
      </c>
      <c r="B126" s="568" t="s">
        <v>10516</v>
      </c>
      <c r="C126" s="568" t="s">
        <v>9140</v>
      </c>
      <c r="D126" s="585"/>
      <c r="E126" s="1002"/>
      <c r="F126" s="6"/>
      <c r="K126" s="34"/>
      <c r="M126" s="8">
        <v>1.9224537037037037E-2</v>
      </c>
      <c r="N126" s="3">
        <v>1.1342592592592592E-2</v>
      </c>
      <c r="O126" s="3">
        <v>1.2812499999999999E-2</v>
      </c>
      <c r="Q126" s="568" t="s">
        <v>10517</v>
      </c>
      <c r="R126" s="585"/>
      <c r="S126" s="585"/>
      <c r="W126" s="1">
        <f t="shared" si="20"/>
        <v>-1.663643742131956E-4</v>
      </c>
      <c r="X126" s="1">
        <f t="shared" si="21"/>
        <v>1.663643742131956E-4</v>
      </c>
      <c r="Y126" s="9"/>
      <c r="AB126" s="1">
        <f t="shared" ref="AB126:AB136" si="22">N126-$N$88</f>
        <v>1.7592592592592573E-3</v>
      </c>
      <c r="AC126" s="1"/>
      <c r="AE126" s="1"/>
      <c r="AF126" s="1"/>
    </row>
    <row r="127" spans="1:32" x14ac:dyDescent="0.2">
      <c r="A127">
        <v>58</v>
      </c>
      <c r="B127" s="27" t="s">
        <v>1623</v>
      </c>
      <c r="C127" s="74" t="s">
        <v>226</v>
      </c>
      <c r="D127" s="24">
        <f>Runners!S957</f>
        <v>4</v>
      </c>
      <c r="E127" s="183">
        <f>Runners!S956</f>
        <v>5</v>
      </c>
      <c r="F127" s="6" t="s">
        <v>5882</v>
      </c>
      <c r="G127" s="1">
        <v>1.503472222222222E-2</v>
      </c>
      <c r="J127" s="1" t="s">
        <v>5882</v>
      </c>
      <c r="K127" s="34">
        <v>41510</v>
      </c>
      <c r="L127" s="9">
        <v>67</v>
      </c>
      <c r="M127" s="8">
        <v>2.0208333333333335E-2</v>
      </c>
      <c r="N127" s="3">
        <v>1.0729166666666666E-2</v>
      </c>
      <c r="O127" s="3">
        <v>1.2164351851851852E-2</v>
      </c>
      <c r="W127" s="1">
        <f t="shared" si="20"/>
        <v>4.4706155171272965E-4</v>
      </c>
      <c r="X127" s="1">
        <f t="shared" si="21"/>
        <v>-4.4706155171272965E-4</v>
      </c>
      <c r="Y127" s="9">
        <v>21</v>
      </c>
      <c r="Z127">
        <f t="shared" si="0"/>
        <v>441</v>
      </c>
      <c r="AB127" s="1">
        <f t="shared" si="22"/>
        <v>1.145833333333332E-3</v>
      </c>
      <c r="AC127" s="1"/>
      <c r="AE127" s="1"/>
      <c r="AF127" s="1"/>
    </row>
    <row r="128" spans="1:32" x14ac:dyDescent="0.2">
      <c r="A128">
        <v>2585</v>
      </c>
      <c r="B128" s="493" t="s">
        <v>17169</v>
      </c>
      <c r="C128" s="415" t="s">
        <v>17168</v>
      </c>
      <c r="D128" s="24">
        <f>Runners!H1165</f>
        <v>1</v>
      </c>
      <c r="E128" s="183">
        <f>Runners!H1164</f>
        <v>1</v>
      </c>
      <c r="F128" s="6"/>
      <c r="H128" s="80" t="s">
        <v>1440</v>
      </c>
      <c r="I128" s="1">
        <v>2.013888888888889E-2</v>
      </c>
      <c r="J128" s="334" t="s">
        <v>1440</v>
      </c>
      <c r="K128" s="34">
        <v>43890</v>
      </c>
      <c r="M128" s="8">
        <v>2.3634259259259258E-2</v>
      </c>
      <c r="N128" s="3">
        <v>1.2673611111111109E-2</v>
      </c>
      <c r="O128" s="3">
        <v>1.4236111111111111E-2</v>
      </c>
      <c r="W128" s="1">
        <f t="shared" si="20"/>
        <v>-1.4973828927317134E-3</v>
      </c>
      <c r="X128" s="1">
        <f t="shared" si="21"/>
        <v>1.4973828927317134E-3</v>
      </c>
      <c r="Y128" s="9"/>
      <c r="AB128" s="1">
        <f t="shared" si="22"/>
        <v>3.0902777777777751E-3</v>
      </c>
      <c r="AC128" s="1"/>
      <c r="AE128" s="1"/>
      <c r="AF128" s="1"/>
    </row>
    <row r="129" spans="1:32" x14ac:dyDescent="0.2">
      <c r="A129">
        <v>290</v>
      </c>
      <c r="B129" s="27" t="s">
        <v>4285</v>
      </c>
      <c r="C129" s="74" t="s">
        <v>1660</v>
      </c>
      <c r="D129" s="24">
        <f>Runners!I1048</f>
        <v>1</v>
      </c>
      <c r="E129" s="183">
        <f>Runners!I1047</f>
        <v>1</v>
      </c>
      <c r="F129" s="6" t="s">
        <v>1000</v>
      </c>
      <c r="G129" s="1">
        <v>1.9456018518518518E-2</v>
      </c>
      <c r="J129" s="32" t="s">
        <v>1000</v>
      </c>
      <c r="K129" s="34">
        <v>41335</v>
      </c>
      <c r="L129" s="9">
        <v>57</v>
      </c>
      <c r="M129" s="8">
        <v>1.8541666666666668E-2</v>
      </c>
      <c r="N129" s="3">
        <v>1.1412037037037038E-2</v>
      </c>
      <c r="O129" s="3">
        <v>1.2534722222222223E-2</v>
      </c>
      <c r="W129" s="1">
        <f t="shared" si="20"/>
        <v>-2.3580881865764222E-4</v>
      </c>
      <c r="X129" s="1">
        <f t="shared" si="21"/>
        <v>2.3580881865764222E-4</v>
      </c>
      <c r="Y129" s="9">
        <v>38</v>
      </c>
      <c r="Z129">
        <f t="shared" si="0"/>
        <v>1444</v>
      </c>
      <c r="AB129" s="1">
        <f t="shared" si="22"/>
        <v>1.8287037037037039E-3</v>
      </c>
      <c r="AC129" s="1"/>
      <c r="AE129" s="1"/>
      <c r="AF129" s="1"/>
    </row>
    <row r="130" spans="1:32" x14ac:dyDescent="0.2">
      <c r="A130">
        <v>229</v>
      </c>
      <c r="B130" s="27" t="s">
        <v>3922</v>
      </c>
      <c r="C130" s="74" t="s">
        <v>1452</v>
      </c>
      <c r="D130" s="24">
        <f>Runners!L1000</f>
        <v>2</v>
      </c>
      <c r="E130" s="183">
        <f>Runners!L999</f>
        <v>2</v>
      </c>
      <c r="F130" s="6" t="s">
        <v>1270</v>
      </c>
      <c r="G130" s="1">
        <v>1.3819444444444445E-2</v>
      </c>
      <c r="H130" s="513" t="s">
        <v>1062</v>
      </c>
      <c r="I130" s="334">
        <v>2.2083333333333333E-2</v>
      </c>
      <c r="J130" s="1" t="s">
        <v>1270</v>
      </c>
      <c r="K130" s="34">
        <v>41811</v>
      </c>
      <c r="L130" s="9">
        <v>110</v>
      </c>
      <c r="M130" s="8">
        <v>1.8483796296296297E-2</v>
      </c>
      <c r="N130" s="3">
        <v>1.064814814814815E-2</v>
      </c>
      <c r="O130" s="3">
        <v>1.1782407407407406E-2</v>
      </c>
      <c r="W130" s="1">
        <f t="shared" si="20"/>
        <v>5.2808007023124638E-4</v>
      </c>
      <c r="X130" s="1">
        <f t="shared" si="21"/>
        <v>-5.2808007023124638E-4</v>
      </c>
      <c r="Y130" s="9">
        <v>28</v>
      </c>
      <c r="Z130">
        <f t="shared" si="0"/>
        <v>784</v>
      </c>
      <c r="AB130" s="1">
        <f t="shared" si="22"/>
        <v>1.0648148148148153E-3</v>
      </c>
      <c r="AC130" s="1"/>
      <c r="AE130" s="1"/>
      <c r="AF130" s="1"/>
    </row>
    <row r="131" spans="1:32" x14ac:dyDescent="0.2">
      <c r="A131">
        <v>286</v>
      </c>
      <c r="B131" s="27" t="s">
        <v>4284</v>
      </c>
      <c r="C131" s="74" t="s">
        <v>456</v>
      </c>
      <c r="D131" s="24">
        <f>Runners!R957</f>
        <v>2</v>
      </c>
      <c r="E131" s="183">
        <f>Runners!R956</f>
        <v>5</v>
      </c>
      <c r="F131" s="6" t="s">
        <v>1000</v>
      </c>
      <c r="G131" s="1">
        <v>2.0648148148148148E-2</v>
      </c>
      <c r="H131" s="513" t="s">
        <v>1062</v>
      </c>
      <c r="I131" s="1">
        <v>2.2962962962962966E-2</v>
      </c>
      <c r="J131" s="32" t="s">
        <v>1000</v>
      </c>
      <c r="K131" s="34">
        <v>41321</v>
      </c>
      <c r="L131" s="9">
        <v>55</v>
      </c>
      <c r="M131" s="8">
        <v>1.9803240740740739E-2</v>
      </c>
      <c r="N131" s="3">
        <v>1.045138888888889E-2</v>
      </c>
      <c r="O131" s="3">
        <v>1.247685185185185E-2</v>
      </c>
      <c r="W131" s="1">
        <f t="shared" si="20"/>
        <v>7.2483932949050575E-4</v>
      </c>
      <c r="X131" s="1">
        <f t="shared" si="21"/>
        <v>-7.2483932949050575E-4</v>
      </c>
      <c r="Y131" s="9">
        <v>45</v>
      </c>
      <c r="Z131">
        <f t="shared" si="0"/>
        <v>2025</v>
      </c>
      <c r="AB131" s="1">
        <f t="shared" si="22"/>
        <v>8.6805555555555594E-4</v>
      </c>
      <c r="AC131" s="1"/>
      <c r="AE131" s="1"/>
      <c r="AF131" s="1"/>
    </row>
    <row r="132" spans="1:32" x14ac:dyDescent="0.2">
      <c r="A132">
        <v>1059</v>
      </c>
      <c r="B132" s="493" t="s">
        <v>10420</v>
      </c>
      <c r="C132" s="415" t="s">
        <v>10419</v>
      </c>
      <c r="D132" s="24">
        <f>Runners!J1116</f>
        <v>1</v>
      </c>
      <c r="E132" s="183">
        <f>Runners!J1115</f>
        <v>1</v>
      </c>
      <c r="F132" s="79" t="s">
        <v>654</v>
      </c>
      <c r="G132" s="1">
        <v>2.3692129629629629E-2</v>
      </c>
      <c r="H132" s="513"/>
      <c r="J132" s="334" t="s">
        <v>654</v>
      </c>
      <c r="K132" s="34">
        <v>43323</v>
      </c>
      <c r="L132" s="1398">
        <v>432</v>
      </c>
      <c r="M132" s="8">
        <v>2.0497685185185185E-2</v>
      </c>
      <c r="N132" s="3">
        <v>1.1018518518518518E-2</v>
      </c>
      <c r="O132" s="3">
        <v>1.230324074074074E-2</v>
      </c>
      <c r="W132" s="1">
        <f t="shared" si="20"/>
        <v>1.5770969986087825E-4</v>
      </c>
      <c r="X132" s="1">
        <f t="shared" si="21"/>
        <v>-1.5770969986087825E-4</v>
      </c>
      <c r="Y132" s="9"/>
      <c r="AB132" s="1">
        <f t="shared" si="22"/>
        <v>1.4351851851851834E-3</v>
      </c>
      <c r="AC132" s="1"/>
      <c r="AE132" s="1"/>
      <c r="AF132" s="1"/>
    </row>
    <row r="133" spans="1:32" x14ac:dyDescent="0.2">
      <c r="A133">
        <v>736</v>
      </c>
      <c r="B133" s="27" t="s">
        <v>5891</v>
      </c>
      <c r="C133" s="74" t="s">
        <v>319</v>
      </c>
      <c r="D133" s="24">
        <f>Runners!I1289</f>
        <v>2</v>
      </c>
      <c r="E133" s="183">
        <f>Runners!I1288</f>
        <v>2</v>
      </c>
      <c r="F133" s="6" t="s">
        <v>909</v>
      </c>
      <c r="G133" s="1">
        <v>2.0057870370370368E-2</v>
      </c>
      <c r="H133" t="s">
        <v>5894</v>
      </c>
      <c r="I133" s="1">
        <v>2.0057870370370368E-2</v>
      </c>
      <c r="J133" s="1" t="s">
        <v>5061</v>
      </c>
      <c r="K133" s="34">
        <v>42189</v>
      </c>
      <c r="L133" s="9">
        <v>184</v>
      </c>
      <c r="M133" s="8">
        <v>1.9675925925925927E-2</v>
      </c>
      <c r="N133" s="3">
        <v>1.1875E-2</v>
      </c>
      <c r="O133" s="3">
        <v>1.2094907407407408E-2</v>
      </c>
      <c r="W133" s="1">
        <f t="shared" si="20"/>
        <v>-6.9877178162060412E-4</v>
      </c>
      <c r="X133" s="1">
        <f t="shared" si="21"/>
        <v>6.9877178162060412E-4</v>
      </c>
      <c r="Y133" s="9">
        <v>78</v>
      </c>
      <c r="Z133">
        <f t="shared" si="0"/>
        <v>6084</v>
      </c>
      <c r="AB133" s="1">
        <f t="shared" si="22"/>
        <v>2.2916666666666658E-3</v>
      </c>
      <c r="AC133" s="1"/>
      <c r="AE133" s="1"/>
      <c r="AF133" s="1"/>
    </row>
    <row r="134" spans="1:32" x14ac:dyDescent="0.2">
      <c r="A134">
        <v>633</v>
      </c>
      <c r="B134" s="552" t="s">
        <v>537</v>
      </c>
      <c r="C134" s="511" t="s">
        <v>2041</v>
      </c>
      <c r="D134" s="531">
        <f>Runners!Q957</f>
        <v>3</v>
      </c>
      <c r="E134" s="541">
        <f>Runners!Q956</f>
        <v>3</v>
      </c>
      <c r="F134" s="79" t="s">
        <v>1000</v>
      </c>
      <c r="G134" s="1">
        <v>1.9004629629629632E-2</v>
      </c>
      <c r="J134" s="334" t="s">
        <v>1000</v>
      </c>
      <c r="K134" s="34">
        <v>42959</v>
      </c>
      <c r="L134" s="9">
        <v>353</v>
      </c>
      <c r="M134" s="8">
        <v>0.02</v>
      </c>
      <c r="N134" s="3">
        <v>1.1215277777777777E-2</v>
      </c>
      <c r="O134" s="3">
        <v>1.2719907407407407E-2</v>
      </c>
      <c r="P134" t="s">
        <v>1220</v>
      </c>
      <c r="S134" s="253" t="s">
        <v>1221</v>
      </c>
      <c r="T134" s="253"/>
      <c r="W134" s="1">
        <f t="shared" si="20"/>
        <v>-3.9049559398381117E-5</v>
      </c>
      <c r="X134" s="1">
        <f t="shared" si="21"/>
        <v>3.9049559398381117E-5</v>
      </c>
      <c r="Y134" s="9"/>
      <c r="AB134" s="1">
        <f t="shared" si="22"/>
        <v>1.6319444444444428E-3</v>
      </c>
      <c r="AC134" s="1"/>
      <c r="AE134" s="1"/>
      <c r="AF134" s="1"/>
    </row>
    <row r="135" spans="1:32" x14ac:dyDescent="0.2">
      <c r="A135">
        <v>1354</v>
      </c>
      <c r="B135" s="27" t="s">
        <v>186</v>
      </c>
      <c r="C135" s="74" t="s">
        <v>353</v>
      </c>
      <c r="D135" s="24">
        <f>Runners!N1000</f>
        <v>3</v>
      </c>
      <c r="E135" s="183">
        <f>Runners!N999</f>
        <v>3</v>
      </c>
      <c r="F135" s="6" t="s">
        <v>298</v>
      </c>
      <c r="G135" s="1">
        <v>1.650462962962963E-2</v>
      </c>
      <c r="H135" t="s">
        <v>5903</v>
      </c>
      <c r="I135" s="1">
        <v>2.028935185185185E-2</v>
      </c>
      <c r="J135" s="1" t="s">
        <v>298</v>
      </c>
      <c r="K135" s="34">
        <v>42672</v>
      </c>
      <c r="L135" s="9">
        <v>298</v>
      </c>
      <c r="M135" s="8">
        <v>2.0370370370370369E-2</v>
      </c>
      <c r="N135" s="3">
        <v>1.050925925925926E-2</v>
      </c>
      <c r="O135" s="3">
        <v>1.2094907407407408E-2</v>
      </c>
      <c r="S135" s="196"/>
      <c r="T135" s="196"/>
      <c r="W135" s="1">
        <f t="shared" si="20"/>
        <v>6.6696895912013617E-4</v>
      </c>
      <c r="X135" s="1">
        <f t="shared" si="21"/>
        <v>-6.6696895912013617E-4</v>
      </c>
      <c r="Y135" s="9"/>
      <c r="AB135" s="1">
        <f t="shared" si="22"/>
        <v>9.2592592592592553E-4</v>
      </c>
      <c r="AC135" s="1"/>
      <c r="AE135" s="1"/>
      <c r="AF135" s="1"/>
    </row>
    <row r="136" spans="1:32" x14ac:dyDescent="0.2">
      <c r="A136">
        <v>420</v>
      </c>
      <c r="B136" s="27" t="s">
        <v>4193</v>
      </c>
      <c r="C136" s="74" t="s">
        <v>4140</v>
      </c>
      <c r="D136" s="24">
        <f>Runners!Y1289</f>
        <v>1</v>
      </c>
      <c r="E136" s="183">
        <f>Runners!Y1288</f>
        <v>1</v>
      </c>
      <c r="F136" s="6" t="s">
        <v>1000</v>
      </c>
      <c r="G136" s="1">
        <v>1.8564814814814815E-2</v>
      </c>
      <c r="J136" s="1" t="s">
        <v>1000</v>
      </c>
      <c r="K136" s="34">
        <v>42357</v>
      </c>
      <c r="L136" s="9">
        <v>216</v>
      </c>
      <c r="M136" s="8">
        <v>1.9247685185185184E-2</v>
      </c>
      <c r="N136" s="3">
        <v>1.1354166666666667E-2</v>
      </c>
      <c r="O136" s="3">
        <v>1.2314814814814815E-2</v>
      </c>
      <c r="W136" s="1">
        <f t="shared" si="20"/>
        <v>-1.779384482872709E-4</v>
      </c>
      <c r="X136" s="1">
        <f t="shared" si="21"/>
        <v>1.779384482872709E-4</v>
      </c>
      <c r="Y136" s="9">
        <v>33</v>
      </c>
      <c r="Z136">
        <f t="shared" si="0"/>
        <v>1089</v>
      </c>
      <c r="AB136" s="1">
        <f t="shared" si="22"/>
        <v>1.7708333333333326E-3</v>
      </c>
      <c r="AC136" s="1"/>
      <c r="AE136" s="1"/>
      <c r="AF136" s="1"/>
    </row>
    <row r="137" spans="1:32" x14ac:dyDescent="0.2">
      <c r="A137">
        <v>69</v>
      </c>
      <c r="B137" s="27" t="s">
        <v>4283</v>
      </c>
      <c r="C137" s="74" t="s">
        <v>4281</v>
      </c>
      <c r="D137" s="24">
        <f>Runners!L877</f>
        <v>3</v>
      </c>
      <c r="E137" s="183">
        <f>Runners!L876</f>
        <v>4</v>
      </c>
      <c r="F137" s="6" t="s">
        <v>4035</v>
      </c>
      <c r="G137" s="1">
        <v>1.8460648148148146E-2</v>
      </c>
      <c r="J137" s="32" t="s">
        <v>1000</v>
      </c>
      <c r="K137" s="34">
        <v>41328</v>
      </c>
      <c r="L137" s="9">
        <v>56</v>
      </c>
      <c r="M137" s="8">
        <v>1.9675925925925927E-2</v>
      </c>
      <c r="N137" s="3">
        <v>1.0405092592592593E-2</v>
      </c>
      <c r="O137" s="3">
        <v>1.2118055555555556E-2</v>
      </c>
      <c r="W137" s="1">
        <f t="shared" si="20"/>
        <v>7.711356257868035E-4</v>
      </c>
      <c r="X137" s="1">
        <f t="shared" si="21"/>
        <v>-7.711356257868035E-4</v>
      </c>
      <c r="Y137" s="9">
        <v>49</v>
      </c>
      <c r="Z137">
        <f t="shared" si="0"/>
        <v>2401</v>
      </c>
      <c r="AB137" s="1">
        <f t="shared" ref="AB137:AC291" si="23">N137-$N$88</f>
        <v>8.2175925925925819E-4</v>
      </c>
      <c r="AC137" s="1"/>
      <c r="AE137" s="1"/>
      <c r="AF137" s="1"/>
    </row>
    <row r="138" spans="1:32" x14ac:dyDescent="0.2">
      <c r="A138">
        <v>13</v>
      </c>
      <c r="B138" s="556" t="s">
        <v>11803</v>
      </c>
      <c r="C138" s="532" t="s">
        <v>11802</v>
      </c>
      <c r="D138" s="531">
        <f>Runners!H1200</f>
        <v>2</v>
      </c>
      <c r="E138" s="541">
        <f>Runners!H1199</f>
        <v>2</v>
      </c>
      <c r="F138" s="6" t="s">
        <v>1000</v>
      </c>
      <c r="G138" s="1">
        <v>1.9733796296296298E-2</v>
      </c>
      <c r="J138" s="32" t="s">
        <v>1000</v>
      </c>
      <c r="K138" s="34">
        <v>43512</v>
      </c>
      <c r="L138" s="1398">
        <v>470</v>
      </c>
      <c r="M138" s="8">
        <v>1.8113425925925925E-2</v>
      </c>
      <c r="N138" s="3">
        <v>1.074074074074074E-2</v>
      </c>
      <c r="O138" s="3">
        <v>1.207175925925926E-2</v>
      </c>
      <c r="Q138" s="581" t="s">
        <v>11805</v>
      </c>
      <c r="R138" s="530"/>
      <c r="W138" s="1">
        <f t="shared" si="20"/>
        <v>4.3548747763865608E-4</v>
      </c>
      <c r="X138" s="1">
        <f t="shared" si="21"/>
        <v>-4.3548747763865608E-4</v>
      </c>
      <c r="Y138" s="9"/>
      <c r="AB138" s="1">
        <f t="shared" si="23"/>
        <v>1.1574074074074056E-3</v>
      </c>
      <c r="AC138" s="1"/>
      <c r="AE138" s="1"/>
      <c r="AF138" s="1"/>
    </row>
    <row r="139" spans="1:32" x14ac:dyDescent="0.2">
      <c r="A139">
        <v>292</v>
      </c>
      <c r="B139" s="27" t="s">
        <v>4799</v>
      </c>
      <c r="C139" s="74" t="s">
        <v>2285</v>
      </c>
      <c r="D139" s="24">
        <f>Runners!G1200</f>
        <v>3</v>
      </c>
      <c r="E139" s="183">
        <f>Runners!G1199</f>
        <v>3</v>
      </c>
      <c r="F139" s="6" t="s">
        <v>1000</v>
      </c>
      <c r="G139" s="32">
        <v>1.7430555555555557E-2</v>
      </c>
      <c r="H139" s="319" t="s">
        <v>2670</v>
      </c>
      <c r="I139" s="32">
        <v>1.3738425925925926E-2</v>
      </c>
      <c r="J139" s="32" t="s">
        <v>1000</v>
      </c>
      <c r="K139" s="33">
        <v>41972</v>
      </c>
      <c r="L139" s="9">
        <v>145</v>
      </c>
      <c r="M139" s="8">
        <v>1.7430555555555557E-2</v>
      </c>
      <c r="N139" s="3">
        <v>1.1400462962962965E-2</v>
      </c>
      <c r="O139" s="3">
        <v>1.3101851851851852E-2</v>
      </c>
      <c r="Q139" s="270" t="s">
        <v>2108</v>
      </c>
      <c r="R139" s="270"/>
      <c r="S139" s="270"/>
      <c r="U139" s="383"/>
      <c r="W139" s="1">
        <f t="shared" si="20"/>
        <v>-2.2423474458356865E-4</v>
      </c>
      <c r="X139" s="1">
        <f t="shared" si="21"/>
        <v>2.2423474458356865E-4</v>
      </c>
      <c r="Y139" s="9">
        <v>37</v>
      </c>
      <c r="Z139">
        <f t="shared" si="0"/>
        <v>1369</v>
      </c>
      <c r="AB139" s="1">
        <f t="shared" si="23"/>
        <v>1.8171296296296303E-3</v>
      </c>
      <c r="AC139" s="1"/>
      <c r="AE139" s="1"/>
      <c r="AF139" s="1"/>
    </row>
    <row r="140" spans="1:32" x14ac:dyDescent="0.2">
      <c r="A140">
        <v>162</v>
      </c>
      <c r="B140" s="585"/>
      <c r="C140" s="568" t="s">
        <v>11835</v>
      </c>
      <c r="D140" s="585"/>
      <c r="E140" s="1002"/>
      <c r="F140" s="6"/>
      <c r="G140" s="32"/>
      <c r="H140" s="319"/>
      <c r="I140" s="32"/>
      <c r="J140" s="32"/>
      <c r="K140" s="33"/>
      <c r="M140" s="8">
        <v>1.7604166666666667E-2</v>
      </c>
      <c r="N140" s="3">
        <v>1.0787037037037038E-2</v>
      </c>
      <c r="O140" s="3">
        <v>1.2187500000000002E-2</v>
      </c>
      <c r="Q140" s="270"/>
      <c r="R140" s="270"/>
      <c r="S140" s="270"/>
      <c r="U140" s="383"/>
      <c r="W140" s="1">
        <f t="shared" si="20"/>
        <v>3.8919118134235833E-4</v>
      </c>
      <c r="X140" s="1">
        <f t="shared" si="21"/>
        <v>-3.8919118134235833E-4</v>
      </c>
      <c r="Y140" s="9"/>
      <c r="AB140" s="1">
        <f t="shared" si="23"/>
        <v>1.2037037037037034E-3</v>
      </c>
      <c r="AC140" s="1"/>
      <c r="AE140" s="1"/>
      <c r="AF140" s="1"/>
    </row>
    <row r="141" spans="1:32" x14ac:dyDescent="0.2">
      <c r="A141">
        <v>390</v>
      </c>
      <c r="B141" s="27" t="s">
        <v>1703</v>
      </c>
      <c r="C141" s="74" t="s">
        <v>129</v>
      </c>
      <c r="D141" s="24">
        <f>Runners!K148</f>
        <v>46</v>
      </c>
      <c r="E141" s="183">
        <f>Runners!K147</f>
        <v>730</v>
      </c>
      <c r="F141" s="1415" t="s">
        <v>8462</v>
      </c>
      <c r="G141" s="1412">
        <v>1.3101851851851852E-2</v>
      </c>
      <c r="H141" s="1375" t="s">
        <v>9806</v>
      </c>
      <c r="I141" s="1412">
        <v>1.4016203703703704E-2</v>
      </c>
      <c r="J141" s="1412" t="s">
        <v>4467</v>
      </c>
      <c r="K141" s="1379">
        <v>41097</v>
      </c>
      <c r="L141" s="9">
        <v>30</v>
      </c>
      <c r="M141" s="8">
        <v>1.8726851851851852E-2</v>
      </c>
      <c r="N141" s="3">
        <v>1.0972222222222223E-2</v>
      </c>
      <c r="O141" s="3">
        <v>1.2291666666666666E-2</v>
      </c>
      <c r="P141" t="s">
        <v>2533</v>
      </c>
      <c r="Q141" s="253" t="s">
        <v>3537</v>
      </c>
      <c r="R141" s="345"/>
      <c r="S141" s="345" t="s">
        <v>5100</v>
      </c>
      <c r="T141" s="345"/>
      <c r="U141" s="196"/>
      <c r="W141" s="1">
        <f t="shared" si="20"/>
        <v>2.0400599615717253E-4</v>
      </c>
      <c r="X141" s="1">
        <f t="shared" si="21"/>
        <v>-2.0400599615717253E-4</v>
      </c>
      <c r="Y141" s="9">
        <v>0</v>
      </c>
      <c r="Z141">
        <f t="shared" si="0"/>
        <v>0</v>
      </c>
      <c r="AB141" s="1">
        <f t="shared" si="23"/>
        <v>1.3888888888888892E-3</v>
      </c>
      <c r="AC141" s="1"/>
      <c r="AE141" s="1"/>
      <c r="AF141" s="1"/>
    </row>
    <row r="142" spans="1:32" x14ac:dyDescent="0.2">
      <c r="A142">
        <v>932</v>
      </c>
      <c r="B142" s="27" t="s">
        <v>5254</v>
      </c>
      <c r="C142" s="74" t="s">
        <v>843</v>
      </c>
      <c r="D142" s="183">
        <f>Runners!G309</f>
        <v>11</v>
      </c>
      <c r="E142" s="183">
        <f>Runners!G308</f>
        <v>11</v>
      </c>
      <c r="F142" s="1415" t="s">
        <v>12695</v>
      </c>
      <c r="G142" s="1412">
        <v>1.4085648148148151E-2</v>
      </c>
      <c r="H142" s="1375" t="s">
        <v>9806</v>
      </c>
      <c r="I142" s="1412">
        <v>1.4675925925925926E-2</v>
      </c>
      <c r="J142" s="1476" t="s">
        <v>1000</v>
      </c>
      <c r="K142" s="1379">
        <v>42119</v>
      </c>
      <c r="L142" s="9">
        <v>161</v>
      </c>
      <c r="M142" s="8">
        <v>1.9363425925925926E-2</v>
      </c>
      <c r="N142" s="3">
        <v>1.1979166666666666E-2</v>
      </c>
      <c r="O142" s="3">
        <v>1.3668981481481482E-2</v>
      </c>
      <c r="Q142" s="53"/>
      <c r="U142" s="53"/>
      <c r="W142" s="1">
        <f t="shared" si="20"/>
        <v>-8.0293844828726972E-4</v>
      </c>
      <c r="X142" s="1">
        <f t="shared" si="21"/>
        <v>8.0293844828726972E-4</v>
      </c>
      <c r="Y142" s="9">
        <v>87</v>
      </c>
      <c r="Z142">
        <f t="shared" si="0"/>
        <v>7569</v>
      </c>
      <c r="AB142" s="1">
        <f t="shared" si="23"/>
        <v>2.3958333333333314E-3</v>
      </c>
      <c r="AC142" s="1"/>
      <c r="AE142" s="1"/>
      <c r="AF142" s="1"/>
    </row>
    <row r="143" spans="1:32" x14ac:dyDescent="0.2">
      <c r="A143">
        <v>1844</v>
      </c>
      <c r="B143" s="27" t="s">
        <v>9470</v>
      </c>
      <c r="C143" s="415" t="s">
        <v>9144</v>
      </c>
      <c r="D143" s="24">
        <f>Runners!M1000</f>
        <v>1</v>
      </c>
      <c r="E143" s="183">
        <f>Runners!M999</f>
        <v>1</v>
      </c>
      <c r="F143" s="1415" t="s">
        <v>1000</v>
      </c>
      <c r="G143" s="1412">
        <v>2.1493055555555557E-2</v>
      </c>
      <c r="H143" s="1410"/>
      <c r="I143" s="1412"/>
      <c r="J143" s="1432" t="s">
        <v>1000</v>
      </c>
      <c r="K143" s="1379">
        <v>43183</v>
      </c>
      <c r="L143" s="1398">
        <v>395</v>
      </c>
      <c r="M143" s="8">
        <v>2.165509259259259E-2</v>
      </c>
      <c r="N143" s="3">
        <v>1.1412037037037038E-2</v>
      </c>
      <c r="O143" s="3">
        <v>1.2847222222222223E-2</v>
      </c>
      <c r="Q143" s="53"/>
      <c r="U143" s="53"/>
      <c r="W143" s="1">
        <f t="shared" si="20"/>
        <v>-2.3580881865764222E-4</v>
      </c>
      <c r="X143" s="1">
        <f t="shared" si="21"/>
        <v>2.3580881865764222E-4</v>
      </c>
      <c r="Y143" s="9"/>
      <c r="AB143" s="1">
        <f t="shared" si="23"/>
        <v>1.8287037037037039E-3</v>
      </c>
      <c r="AC143" s="1"/>
      <c r="AE143" s="1"/>
      <c r="AF143" s="1"/>
    </row>
    <row r="144" spans="1:32" x14ac:dyDescent="0.2">
      <c r="A144">
        <v>1100</v>
      </c>
      <c r="B144" s="27" t="s">
        <v>5595</v>
      </c>
      <c r="C144" s="74" t="s">
        <v>1261</v>
      </c>
      <c r="D144" s="24">
        <f>Runners!G1354</f>
        <v>12</v>
      </c>
      <c r="E144" s="183">
        <f>Runners!G1353</f>
        <v>21</v>
      </c>
      <c r="F144" s="1415" t="s">
        <v>5884</v>
      </c>
      <c r="G144" s="1412">
        <v>1.4479166666666668E-2</v>
      </c>
      <c r="H144" s="1375" t="s">
        <v>5241</v>
      </c>
      <c r="I144" s="1412">
        <v>1.5752314814814813E-2</v>
      </c>
      <c r="J144" s="1760" t="s">
        <v>5241</v>
      </c>
      <c r="K144" s="1379">
        <v>42168</v>
      </c>
      <c r="L144" s="9">
        <v>177</v>
      </c>
      <c r="M144" s="8">
        <v>1.8159722222222219E-2</v>
      </c>
      <c r="N144" s="3">
        <v>1.0671296296296297E-2</v>
      </c>
      <c r="O144" s="3">
        <v>1.5069444444444443E-2</v>
      </c>
      <c r="Q144" s="635" t="s">
        <v>10906</v>
      </c>
      <c r="R144" s="530"/>
      <c r="S144" s="530"/>
      <c r="U144" s="53"/>
      <c r="W144" s="1">
        <f t="shared" si="20"/>
        <v>5.0493192208309924E-4</v>
      </c>
      <c r="X144" s="1">
        <f t="shared" si="21"/>
        <v>-5.0493192208309924E-4</v>
      </c>
      <c r="Y144" s="9">
        <v>26</v>
      </c>
      <c r="Z144">
        <f t="shared" si="0"/>
        <v>676</v>
      </c>
      <c r="AB144" s="1">
        <f t="shared" si="23"/>
        <v>1.0879629629629625E-3</v>
      </c>
      <c r="AC144" s="1"/>
      <c r="AE144" s="1"/>
      <c r="AF144" s="1"/>
    </row>
    <row r="145" spans="1:32" x14ac:dyDescent="0.2">
      <c r="A145">
        <v>1182</v>
      </c>
      <c r="B145" s="27" t="s">
        <v>5259</v>
      </c>
      <c r="C145" s="74" t="s">
        <v>3857</v>
      </c>
      <c r="D145" s="24">
        <f>Runners!O1000</f>
        <v>1</v>
      </c>
      <c r="E145" s="183">
        <f>Runners!O999</f>
        <v>1</v>
      </c>
      <c r="F145" s="1929"/>
      <c r="G145" s="1412"/>
      <c r="H145" s="1416" t="s">
        <v>2670</v>
      </c>
      <c r="I145" s="1412">
        <v>1.4305555555555557E-2</v>
      </c>
      <c r="J145" s="1760" t="s">
        <v>2670</v>
      </c>
      <c r="K145" s="1379">
        <v>42518</v>
      </c>
      <c r="L145" s="9">
        <v>258</v>
      </c>
      <c r="M145" s="8">
        <v>1.9733796296296298E-2</v>
      </c>
      <c r="N145" s="3">
        <v>1.0972222222222223E-2</v>
      </c>
      <c r="O145" s="3">
        <v>1.230324074074074E-2</v>
      </c>
      <c r="Q145" s="53"/>
      <c r="U145" s="53"/>
      <c r="W145" s="1">
        <f t="shared" si="20"/>
        <v>2.0400599615717253E-4</v>
      </c>
      <c r="X145" s="1">
        <f t="shared" si="21"/>
        <v>-2.0400599615717253E-4</v>
      </c>
      <c r="Y145" s="9"/>
      <c r="AB145" s="1">
        <f t="shared" si="23"/>
        <v>1.3888888888888892E-3</v>
      </c>
      <c r="AC145" s="1"/>
      <c r="AE145" s="1"/>
      <c r="AF145" s="1"/>
    </row>
    <row r="146" spans="1:32" x14ac:dyDescent="0.2">
      <c r="A146">
        <v>154</v>
      </c>
      <c r="B146" s="27" t="s">
        <v>3716</v>
      </c>
      <c r="C146" s="74" t="s">
        <v>4397</v>
      </c>
      <c r="D146" s="24">
        <f>Runners!Q460</f>
        <v>4</v>
      </c>
      <c r="E146" s="183">
        <f>Runners!Q459</f>
        <v>4</v>
      </c>
      <c r="F146" s="1415" t="s">
        <v>12695</v>
      </c>
      <c r="G146" s="1412">
        <v>1.4085648148148151E-2</v>
      </c>
      <c r="H146" s="1375" t="s">
        <v>1440</v>
      </c>
      <c r="I146" s="1412">
        <v>1.9780092592592592E-2</v>
      </c>
      <c r="J146" s="1412" t="s">
        <v>1000</v>
      </c>
      <c r="K146" s="1379">
        <v>41881</v>
      </c>
      <c r="L146" s="9">
        <v>126</v>
      </c>
      <c r="M146" s="8">
        <v>1.8159722222222219E-2</v>
      </c>
      <c r="N146" s="3">
        <v>1.0902777777777777E-2</v>
      </c>
      <c r="O146" s="3">
        <v>1.207175925925926E-2</v>
      </c>
      <c r="W146" s="1">
        <f t="shared" si="20"/>
        <v>2.7345044060161916E-4</v>
      </c>
      <c r="X146" s="1">
        <f t="shared" si="21"/>
        <v>-2.7345044060161916E-4</v>
      </c>
      <c r="Y146" s="9">
        <v>6</v>
      </c>
      <c r="Z146">
        <f t="shared" si="0"/>
        <v>36</v>
      </c>
      <c r="AB146" s="1">
        <f t="shared" si="23"/>
        <v>1.3194444444444425E-3</v>
      </c>
      <c r="AC146" s="1"/>
      <c r="AE146" s="1"/>
      <c r="AF146" s="1"/>
    </row>
    <row r="147" spans="1:32" x14ac:dyDescent="0.2">
      <c r="A147">
        <v>612</v>
      </c>
      <c r="B147" s="27" t="s">
        <v>4986</v>
      </c>
      <c r="C147" s="415" t="s">
        <v>9178</v>
      </c>
      <c r="D147" s="24">
        <f>Runners!P1000</f>
        <v>1</v>
      </c>
      <c r="E147" s="183">
        <f>Runners!P999</f>
        <v>1</v>
      </c>
      <c r="F147" s="1411" t="s">
        <v>4584</v>
      </c>
      <c r="G147" s="1412">
        <v>2.0416666666666666E-2</v>
      </c>
      <c r="H147" s="1371"/>
      <c r="I147" s="1412"/>
      <c r="J147" s="1412" t="s">
        <v>4584</v>
      </c>
      <c r="K147" s="1379">
        <v>43127</v>
      </c>
      <c r="L147" s="1398">
        <v>383</v>
      </c>
      <c r="M147" s="8">
        <v>2.1354166666666664E-2</v>
      </c>
      <c r="N147" s="3">
        <v>1.1527777777777777E-2</v>
      </c>
      <c r="O147" s="3">
        <v>1.2789351851851852E-2</v>
      </c>
      <c r="W147" s="1">
        <f t="shared" si="20"/>
        <v>-3.5154955939838139E-4</v>
      </c>
      <c r="X147" s="1">
        <f t="shared" si="21"/>
        <v>3.5154955939838139E-4</v>
      </c>
      <c r="Y147" s="9"/>
      <c r="AB147" s="1">
        <f t="shared" si="23"/>
        <v>1.9444444444444431E-3</v>
      </c>
      <c r="AC147" s="1"/>
      <c r="AE147" s="1"/>
      <c r="AF147" s="1"/>
    </row>
    <row r="148" spans="1:32" x14ac:dyDescent="0.2">
      <c r="A148">
        <v>419</v>
      </c>
      <c r="B148" s="27" t="s">
        <v>907</v>
      </c>
      <c r="C148" s="74" t="s">
        <v>2109</v>
      </c>
      <c r="D148" s="24">
        <f>Runners!J1289</f>
        <v>3</v>
      </c>
      <c r="E148" s="183">
        <f>Runners!J1288</f>
        <v>3</v>
      </c>
      <c r="F148" s="1415" t="s">
        <v>1000</v>
      </c>
      <c r="G148" s="1412">
        <v>1.9375E-2</v>
      </c>
      <c r="H148" s="1371"/>
      <c r="I148" s="1412"/>
      <c r="J148" s="1412" t="s">
        <v>5061</v>
      </c>
      <c r="K148" s="1379">
        <v>42028</v>
      </c>
      <c r="L148" s="9">
        <v>151</v>
      </c>
      <c r="M148" s="8">
        <v>1.9004629629629632E-2</v>
      </c>
      <c r="N148" s="3">
        <v>1.064814814814815E-2</v>
      </c>
      <c r="O148" s="3">
        <v>1.2164351851851852E-2</v>
      </c>
      <c r="Q148" s="103" t="s">
        <v>2107</v>
      </c>
      <c r="R148" s="329"/>
      <c r="U148" s="53"/>
      <c r="W148" s="1">
        <f t="shared" si="20"/>
        <v>5.2808007023124638E-4</v>
      </c>
      <c r="X148" s="1">
        <f t="shared" si="21"/>
        <v>-5.2808007023124638E-4</v>
      </c>
      <c r="Y148" s="9">
        <v>28</v>
      </c>
      <c r="Z148">
        <f t="shared" si="0"/>
        <v>784</v>
      </c>
      <c r="AB148" s="1">
        <f t="shared" si="23"/>
        <v>1.0648148148148153E-3</v>
      </c>
      <c r="AC148" s="1"/>
      <c r="AE148" s="1"/>
      <c r="AF148" s="1"/>
    </row>
    <row r="149" spans="1:32" x14ac:dyDescent="0.2">
      <c r="A149">
        <v>2387</v>
      </c>
      <c r="B149" s="493" t="s">
        <v>13417</v>
      </c>
      <c r="C149" s="415" t="s">
        <v>13418</v>
      </c>
      <c r="D149" s="24">
        <f>Runners!J579</f>
        <v>1</v>
      </c>
      <c r="E149" s="183">
        <f>Runners!J578</f>
        <v>1</v>
      </c>
      <c r="F149" s="1415" t="s">
        <v>13419</v>
      </c>
      <c r="G149" s="1412">
        <v>1.726851851851852E-2</v>
      </c>
      <c r="H149" s="1371"/>
      <c r="I149" s="1412"/>
      <c r="J149" s="1432" t="s">
        <v>13419</v>
      </c>
      <c r="K149" s="1379">
        <v>43687</v>
      </c>
      <c r="M149" s="8">
        <v>2.0069444444444442E-2</v>
      </c>
      <c r="N149" s="3">
        <v>1.1481481481481483E-2</v>
      </c>
      <c r="O149" s="3">
        <v>1.4513888888888889E-2</v>
      </c>
      <c r="Q149" s="1474"/>
      <c r="R149" s="1372"/>
      <c r="U149" s="53"/>
      <c r="W149" s="1">
        <f t="shared" si="20"/>
        <v>-3.0525326310208711E-4</v>
      </c>
      <c r="X149" s="1">
        <f t="shared" si="21"/>
        <v>3.0525326310208711E-4</v>
      </c>
      <c r="Y149" s="9"/>
      <c r="AB149" s="1">
        <f t="shared" si="23"/>
        <v>1.8981481481481488E-3</v>
      </c>
      <c r="AC149" s="1"/>
      <c r="AE149" s="1"/>
      <c r="AF149" s="1"/>
    </row>
    <row r="150" spans="1:32" x14ac:dyDescent="0.2">
      <c r="A150">
        <v>1636</v>
      </c>
      <c r="B150" s="493" t="s">
        <v>16469</v>
      </c>
      <c r="C150" s="415" t="s">
        <v>16470</v>
      </c>
      <c r="D150" s="24">
        <f>Runners!K1304</f>
        <v>1</v>
      </c>
      <c r="E150" s="183">
        <f>Runners!K1303</f>
        <v>1</v>
      </c>
      <c r="F150" s="1415" t="s">
        <v>1000</v>
      </c>
      <c r="G150" s="1412">
        <v>2.3773148148148151E-2</v>
      </c>
      <c r="H150" s="1371"/>
      <c r="I150" s="1412"/>
      <c r="J150" s="1432" t="s">
        <v>1000</v>
      </c>
      <c r="K150" s="1379">
        <v>43831</v>
      </c>
      <c r="Q150" s="1474"/>
      <c r="R150" s="1372"/>
      <c r="U150" s="53"/>
      <c r="W150" s="1"/>
      <c r="X150" s="1"/>
      <c r="Y150" s="9"/>
      <c r="AB150" s="1"/>
      <c r="AC150" s="1"/>
      <c r="AE150" s="1"/>
      <c r="AF150" s="1"/>
    </row>
    <row r="151" spans="1:32" x14ac:dyDescent="0.2">
      <c r="A151">
        <v>398</v>
      </c>
      <c r="B151" s="552" t="s">
        <v>2315</v>
      </c>
      <c r="C151" s="532" t="s">
        <v>4833</v>
      </c>
      <c r="D151" s="531">
        <f>Runners!J1073</f>
        <v>3</v>
      </c>
      <c r="E151" s="541">
        <f>Runners!J1072</f>
        <v>3</v>
      </c>
      <c r="F151" s="1415" t="s">
        <v>2725</v>
      </c>
      <c r="G151" s="1412">
        <v>2.0775462962962964E-2</v>
      </c>
      <c r="H151" s="1371"/>
      <c r="I151" s="1412"/>
      <c r="J151" s="1432" t="s">
        <v>2725</v>
      </c>
      <c r="K151" s="1379">
        <v>43701</v>
      </c>
      <c r="M151" s="8">
        <v>1.9247685185185184E-2</v>
      </c>
      <c r="N151" s="3">
        <v>1.0324074074074074E-2</v>
      </c>
      <c r="O151" s="3">
        <v>1.1956018518518517E-2</v>
      </c>
      <c r="Q151" s="635" t="s">
        <v>10515</v>
      </c>
      <c r="R151" s="982"/>
      <c r="S151" s="530"/>
      <c r="T151" s="530"/>
      <c r="U151" s="53"/>
      <c r="W151" s="1">
        <f>$N$700-N151</f>
        <v>8.5215414430532196E-4</v>
      </c>
      <c r="X151" s="1">
        <f>N151-$N$700</f>
        <v>-8.5215414430532196E-4</v>
      </c>
      <c r="Y151" s="9"/>
      <c r="AB151" s="1">
        <f t="shared" si="23"/>
        <v>7.4074074074073973E-4</v>
      </c>
      <c r="AC151" s="1"/>
      <c r="AE151" s="1"/>
      <c r="AF151" s="1"/>
    </row>
    <row r="152" spans="1:32" x14ac:dyDescent="0.2">
      <c r="A152">
        <v>961</v>
      </c>
      <c r="B152" s="27" t="s">
        <v>1352</v>
      </c>
      <c r="C152" s="415" t="s">
        <v>16471</v>
      </c>
      <c r="D152" s="24">
        <f>Runners!J216</f>
        <v>2</v>
      </c>
      <c r="E152" s="183">
        <f>Runners!J215</f>
        <v>2</v>
      </c>
      <c r="F152" s="1411" t="s">
        <v>1000</v>
      </c>
      <c r="G152" s="1412">
        <v>1.7777777777777778E-2</v>
      </c>
      <c r="H152" s="1371"/>
      <c r="I152" s="1412"/>
      <c r="J152" s="1412" t="s">
        <v>1000</v>
      </c>
      <c r="K152" s="1379">
        <v>42224</v>
      </c>
      <c r="L152" s="9">
        <v>191</v>
      </c>
      <c r="M152" s="8">
        <v>1.9594907407407405E-2</v>
      </c>
      <c r="N152" s="3">
        <v>1.0787037037037038E-2</v>
      </c>
      <c r="O152" s="3">
        <v>1.2465277777777777E-2</v>
      </c>
      <c r="Q152" s="53"/>
      <c r="R152" s="5"/>
      <c r="U152" s="53"/>
      <c r="W152" s="1">
        <f>$N$700-N152</f>
        <v>3.8919118134235833E-4</v>
      </c>
      <c r="X152" s="1">
        <f>N152-$N$700</f>
        <v>-3.8919118134235833E-4</v>
      </c>
      <c r="Y152" s="9">
        <v>16</v>
      </c>
      <c r="Z152">
        <f t="shared" si="0"/>
        <v>256</v>
      </c>
      <c r="AB152" s="1">
        <f t="shared" si="23"/>
        <v>1.2037037037037034E-3</v>
      </c>
      <c r="AC152" s="1"/>
      <c r="AE152" s="1"/>
      <c r="AF152" s="1"/>
    </row>
    <row r="153" spans="1:32" x14ac:dyDescent="0.2">
      <c r="A153">
        <v>1300</v>
      </c>
      <c r="B153" s="556" t="s">
        <v>9740</v>
      </c>
      <c r="C153" s="532" t="s">
        <v>9738</v>
      </c>
      <c r="D153" s="531">
        <f>Runners!K216</f>
        <v>1</v>
      </c>
      <c r="E153" s="541">
        <f>Runners!K215</f>
        <v>1</v>
      </c>
      <c r="F153" s="1415" t="s">
        <v>4778</v>
      </c>
      <c r="G153" s="1412">
        <v>2.6331018518518517E-2</v>
      </c>
      <c r="H153" s="1371"/>
      <c r="I153" s="1412"/>
      <c r="J153" s="1432" t="s">
        <v>4778</v>
      </c>
      <c r="K153" s="1379">
        <v>43295</v>
      </c>
      <c r="L153" s="1398">
        <v>424</v>
      </c>
      <c r="M153" s="8">
        <v>1.9907407407407408E-2</v>
      </c>
      <c r="N153" s="3">
        <v>1.230324074074074E-2</v>
      </c>
      <c r="O153" s="3">
        <v>1.2881944444444446E-2</v>
      </c>
      <c r="P153" s="80" t="s">
        <v>1212</v>
      </c>
      <c r="Q153" s="53" t="s">
        <v>9741</v>
      </c>
      <c r="R153" s="5"/>
      <c r="U153" s="53"/>
      <c r="W153" s="1">
        <f>$N$700-N153</f>
        <v>-1.1270125223613436E-3</v>
      </c>
      <c r="X153" s="1">
        <f>N153-$N$700</f>
        <v>1.1270125223613436E-3</v>
      </c>
      <c r="Y153" s="9"/>
      <c r="AB153" s="1">
        <f t="shared" si="23"/>
        <v>2.7199074074074053E-3</v>
      </c>
      <c r="AC153" s="1"/>
      <c r="AE153" s="1"/>
      <c r="AF153" s="1"/>
    </row>
    <row r="154" spans="1:32" x14ac:dyDescent="0.2">
      <c r="A154">
        <v>471</v>
      </c>
      <c r="B154" s="27" t="s">
        <v>8689</v>
      </c>
      <c r="C154" s="415" t="s">
        <v>8690</v>
      </c>
      <c r="D154" s="24">
        <f>Runners!P1271</f>
        <v>2</v>
      </c>
      <c r="E154" s="183">
        <f>Runners!P1270</f>
        <v>2</v>
      </c>
      <c r="F154" s="1415" t="s">
        <v>909</v>
      </c>
      <c r="G154" s="1412">
        <v>2.1724537037037039E-2</v>
      </c>
      <c r="H154" s="1370" t="s">
        <v>5894</v>
      </c>
      <c r="I154" s="1412">
        <v>2.1712962962962962E-2</v>
      </c>
      <c r="J154" s="1432" t="s">
        <v>5061</v>
      </c>
      <c r="K154" s="1384">
        <v>43022</v>
      </c>
      <c r="L154" s="1398">
        <v>367</v>
      </c>
      <c r="M154" s="8">
        <v>2.056712962962963E-2</v>
      </c>
      <c r="N154" s="3">
        <v>1.1516203703703702E-2</v>
      </c>
      <c r="O154" s="3">
        <v>1.298611111111111E-2</v>
      </c>
      <c r="Q154" s="53"/>
      <c r="R154" s="5"/>
      <c r="U154" s="53"/>
      <c r="W154" s="1">
        <f>$N$700-N154</f>
        <v>-3.3997548532430609E-4</v>
      </c>
      <c r="X154" s="1">
        <f>N154-$N$700</f>
        <v>3.3997548532430609E-4</v>
      </c>
      <c r="Y154" s="9"/>
      <c r="AB154" s="1">
        <f t="shared" si="23"/>
        <v>1.9328703703703678E-3</v>
      </c>
      <c r="AC154" s="1"/>
      <c r="AE154" s="1"/>
      <c r="AF154" s="1"/>
    </row>
    <row r="155" spans="1:32" x14ac:dyDescent="0.2">
      <c r="A155">
        <v>1053</v>
      </c>
      <c r="B155" s="27" t="s">
        <v>4597</v>
      </c>
      <c r="C155" s="74" t="s">
        <v>2045</v>
      </c>
      <c r="D155" s="24">
        <f>Runners!T957</f>
        <v>4</v>
      </c>
      <c r="E155" s="183">
        <f>Runners!T956</f>
        <v>15</v>
      </c>
      <c r="F155" s="1411" t="s">
        <v>1000</v>
      </c>
      <c r="G155" s="1412">
        <v>1.8101851851851852E-2</v>
      </c>
      <c r="H155" s="1410" t="s">
        <v>1062</v>
      </c>
      <c r="I155" s="1412">
        <v>2.5057870370370373E-2</v>
      </c>
      <c r="J155" s="1476" t="s">
        <v>1000</v>
      </c>
      <c r="K155" s="1379">
        <v>42000</v>
      </c>
      <c r="L155" s="9">
        <v>149</v>
      </c>
      <c r="M155" s="8">
        <v>1.9259259259259261E-2</v>
      </c>
      <c r="N155" s="3">
        <v>1.1655092592592594E-2</v>
      </c>
      <c r="O155" s="3">
        <v>1.2858796296296297E-2</v>
      </c>
      <c r="Q155" s="53"/>
      <c r="R155" s="5"/>
      <c r="U155" s="53"/>
      <c r="W155" s="1">
        <f>$N$700-N155</f>
        <v>-4.7886437421319761E-4</v>
      </c>
      <c r="X155" s="1">
        <f>N155-$N$700</f>
        <v>4.7886437421319761E-4</v>
      </c>
      <c r="Y155" s="9">
        <v>59</v>
      </c>
      <c r="Z155">
        <f t="shared" si="0"/>
        <v>3481</v>
      </c>
      <c r="AB155" s="1">
        <f t="shared" si="23"/>
        <v>2.0717592592592593E-3</v>
      </c>
      <c r="AC155" s="1"/>
      <c r="AE155" s="1"/>
      <c r="AF155" s="1"/>
    </row>
    <row r="156" spans="1:32" x14ac:dyDescent="0.2">
      <c r="A156">
        <v>2449</v>
      </c>
      <c r="B156" s="493" t="s">
        <v>5309</v>
      </c>
      <c r="C156" s="415" t="s">
        <v>15935</v>
      </c>
      <c r="D156" s="24">
        <f>Runners!H1138</f>
        <v>1</v>
      </c>
      <c r="E156" s="183">
        <f>Runners!H1137</f>
        <v>1</v>
      </c>
      <c r="F156" s="1415" t="s">
        <v>1000</v>
      </c>
      <c r="G156" s="1412">
        <v>2.2025462962962958E-2</v>
      </c>
      <c r="H156" s="1410"/>
      <c r="I156" s="1412"/>
      <c r="J156" s="1476" t="s">
        <v>1000</v>
      </c>
      <c r="K156" s="1379">
        <v>43775</v>
      </c>
      <c r="Q156" s="53"/>
      <c r="R156" s="1718"/>
      <c r="U156" s="53"/>
      <c r="W156" s="1"/>
      <c r="X156" s="1"/>
      <c r="Y156" s="9"/>
      <c r="AB156" s="1"/>
      <c r="AC156" s="1"/>
      <c r="AE156" s="1"/>
      <c r="AF156" s="1"/>
    </row>
    <row r="157" spans="1:32" x14ac:dyDescent="0.2">
      <c r="A157">
        <v>2167</v>
      </c>
      <c r="B157" s="493" t="s">
        <v>15322</v>
      </c>
      <c r="C157" s="415" t="s">
        <v>16461</v>
      </c>
      <c r="D157" s="24">
        <f>Runners!N1165</f>
        <v>1</v>
      </c>
      <c r="E157" s="183">
        <f>Runners!N1164</f>
        <v>1</v>
      </c>
      <c r="F157" s="1411"/>
      <c r="G157" s="1412"/>
      <c r="H157" s="1375" t="s">
        <v>1440</v>
      </c>
      <c r="I157" s="1412">
        <v>1.9733796296296298E-2</v>
      </c>
      <c r="J157" s="1414" t="s">
        <v>1440</v>
      </c>
      <c r="K157" s="1379">
        <v>43701</v>
      </c>
      <c r="M157" s="8">
        <v>2.297453703703704E-2</v>
      </c>
      <c r="N157" s="3">
        <v>1.2453703703703703E-2</v>
      </c>
      <c r="O157" s="3">
        <v>1.4895833333333332E-2</v>
      </c>
      <c r="Q157" s="53"/>
      <c r="R157" s="1657"/>
      <c r="U157" s="53"/>
      <c r="W157" s="1">
        <f t="shared" ref="W157:W166" si="24">$N$700-N157</f>
        <v>-1.2774754853243069E-3</v>
      </c>
      <c r="X157" s="1">
        <f t="shared" ref="X157:X166" si="25">N157-$N$700</f>
        <v>1.2774754853243069E-3</v>
      </c>
      <c r="Y157" s="9"/>
      <c r="AB157" s="1">
        <f t="shared" si="23"/>
        <v>2.8703703703703686E-3</v>
      </c>
      <c r="AC157" s="1"/>
      <c r="AE157" s="1"/>
      <c r="AF157" s="1"/>
    </row>
    <row r="158" spans="1:32" x14ac:dyDescent="0.2">
      <c r="A158">
        <v>2453</v>
      </c>
      <c r="B158" s="493" t="s">
        <v>16413</v>
      </c>
      <c r="C158" s="415" t="s">
        <v>16459</v>
      </c>
      <c r="D158" s="24">
        <f>Runners!O1165</f>
        <v>1</v>
      </c>
      <c r="E158" s="183">
        <f>Runners!O1164</f>
        <v>2</v>
      </c>
      <c r="F158" s="1411"/>
      <c r="G158" s="1412"/>
      <c r="H158" s="1375" t="s">
        <v>1440</v>
      </c>
      <c r="I158" s="1412">
        <v>2.0219907407407409E-2</v>
      </c>
      <c r="J158" s="1414" t="s">
        <v>1440</v>
      </c>
      <c r="K158" s="1379">
        <v>43827</v>
      </c>
      <c r="M158" s="8">
        <v>2.5451388888888888E-2</v>
      </c>
      <c r="N158" s="3">
        <v>1.2812499999999999E-2</v>
      </c>
      <c r="O158" s="3">
        <v>1.4305555555555557E-2</v>
      </c>
      <c r="P158" s="80" t="s">
        <v>16415</v>
      </c>
      <c r="Q158" s="53"/>
      <c r="R158" s="1795"/>
      <c r="U158" s="53"/>
      <c r="W158" s="1">
        <f t="shared" si="24"/>
        <v>-1.6362717816206032E-3</v>
      </c>
      <c r="X158" s="1">
        <f t="shared" si="25"/>
        <v>1.6362717816206032E-3</v>
      </c>
      <c r="Y158" s="9"/>
      <c r="AB158" s="1">
        <f t="shared" si="23"/>
        <v>3.2291666666666649E-3</v>
      </c>
      <c r="AC158" s="1"/>
      <c r="AE158" s="1"/>
      <c r="AF158" s="1"/>
    </row>
    <row r="159" spans="1:32" x14ac:dyDescent="0.2">
      <c r="A159">
        <v>237</v>
      </c>
      <c r="B159" s="568" t="s">
        <v>8361</v>
      </c>
      <c r="C159" s="568" t="s">
        <v>5910</v>
      </c>
      <c r="D159" s="585"/>
      <c r="E159" s="1002"/>
      <c r="F159" s="6"/>
      <c r="H159" s="206"/>
      <c r="J159" s="32"/>
      <c r="K159" s="34"/>
      <c r="M159" s="8">
        <v>1.8888888888888889E-2</v>
      </c>
      <c r="N159" s="3">
        <v>1.0729166666666666E-2</v>
      </c>
      <c r="O159" s="3">
        <v>1.2280092592592592E-2</v>
      </c>
      <c r="Q159" s="53"/>
      <c r="R159" s="5"/>
      <c r="U159" s="53"/>
      <c r="W159" s="1">
        <f t="shared" si="24"/>
        <v>4.4706155171272965E-4</v>
      </c>
      <c r="X159" s="1">
        <f t="shared" si="25"/>
        <v>-4.4706155171272965E-4</v>
      </c>
      <c r="Y159" s="9"/>
      <c r="AB159" s="1">
        <f t="shared" si="23"/>
        <v>1.145833333333332E-3</v>
      </c>
      <c r="AC159" s="1"/>
      <c r="AE159" s="1"/>
      <c r="AF159" s="1"/>
    </row>
    <row r="160" spans="1:32" x14ac:dyDescent="0.2">
      <c r="A160">
        <v>448</v>
      </c>
      <c r="B160" s="27" t="s">
        <v>2663</v>
      </c>
      <c r="C160" s="74" t="s">
        <v>2662</v>
      </c>
      <c r="D160" s="24">
        <f>Runners!Q1000</f>
        <v>1</v>
      </c>
      <c r="E160" s="183">
        <f>Runners!Q999</f>
        <v>1</v>
      </c>
      <c r="F160" s="6" t="s">
        <v>654</v>
      </c>
      <c r="G160" s="1">
        <v>1.9629629629629629E-2</v>
      </c>
      <c r="J160" s="1" t="s">
        <v>654</v>
      </c>
      <c r="K160" s="34">
        <v>41706</v>
      </c>
      <c r="L160" s="9">
        <v>92</v>
      </c>
      <c r="M160" s="8">
        <v>1.9421296296296294E-2</v>
      </c>
      <c r="N160" s="3">
        <v>1.064814814814815E-2</v>
      </c>
      <c r="O160" s="3">
        <v>1.2164351851851852E-2</v>
      </c>
      <c r="Q160" s="53"/>
      <c r="U160" s="53"/>
      <c r="W160" s="1">
        <f t="shared" si="24"/>
        <v>5.2808007023124638E-4</v>
      </c>
      <c r="X160" s="1">
        <f t="shared" si="25"/>
        <v>-5.2808007023124638E-4</v>
      </c>
      <c r="Y160" s="9">
        <v>28</v>
      </c>
      <c r="Z160">
        <f t="shared" si="0"/>
        <v>784</v>
      </c>
      <c r="AB160" s="1">
        <f t="shared" si="23"/>
        <v>1.0648148148148153E-3</v>
      </c>
      <c r="AC160" s="1"/>
      <c r="AE160" s="1"/>
      <c r="AF160" s="1"/>
    </row>
    <row r="161" spans="1:32" x14ac:dyDescent="0.2">
      <c r="A161">
        <v>2079</v>
      </c>
      <c r="B161" s="27" t="s">
        <v>12069</v>
      </c>
      <c r="C161" s="415" t="s">
        <v>12070</v>
      </c>
      <c r="D161" s="24">
        <f>Runners!Q1354</f>
        <v>2</v>
      </c>
      <c r="E161" s="183">
        <f>Runners!Q1353</f>
        <v>4</v>
      </c>
      <c r="F161" s="6" t="s">
        <v>909</v>
      </c>
      <c r="G161" s="1" t="s">
        <v>1212</v>
      </c>
      <c r="H161" t="s">
        <v>5894</v>
      </c>
      <c r="J161" s="1" t="s">
        <v>5061</v>
      </c>
      <c r="K161" s="34">
        <v>43533</v>
      </c>
      <c r="L161" s="1398">
        <v>477</v>
      </c>
      <c r="M161" s="8">
        <v>2.3622685185185188E-2</v>
      </c>
      <c r="N161" s="3">
        <v>1.2407407407407409E-2</v>
      </c>
      <c r="O161" s="3">
        <v>1.4143518518518519E-2</v>
      </c>
      <c r="Q161" s="53"/>
      <c r="U161" s="53"/>
      <c r="W161" s="1">
        <f t="shared" si="24"/>
        <v>-1.2311791890280126E-3</v>
      </c>
      <c r="X161" s="1">
        <f t="shared" si="25"/>
        <v>1.2311791890280126E-3</v>
      </c>
      <c r="Y161" s="9"/>
      <c r="AB161" s="1">
        <f t="shared" si="23"/>
        <v>2.8240740740740743E-3</v>
      </c>
      <c r="AC161" s="1"/>
      <c r="AE161" s="1"/>
      <c r="AF161" s="1"/>
    </row>
    <row r="162" spans="1:32" x14ac:dyDescent="0.2">
      <c r="A162">
        <v>2116</v>
      </c>
      <c r="B162" s="27" t="s">
        <v>11095</v>
      </c>
      <c r="C162" s="415" t="s">
        <v>11096</v>
      </c>
      <c r="D162" s="24">
        <f>Runners!O1354</f>
        <v>1</v>
      </c>
      <c r="E162" s="183">
        <f>Runners!O1353</f>
        <v>1</v>
      </c>
      <c r="F162" s="6" t="s">
        <v>756</v>
      </c>
      <c r="G162" s="1">
        <v>1.9976851851851853E-2</v>
      </c>
      <c r="J162" s="1" t="s">
        <v>756</v>
      </c>
      <c r="K162" s="34">
        <v>43428</v>
      </c>
      <c r="L162" s="1398">
        <v>455</v>
      </c>
      <c r="M162" s="8">
        <v>2.6956018518518522E-2</v>
      </c>
      <c r="N162" s="3">
        <v>1.3506944444444445E-2</v>
      </c>
      <c r="O162" s="3">
        <v>1.5370370370370369E-2</v>
      </c>
      <c r="Q162" s="53"/>
      <c r="U162" s="53"/>
      <c r="W162" s="1">
        <f t="shared" si="24"/>
        <v>-2.3307162260650487E-3</v>
      </c>
      <c r="X162" s="1">
        <f t="shared" si="25"/>
        <v>2.3307162260650487E-3</v>
      </c>
      <c r="Y162" s="9"/>
      <c r="AB162" s="1">
        <f t="shared" si="23"/>
        <v>3.9236111111111104E-3</v>
      </c>
      <c r="AC162" s="1"/>
      <c r="AE162" s="1"/>
      <c r="AF162" s="1"/>
    </row>
    <row r="163" spans="1:32" x14ac:dyDescent="0.2">
      <c r="A163">
        <v>1962</v>
      </c>
      <c r="B163" s="493" t="s">
        <v>10430</v>
      </c>
      <c r="C163" s="415" t="s">
        <v>10431</v>
      </c>
      <c r="D163" s="24">
        <f>Runners!T1354</f>
        <v>1</v>
      </c>
      <c r="E163" s="183">
        <f>Runners!T1353</f>
        <v>1</v>
      </c>
      <c r="F163" s="79" t="s">
        <v>1000</v>
      </c>
      <c r="G163" s="1">
        <v>2.0254629629629629E-2</v>
      </c>
      <c r="J163" s="334" t="s">
        <v>1000</v>
      </c>
      <c r="K163" s="34">
        <v>43365</v>
      </c>
      <c r="L163" s="1398">
        <v>442</v>
      </c>
      <c r="M163" s="8">
        <v>2.6296296296296293E-2</v>
      </c>
      <c r="N163" s="3">
        <v>1.2025462962962962E-2</v>
      </c>
      <c r="O163" s="3">
        <v>1.5995370370370372E-2</v>
      </c>
      <c r="Q163" s="53"/>
      <c r="U163" s="53"/>
      <c r="W163" s="1">
        <f t="shared" si="24"/>
        <v>-8.4923474458356574E-4</v>
      </c>
      <c r="X163" s="1">
        <f t="shared" si="25"/>
        <v>8.4923474458356574E-4</v>
      </c>
      <c r="Y163" s="9"/>
      <c r="AB163" s="1">
        <f t="shared" si="23"/>
        <v>2.4421296296296274E-3</v>
      </c>
      <c r="AC163" s="1"/>
      <c r="AE163" s="1"/>
      <c r="AF163" s="1"/>
    </row>
    <row r="164" spans="1:32" x14ac:dyDescent="0.2">
      <c r="A164">
        <v>593</v>
      </c>
      <c r="B164" s="27" t="s">
        <v>5309</v>
      </c>
      <c r="C164" s="74" t="s">
        <v>4421</v>
      </c>
      <c r="D164" s="24">
        <f>Runners!L1304</f>
        <v>1</v>
      </c>
      <c r="E164" s="183">
        <f>Runners!L1303</f>
        <v>1</v>
      </c>
      <c r="F164" s="6" t="s">
        <v>1000</v>
      </c>
      <c r="G164" s="1">
        <v>1.7245370370370369E-2</v>
      </c>
      <c r="J164" s="32" t="s">
        <v>1000</v>
      </c>
      <c r="K164" s="34">
        <v>41636</v>
      </c>
      <c r="L164" s="9">
        <v>84</v>
      </c>
      <c r="M164" s="8">
        <v>2.1273148148148149E-2</v>
      </c>
      <c r="N164" s="3">
        <v>1.1087962962962964E-2</v>
      </c>
      <c r="O164" s="3">
        <v>1.3321759259259261E-2</v>
      </c>
      <c r="Q164" s="53"/>
      <c r="U164" s="53"/>
      <c r="W164" s="1">
        <f t="shared" si="24"/>
        <v>8.8265255416431626E-5</v>
      </c>
      <c r="X164" s="1">
        <f t="shared" si="25"/>
        <v>-8.8265255416431626E-5</v>
      </c>
      <c r="Y164" s="9">
        <v>10</v>
      </c>
      <c r="Z164">
        <f t="shared" si="0"/>
        <v>100</v>
      </c>
      <c r="AB164" s="1">
        <f t="shared" si="23"/>
        <v>1.5046296296296301E-3</v>
      </c>
      <c r="AC164" s="1"/>
      <c r="AE164" s="1"/>
      <c r="AF164" s="1"/>
    </row>
    <row r="165" spans="1:32" x14ac:dyDescent="0.2">
      <c r="A165">
        <v>518</v>
      </c>
      <c r="B165" s="27" t="s">
        <v>2808</v>
      </c>
      <c r="C165" s="74" t="s">
        <v>2542</v>
      </c>
      <c r="D165" s="24">
        <f>Runners!T374</f>
        <v>3</v>
      </c>
      <c r="E165" s="183">
        <f>Runners!T373</f>
        <v>3</v>
      </c>
      <c r="F165" s="79" t="s">
        <v>5881</v>
      </c>
      <c r="G165" s="1">
        <v>1.4606481481481482E-2</v>
      </c>
      <c r="J165" s="32" t="s">
        <v>1000</v>
      </c>
      <c r="K165" s="34">
        <v>42182</v>
      </c>
      <c r="L165" s="9">
        <v>180</v>
      </c>
      <c r="M165" s="8">
        <v>2.0081018518518519E-2</v>
      </c>
      <c r="N165" s="3">
        <v>1.1377314814814814E-2</v>
      </c>
      <c r="O165" s="3">
        <v>1.275462962962963E-2</v>
      </c>
      <c r="Q165" s="53"/>
      <c r="U165" s="53"/>
      <c r="W165" s="1">
        <f t="shared" si="24"/>
        <v>-2.0108659643541804E-4</v>
      </c>
      <c r="X165" s="1">
        <f t="shared" si="25"/>
        <v>2.0108659643541804E-4</v>
      </c>
      <c r="Y165" s="9">
        <v>35</v>
      </c>
      <c r="Z165">
        <f t="shared" si="0"/>
        <v>1225</v>
      </c>
      <c r="AB165" s="1">
        <f t="shared" si="23"/>
        <v>1.7939814814814797E-3</v>
      </c>
      <c r="AC165" s="1"/>
      <c r="AE165" s="1"/>
      <c r="AF165" s="1"/>
    </row>
    <row r="166" spans="1:32" x14ac:dyDescent="0.2">
      <c r="A166">
        <v>2026</v>
      </c>
      <c r="B166" s="552" t="s">
        <v>10185</v>
      </c>
      <c r="C166" s="531" t="s">
        <v>10192</v>
      </c>
      <c r="D166" s="1333">
        <f>Runners!Q309</f>
        <v>19</v>
      </c>
      <c r="E166" s="541">
        <f>Runners!Q308</f>
        <v>29</v>
      </c>
      <c r="F166" s="79" t="s">
        <v>1270</v>
      </c>
      <c r="G166" s="1">
        <v>1.4675925925925926E-2</v>
      </c>
      <c r="H166" s="80" t="s">
        <v>5241</v>
      </c>
      <c r="I166" s="1">
        <v>1.5833333333333335E-2</v>
      </c>
      <c r="J166" s="334" t="s">
        <v>1270</v>
      </c>
      <c r="K166" s="34">
        <v>43295</v>
      </c>
      <c r="L166" s="1398">
        <v>419</v>
      </c>
      <c r="M166" s="8">
        <v>2.1435185185185186E-2</v>
      </c>
      <c r="N166" s="3">
        <v>1.1446759259259261E-2</v>
      </c>
      <c r="O166" s="3">
        <v>1.2546296296296297E-2</v>
      </c>
      <c r="Q166" s="53"/>
      <c r="U166" s="53"/>
      <c r="W166" s="1">
        <f t="shared" si="24"/>
        <v>-2.7053104087986467E-4</v>
      </c>
      <c r="X166" s="1">
        <f t="shared" si="25"/>
        <v>2.7053104087986467E-4</v>
      </c>
      <c r="Y166" s="9"/>
      <c r="AB166" s="1">
        <f t="shared" si="23"/>
        <v>1.8634259259259264E-3</v>
      </c>
      <c r="AC166" s="1"/>
      <c r="AE166" s="1"/>
      <c r="AF166" s="1"/>
    </row>
    <row r="167" spans="1:32" x14ac:dyDescent="0.2">
      <c r="A167">
        <v>2059</v>
      </c>
      <c r="B167" s="552" t="s">
        <v>10543</v>
      </c>
      <c r="C167" s="531" t="s">
        <v>10542</v>
      </c>
      <c r="D167" s="511">
        <f>Runners!U957</f>
        <v>4</v>
      </c>
      <c r="E167" s="541">
        <f>Runners!U956</f>
        <v>4</v>
      </c>
      <c r="F167" s="79" t="s">
        <v>5096</v>
      </c>
      <c r="G167" s="1">
        <v>1.4895833333333332E-2</v>
      </c>
      <c r="H167" s="1091" t="s">
        <v>9553</v>
      </c>
      <c r="I167" s="1">
        <v>1.8206018518518517E-2</v>
      </c>
      <c r="J167" s="334" t="s">
        <v>1062</v>
      </c>
      <c r="K167" s="34">
        <v>43344</v>
      </c>
      <c r="L167" s="1398">
        <v>437</v>
      </c>
      <c r="M167" s="8">
        <v>2.0231481481481482E-2</v>
      </c>
      <c r="N167" s="3">
        <v>1.1076388888888887E-2</v>
      </c>
      <c r="O167" s="3">
        <v>1.2569444444444446E-2</v>
      </c>
      <c r="Q167" s="53"/>
      <c r="U167" s="53"/>
      <c r="W167" s="1"/>
      <c r="X167" s="1"/>
      <c r="Y167" s="9"/>
      <c r="AB167" s="1"/>
      <c r="AC167" s="1"/>
      <c r="AE167" s="1"/>
      <c r="AF167" s="1"/>
    </row>
    <row r="168" spans="1:32" x14ac:dyDescent="0.2">
      <c r="A168">
        <v>1388</v>
      </c>
      <c r="B168" s="568" t="s">
        <v>12659</v>
      </c>
      <c r="C168" s="568" t="s">
        <v>12660</v>
      </c>
      <c r="D168" s="518"/>
      <c r="E168" s="1002"/>
      <c r="F168" s="79"/>
      <c r="H168" s="1118"/>
      <c r="J168" s="334"/>
      <c r="K168" s="34"/>
      <c r="L168" s="1398"/>
      <c r="Q168" s="635" t="s">
        <v>12661</v>
      </c>
      <c r="R168" s="530"/>
      <c r="U168" s="53"/>
      <c r="W168" s="1"/>
      <c r="X168" s="1"/>
      <c r="Y168" s="9"/>
      <c r="AB168" s="1"/>
      <c r="AC168" s="1"/>
      <c r="AE168" s="1"/>
      <c r="AF168" s="1"/>
    </row>
    <row r="169" spans="1:32" x14ac:dyDescent="0.2">
      <c r="A169">
        <v>1687</v>
      </c>
      <c r="B169" s="27" t="s">
        <v>8294</v>
      </c>
      <c r="C169" s="415" t="s">
        <v>8290</v>
      </c>
      <c r="D169" s="24">
        <f>Runners!K1289</f>
        <v>3</v>
      </c>
      <c r="E169" s="183">
        <f>Runners!K1288</f>
        <v>3</v>
      </c>
      <c r="F169" s="79" t="s">
        <v>909</v>
      </c>
      <c r="G169" s="1">
        <v>2.0011574074074074E-2</v>
      </c>
      <c r="H169" t="s">
        <v>5894</v>
      </c>
      <c r="I169" s="1">
        <v>2.0011574074074074E-2</v>
      </c>
      <c r="J169" s="334" t="s">
        <v>5061</v>
      </c>
      <c r="K169" s="34">
        <v>42952</v>
      </c>
      <c r="L169" s="9">
        <v>349</v>
      </c>
      <c r="M169" s="8">
        <v>2.0196759259259258E-2</v>
      </c>
      <c r="N169" s="3">
        <v>1.1504629629629629E-2</v>
      </c>
      <c r="O169" s="3">
        <v>1.1562499999999998E-2</v>
      </c>
      <c r="Q169" s="53"/>
      <c r="U169" s="53"/>
      <c r="W169" s="1">
        <f>$N$700-N169</f>
        <v>-3.2840141125023252E-4</v>
      </c>
      <c r="X169" s="1">
        <f>N169-$N$700</f>
        <v>3.2840141125023252E-4</v>
      </c>
      <c r="Y169" s="9"/>
      <c r="AB169" s="1">
        <f t="shared" si="23"/>
        <v>1.9212962962962942E-3</v>
      </c>
      <c r="AC169" s="1"/>
      <c r="AE169" s="1"/>
      <c r="AF169" s="1"/>
    </row>
    <row r="170" spans="1:32" x14ac:dyDescent="0.2">
      <c r="A170">
        <v>631</v>
      </c>
      <c r="B170" s="493" t="s">
        <v>11562</v>
      </c>
      <c r="C170" s="415" t="s">
        <v>17070</v>
      </c>
      <c r="D170" s="24">
        <f>Runners!J1048</f>
        <v>1</v>
      </c>
      <c r="E170" s="183">
        <f>Runners!J1047</f>
        <v>1</v>
      </c>
      <c r="F170" s="79"/>
      <c r="H170" s="80" t="s">
        <v>8441</v>
      </c>
      <c r="I170" s="1">
        <v>2.56712962962963E-2</v>
      </c>
      <c r="J170" s="334" t="s">
        <v>8441</v>
      </c>
      <c r="K170" s="34">
        <v>43484</v>
      </c>
      <c r="L170" s="1398">
        <v>464</v>
      </c>
      <c r="M170" s="8">
        <v>2.0127314814814817E-2</v>
      </c>
      <c r="N170" s="3">
        <v>1.1261574074074071E-2</v>
      </c>
      <c r="O170" s="3">
        <v>1.2581018518518519E-2</v>
      </c>
      <c r="Q170" s="53"/>
      <c r="U170" s="53"/>
      <c r="W170" s="1">
        <f>$N$700-N170</f>
        <v>-8.5345855694675399E-5</v>
      </c>
      <c r="X170" s="1">
        <f>N170-$N$700</f>
        <v>8.5345855694675399E-5</v>
      </c>
      <c r="Y170" s="9"/>
      <c r="AB170" s="1">
        <f t="shared" si="23"/>
        <v>1.6782407407407371E-3</v>
      </c>
      <c r="AC170" s="1"/>
      <c r="AE170" s="1"/>
      <c r="AF170" s="1"/>
    </row>
    <row r="171" spans="1:32" x14ac:dyDescent="0.2">
      <c r="A171">
        <v>2497</v>
      </c>
      <c r="B171" s="493" t="s">
        <v>17244</v>
      </c>
      <c r="C171" s="415" t="s">
        <v>17245</v>
      </c>
      <c r="D171" s="24">
        <f>Runners!K657</f>
        <v>1</v>
      </c>
      <c r="E171" s="183">
        <f>Runners!K656</f>
        <v>1</v>
      </c>
      <c r="F171" s="79"/>
      <c r="H171" s="80" t="s">
        <v>9805</v>
      </c>
      <c r="I171" s="1">
        <v>1.8067129629629631E-2</v>
      </c>
      <c r="J171" s="334" t="s">
        <v>17246</v>
      </c>
      <c r="K171" s="34">
        <v>43897</v>
      </c>
      <c r="L171" s="1398"/>
      <c r="M171" s="8">
        <v>2.7222222222222228E-2</v>
      </c>
      <c r="N171" s="3">
        <v>1.5300925925925926E-2</v>
      </c>
      <c r="O171" s="3">
        <v>1.6608796296296299E-2</v>
      </c>
      <c r="Q171" s="53"/>
      <c r="U171" s="53"/>
      <c r="W171" s="1"/>
      <c r="X171" s="1"/>
      <c r="Y171" s="9"/>
      <c r="AB171" s="1"/>
      <c r="AC171" s="1"/>
      <c r="AE171" s="1"/>
      <c r="AF171" s="1"/>
    </row>
    <row r="172" spans="1:32" x14ac:dyDescent="0.2">
      <c r="A172">
        <v>852</v>
      </c>
      <c r="B172" s="493" t="s">
        <v>4812</v>
      </c>
      <c r="C172" s="415" t="s">
        <v>6136</v>
      </c>
      <c r="D172" s="24">
        <f>Runners!K1073</f>
        <v>2</v>
      </c>
      <c r="E172" s="183">
        <f>Runners!K1072</f>
        <v>4</v>
      </c>
      <c r="F172" s="79" t="s">
        <v>298</v>
      </c>
      <c r="G172" s="1">
        <v>1.6342592592592593E-2</v>
      </c>
      <c r="H172" s="80" t="s">
        <v>5903</v>
      </c>
      <c r="I172" s="1">
        <v>1.8668981481481481E-2</v>
      </c>
      <c r="J172" s="334" t="s">
        <v>6140</v>
      </c>
      <c r="K172" s="34">
        <v>42728</v>
      </c>
      <c r="L172" s="9">
        <v>308</v>
      </c>
      <c r="M172" s="8">
        <v>1.9479166666666669E-2</v>
      </c>
      <c r="N172" s="3">
        <v>1.0775462962962964E-2</v>
      </c>
      <c r="O172" s="3">
        <v>1.275462962962963E-2</v>
      </c>
      <c r="Q172" s="53"/>
      <c r="U172" s="53"/>
      <c r="W172" s="1">
        <f>$N$700-N172</f>
        <v>4.007652554164319E-4</v>
      </c>
      <c r="X172" s="1">
        <f>N172-$N$700</f>
        <v>-4.007652554164319E-4</v>
      </c>
      <c r="Y172" s="9"/>
      <c r="AB172" s="1">
        <f t="shared" si="23"/>
        <v>1.1921296296296298E-3</v>
      </c>
      <c r="AC172" s="1"/>
      <c r="AE172" s="1"/>
      <c r="AF172" s="1"/>
    </row>
    <row r="173" spans="1:32" x14ac:dyDescent="0.2">
      <c r="A173">
        <v>1814</v>
      </c>
      <c r="B173" s="493" t="s">
        <v>15324</v>
      </c>
      <c r="C173" s="415" t="s">
        <v>15323</v>
      </c>
      <c r="D173" s="24">
        <f>Runners!I1165</f>
        <v>1</v>
      </c>
      <c r="E173" s="183">
        <f>Runners!I1164</f>
        <v>1</v>
      </c>
      <c r="F173" s="1415" t="s">
        <v>2628</v>
      </c>
      <c r="G173" s="1412">
        <v>1.5706018518518518E-2</v>
      </c>
      <c r="H173" s="1370"/>
      <c r="I173" s="1412"/>
      <c r="J173" s="1432" t="s">
        <v>2628</v>
      </c>
      <c r="K173" s="1379">
        <v>43701</v>
      </c>
      <c r="Q173" s="53"/>
      <c r="U173" s="53"/>
      <c r="W173" s="1"/>
      <c r="X173" s="1"/>
      <c r="Y173" s="9"/>
      <c r="AB173" s="1"/>
      <c r="AC173" s="1"/>
      <c r="AE173" s="1"/>
      <c r="AF173" s="1"/>
    </row>
    <row r="174" spans="1:32" x14ac:dyDescent="0.2">
      <c r="A174">
        <v>1630</v>
      </c>
      <c r="B174" s="556" t="s">
        <v>10892</v>
      </c>
      <c r="C174" s="532" t="s">
        <v>10893</v>
      </c>
      <c r="D174" s="531">
        <f>Runners!J1165</f>
        <v>2</v>
      </c>
      <c r="E174" s="541">
        <f>Runners!J1164</f>
        <v>2</v>
      </c>
      <c r="F174" s="79" t="s">
        <v>5882</v>
      </c>
      <c r="G174" s="1">
        <v>1.5983796296296295E-2</v>
      </c>
      <c r="H174" s="80"/>
      <c r="J174" s="334" t="s">
        <v>5882</v>
      </c>
      <c r="K174" s="34">
        <v>43400</v>
      </c>
      <c r="L174" s="1398">
        <v>448</v>
      </c>
      <c r="M174" s="8">
        <v>1.1018518518518518E-2</v>
      </c>
      <c r="N174" s="3">
        <v>1.3182870370370371E-2</v>
      </c>
      <c r="O174" s="3">
        <v>1.9942129629629629E-2</v>
      </c>
      <c r="Q174" s="53"/>
      <c r="U174" s="53"/>
      <c r="W174" s="1">
        <f t="shared" ref="W174:W185" si="26">$N$700-N174</f>
        <v>-2.0066421519909748E-3</v>
      </c>
      <c r="X174" s="1">
        <f t="shared" ref="X174:X185" si="27">N174-$N$700</f>
        <v>2.0066421519909748E-3</v>
      </c>
      <c r="Y174" s="9"/>
      <c r="AB174" s="1">
        <f t="shared" si="23"/>
        <v>3.5995370370370365E-3</v>
      </c>
      <c r="AC174" s="1"/>
      <c r="AE174" s="1"/>
      <c r="AF174" s="1"/>
    </row>
    <row r="175" spans="1:32" x14ac:dyDescent="0.2">
      <c r="A175">
        <v>1316</v>
      </c>
      <c r="B175" s="493" t="s">
        <v>8819</v>
      </c>
      <c r="C175" s="415" t="s">
        <v>8821</v>
      </c>
      <c r="D175" s="531">
        <f>Runners!L1165</f>
        <v>2</v>
      </c>
      <c r="E175" s="541">
        <f>Runners!L1164</f>
        <v>2</v>
      </c>
      <c r="F175" s="79" t="s">
        <v>8360</v>
      </c>
      <c r="G175" s="1">
        <v>1.4965277777777779E-2</v>
      </c>
      <c r="H175" s="80"/>
      <c r="J175" s="334" t="s">
        <v>8360</v>
      </c>
      <c r="K175" s="34">
        <v>43057</v>
      </c>
      <c r="L175" s="1398">
        <v>371</v>
      </c>
      <c r="M175" s="8">
        <v>2.0254629629629629E-2</v>
      </c>
      <c r="N175" s="3">
        <v>1.113425925925926E-2</v>
      </c>
      <c r="O175" s="3">
        <v>1.2152777777777778E-2</v>
      </c>
      <c r="Q175" s="53"/>
      <c r="U175" s="53"/>
      <c r="W175" s="1">
        <f t="shared" si="26"/>
        <v>4.196895912013561E-5</v>
      </c>
      <c r="X175" s="1">
        <f t="shared" si="27"/>
        <v>-4.196895912013561E-5</v>
      </c>
      <c r="Y175" s="9"/>
      <c r="AB175" s="1">
        <f t="shared" si="23"/>
        <v>1.5509259259259261E-3</v>
      </c>
      <c r="AC175" s="1"/>
      <c r="AE175" s="1"/>
      <c r="AF175" s="1"/>
    </row>
    <row r="176" spans="1:32" x14ac:dyDescent="0.2">
      <c r="A176">
        <v>1712</v>
      </c>
      <c r="B176" s="493" t="s">
        <v>15651</v>
      </c>
      <c r="C176" s="415" t="s">
        <v>15652</v>
      </c>
      <c r="D176" s="531">
        <f>Runners!M1165</f>
        <v>1</v>
      </c>
      <c r="E176" s="541">
        <f>Runners!M1164</f>
        <v>1</v>
      </c>
      <c r="F176" s="79" t="s">
        <v>756</v>
      </c>
      <c r="G176" s="1">
        <v>2.1030092592592597E-2</v>
      </c>
      <c r="H176" s="80"/>
      <c r="J176" s="334" t="s">
        <v>756</v>
      </c>
      <c r="K176" s="34">
        <v>43736</v>
      </c>
      <c r="L176" s="1398"/>
      <c r="M176" s="8">
        <v>2.1064814814814814E-2</v>
      </c>
      <c r="N176" s="3">
        <v>1.0995370370370371E-2</v>
      </c>
      <c r="O176" s="3">
        <v>1.3460648148148147E-2</v>
      </c>
      <c r="Q176" s="53"/>
      <c r="U176" s="53"/>
      <c r="W176" s="1">
        <f t="shared" si="26"/>
        <v>1.8085784800902539E-4</v>
      </c>
      <c r="X176" s="1">
        <f t="shared" si="27"/>
        <v>-1.8085784800902539E-4</v>
      </c>
      <c r="Y176" s="9"/>
      <c r="AB176" s="1">
        <f t="shared" si="23"/>
        <v>1.4120370370370363E-3</v>
      </c>
      <c r="AC176" s="1"/>
      <c r="AE176" s="1"/>
      <c r="AF176" s="1"/>
    </row>
    <row r="177" spans="1:32" x14ac:dyDescent="0.2">
      <c r="A177">
        <v>373</v>
      </c>
      <c r="B177" s="27" t="s">
        <v>1951</v>
      </c>
      <c r="C177" s="74" t="s">
        <v>1947</v>
      </c>
      <c r="D177" s="531">
        <f>Runners!Q1165</f>
        <v>5</v>
      </c>
      <c r="E177" s="541">
        <f>Runners!Q1164</f>
        <v>5</v>
      </c>
      <c r="F177" s="6" t="s">
        <v>1000</v>
      </c>
      <c r="G177" s="1">
        <v>1.8229166666666668E-2</v>
      </c>
      <c r="J177" s="32" t="s">
        <v>1000</v>
      </c>
      <c r="K177" s="34">
        <v>41916</v>
      </c>
      <c r="L177" s="9">
        <v>133</v>
      </c>
      <c r="M177" s="8">
        <v>1.9201388888888889E-2</v>
      </c>
      <c r="N177" s="3">
        <v>1.0439814814814813E-2</v>
      </c>
      <c r="O177" s="3">
        <v>1.1851851851851851E-2</v>
      </c>
      <c r="Q177" s="53"/>
      <c r="U177" s="53"/>
      <c r="W177" s="1">
        <f t="shared" si="26"/>
        <v>7.3641340356458279E-4</v>
      </c>
      <c r="X177" s="1">
        <f t="shared" si="27"/>
        <v>-7.3641340356458279E-4</v>
      </c>
      <c r="Y177" s="9">
        <v>46</v>
      </c>
      <c r="Z177">
        <f t="shared" si="0"/>
        <v>2116</v>
      </c>
      <c r="AB177" s="1">
        <f t="shared" si="23"/>
        <v>8.564814814814789E-4</v>
      </c>
      <c r="AC177" s="1"/>
      <c r="AE177" s="1"/>
      <c r="AF177" s="1"/>
    </row>
    <row r="178" spans="1:32" x14ac:dyDescent="0.2">
      <c r="A178">
        <v>480</v>
      </c>
      <c r="B178" s="27" t="s">
        <v>2019</v>
      </c>
      <c r="C178" s="74" t="s">
        <v>4460</v>
      </c>
      <c r="D178" s="531">
        <f>Runners!R1165</f>
        <v>1</v>
      </c>
      <c r="E178" s="541">
        <f>Runners!R1164</f>
        <v>1</v>
      </c>
      <c r="F178" s="1411" t="s">
        <v>2725</v>
      </c>
      <c r="G178" s="1412">
        <v>1.6851851851851851E-2</v>
      </c>
      <c r="H178" s="1371"/>
      <c r="I178" s="1412"/>
      <c r="J178" s="1412" t="s">
        <v>2725</v>
      </c>
      <c r="K178" s="1379">
        <v>41916</v>
      </c>
      <c r="L178" s="1398">
        <v>132</v>
      </c>
      <c r="M178" s="8">
        <v>1.8796296296296297E-2</v>
      </c>
      <c r="N178" s="3">
        <v>1.074074074074074E-2</v>
      </c>
      <c r="O178" s="3">
        <v>1.1990740740740739E-2</v>
      </c>
      <c r="Q178" s="53"/>
      <c r="T178" s="34">
        <v>41342</v>
      </c>
      <c r="U178" s="53"/>
      <c r="W178" s="1">
        <f t="shared" si="26"/>
        <v>4.3548747763865608E-4</v>
      </c>
      <c r="X178" s="1">
        <f t="shared" si="27"/>
        <v>-4.3548747763865608E-4</v>
      </c>
      <c r="Y178" s="9">
        <v>20</v>
      </c>
      <c r="Z178">
        <f t="shared" si="0"/>
        <v>400</v>
      </c>
      <c r="AB178" s="1">
        <f t="shared" si="23"/>
        <v>1.1574074074074056E-3</v>
      </c>
      <c r="AC178" s="1"/>
      <c r="AE178" s="1"/>
      <c r="AF178" s="1"/>
    </row>
    <row r="179" spans="1:32" x14ac:dyDescent="0.2">
      <c r="A179">
        <v>1506</v>
      </c>
      <c r="B179" s="493" t="s">
        <v>15996</v>
      </c>
      <c r="C179" s="415" t="s">
        <v>15997</v>
      </c>
      <c r="D179" s="531">
        <f>Runners!S1165</f>
        <v>1</v>
      </c>
      <c r="E179" s="541">
        <f>Runners!S1164</f>
        <v>1</v>
      </c>
      <c r="F179" s="1415" t="s">
        <v>1000</v>
      </c>
      <c r="G179" s="1412">
        <v>2.0520833333333332E-2</v>
      </c>
      <c r="H179" s="1371"/>
      <c r="I179" s="1412"/>
      <c r="J179" s="1432" t="s">
        <v>1000</v>
      </c>
      <c r="K179" s="1379">
        <v>43785</v>
      </c>
      <c r="L179" s="1398"/>
      <c r="M179" s="8">
        <v>2.2430555555555554E-2</v>
      </c>
      <c r="N179" s="3">
        <v>1.1354166666666667E-2</v>
      </c>
      <c r="O179" s="3">
        <v>1.2453703703703703E-2</v>
      </c>
      <c r="Q179" s="53"/>
      <c r="T179" s="34"/>
      <c r="U179" s="53"/>
      <c r="W179" s="1">
        <f t="shared" si="26"/>
        <v>-1.779384482872709E-4</v>
      </c>
      <c r="X179" s="1">
        <f t="shared" si="27"/>
        <v>1.779384482872709E-4</v>
      </c>
      <c r="Y179" s="9"/>
      <c r="AB179" s="1">
        <f t="shared" si="23"/>
        <v>1.7708333333333326E-3</v>
      </c>
      <c r="AC179" s="1"/>
      <c r="AE179" s="1"/>
      <c r="AF179" s="1"/>
    </row>
    <row r="180" spans="1:32" x14ac:dyDescent="0.2">
      <c r="A180">
        <v>615</v>
      </c>
      <c r="B180" s="27" t="s">
        <v>162</v>
      </c>
      <c r="C180" s="74" t="s">
        <v>3458</v>
      </c>
      <c r="D180" s="531">
        <f>Runners!P1165</f>
        <v>4</v>
      </c>
      <c r="E180" s="541">
        <f>Runners!P1164</f>
        <v>4</v>
      </c>
      <c r="F180" s="6" t="s">
        <v>1000</v>
      </c>
      <c r="G180" s="1">
        <v>1.7060185185185185E-2</v>
      </c>
      <c r="H180" s="206" t="s">
        <v>888</v>
      </c>
      <c r="I180" s="1">
        <v>1.8437499999999999E-2</v>
      </c>
      <c r="J180" s="32" t="s">
        <v>1000</v>
      </c>
      <c r="K180" s="34">
        <v>41860</v>
      </c>
      <c r="L180" s="9">
        <v>121</v>
      </c>
      <c r="M180" s="8">
        <v>1.8645833333333334E-2</v>
      </c>
      <c r="N180" s="3">
        <v>1.045138888888889E-2</v>
      </c>
      <c r="O180" s="3">
        <v>1.1701388888888891E-2</v>
      </c>
      <c r="Q180" s="53"/>
      <c r="T180" s="34">
        <v>41545</v>
      </c>
      <c r="U180" s="53"/>
      <c r="W180" s="1">
        <f t="shared" si="26"/>
        <v>7.2483932949050575E-4</v>
      </c>
      <c r="X180" s="1">
        <f t="shared" si="27"/>
        <v>-7.2483932949050575E-4</v>
      </c>
      <c r="Y180" s="9">
        <v>45</v>
      </c>
      <c r="Z180">
        <f t="shared" si="0"/>
        <v>2025</v>
      </c>
      <c r="AB180" s="1">
        <f t="shared" si="23"/>
        <v>8.6805555555555594E-4</v>
      </c>
      <c r="AC180" s="1"/>
      <c r="AE180" s="1"/>
      <c r="AF180" s="1"/>
    </row>
    <row r="181" spans="1:32" x14ac:dyDescent="0.2">
      <c r="A181">
        <v>111</v>
      </c>
      <c r="B181" s="493" t="s">
        <v>11893</v>
      </c>
      <c r="C181" s="415" t="s">
        <v>9750</v>
      </c>
      <c r="D181" s="531">
        <f>Runners!M877</f>
        <v>1</v>
      </c>
      <c r="E181" s="541">
        <f>Runners!M876</f>
        <v>1</v>
      </c>
      <c r="F181" s="6"/>
      <c r="H181" s="197" t="s">
        <v>1062</v>
      </c>
      <c r="J181" s="334" t="s">
        <v>1062</v>
      </c>
      <c r="K181" s="34">
        <v>43232</v>
      </c>
      <c r="L181" s="1398">
        <v>408</v>
      </c>
      <c r="M181" s="8">
        <v>2.0879629629629626E-2</v>
      </c>
      <c r="N181" s="3">
        <v>1.1527777777777777E-2</v>
      </c>
      <c r="O181" s="3">
        <v>1.3460648148148147E-2</v>
      </c>
      <c r="Q181" s="53"/>
      <c r="T181" s="34"/>
      <c r="U181" s="53"/>
      <c r="W181" s="1">
        <f t="shared" si="26"/>
        <v>-3.5154955939838139E-4</v>
      </c>
      <c r="X181" s="1">
        <f t="shared" si="27"/>
        <v>3.5154955939838139E-4</v>
      </c>
      <c r="Y181" s="9"/>
      <c r="AB181" s="1">
        <f t="shared" si="23"/>
        <v>1.9444444444444431E-3</v>
      </c>
      <c r="AC181" s="1"/>
      <c r="AE181" s="1"/>
      <c r="AF181" s="1"/>
    </row>
    <row r="182" spans="1:32" x14ac:dyDescent="0.2">
      <c r="A182">
        <v>344</v>
      </c>
      <c r="B182" s="493" t="s">
        <v>11894</v>
      </c>
      <c r="C182" s="74" t="s">
        <v>209</v>
      </c>
      <c r="D182" s="24">
        <f>Runners!R460</f>
        <v>7</v>
      </c>
      <c r="E182" s="183">
        <f>Runners!R459</f>
        <v>8</v>
      </c>
      <c r="F182" s="6" t="s">
        <v>5096</v>
      </c>
      <c r="G182" s="1">
        <v>1.4699074074074074E-2</v>
      </c>
      <c r="H182" s="206" t="s">
        <v>2670</v>
      </c>
      <c r="I182" s="1">
        <v>1.4398148148148148E-2</v>
      </c>
      <c r="J182" s="1" t="s">
        <v>1000</v>
      </c>
      <c r="K182" s="34">
        <v>41275</v>
      </c>
      <c r="L182" s="9">
        <v>50</v>
      </c>
      <c r="M182" s="8">
        <v>1.7546296296296296E-2</v>
      </c>
      <c r="N182" s="3">
        <v>1.0092592592592592E-2</v>
      </c>
      <c r="O182" s="3">
        <v>1.1435185185185185E-2</v>
      </c>
      <c r="W182" s="1">
        <f t="shared" si="26"/>
        <v>1.0836356257868038E-3</v>
      </c>
      <c r="X182" s="1">
        <f t="shared" si="27"/>
        <v>-1.0836356257868038E-3</v>
      </c>
      <c r="Y182" s="9">
        <v>76</v>
      </c>
      <c r="Z182">
        <f t="shared" si="0"/>
        <v>5776</v>
      </c>
      <c r="AB182" s="1">
        <f t="shared" si="23"/>
        <v>5.0925925925925791E-4</v>
      </c>
      <c r="AC182" s="1"/>
      <c r="AE182" s="1"/>
      <c r="AF182" s="1"/>
    </row>
    <row r="183" spans="1:32" x14ac:dyDescent="0.2">
      <c r="A183">
        <v>1256</v>
      </c>
      <c r="B183" s="27" t="s">
        <v>5373</v>
      </c>
      <c r="C183" s="376" t="s">
        <v>5374</v>
      </c>
      <c r="D183" s="24">
        <f>Runners!I1138</f>
        <v>1</v>
      </c>
      <c r="E183" s="183">
        <f>Runners!I1137</f>
        <v>1</v>
      </c>
      <c r="F183" s="6" t="s">
        <v>1000</v>
      </c>
      <c r="G183" s="1">
        <v>1.8796296296296297E-2</v>
      </c>
      <c r="H183" s="206"/>
      <c r="J183" s="1" t="s">
        <v>1000</v>
      </c>
      <c r="K183" s="34">
        <v>42273</v>
      </c>
      <c r="L183" s="9">
        <v>198</v>
      </c>
      <c r="M183" s="8">
        <v>1.9664351851851853E-2</v>
      </c>
      <c r="N183" s="3">
        <v>1.1585648148148149E-2</v>
      </c>
      <c r="O183" s="3">
        <v>1.3483796296296298E-2</v>
      </c>
      <c r="W183" s="1">
        <f t="shared" si="26"/>
        <v>-4.0941992976875272E-4</v>
      </c>
      <c r="X183" s="1">
        <f t="shared" si="27"/>
        <v>4.0941992976875272E-4</v>
      </c>
      <c r="Y183" s="9">
        <v>87</v>
      </c>
      <c r="Z183">
        <f t="shared" si="0"/>
        <v>7569</v>
      </c>
      <c r="AB183" s="1">
        <f t="shared" si="23"/>
        <v>2.0023148148148144E-3</v>
      </c>
      <c r="AC183" s="1"/>
      <c r="AE183" s="1"/>
      <c r="AF183" s="1"/>
    </row>
    <row r="184" spans="1:32" x14ac:dyDescent="0.2">
      <c r="A184">
        <v>2235</v>
      </c>
      <c r="B184" s="556" t="s">
        <v>9749</v>
      </c>
      <c r="C184" s="1497" t="s">
        <v>11856</v>
      </c>
      <c r="D184" s="531">
        <f>Runners!H539</f>
        <v>1</v>
      </c>
      <c r="E184" s="541">
        <f>Runners!H538</f>
        <v>1</v>
      </c>
      <c r="F184" s="1415" t="s">
        <v>5881</v>
      </c>
      <c r="G184" s="1412">
        <v>1.6249999999999997E-2</v>
      </c>
      <c r="H184" s="206"/>
      <c r="J184" s="334" t="s">
        <v>5881</v>
      </c>
      <c r="K184" s="34">
        <v>43617</v>
      </c>
      <c r="L184" s="173" t="s">
        <v>12783</v>
      </c>
      <c r="M184" s="8">
        <v>2.071759259259259E-2</v>
      </c>
      <c r="N184" s="3">
        <v>1.2395833333333335E-2</v>
      </c>
      <c r="O184" s="3">
        <v>1.5081018518518516E-2</v>
      </c>
      <c r="Q184" s="80" t="s">
        <v>11906</v>
      </c>
      <c r="W184" s="1">
        <f t="shared" si="26"/>
        <v>-1.2196051149539391E-3</v>
      </c>
      <c r="X184" s="1">
        <f t="shared" si="27"/>
        <v>1.2196051149539391E-3</v>
      </c>
      <c r="Y184" s="9"/>
      <c r="AB184" s="1">
        <f t="shared" si="23"/>
        <v>2.8125000000000008E-3</v>
      </c>
      <c r="AC184" s="1"/>
      <c r="AE184" s="1"/>
      <c r="AF184" s="1"/>
    </row>
    <row r="185" spans="1:32" x14ac:dyDescent="0.2">
      <c r="A185">
        <v>232</v>
      </c>
      <c r="B185" s="27" t="s">
        <v>2502</v>
      </c>
      <c r="C185" s="376" t="s">
        <v>1550</v>
      </c>
      <c r="D185" s="24">
        <f>Runners!L1073</f>
        <v>4</v>
      </c>
      <c r="E185" s="183">
        <f>Runners!L1072</f>
        <v>4</v>
      </c>
      <c r="F185" s="79" t="s">
        <v>127</v>
      </c>
      <c r="G185" s="1">
        <v>1.4085648148148151E-2</v>
      </c>
      <c r="H185" s="197" t="s">
        <v>4238</v>
      </c>
      <c r="I185" s="1">
        <v>1.7986111111111109E-2</v>
      </c>
      <c r="J185" s="1" t="s">
        <v>3199</v>
      </c>
      <c r="K185" s="34">
        <v>42469</v>
      </c>
      <c r="L185" s="9">
        <v>247</v>
      </c>
      <c r="M185" s="8">
        <v>1.9305555555555555E-2</v>
      </c>
      <c r="N185" s="3">
        <v>1.0555555555555554E-2</v>
      </c>
      <c r="O185" s="3">
        <v>1.1469907407407408E-2</v>
      </c>
      <c r="Q185" s="103" t="s">
        <v>1551</v>
      </c>
      <c r="R185" s="103"/>
      <c r="W185" s="1">
        <f t="shared" si="26"/>
        <v>6.2067266282384188E-4</v>
      </c>
      <c r="X185" s="1">
        <f t="shared" si="27"/>
        <v>-6.2067266282384188E-4</v>
      </c>
      <c r="Y185" s="9">
        <v>36</v>
      </c>
      <c r="Z185">
        <f t="shared" si="0"/>
        <v>1296</v>
      </c>
      <c r="AB185" s="1">
        <f t="shared" si="23"/>
        <v>9.7222222222221981E-4</v>
      </c>
      <c r="AC185" s="1"/>
      <c r="AE185" s="1"/>
      <c r="AF185" s="1"/>
    </row>
    <row r="186" spans="1:32" x14ac:dyDescent="0.2">
      <c r="A186">
        <v>2192</v>
      </c>
      <c r="B186" s="568" t="s">
        <v>11189</v>
      </c>
      <c r="C186" s="1190" t="s">
        <v>11190</v>
      </c>
      <c r="D186" s="585"/>
      <c r="E186" s="1002"/>
      <c r="F186" s="79"/>
      <c r="H186" s="197"/>
      <c r="K186" s="34"/>
      <c r="P186" s="80" t="s">
        <v>11191</v>
      </c>
      <c r="Q186" s="53"/>
      <c r="R186" s="53"/>
      <c r="W186" s="1"/>
      <c r="X186" s="1"/>
      <c r="Y186" s="9"/>
      <c r="AB186" s="1"/>
      <c r="AC186" s="1"/>
      <c r="AE186" s="1"/>
      <c r="AF186" s="1"/>
    </row>
    <row r="187" spans="1:32" x14ac:dyDescent="0.2">
      <c r="A187">
        <v>915</v>
      </c>
      <c r="B187" s="27" t="s">
        <v>5662</v>
      </c>
      <c r="C187" s="74" t="s">
        <v>1578</v>
      </c>
      <c r="D187" s="24">
        <f>Runners!G1271</f>
        <v>12</v>
      </c>
      <c r="E187" s="183">
        <f>Runners!G1270</f>
        <v>14</v>
      </c>
      <c r="F187" s="6" t="s">
        <v>5573</v>
      </c>
      <c r="G187" s="1">
        <v>1.5636574074074074E-2</v>
      </c>
      <c r="H187" s="206" t="s">
        <v>888</v>
      </c>
      <c r="I187" s="1">
        <v>1.9259259259259261E-2</v>
      </c>
      <c r="J187" s="1" t="s">
        <v>1000</v>
      </c>
      <c r="K187" s="34">
        <v>41944</v>
      </c>
      <c r="L187" s="9">
        <v>138</v>
      </c>
      <c r="M187" s="8">
        <v>1.7997685185185186E-2</v>
      </c>
      <c r="N187" s="3">
        <v>1.0601851851851854E-2</v>
      </c>
      <c r="O187" s="3">
        <v>1.2939814814814814E-2</v>
      </c>
      <c r="P187" s="3"/>
      <c r="Q187" s="253" t="s">
        <v>3770</v>
      </c>
      <c r="R187" s="253"/>
      <c r="S187" s="53"/>
      <c r="U187" s="196"/>
      <c r="W187" s="1">
        <f t="shared" ref="W187:W205" si="28">$N$700-N187</f>
        <v>5.743763665275424E-4</v>
      </c>
      <c r="X187" s="1">
        <f t="shared" ref="X187:X205" si="29">N187-$N$700</f>
        <v>-5.743763665275424E-4</v>
      </c>
      <c r="Y187" s="9">
        <v>32</v>
      </c>
      <c r="Z187">
        <f t="shared" si="0"/>
        <v>1024</v>
      </c>
      <c r="AB187" s="1">
        <f t="shared" si="23"/>
        <v>1.0185185185185193E-3</v>
      </c>
      <c r="AC187" s="1"/>
      <c r="AE187" s="1"/>
      <c r="AF187" s="1"/>
    </row>
    <row r="188" spans="1:32" x14ac:dyDescent="0.2">
      <c r="A188">
        <v>527</v>
      </c>
      <c r="B188" s="552" t="s">
        <v>8376</v>
      </c>
      <c r="C188" s="532" t="s">
        <v>8373</v>
      </c>
      <c r="D188" s="531">
        <f>Runners!K630</f>
        <v>3</v>
      </c>
      <c r="E188" s="541">
        <f>Runners!K629</f>
        <v>3</v>
      </c>
      <c r="F188" s="79" t="s">
        <v>8360</v>
      </c>
      <c r="G188" s="334">
        <v>1.7476851851851851E-2</v>
      </c>
      <c r="H188" s="206"/>
      <c r="J188" s="334" t="s">
        <v>4778</v>
      </c>
      <c r="K188" s="523">
        <v>43008</v>
      </c>
      <c r="L188" s="1398">
        <v>365</v>
      </c>
      <c r="M188" s="8">
        <v>2.1180555555555553E-2</v>
      </c>
      <c r="N188" s="3">
        <v>1.230324074074074E-2</v>
      </c>
      <c r="O188" s="3">
        <v>1.5127314814814816E-2</v>
      </c>
      <c r="P188" s="3"/>
      <c r="Q188" s="196"/>
      <c r="R188" s="196"/>
      <c r="S188" s="53"/>
      <c r="U188" s="196"/>
      <c r="W188" s="1">
        <f t="shared" si="28"/>
        <v>-1.1270125223613436E-3</v>
      </c>
      <c r="X188" s="1">
        <f t="shared" si="29"/>
        <v>1.1270125223613436E-3</v>
      </c>
      <c r="Y188" s="9"/>
      <c r="AB188" s="1">
        <f t="shared" si="23"/>
        <v>2.7199074074074053E-3</v>
      </c>
      <c r="AC188" s="1"/>
      <c r="AE188" s="1"/>
      <c r="AF188" s="1"/>
    </row>
    <row r="189" spans="1:32" x14ac:dyDescent="0.2">
      <c r="A189">
        <v>2542</v>
      </c>
      <c r="B189" s="552" t="s">
        <v>16891</v>
      </c>
      <c r="C189" s="532" t="s">
        <v>16890</v>
      </c>
      <c r="D189" s="531">
        <f>Runners!N877</f>
        <v>1</v>
      </c>
      <c r="E189" s="541">
        <f>Runners!N876</f>
        <v>1</v>
      </c>
      <c r="F189" s="1415" t="s">
        <v>756</v>
      </c>
      <c r="G189" s="1432">
        <v>2.0613425925925927E-2</v>
      </c>
      <c r="H189" s="206"/>
      <c r="J189" s="334" t="s">
        <v>756</v>
      </c>
      <c r="K189" s="523">
        <v>43869</v>
      </c>
      <c r="L189" s="1398"/>
      <c r="M189" s="8">
        <v>2.0671296296296295E-2</v>
      </c>
      <c r="N189" s="3">
        <v>1.0787037037037038E-2</v>
      </c>
      <c r="O189" s="3">
        <v>1.2407407407407409E-2</v>
      </c>
      <c r="P189" s="3"/>
      <c r="Q189" s="196"/>
      <c r="R189" s="196"/>
      <c r="S189" s="53"/>
      <c r="U189" s="196"/>
      <c r="W189" s="1">
        <f t="shared" si="28"/>
        <v>3.8919118134235833E-4</v>
      </c>
      <c r="X189" s="1">
        <f t="shared" si="29"/>
        <v>-3.8919118134235833E-4</v>
      </c>
      <c r="Y189" s="9"/>
      <c r="AB189" s="1">
        <f t="shared" si="23"/>
        <v>1.2037037037037034E-3</v>
      </c>
      <c r="AC189" s="1"/>
      <c r="AE189" s="1"/>
      <c r="AF189" s="1"/>
    </row>
    <row r="190" spans="1:32" x14ac:dyDescent="0.2">
      <c r="A190">
        <v>39</v>
      </c>
      <c r="B190" s="27" t="s">
        <v>1418</v>
      </c>
      <c r="C190" s="74" t="s">
        <v>1419</v>
      </c>
      <c r="D190" s="24">
        <f>Runners!J630</f>
        <v>3</v>
      </c>
      <c r="E190" s="183">
        <f>Runners!J629</f>
        <v>3</v>
      </c>
      <c r="F190" s="1415" t="s">
        <v>4407</v>
      </c>
      <c r="G190" s="1432">
        <v>1.5810185185185184E-2</v>
      </c>
      <c r="H190" s="1370" t="s">
        <v>5241</v>
      </c>
      <c r="I190" s="1412">
        <v>1.5416666666666667E-2</v>
      </c>
      <c r="J190" s="1" t="s">
        <v>4584</v>
      </c>
      <c r="K190" s="34">
        <v>42455</v>
      </c>
      <c r="L190" s="1398">
        <v>245</v>
      </c>
      <c r="M190" s="8">
        <v>1.8553240740740742E-2</v>
      </c>
      <c r="N190" s="3">
        <v>1.1006944444444444E-2</v>
      </c>
      <c r="O190" s="3">
        <v>1.2488425925925925E-2</v>
      </c>
      <c r="P190" s="3"/>
      <c r="Q190" s="196"/>
      <c r="R190" s="196"/>
      <c r="S190" s="53"/>
      <c r="U190" s="196"/>
      <c r="W190" s="1">
        <f t="shared" si="28"/>
        <v>1.6928377393495182E-4</v>
      </c>
      <c r="X190" s="1">
        <f t="shared" si="29"/>
        <v>-1.6928377393495182E-4</v>
      </c>
      <c r="Y190" s="9">
        <v>3</v>
      </c>
      <c r="Z190">
        <f t="shared" si="0"/>
        <v>9</v>
      </c>
      <c r="AB190" s="1">
        <f t="shared" si="23"/>
        <v>1.4236111111111099E-3</v>
      </c>
      <c r="AC190" s="1"/>
      <c r="AE190" s="1"/>
      <c r="AF190" s="1"/>
    </row>
    <row r="191" spans="1:32" x14ac:dyDescent="0.2">
      <c r="A191">
        <v>143</v>
      </c>
      <c r="B191" s="27" t="s">
        <v>5121</v>
      </c>
      <c r="C191" s="15" t="s">
        <v>2235</v>
      </c>
      <c r="D191" s="24">
        <f>Runners!K420</f>
        <v>3</v>
      </c>
      <c r="E191" s="183">
        <f>Runners!K419</f>
        <v>3</v>
      </c>
      <c r="F191" s="79" t="s">
        <v>1270</v>
      </c>
      <c r="G191" s="1">
        <v>1.486111111111111E-2</v>
      </c>
      <c r="J191" s="32" t="s">
        <v>1000</v>
      </c>
      <c r="K191" s="34">
        <v>41064</v>
      </c>
      <c r="L191" s="1398">
        <v>24</v>
      </c>
      <c r="M191" s="8">
        <v>1.9189814814814816E-2</v>
      </c>
      <c r="N191" s="3">
        <v>1.0625000000000001E-2</v>
      </c>
      <c r="O191" s="3">
        <v>1.252314814814815E-2</v>
      </c>
      <c r="P191" s="3"/>
      <c r="Q191" s="103" t="s">
        <v>2306</v>
      </c>
      <c r="R191" s="103"/>
      <c r="S191" s="53"/>
      <c r="U191" s="53"/>
      <c r="W191" s="1">
        <f t="shared" si="28"/>
        <v>5.5122821837939526E-4</v>
      </c>
      <c r="X191" s="1">
        <f t="shared" si="29"/>
        <v>-5.5122821837939526E-4</v>
      </c>
      <c r="Y191" s="9">
        <v>30</v>
      </c>
      <c r="Z191">
        <f t="shared" si="0"/>
        <v>900</v>
      </c>
      <c r="AB191" s="1">
        <f t="shared" si="23"/>
        <v>1.0416666666666664E-3</v>
      </c>
      <c r="AC191" s="1"/>
      <c r="AE191" s="1"/>
      <c r="AF191" s="1"/>
    </row>
    <row r="192" spans="1:32" x14ac:dyDescent="0.2">
      <c r="A192">
        <v>312</v>
      </c>
      <c r="B192" s="27" t="s">
        <v>2931</v>
      </c>
      <c r="C192" s="74" t="s">
        <v>2865</v>
      </c>
      <c r="D192" s="24">
        <f>Runners!I1087</f>
        <v>3</v>
      </c>
      <c r="E192" s="183">
        <f>Runners!I1086</f>
        <v>3</v>
      </c>
      <c r="F192" s="6" t="s">
        <v>1000</v>
      </c>
      <c r="G192" s="1">
        <v>1.6574074074074074E-2</v>
      </c>
      <c r="H192" s="1371"/>
      <c r="I192" s="1412"/>
      <c r="J192" s="1" t="s">
        <v>1000</v>
      </c>
      <c r="K192" s="34">
        <v>41874</v>
      </c>
      <c r="L192" s="1398">
        <v>124</v>
      </c>
      <c r="M192" s="8">
        <v>1.9270833333333334E-2</v>
      </c>
      <c r="N192" s="3">
        <v>1.1342592592592592E-2</v>
      </c>
      <c r="O192" s="3">
        <v>1.292824074074074E-2</v>
      </c>
      <c r="P192" s="3"/>
      <c r="Q192" s="53"/>
      <c r="R192" s="53"/>
      <c r="S192" s="53"/>
      <c r="U192" s="53"/>
      <c r="W192" s="1">
        <f t="shared" si="28"/>
        <v>-1.663643742131956E-4</v>
      </c>
      <c r="X192" s="1">
        <f t="shared" si="29"/>
        <v>1.663643742131956E-4</v>
      </c>
      <c r="Y192" s="9">
        <v>32</v>
      </c>
      <c r="Z192">
        <f t="shared" si="0"/>
        <v>1024</v>
      </c>
      <c r="AB192" s="1">
        <f t="shared" si="23"/>
        <v>1.7592592592592573E-3</v>
      </c>
      <c r="AC192" s="1"/>
      <c r="AE192" s="1"/>
      <c r="AF192" s="1"/>
    </row>
    <row r="193" spans="1:32" x14ac:dyDescent="0.2">
      <c r="A193">
        <v>274</v>
      </c>
      <c r="B193" s="493" t="s">
        <v>9583</v>
      </c>
      <c r="C193" s="415" t="s">
        <v>9582</v>
      </c>
      <c r="D193" s="24">
        <f>Runners!G787</f>
        <v>2</v>
      </c>
      <c r="E193" s="183">
        <f>Runners!G786</f>
        <v>2</v>
      </c>
      <c r="F193" s="79" t="s">
        <v>1000</v>
      </c>
      <c r="G193" s="1">
        <v>2.0497685185185185E-2</v>
      </c>
      <c r="H193" s="1390" t="s">
        <v>3254</v>
      </c>
      <c r="I193" s="1530">
        <v>1.8576388888888889E-2</v>
      </c>
      <c r="J193" s="334" t="s">
        <v>1000</v>
      </c>
      <c r="K193" s="34">
        <v>43204</v>
      </c>
      <c r="L193" s="1398">
        <v>402</v>
      </c>
      <c r="M193" s="8">
        <v>2.0185185185185184E-2</v>
      </c>
      <c r="N193" s="3">
        <v>1.0752314814814814E-2</v>
      </c>
      <c r="O193" s="3">
        <v>1.3136574074074077E-2</v>
      </c>
      <c r="P193" s="3"/>
      <c r="Q193" s="53"/>
      <c r="R193" s="53"/>
      <c r="S193" s="53"/>
      <c r="U193" s="53"/>
      <c r="W193" s="1">
        <f t="shared" si="28"/>
        <v>4.2391340356458251E-4</v>
      </c>
      <c r="X193" s="1">
        <f t="shared" si="29"/>
        <v>-4.2391340356458251E-4</v>
      </c>
      <c r="Y193" s="9"/>
      <c r="AB193" s="1">
        <f t="shared" si="23"/>
        <v>1.1689814814814792E-3</v>
      </c>
      <c r="AC193" s="1"/>
      <c r="AE193" s="1"/>
      <c r="AF193" s="1"/>
    </row>
    <row r="194" spans="1:32" x14ac:dyDescent="0.2">
      <c r="A194">
        <v>26</v>
      </c>
      <c r="B194" s="27" t="s">
        <v>2067</v>
      </c>
      <c r="C194" s="74" t="s">
        <v>3684</v>
      </c>
      <c r="D194" s="24">
        <f>Runners!J1138</f>
        <v>11</v>
      </c>
      <c r="E194" s="183">
        <f>Runners!J1137</f>
        <v>11</v>
      </c>
      <c r="F194" s="6" t="s">
        <v>1987</v>
      </c>
      <c r="G194" s="1">
        <v>1.5289351851851851E-2</v>
      </c>
      <c r="H194" s="319" t="s">
        <v>2670</v>
      </c>
      <c r="I194" s="1">
        <v>1.4317129629629631E-2</v>
      </c>
      <c r="J194" s="1" t="s">
        <v>4778</v>
      </c>
      <c r="K194" s="34">
        <v>41678</v>
      </c>
      <c r="L194" s="9">
        <v>91</v>
      </c>
      <c r="M194" s="8">
        <v>1.7708333333333333E-2</v>
      </c>
      <c r="N194" s="3">
        <v>1.0081018518518519E-2</v>
      </c>
      <c r="O194" s="3">
        <v>1.1516203703703702E-2</v>
      </c>
      <c r="P194" s="5" t="s">
        <v>4928</v>
      </c>
      <c r="Q194" s="53"/>
      <c r="R194" s="53"/>
      <c r="U194" s="53"/>
      <c r="W194" s="1">
        <f t="shared" si="28"/>
        <v>1.0952096998608774E-3</v>
      </c>
      <c r="X194" s="1">
        <f t="shared" si="29"/>
        <v>-1.0952096998608774E-3</v>
      </c>
      <c r="Y194" s="9">
        <v>77</v>
      </c>
      <c r="Z194">
        <f t="shared" si="0"/>
        <v>5929</v>
      </c>
      <c r="AB194" s="1">
        <f t="shared" si="23"/>
        <v>4.9768518518518434E-4</v>
      </c>
      <c r="AC194" s="1"/>
      <c r="AE194" s="1"/>
      <c r="AF194" s="1"/>
    </row>
    <row r="195" spans="1:32" x14ac:dyDescent="0.2">
      <c r="A195">
        <v>177</v>
      </c>
      <c r="B195" s="556" t="s">
        <v>1749</v>
      </c>
      <c r="C195" s="532" t="s">
        <v>12769</v>
      </c>
      <c r="D195" s="531">
        <f>Runners!K1138</f>
        <v>1</v>
      </c>
      <c r="E195" s="541">
        <f>Runners!K1137</f>
        <v>1</v>
      </c>
      <c r="F195" s="1411" t="s">
        <v>1000</v>
      </c>
      <c r="G195" s="1412">
        <v>2.3298611111111107E-2</v>
      </c>
      <c r="H195" s="319"/>
      <c r="J195" s="1" t="s">
        <v>1000</v>
      </c>
      <c r="K195" s="34">
        <v>43617</v>
      </c>
      <c r="L195" s="9" t="s">
        <v>12783</v>
      </c>
      <c r="M195" s="8">
        <v>2.0034722222222221E-2</v>
      </c>
      <c r="N195" s="3">
        <v>1.0972222222222223E-2</v>
      </c>
      <c r="O195" s="3">
        <v>1.1851851851851851E-2</v>
      </c>
      <c r="P195" s="1490"/>
      <c r="Q195" s="53"/>
      <c r="R195" s="53"/>
      <c r="U195" s="53"/>
      <c r="W195" s="1">
        <f t="shared" si="28"/>
        <v>2.0400599615717253E-4</v>
      </c>
      <c r="X195" s="1">
        <f t="shared" si="29"/>
        <v>-2.0400599615717253E-4</v>
      </c>
      <c r="Y195" s="9"/>
      <c r="AB195" s="1">
        <f t="shared" si="23"/>
        <v>1.3888888888888892E-3</v>
      </c>
      <c r="AC195" s="1"/>
      <c r="AE195" s="1"/>
      <c r="AF195" s="1"/>
    </row>
    <row r="196" spans="1:32" x14ac:dyDescent="0.2">
      <c r="A196">
        <v>959</v>
      </c>
      <c r="B196" s="27" t="s">
        <v>3031</v>
      </c>
      <c r="C196" s="74" t="s">
        <v>4416</v>
      </c>
      <c r="D196" s="24">
        <f>Runners!R1245</f>
        <v>1</v>
      </c>
      <c r="E196" s="183">
        <f>Runners!R1244</f>
        <v>1</v>
      </c>
      <c r="F196" s="6"/>
      <c r="H196" s="319" t="s">
        <v>888</v>
      </c>
      <c r="I196" s="1">
        <v>2.011574074074074E-2</v>
      </c>
      <c r="J196" s="1" t="s">
        <v>888</v>
      </c>
      <c r="K196" s="34">
        <v>42511</v>
      </c>
      <c r="L196" s="9">
        <v>256</v>
      </c>
      <c r="M196" s="8">
        <v>1.7337962962962961E-2</v>
      </c>
      <c r="N196" s="3">
        <v>1.1076388888888887E-2</v>
      </c>
      <c r="O196" s="3">
        <v>1.3148148148148147E-2</v>
      </c>
      <c r="P196" s="5"/>
      <c r="Q196" s="53"/>
      <c r="R196" s="53"/>
      <c r="U196" s="53"/>
      <c r="W196" s="1">
        <f t="shared" si="28"/>
        <v>9.9839329490508666E-5</v>
      </c>
      <c r="X196" s="1">
        <f t="shared" si="29"/>
        <v>-9.9839329490508666E-5</v>
      </c>
      <c r="Y196" s="9"/>
      <c r="AB196" s="1">
        <f t="shared" si="23"/>
        <v>1.493055555555553E-3</v>
      </c>
      <c r="AC196" s="1"/>
      <c r="AE196" s="1"/>
      <c r="AF196" s="1"/>
    </row>
    <row r="197" spans="1:32" x14ac:dyDescent="0.2">
      <c r="A197">
        <v>1424</v>
      </c>
      <c r="B197" s="552" t="s">
        <v>903</v>
      </c>
      <c r="C197" s="74" t="s">
        <v>1929</v>
      </c>
      <c r="D197" s="24">
        <f>Runners!Q539</f>
        <v>7</v>
      </c>
      <c r="E197" s="183">
        <f>Runners!Q538</f>
        <v>8</v>
      </c>
      <c r="F197" s="6" t="s">
        <v>5096</v>
      </c>
      <c r="G197" s="1">
        <v>1.4826388888888889E-2</v>
      </c>
      <c r="H197" s="80" t="s">
        <v>5894</v>
      </c>
      <c r="I197" s="1">
        <v>2.1597222222222223E-2</v>
      </c>
      <c r="J197" s="1" t="s">
        <v>1000</v>
      </c>
      <c r="K197" s="34">
        <v>42518</v>
      </c>
      <c r="L197" s="9">
        <v>259</v>
      </c>
      <c r="M197" s="8">
        <v>1.9120370370370371E-2</v>
      </c>
      <c r="N197" s="3">
        <v>1.1712962962962965E-2</v>
      </c>
      <c r="O197" s="3">
        <v>1.3113425925925926E-2</v>
      </c>
      <c r="P197" s="5"/>
      <c r="Q197" s="53"/>
      <c r="R197" s="53"/>
      <c r="U197" s="53"/>
      <c r="W197" s="1">
        <f t="shared" si="28"/>
        <v>-5.3673474458356893E-4</v>
      </c>
      <c r="X197" s="1">
        <f t="shared" si="29"/>
        <v>5.3673474458356893E-4</v>
      </c>
      <c r="Y197" s="9"/>
      <c r="AB197" s="1">
        <f t="shared" si="23"/>
        <v>2.1296296296296306E-3</v>
      </c>
      <c r="AC197" s="1"/>
      <c r="AE197" s="1"/>
      <c r="AF197" s="1"/>
    </row>
    <row r="198" spans="1:32" x14ac:dyDescent="0.2">
      <c r="A198">
        <v>1026</v>
      </c>
      <c r="B198" s="27" t="s">
        <v>1566</v>
      </c>
      <c r="C198" s="74" t="s">
        <v>4245</v>
      </c>
      <c r="D198" s="24">
        <f>Runners!R1000</f>
        <v>2</v>
      </c>
      <c r="E198" s="183">
        <f>Runners!R999</f>
        <v>2</v>
      </c>
      <c r="F198" s="6" t="s">
        <v>5096</v>
      </c>
      <c r="G198" s="1">
        <v>1.7245370370370369E-2</v>
      </c>
      <c r="J198" s="1" t="s">
        <v>5096</v>
      </c>
      <c r="K198" s="34">
        <v>42000</v>
      </c>
      <c r="L198" s="9">
        <v>148</v>
      </c>
      <c r="M198" s="8">
        <v>1.909722222222222E-2</v>
      </c>
      <c r="N198" s="3">
        <v>1.1689814814814814E-2</v>
      </c>
      <c r="O198" s="3">
        <v>1.3055555555555556E-2</v>
      </c>
      <c r="P198" s="5"/>
      <c r="Q198" s="103" t="s">
        <v>3554</v>
      </c>
      <c r="R198" s="103"/>
      <c r="U198" s="53"/>
      <c r="W198" s="1">
        <f t="shared" si="28"/>
        <v>-5.1358659643541832E-4</v>
      </c>
      <c r="X198" s="1">
        <f t="shared" si="29"/>
        <v>5.1358659643541832E-4</v>
      </c>
      <c r="Y198" s="9">
        <v>62</v>
      </c>
      <c r="Z198">
        <f t="shared" si="0"/>
        <v>3844</v>
      </c>
      <c r="AB198" s="1">
        <f t="shared" si="23"/>
        <v>2.10648148148148E-3</v>
      </c>
      <c r="AC198" s="1"/>
      <c r="AE198" s="1"/>
      <c r="AF198" s="1"/>
    </row>
    <row r="199" spans="1:32" x14ac:dyDescent="0.2">
      <c r="A199">
        <v>1459</v>
      </c>
      <c r="B199" s="493" t="s">
        <v>2243</v>
      </c>
      <c r="C199" s="415" t="s">
        <v>8552</v>
      </c>
      <c r="D199" s="24">
        <f>Runners!K1116</f>
        <v>1</v>
      </c>
      <c r="E199" s="183">
        <f>Runners!K1115</f>
        <v>1</v>
      </c>
      <c r="F199" s="79" t="s">
        <v>5096</v>
      </c>
      <c r="G199" s="1">
        <v>1.5046296296296295E-2</v>
      </c>
      <c r="J199" s="334" t="s">
        <v>5096</v>
      </c>
      <c r="K199" s="34">
        <v>43001</v>
      </c>
      <c r="L199" s="9">
        <v>363</v>
      </c>
      <c r="M199" s="8">
        <v>2.1956018518518517E-2</v>
      </c>
      <c r="N199" s="3">
        <v>1.1388888888888888E-2</v>
      </c>
      <c r="O199" s="3">
        <v>1.2708333333333334E-2</v>
      </c>
      <c r="P199" s="5"/>
      <c r="Q199" s="53"/>
      <c r="R199" s="53"/>
      <c r="U199" s="53"/>
      <c r="W199" s="1">
        <f t="shared" si="28"/>
        <v>-2.1266067050949161E-4</v>
      </c>
      <c r="X199" s="1">
        <f t="shared" si="29"/>
        <v>2.1266067050949161E-4</v>
      </c>
      <c r="Y199" s="9"/>
      <c r="AB199" s="1">
        <f t="shared" si="23"/>
        <v>1.8055555555555533E-3</v>
      </c>
      <c r="AC199" s="1"/>
      <c r="AE199" s="1"/>
      <c r="AF199" s="1"/>
    </row>
    <row r="200" spans="1:32" x14ac:dyDescent="0.2">
      <c r="A200">
        <v>1173</v>
      </c>
      <c r="B200" s="27" t="s">
        <v>1184</v>
      </c>
      <c r="C200" s="74" t="s">
        <v>1183</v>
      </c>
      <c r="D200" s="24">
        <f>Runners!T854</f>
        <v>4</v>
      </c>
      <c r="E200" s="183">
        <f>Runners!T853</f>
        <v>11</v>
      </c>
      <c r="F200" s="52" t="s">
        <v>4637</v>
      </c>
      <c r="G200" s="1">
        <v>1.5844907407407408E-2</v>
      </c>
      <c r="H200" t="s">
        <v>5903</v>
      </c>
      <c r="I200" s="1">
        <v>1.8229166666666668E-2</v>
      </c>
      <c r="J200" s="1" t="s">
        <v>298</v>
      </c>
      <c r="K200" s="34">
        <v>42595</v>
      </c>
      <c r="L200" s="9">
        <v>279</v>
      </c>
      <c r="M200" s="8">
        <v>1.9872685185185184E-2</v>
      </c>
      <c r="N200" s="3">
        <v>1.1458333333333334E-2</v>
      </c>
      <c r="O200" s="3">
        <v>1.2592592592592593E-2</v>
      </c>
      <c r="P200" s="5"/>
      <c r="Q200" s="103" t="s">
        <v>5367</v>
      </c>
      <c r="R200" s="103"/>
      <c r="U200" s="53"/>
      <c r="W200" s="1">
        <f t="shared" si="28"/>
        <v>-2.8210511495393824E-4</v>
      </c>
      <c r="X200" s="1">
        <f t="shared" si="29"/>
        <v>2.8210511495393824E-4</v>
      </c>
      <c r="Y200" s="9">
        <v>42</v>
      </c>
      <c r="Z200">
        <f t="shared" si="0"/>
        <v>1764</v>
      </c>
      <c r="AB200" s="1">
        <f t="shared" si="23"/>
        <v>1.8749999999999999E-3</v>
      </c>
      <c r="AC200" s="1"/>
      <c r="AE200" s="1"/>
      <c r="AF200" s="1"/>
    </row>
    <row r="201" spans="1:32" x14ac:dyDescent="0.2">
      <c r="A201">
        <v>948</v>
      </c>
      <c r="B201" s="27" t="s">
        <v>3812</v>
      </c>
      <c r="C201" s="74" t="s">
        <v>4529</v>
      </c>
      <c r="D201" s="24">
        <f>Runners!O787</f>
        <v>7</v>
      </c>
      <c r="E201" s="183">
        <f>Runners!O786</f>
        <v>7</v>
      </c>
      <c r="F201" s="6" t="s">
        <v>5882</v>
      </c>
      <c r="G201" s="1">
        <v>1.5717592592592592E-2</v>
      </c>
      <c r="H201" s="1375" t="s">
        <v>5241</v>
      </c>
      <c r="I201" s="1412">
        <v>1.5497685185185186E-2</v>
      </c>
      <c r="J201" s="254" t="s">
        <v>4596</v>
      </c>
      <c r="K201" s="34">
        <v>42363</v>
      </c>
      <c r="L201" s="9">
        <v>219</v>
      </c>
      <c r="M201" s="8">
        <v>1.8634259259259257E-2</v>
      </c>
      <c r="N201" s="3">
        <v>1.0335648148148148E-2</v>
      </c>
      <c r="O201" s="3">
        <v>1.1863425925925925E-2</v>
      </c>
      <c r="P201" s="5"/>
      <c r="Q201" s="53"/>
      <c r="R201" s="53"/>
      <c r="U201" s="53"/>
      <c r="W201" s="1">
        <f t="shared" si="28"/>
        <v>8.4058007023124839E-4</v>
      </c>
      <c r="X201" s="1">
        <f t="shared" si="29"/>
        <v>-8.4058007023124839E-4</v>
      </c>
      <c r="Y201" s="9">
        <v>55</v>
      </c>
      <c r="Z201">
        <f t="shared" si="0"/>
        <v>3025</v>
      </c>
      <c r="AB201" s="1">
        <f t="shared" si="23"/>
        <v>7.523148148148133E-4</v>
      </c>
      <c r="AC201" s="1"/>
      <c r="AE201" s="1"/>
      <c r="AF201" s="1"/>
    </row>
    <row r="202" spans="1:32" x14ac:dyDescent="0.2">
      <c r="A202">
        <v>1802</v>
      </c>
      <c r="B202" s="493" t="s">
        <v>12065</v>
      </c>
      <c r="C202" s="415" t="s">
        <v>12011</v>
      </c>
      <c r="D202" s="24">
        <f>Runners!P787</f>
        <v>3</v>
      </c>
      <c r="E202" s="183">
        <f>Runners!P786</f>
        <v>3</v>
      </c>
      <c r="F202" s="1415" t="s">
        <v>8360</v>
      </c>
      <c r="G202" s="1412">
        <v>1.503472222222222E-2</v>
      </c>
      <c r="H202" s="1370" t="s">
        <v>3254</v>
      </c>
      <c r="I202" s="1412">
        <v>1.9155092592592592E-2</v>
      </c>
      <c r="J202" s="334" t="s">
        <v>3254</v>
      </c>
      <c r="K202" s="34">
        <v>43533</v>
      </c>
      <c r="L202" s="1398">
        <v>475</v>
      </c>
      <c r="M202" s="8">
        <v>2.0312500000000001E-2</v>
      </c>
      <c r="N202" s="3">
        <v>9.9652777777777778E-3</v>
      </c>
      <c r="O202" s="3">
        <v>1.2164351851851852E-2</v>
      </c>
      <c r="P202" s="5"/>
      <c r="Q202" s="53"/>
      <c r="R202" s="53"/>
      <c r="U202" s="53"/>
      <c r="W202" s="1">
        <f t="shared" si="28"/>
        <v>1.2109504406016183E-3</v>
      </c>
      <c r="X202" s="1">
        <f t="shared" si="29"/>
        <v>-1.2109504406016183E-3</v>
      </c>
      <c r="Y202" s="9"/>
      <c r="AB202" s="1">
        <f t="shared" si="23"/>
        <v>3.8194444444444343E-4</v>
      </c>
      <c r="AC202" s="1"/>
      <c r="AE202" s="1"/>
      <c r="AF202" s="1"/>
    </row>
    <row r="203" spans="1:32" x14ac:dyDescent="0.2">
      <c r="A203">
        <v>206</v>
      </c>
      <c r="B203" s="27" t="s">
        <v>1111</v>
      </c>
      <c r="C203" s="15" t="s">
        <v>4820</v>
      </c>
      <c r="D203" s="24">
        <f>Runners!L1138</f>
        <v>2</v>
      </c>
      <c r="E203" s="183">
        <f>Runners!L1137</f>
        <v>2</v>
      </c>
      <c r="F203" s="1411" t="s">
        <v>1000</v>
      </c>
      <c r="G203" s="1412">
        <v>1.8587962962962962E-2</v>
      </c>
      <c r="H203" s="1371"/>
      <c r="I203" s="1412"/>
      <c r="J203" s="32" t="s">
        <v>1000</v>
      </c>
      <c r="K203" s="34">
        <v>41846</v>
      </c>
      <c r="L203" s="9">
        <v>119</v>
      </c>
      <c r="M203" s="8">
        <v>1.8680555555555554E-2</v>
      </c>
      <c r="N203" s="3">
        <v>1.0486111111111111E-2</v>
      </c>
      <c r="O203" s="3">
        <v>1.2175925925925929E-2</v>
      </c>
      <c r="P203" s="5" t="s">
        <v>3597</v>
      </c>
      <c r="Q203" s="635" t="s">
        <v>10881</v>
      </c>
      <c r="R203" s="635"/>
      <c r="U203" s="53"/>
      <c r="W203" s="1">
        <f t="shared" si="28"/>
        <v>6.9011710726828504E-4</v>
      </c>
      <c r="X203" s="1">
        <f t="shared" si="29"/>
        <v>-6.9011710726828504E-4</v>
      </c>
      <c r="Y203" s="9">
        <v>42</v>
      </c>
      <c r="Z203">
        <f t="shared" si="0"/>
        <v>1764</v>
      </c>
      <c r="AB203" s="1">
        <f t="shared" si="23"/>
        <v>9.0277777777777665E-4</v>
      </c>
      <c r="AC203" s="1"/>
      <c r="AE203" s="1"/>
      <c r="AF203" s="1"/>
    </row>
    <row r="204" spans="1:32" x14ac:dyDescent="0.2">
      <c r="A204">
        <v>1441</v>
      </c>
      <c r="B204" s="27" t="s">
        <v>2191</v>
      </c>
      <c r="C204" s="74" t="s">
        <v>2192</v>
      </c>
      <c r="D204" s="24">
        <f>Runners!L420</f>
        <v>5</v>
      </c>
      <c r="E204" s="183">
        <f>Runners!L419</f>
        <v>5</v>
      </c>
      <c r="F204" s="1413" t="s">
        <v>3790</v>
      </c>
      <c r="G204" s="1414">
        <v>1.6284722222222221E-2</v>
      </c>
      <c r="H204" s="1375" t="s">
        <v>4596</v>
      </c>
      <c r="I204" s="1412">
        <v>1.7662037037037035E-2</v>
      </c>
      <c r="J204" s="32" t="s">
        <v>1062</v>
      </c>
      <c r="K204" s="34">
        <v>41843</v>
      </c>
      <c r="L204" s="9">
        <v>277</v>
      </c>
      <c r="M204" s="8">
        <v>3.4965277777777778E-4</v>
      </c>
      <c r="N204" s="3">
        <v>1.0960648148148148E-2</v>
      </c>
      <c r="O204" s="3">
        <v>1.2164351851851852E-2</v>
      </c>
      <c r="P204" s="5"/>
      <c r="Q204" s="53"/>
      <c r="R204" s="53"/>
      <c r="U204" s="53"/>
      <c r="W204" s="1">
        <f t="shared" si="28"/>
        <v>2.1558007023124784E-4</v>
      </c>
      <c r="X204" s="1">
        <f t="shared" si="29"/>
        <v>-2.1558007023124784E-4</v>
      </c>
      <c r="Y204" s="9"/>
      <c r="AB204" s="1">
        <f t="shared" si="23"/>
        <v>1.3773148148148139E-3</v>
      </c>
      <c r="AC204" s="1"/>
      <c r="AE204" s="1"/>
      <c r="AF204" s="1"/>
    </row>
    <row r="205" spans="1:32" x14ac:dyDescent="0.2">
      <c r="A205">
        <v>1017</v>
      </c>
      <c r="B205" s="27" t="s">
        <v>3325</v>
      </c>
      <c r="C205" s="74" t="s">
        <v>3324</v>
      </c>
      <c r="D205" s="24">
        <f>Runners!S1000</f>
        <v>6</v>
      </c>
      <c r="E205" s="183">
        <f>Runners!S999</f>
        <v>8</v>
      </c>
      <c r="F205" s="1415" t="s">
        <v>5096</v>
      </c>
      <c r="G205" s="1412">
        <v>1.4583333333333332E-2</v>
      </c>
      <c r="H205" s="1416" t="s">
        <v>5903</v>
      </c>
      <c r="I205" s="1530">
        <v>2.074074074074074E-2</v>
      </c>
      <c r="J205" s="1" t="s">
        <v>5895</v>
      </c>
      <c r="K205" s="34">
        <v>42126</v>
      </c>
      <c r="L205" s="9">
        <v>167</v>
      </c>
      <c r="M205" s="8">
        <v>1.9918981481481482E-2</v>
      </c>
      <c r="N205" s="3">
        <v>1.1377314814814814E-2</v>
      </c>
      <c r="O205" s="3">
        <v>1.2268518518518519E-2</v>
      </c>
      <c r="P205" s="5"/>
      <c r="Q205" s="53"/>
      <c r="R205" s="53"/>
      <c r="U205" s="53"/>
      <c r="W205" s="1">
        <f t="shared" si="28"/>
        <v>-2.0108659643541804E-4</v>
      </c>
      <c r="X205" s="1">
        <f t="shared" si="29"/>
        <v>2.0108659643541804E-4</v>
      </c>
      <c r="Y205" s="9">
        <v>35</v>
      </c>
      <c r="Z205">
        <f t="shared" si="0"/>
        <v>1225</v>
      </c>
      <c r="AB205" s="1">
        <f t="shared" si="23"/>
        <v>1.7939814814814797E-3</v>
      </c>
      <c r="AC205" s="1"/>
      <c r="AE205" s="1"/>
      <c r="AF205" s="1"/>
    </row>
    <row r="206" spans="1:32" x14ac:dyDescent="0.2">
      <c r="A206">
        <v>2245</v>
      </c>
      <c r="B206" s="27" t="s">
        <v>11873</v>
      </c>
      <c r="C206" s="415" t="s">
        <v>11874</v>
      </c>
      <c r="D206" s="24">
        <f>Runners!L657</f>
        <v>4</v>
      </c>
      <c r="E206" s="183">
        <f>Runners!L656</f>
        <v>9</v>
      </c>
      <c r="F206" s="1415" t="s">
        <v>3790</v>
      </c>
      <c r="G206" s="1412">
        <v>1.7303240740740741E-2</v>
      </c>
      <c r="H206" s="1416" t="s">
        <v>9806</v>
      </c>
      <c r="I206" s="1530">
        <v>1.4479166666666668E-2</v>
      </c>
      <c r="J206" s="1" t="s">
        <v>756</v>
      </c>
      <c r="K206" s="34">
        <v>43519</v>
      </c>
      <c r="L206" s="1398">
        <v>472</v>
      </c>
      <c r="P206" s="5"/>
      <c r="Q206" s="53"/>
      <c r="R206" s="53"/>
      <c r="U206" s="53"/>
      <c r="W206" s="1"/>
      <c r="X206" s="1"/>
      <c r="Y206" s="9"/>
      <c r="AB206" s="1"/>
      <c r="AC206" s="1"/>
      <c r="AE206" s="1"/>
      <c r="AF206" s="1"/>
    </row>
    <row r="207" spans="1:32" x14ac:dyDescent="0.2">
      <c r="A207">
        <v>24</v>
      </c>
      <c r="B207" s="27" t="s">
        <v>1597</v>
      </c>
      <c r="C207" s="74" t="s">
        <v>861</v>
      </c>
      <c r="D207" s="24">
        <f>Runners!S460</f>
        <v>9</v>
      </c>
      <c r="E207" s="183">
        <f>Runners!S459</f>
        <v>11</v>
      </c>
      <c r="F207" s="1411" t="s">
        <v>2334</v>
      </c>
      <c r="G207" s="1412">
        <v>1.2511574074074073E-2</v>
      </c>
      <c r="H207" s="1376" t="s">
        <v>1440</v>
      </c>
      <c r="I207" s="1275">
        <v>2.0347222222222221E-2</v>
      </c>
      <c r="J207" s="1" t="s">
        <v>2334</v>
      </c>
      <c r="K207" s="34">
        <v>40432</v>
      </c>
      <c r="L207" s="9">
        <v>8</v>
      </c>
      <c r="M207" s="8">
        <v>1.7638888888888888E-2</v>
      </c>
      <c r="N207" s="3">
        <v>1.0486111111111111E-2</v>
      </c>
      <c r="O207" s="3">
        <v>1.2546296296296297E-2</v>
      </c>
      <c r="P207" t="s">
        <v>554</v>
      </c>
      <c r="W207" s="1">
        <f>$N$700-N207</f>
        <v>6.9011710726828504E-4</v>
      </c>
      <c r="X207" s="1">
        <f>N207-$N$700</f>
        <v>-6.9011710726828504E-4</v>
      </c>
      <c r="Y207" s="9">
        <v>42</v>
      </c>
      <c r="Z207">
        <f t="shared" si="0"/>
        <v>1764</v>
      </c>
      <c r="AB207" s="1">
        <f t="shared" si="23"/>
        <v>9.0277777777777665E-4</v>
      </c>
      <c r="AC207" s="1"/>
      <c r="AE207" s="1"/>
      <c r="AF207" s="1"/>
    </row>
    <row r="208" spans="1:32" x14ac:dyDescent="0.2">
      <c r="A208">
        <v>2188</v>
      </c>
      <c r="B208" s="27" t="s">
        <v>11406</v>
      </c>
      <c r="C208" s="415" t="s">
        <v>11405</v>
      </c>
      <c r="D208" s="24">
        <f>Runners!P714</f>
        <v>3</v>
      </c>
      <c r="E208" s="183">
        <f>Runners!P713</f>
        <v>10</v>
      </c>
      <c r="F208" s="1415" t="s">
        <v>10904</v>
      </c>
      <c r="G208" s="1412">
        <v>1.8310185185185186E-2</v>
      </c>
      <c r="H208" s="1370" t="s">
        <v>1062</v>
      </c>
      <c r="I208" s="1">
        <v>2.2997685185185187E-2</v>
      </c>
      <c r="J208" s="1" t="s">
        <v>4637</v>
      </c>
      <c r="K208" s="34">
        <v>43463</v>
      </c>
      <c r="L208" s="1398">
        <v>459</v>
      </c>
      <c r="M208" s="8">
        <v>1.9895833333333331E-2</v>
      </c>
      <c r="N208" s="3">
        <v>1.2534722222222223E-2</v>
      </c>
      <c r="O208" s="3">
        <v>1.4259259259259261E-2</v>
      </c>
      <c r="W208" s="1">
        <f>$N$700-N208</f>
        <v>-1.3584940038428271E-3</v>
      </c>
      <c r="X208" s="1">
        <f>N208-$N$700</f>
        <v>1.3584940038428271E-3</v>
      </c>
      <c r="Y208" s="9"/>
      <c r="AB208" s="1">
        <f t="shared" si="23"/>
        <v>2.9513888888888888E-3</v>
      </c>
      <c r="AC208" s="1"/>
      <c r="AE208" s="1"/>
      <c r="AF208" s="1"/>
    </row>
    <row r="209" spans="1:33" x14ac:dyDescent="0.2">
      <c r="A209">
        <v>1744</v>
      </c>
      <c r="B209" s="493" t="s">
        <v>10116</v>
      </c>
      <c r="C209" s="415" t="s">
        <v>10111</v>
      </c>
      <c r="D209" s="24">
        <f>Runners!G1225</f>
        <v>4</v>
      </c>
      <c r="E209" s="183">
        <f>Runners!G1224</f>
        <v>6</v>
      </c>
      <c r="F209" s="1415" t="s">
        <v>3790</v>
      </c>
      <c r="G209" s="1412">
        <v>1.6550925925925924E-2</v>
      </c>
      <c r="H209" s="1370" t="s">
        <v>4596</v>
      </c>
      <c r="I209" s="1">
        <v>1.7372685185185185E-2</v>
      </c>
      <c r="J209" s="334" t="s">
        <v>9479</v>
      </c>
      <c r="K209" s="34">
        <v>42909</v>
      </c>
      <c r="L209" s="1398">
        <v>414</v>
      </c>
      <c r="M209" s="8">
        <v>1.9328703703703702E-2</v>
      </c>
      <c r="N209" s="3">
        <v>1.1041666666666667E-2</v>
      </c>
      <c r="O209" s="3">
        <v>1.2511574074074073E-2</v>
      </c>
      <c r="W209" s="1">
        <f>$N$700-N209</f>
        <v>1.3456155171272938E-4</v>
      </c>
      <c r="X209" s="1">
        <f>N209-$N$700</f>
        <v>-1.3456155171272938E-4</v>
      </c>
      <c r="Y209" s="9"/>
      <c r="AB209" s="1">
        <f t="shared" si="23"/>
        <v>1.4583333333333323E-3</v>
      </c>
      <c r="AC209" s="1"/>
      <c r="AE209" s="1"/>
      <c r="AF209" s="1"/>
    </row>
    <row r="210" spans="1:33" x14ac:dyDescent="0.2">
      <c r="A210">
        <v>2165</v>
      </c>
      <c r="B210" s="493" t="s">
        <v>15937</v>
      </c>
      <c r="C210" s="415" t="s">
        <v>15936</v>
      </c>
      <c r="D210" s="24">
        <f>Runners!T1000</f>
        <v>1</v>
      </c>
      <c r="E210" s="183">
        <f>Runners!T999</f>
        <v>1</v>
      </c>
      <c r="F210" s="1415" t="s">
        <v>1270</v>
      </c>
      <c r="G210" s="1412">
        <v>1.6655092592592593E-2</v>
      </c>
      <c r="H210" s="1370"/>
      <c r="J210" s="334" t="s">
        <v>1270</v>
      </c>
      <c r="K210" s="34">
        <v>43775</v>
      </c>
      <c r="L210" s="1398"/>
      <c r="W210" s="1"/>
      <c r="X210" s="1"/>
      <c r="Y210" s="9"/>
      <c r="AB210" s="1"/>
      <c r="AC210" s="1"/>
      <c r="AE210" s="1"/>
      <c r="AF210" s="1"/>
    </row>
    <row r="211" spans="1:33" x14ac:dyDescent="0.2">
      <c r="A211">
        <v>1383</v>
      </c>
      <c r="B211" s="493" t="s">
        <v>3641</v>
      </c>
      <c r="C211" s="415" t="s">
        <v>3640</v>
      </c>
      <c r="D211" s="24">
        <f>Runners!I1354</f>
        <v>2</v>
      </c>
      <c r="E211" s="183">
        <f>Runners!I1353</f>
        <v>2</v>
      </c>
      <c r="F211" s="79" t="s">
        <v>1000</v>
      </c>
      <c r="G211" s="1">
        <v>1.818287037037037E-2</v>
      </c>
      <c r="J211" s="334" t="s">
        <v>1000</v>
      </c>
      <c r="K211" s="34">
        <v>42854</v>
      </c>
      <c r="L211" s="9">
        <v>331</v>
      </c>
      <c r="M211" s="8">
        <v>2.074074074074074E-2</v>
      </c>
      <c r="N211" s="3">
        <v>1.0833333333333334E-2</v>
      </c>
      <c r="O211" s="3">
        <v>1.3148148148148147E-2</v>
      </c>
      <c r="W211" s="1">
        <f>$N$700-N211</f>
        <v>3.4289488504606232E-4</v>
      </c>
      <c r="X211" s="1">
        <f>N211-$N$700</f>
        <v>-3.4289488504606232E-4</v>
      </c>
      <c r="Y211" s="9"/>
      <c r="AB211" s="1">
        <f t="shared" si="23"/>
        <v>1.2499999999999994E-3</v>
      </c>
      <c r="AC211" s="1"/>
      <c r="AE211" s="1"/>
      <c r="AF211" s="1"/>
    </row>
    <row r="212" spans="1:33" x14ac:dyDescent="0.2">
      <c r="A212">
        <v>965</v>
      </c>
      <c r="B212" s="27" t="s">
        <v>4813</v>
      </c>
      <c r="C212" s="415" t="s">
        <v>769</v>
      </c>
      <c r="D212" s="24">
        <f>Runners!K579</f>
        <v>2</v>
      </c>
      <c r="E212" s="183">
        <f>Runners!K578</f>
        <v>2</v>
      </c>
      <c r="F212" s="6"/>
      <c r="H212" s="206" t="s">
        <v>1440</v>
      </c>
      <c r="I212" s="1">
        <v>1.877314814814815E-2</v>
      </c>
      <c r="J212" s="1" t="s">
        <v>1440</v>
      </c>
      <c r="K212" s="34">
        <v>42595</v>
      </c>
      <c r="L212" s="9">
        <v>281</v>
      </c>
      <c r="M212" s="8">
        <v>1.9375E-2</v>
      </c>
      <c r="N212" s="3">
        <v>1.1261574074074071E-2</v>
      </c>
      <c r="O212" s="3">
        <v>1.3414351851851851E-2</v>
      </c>
      <c r="W212" s="1">
        <f>$N$700-N212</f>
        <v>-8.5345855694675399E-5</v>
      </c>
      <c r="X212" s="1">
        <f>N212-$N$700</f>
        <v>8.5345855694675399E-5</v>
      </c>
      <c r="Y212" s="9"/>
      <c r="AB212" s="1">
        <f t="shared" si="23"/>
        <v>1.6782407407407371E-3</v>
      </c>
      <c r="AC212" s="1"/>
      <c r="AE212" s="1"/>
      <c r="AF212" s="1"/>
    </row>
    <row r="213" spans="1:33" x14ac:dyDescent="0.2">
      <c r="A213">
        <v>1545</v>
      </c>
      <c r="B213" s="493" t="s">
        <v>15932</v>
      </c>
      <c r="C213" s="415" t="s">
        <v>15933</v>
      </c>
      <c r="D213" s="24">
        <f>Runners!S1225</f>
        <v>1</v>
      </c>
      <c r="E213" s="183">
        <f>Runners!S1224</f>
        <v>1</v>
      </c>
      <c r="F213" s="79" t="s">
        <v>756</v>
      </c>
      <c r="G213" s="1">
        <v>2.0428240740740743E-2</v>
      </c>
      <c r="H213" s="206"/>
      <c r="J213" s="334" t="s">
        <v>756</v>
      </c>
      <c r="K213" s="34">
        <v>43775</v>
      </c>
      <c r="W213" s="1"/>
      <c r="X213" s="1"/>
      <c r="Y213" s="9"/>
      <c r="AB213" s="1"/>
      <c r="AC213" s="1"/>
      <c r="AE213" s="1"/>
      <c r="AF213" s="1"/>
    </row>
    <row r="214" spans="1:33" x14ac:dyDescent="0.2">
      <c r="A214">
        <v>2051</v>
      </c>
      <c r="B214" s="556" t="s">
        <v>10274</v>
      </c>
      <c r="C214" s="532" t="s">
        <v>10439</v>
      </c>
      <c r="D214" s="531">
        <f>Runners!T460</f>
        <v>2</v>
      </c>
      <c r="E214" s="541">
        <f>Runners!T459</f>
        <v>3</v>
      </c>
      <c r="F214" s="6" t="s">
        <v>1000</v>
      </c>
      <c r="G214" s="1">
        <v>2.0555555555555556E-2</v>
      </c>
      <c r="H214" s="206"/>
      <c r="J214" s="1" t="s">
        <v>4778</v>
      </c>
      <c r="K214" s="34">
        <v>43309</v>
      </c>
      <c r="L214" s="1398">
        <v>430</v>
      </c>
      <c r="M214" s="8">
        <v>2.0497685185185185E-2</v>
      </c>
      <c r="N214" s="3">
        <v>1.1469907407407408E-2</v>
      </c>
      <c r="O214" s="3">
        <v>1.3715277777777778E-2</v>
      </c>
      <c r="P214" t="s">
        <v>1212</v>
      </c>
      <c r="W214" s="1">
        <f t="shared" ref="W214:W221" si="30">$N$700-N214</f>
        <v>-2.9367918902801181E-4</v>
      </c>
      <c r="X214" s="1">
        <f t="shared" ref="X214:X221" si="31">N214-$N$700</f>
        <v>2.9367918902801181E-4</v>
      </c>
      <c r="Y214" s="9"/>
      <c r="AB214" s="1">
        <f t="shared" si="23"/>
        <v>1.8865740740740735E-3</v>
      </c>
      <c r="AC214" s="1"/>
      <c r="AE214" s="1"/>
      <c r="AF214" s="1"/>
    </row>
    <row r="215" spans="1:33" x14ac:dyDescent="0.2">
      <c r="A215">
        <v>68</v>
      </c>
      <c r="B215" s="493" t="s">
        <v>3638</v>
      </c>
      <c r="C215" s="415" t="s">
        <v>4530</v>
      </c>
      <c r="D215" s="24">
        <f>Runners!O714</f>
        <v>6</v>
      </c>
      <c r="E215" s="183">
        <f>Runners!O713</f>
        <v>6</v>
      </c>
      <c r="F215" s="1415" t="s">
        <v>334</v>
      </c>
      <c r="G215" s="1412">
        <v>1.3807870370370371E-2</v>
      </c>
      <c r="H215" s="197" t="s">
        <v>5241</v>
      </c>
      <c r="I215" s="1">
        <v>1.5821759259259261E-2</v>
      </c>
      <c r="J215" s="334" t="s">
        <v>5096</v>
      </c>
      <c r="K215" s="34">
        <v>42742</v>
      </c>
      <c r="L215" s="9">
        <v>316</v>
      </c>
      <c r="M215" s="8">
        <v>1.9814814814814816E-2</v>
      </c>
      <c r="N215" s="3">
        <v>1.1574074074074075E-2</v>
      </c>
      <c r="O215" s="3">
        <v>1.1979166666666666E-2</v>
      </c>
      <c r="W215" s="1">
        <f t="shared" si="30"/>
        <v>-3.9784585569467915E-4</v>
      </c>
      <c r="X215" s="1">
        <f t="shared" si="31"/>
        <v>3.9784585569467915E-4</v>
      </c>
      <c r="Y215" s="9"/>
      <c r="AB215" s="1">
        <f t="shared" si="23"/>
        <v>1.9907407407407408E-3</v>
      </c>
      <c r="AC215" s="1"/>
      <c r="AE215" s="1"/>
      <c r="AF215" s="1"/>
    </row>
    <row r="216" spans="1:33" x14ac:dyDescent="0.2">
      <c r="A216">
        <v>481</v>
      </c>
      <c r="B216" s="27" t="s">
        <v>930</v>
      </c>
      <c r="C216" s="74" t="s">
        <v>933</v>
      </c>
      <c r="D216" s="24">
        <f>Runners!V957</f>
        <v>4</v>
      </c>
      <c r="E216" s="183">
        <f>Runners!V956</f>
        <v>9</v>
      </c>
      <c r="F216" s="6" t="s">
        <v>5096</v>
      </c>
      <c r="G216" s="1">
        <v>1.4791666666666668E-2</v>
      </c>
      <c r="J216" s="1" t="s">
        <v>1987</v>
      </c>
      <c r="K216" s="34">
        <v>42147</v>
      </c>
      <c r="L216" s="9">
        <v>172</v>
      </c>
      <c r="M216" s="8">
        <v>1.923611111111111E-2</v>
      </c>
      <c r="N216" s="3">
        <v>1.0752314814814814E-2</v>
      </c>
      <c r="O216" s="3">
        <v>1.3182870370370371E-2</v>
      </c>
      <c r="W216" s="1">
        <f t="shared" si="30"/>
        <v>4.2391340356458251E-4</v>
      </c>
      <c r="X216" s="1">
        <f t="shared" si="31"/>
        <v>-4.2391340356458251E-4</v>
      </c>
      <c r="Y216" s="9">
        <v>19</v>
      </c>
      <c r="Z216">
        <f t="shared" si="0"/>
        <v>361</v>
      </c>
      <c r="AB216" s="1">
        <f t="shared" si="23"/>
        <v>1.1689814814814792E-3</v>
      </c>
      <c r="AC216" s="1"/>
      <c r="AE216" s="1"/>
      <c r="AF216" s="1"/>
    </row>
    <row r="217" spans="1:33" x14ac:dyDescent="0.2">
      <c r="A217">
        <v>1936</v>
      </c>
      <c r="B217" s="493" t="s">
        <v>12576</v>
      </c>
      <c r="C217" s="415" t="s">
        <v>12577</v>
      </c>
      <c r="D217" s="24">
        <f>Runners!H1225</f>
        <v>1</v>
      </c>
      <c r="E217" s="183">
        <f>Runners!H1224</f>
        <v>1</v>
      </c>
      <c r="F217" s="79" t="s">
        <v>756</v>
      </c>
      <c r="G217" s="1">
        <v>2.0555555555555556E-2</v>
      </c>
      <c r="J217" s="334" t="s">
        <v>756</v>
      </c>
      <c r="K217" s="34">
        <v>43589</v>
      </c>
      <c r="L217" s="1398">
        <v>492</v>
      </c>
      <c r="M217" s="8">
        <v>2.0219907407407409E-2</v>
      </c>
      <c r="N217" s="3">
        <v>1.1620370370370371E-2</v>
      </c>
      <c r="O217" s="3">
        <v>1.3379629629629628E-2</v>
      </c>
      <c r="W217" s="1">
        <f t="shared" si="30"/>
        <v>-4.4414215199097516E-4</v>
      </c>
      <c r="X217" s="1">
        <f t="shared" si="31"/>
        <v>4.4414215199097516E-4</v>
      </c>
      <c r="Y217" s="9"/>
      <c r="AB217" s="1">
        <f t="shared" si="23"/>
        <v>2.0370370370370369E-3</v>
      </c>
      <c r="AC217" s="1"/>
      <c r="AE217" s="1"/>
      <c r="AF217" s="1"/>
    </row>
    <row r="218" spans="1:33" x14ac:dyDescent="0.2">
      <c r="A218">
        <v>1410</v>
      </c>
      <c r="B218" s="493" t="s">
        <v>9345</v>
      </c>
      <c r="C218" s="415" t="s">
        <v>9344</v>
      </c>
      <c r="D218" s="24">
        <f>Runners!H1410</f>
        <v>1</v>
      </c>
      <c r="E218" s="183">
        <f>Runners!H1409</f>
        <v>1</v>
      </c>
      <c r="F218" s="79" t="s">
        <v>5882</v>
      </c>
      <c r="G218" s="1">
        <v>1.6261574074074074E-2</v>
      </c>
      <c r="J218" s="334" t="s">
        <v>5882</v>
      </c>
      <c r="K218" s="34">
        <v>43155</v>
      </c>
      <c r="L218" s="1398">
        <v>388</v>
      </c>
      <c r="M218" s="8">
        <v>2.6516203703703698E-2</v>
      </c>
      <c r="N218" s="3">
        <v>1.1504629629629629E-2</v>
      </c>
      <c r="O218" s="3">
        <v>1.4756944444444446E-2</v>
      </c>
      <c r="W218" s="1">
        <f t="shared" si="30"/>
        <v>-3.2840141125023252E-4</v>
      </c>
      <c r="X218" s="1">
        <f t="shared" si="31"/>
        <v>3.2840141125023252E-4</v>
      </c>
      <c r="Y218" s="9"/>
      <c r="AB218" s="1">
        <f t="shared" si="23"/>
        <v>1.9212962962962942E-3</v>
      </c>
      <c r="AC218" s="1"/>
      <c r="AE218" s="1"/>
      <c r="AF218" s="1"/>
    </row>
    <row r="219" spans="1:33" x14ac:dyDescent="0.2">
      <c r="A219">
        <v>49</v>
      </c>
      <c r="B219" s="27" t="s">
        <v>1704</v>
      </c>
      <c r="C219" s="74" t="s">
        <v>5948</v>
      </c>
      <c r="D219" s="183">
        <f>Runners!I309</f>
        <v>31</v>
      </c>
      <c r="E219" s="183">
        <f>Runners!I308</f>
        <v>123</v>
      </c>
      <c r="F219" s="6" t="s">
        <v>5881</v>
      </c>
      <c r="G219" s="1">
        <v>1.324074074074074E-2</v>
      </c>
      <c r="H219" s="197" t="s">
        <v>9806</v>
      </c>
      <c r="I219" s="1">
        <v>1.4641203703703703E-2</v>
      </c>
      <c r="J219" s="1" t="s">
        <v>5949</v>
      </c>
      <c r="K219" s="34">
        <v>40222</v>
      </c>
      <c r="L219" s="9">
        <v>6</v>
      </c>
      <c r="M219" s="8">
        <v>1.8356481481481481E-2</v>
      </c>
      <c r="N219" s="3">
        <v>1.0706018518518517E-2</v>
      </c>
      <c r="O219" s="3">
        <v>1.252314814814815E-2</v>
      </c>
      <c r="W219" s="1">
        <f t="shared" si="30"/>
        <v>4.7020969986087853E-4</v>
      </c>
      <c r="X219" s="1">
        <f t="shared" si="31"/>
        <v>-4.7020969986087853E-4</v>
      </c>
      <c r="Y219" s="9">
        <v>23</v>
      </c>
      <c r="Z219">
        <f t="shared" si="0"/>
        <v>529</v>
      </c>
      <c r="AB219" s="1">
        <f t="shared" si="23"/>
        <v>1.1226851851851832E-3</v>
      </c>
      <c r="AC219" s="1"/>
      <c r="AE219" s="1"/>
      <c r="AF219" s="1"/>
    </row>
    <row r="220" spans="1:33" x14ac:dyDescent="0.2">
      <c r="A220">
        <v>376</v>
      </c>
      <c r="B220" s="27" t="s">
        <v>1268</v>
      </c>
      <c r="C220" s="74" t="s">
        <v>1535</v>
      </c>
      <c r="D220" s="24">
        <f>Runners!U815</f>
        <v>1</v>
      </c>
      <c r="E220" s="183">
        <f>Runners!U814</f>
        <v>1</v>
      </c>
      <c r="F220" s="6" t="s">
        <v>909</v>
      </c>
      <c r="G220" s="1">
        <v>1.741898148148148E-2</v>
      </c>
      <c r="H220" s="206"/>
      <c r="J220" s="1" t="s">
        <v>909</v>
      </c>
      <c r="K220" s="34">
        <v>42595</v>
      </c>
      <c r="L220" s="9">
        <v>280</v>
      </c>
      <c r="M220" s="8">
        <v>1.9270833333333334E-2</v>
      </c>
      <c r="N220" s="3">
        <v>1.1631944444444445E-2</v>
      </c>
      <c r="O220" s="3">
        <v>1.3287037037037036E-2</v>
      </c>
      <c r="W220" s="1">
        <f t="shared" si="30"/>
        <v>-4.5571622606504873E-4</v>
      </c>
      <c r="X220" s="1">
        <f t="shared" si="31"/>
        <v>4.5571622606504873E-4</v>
      </c>
      <c r="Y220" s="9"/>
      <c r="AB220" s="1">
        <f t="shared" si="23"/>
        <v>2.0486111111111104E-3</v>
      </c>
      <c r="AC220" s="1"/>
      <c r="AE220" s="1"/>
      <c r="AF220" s="1"/>
    </row>
    <row r="221" spans="1:33" x14ac:dyDescent="0.2">
      <c r="A221">
        <v>674</v>
      </c>
      <c r="B221" s="27" t="s">
        <v>4007</v>
      </c>
      <c r="C221" s="74" t="s">
        <v>4004</v>
      </c>
      <c r="D221" s="24">
        <f>Runners!L148</f>
        <v>29</v>
      </c>
      <c r="E221" s="541">
        <f>Runners!L147</f>
        <v>131</v>
      </c>
      <c r="F221" s="79" t="s">
        <v>11185</v>
      </c>
      <c r="G221" s="1">
        <v>1.2314814814814815E-2</v>
      </c>
      <c r="H221" s="206" t="s">
        <v>2670</v>
      </c>
      <c r="I221" s="1">
        <v>1.4074074074074074E-2</v>
      </c>
      <c r="J221" s="1" t="s">
        <v>4778</v>
      </c>
      <c r="K221" s="34">
        <v>41566</v>
      </c>
      <c r="L221" s="9">
        <v>74</v>
      </c>
      <c r="M221" s="8">
        <v>1.7870370370370373E-2</v>
      </c>
      <c r="N221" s="3">
        <v>1.045138888888889E-2</v>
      </c>
      <c r="O221" s="3">
        <v>1.1840277777777778E-2</v>
      </c>
      <c r="P221" t="s">
        <v>1966</v>
      </c>
      <c r="W221" s="1">
        <f t="shared" si="30"/>
        <v>7.2483932949050575E-4</v>
      </c>
      <c r="X221" s="1">
        <f t="shared" si="31"/>
        <v>-7.2483932949050575E-4</v>
      </c>
      <c r="Y221" s="9">
        <v>21</v>
      </c>
      <c r="Z221">
        <f t="shared" si="0"/>
        <v>441</v>
      </c>
      <c r="AB221" s="1">
        <f t="shared" si="23"/>
        <v>8.6805555555555594E-4</v>
      </c>
      <c r="AC221" s="1"/>
      <c r="AE221" s="1"/>
      <c r="AF221" s="1"/>
    </row>
    <row r="222" spans="1:33" x14ac:dyDescent="0.2">
      <c r="A222">
        <v>2295</v>
      </c>
      <c r="B222" s="27" t="s">
        <v>12162</v>
      </c>
      <c r="C222" s="415" t="s">
        <v>12768</v>
      </c>
      <c r="D222" s="24">
        <f>Runners!M1271</f>
        <v>1</v>
      </c>
      <c r="E222" s="183">
        <f>Runners!M1270</f>
        <v>1</v>
      </c>
      <c r="F222" s="79"/>
      <c r="H222" s="80" t="s">
        <v>3254</v>
      </c>
      <c r="I222" s="1">
        <v>1.8761574074074073E-2</v>
      </c>
      <c r="J222" s="334" t="s">
        <v>3254</v>
      </c>
      <c r="K222" s="34">
        <v>43561</v>
      </c>
      <c r="L222" s="1398">
        <v>484</v>
      </c>
      <c r="M222" s="8">
        <v>2.2766203703703702E-2</v>
      </c>
      <c r="N222" s="143">
        <v>1.1817129629629629E-2</v>
      </c>
      <c r="O222" s="143">
        <v>1.4201388888888888E-2</v>
      </c>
      <c r="P222" s="3"/>
      <c r="X222" s="1">
        <f>$N$700-O222</f>
        <v>-3.0251606705094924E-3</v>
      </c>
      <c r="Y222" s="1">
        <f>O222-$N$700</f>
        <v>3.0251606705094924E-3</v>
      </c>
      <c r="Z222" s="9"/>
      <c r="AC222" s="1">
        <f t="shared" si="23"/>
        <v>4.6180555555555541E-3</v>
      </c>
      <c r="AD222" s="1"/>
      <c r="AF222" s="1"/>
      <c r="AG222" s="1"/>
    </row>
    <row r="223" spans="1:33" x14ac:dyDescent="0.2">
      <c r="A223">
        <v>363</v>
      </c>
      <c r="B223" s="27" t="s">
        <v>5274</v>
      </c>
      <c r="C223" s="15" t="s">
        <v>3858</v>
      </c>
      <c r="D223" s="24">
        <f>Runners!R539</f>
        <v>4</v>
      </c>
      <c r="E223" s="183">
        <f>Runners!R538</f>
        <v>9</v>
      </c>
      <c r="F223" s="6" t="s">
        <v>5096</v>
      </c>
      <c r="G223" s="1">
        <v>1.5092592592592593E-2</v>
      </c>
      <c r="H223" s="206" t="s">
        <v>4574</v>
      </c>
      <c r="I223" s="1">
        <v>2.1446759259259259E-2</v>
      </c>
      <c r="J223" s="1" t="s">
        <v>5096</v>
      </c>
      <c r="K223" s="34">
        <v>42126</v>
      </c>
      <c r="L223" s="1398">
        <v>165</v>
      </c>
      <c r="M223" s="8">
        <v>2.0902777777777781E-2</v>
      </c>
      <c r="N223" s="3">
        <v>1.1203703703703704E-2</v>
      </c>
      <c r="O223" s="3">
        <v>1.3414351851851851E-2</v>
      </c>
      <c r="W223" s="1">
        <f>$N$700-N223</f>
        <v>-2.7475485324307547E-5</v>
      </c>
      <c r="X223" s="1">
        <f>N223-$N$700</f>
        <v>2.7475485324307547E-5</v>
      </c>
      <c r="Y223" s="9">
        <v>20</v>
      </c>
      <c r="Z223">
        <f t="shared" si="0"/>
        <v>400</v>
      </c>
      <c r="AB223" s="1">
        <f t="shared" si="23"/>
        <v>1.6203703703703692E-3</v>
      </c>
      <c r="AC223" s="1"/>
      <c r="AE223" s="1"/>
      <c r="AF223" s="1"/>
    </row>
    <row r="224" spans="1:33" x14ac:dyDescent="0.2">
      <c r="A224">
        <v>196</v>
      </c>
      <c r="B224" s="568" t="s">
        <v>11075</v>
      </c>
      <c r="C224" s="568" t="s">
        <v>10401</v>
      </c>
      <c r="D224" s="585"/>
      <c r="E224" s="1002"/>
      <c r="F224" s="6"/>
      <c r="H224" s="206"/>
      <c r="K224" s="34"/>
      <c r="L224" s="1398"/>
      <c r="W224" s="1"/>
      <c r="X224" s="1"/>
      <c r="Y224" s="9"/>
      <c r="AB224" s="1"/>
      <c r="AC224" s="1"/>
      <c r="AE224" s="1"/>
      <c r="AF224" s="1"/>
    </row>
    <row r="225" spans="1:32" x14ac:dyDescent="0.2">
      <c r="A225">
        <v>1531</v>
      </c>
      <c r="B225" s="27" t="s">
        <v>3734</v>
      </c>
      <c r="C225" s="74" t="s">
        <v>3735</v>
      </c>
      <c r="D225" s="24">
        <f>Runners!L1289</f>
        <v>2</v>
      </c>
      <c r="E225" s="183">
        <f>Runners!L1288</f>
        <v>2</v>
      </c>
      <c r="F225" s="6" t="s">
        <v>909</v>
      </c>
      <c r="G225" s="1">
        <v>2.1967592592592594E-2</v>
      </c>
      <c r="H225" s="502" t="s">
        <v>5894</v>
      </c>
      <c r="I225" s="1">
        <v>2.1956018518518517E-2</v>
      </c>
      <c r="J225" s="1" t="s">
        <v>4322</v>
      </c>
      <c r="K225" s="34">
        <v>42658</v>
      </c>
      <c r="L225" s="1398">
        <v>291</v>
      </c>
      <c r="M225" s="8">
        <v>2.342592592592593E-2</v>
      </c>
      <c r="N225" s="3">
        <v>1.2395833333333335E-2</v>
      </c>
      <c r="O225" s="3">
        <v>1.4606481481481482E-2</v>
      </c>
      <c r="W225" s="1">
        <f t="shared" ref="W225:W230" si="32">$N$700-N225</f>
        <v>-1.2196051149539391E-3</v>
      </c>
      <c r="X225" s="1">
        <f t="shared" ref="X225:X230" si="33">N225-$N$700</f>
        <v>1.2196051149539391E-3</v>
      </c>
      <c r="Y225" s="9"/>
      <c r="AB225" s="1">
        <f t="shared" si="23"/>
        <v>2.8125000000000008E-3</v>
      </c>
      <c r="AC225" s="1"/>
      <c r="AE225" s="1"/>
      <c r="AF225" s="1"/>
    </row>
    <row r="226" spans="1:32" x14ac:dyDescent="0.2">
      <c r="A226">
        <v>1817</v>
      </c>
      <c r="B226" s="27" t="s">
        <v>11844</v>
      </c>
      <c r="C226" s="415" t="s">
        <v>9165</v>
      </c>
      <c r="D226" s="24">
        <f>Runners!M1304</f>
        <v>1</v>
      </c>
      <c r="E226" s="183">
        <f>Runners!M1303</f>
        <v>1</v>
      </c>
      <c r="F226" s="6" t="s">
        <v>756</v>
      </c>
      <c r="G226" s="1">
        <v>2.0162037037037037E-2</v>
      </c>
      <c r="H226" s="502"/>
      <c r="J226" s="1" t="s">
        <v>756</v>
      </c>
      <c r="K226" s="34">
        <v>43512</v>
      </c>
      <c r="L226" s="1398">
        <v>469</v>
      </c>
      <c r="M226" s="8">
        <v>2.2175925925925929E-2</v>
      </c>
      <c r="N226" s="3">
        <v>1.074074074074074E-2</v>
      </c>
      <c r="O226" s="3">
        <v>1.306712962962963E-2</v>
      </c>
      <c r="W226" s="1">
        <f t="shared" si="32"/>
        <v>4.3548747763865608E-4</v>
      </c>
      <c r="X226" s="1">
        <f t="shared" si="33"/>
        <v>-4.3548747763865608E-4</v>
      </c>
      <c r="Y226" s="9"/>
      <c r="AB226" s="1">
        <f t="shared" si="23"/>
        <v>1.1574074074074056E-3</v>
      </c>
      <c r="AC226" s="1"/>
      <c r="AE226" s="1"/>
      <c r="AF226" s="1"/>
    </row>
    <row r="227" spans="1:32" x14ac:dyDescent="0.2">
      <c r="A227">
        <v>248</v>
      </c>
      <c r="B227" s="27" t="s">
        <v>2863</v>
      </c>
      <c r="C227" s="74" t="s">
        <v>4835</v>
      </c>
      <c r="D227" s="24">
        <f>Runners!M1073</f>
        <v>4</v>
      </c>
      <c r="E227" s="183">
        <f>Runners!M1072</f>
        <v>10</v>
      </c>
      <c r="F227" s="6" t="s">
        <v>298</v>
      </c>
      <c r="G227" s="1">
        <v>1.6099537037037037E-2</v>
      </c>
      <c r="H227" s="80" t="s">
        <v>5903</v>
      </c>
      <c r="I227" s="1">
        <v>1.877314814814815E-2</v>
      </c>
      <c r="J227" s="1" t="s">
        <v>298</v>
      </c>
      <c r="K227" s="34">
        <v>42469</v>
      </c>
      <c r="L227" s="9">
        <v>246</v>
      </c>
      <c r="M227" s="8">
        <v>1.9016203703703705E-2</v>
      </c>
      <c r="N227" s="3">
        <v>1.1064814814814814E-2</v>
      </c>
      <c r="O227" s="3">
        <v>1.2673611111111109E-2</v>
      </c>
      <c r="Q227" s="103" t="s">
        <v>4083</v>
      </c>
      <c r="R227" s="27"/>
      <c r="S227" s="27"/>
      <c r="T227" s="27"/>
      <c r="U227" s="27"/>
      <c r="W227" s="1">
        <f t="shared" si="32"/>
        <v>1.1141340356458224E-4</v>
      </c>
      <c r="X227" s="1">
        <f t="shared" si="33"/>
        <v>-1.1141340356458224E-4</v>
      </c>
      <c r="Y227" s="9">
        <v>8</v>
      </c>
      <c r="Z227">
        <f t="shared" si="0"/>
        <v>64</v>
      </c>
      <c r="AB227" s="1">
        <f t="shared" si="23"/>
        <v>1.4814814814814795E-3</v>
      </c>
      <c r="AC227" s="1"/>
      <c r="AE227" s="1"/>
      <c r="AF227" s="1"/>
    </row>
    <row r="228" spans="1:32" x14ac:dyDescent="0.2">
      <c r="A228">
        <v>345</v>
      </c>
      <c r="B228" s="27" t="s">
        <v>4982</v>
      </c>
      <c r="C228" s="74" t="s">
        <v>4839</v>
      </c>
      <c r="D228" s="24">
        <f>Runners!J1245</f>
        <v>1</v>
      </c>
      <c r="E228" s="183">
        <f>Runners!J1244</f>
        <v>1</v>
      </c>
      <c r="F228" s="6" t="s">
        <v>1000</v>
      </c>
      <c r="G228" s="1">
        <v>1.7361111111111112E-2</v>
      </c>
      <c r="J228" s="32" t="s">
        <v>1000</v>
      </c>
      <c r="K228" s="34">
        <v>41769</v>
      </c>
      <c r="L228" s="9">
        <v>104</v>
      </c>
      <c r="M228" s="8">
        <v>1.7210648148148149E-2</v>
      </c>
      <c r="N228" s="3">
        <v>1.0625000000000001E-2</v>
      </c>
      <c r="O228" s="3">
        <v>1.2025462962962962E-2</v>
      </c>
      <c r="W228" s="1">
        <f t="shared" si="32"/>
        <v>5.5122821837939526E-4</v>
      </c>
      <c r="X228" s="1">
        <f t="shared" si="33"/>
        <v>-5.5122821837939526E-4</v>
      </c>
      <c r="Y228" s="9">
        <v>30</v>
      </c>
      <c r="Z228">
        <f t="shared" si="0"/>
        <v>900</v>
      </c>
      <c r="AB228" s="1">
        <f t="shared" si="23"/>
        <v>1.0416666666666664E-3</v>
      </c>
      <c r="AC228" s="1"/>
      <c r="AE228" s="1"/>
      <c r="AF228" s="1"/>
    </row>
    <row r="229" spans="1:32" x14ac:dyDescent="0.2">
      <c r="A229">
        <v>337</v>
      </c>
      <c r="B229" s="27" t="s">
        <v>4838</v>
      </c>
      <c r="C229" s="74" t="s">
        <v>4981</v>
      </c>
      <c r="D229" s="24">
        <f>Runners!K1245</f>
        <v>1</v>
      </c>
      <c r="E229" s="183">
        <f>Runners!K1244</f>
        <v>1</v>
      </c>
      <c r="F229" s="6" t="s">
        <v>1000</v>
      </c>
      <c r="G229" s="1">
        <v>1.7303240740740741E-2</v>
      </c>
      <c r="J229" s="32" t="s">
        <v>1000</v>
      </c>
      <c r="K229" s="34">
        <v>41769</v>
      </c>
      <c r="L229" s="9">
        <v>103</v>
      </c>
      <c r="M229" s="8">
        <v>1.7083333333333336E-2</v>
      </c>
      <c r="N229" s="3">
        <v>1.0891203703703703E-2</v>
      </c>
      <c r="O229" s="3">
        <v>1.3252314814814814E-2</v>
      </c>
      <c r="W229" s="1">
        <f t="shared" si="32"/>
        <v>2.8502451467569273E-4</v>
      </c>
      <c r="X229" s="1">
        <f t="shared" si="33"/>
        <v>-2.8502451467569273E-4</v>
      </c>
      <c r="Y229" s="9">
        <v>7</v>
      </c>
      <c r="Z229">
        <f t="shared" si="0"/>
        <v>49</v>
      </c>
      <c r="AB229" s="1">
        <f t="shared" si="23"/>
        <v>1.307870370370369E-3</v>
      </c>
      <c r="AC229" s="1"/>
      <c r="AE229" s="1"/>
      <c r="AF229" s="1"/>
    </row>
    <row r="230" spans="1:32" x14ac:dyDescent="0.2">
      <c r="A230">
        <v>1264</v>
      </c>
      <c r="B230" s="27" t="s">
        <v>196</v>
      </c>
      <c r="C230" s="74" t="s">
        <v>3309</v>
      </c>
      <c r="D230" s="24">
        <f>Runners!W957</f>
        <v>4</v>
      </c>
      <c r="E230" s="183">
        <f>Runners!W956</f>
        <v>4</v>
      </c>
      <c r="F230" s="1411" t="s">
        <v>12695</v>
      </c>
      <c r="G230" s="1412">
        <v>1.4374999999999999E-2</v>
      </c>
      <c r="H230" s="80" t="s">
        <v>1062</v>
      </c>
      <c r="I230" s="1">
        <v>2.6631944444444444E-2</v>
      </c>
      <c r="J230" s="32" t="s">
        <v>1000</v>
      </c>
      <c r="K230" s="34">
        <v>42539</v>
      </c>
      <c r="L230" s="9">
        <v>267</v>
      </c>
      <c r="M230" s="8">
        <v>2.0046296296296295E-2</v>
      </c>
      <c r="N230" s="3">
        <v>1.1296296296296296E-2</v>
      </c>
      <c r="O230" s="3">
        <v>1.4421296296296295E-2</v>
      </c>
      <c r="Q230" s="103" t="s">
        <v>5395</v>
      </c>
      <c r="R230" s="103"/>
      <c r="W230" s="1">
        <f t="shared" si="32"/>
        <v>-1.2006807791689958E-4</v>
      </c>
      <c r="X230" s="1">
        <f t="shared" si="33"/>
        <v>1.2006807791689958E-4</v>
      </c>
      <c r="Y230" s="9"/>
      <c r="AB230" s="1">
        <f t="shared" si="23"/>
        <v>1.7129629629629613E-3</v>
      </c>
      <c r="AC230" s="1"/>
      <c r="AE230" s="1"/>
      <c r="AF230" s="1"/>
    </row>
    <row r="231" spans="1:32" x14ac:dyDescent="0.2">
      <c r="A231">
        <v>638</v>
      </c>
      <c r="B231" s="568" t="s">
        <v>12652</v>
      </c>
      <c r="C231" s="568" t="s">
        <v>12653</v>
      </c>
      <c r="D231" s="585"/>
      <c r="E231" s="1002"/>
      <c r="F231" s="6"/>
      <c r="J231" s="32"/>
      <c r="K231" s="34"/>
      <c r="Q231" s="635" t="s">
        <v>12654</v>
      </c>
      <c r="R231" s="635"/>
      <c r="W231" s="1"/>
      <c r="X231" s="1"/>
      <c r="Y231" s="9"/>
      <c r="AB231" s="1"/>
      <c r="AC231" s="1"/>
      <c r="AE231" s="1"/>
      <c r="AF231" s="1"/>
    </row>
    <row r="232" spans="1:32" x14ac:dyDescent="0.2">
      <c r="A232">
        <v>389</v>
      </c>
      <c r="B232" s="27" t="s">
        <v>1617</v>
      </c>
      <c r="C232" s="74" t="s">
        <v>5062</v>
      </c>
      <c r="D232" s="183">
        <f>Runners!M148</f>
        <v>12</v>
      </c>
      <c r="E232" s="183">
        <f>Runners!M147</f>
        <v>25</v>
      </c>
      <c r="F232" s="6" t="s">
        <v>5096</v>
      </c>
      <c r="G232" s="1">
        <v>1.4930555555555556E-2</v>
      </c>
      <c r="H232" t="s">
        <v>4596</v>
      </c>
      <c r="I232" s="1">
        <v>1.7870370370370373E-2</v>
      </c>
      <c r="J232" s="32" t="s">
        <v>1000</v>
      </c>
      <c r="K232" s="34">
        <v>41090</v>
      </c>
      <c r="L232" s="9">
        <v>29</v>
      </c>
      <c r="M232" s="8">
        <v>1.8680555555555554E-2</v>
      </c>
      <c r="N232" s="3">
        <v>1.0995370370370371E-2</v>
      </c>
      <c r="O232" s="3">
        <v>1.292824074074074E-2</v>
      </c>
      <c r="P232" t="s">
        <v>4255</v>
      </c>
      <c r="W232" s="1">
        <f t="shared" ref="W232:W242" si="34">$N$700-N232</f>
        <v>1.8085784800902539E-4</v>
      </c>
      <c r="X232" s="1">
        <f t="shared" ref="X232:X242" si="35">N232-$N$700</f>
        <v>-1.8085784800902539E-4</v>
      </c>
      <c r="Y232" s="9">
        <v>2</v>
      </c>
      <c r="Z232">
        <f t="shared" si="0"/>
        <v>4</v>
      </c>
      <c r="AB232" s="1">
        <f t="shared" si="23"/>
        <v>1.4120370370370363E-3</v>
      </c>
      <c r="AC232" s="1"/>
      <c r="AE232" s="1"/>
      <c r="AF232" s="1"/>
    </row>
    <row r="233" spans="1:32" x14ac:dyDescent="0.2">
      <c r="A233">
        <v>12</v>
      </c>
      <c r="B233" s="27" t="s">
        <v>5116</v>
      </c>
      <c r="C233" s="74" t="s">
        <v>746</v>
      </c>
      <c r="D233" s="24">
        <f>Runners!L1138</f>
        <v>2</v>
      </c>
      <c r="E233" s="183">
        <f>Runners!M1137</f>
        <v>1</v>
      </c>
      <c r="F233" s="6" t="s">
        <v>1000</v>
      </c>
      <c r="G233" s="1">
        <v>1.8981481481481481E-2</v>
      </c>
      <c r="J233" s="32" t="s">
        <v>1000</v>
      </c>
      <c r="K233" s="34">
        <v>41097</v>
      </c>
      <c r="L233" s="9">
        <v>31</v>
      </c>
      <c r="M233" s="8">
        <v>1.832175925925926E-2</v>
      </c>
      <c r="N233" s="3">
        <v>1.042824074074074E-2</v>
      </c>
      <c r="O233" s="3">
        <v>1.1481481481481483E-2</v>
      </c>
      <c r="P233" s="3"/>
      <c r="Q233" s="103" t="s">
        <v>5647</v>
      </c>
      <c r="R233" s="103"/>
      <c r="S233" s="53"/>
      <c r="U233" s="53"/>
      <c r="W233" s="1">
        <f t="shared" si="34"/>
        <v>7.4798747763865636E-4</v>
      </c>
      <c r="X233" s="1">
        <f t="shared" si="35"/>
        <v>-7.4798747763865636E-4</v>
      </c>
      <c r="Y233" s="9">
        <v>47</v>
      </c>
      <c r="Z233">
        <f t="shared" si="0"/>
        <v>2209</v>
      </c>
      <c r="AB233" s="1">
        <f t="shared" si="23"/>
        <v>8.4490740740740533E-4</v>
      </c>
      <c r="AC233" s="1"/>
      <c r="AE233" s="1"/>
      <c r="AF233" s="1"/>
    </row>
    <row r="234" spans="1:32" x14ac:dyDescent="0.2">
      <c r="A234">
        <v>540</v>
      </c>
      <c r="B234" s="27" t="s">
        <v>747</v>
      </c>
      <c r="C234" s="74" t="s">
        <v>4664</v>
      </c>
      <c r="D234" s="24">
        <f>Runners!N1138</f>
        <v>1</v>
      </c>
      <c r="E234" s="183">
        <f>Runners!N1137</f>
        <v>1</v>
      </c>
      <c r="F234" s="6"/>
      <c r="H234" s="206" t="s">
        <v>748</v>
      </c>
      <c r="I234" s="1">
        <v>2.4444444444444446E-2</v>
      </c>
      <c r="J234" s="1" t="s">
        <v>748</v>
      </c>
      <c r="K234" s="34">
        <v>41853</v>
      </c>
      <c r="L234" s="9">
        <v>120</v>
      </c>
      <c r="M234" s="8">
        <v>1.8854166666666665E-2</v>
      </c>
      <c r="N234" s="3">
        <v>1.1168981481481481E-2</v>
      </c>
      <c r="O234" s="3">
        <v>1.2881944444444446E-2</v>
      </c>
      <c r="P234" s="3"/>
      <c r="Q234" s="53"/>
      <c r="R234" s="53"/>
      <c r="S234" s="53"/>
      <c r="U234" s="53"/>
      <c r="W234" s="1">
        <f t="shared" si="34"/>
        <v>7.2467368979148988E-6</v>
      </c>
      <c r="X234" s="1">
        <f t="shared" si="35"/>
        <v>-7.2467368979148988E-6</v>
      </c>
      <c r="Y234" s="9">
        <v>15</v>
      </c>
      <c r="Z234">
        <f t="shared" si="0"/>
        <v>225</v>
      </c>
      <c r="AB234" s="1">
        <f t="shared" si="23"/>
        <v>1.5856481481481468E-3</v>
      </c>
      <c r="AC234" s="1"/>
      <c r="AE234" s="1"/>
      <c r="AF234" s="1"/>
    </row>
    <row r="235" spans="1:32" x14ac:dyDescent="0.2">
      <c r="A235">
        <v>2185</v>
      </c>
      <c r="B235" s="493" t="s">
        <v>12788</v>
      </c>
      <c r="C235" s="415" t="s">
        <v>12789</v>
      </c>
      <c r="D235" s="24">
        <f>Runners!T1165</f>
        <v>1</v>
      </c>
      <c r="E235" s="183">
        <f>Runners!T1164</f>
        <v>1</v>
      </c>
      <c r="F235" s="79" t="s">
        <v>4637</v>
      </c>
      <c r="G235" s="1">
        <v>2.0381944444444446E-2</v>
      </c>
      <c r="H235" s="206"/>
      <c r="J235" s="334" t="s">
        <v>4637</v>
      </c>
      <c r="K235" s="34">
        <v>43617</v>
      </c>
      <c r="M235" s="8">
        <v>1.9988425925925927E-2</v>
      </c>
      <c r="N235" s="3">
        <v>1.1469907407407408E-2</v>
      </c>
      <c r="O235" s="3">
        <v>1.3634259259259257E-2</v>
      </c>
      <c r="P235" s="3"/>
      <c r="Q235" s="53"/>
      <c r="R235" s="53"/>
      <c r="S235" s="53"/>
      <c r="U235" s="53"/>
      <c r="W235" s="1">
        <f t="shared" si="34"/>
        <v>-2.9367918902801181E-4</v>
      </c>
      <c r="X235" s="1">
        <f t="shared" si="35"/>
        <v>2.9367918902801181E-4</v>
      </c>
      <c r="Y235" s="9"/>
      <c r="AB235" s="1">
        <f t="shared" si="23"/>
        <v>1.8865740740740735E-3</v>
      </c>
      <c r="AC235" s="1"/>
      <c r="AE235" s="1"/>
      <c r="AF235" s="1"/>
    </row>
    <row r="236" spans="1:32" x14ac:dyDescent="0.2">
      <c r="A236">
        <v>2421</v>
      </c>
      <c r="B236" s="493" t="s">
        <v>15734</v>
      </c>
      <c r="C236" s="415" t="s">
        <v>15728</v>
      </c>
      <c r="D236" s="24">
        <f>Runners!S1200</f>
        <v>1</v>
      </c>
      <c r="E236" s="183">
        <f>Runners!S1199</f>
        <v>1</v>
      </c>
      <c r="F236" s="79" t="s">
        <v>1000</v>
      </c>
      <c r="G236" s="1">
        <v>2.0555555555555556E-2</v>
      </c>
      <c r="H236" s="206"/>
      <c r="J236" s="1432" t="s">
        <v>1000</v>
      </c>
      <c r="K236" s="1379">
        <v>43743</v>
      </c>
      <c r="M236" s="8">
        <v>2.0925925925925928E-2</v>
      </c>
      <c r="N236" s="3">
        <v>1.3414351851851851E-2</v>
      </c>
      <c r="O236" s="3">
        <v>1.5520833333333333E-2</v>
      </c>
      <c r="P236" s="3"/>
      <c r="Q236" s="53"/>
      <c r="R236" s="53"/>
      <c r="S236" s="53"/>
      <c r="U236" s="53"/>
      <c r="W236" s="1">
        <f t="shared" si="34"/>
        <v>-2.2381236334724549E-3</v>
      </c>
      <c r="X236" s="1">
        <f t="shared" si="35"/>
        <v>2.2381236334724549E-3</v>
      </c>
      <c r="Y236" s="9"/>
      <c r="AB236" s="1">
        <f t="shared" si="23"/>
        <v>3.8310185185185166E-3</v>
      </c>
      <c r="AC236" s="1"/>
      <c r="AE236" s="1"/>
      <c r="AF236" s="1"/>
    </row>
    <row r="237" spans="1:32" x14ac:dyDescent="0.2">
      <c r="A237">
        <v>1311</v>
      </c>
      <c r="B237" s="556" t="s">
        <v>6422</v>
      </c>
      <c r="C237" s="532" t="s">
        <v>6284</v>
      </c>
      <c r="D237" s="531">
        <f>Runners!X957</f>
        <v>2</v>
      </c>
      <c r="E237" s="541">
        <f>Runners!X956</f>
        <v>2</v>
      </c>
      <c r="F237" s="79" t="s">
        <v>4637</v>
      </c>
      <c r="G237" s="334">
        <v>1.6516203703703703E-2</v>
      </c>
      <c r="H237" s="206"/>
      <c r="J237" s="334" t="s">
        <v>4637</v>
      </c>
      <c r="K237" s="34">
        <v>42812</v>
      </c>
      <c r="L237" s="9">
        <v>326</v>
      </c>
      <c r="M237" s="8">
        <v>2.0231481481481482E-2</v>
      </c>
      <c r="N237" s="3">
        <v>1.0844907407407407E-2</v>
      </c>
      <c r="O237" s="3">
        <v>1.315972222222222E-2</v>
      </c>
      <c r="P237" s="3"/>
      <c r="Q237" s="53"/>
      <c r="R237" s="53"/>
      <c r="S237" s="53"/>
      <c r="U237" s="53"/>
      <c r="W237" s="1">
        <f t="shared" si="34"/>
        <v>3.3132081097198875E-4</v>
      </c>
      <c r="X237" s="1">
        <f t="shared" si="35"/>
        <v>-3.3132081097198875E-4</v>
      </c>
      <c r="Y237" s="9"/>
      <c r="AB237" s="1">
        <f t="shared" si="23"/>
        <v>1.2615740740740729E-3</v>
      </c>
      <c r="AC237" s="1"/>
      <c r="AE237" s="1"/>
      <c r="AF237" s="1"/>
    </row>
    <row r="238" spans="1:32" x14ac:dyDescent="0.2">
      <c r="A238">
        <v>224</v>
      </c>
      <c r="B238" s="581" t="s">
        <v>1911</v>
      </c>
      <c r="C238" s="581" t="s">
        <v>5897</v>
      </c>
      <c r="E238" s="9"/>
      <c r="F238" s="79"/>
      <c r="G238" s="334"/>
      <c r="H238" s="206"/>
      <c r="J238" s="334"/>
      <c r="K238" s="34"/>
      <c r="P238" s="3"/>
      <c r="Q238" s="635" t="s">
        <v>9379</v>
      </c>
      <c r="R238" s="635"/>
      <c r="S238" s="53"/>
      <c r="U238" s="53"/>
      <c r="W238" s="1">
        <f t="shared" si="34"/>
        <v>1.1176228218379396E-2</v>
      </c>
      <c r="X238" s="1">
        <f t="shared" si="35"/>
        <v>-1.1176228218379396E-2</v>
      </c>
      <c r="Y238" s="9"/>
      <c r="AB238" s="1"/>
      <c r="AC238" s="1"/>
      <c r="AE238" s="1"/>
      <c r="AF238" s="1"/>
    </row>
    <row r="239" spans="1:32" x14ac:dyDescent="0.2">
      <c r="A239">
        <v>2646</v>
      </c>
      <c r="B239" s="493" t="s">
        <v>17170</v>
      </c>
      <c r="C239" s="415" t="s">
        <v>17178</v>
      </c>
      <c r="D239" s="531">
        <f>Runners!Z1200</f>
        <v>1</v>
      </c>
      <c r="E239" s="541">
        <f>Runners!Z1199</f>
        <v>1</v>
      </c>
      <c r="F239" s="79" t="s">
        <v>1000</v>
      </c>
      <c r="G239" s="334">
        <v>2.1562499999999998E-2</v>
      </c>
      <c r="H239" s="206"/>
      <c r="J239" s="334"/>
      <c r="K239" s="34"/>
      <c r="P239" s="3"/>
      <c r="Q239" s="1474"/>
      <c r="R239" s="1474"/>
      <c r="S239" s="53"/>
      <c r="U239" s="53"/>
      <c r="W239" s="1">
        <f t="shared" si="34"/>
        <v>1.1176228218379396E-2</v>
      </c>
      <c r="X239" s="1">
        <f t="shared" si="35"/>
        <v>-1.1176228218379396E-2</v>
      </c>
      <c r="Y239" s="9"/>
      <c r="AB239" s="1"/>
      <c r="AC239" s="1"/>
      <c r="AE239" s="1"/>
      <c r="AF239" s="1"/>
    </row>
    <row r="240" spans="1:32" x14ac:dyDescent="0.2">
      <c r="A240">
        <v>861</v>
      </c>
      <c r="B240" s="556" t="s">
        <v>8001</v>
      </c>
      <c r="C240" s="532" t="s">
        <v>8000</v>
      </c>
      <c r="D240" s="531">
        <f>Runners!S1245</f>
        <v>1</v>
      </c>
      <c r="E240" s="541">
        <f>Runners!S1244</f>
        <v>1</v>
      </c>
      <c r="F240" s="79" t="s">
        <v>627</v>
      </c>
      <c r="G240" s="334">
        <v>1.6319444444444445E-2</v>
      </c>
      <c r="H240" s="206"/>
      <c r="J240" s="334" t="s">
        <v>627</v>
      </c>
      <c r="K240" s="34">
        <v>42889</v>
      </c>
      <c r="L240" s="9">
        <v>339</v>
      </c>
      <c r="M240" s="8">
        <v>1.7222222222222222E-2</v>
      </c>
      <c r="N240" s="3">
        <v>1.0462962962962964E-2</v>
      </c>
      <c r="O240" s="3">
        <v>1.2106481481481482E-2</v>
      </c>
      <c r="P240" s="334" t="s">
        <v>8002</v>
      </c>
      <c r="Q240" s="53"/>
      <c r="R240" s="53"/>
      <c r="S240" s="53"/>
      <c r="U240" s="53"/>
      <c r="W240" s="1">
        <f t="shared" si="34"/>
        <v>7.1326525541643218E-4</v>
      </c>
      <c r="X240" s="1">
        <f t="shared" si="35"/>
        <v>-7.1326525541643218E-4</v>
      </c>
      <c r="Y240" s="9"/>
      <c r="AB240" s="1">
        <f t="shared" si="23"/>
        <v>8.7962962962962951E-4</v>
      </c>
      <c r="AC240" s="1"/>
      <c r="AE240" s="1"/>
      <c r="AF240" s="1"/>
    </row>
    <row r="241" spans="1:32" x14ac:dyDescent="0.2">
      <c r="A241">
        <v>14</v>
      </c>
      <c r="B241" s="27" t="s">
        <v>2998</v>
      </c>
      <c r="C241" s="74" t="s">
        <v>1078</v>
      </c>
      <c r="D241" s="24">
        <f>Runners!V815</f>
        <v>1</v>
      </c>
      <c r="E241" s="183">
        <f>Runners!V814</f>
        <v>1</v>
      </c>
      <c r="F241" s="6" t="s">
        <v>5882</v>
      </c>
      <c r="G241" s="1">
        <v>1.5127314814814816E-2</v>
      </c>
      <c r="H241" s="206"/>
      <c r="J241" s="1" t="s">
        <v>5882</v>
      </c>
      <c r="K241" s="34">
        <v>42126</v>
      </c>
      <c r="L241" s="9">
        <v>164</v>
      </c>
      <c r="M241" s="8">
        <v>1.9050925925925926E-2</v>
      </c>
      <c r="N241" s="3">
        <v>1.0752314814814814E-2</v>
      </c>
      <c r="O241" s="3">
        <v>1.238425925925926E-2</v>
      </c>
      <c r="P241" s="3"/>
      <c r="Q241" s="53"/>
      <c r="R241" s="53"/>
      <c r="S241" s="53"/>
      <c r="U241" s="53"/>
      <c r="W241" s="1">
        <f t="shared" si="34"/>
        <v>4.2391340356458251E-4</v>
      </c>
      <c r="X241" s="1">
        <f t="shared" si="35"/>
        <v>-4.2391340356458251E-4</v>
      </c>
      <c r="Y241" s="9">
        <v>19</v>
      </c>
      <c r="Z241">
        <f t="shared" si="0"/>
        <v>361</v>
      </c>
      <c r="AB241" s="1">
        <f t="shared" si="23"/>
        <v>1.1689814814814792E-3</v>
      </c>
      <c r="AC241" s="1"/>
      <c r="AE241" s="1"/>
      <c r="AF241" s="1"/>
    </row>
    <row r="242" spans="1:32" x14ac:dyDescent="0.2">
      <c r="A242">
        <v>1717</v>
      </c>
      <c r="B242" s="27" t="s">
        <v>8792</v>
      </c>
      <c r="C242" s="415" t="s">
        <v>8793</v>
      </c>
      <c r="D242" s="24">
        <f>Runners!L1200</f>
        <v>2</v>
      </c>
      <c r="E242" s="183">
        <f>Runners!L1199</f>
        <v>2</v>
      </c>
      <c r="F242" s="6" t="s">
        <v>1000</v>
      </c>
      <c r="G242" s="1">
        <v>2.0659722222222222E-2</v>
      </c>
      <c r="H242" s="197" t="s">
        <v>1062</v>
      </c>
      <c r="I242" s="1">
        <v>2.4745370370370372E-2</v>
      </c>
      <c r="J242" s="334" t="s">
        <v>1000</v>
      </c>
      <c r="K242" s="34">
        <v>43050</v>
      </c>
      <c r="L242" s="1398">
        <v>370</v>
      </c>
      <c r="M242" s="8">
        <v>1.9201388888888889E-2</v>
      </c>
      <c r="N242" s="3">
        <v>1.1157407407407408E-2</v>
      </c>
      <c r="O242" s="3">
        <v>1.3391203703703704E-2</v>
      </c>
      <c r="P242" s="3"/>
      <c r="Q242" s="53"/>
      <c r="R242" s="53"/>
      <c r="S242" s="53"/>
      <c r="U242" s="53"/>
      <c r="W242" s="1">
        <f t="shared" si="34"/>
        <v>1.8820810971988469E-5</v>
      </c>
      <c r="X242" s="1">
        <f t="shared" si="35"/>
        <v>-1.8820810971988469E-5</v>
      </c>
      <c r="Y242" s="9"/>
      <c r="AB242" s="1">
        <f t="shared" si="23"/>
        <v>1.5740740740740732E-3</v>
      </c>
      <c r="AC242" s="1"/>
      <c r="AE242" s="1"/>
      <c r="AF242" s="1"/>
    </row>
    <row r="243" spans="1:32" x14ac:dyDescent="0.2">
      <c r="A243">
        <v>762</v>
      </c>
      <c r="B243" s="568" t="s">
        <v>10524</v>
      </c>
      <c r="C243" s="568" t="s">
        <v>10525</v>
      </c>
      <c r="E243" s="9"/>
      <c r="F243" s="6"/>
      <c r="H243" s="197"/>
      <c r="J243" s="334"/>
      <c r="K243" s="34"/>
      <c r="P243" s="3"/>
      <c r="Q243" s="53"/>
      <c r="R243" s="53"/>
      <c r="S243" s="53"/>
      <c r="U243" s="53"/>
      <c r="W243" s="1"/>
      <c r="X243" s="1"/>
      <c r="Y243" s="9"/>
      <c r="AB243" s="1"/>
      <c r="AC243" s="1"/>
      <c r="AE243" s="1"/>
      <c r="AF243" s="1"/>
    </row>
    <row r="244" spans="1:32" x14ac:dyDescent="0.2">
      <c r="A244">
        <v>1842</v>
      </c>
      <c r="B244" s="556" t="s">
        <v>9468</v>
      </c>
      <c r="C244" s="532" t="s">
        <v>9469</v>
      </c>
      <c r="D244" s="531">
        <f>Runners!I539</f>
        <v>2</v>
      </c>
      <c r="E244" s="541">
        <f>Runners!I538</f>
        <v>2</v>
      </c>
      <c r="F244" s="79" t="s">
        <v>1000</v>
      </c>
      <c r="G244" s="1">
        <v>1.9143518518518518E-2</v>
      </c>
      <c r="H244" s="197"/>
      <c r="J244" s="334" t="s">
        <v>1000</v>
      </c>
      <c r="K244" s="523">
        <v>43631</v>
      </c>
      <c r="L244" s="9">
        <v>506</v>
      </c>
      <c r="M244" s="8">
        <v>2.0069444444444442E-2</v>
      </c>
      <c r="N244" s="3">
        <v>1.1342592592592592E-2</v>
      </c>
      <c r="O244" s="3">
        <v>1.1828703703703704E-2</v>
      </c>
      <c r="P244" s="3"/>
      <c r="Q244" s="53"/>
      <c r="R244" s="53"/>
      <c r="S244" s="53"/>
      <c r="U244" s="53"/>
      <c r="W244" s="1">
        <f>$N$700-N244</f>
        <v>-1.663643742131956E-4</v>
      </c>
      <c r="X244" s="1">
        <f>N244-$N$700</f>
        <v>1.663643742131956E-4</v>
      </c>
      <c r="Y244" s="9"/>
      <c r="AB244" s="1">
        <f t="shared" si="23"/>
        <v>1.7592592592592573E-3</v>
      </c>
      <c r="AC244" s="1"/>
      <c r="AE244" s="1"/>
      <c r="AF244" s="1"/>
    </row>
    <row r="245" spans="1:32" x14ac:dyDescent="0.2">
      <c r="A245">
        <v>1924</v>
      </c>
      <c r="B245" s="568" t="s">
        <v>10522</v>
      </c>
      <c r="C245" s="568" t="s">
        <v>10523</v>
      </c>
      <c r="E245" s="9"/>
      <c r="F245" s="6"/>
      <c r="H245" s="197"/>
      <c r="K245" s="34"/>
      <c r="P245" s="3"/>
      <c r="Q245" s="53"/>
      <c r="R245" s="53"/>
      <c r="S245" s="53"/>
      <c r="U245" s="53"/>
      <c r="W245" s="1"/>
      <c r="X245" s="1"/>
      <c r="Y245" s="9"/>
      <c r="AB245" s="1"/>
      <c r="AC245" s="1"/>
      <c r="AE245" s="1"/>
      <c r="AF245" s="1"/>
    </row>
    <row r="246" spans="1:32" x14ac:dyDescent="0.2">
      <c r="A246">
        <v>680</v>
      </c>
      <c r="B246" s="27" t="s">
        <v>6349</v>
      </c>
      <c r="C246" s="415" t="s">
        <v>6348</v>
      </c>
      <c r="D246" s="24">
        <f>Runners!L579</f>
        <v>2</v>
      </c>
      <c r="E246" s="183">
        <f>Runners!L578</f>
        <v>2</v>
      </c>
      <c r="F246" s="79" t="s">
        <v>1000</v>
      </c>
      <c r="G246" s="1">
        <v>1.8530092592592595E-2</v>
      </c>
      <c r="H246" s="197" t="s">
        <v>1440</v>
      </c>
      <c r="I246" s="1">
        <v>2.1666666666666667E-2</v>
      </c>
      <c r="J246" s="1" t="s">
        <v>1000</v>
      </c>
      <c r="K246" s="34">
        <v>42756</v>
      </c>
      <c r="L246" s="9">
        <v>318</v>
      </c>
      <c r="M246" s="8">
        <v>2.0428240740740743E-2</v>
      </c>
      <c r="N246" s="3">
        <v>1.0902777777777777E-2</v>
      </c>
      <c r="O246" s="3">
        <v>1.2905092592592591E-2</v>
      </c>
      <c r="P246" s="3"/>
      <c r="Q246" s="53"/>
      <c r="R246" s="53"/>
      <c r="S246" s="53"/>
      <c r="U246" s="53"/>
      <c r="W246" s="1">
        <f t="shared" ref="W246:W271" si="36">$N$700-N246</f>
        <v>2.7345044060161916E-4</v>
      </c>
      <c r="X246" s="1">
        <f t="shared" ref="X246:X271" si="37">N246-$N$700</f>
        <v>-2.7345044060161916E-4</v>
      </c>
      <c r="Y246" s="9"/>
      <c r="AB246" s="1">
        <f t="shared" si="23"/>
        <v>1.3194444444444425E-3</v>
      </c>
      <c r="AC246" s="1"/>
      <c r="AE246" s="1"/>
      <c r="AF246" s="1"/>
    </row>
    <row r="247" spans="1:32" x14ac:dyDescent="0.2">
      <c r="A247">
        <v>911</v>
      </c>
      <c r="B247" s="27" t="s">
        <v>3342</v>
      </c>
      <c r="C247" s="74" t="s">
        <v>1353</v>
      </c>
      <c r="D247" s="24">
        <f>Runners!L554</f>
        <v>2</v>
      </c>
      <c r="E247" s="183">
        <f>Runners!L553</f>
        <v>2</v>
      </c>
      <c r="F247" s="6" t="s">
        <v>5096</v>
      </c>
      <c r="G247" s="1">
        <v>1.4930555555555556E-2</v>
      </c>
      <c r="J247" s="1" t="s">
        <v>5096</v>
      </c>
      <c r="K247" s="34">
        <v>41818</v>
      </c>
      <c r="L247" s="9">
        <v>112</v>
      </c>
      <c r="M247" s="8">
        <v>2.0671296296296295E-2</v>
      </c>
      <c r="N247" s="3">
        <v>1.1620370370370371E-2</v>
      </c>
      <c r="O247" s="3">
        <v>1.3113425925925926E-2</v>
      </c>
      <c r="P247" s="3"/>
      <c r="Q247" s="53"/>
      <c r="R247" s="53"/>
      <c r="S247" s="53"/>
      <c r="U247" s="53"/>
      <c r="W247" s="1">
        <f t="shared" si="36"/>
        <v>-4.4414215199097516E-4</v>
      </c>
      <c r="X247" s="1">
        <f t="shared" si="37"/>
        <v>4.4414215199097516E-4</v>
      </c>
      <c r="Y247" s="9">
        <v>56</v>
      </c>
      <c r="Z247">
        <f t="shared" si="0"/>
        <v>3136</v>
      </c>
      <c r="AB247" s="1">
        <f t="shared" si="23"/>
        <v>2.0370370370370369E-3</v>
      </c>
      <c r="AC247" s="1"/>
      <c r="AE247" s="1"/>
      <c r="AF247" s="1"/>
    </row>
    <row r="248" spans="1:32" x14ac:dyDescent="0.2">
      <c r="A248">
        <v>582</v>
      </c>
      <c r="B248" s="27" t="s">
        <v>115</v>
      </c>
      <c r="C248" s="74" t="s">
        <v>114</v>
      </c>
      <c r="D248" s="24">
        <f>Runners!I1410</f>
        <v>2</v>
      </c>
      <c r="E248" s="183">
        <f>Runners!I1409</f>
        <v>3</v>
      </c>
      <c r="F248" s="6" t="s">
        <v>1000</v>
      </c>
      <c r="G248" s="1">
        <v>1.7210648148148149E-2</v>
      </c>
      <c r="J248" s="32" t="s">
        <v>1000</v>
      </c>
      <c r="K248" s="34">
        <v>41552</v>
      </c>
      <c r="L248" s="9">
        <v>71</v>
      </c>
      <c r="M248" s="8">
        <v>2.2673611111111113E-2</v>
      </c>
      <c r="N248" s="3">
        <v>1.125E-2</v>
      </c>
      <c r="O248" s="3">
        <v>1.298611111111111E-2</v>
      </c>
      <c r="W248" s="1">
        <f t="shared" si="36"/>
        <v>-7.3771781620603563E-5</v>
      </c>
      <c r="X248" s="1">
        <f t="shared" si="37"/>
        <v>7.3771781620603563E-5</v>
      </c>
      <c r="Y248" s="9">
        <v>24</v>
      </c>
      <c r="Z248">
        <f t="shared" si="0"/>
        <v>576</v>
      </c>
      <c r="AB248" s="1">
        <f t="shared" si="23"/>
        <v>1.6666666666666653E-3</v>
      </c>
      <c r="AC248" s="1"/>
      <c r="AE248" s="1"/>
      <c r="AF248" s="1"/>
    </row>
    <row r="249" spans="1:32" x14ac:dyDescent="0.2">
      <c r="A249">
        <v>53</v>
      </c>
      <c r="B249" s="27" t="s">
        <v>3601</v>
      </c>
      <c r="C249" s="74" t="s">
        <v>5922</v>
      </c>
      <c r="D249" s="183">
        <f>Runners!V460</f>
        <v>5</v>
      </c>
      <c r="E249" s="183">
        <f>Runners!V459</f>
        <v>6</v>
      </c>
      <c r="F249" s="1411" t="s">
        <v>5882</v>
      </c>
      <c r="G249" s="1412">
        <v>1.7175925925925924E-2</v>
      </c>
      <c r="H249" s="1370" t="s">
        <v>1440</v>
      </c>
      <c r="I249" s="1412">
        <v>2.0428240740740743E-2</v>
      </c>
      <c r="J249" s="1" t="s">
        <v>4584</v>
      </c>
      <c r="K249" s="34">
        <v>41640</v>
      </c>
      <c r="L249" s="9">
        <v>85</v>
      </c>
      <c r="M249" s="8">
        <v>1.9016203703703705E-2</v>
      </c>
      <c r="N249" s="3">
        <v>1.1006944444444444E-2</v>
      </c>
      <c r="O249" s="3">
        <v>1.2465277777777777E-2</v>
      </c>
      <c r="P249" t="s">
        <v>247</v>
      </c>
      <c r="W249" s="1">
        <f t="shared" si="36"/>
        <v>1.6928377393495182E-4</v>
      </c>
      <c r="X249" s="1">
        <f t="shared" si="37"/>
        <v>-1.6928377393495182E-4</v>
      </c>
      <c r="Y249" s="9">
        <v>3</v>
      </c>
      <c r="Z249">
        <f t="shared" si="0"/>
        <v>9</v>
      </c>
      <c r="AB249" s="1">
        <f t="shared" si="23"/>
        <v>1.4236111111111099E-3</v>
      </c>
      <c r="AC249" s="1"/>
      <c r="AE249" s="1"/>
      <c r="AF249" s="1"/>
    </row>
    <row r="250" spans="1:32" x14ac:dyDescent="0.2">
      <c r="A250">
        <v>2255</v>
      </c>
      <c r="B250" s="27" t="s">
        <v>12912</v>
      </c>
      <c r="C250" s="415" t="s">
        <v>12913</v>
      </c>
      <c r="D250" s="183">
        <f>Runners!L1116</f>
        <v>1</v>
      </c>
      <c r="E250" s="183">
        <f>Runners!L1115</f>
        <v>2</v>
      </c>
      <c r="F250" s="1411" t="s">
        <v>2334</v>
      </c>
      <c r="G250" s="1412">
        <v>1.2546296296296297E-2</v>
      </c>
      <c r="J250" s="1" t="s">
        <v>2334</v>
      </c>
      <c r="K250" s="34">
        <v>43631</v>
      </c>
      <c r="L250" s="9">
        <v>504</v>
      </c>
      <c r="M250" s="8">
        <v>2.2291666666666668E-2</v>
      </c>
      <c r="N250" s="3">
        <v>1.1006944444444444E-2</v>
      </c>
      <c r="O250" s="3">
        <v>1.3148148148148147E-2</v>
      </c>
      <c r="W250" s="1">
        <f t="shared" si="36"/>
        <v>1.6928377393495182E-4</v>
      </c>
      <c r="X250" s="1">
        <f t="shared" si="37"/>
        <v>-1.6928377393495182E-4</v>
      </c>
      <c r="Y250" s="9"/>
      <c r="AB250" s="1">
        <f t="shared" si="23"/>
        <v>1.4236111111111099E-3</v>
      </c>
      <c r="AC250" s="1"/>
      <c r="AE250" s="1"/>
      <c r="AF250" s="1"/>
    </row>
    <row r="251" spans="1:32" x14ac:dyDescent="0.2">
      <c r="A251">
        <v>44</v>
      </c>
      <c r="B251" s="27" t="s">
        <v>5128</v>
      </c>
      <c r="C251" s="74" t="s">
        <v>4280</v>
      </c>
      <c r="D251" s="183">
        <f>Runners!U460</f>
        <v>6</v>
      </c>
      <c r="E251" s="183">
        <f>Runners!U459</f>
        <v>8</v>
      </c>
      <c r="F251" s="6" t="s">
        <v>5096</v>
      </c>
      <c r="G251" s="1">
        <v>1.5590277777777778E-2</v>
      </c>
      <c r="H251" s="859" t="s">
        <v>6156</v>
      </c>
      <c r="I251" s="1">
        <v>1.8124999999999999E-2</v>
      </c>
      <c r="J251" s="32" t="s">
        <v>1000</v>
      </c>
      <c r="K251" s="34">
        <v>41349</v>
      </c>
      <c r="L251" s="9">
        <v>59</v>
      </c>
      <c r="M251" s="8">
        <v>1.8703703703703705E-2</v>
      </c>
      <c r="N251" s="3">
        <v>1.0671296296296297E-2</v>
      </c>
      <c r="O251" s="3">
        <v>1.2141203703703704E-2</v>
      </c>
      <c r="P251" t="s">
        <v>5196</v>
      </c>
      <c r="W251" s="1">
        <f t="shared" si="36"/>
        <v>5.0493192208309924E-4</v>
      </c>
      <c r="X251" s="1">
        <f t="shared" si="37"/>
        <v>-5.0493192208309924E-4</v>
      </c>
      <c r="Y251" s="9">
        <v>3</v>
      </c>
      <c r="Z251">
        <f t="shared" si="0"/>
        <v>9</v>
      </c>
      <c r="AB251" s="1">
        <f t="shared" si="23"/>
        <v>1.0879629629629625E-3</v>
      </c>
      <c r="AC251" s="1"/>
      <c r="AE251" s="1"/>
      <c r="AF251" s="1"/>
    </row>
    <row r="252" spans="1:32" x14ac:dyDescent="0.2">
      <c r="A252">
        <v>1439</v>
      </c>
      <c r="B252" s="27" t="s">
        <v>2030</v>
      </c>
      <c r="C252" s="74" t="s">
        <v>4137</v>
      </c>
      <c r="D252" s="183">
        <f>Runners!G657</f>
        <v>3</v>
      </c>
      <c r="E252" s="183">
        <f>Runners!G656</f>
        <v>3</v>
      </c>
      <c r="F252" s="79" t="s">
        <v>8360</v>
      </c>
      <c r="G252" s="1">
        <v>1.6087962962962964E-2</v>
      </c>
      <c r="J252" s="32" t="s">
        <v>5097</v>
      </c>
      <c r="K252" s="34">
        <v>42525</v>
      </c>
      <c r="L252" s="9">
        <v>261</v>
      </c>
      <c r="M252" s="8">
        <v>2.1157407407407406E-2</v>
      </c>
      <c r="N252" s="3">
        <v>1.1840277777777778E-2</v>
      </c>
      <c r="O252" s="3">
        <v>1.3969907407407408E-2</v>
      </c>
      <c r="W252" s="1">
        <f t="shared" si="36"/>
        <v>-6.6404955939838167E-4</v>
      </c>
      <c r="X252" s="1">
        <f t="shared" si="37"/>
        <v>6.6404955939838167E-4</v>
      </c>
      <c r="Y252" s="9"/>
      <c r="AB252" s="1">
        <f t="shared" si="23"/>
        <v>2.2569444444444434E-3</v>
      </c>
      <c r="AC252" s="1"/>
      <c r="AE252" s="1"/>
      <c r="AF252" s="1"/>
    </row>
    <row r="253" spans="1:32" x14ac:dyDescent="0.2">
      <c r="A253">
        <v>71</v>
      </c>
      <c r="B253" s="27" t="s">
        <v>1710</v>
      </c>
      <c r="C253" s="74" t="s">
        <v>5036</v>
      </c>
      <c r="D253" s="183">
        <f>Runners!J309</f>
        <v>23</v>
      </c>
      <c r="E253" s="183">
        <f>Runners!J308</f>
        <v>193</v>
      </c>
      <c r="F253" s="6" t="s">
        <v>5881</v>
      </c>
      <c r="G253" s="1">
        <v>1.3645833333333331E-2</v>
      </c>
      <c r="H253" s="513" t="s">
        <v>5241</v>
      </c>
      <c r="I253" s="1">
        <v>1.5057870370370369E-2</v>
      </c>
      <c r="J253" s="1" t="s">
        <v>5882</v>
      </c>
      <c r="K253" s="34">
        <v>40978</v>
      </c>
      <c r="L253" s="9">
        <v>19</v>
      </c>
      <c r="M253" s="8">
        <v>1.9143518518518518E-2</v>
      </c>
      <c r="N253" s="3">
        <v>1.0601851851851854E-2</v>
      </c>
      <c r="O253" s="3">
        <v>1.2893518518518519E-2</v>
      </c>
      <c r="P253" s="3"/>
      <c r="Q253" s="196"/>
      <c r="R253" s="196"/>
      <c r="U253" s="196"/>
      <c r="W253" s="1">
        <f t="shared" si="36"/>
        <v>5.743763665275424E-4</v>
      </c>
      <c r="X253" s="1">
        <f t="shared" si="37"/>
        <v>-5.743763665275424E-4</v>
      </c>
      <c r="Y253" s="9">
        <v>32</v>
      </c>
      <c r="Z253">
        <f t="shared" si="0"/>
        <v>1024</v>
      </c>
      <c r="AB253" s="1">
        <f t="shared" si="23"/>
        <v>1.0185185185185193E-3</v>
      </c>
      <c r="AC253" s="1"/>
      <c r="AE253" s="1"/>
      <c r="AF253" s="1"/>
    </row>
    <row r="254" spans="1:32" x14ac:dyDescent="0.2">
      <c r="A254">
        <v>191</v>
      </c>
      <c r="B254" s="27" t="s">
        <v>1705</v>
      </c>
      <c r="C254" s="74" t="s">
        <v>1123</v>
      </c>
      <c r="D254" s="24">
        <f>Runners!N148</f>
        <v>46</v>
      </c>
      <c r="E254" s="183">
        <f>Runners!N147</f>
        <v>1015</v>
      </c>
      <c r="F254" s="52" t="s">
        <v>1270</v>
      </c>
      <c r="G254" s="1">
        <v>1.2905092592592591E-2</v>
      </c>
      <c r="H254" s="206" t="s">
        <v>889</v>
      </c>
      <c r="I254" s="1">
        <v>1.4837962962962963E-2</v>
      </c>
      <c r="J254" s="1" t="s">
        <v>5097</v>
      </c>
      <c r="K254" s="34">
        <v>40845</v>
      </c>
      <c r="L254" s="9">
        <v>12</v>
      </c>
      <c r="M254" s="8">
        <v>1.9131944444444444E-2</v>
      </c>
      <c r="N254" s="3">
        <v>1.037037037037037E-2</v>
      </c>
      <c r="O254" s="3">
        <v>1.1909722222222223E-2</v>
      </c>
      <c r="P254" t="s">
        <v>9357</v>
      </c>
      <c r="W254" s="1">
        <f t="shared" si="36"/>
        <v>8.0585784800902595E-4</v>
      </c>
      <c r="X254" s="1">
        <f t="shared" si="37"/>
        <v>-8.0585784800902595E-4</v>
      </c>
      <c r="Y254" s="9">
        <v>42</v>
      </c>
      <c r="Z254">
        <f t="shared" si="0"/>
        <v>1764</v>
      </c>
      <c r="AB254" s="1">
        <f t="shared" si="23"/>
        <v>7.8703703703703574E-4</v>
      </c>
      <c r="AC254" s="1"/>
      <c r="AE254" s="1"/>
      <c r="AF254" s="1"/>
    </row>
    <row r="255" spans="1:32" x14ac:dyDescent="0.2">
      <c r="A255">
        <v>294</v>
      </c>
      <c r="B255" s="27" t="s">
        <v>5122</v>
      </c>
      <c r="C255" s="74" t="s">
        <v>1560</v>
      </c>
      <c r="D255" s="24">
        <f>Runners!L216</f>
        <v>7</v>
      </c>
      <c r="E255" s="183">
        <f>Runners!L215</f>
        <v>149</v>
      </c>
      <c r="F255" s="6" t="s">
        <v>5096</v>
      </c>
      <c r="G255" s="1">
        <v>1.4930555555555556E-2</v>
      </c>
      <c r="H255" s="206" t="s">
        <v>888</v>
      </c>
      <c r="I255" s="1">
        <v>2.2094907407407407E-2</v>
      </c>
      <c r="J255" s="1" t="s">
        <v>3884</v>
      </c>
      <c r="K255" s="34">
        <v>41223</v>
      </c>
      <c r="L255" s="9">
        <v>44</v>
      </c>
      <c r="M255" s="8">
        <v>1.9282407407407408E-2</v>
      </c>
      <c r="N255" s="3">
        <v>1.0694444444444444E-2</v>
      </c>
      <c r="O255" s="3">
        <v>1.2199074074074072E-2</v>
      </c>
      <c r="W255" s="1">
        <f t="shared" si="36"/>
        <v>4.817837739349521E-4</v>
      </c>
      <c r="X255" s="1">
        <f t="shared" si="37"/>
        <v>-4.817837739349521E-4</v>
      </c>
      <c r="Y255" s="9">
        <v>24</v>
      </c>
      <c r="Z255">
        <f t="shared" si="0"/>
        <v>576</v>
      </c>
      <c r="AB255" s="1">
        <f t="shared" si="23"/>
        <v>1.1111111111111096E-3</v>
      </c>
      <c r="AC255" s="1"/>
      <c r="AE255" s="1"/>
      <c r="AF255" s="1"/>
    </row>
    <row r="256" spans="1:32" x14ac:dyDescent="0.2">
      <c r="A256">
        <v>51</v>
      </c>
      <c r="B256" s="27" t="s">
        <v>3127</v>
      </c>
      <c r="C256" s="15" t="s">
        <v>2236</v>
      </c>
      <c r="D256" s="24">
        <f>Runners!X460</f>
        <v>9</v>
      </c>
      <c r="E256" s="183">
        <f>Runners!X459</f>
        <v>26</v>
      </c>
      <c r="F256" s="6" t="s">
        <v>2334</v>
      </c>
      <c r="G256" s="375">
        <v>1.1921296296296298E-2</v>
      </c>
      <c r="H256" s="513" t="s">
        <v>1440</v>
      </c>
      <c r="I256" s="1">
        <v>1.9664351851851853E-2</v>
      </c>
      <c r="J256" s="1" t="s">
        <v>1000</v>
      </c>
      <c r="K256" s="34">
        <v>41244</v>
      </c>
      <c r="L256" s="9">
        <v>46</v>
      </c>
      <c r="M256" s="8">
        <v>1.7488425925925925E-2</v>
      </c>
      <c r="N256" s="3">
        <v>1.03125E-2</v>
      </c>
      <c r="O256" s="3">
        <v>1.1736111111111109E-2</v>
      </c>
      <c r="W256" s="1">
        <f t="shared" si="36"/>
        <v>8.6372821837939553E-4</v>
      </c>
      <c r="X256" s="1">
        <f t="shared" si="37"/>
        <v>-8.6372821837939553E-4</v>
      </c>
      <c r="Y256" s="9">
        <v>57</v>
      </c>
      <c r="Z256">
        <f t="shared" si="0"/>
        <v>3249</v>
      </c>
      <c r="AB256" s="1">
        <f t="shared" si="23"/>
        <v>7.2916666666666616E-4</v>
      </c>
      <c r="AC256" s="1"/>
      <c r="AE256" s="1"/>
      <c r="AF256" s="1"/>
    </row>
    <row r="257" spans="1:32" x14ac:dyDescent="0.2">
      <c r="A257">
        <v>35</v>
      </c>
      <c r="B257" s="552" t="s">
        <v>1450</v>
      </c>
      <c r="C257" s="532" t="s">
        <v>3814</v>
      </c>
      <c r="D257" s="531">
        <f>Runners!M554</f>
        <v>1</v>
      </c>
      <c r="E257" s="541">
        <f>Runners!M553</f>
        <v>1</v>
      </c>
      <c r="F257" s="79" t="s">
        <v>1000</v>
      </c>
      <c r="G257" s="334">
        <v>2.045138888888889E-2</v>
      </c>
      <c r="J257" s="334" t="s">
        <v>1000</v>
      </c>
      <c r="K257" s="34">
        <v>42917</v>
      </c>
      <c r="L257" s="9">
        <v>343</v>
      </c>
      <c r="M257" s="8">
        <v>2.1863425925925925E-2</v>
      </c>
      <c r="N257" s="3">
        <v>1.1793981481481482E-2</v>
      </c>
      <c r="O257" s="3">
        <v>1.4456018518518519E-2</v>
      </c>
      <c r="P257" t="s">
        <v>554</v>
      </c>
      <c r="W257" s="1">
        <f t="shared" si="36"/>
        <v>-6.1775326310208566E-4</v>
      </c>
      <c r="X257" s="1">
        <f t="shared" si="37"/>
        <v>6.1775326310208566E-4</v>
      </c>
      <c r="Y257" s="9"/>
      <c r="AB257" s="1">
        <f t="shared" si="23"/>
        <v>2.2106481481481473E-3</v>
      </c>
      <c r="AC257" s="1"/>
      <c r="AE257" s="1"/>
      <c r="AF257" s="1"/>
    </row>
    <row r="258" spans="1:32" x14ac:dyDescent="0.2">
      <c r="A258">
        <v>1527</v>
      </c>
      <c r="B258" s="556" t="s">
        <v>12262</v>
      </c>
      <c r="C258" s="532" t="s">
        <v>12261</v>
      </c>
      <c r="D258" s="531">
        <f>Runners!M1200</f>
        <v>2</v>
      </c>
      <c r="E258" s="541">
        <f>Runners!M1199</f>
        <v>2</v>
      </c>
      <c r="F258" s="79" t="s">
        <v>1000</v>
      </c>
      <c r="G258" s="334">
        <v>1.9918981481481482E-2</v>
      </c>
      <c r="J258" s="334" t="s">
        <v>1000</v>
      </c>
      <c r="K258" s="34">
        <v>43554</v>
      </c>
      <c r="L258" s="1398">
        <v>481</v>
      </c>
      <c r="M258" s="8">
        <v>1.8738425925925926E-2</v>
      </c>
      <c r="N258" s="3">
        <v>1.1064814814814814E-2</v>
      </c>
      <c r="O258" s="3">
        <v>1.2152777777777778E-2</v>
      </c>
      <c r="W258" s="1">
        <f t="shared" si="36"/>
        <v>1.1141340356458224E-4</v>
      </c>
      <c r="X258" s="1">
        <f t="shared" si="37"/>
        <v>-1.1141340356458224E-4</v>
      </c>
      <c r="Y258" s="9"/>
      <c r="AB258" s="1">
        <f t="shared" si="23"/>
        <v>1.4814814814814795E-3</v>
      </c>
      <c r="AC258" s="1"/>
      <c r="AE258" s="1"/>
      <c r="AF258" s="1"/>
    </row>
    <row r="259" spans="1:32" x14ac:dyDescent="0.2">
      <c r="A259">
        <v>938</v>
      </c>
      <c r="B259" s="27" t="s">
        <v>6259</v>
      </c>
      <c r="C259" s="532" t="s">
        <v>6260</v>
      </c>
      <c r="D259" s="531">
        <f>Runners!AA1289</f>
        <v>1</v>
      </c>
      <c r="E259" s="541">
        <f>Runners!AA1288</f>
        <v>1</v>
      </c>
      <c r="F259" s="6"/>
      <c r="G259" s="3"/>
      <c r="H259" s="513" t="s">
        <v>2670</v>
      </c>
      <c r="I259" s="1">
        <v>1.4097222222222221E-2</v>
      </c>
      <c r="J259" s="334" t="s">
        <v>2670</v>
      </c>
      <c r="K259" s="34">
        <v>42742</v>
      </c>
      <c r="L259" s="9">
        <v>315</v>
      </c>
      <c r="M259" s="8">
        <v>1.9467592592592595E-2</v>
      </c>
      <c r="N259" s="3">
        <v>1.1018518518518518E-2</v>
      </c>
      <c r="O259" s="3">
        <v>1.2719907407407407E-2</v>
      </c>
      <c r="W259" s="1">
        <f t="shared" si="36"/>
        <v>1.5770969986087825E-4</v>
      </c>
      <c r="X259" s="1">
        <f t="shared" si="37"/>
        <v>-1.5770969986087825E-4</v>
      </c>
      <c r="Y259" s="9"/>
      <c r="AB259" s="1">
        <f t="shared" si="23"/>
        <v>1.4351851851851834E-3</v>
      </c>
      <c r="AC259" s="1"/>
      <c r="AE259" s="1"/>
      <c r="AF259" s="1"/>
    </row>
    <row r="260" spans="1:32" x14ac:dyDescent="0.2">
      <c r="A260">
        <v>835</v>
      </c>
      <c r="B260" s="27" t="s">
        <v>849</v>
      </c>
      <c r="C260" s="74" t="s">
        <v>3965</v>
      </c>
      <c r="D260" s="24">
        <f>Runners!O1304</f>
        <v>1</v>
      </c>
      <c r="E260" s="183">
        <f>Runners!O1303</f>
        <v>1</v>
      </c>
      <c r="F260" s="6"/>
      <c r="G260" s="3"/>
      <c r="H260" s="206" t="s">
        <v>888</v>
      </c>
      <c r="I260" s="1">
        <v>2.2303240740740738E-2</v>
      </c>
      <c r="J260" s="1" t="s">
        <v>888</v>
      </c>
      <c r="K260" s="34">
        <v>42343</v>
      </c>
      <c r="L260" s="9">
        <v>213</v>
      </c>
      <c r="M260" s="8">
        <v>2.297453703703704E-2</v>
      </c>
      <c r="N260" s="3">
        <v>1.2546296296296297E-2</v>
      </c>
      <c r="O260" s="3">
        <v>1.539351851851852E-2</v>
      </c>
      <c r="W260" s="1">
        <f t="shared" si="36"/>
        <v>-1.3700680779169007E-3</v>
      </c>
      <c r="X260" s="1">
        <f t="shared" si="37"/>
        <v>1.3700680779169007E-3</v>
      </c>
      <c r="Y260" s="99">
        <v>136</v>
      </c>
      <c r="Z260">
        <f t="shared" si="0"/>
        <v>18496</v>
      </c>
      <c r="AB260" s="1">
        <f t="shared" si="23"/>
        <v>2.9629629629629624E-3</v>
      </c>
      <c r="AC260" s="1"/>
      <c r="AE260" s="1"/>
      <c r="AF260" s="1"/>
    </row>
    <row r="261" spans="1:32" x14ac:dyDescent="0.2">
      <c r="A261">
        <v>650</v>
      </c>
      <c r="B261" s="27" t="s">
        <v>4196</v>
      </c>
      <c r="C261" s="74" t="s">
        <v>1380</v>
      </c>
      <c r="D261" s="24">
        <f>Runners!Z1289</f>
        <v>2</v>
      </c>
      <c r="E261" s="183">
        <f>Runners!Z1288</f>
        <v>2</v>
      </c>
      <c r="F261" s="6" t="s">
        <v>1000</v>
      </c>
      <c r="G261" s="32">
        <v>1.7928240740740741E-2</v>
      </c>
      <c r="H261" s="206"/>
      <c r="J261" s="1" t="s">
        <v>1000</v>
      </c>
      <c r="K261" s="34">
        <v>42350</v>
      </c>
      <c r="L261" s="9">
        <v>214</v>
      </c>
      <c r="M261" s="8">
        <v>2.2013888888888888E-2</v>
      </c>
      <c r="N261" s="3">
        <v>1.1064814814814814E-2</v>
      </c>
      <c r="O261" s="3">
        <v>1.1782407407407406E-2</v>
      </c>
      <c r="W261" s="1">
        <f t="shared" si="36"/>
        <v>1.1141340356458224E-4</v>
      </c>
      <c r="X261" s="1">
        <f t="shared" si="37"/>
        <v>-1.1141340356458224E-4</v>
      </c>
      <c r="Y261" s="9">
        <v>8</v>
      </c>
      <c r="Z261">
        <f t="shared" si="0"/>
        <v>64</v>
      </c>
      <c r="AB261" s="1">
        <f t="shared" si="23"/>
        <v>1.4814814814814795E-3</v>
      </c>
      <c r="AC261" s="1"/>
      <c r="AE261" s="1"/>
      <c r="AF261" s="1"/>
    </row>
    <row r="262" spans="1:32" x14ac:dyDescent="0.2">
      <c r="A262">
        <v>72</v>
      </c>
      <c r="B262" s="27" t="s">
        <v>2278</v>
      </c>
      <c r="C262" s="74" t="s">
        <v>5959</v>
      </c>
      <c r="D262" s="24">
        <f>Runners!W460</f>
        <v>12</v>
      </c>
      <c r="E262" s="183">
        <f>Runners!W459</f>
        <v>18</v>
      </c>
      <c r="F262" s="6" t="s">
        <v>5096</v>
      </c>
      <c r="G262" s="1">
        <v>1.5555555555555553E-2</v>
      </c>
      <c r="H262" s="1370" t="s">
        <v>3254</v>
      </c>
      <c r="I262" s="1412">
        <v>1.9363425925925926E-2</v>
      </c>
      <c r="J262" s="1" t="s">
        <v>1000</v>
      </c>
      <c r="K262" s="34">
        <v>41034</v>
      </c>
      <c r="L262" s="9">
        <v>22</v>
      </c>
      <c r="M262" s="8">
        <v>1.8935185185185183E-2</v>
      </c>
      <c r="N262" s="3">
        <v>1.0787037037037038E-2</v>
      </c>
      <c r="O262" s="3">
        <v>1.306712962962963E-2</v>
      </c>
      <c r="Q262" s="581" t="s">
        <v>12501</v>
      </c>
      <c r="R262" s="530"/>
      <c r="S262" s="530"/>
      <c r="W262" s="1">
        <f t="shared" si="36"/>
        <v>3.8919118134235833E-4</v>
      </c>
      <c r="X262" s="1">
        <f t="shared" si="37"/>
        <v>-3.8919118134235833E-4</v>
      </c>
      <c r="Y262" s="9">
        <v>16</v>
      </c>
      <c r="Z262">
        <f t="shared" si="0"/>
        <v>256</v>
      </c>
      <c r="AB262" s="1">
        <f t="shared" si="23"/>
        <v>1.2037037037037034E-3</v>
      </c>
      <c r="AC262" s="1"/>
      <c r="AE262" s="1"/>
      <c r="AF262" s="1"/>
    </row>
    <row r="263" spans="1:32" x14ac:dyDescent="0.2">
      <c r="A263">
        <v>327</v>
      </c>
      <c r="B263" s="27" t="s">
        <v>1375</v>
      </c>
      <c r="C263" s="74" t="s">
        <v>3333</v>
      </c>
      <c r="D263" s="24">
        <f>Runners!J854</f>
        <v>4</v>
      </c>
      <c r="E263" s="183">
        <f>Runners!J853</f>
        <v>4</v>
      </c>
      <c r="F263" s="6" t="s">
        <v>1270</v>
      </c>
      <c r="G263" s="1">
        <v>1.4074074074074074E-2</v>
      </c>
      <c r="H263" s="1370" t="s">
        <v>1062</v>
      </c>
      <c r="I263" s="334">
        <v>2.4733796296296295E-2</v>
      </c>
      <c r="J263" s="32" t="s">
        <v>5096</v>
      </c>
      <c r="K263" s="33">
        <v>41601</v>
      </c>
      <c r="L263" s="9">
        <v>79</v>
      </c>
      <c r="M263" s="8">
        <v>1.9386574074074073E-2</v>
      </c>
      <c r="N263" s="3">
        <v>1.0833333333333334E-2</v>
      </c>
      <c r="O263" s="3">
        <v>1.2708333333333334E-2</v>
      </c>
      <c r="P263" t="s">
        <v>5599</v>
      </c>
      <c r="Q263" s="253" t="s">
        <v>268</v>
      </c>
      <c r="R263" s="253"/>
      <c r="U263" s="196"/>
      <c r="W263" s="1">
        <f t="shared" si="36"/>
        <v>3.4289488504606232E-4</v>
      </c>
      <c r="X263" s="1">
        <f t="shared" si="37"/>
        <v>-3.4289488504606232E-4</v>
      </c>
      <c r="Y263" s="9">
        <v>12</v>
      </c>
      <c r="Z263">
        <f t="shared" si="0"/>
        <v>144</v>
      </c>
      <c r="AB263" s="1">
        <f t="shared" si="23"/>
        <v>1.2499999999999994E-3</v>
      </c>
      <c r="AC263" s="1"/>
      <c r="AE263" s="1"/>
      <c r="AF263" s="1"/>
    </row>
    <row r="264" spans="1:32" x14ac:dyDescent="0.2">
      <c r="A264">
        <v>1793</v>
      </c>
      <c r="B264" s="493" t="s">
        <v>8887</v>
      </c>
      <c r="C264" s="415" t="s">
        <v>8859</v>
      </c>
      <c r="D264" s="24">
        <f>Runners!T1200</f>
        <v>2</v>
      </c>
      <c r="E264" s="183">
        <f>Runners!T1199</f>
        <v>2</v>
      </c>
      <c r="F264" s="79" t="s">
        <v>5882</v>
      </c>
      <c r="G264" s="1">
        <v>1.5358796296296296E-2</v>
      </c>
      <c r="H264" s="53"/>
      <c r="I264" s="54"/>
      <c r="J264" s="334" t="s">
        <v>1000</v>
      </c>
      <c r="K264" s="33">
        <v>43436</v>
      </c>
      <c r="L264" s="1398">
        <v>372</v>
      </c>
      <c r="M264" s="8">
        <v>1.9942129629629629E-2</v>
      </c>
      <c r="N264" s="3">
        <v>1.1157407407407408E-2</v>
      </c>
      <c r="O264" s="3">
        <v>1.2395833333333335E-2</v>
      </c>
      <c r="Q264" s="196"/>
      <c r="R264" s="196"/>
      <c r="U264" s="196"/>
      <c r="W264" s="1">
        <f t="shared" si="36"/>
        <v>1.8820810971988469E-5</v>
      </c>
      <c r="X264" s="1">
        <f t="shared" si="37"/>
        <v>-1.8820810971988469E-5</v>
      </c>
      <c r="Y264" s="9"/>
      <c r="AB264" s="1">
        <f t="shared" si="23"/>
        <v>1.5740740740740732E-3</v>
      </c>
      <c r="AC264" s="1"/>
      <c r="AE264" s="1"/>
      <c r="AF264" s="1"/>
    </row>
    <row r="265" spans="1:32" x14ac:dyDescent="0.2">
      <c r="A265">
        <v>2314</v>
      </c>
      <c r="B265" s="493" t="s">
        <v>12528</v>
      </c>
      <c r="C265" s="415" t="s">
        <v>12510</v>
      </c>
      <c r="D265" s="24">
        <f>Runners!O148</f>
        <v>28</v>
      </c>
      <c r="E265" s="183">
        <f>Runners!O147</f>
        <v>79</v>
      </c>
      <c r="F265" s="70" t="s">
        <v>8462</v>
      </c>
      <c r="G265" s="3">
        <v>1.3680555555555555E-2</v>
      </c>
      <c r="H265" s="513" t="s">
        <v>9806</v>
      </c>
      <c r="I265" s="54">
        <v>1.4085648148148151E-2</v>
      </c>
      <c r="J265" s="334" t="s">
        <v>9806</v>
      </c>
      <c r="K265" s="33">
        <v>43589</v>
      </c>
      <c r="L265" s="1398">
        <v>494</v>
      </c>
      <c r="M265" s="1515">
        <v>2.1921296296296296E-2</v>
      </c>
      <c r="N265" s="1530">
        <v>1.1388888888888888E-2</v>
      </c>
      <c r="O265" s="1530">
        <v>1.3263888888888889E-2</v>
      </c>
      <c r="Q265" s="196"/>
      <c r="R265" s="196"/>
      <c r="U265" s="196"/>
      <c r="W265" s="1">
        <f t="shared" si="36"/>
        <v>-2.1266067050949161E-4</v>
      </c>
      <c r="X265" s="1">
        <f t="shared" si="37"/>
        <v>2.1266067050949161E-4</v>
      </c>
      <c r="Y265" s="9"/>
      <c r="AB265" s="1">
        <f t="shared" si="23"/>
        <v>1.8055555555555533E-3</v>
      </c>
      <c r="AC265" s="1"/>
      <c r="AE265" s="1"/>
      <c r="AF265" s="1"/>
    </row>
    <row r="266" spans="1:32" x14ac:dyDescent="0.2">
      <c r="A266">
        <v>1030</v>
      </c>
      <c r="B266" s="27" t="s">
        <v>486</v>
      </c>
      <c r="C266" s="74" t="s">
        <v>1328</v>
      </c>
      <c r="D266" s="24">
        <f>Runners!U374</f>
        <v>2</v>
      </c>
      <c r="E266" s="183">
        <f>Runners!U373</f>
        <v>2</v>
      </c>
      <c r="F266" s="6" t="s">
        <v>1000</v>
      </c>
      <c r="G266" s="1">
        <v>1.7997685185185186E-2</v>
      </c>
      <c r="J266" s="32" t="s">
        <v>1000</v>
      </c>
      <c r="K266" s="34">
        <v>41937</v>
      </c>
      <c r="L266" s="1398">
        <v>136</v>
      </c>
      <c r="M266" s="8">
        <v>1.741898148148148E-2</v>
      </c>
      <c r="N266" s="3">
        <v>1.1527777777777777E-2</v>
      </c>
      <c r="O266" s="3">
        <v>1.3206018518518518E-2</v>
      </c>
      <c r="W266" s="1">
        <f t="shared" si="36"/>
        <v>-3.5154955939838139E-4</v>
      </c>
      <c r="X266" s="1">
        <f t="shared" si="37"/>
        <v>3.5154955939838139E-4</v>
      </c>
      <c r="Y266" s="9">
        <v>48</v>
      </c>
      <c r="Z266">
        <f t="shared" si="0"/>
        <v>2304</v>
      </c>
      <c r="AB266" s="1">
        <f t="shared" si="23"/>
        <v>1.9444444444444431E-3</v>
      </c>
      <c r="AC266" s="1"/>
      <c r="AE266" s="1"/>
      <c r="AF266" s="1"/>
    </row>
    <row r="267" spans="1:32" x14ac:dyDescent="0.2">
      <c r="A267">
        <v>1031</v>
      </c>
      <c r="B267" s="27" t="s">
        <v>4720</v>
      </c>
      <c r="C267" s="74" t="s">
        <v>2805</v>
      </c>
      <c r="D267" s="24">
        <f>Runners!O554</f>
        <v>4</v>
      </c>
      <c r="E267" s="183">
        <f>Runners!O553</f>
        <v>4</v>
      </c>
      <c r="F267" s="6" t="s">
        <v>1000</v>
      </c>
      <c r="G267" s="1">
        <v>1.8043981481481484E-2</v>
      </c>
      <c r="H267" s="319" t="s">
        <v>2670</v>
      </c>
      <c r="I267" s="3">
        <v>1.7407407407407406E-2</v>
      </c>
      <c r="J267" s="32" t="s">
        <v>1000</v>
      </c>
      <c r="K267" s="33">
        <v>42084</v>
      </c>
      <c r="L267" s="1398">
        <v>156</v>
      </c>
      <c r="M267" s="8">
        <v>2.1331018518518517E-2</v>
      </c>
      <c r="N267" s="3">
        <v>1.1643518518518518E-2</v>
      </c>
      <c r="O267" s="3">
        <v>1.3506944444444445E-2</v>
      </c>
      <c r="Q267" s="53"/>
      <c r="R267" s="53"/>
      <c r="U267" s="53"/>
      <c r="W267" s="1">
        <f t="shared" si="36"/>
        <v>-4.672903001391223E-4</v>
      </c>
      <c r="X267" s="1">
        <f t="shared" si="37"/>
        <v>4.672903001391223E-4</v>
      </c>
      <c r="Y267" s="9">
        <v>58</v>
      </c>
      <c r="Z267">
        <f t="shared" si="0"/>
        <v>3364</v>
      </c>
      <c r="AB267" s="1">
        <f t="shared" si="23"/>
        <v>2.060185185185184E-3</v>
      </c>
      <c r="AC267" s="1"/>
      <c r="AE267" s="1"/>
      <c r="AF267" s="1"/>
    </row>
    <row r="268" spans="1:32" x14ac:dyDescent="0.2">
      <c r="A268">
        <v>215</v>
      </c>
      <c r="B268" s="27" t="s">
        <v>5902</v>
      </c>
      <c r="C268" s="74" t="s">
        <v>4731</v>
      </c>
      <c r="D268" s="24">
        <f>Runners!K1048</f>
        <v>5</v>
      </c>
      <c r="E268" s="183">
        <f>Runners!K1047</f>
        <v>68</v>
      </c>
      <c r="F268" s="6" t="s">
        <v>298</v>
      </c>
      <c r="G268" s="1">
        <v>1.5706018518518518E-2</v>
      </c>
      <c r="H268" s="5" t="s">
        <v>5903</v>
      </c>
      <c r="I268" s="32">
        <v>1.8217592592592594E-2</v>
      </c>
      <c r="J268" s="32" t="s">
        <v>5903</v>
      </c>
      <c r="K268" s="33">
        <v>42385</v>
      </c>
      <c r="L268" s="1398">
        <v>223</v>
      </c>
      <c r="M268" s="8">
        <v>1.8842592592592591E-2</v>
      </c>
      <c r="N268" s="3">
        <v>1.0949074074074075E-2</v>
      </c>
      <c r="O268" s="3">
        <v>1.2129629629629629E-2</v>
      </c>
      <c r="Q268" s="103" t="s">
        <v>1230</v>
      </c>
      <c r="R268" s="103"/>
      <c r="S268" s="27"/>
      <c r="U268" s="53"/>
      <c r="W268" s="1">
        <f t="shared" si="36"/>
        <v>2.2715414430532141E-4</v>
      </c>
      <c r="X268" s="1">
        <f t="shared" si="37"/>
        <v>-2.2715414430532141E-4</v>
      </c>
      <c r="Y268" s="9">
        <v>2</v>
      </c>
      <c r="Z268">
        <f t="shared" si="0"/>
        <v>4</v>
      </c>
      <c r="AB268" s="1">
        <f t="shared" si="23"/>
        <v>1.3657407407407403E-3</v>
      </c>
      <c r="AC268" s="1"/>
      <c r="AE268" s="1"/>
      <c r="AF268" s="1"/>
    </row>
    <row r="269" spans="1:32" x14ac:dyDescent="0.2">
      <c r="A269">
        <v>31</v>
      </c>
      <c r="B269" s="27" t="s">
        <v>294</v>
      </c>
      <c r="C269" s="74" t="s">
        <v>1967</v>
      </c>
      <c r="D269" s="519">
        <f>Runners!P148</f>
        <v>16</v>
      </c>
      <c r="E269" s="948">
        <f>Runners!P147</f>
        <v>161</v>
      </c>
      <c r="F269" s="534" t="s">
        <v>12695</v>
      </c>
      <c r="G269" s="512">
        <v>1.3645833333333331E-2</v>
      </c>
      <c r="H269" s="513" t="s">
        <v>9806</v>
      </c>
      <c r="I269" s="512">
        <v>1.4710648148148148E-2</v>
      </c>
      <c r="J269" s="32" t="s">
        <v>2725</v>
      </c>
      <c r="K269" s="33">
        <v>42133</v>
      </c>
      <c r="L269" s="1398">
        <v>168</v>
      </c>
      <c r="M269" s="8">
        <v>1.9745370370370371E-2</v>
      </c>
      <c r="N269" s="3">
        <v>1.136574074074074E-2</v>
      </c>
      <c r="O269" s="3">
        <v>1.255787037037037E-2</v>
      </c>
      <c r="Q269" s="103" t="s">
        <v>5730</v>
      </c>
      <c r="R269" s="103"/>
      <c r="S269" s="103" t="s">
        <v>2679</v>
      </c>
      <c r="T269" s="103"/>
      <c r="U269" s="53"/>
      <c r="W269" s="1">
        <f t="shared" si="36"/>
        <v>-1.8951252236134447E-4</v>
      </c>
      <c r="X269" s="1">
        <f t="shared" si="37"/>
        <v>1.8951252236134447E-4</v>
      </c>
      <c r="Y269" s="9">
        <v>34</v>
      </c>
      <c r="Z269">
        <f t="shared" si="0"/>
        <v>1156</v>
      </c>
      <c r="AB269" s="1">
        <f t="shared" si="23"/>
        <v>1.7824074074074062E-3</v>
      </c>
      <c r="AC269" s="1"/>
      <c r="AE269" s="1"/>
      <c r="AF269" s="1"/>
    </row>
    <row r="270" spans="1:32" x14ac:dyDescent="0.2">
      <c r="A270">
        <v>442</v>
      </c>
      <c r="B270" s="27" t="s">
        <v>2438</v>
      </c>
      <c r="C270" s="74" t="s">
        <v>4967</v>
      </c>
      <c r="D270" s="24">
        <f>Runners!H500</f>
        <v>3</v>
      </c>
      <c r="E270" s="183">
        <f>Runners!H499</f>
        <v>3</v>
      </c>
      <c r="F270" s="6" t="s">
        <v>5096</v>
      </c>
      <c r="G270" s="1">
        <v>1.4837962962962963E-2</v>
      </c>
      <c r="H270" s="53"/>
      <c r="I270" s="54"/>
      <c r="J270" s="32" t="s">
        <v>5096</v>
      </c>
      <c r="K270" s="33">
        <v>41748</v>
      </c>
      <c r="L270" s="1398">
        <v>99</v>
      </c>
      <c r="M270" s="8">
        <v>1.9953703703703706E-2</v>
      </c>
      <c r="N270" s="3">
        <v>1.1238425925925928E-2</v>
      </c>
      <c r="O270" s="3">
        <v>1.2731481481481481E-2</v>
      </c>
      <c r="W270" s="1">
        <f t="shared" si="36"/>
        <v>-6.2197707546531728E-5</v>
      </c>
      <c r="X270" s="1">
        <f t="shared" si="37"/>
        <v>6.2197707546531728E-5</v>
      </c>
      <c r="Y270" s="9">
        <v>23</v>
      </c>
      <c r="Z270">
        <f t="shared" si="0"/>
        <v>529</v>
      </c>
      <c r="AB270" s="1">
        <f t="shared" si="23"/>
        <v>1.6550925925925934E-3</v>
      </c>
      <c r="AC270" s="1"/>
      <c r="AE270" s="1"/>
      <c r="AF270" s="1"/>
    </row>
    <row r="271" spans="1:32" x14ac:dyDescent="0.2">
      <c r="A271">
        <v>457</v>
      </c>
      <c r="B271" s="27" t="s">
        <v>1754</v>
      </c>
      <c r="C271" s="74" t="s">
        <v>4836</v>
      </c>
      <c r="D271" s="24">
        <f>Runners!N1073</f>
        <v>3</v>
      </c>
      <c r="E271" s="183">
        <f>Runners!N1072</f>
        <v>3</v>
      </c>
      <c r="F271" s="6" t="s">
        <v>298</v>
      </c>
      <c r="G271" s="1">
        <v>1.6180555555555556E-2</v>
      </c>
      <c r="H271" s="5" t="s">
        <v>5903</v>
      </c>
      <c r="I271" s="32">
        <v>1.9479166666666669E-2</v>
      </c>
      <c r="J271" s="32" t="s">
        <v>5365</v>
      </c>
      <c r="K271" s="33">
        <v>42476</v>
      </c>
      <c r="L271" s="1398" t="s">
        <v>2468</v>
      </c>
      <c r="M271" s="8">
        <v>1.9328703703703702E-2</v>
      </c>
      <c r="N271" s="3">
        <v>1.0798611111111111E-2</v>
      </c>
      <c r="O271" s="3">
        <v>1.2222222222222223E-2</v>
      </c>
      <c r="W271" s="1">
        <f t="shared" si="36"/>
        <v>3.7761710726828476E-4</v>
      </c>
      <c r="X271" s="1">
        <f t="shared" si="37"/>
        <v>-3.7761710726828476E-4</v>
      </c>
      <c r="Y271" s="9"/>
      <c r="AB271" s="1">
        <f t="shared" si="23"/>
        <v>1.2152777777777769E-3</v>
      </c>
      <c r="AC271" s="1"/>
      <c r="AE271" s="1"/>
      <c r="AF271" s="1"/>
    </row>
    <row r="272" spans="1:32" x14ac:dyDescent="0.2">
      <c r="A272">
        <v>1290</v>
      </c>
      <c r="B272" s="552" t="s">
        <v>16473</v>
      </c>
      <c r="C272" s="532" t="s">
        <v>1697</v>
      </c>
      <c r="D272" s="531">
        <f>Runners!Q554</f>
        <v>1</v>
      </c>
      <c r="E272" s="541">
        <f>Runners!Q553</f>
        <v>1</v>
      </c>
      <c r="F272" s="1411" t="s">
        <v>756</v>
      </c>
      <c r="G272" s="1412">
        <v>1.9861111111111111E-2</v>
      </c>
      <c r="H272" s="1410"/>
      <c r="I272" s="1412"/>
      <c r="J272" s="1432" t="s">
        <v>756</v>
      </c>
      <c r="K272" s="1379">
        <v>43831</v>
      </c>
      <c r="M272" s="8">
        <v>2.0405092592592593E-2</v>
      </c>
      <c r="N272" s="3">
        <v>1.1111111111111112E-2</v>
      </c>
      <c r="O272" s="3">
        <v>1.2291666666666666E-2</v>
      </c>
      <c r="W272" s="1"/>
      <c r="X272" s="1"/>
      <c r="Y272" s="9"/>
      <c r="AB272" s="1"/>
      <c r="AC272" s="1"/>
      <c r="AE272" s="1"/>
      <c r="AF272" s="1"/>
    </row>
    <row r="273" spans="1:32" x14ac:dyDescent="0.2">
      <c r="A273">
        <v>1197</v>
      </c>
      <c r="B273" s="552" t="s">
        <v>1903</v>
      </c>
      <c r="C273" s="511" t="s">
        <v>475</v>
      </c>
      <c r="D273" s="531">
        <f>Runners!L630</f>
        <v>7</v>
      </c>
      <c r="E273" s="541">
        <f>Runners!L629</f>
        <v>7</v>
      </c>
      <c r="F273" s="534" t="s">
        <v>3196</v>
      </c>
      <c r="G273" s="1">
        <v>1.5763888888888886E-2</v>
      </c>
      <c r="H273" s="968" t="s">
        <v>5241</v>
      </c>
      <c r="I273" s="334">
        <v>1.53125E-2</v>
      </c>
      <c r="J273" s="334" t="s">
        <v>5241</v>
      </c>
      <c r="K273" s="33">
        <v>43183</v>
      </c>
      <c r="L273" s="1398">
        <v>392</v>
      </c>
      <c r="M273" s="8">
        <v>2.0011574074074074E-2</v>
      </c>
      <c r="N273" s="3">
        <v>1.0543981481481481E-2</v>
      </c>
      <c r="O273" s="3">
        <v>1.207175925925926E-2</v>
      </c>
      <c r="Q273" s="103" t="s">
        <v>1715</v>
      </c>
      <c r="R273" s="103"/>
      <c r="W273" s="1">
        <f t="shared" ref="W273:W291" si="38">$N$700-N273</f>
        <v>6.3224673689791545E-4</v>
      </c>
      <c r="X273" s="1">
        <f t="shared" ref="X273:X291" si="39">N273-$N$700</f>
        <v>-6.3224673689791545E-4</v>
      </c>
      <c r="Y273" s="9">
        <v>37</v>
      </c>
      <c r="Z273">
        <f t="shared" si="0"/>
        <v>1369</v>
      </c>
      <c r="AB273" s="1">
        <f t="shared" si="23"/>
        <v>9.6064814814814624E-4</v>
      </c>
      <c r="AC273" s="1"/>
      <c r="AE273" s="1"/>
      <c r="AF273" s="1"/>
    </row>
    <row r="274" spans="1:32" x14ac:dyDescent="0.2">
      <c r="A274">
        <v>298</v>
      </c>
      <c r="B274" s="27" t="s">
        <v>2223</v>
      </c>
      <c r="C274" s="74" t="s">
        <v>1509</v>
      </c>
      <c r="D274" s="24">
        <f>Runners!N554</f>
        <v>3</v>
      </c>
      <c r="E274" s="183">
        <f>Runners!N553</f>
        <v>3</v>
      </c>
      <c r="F274" s="6" t="s">
        <v>5096</v>
      </c>
      <c r="G274" s="1">
        <v>1.4872685185185185E-2</v>
      </c>
      <c r="H274" s="53"/>
      <c r="I274" s="54"/>
      <c r="J274" s="32" t="s">
        <v>1000</v>
      </c>
      <c r="K274" s="33">
        <v>42329</v>
      </c>
      <c r="L274" s="9">
        <v>209</v>
      </c>
      <c r="M274" s="8">
        <v>1.9791666666666666E-2</v>
      </c>
      <c r="N274" s="3">
        <v>1.1747685185185186E-2</v>
      </c>
      <c r="O274" s="3">
        <v>1.3032407407407407E-2</v>
      </c>
      <c r="W274" s="1">
        <f t="shared" si="38"/>
        <v>-5.7145696680578964E-4</v>
      </c>
      <c r="X274" s="1">
        <f t="shared" si="39"/>
        <v>5.7145696680578964E-4</v>
      </c>
      <c r="Y274" s="9">
        <v>67</v>
      </c>
      <c r="Z274">
        <f t="shared" si="0"/>
        <v>4489</v>
      </c>
      <c r="AB274" s="1">
        <f t="shared" si="23"/>
        <v>2.1643518518518513E-3</v>
      </c>
      <c r="AC274" s="1"/>
      <c r="AE274" s="1"/>
      <c r="AF274" s="1"/>
    </row>
    <row r="275" spans="1:32" x14ac:dyDescent="0.2">
      <c r="A275">
        <v>97</v>
      </c>
      <c r="B275" s="27" t="s">
        <v>890</v>
      </c>
      <c r="C275" s="74" t="s">
        <v>891</v>
      </c>
      <c r="D275" s="24">
        <f>Runners!M420</f>
        <v>4</v>
      </c>
      <c r="E275" s="183">
        <f>Runners!M419</f>
        <v>7</v>
      </c>
      <c r="F275" s="6" t="s">
        <v>1000</v>
      </c>
      <c r="G275" s="1">
        <v>1.7939814814814815E-2</v>
      </c>
      <c r="H275" s="206" t="s">
        <v>748</v>
      </c>
      <c r="I275" s="1">
        <v>2.4224537037037034E-2</v>
      </c>
      <c r="J275" s="32" t="s">
        <v>1000</v>
      </c>
      <c r="K275" s="34">
        <v>41251</v>
      </c>
      <c r="L275" s="9">
        <v>47</v>
      </c>
      <c r="M275" s="8">
        <v>2.0613425925925927E-2</v>
      </c>
      <c r="N275" s="3">
        <v>1.1064814814814814E-2</v>
      </c>
      <c r="O275" s="3">
        <v>1.3148148148148147E-2</v>
      </c>
      <c r="W275" s="1">
        <f t="shared" si="38"/>
        <v>1.1141340356458224E-4</v>
      </c>
      <c r="X275" s="1">
        <f t="shared" si="39"/>
        <v>-1.1141340356458224E-4</v>
      </c>
      <c r="Y275" s="9">
        <v>8</v>
      </c>
      <c r="Z275">
        <f t="shared" si="0"/>
        <v>64</v>
      </c>
      <c r="AB275" s="1">
        <f t="shared" si="23"/>
        <v>1.4814814814814795E-3</v>
      </c>
      <c r="AC275" s="1"/>
      <c r="AE275" s="1"/>
      <c r="AF275" s="1"/>
    </row>
    <row r="276" spans="1:32" x14ac:dyDescent="0.2">
      <c r="A276">
        <v>1876</v>
      </c>
      <c r="B276" s="552" t="s">
        <v>9301</v>
      </c>
      <c r="C276" s="532" t="s">
        <v>9308</v>
      </c>
      <c r="D276" s="531">
        <f>Runners!M216</f>
        <v>32</v>
      </c>
      <c r="E276" s="541">
        <f>Runners!M215</f>
        <v>193</v>
      </c>
      <c r="F276" s="79" t="s">
        <v>12794</v>
      </c>
      <c r="G276" s="1">
        <v>1.4189814814814815E-2</v>
      </c>
      <c r="H276" s="197" t="s">
        <v>5241</v>
      </c>
      <c r="I276" s="1">
        <v>1.5092592592592593E-2</v>
      </c>
      <c r="J276" s="334" t="s">
        <v>4239</v>
      </c>
      <c r="K276" s="34">
        <v>43176</v>
      </c>
      <c r="L276" s="1398">
        <v>390</v>
      </c>
      <c r="M276" s="8">
        <v>2.0694444444444446E-2</v>
      </c>
      <c r="N276" s="3">
        <v>1.0925925925925924E-2</v>
      </c>
      <c r="O276" s="3">
        <v>1.2939814814814814E-2</v>
      </c>
      <c r="Q276" s="581" t="s">
        <v>12649</v>
      </c>
      <c r="R276" s="530"/>
      <c r="W276" s="1">
        <f t="shared" si="38"/>
        <v>2.5030229245347202E-4</v>
      </c>
      <c r="X276" s="1">
        <f t="shared" si="39"/>
        <v>-2.5030229245347202E-4</v>
      </c>
      <c r="Y276" s="9"/>
      <c r="AB276" s="1">
        <f t="shared" si="23"/>
        <v>1.3425925925925897E-3</v>
      </c>
      <c r="AC276" s="1"/>
      <c r="AE276" s="1"/>
      <c r="AF276" s="1"/>
    </row>
    <row r="277" spans="1:32" x14ac:dyDescent="0.2">
      <c r="A277">
        <v>1709</v>
      </c>
      <c r="B277" s="862" t="s">
        <v>12376</v>
      </c>
      <c r="C277" s="862" t="s">
        <v>12377</v>
      </c>
      <c r="D277" s="1066"/>
      <c r="E277" s="1647"/>
      <c r="F277" s="79"/>
      <c r="H277" s="1389" t="s">
        <v>10350</v>
      </c>
      <c r="I277" s="1412">
        <v>2.1307870370370369E-2</v>
      </c>
      <c r="J277" s="1602" t="s">
        <v>10350</v>
      </c>
      <c r="K277" s="34">
        <v>43568</v>
      </c>
      <c r="L277" s="1398">
        <v>487</v>
      </c>
      <c r="M277" s="8">
        <v>2.8877314814814817E-2</v>
      </c>
      <c r="N277" s="3">
        <v>1.2060185185185186E-2</v>
      </c>
      <c r="O277" s="3">
        <v>1.3530092592592594E-2</v>
      </c>
      <c r="Q277" s="80" t="s">
        <v>13483</v>
      </c>
      <c r="W277" s="1">
        <f t="shared" si="38"/>
        <v>-8.8395696680578992E-4</v>
      </c>
      <c r="X277" s="1">
        <f t="shared" si="39"/>
        <v>8.8395696680578992E-4</v>
      </c>
      <c r="Y277" s="9"/>
      <c r="AB277" s="1">
        <f t="shared" si="23"/>
        <v>2.4768518518518516E-3</v>
      </c>
      <c r="AC277" s="1"/>
      <c r="AE277" s="1"/>
      <c r="AF277" s="1"/>
    </row>
    <row r="278" spans="1:32" x14ac:dyDescent="0.2">
      <c r="A278">
        <v>1906</v>
      </c>
      <c r="B278" s="556" t="s">
        <v>10230</v>
      </c>
      <c r="C278" s="532" t="s">
        <v>10229</v>
      </c>
      <c r="D278" s="531">
        <f>Runners!H787</f>
        <v>1</v>
      </c>
      <c r="E278" s="541">
        <f>Runners!H786</f>
        <v>1</v>
      </c>
      <c r="F278" s="534" t="s">
        <v>654</v>
      </c>
      <c r="G278" s="1">
        <v>2.4895833333333336E-2</v>
      </c>
      <c r="H278" s="197"/>
      <c r="J278" s="512" t="s">
        <v>654</v>
      </c>
      <c r="K278" s="34">
        <v>43295</v>
      </c>
      <c r="L278" s="9">
        <v>424</v>
      </c>
      <c r="M278" s="8">
        <v>2.2337962962962962E-2</v>
      </c>
      <c r="N278" s="3">
        <v>1.2141203703703704E-2</v>
      </c>
      <c r="O278" s="3">
        <v>1.2615740740740742E-2</v>
      </c>
      <c r="W278" s="1">
        <f t="shared" si="38"/>
        <v>-9.6497548532430838E-4</v>
      </c>
      <c r="X278" s="1">
        <f t="shared" si="39"/>
        <v>9.6497548532430838E-4</v>
      </c>
      <c r="Y278" s="9"/>
      <c r="AB278" s="1">
        <f t="shared" si="23"/>
        <v>2.5578703703703701E-3</v>
      </c>
      <c r="AC278" s="1"/>
      <c r="AE278" s="1"/>
      <c r="AF278" s="1"/>
    </row>
    <row r="279" spans="1:32" x14ac:dyDescent="0.2">
      <c r="A279">
        <v>88</v>
      </c>
      <c r="B279" s="552" t="s">
        <v>8156</v>
      </c>
      <c r="C279" s="1088" t="s">
        <v>8154</v>
      </c>
      <c r="D279" s="1088">
        <f>Runners!S539</f>
        <v>6</v>
      </c>
      <c r="E279" s="1151">
        <f>Runners!S538</f>
        <v>6</v>
      </c>
      <c r="F279" s="6" t="s">
        <v>5096</v>
      </c>
      <c r="G279" s="1">
        <v>1.5219907407407409E-2</v>
      </c>
      <c r="H279" s="197" t="s">
        <v>1062</v>
      </c>
      <c r="I279" s="1">
        <v>2.3518518518518518E-2</v>
      </c>
      <c r="J279" s="334" t="s">
        <v>5096</v>
      </c>
      <c r="K279" s="34">
        <v>42959</v>
      </c>
      <c r="L279" s="9">
        <v>352</v>
      </c>
      <c r="M279" s="8">
        <v>1.954861111111111E-2</v>
      </c>
      <c r="N279" s="3">
        <v>1.1377314814814814E-2</v>
      </c>
      <c r="O279" s="3">
        <v>1.230324074074074E-2</v>
      </c>
      <c r="P279" t="s">
        <v>988</v>
      </c>
      <c r="Q279" s="80" t="s">
        <v>11011</v>
      </c>
      <c r="W279" s="1">
        <f t="shared" si="38"/>
        <v>-2.0108659643541804E-4</v>
      </c>
      <c r="X279" s="1">
        <f t="shared" si="39"/>
        <v>2.0108659643541804E-4</v>
      </c>
      <c r="Y279" s="9"/>
      <c r="AB279" s="1">
        <f t="shared" si="23"/>
        <v>1.7939814814814797E-3</v>
      </c>
      <c r="AC279" s="1"/>
      <c r="AE279" s="1"/>
      <c r="AF279" s="1"/>
    </row>
    <row r="280" spans="1:32" x14ac:dyDescent="0.2">
      <c r="A280">
        <v>234</v>
      </c>
      <c r="B280" s="493" t="s">
        <v>8118</v>
      </c>
      <c r="C280" s="415" t="s">
        <v>8116</v>
      </c>
      <c r="D280" s="24">
        <f>Runners!V374</f>
        <v>9</v>
      </c>
      <c r="E280" s="183">
        <f>Runners!V373</f>
        <v>19</v>
      </c>
      <c r="F280" s="79" t="s">
        <v>1270</v>
      </c>
      <c r="G280" s="1">
        <v>1.5185185185185185E-2</v>
      </c>
      <c r="H280" s="80" t="s">
        <v>9806</v>
      </c>
      <c r="I280" s="1">
        <v>1.5844907407407408E-2</v>
      </c>
      <c r="J280" s="334" t="s">
        <v>3254</v>
      </c>
      <c r="K280" s="34">
        <v>42917</v>
      </c>
      <c r="L280" s="9">
        <v>342</v>
      </c>
      <c r="M280" s="8">
        <v>2.1435185185185186E-2</v>
      </c>
      <c r="N280" s="3">
        <v>1.2280092592592592E-2</v>
      </c>
      <c r="O280" s="3">
        <v>1.298611111111111E-2</v>
      </c>
      <c r="W280" s="1">
        <f t="shared" si="38"/>
        <v>-1.1038643742131964E-3</v>
      </c>
      <c r="X280" s="1">
        <f t="shared" si="39"/>
        <v>1.1038643742131964E-3</v>
      </c>
      <c r="Y280" s="9"/>
      <c r="AB280" s="1">
        <f t="shared" si="23"/>
        <v>2.6967592592592581E-3</v>
      </c>
      <c r="AC280" s="1"/>
      <c r="AE280" s="1"/>
      <c r="AF280" s="1"/>
    </row>
    <row r="281" spans="1:32" x14ac:dyDescent="0.2">
      <c r="A281">
        <v>1688</v>
      </c>
      <c r="B281" s="493" t="s">
        <v>8453</v>
      </c>
      <c r="C281" s="415" t="s">
        <v>8454</v>
      </c>
      <c r="D281" s="24">
        <f>Runners!K1354</f>
        <v>4</v>
      </c>
      <c r="E281" s="183">
        <f>Runners!K1353</f>
        <v>4</v>
      </c>
      <c r="F281" s="79" t="s">
        <v>1270</v>
      </c>
      <c r="G281" s="1">
        <v>1.6122685185185184E-2</v>
      </c>
      <c r="H281" s="80" t="s">
        <v>5894</v>
      </c>
      <c r="I281" s="1">
        <v>2.2488425925925926E-2</v>
      </c>
      <c r="J281" s="334" t="s">
        <v>5895</v>
      </c>
      <c r="K281" s="34">
        <v>42980</v>
      </c>
      <c r="L281" s="1398">
        <v>362</v>
      </c>
      <c r="M281" s="8">
        <v>3.0324074074074073E-2</v>
      </c>
      <c r="N281" s="3">
        <v>1.3391203703703704E-2</v>
      </c>
      <c r="O281" s="3">
        <v>1.4930555555555556E-2</v>
      </c>
      <c r="W281" s="1">
        <f t="shared" si="38"/>
        <v>-2.2149754853243078E-3</v>
      </c>
      <c r="X281" s="1">
        <f t="shared" si="39"/>
        <v>2.2149754853243078E-3</v>
      </c>
      <c r="Y281" s="9"/>
      <c r="AB281" s="1">
        <f t="shared" si="23"/>
        <v>3.8078703703703694E-3</v>
      </c>
      <c r="AC281" s="1"/>
      <c r="AE281" s="1"/>
      <c r="AF281" s="1"/>
    </row>
    <row r="282" spans="1:32" x14ac:dyDescent="0.2">
      <c r="A282">
        <v>1335</v>
      </c>
      <c r="B282" s="493" t="s">
        <v>8721</v>
      </c>
      <c r="C282" s="415" t="s">
        <v>8720</v>
      </c>
      <c r="D282" s="24">
        <f>Runners!J1410</f>
        <v>1</v>
      </c>
      <c r="E282" s="183">
        <f>Runners!J1409</f>
        <v>1</v>
      </c>
      <c r="F282" s="79" t="s">
        <v>4584</v>
      </c>
      <c r="G282" s="1">
        <v>2.1539351851851851E-2</v>
      </c>
      <c r="H282" s="80"/>
      <c r="J282" s="334" t="s">
        <v>4584</v>
      </c>
      <c r="K282" s="34">
        <v>43029</v>
      </c>
      <c r="L282" s="1398">
        <v>369</v>
      </c>
      <c r="M282" s="8">
        <v>2.929398148148148E-2</v>
      </c>
      <c r="N282" s="3">
        <v>1.0891203703703703E-2</v>
      </c>
      <c r="O282" s="3">
        <v>1.3587962962962963E-2</v>
      </c>
      <c r="W282" s="1">
        <f t="shared" si="38"/>
        <v>2.8502451467569273E-4</v>
      </c>
      <c r="X282" s="1">
        <f t="shared" si="39"/>
        <v>-2.8502451467569273E-4</v>
      </c>
      <c r="Y282" s="9"/>
      <c r="AB282" s="1"/>
      <c r="AC282" s="1"/>
      <c r="AE282" s="1"/>
      <c r="AF282" s="1"/>
    </row>
    <row r="283" spans="1:32" x14ac:dyDescent="0.2">
      <c r="A283">
        <v>2084</v>
      </c>
      <c r="B283" s="556" t="s">
        <v>10432</v>
      </c>
      <c r="C283" s="532" t="s">
        <v>10433</v>
      </c>
      <c r="D283" s="531">
        <f>Runners!J374</f>
        <v>17</v>
      </c>
      <c r="E283" s="541">
        <f>Runners!J373</f>
        <v>45</v>
      </c>
      <c r="F283" s="79" t="s">
        <v>5881</v>
      </c>
      <c r="G283" s="334">
        <v>1.6469907407407405E-2</v>
      </c>
      <c r="H283" s="2" t="s">
        <v>9806</v>
      </c>
      <c r="I283" s="334">
        <v>1.4513888888888889E-2</v>
      </c>
      <c r="J283" s="334" t="s">
        <v>4322</v>
      </c>
      <c r="K283" s="34">
        <v>43330</v>
      </c>
      <c r="L283" s="1398">
        <v>433</v>
      </c>
      <c r="M283" s="8">
        <v>0.02</v>
      </c>
      <c r="N283" s="3">
        <v>1.1041666666666667E-2</v>
      </c>
      <c r="O283" s="3">
        <v>1.1747685185185186E-2</v>
      </c>
      <c r="P283" s="80" t="s">
        <v>10468</v>
      </c>
      <c r="R283" t="s">
        <v>10527</v>
      </c>
      <c r="W283" s="1">
        <f t="shared" si="38"/>
        <v>1.3456155171272938E-4</v>
      </c>
      <c r="X283" s="1">
        <f t="shared" si="39"/>
        <v>-1.3456155171272938E-4</v>
      </c>
      <c r="Y283" s="9"/>
      <c r="AB283" s="1"/>
      <c r="AC283" s="1"/>
      <c r="AE283" s="1"/>
      <c r="AF283" s="1"/>
    </row>
    <row r="284" spans="1:32" x14ac:dyDescent="0.2">
      <c r="A284">
        <v>126</v>
      </c>
      <c r="B284" s="27" t="s">
        <v>511</v>
      </c>
      <c r="C284" s="74" t="s">
        <v>5654</v>
      </c>
      <c r="D284" s="24">
        <f>Runners!Y460</f>
        <v>7</v>
      </c>
      <c r="E284" s="183">
        <f>Runners!Y459</f>
        <v>12</v>
      </c>
      <c r="F284" s="79" t="s">
        <v>5096</v>
      </c>
      <c r="G284" s="1">
        <v>1.4641203703703703E-2</v>
      </c>
      <c r="J284" s="32" t="s">
        <v>1000</v>
      </c>
      <c r="K284" s="34">
        <v>41118</v>
      </c>
      <c r="L284" s="9">
        <v>33</v>
      </c>
      <c r="M284" s="8">
        <v>1.7696759259259259E-2</v>
      </c>
      <c r="N284" s="3">
        <v>1.0671296296296297E-2</v>
      </c>
      <c r="O284" s="3">
        <v>1.1967592592592592E-2</v>
      </c>
      <c r="P284" t="s">
        <v>3670</v>
      </c>
      <c r="W284" s="1">
        <f t="shared" si="38"/>
        <v>5.0493192208309924E-4</v>
      </c>
      <c r="X284" s="1">
        <f t="shared" si="39"/>
        <v>-5.0493192208309924E-4</v>
      </c>
      <c r="Y284" s="9">
        <v>26</v>
      </c>
      <c r="Z284">
        <f t="shared" si="0"/>
        <v>676</v>
      </c>
      <c r="AB284" s="1">
        <f t="shared" si="23"/>
        <v>1.0879629629629625E-3</v>
      </c>
      <c r="AC284" s="1"/>
      <c r="AE284" s="1"/>
      <c r="AF284" s="1"/>
    </row>
    <row r="285" spans="1:32" x14ac:dyDescent="0.2">
      <c r="A285">
        <v>545</v>
      </c>
      <c r="B285" s="27" t="s">
        <v>5550</v>
      </c>
      <c r="C285" s="74" t="s">
        <v>1693</v>
      </c>
      <c r="D285" s="24">
        <f>Runners!N1304</f>
        <v>2</v>
      </c>
      <c r="E285" s="183">
        <f>Runners!N1303</f>
        <v>2</v>
      </c>
      <c r="F285" s="6" t="s">
        <v>1000</v>
      </c>
      <c r="G285" s="1">
        <v>1.8113425925925925E-2</v>
      </c>
      <c r="J285" s="32" t="s">
        <v>1000</v>
      </c>
      <c r="K285" s="34">
        <v>42343</v>
      </c>
      <c r="L285" s="9">
        <v>212</v>
      </c>
      <c r="M285" s="8">
        <v>2.3333333333333334E-2</v>
      </c>
      <c r="N285" s="3">
        <v>1.1840277777777778E-2</v>
      </c>
      <c r="O285" s="3">
        <v>1.4085648148148151E-2</v>
      </c>
      <c r="W285" s="1">
        <f t="shared" si="38"/>
        <v>-6.6404955939838167E-4</v>
      </c>
      <c r="X285" s="1">
        <f t="shared" si="39"/>
        <v>6.6404955939838167E-4</v>
      </c>
      <c r="Y285" s="9">
        <v>75</v>
      </c>
      <c r="Z285">
        <f t="shared" si="0"/>
        <v>5625</v>
      </c>
      <c r="AB285" s="1">
        <f t="shared" si="23"/>
        <v>2.2569444444444434E-3</v>
      </c>
      <c r="AC285" s="1"/>
      <c r="AE285" s="1"/>
      <c r="AF285" s="1"/>
    </row>
    <row r="286" spans="1:32" x14ac:dyDescent="0.2">
      <c r="A286">
        <v>391</v>
      </c>
      <c r="B286" s="27" t="s">
        <v>5130</v>
      </c>
      <c r="C286" s="74" t="s">
        <v>1531</v>
      </c>
      <c r="D286" s="24">
        <f>Runners!G500</f>
        <v>4</v>
      </c>
      <c r="E286" s="183">
        <f>Runners!G499</f>
        <v>5</v>
      </c>
      <c r="F286" s="6" t="s">
        <v>4584</v>
      </c>
      <c r="G286" s="1">
        <v>1.8912037037037036E-2</v>
      </c>
      <c r="J286" s="1" t="s">
        <v>4584</v>
      </c>
      <c r="K286" s="34">
        <v>41640</v>
      </c>
      <c r="L286" s="9">
        <v>86</v>
      </c>
      <c r="M286" s="8">
        <v>1.8680555555555554E-2</v>
      </c>
      <c r="N286" s="3">
        <v>1.0775462962962964E-2</v>
      </c>
      <c r="O286" s="3">
        <v>1.2789351851851852E-2</v>
      </c>
      <c r="P286" t="s">
        <v>5636</v>
      </c>
      <c r="W286" s="1">
        <f t="shared" si="38"/>
        <v>4.007652554164319E-4</v>
      </c>
      <c r="X286" s="1">
        <f t="shared" si="39"/>
        <v>-4.007652554164319E-4</v>
      </c>
      <c r="Y286" s="9">
        <v>17</v>
      </c>
      <c r="Z286">
        <f t="shared" si="0"/>
        <v>289</v>
      </c>
      <c r="AB286" s="1">
        <f t="shared" si="23"/>
        <v>1.1921296296296298E-3</v>
      </c>
      <c r="AC286" s="1"/>
      <c r="AE286" s="1"/>
      <c r="AF286" s="1"/>
    </row>
    <row r="287" spans="1:32" x14ac:dyDescent="0.2">
      <c r="A287">
        <v>446</v>
      </c>
      <c r="B287" s="27" t="s">
        <v>2871</v>
      </c>
      <c r="C287" s="74" t="s">
        <v>2869</v>
      </c>
      <c r="D287" s="24">
        <f>Runners!N1315</f>
        <v>1</v>
      </c>
      <c r="E287" s="183">
        <f>Runners!N1314</f>
        <v>2</v>
      </c>
      <c r="F287" s="6" t="s">
        <v>4637</v>
      </c>
      <c r="G287" s="1">
        <v>1.6712962962962961E-2</v>
      </c>
      <c r="J287" s="1" t="s">
        <v>4637</v>
      </c>
      <c r="K287" s="34">
        <v>42378</v>
      </c>
      <c r="L287" s="9">
        <v>221</v>
      </c>
      <c r="M287" s="8">
        <v>2.0277777777777777E-2</v>
      </c>
      <c r="N287" s="3">
        <v>1.0844907407407407E-2</v>
      </c>
      <c r="O287" s="3">
        <v>1.2175925925925929E-2</v>
      </c>
      <c r="W287" s="1">
        <f t="shared" si="38"/>
        <v>3.3132081097198875E-4</v>
      </c>
      <c r="X287" s="1">
        <f t="shared" si="39"/>
        <v>-3.3132081097198875E-4</v>
      </c>
      <c r="Y287" s="9">
        <v>11</v>
      </c>
      <c r="Z287">
        <f t="shared" si="0"/>
        <v>121</v>
      </c>
      <c r="AB287" s="1">
        <f t="shared" si="23"/>
        <v>1.2615740740740729E-3</v>
      </c>
      <c r="AC287" s="1"/>
      <c r="AE287" s="1"/>
      <c r="AF287" s="1"/>
    </row>
    <row r="288" spans="1:32" x14ac:dyDescent="0.2">
      <c r="A288">
        <v>309</v>
      </c>
      <c r="B288" s="552" t="s">
        <v>8133</v>
      </c>
      <c r="C288" s="532" t="s">
        <v>8111</v>
      </c>
      <c r="D288" s="531">
        <f>Runners!I500</f>
        <v>4</v>
      </c>
      <c r="E288" s="541">
        <f>Runners!I499</f>
        <v>4</v>
      </c>
      <c r="F288" s="534" t="s">
        <v>3790</v>
      </c>
      <c r="G288" s="334">
        <v>1.7662037037037035E-2</v>
      </c>
      <c r="H288" s="513" t="s">
        <v>4596</v>
      </c>
      <c r="I288" s="1">
        <v>2.1666666666666667E-2</v>
      </c>
      <c r="J288" s="1" t="s">
        <v>4778</v>
      </c>
      <c r="K288" s="34">
        <v>42959</v>
      </c>
      <c r="L288" s="9">
        <v>354</v>
      </c>
      <c r="M288" s="8">
        <v>2.1898148148148149E-2</v>
      </c>
      <c r="N288" s="3">
        <v>1.1423611111111112E-2</v>
      </c>
      <c r="O288" s="3">
        <v>1.2905092592592591E-2</v>
      </c>
      <c r="W288" s="1">
        <f t="shared" si="38"/>
        <v>-2.4738289273171579E-4</v>
      </c>
      <c r="X288" s="1">
        <f t="shared" si="39"/>
        <v>2.4738289273171579E-4</v>
      </c>
      <c r="Y288" s="9"/>
      <c r="AB288" s="1">
        <f t="shared" si="23"/>
        <v>1.8402777777777775E-3</v>
      </c>
      <c r="AC288" s="1"/>
      <c r="AE288" s="1"/>
      <c r="AF288" s="1"/>
    </row>
    <row r="289" spans="1:32" x14ac:dyDescent="0.2">
      <c r="A289">
        <v>1110</v>
      </c>
      <c r="B289" s="552" t="s">
        <v>9694</v>
      </c>
      <c r="C289" s="532" t="s">
        <v>5230</v>
      </c>
      <c r="D289" s="531">
        <f>Runners!P554</f>
        <v>1</v>
      </c>
      <c r="E289" s="541">
        <f>Runners!P553</f>
        <v>1</v>
      </c>
      <c r="F289" s="79" t="s">
        <v>4778</v>
      </c>
      <c r="G289" s="1">
        <v>2.6192129629629631E-2</v>
      </c>
      <c r="J289" s="1" t="s">
        <v>4778</v>
      </c>
      <c r="K289" s="34">
        <v>43337</v>
      </c>
      <c r="L289" s="1398">
        <v>435</v>
      </c>
      <c r="M289" s="8">
        <v>2.0891203703703703E-2</v>
      </c>
      <c r="N289" s="3">
        <v>1.082175925925926E-2</v>
      </c>
      <c r="O289" s="3">
        <v>1.324074074074074E-2</v>
      </c>
      <c r="W289" s="1">
        <f t="shared" si="38"/>
        <v>3.5446895912013589E-4</v>
      </c>
      <c r="X289" s="1">
        <f t="shared" si="39"/>
        <v>-3.5446895912013589E-4</v>
      </c>
      <c r="Y289" s="9"/>
      <c r="AB289" s="1">
        <f t="shared" si="23"/>
        <v>1.2384259259259258E-3</v>
      </c>
      <c r="AC289" s="1"/>
      <c r="AE289" s="1"/>
      <c r="AF289" s="1"/>
    </row>
    <row r="290" spans="1:32" x14ac:dyDescent="0.2">
      <c r="A290">
        <v>1853</v>
      </c>
      <c r="B290" s="552" t="s">
        <v>9265</v>
      </c>
      <c r="C290" s="532" t="s">
        <v>9578</v>
      </c>
      <c r="D290" s="531">
        <f>Runners!N420</f>
        <v>6</v>
      </c>
      <c r="E290" s="541">
        <f>Runners!N419</f>
        <v>6</v>
      </c>
      <c r="F290" s="1415" t="s">
        <v>5881</v>
      </c>
      <c r="G290" s="1432">
        <v>1.6145833333333335E-2</v>
      </c>
      <c r="H290" s="968" t="s">
        <v>5241</v>
      </c>
      <c r="I290" s="1">
        <v>1.6944444444444443E-2</v>
      </c>
      <c r="J290" s="334" t="s">
        <v>9631</v>
      </c>
      <c r="K290" s="34">
        <v>43211</v>
      </c>
      <c r="L290" s="1398">
        <v>404</v>
      </c>
      <c r="M290" s="8">
        <v>2.298611111111111E-2</v>
      </c>
      <c r="N290" s="3">
        <v>1.1516203703703702E-2</v>
      </c>
      <c r="O290" s="3">
        <v>1.3784722222222224E-2</v>
      </c>
      <c r="W290" s="1">
        <f t="shared" si="38"/>
        <v>-3.3997548532430609E-4</v>
      </c>
      <c r="X290" s="1">
        <f t="shared" si="39"/>
        <v>3.3997548532430609E-4</v>
      </c>
      <c r="Y290" s="9"/>
      <c r="AB290" s="1">
        <f t="shared" si="23"/>
        <v>1.9328703703703678E-3</v>
      </c>
      <c r="AC290" s="1"/>
      <c r="AE290" s="1"/>
      <c r="AF290" s="1"/>
    </row>
    <row r="291" spans="1:32" x14ac:dyDescent="0.2">
      <c r="A291">
        <v>1345</v>
      </c>
      <c r="B291" s="27" t="s">
        <v>5512</v>
      </c>
      <c r="C291" s="74" t="s">
        <v>4377</v>
      </c>
      <c r="D291" s="24">
        <f>Runners!K815</f>
        <v>5</v>
      </c>
      <c r="E291" s="183">
        <f>Runners!K814</f>
        <v>5</v>
      </c>
      <c r="F291" s="6" t="s">
        <v>4407</v>
      </c>
      <c r="G291" s="1">
        <v>1.5127314814814816E-2</v>
      </c>
      <c r="H291" t="s">
        <v>5241</v>
      </c>
      <c r="I291" s="1">
        <v>1.5138888888888889E-2</v>
      </c>
      <c r="J291" s="1" t="s">
        <v>4637</v>
      </c>
      <c r="K291" s="34">
        <v>42434</v>
      </c>
      <c r="L291" s="1398">
        <v>234</v>
      </c>
      <c r="M291" s="8">
        <v>1.9490740740740743E-2</v>
      </c>
      <c r="N291" s="3">
        <v>1.1273148148148148E-2</v>
      </c>
      <c r="O291" s="3">
        <v>1.3125E-2</v>
      </c>
      <c r="W291" s="1">
        <f t="shared" si="38"/>
        <v>-9.6919929768752439E-5</v>
      </c>
      <c r="X291" s="1">
        <f t="shared" si="39"/>
        <v>9.6919929768752439E-5</v>
      </c>
      <c r="Y291" s="9">
        <v>26</v>
      </c>
      <c r="Z291">
        <f t="shared" si="0"/>
        <v>676</v>
      </c>
      <c r="AB291" s="1">
        <f t="shared" si="23"/>
        <v>1.6898148148148141E-3</v>
      </c>
      <c r="AC291" s="1"/>
      <c r="AE291" s="1"/>
      <c r="AF291" s="1"/>
    </row>
    <row r="292" spans="1:32" x14ac:dyDescent="0.2">
      <c r="C292" s="415" t="s">
        <v>8329</v>
      </c>
      <c r="E292" s="9"/>
      <c r="F292" s="6"/>
      <c r="K292" s="34"/>
      <c r="L292" s="1398"/>
      <c r="W292" s="1"/>
      <c r="X292" s="1"/>
      <c r="Y292" s="9"/>
      <c r="AB292" s="1"/>
      <c r="AC292" s="1"/>
      <c r="AE292" s="1"/>
      <c r="AF292" s="1"/>
    </row>
    <row r="293" spans="1:32" x14ac:dyDescent="0.2">
      <c r="A293">
        <v>299</v>
      </c>
      <c r="B293" s="27" t="s">
        <v>3666</v>
      </c>
      <c r="C293" s="74" t="s">
        <v>840</v>
      </c>
      <c r="D293" s="24">
        <f>Runners!N630</f>
        <v>5</v>
      </c>
      <c r="E293" s="183">
        <f>Runners!N629</f>
        <v>55</v>
      </c>
      <c r="F293" s="6" t="s">
        <v>334</v>
      </c>
      <c r="G293" s="1">
        <v>1.238425925925926E-2</v>
      </c>
      <c r="H293" t="s">
        <v>9553</v>
      </c>
      <c r="I293" s="1">
        <v>1.579861111111111E-2</v>
      </c>
      <c r="J293" s="32" t="s">
        <v>1000</v>
      </c>
      <c r="K293" s="34">
        <v>41902</v>
      </c>
      <c r="L293" s="1398">
        <v>130</v>
      </c>
      <c r="M293" s="8">
        <v>1.9745370370370371E-2</v>
      </c>
      <c r="N293" s="3">
        <v>1.0474537037037037E-2</v>
      </c>
      <c r="O293" s="3">
        <v>1.2407407407407409E-2</v>
      </c>
      <c r="W293" s="1">
        <f t="shared" ref="W293:W301" si="40">$N$700-N293</f>
        <v>7.0169118134235861E-4</v>
      </c>
      <c r="X293" s="1">
        <f t="shared" ref="X293:X301" si="41">N293-$N$700</f>
        <v>-7.0169118134235861E-4</v>
      </c>
      <c r="Y293" s="9">
        <v>43</v>
      </c>
      <c r="Z293">
        <f t="shared" si="0"/>
        <v>1849</v>
      </c>
      <c r="AB293" s="1">
        <f t="shared" ref="AB293:AB441" si="42">N293-$N$88</f>
        <v>8.9120370370370308E-4</v>
      </c>
      <c r="AC293" s="1"/>
      <c r="AE293" s="1"/>
      <c r="AF293" s="1"/>
    </row>
    <row r="294" spans="1:32" x14ac:dyDescent="0.2">
      <c r="A294">
        <v>357</v>
      </c>
      <c r="B294" s="493" t="s">
        <v>8997</v>
      </c>
      <c r="C294" s="415" t="s">
        <v>8996</v>
      </c>
      <c r="D294" s="24">
        <f>Runners!J539</f>
        <v>5</v>
      </c>
      <c r="E294" s="183">
        <f>Runners!J538</f>
        <v>5</v>
      </c>
      <c r="F294" s="79" t="s">
        <v>5096</v>
      </c>
      <c r="G294" s="1">
        <v>1.4560185185185183E-2</v>
      </c>
      <c r="H294" s="1091" t="s">
        <v>1062</v>
      </c>
      <c r="J294" s="334" t="s">
        <v>4897</v>
      </c>
      <c r="K294" s="34">
        <v>43099</v>
      </c>
      <c r="L294" s="1398">
        <v>374</v>
      </c>
      <c r="M294" s="8">
        <v>2.0011574074074074E-2</v>
      </c>
      <c r="N294" s="3">
        <v>1.224537037037037E-2</v>
      </c>
      <c r="O294" s="3">
        <v>1.3611111111111114E-2</v>
      </c>
      <c r="W294" s="1">
        <f t="shared" si="40"/>
        <v>-1.069142151990974E-3</v>
      </c>
      <c r="X294" s="1">
        <f t="shared" si="41"/>
        <v>1.069142151990974E-3</v>
      </c>
      <c r="Y294" s="9"/>
      <c r="AB294" s="1">
        <f t="shared" si="42"/>
        <v>2.6620370370370357E-3</v>
      </c>
      <c r="AC294" s="1"/>
      <c r="AE294" s="1"/>
      <c r="AF294" s="1"/>
    </row>
    <row r="295" spans="1:32" x14ac:dyDescent="0.2">
      <c r="A295">
        <v>1268</v>
      </c>
      <c r="B295" s="552" t="s">
        <v>1879</v>
      </c>
      <c r="C295" s="511" t="s">
        <v>2783</v>
      </c>
      <c r="D295" s="531">
        <f>Runners!O630</f>
        <v>9</v>
      </c>
      <c r="E295" s="541">
        <f>Runners!O629</f>
        <v>9</v>
      </c>
      <c r="F295" s="79" t="s">
        <v>3790</v>
      </c>
      <c r="G295" s="1">
        <v>1.7164351851851851E-2</v>
      </c>
      <c r="H295" s="80" t="s">
        <v>4596</v>
      </c>
      <c r="I295" s="1">
        <v>1.7905092592592594E-2</v>
      </c>
      <c r="J295" s="32" t="s">
        <v>1000</v>
      </c>
      <c r="K295" s="34">
        <v>42777</v>
      </c>
      <c r="L295" s="9">
        <v>319</v>
      </c>
      <c r="M295" s="8">
        <v>1.8101851851851852E-2</v>
      </c>
      <c r="N295" s="3">
        <v>1.0266203703703703E-2</v>
      </c>
      <c r="O295" s="3">
        <v>1.2824074074074073E-2</v>
      </c>
      <c r="P295" t="s">
        <v>2388</v>
      </c>
      <c r="W295" s="1">
        <f t="shared" si="40"/>
        <v>9.1002451467569329E-4</v>
      </c>
      <c r="X295" s="1">
        <f t="shared" si="41"/>
        <v>-9.1002451467569329E-4</v>
      </c>
      <c r="Y295" s="9">
        <v>61</v>
      </c>
      <c r="Z295">
        <f t="shared" si="0"/>
        <v>3721</v>
      </c>
      <c r="AB295" s="1">
        <f t="shared" si="42"/>
        <v>6.8287037037036841E-4</v>
      </c>
      <c r="AC295" s="1"/>
      <c r="AE295" s="1"/>
      <c r="AF295" s="1"/>
    </row>
    <row r="296" spans="1:32" x14ac:dyDescent="0.2">
      <c r="A296">
        <v>258</v>
      </c>
      <c r="B296" s="552" t="s">
        <v>7699</v>
      </c>
      <c r="C296" s="532" t="s">
        <v>5836</v>
      </c>
      <c r="D296" s="531">
        <f>Runners!L1048</f>
        <v>1</v>
      </c>
      <c r="E296" s="541">
        <f>Runners!L1047</f>
        <v>1</v>
      </c>
      <c r="F296" s="6" t="s">
        <v>4584</v>
      </c>
      <c r="G296" s="1">
        <v>1.9722222222222221E-2</v>
      </c>
      <c r="J296" s="334" t="s">
        <v>4584</v>
      </c>
      <c r="K296" s="34">
        <v>42826</v>
      </c>
      <c r="L296" s="9">
        <v>328</v>
      </c>
      <c r="M296" s="8">
        <v>1.9722222222222221E-2</v>
      </c>
      <c r="N296" s="3">
        <v>1.0289351851851852E-2</v>
      </c>
      <c r="O296" s="3">
        <v>1.1574074074074075E-2</v>
      </c>
      <c r="W296" s="1">
        <f t="shared" si="40"/>
        <v>8.8687636652754441E-4</v>
      </c>
      <c r="X296" s="1">
        <f t="shared" si="41"/>
        <v>-8.8687636652754441E-4</v>
      </c>
      <c r="Y296" s="9"/>
      <c r="AB296" s="1">
        <f t="shared" si="42"/>
        <v>7.0601851851851728E-4</v>
      </c>
      <c r="AC296" s="1"/>
      <c r="AE296" s="1"/>
      <c r="AF296" s="1"/>
    </row>
    <row r="297" spans="1:32" x14ac:dyDescent="0.2">
      <c r="A297">
        <v>34</v>
      </c>
      <c r="B297" s="27" t="s">
        <v>77</v>
      </c>
      <c r="C297" s="74" t="s">
        <v>3226</v>
      </c>
      <c r="D297" s="24">
        <f>Runners!M1048</f>
        <v>2</v>
      </c>
      <c r="E297" s="183">
        <f>Runners!M1047</f>
        <v>2</v>
      </c>
      <c r="F297" s="6" t="s">
        <v>5884</v>
      </c>
      <c r="G297" s="1">
        <v>1.40625E-2</v>
      </c>
      <c r="J297" s="1" t="s">
        <v>5884</v>
      </c>
      <c r="K297" s="34">
        <v>41965</v>
      </c>
      <c r="L297" s="9">
        <v>141</v>
      </c>
      <c r="M297" s="8">
        <v>1.9618055555555555E-2</v>
      </c>
      <c r="N297" s="3">
        <v>1.0254629629629629E-2</v>
      </c>
      <c r="O297" s="3">
        <v>1.1759259259259259E-2</v>
      </c>
      <c r="Q297" s="103" t="s">
        <v>1397</v>
      </c>
      <c r="W297" s="1">
        <f t="shared" si="40"/>
        <v>9.2159858874976686E-4</v>
      </c>
      <c r="X297" s="1">
        <f t="shared" si="41"/>
        <v>-9.2159858874976686E-4</v>
      </c>
      <c r="Y297" s="9">
        <v>62</v>
      </c>
      <c r="Z297">
        <f t="shared" si="0"/>
        <v>3844</v>
      </c>
      <c r="AB297" s="1">
        <f t="shared" si="42"/>
        <v>6.7129629629629484E-4</v>
      </c>
      <c r="AC297" s="1"/>
      <c r="AE297" s="1"/>
      <c r="AF297" s="1"/>
    </row>
    <row r="298" spans="1:32" x14ac:dyDescent="0.2">
      <c r="A298">
        <v>866</v>
      </c>
      <c r="B298" s="552" t="s">
        <v>6194</v>
      </c>
      <c r="C298" s="532" t="s">
        <v>3227</v>
      </c>
      <c r="D298" s="531">
        <f>Runners!N1048</f>
        <v>1</v>
      </c>
      <c r="E298" s="541">
        <f>Runners!N1047</f>
        <v>1</v>
      </c>
      <c r="F298" s="6"/>
      <c r="H298" s="513" t="s">
        <v>1062</v>
      </c>
      <c r="I298" s="1">
        <v>2.6736111111111113E-2</v>
      </c>
      <c r="J298" s="512" t="s">
        <v>1062</v>
      </c>
      <c r="K298" s="34">
        <v>42736</v>
      </c>
      <c r="L298" s="9">
        <v>314</v>
      </c>
      <c r="M298" s="8">
        <v>2.0173611111111111E-2</v>
      </c>
      <c r="N298" s="3">
        <v>1.1273148148148148E-2</v>
      </c>
      <c r="O298" s="3">
        <v>1.3275462962962963E-2</v>
      </c>
      <c r="Q298" s="53"/>
      <c r="W298" s="1">
        <f t="shared" si="40"/>
        <v>-9.6919929768752439E-5</v>
      </c>
      <c r="X298" s="1">
        <f t="shared" si="41"/>
        <v>9.6919929768752439E-5</v>
      </c>
      <c r="Y298" s="9"/>
      <c r="AB298" s="1">
        <f t="shared" si="42"/>
        <v>1.6898148148148141E-3</v>
      </c>
      <c r="AC298" s="1"/>
      <c r="AE298" s="1"/>
      <c r="AF298" s="1"/>
    </row>
    <row r="299" spans="1:32" x14ac:dyDescent="0.2">
      <c r="A299">
        <v>462</v>
      </c>
      <c r="B299" s="552" t="s">
        <v>2734</v>
      </c>
      <c r="C299" s="511" t="s">
        <v>2732</v>
      </c>
      <c r="D299" s="24">
        <f>Runners!I832</f>
        <v>2</v>
      </c>
      <c r="E299" s="183">
        <f>Runners!I831</f>
        <v>3</v>
      </c>
      <c r="F299" s="6" t="s">
        <v>1000</v>
      </c>
      <c r="G299" s="1">
        <v>1.9108796296296294E-2</v>
      </c>
      <c r="H299" t="s">
        <v>8441</v>
      </c>
      <c r="I299" s="1">
        <v>2.5555555555555554E-2</v>
      </c>
      <c r="J299" s="1" t="s">
        <v>1000</v>
      </c>
      <c r="K299" s="34">
        <v>42420</v>
      </c>
      <c r="L299" s="9">
        <v>229</v>
      </c>
      <c r="M299" s="8">
        <v>2.0162037037037037E-2</v>
      </c>
      <c r="N299" s="3">
        <v>1.1342592592592592E-2</v>
      </c>
      <c r="O299" s="3">
        <v>1.2638888888888889E-2</v>
      </c>
      <c r="Q299" s="53"/>
      <c r="W299" s="1">
        <f t="shared" si="40"/>
        <v>-1.663643742131956E-4</v>
      </c>
      <c r="X299" s="1">
        <f t="shared" si="41"/>
        <v>1.663643742131956E-4</v>
      </c>
      <c r="Y299" s="9">
        <v>32</v>
      </c>
      <c r="Z299">
        <f t="shared" si="0"/>
        <v>1024</v>
      </c>
      <c r="AB299" s="1">
        <f t="shared" si="42"/>
        <v>1.7592592592592573E-3</v>
      </c>
      <c r="AC299" s="1"/>
      <c r="AE299" s="1"/>
      <c r="AF299" s="1"/>
    </row>
    <row r="300" spans="1:32" x14ac:dyDescent="0.2">
      <c r="A300">
        <v>114</v>
      </c>
      <c r="B300" s="552" t="s">
        <v>11409</v>
      </c>
      <c r="C300" s="532" t="s">
        <v>11408</v>
      </c>
      <c r="D300" s="24">
        <f>Runners!U1000</f>
        <v>2</v>
      </c>
      <c r="E300" s="183">
        <f>Runners!U999</f>
        <v>2</v>
      </c>
      <c r="F300" s="79" t="s">
        <v>4584</v>
      </c>
      <c r="G300" s="1">
        <v>1.9884259259259258E-2</v>
      </c>
      <c r="H300" t="s">
        <v>9805</v>
      </c>
      <c r="I300" s="1">
        <v>2.4305555555555556E-2</v>
      </c>
      <c r="J300" s="1" t="s">
        <v>9805</v>
      </c>
      <c r="K300" s="34">
        <v>43372</v>
      </c>
      <c r="L300" s="1398">
        <v>461</v>
      </c>
      <c r="M300" s="8">
        <v>2.0671296296296295E-2</v>
      </c>
      <c r="N300" s="3">
        <v>1.0543981481481481E-2</v>
      </c>
      <c r="O300" s="3">
        <v>1.3194444444444444E-2</v>
      </c>
      <c r="Q300" s="53"/>
      <c r="W300" s="1">
        <f t="shared" si="40"/>
        <v>6.3224673689791545E-4</v>
      </c>
      <c r="X300" s="1">
        <f t="shared" si="41"/>
        <v>-6.3224673689791545E-4</v>
      </c>
      <c r="Y300" s="9"/>
      <c r="AB300" s="1">
        <f t="shared" si="42"/>
        <v>9.6064814814814624E-4</v>
      </c>
      <c r="AC300" s="1"/>
      <c r="AE300" s="1"/>
      <c r="AF300" s="1"/>
    </row>
    <row r="301" spans="1:32" x14ac:dyDescent="0.2">
      <c r="A301">
        <v>2481</v>
      </c>
      <c r="B301" s="556" t="s">
        <v>15727</v>
      </c>
      <c r="C301" s="532" t="s">
        <v>15699</v>
      </c>
      <c r="D301" s="24">
        <f>Runners!P630</f>
        <v>8</v>
      </c>
      <c r="E301" s="183">
        <f>Runners!P629</f>
        <v>14</v>
      </c>
      <c r="F301" s="79" t="s">
        <v>334</v>
      </c>
      <c r="G301" s="1">
        <v>1.3136574074074077E-2</v>
      </c>
      <c r="H301" s="513" t="s">
        <v>5241</v>
      </c>
      <c r="I301" s="1">
        <v>1.5208333333333332E-2</v>
      </c>
      <c r="J301" s="334" t="s">
        <v>334</v>
      </c>
      <c r="K301" s="34">
        <v>43743</v>
      </c>
      <c r="L301" s="1398"/>
      <c r="M301" s="8">
        <v>2.0335648148148148E-2</v>
      </c>
      <c r="N301" s="3">
        <v>1.1307870370370371E-2</v>
      </c>
      <c r="O301" s="3">
        <v>1.3738425925925926E-2</v>
      </c>
      <c r="P301" t="s">
        <v>16652</v>
      </c>
      <c r="Q301" s="53"/>
      <c r="W301" s="1">
        <f t="shared" si="40"/>
        <v>-1.3164215199097488E-4</v>
      </c>
      <c r="X301" s="1">
        <f t="shared" si="41"/>
        <v>1.3164215199097488E-4</v>
      </c>
      <c r="Y301" s="9"/>
      <c r="AB301" s="1">
        <f t="shared" si="42"/>
        <v>1.7245370370370366E-3</v>
      </c>
      <c r="AC301" s="1"/>
      <c r="AE301" s="1"/>
      <c r="AF301" s="1"/>
    </row>
    <row r="302" spans="1:32" x14ac:dyDescent="0.2">
      <c r="A302">
        <v>534</v>
      </c>
      <c r="B302" s="556" t="s">
        <v>5313</v>
      </c>
      <c r="C302" s="532" t="s">
        <v>15700</v>
      </c>
      <c r="D302" s="24">
        <f>Runners!O1138</f>
        <v>1</v>
      </c>
      <c r="E302" s="183">
        <f>Runners!O1137</f>
        <v>1</v>
      </c>
      <c r="F302" s="79"/>
      <c r="H302" s="1370" t="s">
        <v>9805</v>
      </c>
      <c r="I302" s="1412">
        <v>2.3750000000000004E-2</v>
      </c>
      <c r="J302" s="1432" t="s">
        <v>9805</v>
      </c>
      <c r="K302" s="34">
        <v>43743</v>
      </c>
      <c r="L302" s="1398"/>
      <c r="M302" s="8">
        <v>1.9189814814814816E-2</v>
      </c>
      <c r="N302" s="3">
        <v>1.0717592592592593E-2</v>
      </c>
      <c r="O302" s="3">
        <v>1.2048611111111112E-2</v>
      </c>
      <c r="Q302" s="53"/>
      <c r="W302" s="1"/>
      <c r="X302" s="1"/>
      <c r="Y302" s="9"/>
      <c r="AB302" s="1"/>
      <c r="AC302" s="1"/>
      <c r="AE302" s="1"/>
      <c r="AF302" s="1"/>
    </row>
    <row r="303" spans="1:32" x14ac:dyDescent="0.2">
      <c r="A303">
        <v>2196</v>
      </c>
      <c r="B303" s="556" t="s">
        <v>12904</v>
      </c>
      <c r="C303" s="532" t="s">
        <v>11991</v>
      </c>
      <c r="D303" s="24">
        <f>Runners!K854</f>
        <v>1</v>
      </c>
      <c r="E303" s="183">
        <f>Runners!K853</f>
        <v>1</v>
      </c>
      <c r="F303" s="79" t="s">
        <v>5096</v>
      </c>
      <c r="H303" s="1371"/>
      <c r="I303" s="1412"/>
      <c r="J303" s="1432" t="s">
        <v>5096</v>
      </c>
      <c r="K303" s="34">
        <v>43631</v>
      </c>
      <c r="L303" s="1398">
        <v>505</v>
      </c>
      <c r="M303" s="8">
        <v>2.1157407407407406E-2</v>
      </c>
      <c r="N303" s="3">
        <v>1.0810185185185185E-2</v>
      </c>
      <c r="O303" s="3">
        <v>1.2175925925925929E-2</v>
      </c>
      <c r="Q303" s="53"/>
      <c r="W303" s="1">
        <f t="shared" ref="W303:W327" si="43">$N$700-N303</f>
        <v>3.6604303319421119E-4</v>
      </c>
      <c r="X303" s="1">
        <f t="shared" ref="X303:X327" si="44">N303-$N$700</f>
        <v>-3.6604303319421119E-4</v>
      </c>
      <c r="Y303" s="9"/>
      <c r="AB303" s="1">
        <f t="shared" si="42"/>
        <v>1.2268518518518505E-3</v>
      </c>
      <c r="AC303" s="1"/>
      <c r="AE303" s="1"/>
      <c r="AF303" s="1"/>
    </row>
    <row r="304" spans="1:32" x14ac:dyDescent="0.2">
      <c r="A304">
        <v>265</v>
      </c>
      <c r="B304" s="27" t="s">
        <v>5524</v>
      </c>
      <c r="C304" s="15" t="s">
        <v>3574</v>
      </c>
      <c r="D304" s="24">
        <f>Runners!AA420</f>
        <v>9</v>
      </c>
      <c r="E304" s="183">
        <f>Runners!AA419</f>
        <v>13</v>
      </c>
      <c r="F304" s="6" t="s">
        <v>3790</v>
      </c>
      <c r="G304" s="1">
        <v>1.7372685185185185E-2</v>
      </c>
      <c r="H304" s="1410" t="s">
        <v>748</v>
      </c>
      <c r="I304" s="1412">
        <v>2.4432870370370369E-2</v>
      </c>
      <c r="J304" s="1412" t="s">
        <v>748</v>
      </c>
      <c r="K304" s="34">
        <v>42532</v>
      </c>
      <c r="L304" s="1398">
        <v>266</v>
      </c>
      <c r="M304" s="8">
        <v>1.9479166666666669E-2</v>
      </c>
      <c r="N304" s="3">
        <v>1.0520833333333333E-2</v>
      </c>
      <c r="O304" s="3">
        <v>1.2534722222222223E-2</v>
      </c>
      <c r="Q304" s="635" t="s">
        <v>7760</v>
      </c>
      <c r="R304" s="530"/>
      <c r="S304" s="530"/>
      <c r="T304" s="530"/>
      <c r="U304" s="530"/>
      <c r="W304" s="1">
        <f t="shared" si="43"/>
        <v>6.5539488504606259E-4</v>
      </c>
      <c r="X304" s="1">
        <f t="shared" si="44"/>
        <v>-6.5539488504606259E-4</v>
      </c>
      <c r="Y304" s="9"/>
      <c r="AB304" s="1">
        <f t="shared" si="42"/>
        <v>9.374999999999991E-4</v>
      </c>
      <c r="AC304" s="1"/>
      <c r="AE304" s="1"/>
      <c r="AF304" s="1"/>
    </row>
    <row r="305" spans="1:32" x14ac:dyDescent="0.2">
      <c r="A305">
        <v>74</v>
      </c>
      <c r="B305" s="27" t="s">
        <v>2657</v>
      </c>
      <c r="C305" s="74" t="s">
        <v>2655</v>
      </c>
      <c r="D305" s="24">
        <f>Runners!W815</f>
        <v>2</v>
      </c>
      <c r="E305" s="183">
        <f>Runners!W814</f>
        <v>2</v>
      </c>
      <c r="F305" s="6" t="s">
        <v>1000</v>
      </c>
      <c r="G305" s="1">
        <v>1.8460648148148146E-2</v>
      </c>
      <c r="H305" s="1371"/>
      <c r="I305" s="1412"/>
      <c r="J305" s="1476" t="s">
        <v>1000</v>
      </c>
      <c r="K305" s="34">
        <v>42005</v>
      </c>
      <c r="L305" s="1398">
        <v>150</v>
      </c>
      <c r="M305" s="8">
        <v>1.9479166666666669E-2</v>
      </c>
      <c r="N305" s="3">
        <v>1.1111111111111112E-2</v>
      </c>
      <c r="O305" s="3">
        <v>1.2847222222222223E-2</v>
      </c>
      <c r="Q305" s="53"/>
      <c r="R305" s="53"/>
      <c r="U305" s="53"/>
      <c r="W305" s="1">
        <f t="shared" si="43"/>
        <v>6.5117107268284485E-5</v>
      </c>
      <c r="X305" s="1">
        <f t="shared" si="44"/>
        <v>-6.5117107268284485E-5</v>
      </c>
      <c r="Y305" s="9">
        <v>12</v>
      </c>
      <c r="Z305">
        <f t="shared" si="0"/>
        <v>144</v>
      </c>
      <c r="AB305" s="1">
        <f t="shared" si="42"/>
        <v>1.5277777777777772E-3</v>
      </c>
      <c r="AC305" s="1"/>
      <c r="AE305" s="1"/>
      <c r="AF305" s="1"/>
    </row>
    <row r="306" spans="1:32" x14ac:dyDescent="0.2">
      <c r="A306">
        <v>1905</v>
      </c>
      <c r="B306" s="552" t="s">
        <v>9435</v>
      </c>
      <c r="C306" s="532" t="s">
        <v>9436</v>
      </c>
      <c r="D306" s="531">
        <f>Runners!V1354</f>
        <v>2</v>
      </c>
      <c r="E306" s="541">
        <f>Runners!V1353</f>
        <v>3</v>
      </c>
      <c r="F306" s="1411" t="s">
        <v>1000</v>
      </c>
      <c r="G306" s="1412">
        <v>1.954861111111111E-2</v>
      </c>
      <c r="H306" s="1371"/>
      <c r="I306" s="1412"/>
      <c r="J306" s="1432" t="s">
        <v>1000</v>
      </c>
      <c r="K306" s="1379">
        <v>43575</v>
      </c>
      <c r="L306" s="1398">
        <v>490</v>
      </c>
      <c r="M306" s="8">
        <v>1.923611111111111E-2</v>
      </c>
      <c r="N306" s="3">
        <v>1.0949074074074075E-2</v>
      </c>
      <c r="O306" s="3">
        <v>1.2025462962962962E-2</v>
      </c>
      <c r="Q306" s="581" t="s">
        <v>10774</v>
      </c>
      <c r="R306" s="635"/>
      <c r="S306" s="530"/>
      <c r="T306" s="530"/>
      <c r="U306" s="53"/>
      <c r="W306" s="1">
        <f t="shared" si="43"/>
        <v>2.2715414430532141E-4</v>
      </c>
      <c r="X306" s="1">
        <f t="shared" si="44"/>
        <v>-2.2715414430532141E-4</v>
      </c>
      <c r="Y306" s="9"/>
      <c r="AB306" s="1">
        <f t="shared" si="42"/>
        <v>1.3657407407407403E-3</v>
      </c>
      <c r="AC306" s="1"/>
      <c r="AE306" s="1"/>
      <c r="AF306" s="1"/>
    </row>
    <row r="307" spans="1:32" x14ac:dyDescent="0.2">
      <c r="A307">
        <v>1153</v>
      </c>
      <c r="B307" s="552" t="s">
        <v>11155</v>
      </c>
      <c r="C307" s="532" t="s">
        <v>11154</v>
      </c>
      <c r="D307" s="531">
        <f>Runners!P1304</f>
        <v>1</v>
      </c>
      <c r="E307" s="541">
        <f>Runners!P1303</f>
        <v>1</v>
      </c>
      <c r="F307" s="6" t="s">
        <v>1000</v>
      </c>
      <c r="G307" s="1">
        <v>1.9895833333333331E-2</v>
      </c>
      <c r="H307" s="1371"/>
      <c r="I307" s="1412"/>
      <c r="J307" s="1432" t="s">
        <v>1000</v>
      </c>
      <c r="K307" s="34">
        <v>43435</v>
      </c>
      <c r="L307" s="1398">
        <v>456</v>
      </c>
      <c r="M307" s="8">
        <v>2.2442129629629631E-2</v>
      </c>
      <c r="N307" s="3">
        <v>9.9768518518518531E-3</v>
      </c>
      <c r="O307" s="3">
        <v>1.1076388888888887E-2</v>
      </c>
      <c r="Q307" s="80"/>
      <c r="R307" s="53"/>
      <c r="U307" s="53"/>
      <c r="W307" s="1">
        <f t="shared" si="43"/>
        <v>1.199376366527543E-3</v>
      </c>
      <c r="X307" s="1">
        <f t="shared" si="44"/>
        <v>-1.199376366527543E-3</v>
      </c>
      <c r="Y307" s="9"/>
      <c r="AB307" s="1">
        <f t="shared" si="42"/>
        <v>3.9351851851851874E-4</v>
      </c>
      <c r="AC307" s="1"/>
      <c r="AE307" s="1"/>
      <c r="AF307" s="1"/>
    </row>
    <row r="308" spans="1:32" x14ac:dyDescent="0.2">
      <c r="A308">
        <v>1312</v>
      </c>
      <c r="B308" s="27" t="s">
        <v>4934</v>
      </c>
      <c r="C308" s="15" t="s">
        <v>4296</v>
      </c>
      <c r="D308" s="24">
        <f>Runners!H657</f>
        <v>15</v>
      </c>
      <c r="E308" s="183">
        <f>Runners!H656</f>
        <v>19</v>
      </c>
      <c r="F308" s="1413" t="s">
        <v>3790</v>
      </c>
      <c r="G308" s="1412">
        <v>1.650462962962963E-2</v>
      </c>
      <c r="H308" s="1375" t="s">
        <v>4596</v>
      </c>
      <c r="I308" s="1412">
        <v>1.7337962962962961E-2</v>
      </c>
      <c r="J308" s="1476" t="s">
        <v>5097</v>
      </c>
      <c r="K308" s="34">
        <v>42301</v>
      </c>
      <c r="L308" s="1398">
        <v>202</v>
      </c>
      <c r="M308" s="8">
        <v>1.9988425925925927E-2</v>
      </c>
      <c r="N308" s="3">
        <v>1.0613425925925927E-2</v>
      </c>
      <c r="O308" s="3">
        <v>1.3055555555555556E-2</v>
      </c>
      <c r="Q308" s="635" t="s">
        <v>12651</v>
      </c>
      <c r="R308" s="635"/>
      <c r="U308" s="53"/>
      <c r="W308" s="1">
        <f t="shared" si="43"/>
        <v>5.6280229245346883E-4</v>
      </c>
      <c r="X308" s="1">
        <f t="shared" si="44"/>
        <v>-5.6280229245346883E-4</v>
      </c>
      <c r="Y308" s="9">
        <v>12</v>
      </c>
      <c r="Z308">
        <f t="shared" si="0"/>
        <v>144</v>
      </c>
      <c r="AB308" s="1">
        <f t="shared" si="42"/>
        <v>1.0300925925925929E-3</v>
      </c>
      <c r="AC308" s="1"/>
      <c r="AE308" s="1"/>
      <c r="AF308" s="1"/>
    </row>
    <row r="309" spans="1:32" x14ac:dyDescent="0.2">
      <c r="A309">
        <v>2182</v>
      </c>
      <c r="B309" s="552" t="s">
        <v>11008</v>
      </c>
      <c r="C309" s="532" t="s">
        <v>11010</v>
      </c>
      <c r="D309" s="531">
        <f>Runners!T539</f>
        <v>8</v>
      </c>
      <c r="E309" s="541">
        <f>Runners!T538</f>
        <v>9</v>
      </c>
      <c r="F309" s="1413" t="s">
        <v>4407</v>
      </c>
      <c r="G309" s="1412">
        <v>1.6620370370370372E-2</v>
      </c>
      <c r="H309" s="1375" t="s">
        <v>5241</v>
      </c>
      <c r="I309" s="1432">
        <v>1.6944444444444443E-2</v>
      </c>
      <c r="J309" s="1414" t="s">
        <v>748</v>
      </c>
      <c r="K309" s="34">
        <v>43477</v>
      </c>
      <c r="L309" s="1398">
        <v>463</v>
      </c>
      <c r="M309" s="8">
        <v>2.0925925925925928E-2</v>
      </c>
      <c r="N309" s="3">
        <v>1.1655092592592594E-2</v>
      </c>
      <c r="O309" s="3">
        <v>1.3078703703703703E-2</v>
      </c>
      <c r="P309" s="80"/>
      <c r="Q309" s="53"/>
      <c r="R309" s="53"/>
      <c r="U309" s="53"/>
      <c r="W309" s="1">
        <f t="shared" si="43"/>
        <v>-4.7886437421319761E-4</v>
      </c>
      <c r="X309" s="1">
        <f t="shared" si="44"/>
        <v>4.7886437421319761E-4</v>
      </c>
      <c r="Y309" s="9"/>
      <c r="AB309" s="1">
        <f t="shared" si="42"/>
        <v>2.0717592592592593E-3</v>
      </c>
      <c r="AC309" s="1"/>
      <c r="AE309" s="1"/>
      <c r="AF309" s="1"/>
    </row>
    <row r="310" spans="1:32" x14ac:dyDescent="0.2">
      <c r="A310">
        <v>2502</v>
      </c>
      <c r="B310" s="556" t="s">
        <v>16412</v>
      </c>
      <c r="C310" s="532" t="s">
        <v>15828</v>
      </c>
      <c r="D310" s="531">
        <f>Runners!O1073</f>
        <v>1</v>
      </c>
      <c r="E310" s="541">
        <f>Runners!O1072</f>
        <v>1</v>
      </c>
      <c r="F310" s="1415" t="s">
        <v>4584</v>
      </c>
      <c r="G310" s="1412">
        <v>2.1493055555555557E-2</v>
      </c>
      <c r="H310" s="1375"/>
      <c r="I310" s="1432"/>
      <c r="J310" s="1432" t="s">
        <v>4584</v>
      </c>
      <c r="K310" s="34">
        <v>43827</v>
      </c>
      <c r="L310" s="1398"/>
      <c r="M310" s="8">
        <v>1.9953703703703706E-2</v>
      </c>
      <c r="N310" s="3">
        <v>1.1620370370370371E-2</v>
      </c>
      <c r="O310" s="3">
        <v>1.4074074074074074E-2</v>
      </c>
      <c r="P310" s="80"/>
      <c r="Q310" s="53"/>
      <c r="R310" s="53"/>
      <c r="U310" s="53"/>
      <c r="W310" s="1">
        <f t="shared" si="43"/>
        <v>-4.4414215199097516E-4</v>
      </c>
      <c r="X310" s="1">
        <f t="shared" si="44"/>
        <v>4.4414215199097516E-4</v>
      </c>
      <c r="Y310" s="9"/>
      <c r="AB310" s="1">
        <f t="shared" si="42"/>
        <v>2.0370370370370369E-3</v>
      </c>
      <c r="AC310" s="1"/>
      <c r="AE310" s="1"/>
      <c r="AF310" s="1"/>
    </row>
    <row r="311" spans="1:32" x14ac:dyDescent="0.2">
      <c r="A311">
        <v>1751</v>
      </c>
      <c r="B311" s="27" t="s">
        <v>9225</v>
      </c>
      <c r="C311" s="15" t="s">
        <v>9226</v>
      </c>
      <c r="D311" s="24">
        <f>Runners!H1315</f>
        <v>1</v>
      </c>
      <c r="E311" s="183">
        <f>Runners!H1314</f>
        <v>1</v>
      </c>
      <c r="F311" s="1415" t="s">
        <v>756</v>
      </c>
      <c r="G311" s="1412">
        <v>2.0057870370370368E-2</v>
      </c>
      <c r="H311" s="1375"/>
      <c r="I311" s="1412"/>
      <c r="J311" s="1432" t="s">
        <v>756</v>
      </c>
      <c r="K311" s="34">
        <v>42776</v>
      </c>
      <c r="L311" s="1398">
        <v>385</v>
      </c>
      <c r="M311" s="8">
        <v>2.7268518518518515E-2</v>
      </c>
      <c r="N311" s="3">
        <v>1.3344907407407408E-2</v>
      </c>
      <c r="O311" s="3">
        <v>1.5023148148148148E-2</v>
      </c>
      <c r="Q311" s="53"/>
      <c r="R311" s="53"/>
      <c r="U311" s="53"/>
      <c r="W311" s="1">
        <f t="shared" si="43"/>
        <v>-2.1686791890280117E-3</v>
      </c>
      <c r="X311" s="1">
        <f t="shared" si="44"/>
        <v>2.1686791890280117E-3</v>
      </c>
      <c r="Y311" s="9"/>
      <c r="AB311" s="1">
        <f t="shared" si="42"/>
        <v>3.7615740740740734E-3</v>
      </c>
      <c r="AC311" s="1"/>
      <c r="AE311" s="1"/>
      <c r="AF311" s="1"/>
    </row>
    <row r="312" spans="1:32" x14ac:dyDescent="0.2">
      <c r="A312">
        <v>975</v>
      </c>
      <c r="B312" s="27" t="s">
        <v>2033</v>
      </c>
      <c r="C312" s="415" t="s">
        <v>842</v>
      </c>
      <c r="D312" s="24">
        <f>Runners!X815</f>
        <v>1</v>
      </c>
      <c r="E312" s="183">
        <f>Runners!X814</f>
        <v>1</v>
      </c>
      <c r="F312" s="1411"/>
      <c r="G312" s="1412"/>
      <c r="H312" s="1371" t="s">
        <v>71</v>
      </c>
      <c r="I312" s="1412">
        <v>1.6967592592592593E-2</v>
      </c>
      <c r="J312" s="1476" t="s">
        <v>4378</v>
      </c>
      <c r="K312" s="34">
        <v>42434</v>
      </c>
      <c r="L312" s="1398">
        <v>233</v>
      </c>
      <c r="M312" s="8">
        <v>1.9918981481481482E-2</v>
      </c>
      <c r="N312" s="3">
        <v>1.0983796296296297E-2</v>
      </c>
      <c r="O312" s="3">
        <v>1.3125E-2</v>
      </c>
      <c r="P312" t="s">
        <v>1348</v>
      </c>
      <c r="Q312" s="53"/>
      <c r="R312" s="53"/>
      <c r="U312" s="53"/>
      <c r="W312" s="1">
        <f t="shared" si="43"/>
        <v>1.9243192208309896E-4</v>
      </c>
      <c r="X312" s="1">
        <f t="shared" si="44"/>
        <v>-1.9243192208309896E-4</v>
      </c>
      <c r="Y312" s="9">
        <v>1</v>
      </c>
      <c r="Z312">
        <f t="shared" si="0"/>
        <v>1</v>
      </c>
      <c r="AB312" s="1">
        <f t="shared" si="42"/>
        <v>1.4004629629629627E-3</v>
      </c>
      <c r="AC312" s="1"/>
      <c r="AE312" s="1"/>
      <c r="AF312" s="1"/>
    </row>
    <row r="313" spans="1:32" x14ac:dyDescent="0.2">
      <c r="A313">
        <v>828</v>
      </c>
      <c r="B313" s="493" t="s">
        <v>7626</v>
      </c>
      <c r="C313" s="415" t="s">
        <v>1299</v>
      </c>
      <c r="D313" s="24">
        <f>Runners!V1000</f>
        <v>3</v>
      </c>
      <c r="E313" s="183">
        <f>Runners!V999</f>
        <v>5</v>
      </c>
      <c r="F313" s="79" t="s">
        <v>298</v>
      </c>
      <c r="G313" s="1">
        <v>1.6516203703703703E-2</v>
      </c>
      <c r="H313" s="1370" t="s">
        <v>5903</v>
      </c>
      <c r="I313" s="1412">
        <v>1.8657407407407407E-2</v>
      </c>
      <c r="J313" s="1432" t="s">
        <v>6140</v>
      </c>
      <c r="K313" s="34">
        <v>42805</v>
      </c>
      <c r="L313" s="9">
        <v>324</v>
      </c>
      <c r="M313" s="8">
        <v>1.9849537037037037E-2</v>
      </c>
      <c r="N313" s="3">
        <v>1.0752314814814814E-2</v>
      </c>
      <c r="O313" s="3">
        <v>1.224537037037037E-2</v>
      </c>
      <c r="Q313" s="53"/>
      <c r="R313" s="53"/>
      <c r="U313" s="53"/>
      <c r="W313" s="1">
        <f t="shared" si="43"/>
        <v>4.2391340356458251E-4</v>
      </c>
      <c r="X313" s="1">
        <f t="shared" si="44"/>
        <v>-4.2391340356458251E-4</v>
      </c>
      <c r="Y313" s="9"/>
      <c r="AB313" s="1">
        <f t="shared" si="42"/>
        <v>1.1689814814814792E-3</v>
      </c>
      <c r="AC313" s="1"/>
      <c r="AE313" s="1"/>
      <c r="AF313" s="1"/>
    </row>
    <row r="314" spans="1:32" x14ac:dyDescent="0.2">
      <c r="A314">
        <v>244</v>
      </c>
      <c r="B314" s="27" t="s">
        <v>5282</v>
      </c>
      <c r="C314" s="74" t="s">
        <v>5283</v>
      </c>
      <c r="D314" s="24">
        <f>Runners!Y957</f>
        <v>2</v>
      </c>
      <c r="E314" s="183">
        <f>Runners!Y956</f>
        <v>2</v>
      </c>
      <c r="F314" s="6"/>
      <c r="H314" s="1410" t="s">
        <v>1062</v>
      </c>
      <c r="I314" s="1412">
        <v>2.7002314814814812E-2</v>
      </c>
      <c r="J314" s="1714" t="s">
        <v>1062</v>
      </c>
      <c r="K314" s="34">
        <v>42679</v>
      </c>
      <c r="L314" s="9">
        <v>301</v>
      </c>
      <c r="M314" s="8">
        <v>2.0879629629629626E-2</v>
      </c>
      <c r="N314" s="3">
        <v>1.0995370370370371E-2</v>
      </c>
      <c r="O314" s="3">
        <v>1.3761574074074074E-2</v>
      </c>
      <c r="Q314" s="53"/>
      <c r="R314" s="53"/>
      <c r="U314" s="53"/>
      <c r="W314" s="1">
        <f t="shared" si="43"/>
        <v>1.8085784800902539E-4</v>
      </c>
      <c r="X314" s="1">
        <f t="shared" si="44"/>
        <v>-1.8085784800902539E-4</v>
      </c>
      <c r="Y314" s="9"/>
      <c r="AB314" s="1">
        <f t="shared" si="42"/>
        <v>1.4120370370370363E-3</v>
      </c>
      <c r="AC314" s="1"/>
      <c r="AE314" s="1"/>
      <c r="AF314" s="1"/>
    </row>
    <row r="315" spans="1:32" x14ac:dyDescent="0.2">
      <c r="A315">
        <v>239</v>
      </c>
      <c r="B315" s="27" t="s">
        <v>1712</v>
      </c>
      <c r="C315" s="74" t="s">
        <v>1347</v>
      </c>
      <c r="D315" s="24">
        <f>Runners!R787</f>
        <v>4</v>
      </c>
      <c r="E315" s="183">
        <f>Runners!R786</f>
        <v>6</v>
      </c>
      <c r="F315" s="6" t="s">
        <v>3216</v>
      </c>
      <c r="G315" s="1">
        <v>1.6157407407407409E-2</v>
      </c>
      <c r="H315" s="1370" t="s">
        <v>3254</v>
      </c>
      <c r="I315" s="1412">
        <v>1.8668981481481481E-2</v>
      </c>
      <c r="J315" s="1412" t="s">
        <v>3216</v>
      </c>
      <c r="K315" s="34">
        <v>41132</v>
      </c>
      <c r="L315" s="9">
        <v>35</v>
      </c>
      <c r="M315" s="8">
        <v>2.0057870370370368E-2</v>
      </c>
      <c r="N315" s="3">
        <v>1.068287037037037E-2</v>
      </c>
      <c r="O315" s="3">
        <v>1.2314814814814815E-2</v>
      </c>
      <c r="P315" t="s">
        <v>554</v>
      </c>
      <c r="W315" s="1">
        <f t="shared" si="43"/>
        <v>4.9335784800902567E-4</v>
      </c>
      <c r="X315" s="1">
        <f t="shared" si="44"/>
        <v>-4.9335784800902567E-4</v>
      </c>
      <c r="Y315" s="9">
        <v>25</v>
      </c>
      <c r="Z315">
        <f t="shared" si="0"/>
        <v>625</v>
      </c>
      <c r="AB315" s="1">
        <f t="shared" si="42"/>
        <v>1.099537037037036E-3</v>
      </c>
      <c r="AC315" s="1"/>
      <c r="AE315" s="1"/>
      <c r="AF315" s="1"/>
    </row>
    <row r="316" spans="1:32" x14ac:dyDescent="0.2">
      <c r="A316">
        <v>313</v>
      </c>
      <c r="B316" s="27" t="s">
        <v>5344</v>
      </c>
      <c r="C316" s="74" t="s">
        <v>707</v>
      </c>
      <c r="D316" s="24">
        <f>Runners!L815</f>
        <v>1</v>
      </c>
      <c r="E316" s="183">
        <f>Runners!L814</f>
        <v>1</v>
      </c>
      <c r="F316" s="6" t="s">
        <v>5096</v>
      </c>
      <c r="G316" s="1">
        <v>1.6666666666666666E-2</v>
      </c>
      <c r="J316" s="1" t="s">
        <v>5096</v>
      </c>
      <c r="K316" s="34">
        <v>41832</v>
      </c>
      <c r="L316" s="9">
        <v>117</v>
      </c>
      <c r="M316" s="8">
        <v>1.8761574074074073E-2</v>
      </c>
      <c r="N316" s="3">
        <v>1.0844907407407407E-2</v>
      </c>
      <c r="O316" s="3">
        <v>1.2465277777777777E-2</v>
      </c>
      <c r="W316" s="1">
        <f t="shared" si="43"/>
        <v>3.3132081097198875E-4</v>
      </c>
      <c r="X316" s="1">
        <f t="shared" si="44"/>
        <v>-3.3132081097198875E-4</v>
      </c>
      <c r="Y316" s="9">
        <v>11</v>
      </c>
      <c r="Z316">
        <f t="shared" si="0"/>
        <v>121</v>
      </c>
      <c r="AB316" s="1">
        <f t="shared" si="42"/>
        <v>1.2615740740740729E-3</v>
      </c>
      <c r="AC316" s="1"/>
      <c r="AE316" s="1"/>
      <c r="AF316" s="1"/>
    </row>
    <row r="317" spans="1:32" x14ac:dyDescent="0.2">
      <c r="A317">
        <v>485</v>
      </c>
      <c r="B317" s="27" t="s">
        <v>1747</v>
      </c>
      <c r="C317" s="74" t="s">
        <v>1812</v>
      </c>
      <c r="D317" s="24">
        <f>Runners!O877</f>
        <v>4</v>
      </c>
      <c r="E317" s="183">
        <f>Runners!O876</f>
        <v>4</v>
      </c>
      <c r="F317" s="534" t="s">
        <v>3790</v>
      </c>
      <c r="G317" s="512">
        <v>1.6597222222222222E-2</v>
      </c>
      <c r="H317" s="513" t="s">
        <v>4596</v>
      </c>
      <c r="I317" s="334">
        <v>1.9641203703703706E-2</v>
      </c>
      <c r="J317" s="32" t="s">
        <v>1000</v>
      </c>
      <c r="K317" s="34">
        <v>41923</v>
      </c>
      <c r="L317" s="9">
        <v>134</v>
      </c>
      <c r="M317" s="8">
        <v>1.8993055555555558E-2</v>
      </c>
      <c r="N317" s="3">
        <v>1.0439814814814813E-2</v>
      </c>
      <c r="O317" s="3">
        <v>1.2777777777777777E-2</v>
      </c>
      <c r="W317" s="1">
        <f t="shared" si="43"/>
        <v>7.3641340356458279E-4</v>
      </c>
      <c r="X317" s="1">
        <f t="shared" si="44"/>
        <v>-7.3641340356458279E-4</v>
      </c>
      <c r="Y317" s="9">
        <v>46</v>
      </c>
      <c r="Z317">
        <f t="shared" si="0"/>
        <v>2116</v>
      </c>
      <c r="AB317" s="1">
        <f t="shared" si="42"/>
        <v>8.564814814814789E-4</v>
      </c>
      <c r="AC317" s="1"/>
      <c r="AE317" s="1"/>
      <c r="AF317" s="1"/>
    </row>
    <row r="318" spans="1:32" x14ac:dyDescent="0.2">
      <c r="A318">
        <v>75</v>
      </c>
      <c r="B318" s="27" t="s">
        <v>1709</v>
      </c>
      <c r="C318" s="74" t="s">
        <v>2147</v>
      </c>
      <c r="D318" s="24">
        <f>Runners!Q148</f>
        <v>37</v>
      </c>
      <c r="E318" s="183">
        <f>Runners!Q147</f>
        <v>81</v>
      </c>
      <c r="F318" s="6" t="s">
        <v>5884</v>
      </c>
      <c r="G318" s="1">
        <v>1.4108796296296295E-2</v>
      </c>
      <c r="H318" s="319" t="s">
        <v>9806</v>
      </c>
      <c r="I318" s="3">
        <v>1.3645833333333331E-2</v>
      </c>
      <c r="J318" s="1" t="s">
        <v>3216</v>
      </c>
      <c r="K318" s="34">
        <v>40936</v>
      </c>
      <c r="L318" s="9">
        <v>16</v>
      </c>
      <c r="M318" s="8">
        <v>1.7800925925925925E-2</v>
      </c>
      <c r="N318" s="3">
        <v>1.0636574074074074E-2</v>
      </c>
      <c r="O318" s="3">
        <v>1.2627314814814815E-2</v>
      </c>
      <c r="P318" t="s">
        <v>3393</v>
      </c>
      <c r="Q318" s="346" t="s">
        <v>243</v>
      </c>
      <c r="R318" s="346"/>
      <c r="S318" s="346" t="s">
        <v>5099</v>
      </c>
      <c r="T318" s="346"/>
      <c r="U318" s="197"/>
      <c r="W318" s="1">
        <f t="shared" si="43"/>
        <v>5.3965414430532169E-4</v>
      </c>
      <c r="X318" s="1">
        <f t="shared" si="44"/>
        <v>-5.3965414430532169E-4</v>
      </c>
      <c r="Y318" s="9">
        <v>29</v>
      </c>
      <c r="Z318">
        <f t="shared" si="0"/>
        <v>841</v>
      </c>
      <c r="AB318" s="1">
        <f t="shared" si="42"/>
        <v>1.05324074074074E-3</v>
      </c>
      <c r="AC318" s="1"/>
      <c r="AE318" s="1"/>
      <c r="AF318" s="1"/>
    </row>
    <row r="319" spans="1:32" x14ac:dyDescent="0.2">
      <c r="A319">
        <v>871</v>
      </c>
      <c r="B319" s="493" t="s">
        <v>8570</v>
      </c>
      <c r="C319" s="415" t="s">
        <v>8571</v>
      </c>
      <c r="D319" s="531">
        <f>Runners!U1165</f>
        <v>2</v>
      </c>
      <c r="E319" s="541">
        <f>Runners!U1164</f>
        <v>2</v>
      </c>
      <c r="F319" s="79" t="s">
        <v>909</v>
      </c>
      <c r="G319" s="1">
        <v>2.2222222222222223E-2</v>
      </c>
      <c r="H319" s="319" t="s">
        <v>5894</v>
      </c>
      <c r="I319" s="1">
        <v>2.2210648148148149E-2</v>
      </c>
      <c r="J319" s="334" t="s">
        <v>5895</v>
      </c>
      <c r="K319" s="34">
        <v>43001</v>
      </c>
      <c r="L319" s="9">
        <v>364</v>
      </c>
      <c r="M319" s="8">
        <v>1.9652777777777779E-2</v>
      </c>
      <c r="N319" s="3">
        <v>1.1030092592592591E-2</v>
      </c>
      <c r="O319" s="3">
        <v>1.2650462962962962E-2</v>
      </c>
      <c r="Q319" s="206"/>
      <c r="R319" s="206"/>
      <c r="S319" s="206"/>
      <c r="T319" s="206"/>
      <c r="U319" s="197"/>
      <c r="W319" s="1">
        <f t="shared" si="43"/>
        <v>1.4613562578680468E-4</v>
      </c>
      <c r="X319" s="1">
        <f t="shared" si="44"/>
        <v>-1.4613562578680468E-4</v>
      </c>
      <c r="Y319" s="9"/>
      <c r="AB319" s="1">
        <f t="shared" si="42"/>
        <v>1.446759259259257E-3</v>
      </c>
      <c r="AC319" s="1"/>
      <c r="AE319" s="1"/>
      <c r="AF319" s="1"/>
    </row>
    <row r="320" spans="1:32" x14ac:dyDescent="0.2">
      <c r="A320">
        <v>118</v>
      </c>
      <c r="B320" s="493" t="s">
        <v>7896</v>
      </c>
      <c r="C320" s="415" t="s">
        <v>7880</v>
      </c>
      <c r="D320" s="24">
        <f>Runners!W1000</f>
        <v>1</v>
      </c>
      <c r="E320" s="183">
        <f>Runners!W999</f>
        <v>1</v>
      </c>
      <c r="F320" s="79" t="s">
        <v>5096</v>
      </c>
      <c r="G320" s="1">
        <v>1.4710648148148148E-2</v>
      </c>
      <c r="H320" s="319"/>
      <c r="J320" s="334" t="s">
        <v>5096</v>
      </c>
      <c r="K320" s="34">
        <v>42868</v>
      </c>
      <c r="L320" s="9">
        <v>333</v>
      </c>
      <c r="M320" s="8">
        <v>2.1053240740740744E-2</v>
      </c>
      <c r="N320" s="3">
        <v>1.1620370370370371E-2</v>
      </c>
      <c r="O320" s="3">
        <v>1.3993055555555555E-2</v>
      </c>
      <c r="Q320" s="206"/>
      <c r="R320" s="206"/>
      <c r="S320" s="206"/>
      <c r="T320" s="206"/>
      <c r="U320" s="197"/>
      <c r="W320" s="1">
        <f t="shared" si="43"/>
        <v>-4.4414215199097516E-4</v>
      </c>
      <c r="X320" s="1">
        <f t="shared" si="44"/>
        <v>4.4414215199097516E-4</v>
      </c>
      <c r="Y320" s="9"/>
      <c r="AB320" s="1">
        <f t="shared" si="42"/>
        <v>2.0370370370370369E-3</v>
      </c>
      <c r="AC320" s="1"/>
      <c r="AE320" s="1"/>
      <c r="AF320" s="1"/>
    </row>
    <row r="321" spans="1:32" x14ac:dyDescent="0.2">
      <c r="A321">
        <v>474</v>
      </c>
      <c r="B321" s="27" t="s">
        <v>1681</v>
      </c>
      <c r="C321" s="74" t="s">
        <v>1678</v>
      </c>
      <c r="D321" s="24">
        <f>Runners!L1245</f>
        <v>5</v>
      </c>
      <c r="E321" s="183">
        <f>Runners!L1244</f>
        <v>5</v>
      </c>
      <c r="F321" s="6" t="s">
        <v>1000</v>
      </c>
      <c r="G321" s="1">
        <v>1.8518518518518521E-2</v>
      </c>
      <c r="H321" s="968" t="s">
        <v>5241</v>
      </c>
      <c r="I321" s="1">
        <v>1.5185185185185185E-2</v>
      </c>
      <c r="J321" s="1" t="s">
        <v>5895</v>
      </c>
      <c r="K321" s="34">
        <v>42231</v>
      </c>
      <c r="L321" s="9">
        <v>193</v>
      </c>
      <c r="M321" s="8">
        <v>1.7280092592592593E-2</v>
      </c>
      <c r="N321" s="3">
        <v>1.0763888888888891E-2</v>
      </c>
      <c r="O321" s="3">
        <v>1.1956018518518517E-2</v>
      </c>
      <c r="Q321" s="206"/>
      <c r="R321" s="206"/>
      <c r="S321" s="206"/>
      <c r="T321" s="206"/>
      <c r="U321" s="197"/>
      <c r="W321" s="1">
        <f t="shared" si="43"/>
        <v>4.1233932949050547E-4</v>
      </c>
      <c r="X321" s="1">
        <f t="shared" si="44"/>
        <v>-4.1233932949050547E-4</v>
      </c>
      <c r="Y321" s="9">
        <v>8</v>
      </c>
      <c r="Z321">
        <f t="shared" si="0"/>
        <v>64</v>
      </c>
      <c r="AB321" s="1">
        <f t="shared" si="42"/>
        <v>1.1805555555555562E-3</v>
      </c>
      <c r="AC321" s="1"/>
      <c r="AE321" s="1"/>
      <c r="AF321" s="1"/>
    </row>
    <row r="322" spans="1:32" x14ac:dyDescent="0.2">
      <c r="A322">
        <v>1669</v>
      </c>
      <c r="B322" s="493" t="s">
        <v>12006</v>
      </c>
      <c r="C322" s="415" t="s">
        <v>16132</v>
      </c>
      <c r="D322" s="24">
        <f>Runners!T1225</f>
        <v>4</v>
      </c>
      <c r="E322" s="183">
        <f>Runners!T1224</f>
        <v>4</v>
      </c>
      <c r="F322" s="1411" t="s">
        <v>1000</v>
      </c>
      <c r="G322" s="1412">
        <v>1.8981481481481481E-2</v>
      </c>
      <c r="H322" s="1433"/>
      <c r="I322" s="1412"/>
      <c r="J322" s="1432" t="s">
        <v>1000</v>
      </c>
      <c r="K322" s="1379">
        <v>43533</v>
      </c>
      <c r="L322" s="1398">
        <v>474</v>
      </c>
      <c r="M322" s="8">
        <v>2.0787037037037038E-2</v>
      </c>
      <c r="N322" s="3">
        <v>1.1458333333333334E-2</v>
      </c>
      <c r="Q322" s="206"/>
      <c r="R322" s="206"/>
      <c r="S322" s="206"/>
      <c r="T322" s="206"/>
      <c r="U322" s="197"/>
      <c r="W322" s="1">
        <f t="shared" si="43"/>
        <v>-2.8210511495393824E-4</v>
      </c>
      <c r="X322" s="1">
        <f t="shared" si="44"/>
        <v>2.8210511495393824E-4</v>
      </c>
      <c r="Y322" s="9"/>
      <c r="AB322" s="1">
        <f t="shared" si="42"/>
        <v>1.8749999999999999E-3</v>
      </c>
      <c r="AC322" s="1"/>
      <c r="AE322" s="1"/>
      <c r="AF322" s="1"/>
    </row>
    <row r="323" spans="1:32" x14ac:dyDescent="0.2">
      <c r="A323">
        <v>2067</v>
      </c>
      <c r="B323" s="27" t="s">
        <v>10547</v>
      </c>
      <c r="C323" s="415" t="s">
        <v>10546</v>
      </c>
      <c r="D323" s="24">
        <f>Runners!Q630</f>
        <v>1</v>
      </c>
      <c r="E323" s="183">
        <f>Runners!Q629</f>
        <v>1</v>
      </c>
      <c r="F323" s="6" t="s">
        <v>5882</v>
      </c>
      <c r="G323" s="1">
        <v>1.462962962962963E-2</v>
      </c>
      <c r="H323" s="968"/>
      <c r="J323" s="1" t="s">
        <v>5882</v>
      </c>
      <c r="K323" s="34">
        <v>43344</v>
      </c>
      <c r="L323" s="1398">
        <v>436</v>
      </c>
      <c r="M323" s="8">
        <v>2.0208333333333335E-2</v>
      </c>
      <c r="N323" s="3">
        <v>1.238425925925926E-2</v>
      </c>
      <c r="O323" s="3">
        <v>1.2731481481481481E-2</v>
      </c>
      <c r="Q323" s="206"/>
      <c r="R323" s="206"/>
      <c r="S323" s="206"/>
      <c r="T323" s="206"/>
      <c r="U323" s="197"/>
      <c r="W323" s="1">
        <f t="shared" si="43"/>
        <v>-1.2080310408798638E-3</v>
      </c>
      <c r="X323" s="1">
        <f t="shared" si="44"/>
        <v>1.2080310408798638E-3</v>
      </c>
      <c r="Y323" s="9"/>
      <c r="AB323" s="1">
        <f t="shared" si="42"/>
        <v>2.8009259259259255E-3</v>
      </c>
      <c r="AC323" s="1"/>
      <c r="AE323" s="1"/>
      <c r="AF323" s="1"/>
    </row>
    <row r="324" spans="1:32" x14ac:dyDescent="0.2">
      <c r="A324">
        <v>755</v>
      </c>
      <c r="B324" s="493" t="s">
        <v>6181</v>
      </c>
      <c r="C324" s="415" t="s">
        <v>4866</v>
      </c>
      <c r="D324" s="24">
        <f>Runners!I787</f>
        <v>3</v>
      </c>
      <c r="E324" s="183">
        <f>Runners!I786</f>
        <v>3</v>
      </c>
      <c r="F324" s="534" t="s">
        <v>3790</v>
      </c>
      <c r="G324" s="334">
        <v>1.8275462962962962E-2</v>
      </c>
      <c r="H324" s="513" t="s">
        <v>4596</v>
      </c>
      <c r="I324" s="1">
        <v>2.3344907407407408E-2</v>
      </c>
      <c r="J324" s="334" t="s">
        <v>6180</v>
      </c>
      <c r="K324" s="34">
        <v>42735</v>
      </c>
      <c r="L324" s="1398">
        <v>309</v>
      </c>
      <c r="M324" s="8">
        <v>2.1168981481481483E-2</v>
      </c>
      <c r="N324" s="3">
        <v>1.1377314814814814E-2</v>
      </c>
      <c r="O324" s="3">
        <v>1.3634259259259257E-2</v>
      </c>
      <c r="Q324" s="206"/>
      <c r="R324" s="206"/>
      <c r="S324" s="206"/>
      <c r="T324" s="206"/>
      <c r="U324" s="197"/>
      <c r="W324" s="1">
        <f t="shared" si="43"/>
        <v>-2.0108659643541804E-4</v>
      </c>
      <c r="X324" s="1">
        <f t="shared" si="44"/>
        <v>2.0108659643541804E-4</v>
      </c>
      <c r="Y324" s="9"/>
      <c r="AB324" s="1">
        <f t="shared" si="42"/>
        <v>1.7939814814814797E-3</v>
      </c>
      <c r="AC324" s="1"/>
      <c r="AE324" s="1"/>
      <c r="AF324" s="1"/>
    </row>
    <row r="325" spans="1:32" x14ac:dyDescent="0.2">
      <c r="A325">
        <v>659</v>
      </c>
      <c r="B325" s="27" t="s">
        <v>5680</v>
      </c>
      <c r="C325" s="74" t="s">
        <v>5911</v>
      </c>
      <c r="D325" s="24">
        <f>Runners!K1087</f>
        <v>2</v>
      </c>
      <c r="E325" s="183">
        <f>Runners!K1086</f>
        <v>2</v>
      </c>
      <c r="F325" s="6"/>
      <c r="H325" s="206" t="s">
        <v>2686</v>
      </c>
      <c r="I325" s="1">
        <v>1.9930555555555556E-2</v>
      </c>
      <c r="J325" s="254" t="s">
        <v>2686</v>
      </c>
      <c r="K325" s="34">
        <v>42182</v>
      </c>
      <c r="L325" s="1398">
        <v>182</v>
      </c>
      <c r="M325" s="8">
        <v>2.0104166666666666E-2</v>
      </c>
      <c r="N325" s="3">
        <v>1.1689814814814814E-2</v>
      </c>
      <c r="O325" s="3">
        <v>1.3796296296296298E-2</v>
      </c>
      <c r="Q325" s="206"/>
      <c r="R325" s="206"/>
      <c r="S325" s="206"/>
      <c r="T325" s="206"/>
      <c r="U325" s="197"/>
      <c r="W325" s="1">
        <f t="shared" si="43"/>
        <v>-5.1358659643541832E-4</v>
      </c>
      <c r="X325" s="1">
        <f t="shared" si="44"/>
        <v>5.1358659643541832E-4</v>
      </c>
      <c r="Y325" s="9">
        <v>62</v>
      </c>
      <c r="Z325">
        <f t="shared" si="0"/>
        <v>3844</v>
      </c>
      <c r="AB325" s="1">
        <f t="shared" si="42"/>
        <v>2.10648148148148E-3</v>
      </c>
      <c r="AC325" s="1"/>
      <c r="AE325" s="1"/>
      <c r="AF325" s="1"/>
    </row>
    <row r="326" spans="1:32" x14ac:dyDescent="0.2">
      <c r="A326">
        <v>77</v>
      </c>
      <c r="B326" s="27" t="s">
        <v>5124</v>
      </c>
      <c r="C326" s="415" t="s">
        <v>1211</v>
      </c>
      <c r="D326" s="24">
        <f>Runners!O854</f>
        <v>6</v>
      </c>
      <c r="E326" s="183">
        <f>Runners!O853</f>
        <v>12</v>
      </c>
      <c r="F326" s="6" t="s">
        <v>1270</v>
      </c>
      <c r="G326" s="1">
        <v>1.4201388888888888E-2</v>
      </c>
      <c r="H326" s="513" t="s">
        <v>4596</v>
      </c>
      <c r="I326" s="1">
        <v>1.8935185185185183E-2</v>
      </c>
      <c r="J326" s="1" t="s">
        <v>1270</v>
      </c>
      <c r="K326" s="34">
        <v>41202</v>
      </c>
      <c r="L326" s="1398">
        <v>39</v>
      </c>
      <c r="M326" s="8">
        <v>1.894675925925926E-2</v>
      </c>
      <c r="N326" s="3">
        <v>1.0671296296296297E-2</v>
      </c>
      <c r="O326" s="3">
        <v>1.1909722222222223E-2</v>
      </c>
      <c r="Q326" s="30" t="s">
        <v>9</v>
      </c>
      <c r="R326" s="30"/>
      <c r="W326" s="1">
        <f t="shared" si="43"/>
        <v>5.0493192208309924E-4</v>
      </c>
      <c r="X326" s="1">
        <f t="shared" si="44"/>
        <v>-5.0493192208309924E-4</v>
      </c>
      <c r="Y326" s="9">
        <v>26</v>
      </c>
      <c r="Z326">
        <f t="shared" si="0"/>
        <v>676</v>
      </c>
      <c r="AB326" s="1">
        <f t="shared" si="42"/>
        <v>1.0879629629629625E-3</v>
      </c>
      <c r="AC326" s="1"/>
      <c r="AE326" s="1"/>
      <c r="AF326" s="1"/>
    </row>
    <row r="327" spans="1:32" x14ac:dyDescent="0.2">
      <c r="A327">
        <v>2487</v>
      </c>
      <c r="B327" s="493" t="s">
        <v>15989</v>
      </c>
      <c r="C327" s="415" t="s">
        <v>15988</v>
      </c>
      <c r="D327" s="24">
        <f>Runners!M579</f>
        <v>1</v>
      </c>
      <c r="E327" s="183">
        <f>Runners!M578</f>
        <v>4</v>
      </c>
      <c r="F327" s="79" t="s">
        <v>13419</v>
      </c>
      <c r="G327" s="1">
        <v>1.6354166666666666E-2</v>
      </c>
      <c r="H327" s="513"/>
      <c r="J327" s="334" t="s">
        <v>13419</v>
      </c>
      <c r="K327" s="34">
        <v>43785</v>
      </c>
      <c r="L327" s="1398"/>
      <c r="M327" s="8">
        <v>2.2129629629629628E-2</v>
      </c>
      <c r="N327" s="3">
        <v>1.1875000000000002E-2</v>
      </c>
      <c r="O327" s="3">
        <v>1.34375E-2</v>
      </c>
      <c r="Q327" s="1371"/>
      <c r="R327" s="1371"/>
      <c r="W327" s="1">
        <f t="shared" si="43"/>
        <v>-6.9877178162060585E-4</v>
      </c>
      <c r="X327" s="1">
        <f t="shared" si="44"/>
        <v>6.9877178162060585E-4</v>
      </c>
      <c r="Y327" s="9"/>
      <c r="AB327" s="1">
        <f t="shared" si="42"/>
        <v>2.2916666666666675E-3</v>
      </c>
      <c r="AC327" s="1"/>
      <c r="AE327" s="1"/>
      <c r="AF327" s="1"/>
    </row>
    <row r="328" spans="1:32" x14ac:dyDescent="0.2">
      <c r="A328">
        <v>2419</v>
      </c>
      <c r="B328" s="493" t="s">
        <v>15310</v>
      </c>
      <c r="C328" s="415" t="s">
        <v>15307</v>
      </c>
      <c r="D328" s="24">
        <f>Runners!P1073</f>
        <v>1</v>
      </c>
      <c r="E328" s="183">
        <f>Runners!P1072</f>
        <v>1</v>
      </c>
      <c r="F328" s="79" t="s">
        <v>4584</v>
      </c>
      <c r="G328" s="1">
        <v>2.0335648148148148E-2</v>
      </c>
      <c r="H328" s="513"/>
      <c r="J328" s="334" t="s">
        <v>4584</v>
      </c>
      <c r="K328" s="34">
        <v>43701</v>
      </c>
      <c r="L328" s="1398">
        <v>517</v>
      </c>
      <c r="P328" s="80" t="s">
        <v>15206</v>
      </c>
      <c r="Q328" s="1371"/>
      <c r="R328" s="1371"/>
      <c r="W328" s="1"/>
      <c r="X328" s="1"/>
      <c r="Y328" s="9"/>
      <c r="AB328" s="1"/>
      <c r="AC328" s="1"/>
      <c r="AE328" s="1"/>
      <c r="AF328" s="1"/>
    </row>
    <row r="329" spans="1:32" x14ac:dyDescent="0.2">
      <c r="A329">
        <v>1271</v>
      </c>
      <c r="B329" s="27" t="s">
        <v>4326</v>
      </c>
      <c r="C329" s="74" t="s">
        <v>3871</v>
      </c>
      <c r="D329" s="24">
        <f>Runners!O420</f>
        <v>6</v>
      </c>
      <c r="E329" s="183">
        <f>Runners!O419</f>
        <v>6</v>
      </c>
      <c r="F329" s="534" t="s">
        <v>3790</v>
      </c>
      <c r="G329" s="512">
        <v>1.638888888888889E-2</v>
      </c>
      <c r="H329" s="513" t="s">
        <v>4596</v>
      </c>
      <c r="I329" s="512">
        <v>1.7789351851851851E-2</v>
      </c>
      <c r="J329" s="1" t="s">
        <v>1000</v>
      </c>
      <c r="K329" s="34">
        <v>42322</v>
      </c>
      <c r="L329" s="1398">
        <v>208</v>
      </c>
      <c r="M329" s="8">
        <v>1.9791666666666666E-2</v>
      </c>
      <c r="N329" s="3">
        <v>1.1435185185185185E-2</v>
      </c>
      <c r="O329" s="3">
        <v>1.2881944444444446E-2</v>
      </c>
      <c r="W329" s="1">
        <f t="shared" ref="W329:W334" si="45">$N$700-N329</f>
        <v>-2.5895696680578936E-4</v>
      </c>
      <c r="X329" s="1">
        <f t="shared" ref="X329:X334" si="46">N329-$N$700</f>
        <v>2.5895696680578936E-4</v>
      </c>
      <c r="Y329" s="9">
        <v>40</v>
      </c>
      <c r="Z329">
        <f t="shared" si="0"/>
        <v>1600</v>
      </c>
      <c r="AB329" s="1">
        <f t="shared" si="42"/>
        <v>1.8518518518518511E-3</v>
      </c>
      <c r="AC329" s="1"/>
      <c r="AE329" s="1"/>
      <c r="AF329" s="1"/>
    </row>
    <row r="330" spans="1:32" x14ac:dyDescent="0.2">
      <c r="A330">
        <v>1351</v>
      </c>
      <c r="B330" s="27" t="s">
        <v>359</v>
      </c>
      <c r="C330" s="74" t="s">
        <v>358</v>
      </c>
      <c r="D330" s="24">
        <f>Runners!G974</f>
        <v>2</v>
      </c>
      <c r="E330" s="183">
        <f>Runners!G973</f>
        <v>30</v>
      </c>
      <c r="F330" s="6" t="s">
        <v>1000</v>
      </c>
      <c r="G330" s="1">
        <v>1.8865740740740742E-2</v>
      </c>
      <c r="H330" s="206" t="s">
        <v>1062</v>
      </c>
      <c r="I330" s="512">
        <v>2.1319444444444443E-2</v>
      </c>
      <c r="J330" s="1" t="s">
        <v>1000</v>
      </c>
      <c r="K330" s="34">
        <v>42455</v>
      </c>
      <c r="L330" s="1398">
        <v>244</v>
      </c>
      <c r="M330" s="8">
        <v>1.9351851851851853E-2</v>
      </c>
      <c r="N330" s="3">
        <v>1.1215277777777777E-2</v>
      </c>
      <c r="O330" s="3">
        <v>1.2604166666666666E-2</v>
      </c>
      <c r="W330" s="1">
        <f t="shared" si="45"/>
        <v>-3.9049559398381117E-5</v>
      </c>
      <c r="X330" s="1">
        <f t="shared" si="46"/>
        <v>3.9049559398381117E-5</v>
      </c>
      <c r="Y330" s="9">
        <v>52</v>
      </c>
      <c r="Z330">
        <f t="shared" si="0"/>
        <v>2704</v>
      </c>
      <c r="AB330" s="1">
        <f t="shared" si="42"/>
        <v>1.6319444444444428E-3</v>
      </c>
      <c r="AC330" s="1"/>
      <c r="AE330" s="1"/>
      <c r="AF330" s="1"/>
    </row>
    <row r="331" spans="1:32" x14ac:dyDescent="0.2">
      <c r="A331">
        <v>1827</v>
      </c>
      <c r="B331" s="556" t="s">
        <v>9139</v>
      </c>
      <c r="C331" s="532" t="s">
        <v>9134</v>
      </c>
      <c r="D331" s="531">
        <f>Runners!U539</f>
        <v>3</v>
      </c>
      <c r="E331" s="541">
        <f>Runners!U538</f>
        <v>3</v>
      </c>
      <c r="F331" s="6" t="s">
        <v>1000</v>
      </c>
      <c r="G331" s="1">
        <v>2.1840277777777778E-2</v>
      </c>
      <c r="H331" s="206"/>
      <c r="J331" s="1" t="s">
        <v>1000</v>
      </c>
      <c r="K331" s="34">
        <v>43148</v>
      </c>
      <c r="L331" s="1398">
        <v>387</v>
      </c>
      <c r="M331" s="8">
        <v>2.2152777777777775E-2</v>
      </c>
      <c r="N331" s="3">
        <v>1.324074074074074E-2</v>
      </c>
      <c r="O331" s="3">
        <v>1.6435185185185188E-2</v>
      </c>
      <c r="W331" s="1">
        <f t="shared" si="45"/>
        <v>-2.0645125223613444E-3</v>
      </c>
      <c r="X331" s="1">
        <f t="shared" si="46"/>
        <v>2.0645125223613444E-3</v>
      </c>
      <c r="Y331" s="9"/>
      <c r="AB331" s="1">
        <f t="shared" si="42"/>
        <v>3.6574074074074061E-3</v>
      </c>
      <c r="AC331" s="1"/>
      <c r="AE331" s="1"/>
      <c r="AF331" s="1"/>
    </row>
    <row r="332" spans="1:32" x14ac:dyDescent="0.2">
      <c r="A332">
        <v>699</v>
      </c>
      <c r="B332" s="552" t="s">
        <v>8663</v>
      </c>
      <c r="C332" s="532" t="s">
        <v>3878</v>
      </c>
      <c r="D332" s="531">
        <f>Runners!Q1304</f>
        <v>1</v>
      </c>
      <c r="E332" s="541">
        <f>Runners!Q1303</f>
        <v>1</v>
      </c>
      <c r="F332" s="79" t="s">
        <v>1000</v>
      </c>
      <c r="H332" s="206"/>
      <c r="J332" s="334" t="s">
        <v>1000</v>
      </c>
      <c r="K332" s="34">
        <v>43022</v>
      </c>
      <c r="L332" s="1398">
        <v>366</v>
      </c>
      <c r="M332" s="8">
        <v>2.0729166666666667E-2</v>
      </c>
      <c r="N332" s="3">
        <v>1.0462962962962964E-2</v>
      </c>
      <c r="O332" s="3">
        <v>1.2337962962962962E-2</v>
      </c>
      <c r="W332" s="1">
        <f t="shared" si="45"/>
        <v>7.1326525541643218E-4</v>
      </c>
      <c r="X332" s="1">
        <f t="shared" si="46"/>
        <v>-7.1326525541643218E-4</v>
      </c>
      <c r="Y332" s="9"/>
      <c r="AB332" s="1">
        <f t="shared" si="42"/>
        <v>8.7962962962962951E-4</v>
      </c>
      <c r="AC332" s="1"/>
      <c r="AE332" s="1"/>
      <c r="AF332" s="1"/>
    </row>
    <row r="333" spans="1:32" x14ac:dyDescent="0.2">
      <c r="A333">
        <v>149</v>
      </c>
      <c r="B333" s="552" t="s">
        <v>197</v>
      </c>
      <c r="C333" s="532" t="s">
        <v>1021</v>
      </c>
      <c r="D333" s="531">
        <f>Runners!H974</f>
        <v>2</v>
      </c>
      <c r="E333" s="541">
        <f>Runners!H973</f>
        <v>2</v>
      </c>
      <c r="F333" s="79" t="s">
        <v>9840</v>
      </c>
      <c r="G333" s="1">
        <v>2.5636574074074072E-2</v>
      </c>
      <c r="H333" s="636" t="s">
        <v>1062</v>
      </c>
      <c r="K333" s="34">
        <v>43358</v>
      </c>
      <c r="L333" s="1398">
        <v>440</v>
      </c>
      <c r="M333" s="8">
        <v>1.9583333333333331E-2</v>
      </c>
      <c r="N333" s="3">
        <v>1.0347222222222223E-2</v>
      </c>
      <c r="O333" s="3">
        <v>1.2083333333333333E-2</v>
      </c>
      <c r="Q333" s="80"/>
      <c r="W333" s="1">
        <f t="shared" si="45"/>
        <v>8.2900599615717309E-4</v>
      </c>
      <c r="X333" s="1">
        <f t="shared" si="46"/>
        <v>-8.2900599615717309E-4</v>
      </c>
      <c r="Y333" s="9"/>
      <c r="AB333" s="1">
        <f t="shared" si="42"/>
        <v>7.638888888888886E-4</v>
      </c>
      <c r="AC333" s="1"/>
      <c r="AE333" s="1"/>
      <c r="AF333" s="1"/>
    </row>
    <row r="334" spans="1:32" x14ac:dyDescent="0.2">
      <c r="A334">
        <v>293</v>
      </c>
      <c r="B334" s="27" t="s">
        <v>4669</v>
      </c>
      <c r="C334" s="74" t="s">
        <v>1013</v>
      </c>
      <c r="D334" s="24">
        <f>Runners!K374</f>
        <v>6</v>
      </c>
      <c r="E334" s="183">
        <f>Runners!K373</f>
        <v>6</v>
      </c>
      <c r="F334" s="2052" t="s">
        <v>4407</v>
      </c>
      <c r="G334" s="2053">
        <v>1.5057870370370369E-2</v>
      </c>
      <c r="H334" s="837" t="s">
        <v>5241</v>
      </c>
      <c r="I334" s="2053">
        <v>1.5335648148148147E-2</v>
      </c>
      <c r="J334" s="1" t="s">
        <v>1000</v>
      </c>
      <c r="K334" s="34">
        <v>42574</v>
      </c>
      <c r="L334" s="1398">
        <v>276</v>
      </c>
      <c r="M334" s="8">
        <v>2.0231481481481482E-2</v>
      </c>
      <c r="N334" s="3">
        <v>1.1539351851851851E-2</v>
      </c>
      <c r="O334" s="3">
        <v>1.4467592592592593E-2</v>
      </c>
      <c r="W334" s="1">
        <f t="shared" si="45"/>
        <v>-3.6312363347245497E-4</v>
      </c>
      <c r="X334" s="1">
        <f t="shared" si="46"/>
        <v>3.6312363347245497E-4</v>
      </c>
      <c r="Y334" s="9"/>
      <c r="AB334" s="1">
        <f t="shared" si="42"/>
        <v>1.9560185185185167E-3</v>
      </c>
      <c r="AC334" s="1"/>
      <c r="AE334" s="1"/>
      <c r="AF334" s="1"/>
    </row>
    <row r="335" spans="1:32" x14ac:dyDescent="0.2">
      <c r="A335">
        <v>2293</v>
      </c>
      <c r="B335" s="556" t="s">
        <v>16477</v>
      </c>
      <c r="C335" s="532" t="s">
        <v>16476</v>
      </c>
      <c r="D335" s="531">
        <f>Runners!R630</f>
        <v>2</v>
      </c>
      <c r="E335" s="541">
        <f>Runners!R629</f>
        <v>2</v>
      </c>
      <c r="F335" s="6" t="s">
        <v>3790</v>
      </c>
      <c r="H335" s="197" t="s">
        <v>4596</v>
      </c>
      <c r="K335" s="34">
        <v>43831</v>
      </c>
      <c r="L335" s="1398"/>
      <c r="W335" s="1"/>
      <c r="X335" s="1"/>
      <c r="Y335" s="9"/>
      <c r="AB335" s="1"/>
      <c r="AC335" s="1"/>
      <c r="AE335" s="1"/>
      <c r="AF335" s="1"/>
    </row>
    <row r="336" spans="1:32" x14ac:dyDescent="0.2">
      <c r="A336">
        <v>2014</v>
      </c>
      <c r="B336" s="556" t="s">
        <v>10131</v>
      </c>
      <c r="C336" s="532" t="s">
        <v>10128</v>
      </c>
      <c r="D336" s="531">
        <f>Runners!J832</f>
        <v>2</v>
      </c>
      <c r="E336" s="541">
        <f>Runners!J831</f>
        <v>2</v>
      </c>
      <c r="F336" s="6"/>
      <c r="H336" s="319" t="s">
        <v>9797</v>
      </c>
      <c r="I336" s="1">
        <v>1.4699074074074074E-2</v>
      </c>
      <c r="J336" s="334" t="s">
        <v>8441</v>
      </c>
      <c r="K336" s="34">
        <v>43274</v>
      </c>
      <c r="L336" s="1398">
        <v>415</v>
      </c>
      <c r="M336" s="8">
        <v>2.1539351851851851E-2</v>
      </c>
      <c r="N336" s="3">
        <v>1.1331018518518518E-2</v>
      </c>
      <c r="O336" s="3">
        <v>1.2569444444444446E-2</v>
      </c>
      <c r="W336" s="1">
        <f t="shared" ref="W336:W346" si="47">$N$700-N336</f>
        <v>-1.5479030013912203E-4</v>
      </c>
      <c r="X336" s="1">
        <f t="shared" ref="X336:X346" si="48">N336-$N$700</f>
        <v>1.5479030013912203E-4</v>
      </c>
      <c r="Y336" s="9"/>
      <c r="AB336" s="1">
        <f t="shared" si="42"/>
        <v>1.7476851851851837E-3</v>
      </c>
      <c r="AC336" s="1"/>
      <c r="AE336" s="1"/>
      <c r="AF336" s="1"/>
    </row>
    <row r="337" spans="1:32" x14ac:dyDescent="0.2">
      <c r="A337">
        <v>412</v>
      </c>
      <c r="B337" s="893" t="s">
        <v>1278</v>
      </c>
      <c r="C337" s="894" t="s">
        <v>4532</v>
      </c>
      <c r="D337" s="24">
        <f>Runners!J714</f>
        <v>1</v>
      </c>
      <c r="E337" s="183">
        <f>Runners!J713</f>
        <v>1</v>
      </c>
      <c r="F337" s="6" t="s">
        <v>1000</v>
      </c>
      <c r="G337" s="1">
        <v>1.9224537037037037E-2</v>
      </c>
      <c r="J337" s="32" t="s">
        <v>1000</v>
      </c>
      <c r="K337" s="34">
        <v>41216</v>
      </c>
      <c r="L337" s="1398">
        <v>42</v>
      </c>
      <c r="M337" s="8">
        <v>1.8784722222222223E-2</v>
      </c>
      <c r="N337" s="3">
        <v>1.0567129629629629E-2</v>
      </c>
      <c r="O337" s="3">
        <v>1.2291666666666666E-2</v>
      </c>
      <c r="Q337" s="549" t="s">
        <v>8440</v>
      </c>
      <c r="R337" s="549"/>
      <c r="S337" s="549"/>
      <c r="W337" s="1">
        <f t="shared" si="47"/>
        <v>6.0909858874976658E-4</v>
      </c>
      <c r="X337" s="1">
        <f t="shared" si="48"/>
        <v>-6.0909858874976658E-4</v>
      </c>
      <c r="Y337" s="9">
        <v>7</v>
      </c>
      <c r="Z337">
        <f t="shared" si="0"/>
        <v>49</v>
      </c>
      <c r="AB337" s="1">
        <f t="shared" si="42"/>
        <v>9.8379629629629511E-4</v>
      </c>
      <c r="AC337" s="1"/>
      <c r="AE337" s="1"/>
      <c r="AF337" s="1"/>
    </row>
    <row r="338" spans="1:32" x14ac:dyDescent="0.2">
      <c r="A338">
        <v>380</v>
      </c>
      <c r="B338" s="27" t="s">
        <v>6030</v>
      </c>
      <c r="C338" s="74" t="s">
        <v>2992</v>
      </c>
      <c r="D338" s="24">
        <f>Runners!M1354</f>
        <v>4</v>
      </c>
      <c r="E338" s="183">
        <f>Runners!M1353</f>
        <v>5</v>
      </c>
      <c r="F338" s="6" t="s">
        <v>1000</v>
      </c>
      <c r="G338" s="1">
        <v>1.8032407407407407E-2</v>
      </c>
      <c r="H338" t="s">
        <v>5894</v>
      </c>
      <c r="I338" s="1">
        <v>2.2511574074074073E-2</v>
      </c>
      <c r="J338" s="32" t="s">
        <v>1000</v>
      </c>
      <c r="K338" s="34">
        <v>42161</v>
      </c>
      <c r="L338" s="1398">
        <v>174</v>
      </c>
      <c r="M338" s="8">
        <v>2.3391203703703702E-2</v>
      </c>
      <c r="N338" s="3">
        <v>1.2083333333333333E-2</v>
      </c>
      <c r="O338" s="3">
        <v>1.357638888888889E-2</v>
      </c>
      <c r="W338" s="1">
        <f t="shared" si="47"/>
        <v>-9.0710511495393706E-4</v>
      </c>
      <c r="X338" s="1">
        <f t="shared" si="48"/>
        <v>9.0710511495393706E-4</v>
      </c>
      <c r="Y338" s="9">
        <v>96</v>
      </c>
      <c r="Z338">
        <f t="shared" si="0"/>
        <v>9216</v>
      </c>
      <c r="AB338" s="1">
        <f t="shared" si="42"/>
        <v>2.4999999999999988E-3</v>
      </c>
      <c r="AC338" s="1"/>
      <c r="AE338" s="1"/>
      <c r="AF338" s="1"/>
    </row>
    <row r="339" spans="1:32" x14ac:dyDescent="0.2">
      <c r="A339">
        <v>190</v>
      </c>
      <c r="B339" s="27" t="s">
        <v>3126</v>
      </c>
      <c r="C339" s="74" t="s">
        <v>1432</v>
      </c>
      <c r="D339" s="24">
        <f>Runners!J500</f>
        <v>9</v>
      </c>
      <c r="E339" s="183">
        <f>Runners!J499</f>
        <v>12</v>
      </c>
      <c r="F339" s="1415" t="s">
        <v>12695</v>
      </c>
      <c r="G339" s="1432">
        <v>1.5277777777777777E-2</v>
      </c>
      <c r="H339" s="80" t="s">
        <v>5241</v>
      </c>
      <c r="I339" s="1">
        <v>1.6562500000000001E-2</v>
      </c>
      <c r="J339" s="1" t="s">
        <v>4778</v>
      </c>
      <c r="K339" s="34">
        <v>41748</v>
      </c>
      <c r="L339" s="1398">
        <v>101</v>
      </c>
      <c r="M339" s="8">
        <v>0.02</v>
      </c>
      <c r="N339" s="3">
        <v>1.1388888888888888E-2</v>
      </c>
      <c r="O339" s="3">
        <v>1.3125E-2</v>
      </c>
      <c r="P339" s="3"/>
      <c r="Q339" s="345" t="s">
        <v>5648</v>
      </c>
      <c r="R339" s="345"/>
      <c r="S339" s="53"/>
      <c r="U339" s="197"/>
      <c r="W339" s="1">
        <f t="shared" si="47"/>
        <v>-2.1266067050949161E-4</v>
      </c>
      <c r="X339" s="1">
        <f t="shared" si="48"/>
        <v>2.1266067050949161E-4</v>
      </c>
      <c r="Y339" s="9">
        <v>36</v>
      </c>
      <c r="Z339">
        <f t="shared" si="0"/>
        <v>1296</v>
      </c>
      <c r="AB339" s="1">
        <f t="shared" si="42"/>
        <v>1.8055555555555533E-3</v>
      </c>
      <c r="AC339" s="1"/>
      <c r="AE339" s="1"/>
      <c r="AF339" s="1"/>
    </row>
    <row r="340" spans="1:32" x14ac:dyDescent="0.2">
      <c r="A340">
        <v>466</v>
      </c>
      <c r="B340" s="27" t="s">
        <v>2933</v>
      </c>
      <c r="C340" s="74" t="s">
        <v>5748</v>
      </c>
      <c r="D340" s="24">
        <f>Runners!M1116</f>
        <v>1</v>
      </c>
      <c r="E340" s="183">
        <f>Runners!M1115</f>
        <v>1</v>
      </c>
      <c r="F340" s="311" t="s">
        <v>2628</v>
      </c>
      <c r="G340" s="1">
        <v>1.5439814814814816E-2</v>
      </c>
      <c r="J340" s="254" t="s">
        <v>2628</v>
      </c>
      <c r="K340" s="34">
        <v>41874</v>
      </c>
      <c r="L340" s="1398">
        <v>123</v>
      </c>
      <c r="M340" s="8">
        <v>1.894675925925926E-2</v>
      </c>
      <c r="N340" s="3">
        <v>1.0844907407407407E-2</v>
      </c>
      <c r="O340" s="3">
        <v>1.2638888888888889E-2</v>
      </c>
      <c r="P340" s="3"/>
      <c r="Q340" s="53"/>
      <c r="R340" s="53"/>
      <c r="S340" s="53"/>
      <c r="U340" s="53"/>
      <c r="W340" s="1">
        <f t="shared" si="47"/>
        <v>3.3132081097198875E-4</v>
      </c>
      <c r="X340" s="1">
        <f t="shared" si="48"/>
        <v>-3.3132081097198875E-4</v>
      </c>
      <c r="Y340" s="9">
        <v>11</v>
      </c>
      <c r="Z340">
        <f t="shared" si="0"/>
        <v>121</v>
      </c>
      <c r="AB340" s="1">
        <f t="shared" si="42"/>
        <v>1.2615740740740729E-3</v>
      </c>
      <c r="AC340" s="1"/>
      <c r="AE340" s="1"/>
      <c r="AF340" s="1"/>
    </row>
    <row r="341" spans="1:32" x14ac:dyDescent="0.2">
      <c r="A341">
        <v>842</v>
      </c>
      <c r="B341" s="493" t="s">
        <v>8459</v>
      </c>
      <c r="C341" s="415" t="s">
        <v>8490</v>
      </c>
      <c r="D341" s="24">
        <f>Runners!U1410</f>
        <v>1</v>
      </c>
      <c r="E341" s="183">
        <f>Runners!U1409</f>
        <v>1</v>
      </c>
      <c r="F341" s="79" t="s">
        <v>8462</v>
      </c>
      <c r="G341" s="1">
        <v>1.5462962962962963E-2</v>
      </c>
      <c r="J341" s="334" t="s">
        <v>8462</v>
      </c>
      <c r="K341" s="34">
        <v>42980</v>
      </c>
      <c r="L341" s="1398">
        <v>359</v>
      </c>
      <c r="M341" s="8">
        <v>2.7743055555555559E-2</v>
      </c>
      <c r="N341" s="3">
        <v>1.0960648148148148E-2</v>
      </c>
      <c r="O341" s="3">
        <v>1.3807870370370371E-2</v>
      </c>
      <c r="P341" s="3"/>
      <c r="Q341" s="53"/>
      <c r="R341" s="53"/>
      <c r="S341" s="53"/>
      <c r="U341" s="53"/>
      <c r="W341" s="1">
        <f t="shared" si="47"/>
        <v>2.1558007023124784E-4</v>
      </c>
      <c r="X341" s="1">
        <f t="shared" si="48"/>
        <v>-2.1558007023124784E-4</v>
      </c>
      <c r="Y341" s="9"/>
      <c r="AB341" s="1">
        <f t="shared" si="42"/>
        <v>1.3773148148148139E-3</v>
      </c>
      <c r="AC341" s="1"/>
      <c r="AE341" s="1"/>
      <c r="AF341" s="1"/>
    </row>
    <row r="342" spans="1:32" x14ac:dyDescent="0.2">
      <c r="A342">
        <v>261</v>
      </c>
      <c r="B342" s="27" t="s">
        <v>4987</v>
      </c>
      <c r="C342" s="74" t="s">
        <v>1684</v>
      </c>
      <c r="D342" s="24">
        <f>Runners!I974</f>
        <v>3</v>
      </c>
      <c r="E342" s="183">
        <f>Runners!I973</f>
        <v>4</v>
      </c>
      <c r="F342" s="6" t="s">
        <v>5096</v>
      </c>
      <c r="G342" s="1">
        <v>1.4444444444444446E-2</v>
      </c>
      <c r="H342" s="206" t="s">
        <v>1062</v>
      </c>
      <c r="I342" s="1">
        <v>2.4293981481481482E-2</v>
      </c>
      <c r="J342" s="254" t="s">
        <v>5096</v>
      </c>
      <c r="K342" s="34">
        <v>42357</v>
      </c>
      <c r="L342" s="1398">
        <v>218</v>
      </c>
      <c r="M342" s="8">
        <v>1.954861111111111E-2</v>
      </c>
      <c r="N342" s="3">
        <v>1.064814814814815E-2</v>
      </c>
      <c r="O342" s="3">
        <v>1.2777777777777777E-2</v>
      </c>
      <c r="P342" s="3"/>
      <c r="Q342" s="53"/>
      <c r="R342" s="53"/>
      <c r="S342" s="53"/>
      <c r="U342" s="53"/>
      <c r="W342" s="1">
        <f t="shared" si="47"/>
        <v>5.2808007023124638E-4</v>
      </c>
      <c r="X342" s="1">
        <f t="shared" si="48"/>
        <v>-5.2808007023124638E-4</v>
      </c>
      <c r="Y342" s="9">
        <v>28</v>
      </c>
      <c r="Z342">
        <f t="shared" si="0"/>
        <v>784</v>
      </c>
      <c r="AB342" s="1">
        <f t="shared" si="42"/>
        <v>1.0648148148148153E-3</v>
      </c>
      <c r="AC342" s="1"/>
      <c r="AE342" s="1"/>
      <c r="AF342" s="1"/>
    </row>
    <row r="343" spans="1:32" x14ac:dyDescent="0.2">
      <c r="A343">
        <v>681</v>
      </c>
      <c r="B343" s="27" t="s">
        <v>740</v>
      </c>
      <c r="C343" s="74" t="s">
        <v>2965</v>
      </c>
      <c r="D343" s="24">
        <f>Runners!I683</f>
        <v>2</v>
      </c>
      <c r="E343" s="183">
        <f>Runners!I682</f>
        <v>2</v>
      </c>
      <c r="F343" s="6"/>
      <c r="H343" s="206" t="s">
        <v>4596</v>
      </c>
      <c r="I343" s="1">
        <v>2.1493055555555557E-2</v>
      </c>
      <c r="J343" s="254" t="s">
        <v>4596</v>
      </c>
      <c r="K343" s="34">
        <v>42364</v>
      </c>
      <c r="L343" s="1398">
        <v>220</v>
      </c>
      <c r="M343" s="8">
        <v>1.9699074074074074E-2</v>
      </c>
      <c r="N343" s="3">
        <v>1.0729166666666666E-2</v>
      </c>
      <c r="O343" s="3">
        <v>1.2037037037037035E-2</v>
      </c>
      <c r="P343" s="3"/>
      <c r="Q343" s="53" t="s">
        <v>8259</v>
      </c>
      <c r="R343" s="53"/>
      <c r="S343" s="53"/>
      <c r="U343" s="53"/>
      <c r="W343" s="1">
        <f t="shared" si="47"/>
        <v>4.4706155171272965E-4</v>
      </c>
      <c r="X343" s="1">
        <f t="shared" si="48"/>
        <v>-4.4706155171272965E-4</v>
      </c>
      <c r="Y343" s="9">
        <v>21</v>
      </c>
      <c r="Z343">
        <f t="shared" si="0"/>
        <v>441</v>
      </c>
      <c r="AB343" s="1">
        <f t="shared" si="42"/>
        <v>1.145833333333332E-3</v>
      </c>
      <c r="AC343" s="1"/>
      <c r="AE343" s="1"/>
      <c r="AF343" s="1"/>
    </row>
    <row r="344" spans="1:32" x14ac:dyDescent="0.2">
      <c r="A344">
        <v>1289</v>
      </c>
      <c r="B344" s="556" t="s">
        <v>956</v>
      </c>
      <c r="C344" s="532" t="s">
        <v>762</v>
      </c>
      <c r="D344" s="531">
        <f>Runners!Y815</f>
        <v>2</v>
      </c>
      <c r="E344" s="541">
        <f>Runners!Y814</f>
        <v>2</v>
      </c>
      <c r="F344" s="79" t="s">
        <v>1000</v>
      </c>
      <c r="G344" s="1">
        <v>1.800925925925926E-2</v>
      </c>
      <c r="H344" s="319" t="s">
        <v>4596</v>
      </c>
      <c r="I344" s="1">
        <v>1.7685185185185182E-2</v>
      </c>
      <c r="J344" s="334" t="s">
        <v>1000</v>
      </c>
      <c r="K344" s="34">
        <v>42819</v>
      </c>
      <c r="L344" s="1398">
        <v>327</v>
      </c>
      <c r="M344" s="8">
        <v>1.8912037037037036E-2</v>
      </c>
      <c r="N344" s="3">
        <v>1.1180555555555556E-2</v>
      </c>
      <c r="O344" s="3">
        <v>1.2893518518518519E-2</v>
      </c>
      <c r="P344" s="3"/>
      <c r="Q344" s="53"/>
      <c r="R344" s="53"/>
      <c r="S344" s="53"/>
      <c r="U344" s="53"/>
      <c r="W344" s="1">
        <f t="shared" si="47"/>
        <v>-4.3273371761604063E-6</v>
      </c>
      <c r="X344" s="1">
        <f t="shared" si="48"/>
        <v>4.3273371761604063E-6</v>
      </c>
      <c r="Y344" s="9"/>
      <c r="AB344" s="1">
        <f t="shared" si="42"/>
        <v>1.5972222222222221E-3</v>
      </c>
      <c r="AC344" s="1"/>
      <c r="AE344" s="1"/>
      <c r="AF344" s="1"/>
    </row>
    <row r="345" spans="1:32" x14ac:dyDescent="0.2">
      <c r="A345">
        <v>1201</v>
      </c>
      <c r="B345" s="27" t="s">
        <v>3118</v>
      </c>
      <c r="C345" s="74" t="s">
        <v>3669</v>
      </c>
      <c r="D345" s="24">
        <f>Runners!N579</f>
        <v>3</v>
      </c>
      <c r="E345" s="183">
        <f>Runners!N578</f>
        <v>3</v>
      </c>
      <c r="F345" s="6" t="s">
        <v>1000</v>
      </c>
      <c r="G345" s="1">
        <v>1.9918981481481482E-2</v>
      </c>
      <c r="J345" s="32" t="s">
        <v>1000</v>
      </c>
      <c r="K345" s="34">
        <v>42266</v>
      </c>
      <c r="L345" s="1398">
        <v>197</v>
      </c>
      <c r="M345" s="8">
        <v>2.0358796296296295E-2</v>
      </c>
      <c r="N345" s="3">
        <v>1.1689814814814814E-2</v>
      </c>
      <c r="O345" s="3">
        <v>1.3541666666666667E-2</v>
      </c>
      <c r="W345" s="1">
        <f t="shared" si="47"/>
        <v>-5.1358659643541832E-4</v>
      </c>
      <c r="X345" s="1">
        <f t="shared" si="48"/>
        <v>5.1358659643541832E-4</v>
      </c>
      <c r="Y345" s="9">
        <v>59</v>
      </c>
      <c r="Z345">
        <f t="shared" si="0"/>
        <v>3481</v>
      </c>
      <c r="AB345" s="1">
        <f t="shared" si="42"/>
        <v>2.10648148148148E-3</v>
      </c>
      <c r="AC345" s="1"/>
      <c r="AE345" s="1"/>
      <c r="AF345" s="1"/>
    </row>
    <row r="346" spans="1:32" x14ac:dyDescent="0.2">
      <c r="A346">
        <v>45</v>
      </c>
      <c r="B346" s="27" t="s">
        <v>722</v>
      </c>
      <c r="C346" s="74" t="s">
        <v>721</v>
      </c>
      <c r="D346" s="24">
        <f>Runners!K539</f>
        <v>3</v>
      </c>
      <c r="E346" s="183">
        <f>Runners!K538</f>
        <v>3</v>
      </c>
      <c r="F346" s="6" t="s">
        <v>1000</v>
      </c>
      <c r="G346" s="1">
        <v>1.8587962962962962E-2</v>
      </c>
      <c r="H346" s="206" t="s">
        <v>1062</v>
      </c>
      <c r="I346" s="1">
        <v>2.4050925925925924E-2</v>
      </c>
      <c r="J346" s="32" t="s">
        <v>1000</v>
      </c>
      <c r="K346" s="34">
        <v>42126</v>
      </c>
      <c r="L346" s="1398">
        <v>166</v>
      </c>
      <c r="M346" s="8">
        <v>2.0243055555555552E-2</v>
      </c>
      <c r="N346" s="3">
        <v>1.1689814814814814E-2</v>
      </c>
      <c r="O346" s="3">
        <v>1.238425925925926E-2</v>
      </c>
      <c r="W346" s="1">
        <f t="shared" si="47"/>
        <v>-5.1358659643541832E-4</v>
      </c>
      <c r="X346" s="1">
        <f t="shared" si="48"/>
        <v>5.1358659643541832E-4</v>
      </c>
      <c r="Y346" s="9">
        <v>62</v>
      </c>
      <c r="Z346">
        <f t="shared" si="0"/>
        <v>3844</v>
      </c>
      <c r="AB346" s="1">
        <f t="shared" si="42"/>
        <v>2.10648148148148E-3</v>
      </c>
      <c r="AC346" s="1"/>
      <c r="AE346" s="1"/>
      <c r="AF346" s="1"/>
    </row>
    <row r="347" spans="1:32" x14ac:dyDescent="0.2">
      <c r="A347">
        <v>61</v>
      </c>
      <c r="B347" s="1066" t="s">
        <v>16133</v>
      </c>
      <c r="C347" s="862" t="s">
        <v>16135</v>
      </c>
      <c r="D347" s="1066"/>
      <c r="E347" s="1647"/>
      <c r="F347" s="6"/>
      <c r="H347" s="206"/>
      <c r="J347" s="32"/>
      <c r="K347" s="34"/>
      <c r="L347" s="1398"/>
      <c r="W347" s="1"/>
      <c r="X347" s="1"/>
      <c r="Y347" s="9"/>
      <c r="AB347" s="1"/>
      <c r="AC347" s="1"/>
      <c r="AE347" s="1"/>
      <c r="AF347" s="1"/>
    </row>
    <row r="348" spans="1:32" x14ac:dyDescent="0.2">
      <c r="A348">
        <v>1369</v>
      </c>
      <c r="B348" s="585" t="s">
        <v>16134</v>
      </c>
      <c r="C348" s="568" t="s">
        <v>8253</v>
      </c>
      <c r="D348" s="585"/>
      <c r="E348" s="1002"/>
      <c r="F348" s="6"/>
      <c r="H348" s="206"/>
      <c r="J348" s="32"/>
      <c r="K348" s="34"/>
      <c r="L348" s="1398"/>
      <c r="W348" s="1"/>
      <c r="X348" s="1"/>
      <c r="Y348" s="9"/>
      <c r="AB348" s="1"/>
      <c r="AC348" s="1"/>
      <c r="AE348" s="1"/>
      <c r="AF348" s="1"/>
    </row>
    <row r="349" spans="1:32" x14ac:dyDescent="0.2">
      <c r="A349">
        <v>783</v>
      </c>
      <c r="B349" s="27" t="s">
        <v>5360</v>
      </c>
      <c r="C349" s="74" t="s">
        <v>2815</v>
      </c>
      <c r="D349" s="24">
        <f>Runners!G1023</f>
        <v>4</v>
      </c>
      <c r="E349" s="183">
        <f>Runners!G1022</f>
        <v>4</v>
      </c>
      <c r="F349" s="6" t="s">
        <v>1000</v>
      </c>
      <c r="G349" s="1">
        <v>2.0439814814814817E-2</v>
      </c>
      <c r="J349" s="1" t="s">
        <v>654</v>
      </c>
      <c r="K349" s="34">
        <v>41727</v>
      </c>
      <c r="L349" s="1398">
        <v>96</v>
      </c>
      <c r="M349" s="8">
        <v>2.0381944444444446E-2</v>
      </c>
      <c r="N349" s="3">
        <v>1.1782407407407406E-2</v>
      </c>
      <c r="O349" s="3">
        <v>1.3877314814814815E-2</v>
      </c>
      <c r="P349" t="s">
        <v>555</v>
      </c>
      <c r="Q349" s="103" t="s">
        <v>966</v>
      </c>
      <c r="R349" s="103"/>
      <c r="W349" s="1">
        <f t="shared" ref="W349:W355" si="49">$N$700-N349</f>
        <v>-6.0617918902801035E-4</v>
      </c>
      <c r="X349" s="1">
        <f t="shared" ref="X349:X355" si="50">N349-$N$700</f>
        <v>6.0617918902801035E-4</v>
      </c>
      <c r="Y349" s="9">
        <v>96</v>
      </c>
      <c r="Z349">
        <f t="shared" si="0"/>
        <v>9216</v>
      </c>
      <c r="AB349" s="1">
        <f t="shared" si="42"/>
        <v>2.199074074074072E-3</v>
      </c>
      <c r="AC349" s="1"/>
      <c r="AE349" s="1"/>
      <c r="AF349" s="1"/>
    </row>
    <row r="350" spans="1:32" x14ac:dyDescent="0.2">
      <c r="A350">
        <v>217</v>
      </c>
      <c r="B350" s="552" t="s">
        <v>525</v>
      </c>
      <c r="C350" s="532" t="s">
        <v>4148</v>
      </c>
      <c r="D350" s="531">
        <f>Runners!P420</f>
        <v>2</v>
      </c>
      <c r="E350" s="541">
        <f>Runners!P419</f>
        <v>3</v>
      </c>
      <c r="F350" s="1415" t="s">
        <v>10904</v>
      </c>
      <c r="G350" s="1412">
        <v>1.7060185185185185E-2</v>
      </c>
      <c r="H350" s="1118" t="s">
        <v>9806</v>
      </c>
      <c r="I350" s="1">
        <v>1.4895833333333332E-2</v>
      </c>
      <c r="J350" s="334" t="s">
        <v>9806</v>
      </c>
      <c r="K350" s="34">
        <v>43400</v>
      </c>
      <c r="L350" s="1398">
        <v>447</v>
      </c>
      <c r="M350" s="8">
        <v>1.9780092592592592E-2</v>
      </c>
      <c r="N350" s="3">
        <v>1.1493055555555555E-2</v>
      </c>
      <c r="O350" s="3">
        <v>1.4270833333333335E-2</v>
      </c>
      <c r="Q350" s="53"/>
      <c r="R350" s="53"/>
      <c r="W350" s="1">
        <f t="shared" si="49"/>
        <v>-3.1682733717615895E-4</v>
      </c>
      <c r="X350" s="1">
        <f t="shared" si="50"/>
        <v>3.1682733717615895E-4</v>
      </c>
      <c r="Y350" s="9"/>
      <c r="AB350" s="1">
        <f t="shared" si="42"/>
        <v>1.9097222222222206E-3</v>
      </c>
      <c r="AC350" s="1"/>
      <c r="AE350" s="1"/>
      <c r="AF350" s="1"/>
    </row>
    <row r="351" spans="1:32" x14ac:dyDescent="0.2">
      <c r="A351">
        <v>1891</v>
      </c>
      <c r="B351" s="552" t="s">
        <v>13181</v>
      </c>
      <c r="C351" s="532" t="s">
        <v>13212</v>
      </c>
      <c r="D351" s="531">
        <f>Runners!H1023</f>
        <v>1</v>
      </c>
      <c r="E351" s="541">
        <f>Runners!H1022</f>
        <v>1</v>
      </c>
      <c r="F351" s="1415" t="s">
        <v>5882</v>
      </c>
      <c r="G351" s="1412">
        <v>1.6689814814814817E-2</v>
      </c>
      <c r="H351" s="1118"/>
      <c r="J351" s="334" t="s">
        <v>5882</v>
      </c>
      <c r="K351" s="34">
        <v>43666</v>
      </c>
      <c r="L351" s="1398">
        <v>511</v>
      </c>
      <c r="M351" s="8">
        <v>2.0798611111111111E-2</v>
      </c>
      <c r="N351" s="3">
        <v>1.1550925925925925E-2</v>
      </c>
      <c r="O351" s="3">
        <v>1.3333333333333334E-2</v>
      </c>
      <c r="Q351" s="53"/>
      <c r="R351" s="53"/>
      <c r="W351" s="1">
        <f t="shared" si="49"/>
        <v>-3.7469770754652854E-4</v>
      </c>
      <c r="X351" s="1">
        <f t="shared" si="50"/>
        <v>3.7469770754652854E-4</v>
      </c>
      <c r="Y351" s="9"/>
      <c r="AB351" s="1">
        <f t="shared" si="42"/>
        <v>1.9675925925925902E-3</v>
      </c>
      <c r="AC351" s="1"/>
      <c r="AE351" s="1"/>
      <c r="AF351" s="1"/>
    </row>
    <row r="352" spans="1:32" x14ac:dyDescent="0.2">
      <c r="A352">
        <v>1109</v>
      </c>
      <c r="B352" s="27" t="s">
        <v>2715</v>
      </c>
      <c r="C352" s="415" t="s">
        <v>4727</v>
      </c>
      <c r="D352" s="183">
        <f>Runners!R309</f>
        <v>24</v>
      </c>
      <c r="E352" s="183">
        <f>Runners!R308</f>
        <v>297</v>
      </c>
      <c r="F352" s="6" t="s">
        <v>5881</v>
      </c>
      <c r="G352" s="1">
        <v>1.4525462962962964E-2</v>
      </c>
      <c r="H352" s="1374" t="s">
        <v>9806</v>
      </c>
      <c r="I352" s="1414">
        <v>1.5173611111111112E-2</v>
      </c>
      <c r="J352" s="32" t="s">
        <v>909</v>
      </c>
      <c r="K352" s="33">
        <v>42084</v>
      </c>
      <c r="L352" s="1398">
        <v>157</v>
      </c>
      <c r="M352" s="8">
        <v>2.0474537037037038E-2</v>
      </c>
      <c r="N352" s="3">
        <v>1.1099537037037038E-2</v>
      </c>
      <c r="O352" s="3">
        <v>1.2106481481481482E-2</v>
      </c>
      <c r="Q352" s="53"/>
      <c r="R352" s="53"/>
      <c r="U352" s="53"/>
      <c r="W352" s="1">
        <f t="shared" si="49"/>
        <v>7.6691181342358056E-5</v>
      </c>
      <c r="X352" s="1">
        <f t="shared" si="50"/>
        <v>-7.6691181342358056E-5</v>
      </c>
      <c r="Y352" s="9">
        <v>87</v>
      </c>
      <c r="Z352">
        <f t="shared" si="0"/>
        <v>7569</v>
      </c>
      <c r="AB352" s="1">
        <f t="shared" si="42"/>
        <v>1.5162037037037036E-3</v>
      </c>
      <c r="AC352" s="1"/>
      <c r="AE352" s="1"/>
      <c r="AF352" s="1"/>
    </row>
    <row r="353" spans="1:32" x14ac:dyDescent="0.2">
      <c r="A353">
        <v>79</v>
      </c>
      <c r="B353" s="27" t="s">
        <v>1088</v>
      </c>
      <c r="C353" s="74" t="s">
        <v>4496</v>
      </c>
      <c r="D353" s="24">
        <f>Runners!O579</f>
        <v>2</v>
      </c>
      <c r="E353" s="183">
        <f>Runners!O578</f>
        <v>3</v>
      </c>
      <c r="F353" s="79" t="s">
        <v>1000</v>
      </c>
      <c r="G353" s="1">
        <v>1.9074074074074073E-2</v>
      </c>
      <c r="H353" s="1416" t="s">
        <v>1440</v>
      </c>
      <c r="I353" s="1476">
        <v>1.8055555555555557E-2</v>
      </c>
      <c r="J353" s="265" t="s">
        <v>1440</v>
      </c>
      <c r="K353" s="33">
        <v>42651</v>
      </c>
      <c r="L353" s="1398">
        <v>289</v>
      </c>
      <c r="M353" s="8">
        <v>2.0277777777777777E-2</v>
      </c>
      <c r="N353" s="3">
        <v>1.045138888888889E-2</v>
      </c>
      <c r="O353" s="3">
        <v>1.1631944444444445E-2</v>
      </c>
      <c r="Q353" s="53" t="s">
        <v>8258</v>
      </c>
      <c r="R353" s="53"/>
      <c r="U353" s="53"/>
      <c r="W353" s="1">
        <f t="shared" si="49"/>
        <v>7.2483932949050575E-4</v>
      </c>
      <c r="X353" s="1">
        <f t="shared" si="50"/>
        <v>-7.2483932949050575E-4</v>
      </c>
      <c r="Y353" s="9"/>
      <c r="AB353" s="1">
        <f t="shared" si="42"/>
        <v>8.6805555555555594E-4</v>
      </c>
      <c r="AC353" s="1"/>
      <c r="AE353" s="1"/>
      <c r="AF353" s="1"/>
    </row>
    <row r="354" spans="1:32" x14ac:dyDescent="0.2">
      <c r="A354">
        <v>277</v>
      </c>
      <c r="B354" s="493" t="s">
        <v>8272</v>
      </c>
      <c r="C354" s="415" t="s">
        <v>2040</v>
      </c>
      <c r="D354" s="24">
        <f>Runners!R554</f>
        <v>1</v>
      </c>
      <c r="E354" s="183">
        <f>Runners!R553</f>
        <v>1</v>
      </c>
      <c r="F354" s="79" t="s">
        <v>1000</v>
      </c>
      <c r="G354" s="1">
        <v>1.849537037037037E-2</v>
      </c>
      <c r="H354" s="319"/>
      <c r="I354" s="32"/>
      <c r="J354" s="265" t="s">
        <v>1000</v>
      </c>
      <c r="K354" s="33">
        <v>42945</v>
      </c>
      <c r="L354" s="1398">
        <v>348</v>
      </c>
      <c r="M354" s="8">
        <v>2.0173611111111111E-2</v>
      </c>
      <c r="N354" s="3">
        <v>1.0972222222222223E-2</v>
      </c>
      <c r="O354" s="3">
        <v>1.2372685185185186E-2</v>
      </c>
      <c r="Q354" s="53"/>
      <c r="R354" s="53"/>
      <c r="U354" s="53"/>
      <c r="W354" s="1">
        <f t="shared" si="49"/>
        <v>2.0400599615717253E-4</v>
      </c>
      <c r="X354" s="1">
        <f t="shared" si="50"/>
        <v>-2.0400599615717253E-4</v>
      </c>
      <c r="Y354" s="9"/>
      <c r="AB354" s="1">
        <f t="shared" si="42"/>
        <v>1.3888888888888892E-3</v>
      </c>
      <c r="AC354" s="1"/>
      <c r="AE354" s="1"/>
      <c r="AF354" s="1"/>
    </row>
    <row r="355" spans="1:32" x14ac:dyDescent="0.2">
      <c r="A355">
        <v>1330</v>
      </c>
      <c r="B355" s="27" t="s">
        <v>1907</v>
      </c>
      <c r="C355" s="74" t="s">
        <v>2599</v>
      </c>
      <c r="D355" s="24">
        <f>Runners!P579</f>
        <v>2</v>
      </c>
      <c r="E355" s="183">
        <f>Runners!P578</f>
        <v>2</v>
      </c>
      <c r="F355" s="6" t="s">
        <v>1000</v>
      </c>
      <c r="G355" s="1">
        <v>1.7870370370370373E-2</v>
      </c>
      <c r="H355" s="197" t="s">
        <v>1440</v>
      </c>
      <c r="I355" s="32">
        <v>1.8831018518518518E-2</v>
      </c>
      <c r="J355" s="32" t="s">
        <v>1000</v>
      </c>
      <c r="K355" s="33">
        <v>42294</v>
      </c>
      <c r="L355" s="1398">
        <v>200</v>
      </c>
      <c r="M355" s="8">
        <v>1.9594907407407405E-2</v>
      </c>
      <c r="N355" s="3">
        <v>1.1388888888888888E-2</v>
      </c>
      <c r="O355" s="3">
        <v>1.2800925925925926E-2</v>
      </c>
      <c r="Q355" s="53"/>
      <c r="R355" s="53"/>
      <c r="U355" s="53"/>
      <c r="W355" s="1">
        <f t="shared" si="49"/>
        <v>-2.1266067050949161E-4</v>
      </c>
      <c r="X355" s="1">
        <f t="shared" si="50"/>
        <v>2.1266067050949161E-4</v>
      </c>
      <c r="Y355" s="9">
        <v>36</v>
      </c>
      <c r="Z355">
        <f t="shared" si="0"/>
        <v>1296</v>
      </c>
      <c r="AB355" s="1">
        <f t="shared" si="42"/>
        <v>1.8055555555555533E-3</v>
      </c>
      <c r="AC355" s="1"/>
      <c r="AE355" s="1"/>
      <c r="AF355" s="1"/>
    </row>
    <row r="356" spans="1:32" x14ac:dyDescent="0.2">
      <c r="B356" s="581" t="s">
        <v>17264</v>
      </c>
      <c r="C356" s="581" t="s">
        <v>16704</v>
      </c>
      <c r="D356" s="530"/>
      <c r="E356" s="582"/>
      <c r="F356" s="6"/>
      <c r="H356" s="197"/>
      <c r="I356" s="32"/>
      <c r="J356" s="32"/>
      <c r="K356" s="33"/>
      <c r="L356" s="1398"/>
      <c r="Q356" s="635" t="s">
        <v>17265</v>
      </c>
      <c r="R356" s="635"/>
      <c r="U356" s="53"/>
      <c r="W356" s="1"/>
      <c r="X356" s="1"/>
      <c r="Y356" s="9"/>
      <c r="AB356" s="1"/>
      <c r="AC356" s="1"/>
      <c r="AE356" s="1"/>
      <c r="AF356" s="1"/>
    </row>
    <row r="357" spans="1:32" x14ac:dyDescent="0.2">
      <c r="A357">
        <v>2050</v>
      </c>
      <c r="B357" s="27" t="s">
        <v>10582</v>
      </c>
      <c r="C357" s="415" t="s">
        <v>10624</v>
      </c>
      <c r="D357" s="24">
        <f>Runners!L832</f>
        <v>1</v>
      </c>
      <c r="E357" s="183">
        <f>Runners!L831</f>
        <v>28</v>
      </c>
      <c r="F357" s="6"/>
      <c r="H357" s="513" t="s">
        <v>8441</v>
      </c>
      <c r="I357" s="32">
        <v>2.2523148148148143E-2</v>
      </c>
      <c r="J357" s="1121" t="s">
        <v>8441</v>
      </c>
      <c r="K357" s="33">
        <v>43351</v>
      </c>
      <c r="L357" s="1398">
        <v>439</v>
      </c>
      <c r="M357" s="8">
        <v>2.3356481481481482E-2</v>
      </c>
      <c r="N357" s="3">
        <v>1.105324074074074E-2</v>
      </c>
      <c r="O357" s="3">
        <v>1.3796296296296298E-2</v>
      </c>
      <c r="P357" s="80"/>
      <c r="Q357" s="53"/>
      <c r="R357" s="53"/>
      <c r="U357" s="53"/>
      <c r="W357" s="1">
        <f>$N$700-N357</f>
        <v>1.2298747763865581E-4</v>
      </c>
      <c r="X357" s="1">
        <f>N357-$N$700</f>
        <v>-1.2298747763865581E-4</v>
      </c>
      <c r="Y357" s="9"/>
      <c r="AB357" s="1">
        <f t="shared" si="42"/>
        <v>1.4699074074074059E-3</v>
      </c>
      <c r="AC357" s="1"/>
      <c r="AE357" s="1"/>
      <c r="AF357" s="1"/>
    </row>
    <row r="358" spans="1:32" x14ac:dyDescent="0.2">
      <c r="A358">
        <v>1376</v>
      </c>
      <c r="B358" s="27" t="s">
        <v>566</v>
      </c>
      <c r="C358" s="74" t="s">
        <v>2464</v>
      </c>
      <c r="D358" s="24">
        <f>Runners!K832</f>
        <v>2</v>
      </c>
      <c r="E358" s="183">
        <f>Runners!K831</f>
        <v>65</v>
      </c>
      <c r="F358" s="6" t="s">
        <v>1000</v>
      </c>
      <c r="G358" s="1">
        <v>1.8877314814814816E-2</v>
      </c>
      <c r="H358" s="513" t="s">
        <v>8441</v>
      </c>
      <c r="I358" s="32">
        <v>2.1145833333333332E-2</v>
      </c>
      <c r="J358" s="32" t="s">
        <v>1000</v>
      </c>
      <c r="K358" s="33">
        <v>42483</v>
      </c>
      <c r="L358" s="1398">
        <v>253</v>
      </c>
      <c r="M358" s="8">
        <v>2.1990740740740741E-2</v>
      </c>
      <c r="N358" s="3">
        <v>1.21875E-2</v>
      </c>
      <c r="O358" s="3">
        <v>1.3472222222222221E-2</v>
      </c>
      <c r="Q358" s="53"/>
      <c r="R358" s="53"/>
      <c r="U358" s="53"/>
      <c r="W358" s="1">
        <f>$N$700-N358</f>
        <v>-1.0112717816206044E-3</v>
      </c>
      <c r="X358" s="1">
        <f>N358-$N$700</f>
        <v>1.0112717816206044E-3</v>
      </c>
      <c r="Y358" s="99">
        <v>104</v>
      </c>
      <c r="Z358">
        <f t="shared" si="0"/>
        <v>10816</v>
      </c>
      <c r="AB358" s="1">
        <f t="shared" si="42"/>
        <v>2.6041666666666661E-3</v>
      </c>
      <c r="AC358" s="1"/>
      <c r="AE358" s="1"/>
      <c r="AF358" s="1"/>
    </row>
    <row r="359" spans="1:32" x14ac:dyDescent="0.2">
      <c r="A359">
        <v>520</v>
      </c>
      <c r="B359" s="27" t="s">
        <v>2816</v>
      </c>
      <c r="C359" s="74" t="s">
        <v>1483</v>
      </c>
      <c r="D359" s="24">
        <f>Runners!Q579</f>
        <v>4</v>
      </c>
      <c r="E359" s="183">
        <f>Runners!Q578</f>
        <v>4</v>
      </c>
      <c r="F359" s="79" t="s">
        <v>4407</v>
      </c>
      <c r="G359" s="1">
        <v>1.480324074074074E-2</v>
      </c>
      <c r="H359" s="80" t="s">
        <v>5241</v>
      </c>
      <c r="I359" s="1">
        <v>1.4988425925925926E-2</v>
      </c>
      <c r="J359" s="32" t="s">
        <v>1000</v>
      </c>
      <c r="K359" s="34">
        <v>41727</v>
      </c>
      <c r="L359" s="1398">
        <v>95</v>
      </c>
      <c r="M359" s="8">
        <v>1.9166666666666669E-2</v>
      </c>
      <c r="N359" s="3">
        <v>1.1597222222222222E-2</v>
      </c>
      <c r="O359" s="3">
        <v>1.3796296296296298E-2</v>
      </c>
      <c r="W359" s="1">
        <f>$N$700-N359</f>
        <v>-4.2099400384282629E-4</v>
      </c>
      <c r="X359" s="1">
        <f>N359-$N$700</f>
        <v>4.2099400384282629E-4</v>
      </c>
      <c r="Y359" s="9">
        <v>54</v>
      </c>
      <c r="Z359">
        <f t="shared" si="0"/>
        <v>2916</v>
      </c>
      <c r="AB359" s="1">
        <f t="shared" si="42"/>
        <v>2.013888888888888E-3</v>
      </c>
      <c r="AC359" s="1"/>
      <c r="AE359" s="1"/>
      <c r="AF359" s="1"/>
    </row>
    <row r="360" spans="1:32" x14ac:dyDescent="0.2">
      <c r="A360">
        <v>182</v>
      </c>
      <c r="B360" s="27" t="s">
        <v>5296</v>
      </c>
      <c r="C360" s="74" t="s">
        <v>1914</v>
      </c>
      <c r="D360" s="24">
        <f>Runners!K974</f>
        <v>1</v>
      </c>
      <c r="E360" s="183">
        <f>Runners!K973</f>
        <v>2</v>
      </c>
      <c r="F360" s="6"/>
      <c r="H360" s="206" t="s">
        <v>1062</v>
      </c>
      <c r="I360" s="1">
        <v>2.5381944444444443E-2</v>
      </c>
      <c r="J360" s="265" t="s">
        <v>1062</v>
      </c>
      <c r="K360" s="34">
        <v>42616</v>
      </c>
      <c r="L360" s="1398">
        <v>284</v>
      </c>
      <c r="M360" s="8">
        <v>1.9490740740740743E-2</v>
      </c>
      <c r="N360" s="3">
        <v>1.0694444444444444E-2</v>
      </c>
      <c r="O360" s="3">
        <v>1.2766203703703703E-2</v>
      </c>
      <c r="W360" s="1">
        <f>$N$700-N360</f>
        <v>4.817837739349521E-4</v>
      </c>
      <c r="X360" s="1">
        <f>N360-$N$700</f>
        <v>-4.817837739349521E-4</v>
      </c>
      <c r="Y360" s="9"/>
      <c r="AB360" s="1">
        <f t="shared" si="42"/>
        <v>1.1111111111111096E-3</v>
      </c>
      <c r="AC360" s="1"/>
      <c r="AE360" s="1"/>
      <c r="AF360" s="1"/>
    </row>
    <row r="361" spans="1:32" x14ac:dyDescent="0.2">
      <c r="A361">
        <v>246</v>
      </c>
      <c r="B361" s="27" t="s">
        <v>199</v>
      </c>
      <c r="C361" s="74" t="s">
        <v>284</v>
      </c>
      <c r="D361" s="24">
        <f>Runners!L974</f>
        <v>2</v>
      </c>
      <c r="E361" s="183">
        <f>Runners!L973</f>
        <v>3</v>
      </c>
      <c r="F361" s="6" t="s">
        <v>1000</v>
      </c>
      <c r="G361" s="1">
        <v>1.9039351851851852E-2</v>
      </c>
      <c r="H361" s="206" t="s">
        <v>1062</v>
      </c>
      <c r="I361" s="1">
        <v>2.4814814814814817E-2</v>
      </c>
      <c r="J361" s="32" t="s">
        <v>1000</v>
      </c>
      <c r="K361" s="34">
        <v>42560</v>
      </c>
      <c r="L361" s="1398">
        <v>270</v>
      </c>
      <c r="M361" s="8">
        <v>1.9386574074074073E-2</v>
      </c>
      <c r="N361" s="3">
        <v>1.068287037037037E-2</v>
      </c>
      <c r="O361" s="3">
        <v>1.2881944444444446E-2</v>
      </c>
      <c r="W361" s="1">
        <f>$N$700-N361</f>
        <v>4.9335784800902567E-4</v>
      </c>
      <c r="X361" s="1">
        <f>N361-$N$700</f>
        <v>-4.9335784800902567E-4</v>
      </c>
      <c r="Y361" s="9"/>
      <c r="AB361" s="1">
        <f t="shared" si="42"/>
        <v>1.099537037037036E-3</v>
      </c>
      <c r="AC361" s="1"/>
      <c r="AE361" s="1"/>
      <c r="AF361" s="1"/>
    </row>
    <row r="362" spans="1:32" x14ac:dyDescent="0.2">
      <c r="A362">
        <v>2175</v>
      </c>
      <c r="B362" s="568" t="s">
        <v>10979</v>
      </c>
      <c r="C362" s="568" t="s">
        <v>10978</v>
      </c>
      <c r="D362" s="585"/>
      <c r="E362" s="1002"/>
      <c r="F362" s="6"/>
      <c r="H362" s="206"/>
      <c r="J362" s="32"/>
      <c r="K362" s="34"/>
      <c r="L362" s="1398"/>
      <c r="W362" s="1"/>
      <c r="X362" s="1"/>
      <c r="Y362" s="9"/>
      <c r="AB362" s="1"/>
      <c r="AC362" s="1"/>
      <c r="AE362" s="1"/>
      <c r="AF362" s="1"/>
    </row>
    <row r="363" spans="1:32" x14ac:dyDescent="0.2">
      <c r="A363">
        <v>2113</v>
      </c>
      <c r="B363" s="556" t="s">
        <v>11313</v>
      </c>
      <c r="C363" s="532" t="s">
        <v>10655</v>
      </c>
      <c r="D363" s="531">
        <f>Runners!H745</f>
        <v>4</v>
      </c>
      <c r="E363" s="541">
        <f>Runners!H744</f>
        <v>4</v>
      </c>
      <c r="F363" s="6" t="s">
        <v>5573</v>
      </c>
      <c r="G363" s="1">
        <v>1.8090277777777778E-2</v>
      </c>
      <c r="H363" s="80" t="s">
        <v>3254</v>
      </c>
      <c r="I363" s="1">
        <v>1.96875E-2</v>
      </c>
      <c r="J363" s="334" t="s">
        <v>5573</v>
      </c>
      <c r="K363" s="34">
        <v>43449</v>
      </c>
      <c r="L363" s="1398">
        <v>457</v>
      </c>
      <c r="M363" s="8">
        <v>2.146990740740741E-2</v>
      </c>
      <c r="N363" s="3">
        <v>1.2314814814814815E-2</v>
      </c>
      <c r="O363" s="3">
        <v>1.4467592592592593E-2</v>
      </c>
      <c r="P363" s="80" t="s">
        <v>11693</v>
      </c>
      <c r="W363" s="1"/>
      <c r="X363" s="1"/>
      <c r="Y363" s="9"/>
      <c r="AB363" s="1"/>
      <c r="AC363" s="1"/>
      <c r="AE363" s="1"/>
      <c r="AF363" s="1"/>
    </row>
    <row r="364" spans="1:32" x14ac:dyDescent="0.2">
      <c r="A364">
        <v>370</v>
      </c>
      <c r="B364" s="27" t="s">
        <v>3138</v>
      </c>
      <c r="C364" s="74" t="s">
        <v>4962</v>
      </c>
      <c r="D364" s="24">
        <f>Runners!I1023</f>
        <v>2</v>
      </c>
      <c r="E364" s="183">
        <f>Runners!I1022</f>
        <v>2</v>
      </c>
      <c r="F364" s="6" t="s">
        <v>4584</v>
      </c>
      <c r="G364" s="1">
        <v>1.8854166666666665E-2</v>
      </c>
      <c r="J364" s="1" t="s">
        <v>4584</v>
      </c>
      <c r="K364" s="34">
        <v>41503</v>
      </c>
      <c r="L364" s="9">
        <v>66</v>
      </c>
      <c r="M364" s="8">
        <v>1.8842592592592591E-2</v>
      </c>
      <c r="N364" s="3">
        <v>1.0752314814814814E-2</v>
      </c>
      <c r="O364" s="3">
        <v>1.3171296296296294E-2</v>
      </c>
      <c r="P364" s="80" t="s">
        <v>11315</v>
      </c>
      <c r="W364" s="1">
        <f>$N$700-N364</f>
        <v>4.2391340356458251E-4</v>
      </c>
      <c r="X364" s="1">
        <f>N364-$N$700</f>
        <v>-4.2391340356458251E-4</v>
      </c>
      <c r="Y364" s="9">
        <v>19</v>
      </c>
      <c r="Z364">
        <f t="shared" si="0"/>
        <v>361</v>
      </c>
      <c r="AB364" s="1">
        <f t="shared" si="42"/>
        <v>1.1689814814814792E-3</v>
      </c>
      <c r="AC364" s="1"/>
      <c r="AE364" s="1"/>
      <c r="AF364" s="1"/>
    </row>
    <row r="365" spans="1:32" x14ac:dyDescent="0.2">
      <c r="A365">
        <v>2312</v>
      </c>
      <c r="B365" s="493" t="s">
        <v>13042</v>
      </c>
      <c r="C365" s="415" t="s">
        <v>13041</v>
      </c>
      <c r="D365" s="24">
        <f>Runners!L1354</f>
        <v>1</v>
      </c>
      <c r="E365" s="183">
        <f>Runners!L1353</f>
        <v>1</v>
      </c>
      <c r="F365" s="79" t="s">
        <v>756</v>
      </c>
      <c r="G365" s="334">
        <v>1.9525462962962963E-2</v>
      </c>
      <c r="J365" s="79" t="s">
        <v>756</v>
      </c>
      <c r="K365" s="34">
        <v>43645</v>
      </c>
      <c r="L365" s="9">
        <v>508</v>
      </c>
      <c r="M365" s="8">
        <v>3.2268518518518523E-2</v>
      </c>
      <c r="N365" s="3">
        <v>1.238425925925926E-2</v>
      </c>
      <c r="O365" s="3">
        <v>1.6377314814814813E-2</v>
      </c>
      <c r="P365" s="80"/>
      <c r="W365" s="1"/>
      <c r="X365" s="1"/>
      <c r="Y365" s="9"/>
      <c r="AB365" s="1"/>
      <c r="AC365" s="1"/>
      <c r="AE365" s="1"/>
      <c r="AF365" s="1"/>
    </row>
    <row r="366" spans="1:32" x14ac:dyDescent="0.2">
      <c r="A366">
        <v>1796</v>
      </c>
      <c r="B366" s="493" t="s">
        <v>8856</v>
      </c>
      <c r="C366" s="415" t="s">
        <v>9527</v>
      </c>
      <c r="D366" s="24">
        <f>Runners!I745</f>
        <v>1</v>
      </c>
      <c r="E366" s="183">
        <f>Runners!I744</f>
        <v>1</v>
      </c>
      <c r="F366" s="79" t="s">
        <v>5096</v>
      </c>
      <c r="G366" s="1">
        <v>1.6354166666666666E-2</v>
      </c>
      <c r="J366" s="334" t="s">
        <v>5096</v>
      </c>
      <c r="K366" s="34">
        <v>43190</v>
      </c>
      <c r="L366" s="9">
        <v>399</v>
      </c>
      <c r="M366" s="8">
        <v>2.1296296296296299E-2</v>
      </c>
      <c r="N366" s="3">
        <v>1.1747685185185186E-2</v>
      </c>
      <c r="O366" s="3">
        <v>1.3460648148148147E-2</v>
      </c>
      <c r="W366" s="1">
        <f>$N$700-N366</f>
        <v>-5.7145696680578964E-4</v>
      </c>
      <c r="X366" s="1">
        <f>N366-$N$700</f>
        <v>5.7145696680578964E-4</v>
      </c>
      <c r="Y366" s="9"/>
      <c r="AB366" s="1">
        <f t="shared" si="42"/>
        <v>2.1643518518518513E-3</v>
      </c>
      <c r="AC366" s="1"/>
      <c r="AE366" s="1"/>
      <c r="AF366" s="1"/>
    </row>
    <row r="367" spans="1:32" x14ac:dyDescent="0.2">
      <c r="A367">
        <v>1071</v>
      </c>
      <c r="B367" s="27" t="s">
        <v>198</v>
      </c>
      <c r="C367" s="74" t="s">
        <v>282</v>
      </c>
      <c r="D367" s="24">
        <f>Runners!M974</f>
        <v>3</v>
      </c>
      <c r="E367" s="183">
        <f>Runners!M973</f>
        <v>8</v>
      </c>
      <c r="F367" s="6" t="s">
        <v>1000</v>
      </c>
      <c r="G367" s="1">
        <v>1.9837962962962963E-2</v>
      </c>
      <c r="H367" s="206" t="s">
        <v>1062</v>
      </c>
      <c r="I367" s="1">
        <v>2.4560185185185185E-2</v>
      </c>
      <c r="J367" s="1" t="s">
        <v>1062</v>
      </c>
      <c r="K367" s="34">
        <v>43620</v>
      </c>
      <c r="L367" s="9">
        <v>263</v>
      </c>
      <c r="M367" s="8">
        <v>1.9490740740740743E-2</v>
      </c>
      <c r="N367" s="3">
        <v>1.1782407407407406E-2</v>
      </c>
      <c r="O367" s="3">
        <v>1.2777777777777777E-2</v>
      </c>
      <c r="W367" s="1">
        <f>$N$700-N367</f>
        <v>-6.0617918902801035E-4</v>
      </c>
      <c r="X367" s="1">
        <f>N367-$N$700</f>
        <v>6.0617918902801035E-4</v>
      </c>
      <c r="Y367" s="9"/>
      <c r="AB367" s="1">
        <f>N367-$N$88</f>
        <v>2.199074074074072E-3</v>
      </c>
      <c r="AC367" s="1"/>
      <c r="AE367" s="1"/>
      <c r="AF367" s="1"/>
    </row>
    <row r="368" spans="1:32" x14ac:dyDescent="0.2">
      <c r="A368">
        <v>1098</v>
      </c>
      <c r="B368" s="27" t="s">
        <v>8378</v>
      </c>
      <c r="C368" s="415" t="s">
        <v>8379</v>
      </c>
      <c r="D368" s="24">
        <f>Runners!M1289</f>
        <v>2</v>
      </c>
      <c r="E368" s="183">
        <f>Runners!M1288</f>
        <v>2</v>
      </c>
      <c r="F368" s="6" t="s">
        <v>909</v>
      </c>
      <c r="G368" s="1">
        <v>2.1365740740740741E-2</v>
      </c>
      <c r="H368" s="197" t="s">
        <v>5894</v>
      </c>
      <c r="I368" s="1">
        <v>2.1354166666666664E-2</v>
      </c>
      <c r="J368" s="1" t="s">
        <v>5061</v>
      </c>
      <c r="K368" s="34">
        <v>42966</v>
      </c>
      <c r="L368" s="9">
        <v>355</v>
      </c>
      <c r="M368" s="8">
        <v>2.1608796296296296E-2</v>
      </c>
      <c r="N368" s="3">
        <v>1.1724537037037035E-2</v>
      </c>
      <c r="O368" s="3">
        <v>1.2824074074074073E-2</v>
      </c>
      <c r="W368" s="1">
        <f>$N$700-N368</f>
        <v>-5.4830881865763903E-4</v>
      </c>
      <c r="X368" s="1">
        <f>N368-$N$700</f>
        <v>5.4830881865763903E-4</v>
      </c>
      <c r="Y368" s="9"/>
      <c r="AB368" s="1">
        <f>N368-$N$88</f>
        <v>2.1412037037037007E-3</v>
      </c>
      <c r="AC368" s="1"/>
      <c r="AE368" s="1"/>
      <c r="AF368" s="1"/>
    </row>
    <row r="369" spans="1:32" x14ac:dyDescent="0.2">
      <c r="A369">
        <v>1704</v>
      </c>
      <c r="B369" s="493" t="s">
        <v>11018</v>
      </c>
      <c r="C369" s="415" t="s">
        <v>11019</v>
      </c>
      <c r="D369" s="24">
        <f>Runners!R1304</f>
        <v>1</v>
      </c>
      <c r="E369" s="183">
        <f>Runners!R1303</f>
        <v>1</v>
      </c>
      <c r="F369" s="79" t="s">
        <v>1000</v>
      </c>
      <c r="G369" s="1">
        <v>2.0405092592592593E-2</v>
      </c>
      <c r="H369" s="206"/>
      <c r="J369" s="334" t="s">
        <v>1000</v>
      </c>
      <c r="K369" s="34">
        <v>43421</v>
      </c>
      <c r="L369" s="1398">
        <v>451</v>
      </c>
      <c r="M369" s="8">
        <v>2.4976851851851851E-2</v>
      </c>
      <c r="N369" s="3">
        <v>1.1516203703703702E-2</v>
      </c>
      <c r="O369" s="3">
        <v>1.3715277777777778E-2</v>
      </c>
      <c r="W369" s="1">
        <f>$N$700-N369</f>
        <v>-3.3997548532430609E-4</v>
      </c>
      <c r="X369" s="1">
        <f>N369-$N$700</f>
        <v>3.3997548532430609E-4</v>
      </c>
      <c r="Y369" s="9"/>
      <c r="AB369" s="1">
        <f>N369-$N$88</f>
        <v>1.9328703703703678E-3</v>
      </c>
      <c r="AC369" s="1"/>
      <c r="AE369" s="1"/>
      <c r="AF369" s="1"/>
    </row>
    <row r="370" spans="1:32" x14ac:dyDescent="0.2">
      <c r="A370">
        <v>1602</v>
      </c>
      <c r="B370" s="585" t="s">
        <v>10222</v>
      </c>
      <c r="C370" s="568" t="s">
        <v>6102</v>
      </c>
      <c r="D370" s="585"/>
      <c r="E370" s="1002"/>
      <c r="F370" s="6"/>
      <c r="H370" s="197"/>
      <c r="K370" s="34"/>
      <c r="L370" s="1398"/>
      <c r="Q370" s="1370"/>
      <c r="R370" s="1371"/>
      <c r="W370" s="1"/>
      <c r="X370" s="1"/>
      <c r="Y370" s="9"/>
      <c r="AB370" s="1"/>
      <c r="AC370" s="1"/>
      <c r="AE370" s="1"/>
      <c r="AF370" s="1"/>
    </row>
    <row r="371" spans="1:32" x14ac:dyDescent="0.2">
      <c r="B371" s="530"/>
      <c r="C371" s="581" t="s">
        <v>8367</v>
      </c>
      <c r="D371" s="530"/>
      <c r="E371" s="582"/>
      <c r="F371" s="6"/>
      <c r="H371" s="197"/>
      <c r="K371" s="34"/>
      <c r="L371" s="1398"/>
      <c r="Q371" s="581" t="s">
        <v>17042</v>
      </c>
      <c r="R371" s="530"/>
      <c r="W371" s="1"/>
      <c r="X371" s="1"/>
      <c r="Y371" s="9"/>
      <c r="AB371" s="1"/>
      <c r="AC371" s="1"/>
      <c r="AE371" s="1"/>
      <c r="AF371" s="1"/>
    </row>
    <row r="372" spans="1:32" x14ac:dyDescent="0.2">
      <c r="A372">
        <v>1526</v>
      </c>
      <c r="B372" s="27" t="s">
        <v>3737</v>
      </c>
      <c r="C372" s="74" t="s">
        <v>3738</v>
      </c>
      <c r="D372" s="24">
        <f>Runners!J1225</f>
        <v>4</v>
      </c>
      <c r="E372" s="183">
        <f>Runners!J1224</f>
        <v>4</v>
      </c>
      <c r="F372" s="6" t="s">
        <v>3790</v>
      </c>
      <c r="G372" s="1">
        <v>1.6585648148148148E-2</v>
      </c>
      <c r="H372" s="319" t="s">
        <v>4596</v>
      </c>
      <c r="I372" s="1">
        <v>1.6574074074074074E-2</v>
      </c>
      <c r="J372" s="1" t="s">
        <v>1000</v>
      </c>
      <c r="K372" s="34">
        <v>42658</v>
      </c>
      <c r="L372" s="1398">
        <v>292</v>
      </c>
      <c r="M372" s="8">
        <v>2.2037037037037036E-2</v>
      </c>
      <c r="N372" s="3">
        <v>1.2893518518518519E-2</v>
      </c>
      <c r="O372" s="3">
        <v>1.5219907407407409E-2</v>
      </c>
      <c r="W372" s="1">
        <f t="shared" ref="W372:W377" si="51">$N$700-N372</f>
        <v>-1.7172903001391234E-3</v>
      </c>
      <c r="X372" s="1">
        <f t="shared" ref="X372:X377" si="52">N372-$N$700</f>
        <v>1.7172903001391234E-3</v>
      </c>
      <c r="Y372" s="9"/>
      <c r="AB372" s="1">
        <f t="shared" si="42"/>
        <v>3.3101851851851851E-3</v>
      </c>
      <c r="AC372" s="1"/>
      <c r="AE372" s="1"/>
      <c r="AF372" s="1"/>
    </row>
    <row r="373" spans="1:32" x14ac:dyDescent="0.2">
      <c r="A373">
        <v>2270</v>
      </c>
      <c r="B373" s="493" t="s">
        <v>12513</v>
      </c>
      <c r="C373" s="415" t="s">
        <v>12512</v>
      </c>
      <c r="D373" s="24">
        <f>Runners!L539</f>
        <v>1</v>
      </c>
      <c r="E373" s="183">
        <f>Runners!L538</f>
        <v>1</v>
      </c>
      <c r="F373" s="1415" t="s">
        <v>1000</v>
      </c>
      <c r="G373" s="1412">
        <v>2.165509259259259E-2</v>
      </c>
      <c r="H373" s="1416"/>
      <c r="I373" s="1412"/>
      <c r="J373" s="1432" t="s">
        <v>1000</v>
      </c>
      <c r="K373" s="1379">
        <v>43688</v>
      </c>
      <c r="L373" s="1398">
        <v>496</v>
      </c>
      <c r="M373" s="8">
        <v>1.9803240740740739E-2</v>
      </c>
      <c r="N373" s="3">
        <v>1.1469907407407408E-2</v>
      </c>
      <c r="O373" s="3">
        <v>1.2175925925925929E-2</v>
      </c>
      <c r="W373" s="1">
        <f t="shared" si="51"/>
        <v>-2.9367918902801181E-4</v>
      </c>
      <c r="X373" s="1">
        <f t="shared" si="52"/>
        <v>2.9367918902801181E-4</v>
      </c>
      <c r="Y373" s="9"/>
      <c r="AB373" s="1">
        <f t="shared" si="42"/>
        <v>1.8865740740740735E-3</v>
      </c>
      <c r="AC373" s="1"/>
      <c r="AE373" s="1"/>
      <c r="AF373" s="1"/>
    </row>
    <row r="374" spans="1:32" x14ac:dyDescent="0.2">
      <c r="A374">
        <v>343</v>
      </c>
      <c r="B374" s="27" t="s">
        <v>5129</v>
      </c>
      <c r="C374" s="74" t="s">
        <v>449</v>
      </c>
      <c r="D374" s="24">
        <f>Runners!K500</f>
        <v>8</v>
      </c>
      <c r="E374" s="183">
        <f>Runners!K499</f>
        <v>15</v>
      </c>
      <c r="F374" s="1963" t="s">
        <v>16544</v>
      </c>
      <c r="G374" s="842">
        <v>1.4918981481481483E-2</v>
      </c>
      <c r="H374" s="1416" t="s">
        <v>16041</v>
      </c>
      <c r="I374" s="1432">
        <v>1.6249999999999997E-2</v>
      </c>
      <c r="J374" s="32" t="s">
        <v>1000</v>
      </c>
      <c r="K374" s="34">
        <v>41713</v>
      </c>
      <c r="L374" s="1398">
        <v>93</v>
      </c>
      <c r="M374" s="8">
        <v>1.7719907407407406E-2</v>
      </c>
      <c r="N374" s="143">
        <v>1.0289351851851852E-2</v>
      </c>
      <c r="O374" s="3">
        <v>1.2314814814814815E-2</v>
      </c>
      <c r="P374" s="3"/>
      <c r="W374" s="1">
        <f t="shared" si="51"/>
        <v>8.8687636652754441E-4</v>
      </c>
      <c r="X374" s="1">
        <f t="shared" si="52"/>
        <v>-8.8687636652754441E-4</v>
      </c>
      <c r="Y374" s="9">
        <v>59</v>
      </c>
      <c r="Z374">
        <f t="shared" si="0"/>
        <v>3481</v>
      </c>
      <c r="AB374" s="1">
        <f t="shared" si="42"/>
        <v>7.0601851851851728E-4</v>
      </c>
      <c r="AC374" s="1"/>
      <c r="AE374" s="1"/>
      <c r="AF374" s="1"/>
    </row>
    <row r="375" spans="1:32" x14ac:dyDescent="0.2">
      <c r="A375">
        <v>113</v>
      </c>
      <c r="B375" s="27" t="s">
        <v>814</v>
      </c>
      <c r="C375" s="74" t="s">
        <v>5950</v>
      </c>
      <c r="D375" s="24">
        <f>Runners!L374</f>
        <v>6</v>
      </c>
      <c r="E375" s="183">
        <f>Runners!L373</f>
        <v>12</v>
      </c>
      <c r="F375" s="6" t="s">
        <v>5096</v>
      </c>
      <c r="G375" s="1">
        <v>1.5243055555555557E-2</v>
      </c>
      <c r="H375" s="197" t="s">
        <v>10350</v>
      </c>
      <c r="I375" s="1">
        <v>1.8043981481481484E-2</v>
      </c>
      <c r="J375" s="1" t="s">
        <v>1000</v>
      </c>
      <c r="K375" s="34">
        <v>40950</v>
      </c>
      <c r="L375" s="1398">
        <v>17</v>
      </c>
      <c r="M375" s="8">
        <v>1.996527777777778E-2</v>
      </c>
      <c r="N375" s="3">
        <v>1.042824074074074E-2</v>
      </c>
      <c r="O375" s="3">
        <v>1.1851851851851851E-2</v>
      </c>
      <c r="Q375" s="581" t="s">
        <v>6386</v>
      </c>
      <c r="R375" s="530"/>
      <c r="S375" s="530"/>
      <c r="W375" s="1">
        <f t="shared" si="51"/>
        <v>7.4798747763865636E-4</v>
      </c>
      <c r="X375" s="1">
        <f t="shared" si="52"/>
        <v>-7.4798747763865636E-4</v>
      </c>
      <c r="Y375" s="9">
        <v>47</v>
      </c>
      <c r="Z375">
        <f t="shared" si="0"/>
        <v>2209</v>
      </c>
      <c r="AB375" s="1">
        <f t="shared" si="42"/>
        <v>8.4490740740740533E-4</v>
      </c>
      <c r="AC375" s="1"/>
      <c r="AE375" s="1"/>
      <c r="AF375" s="1"/>
    </row>
    <row r="376" spans="1:32" x14ac:dyDescent="0.2">
      <c r="A376">
        <v>161</v>
      </c>
      <c r="B376" s="493" t="s">
        <v>4122</v>
      </c>
      <c r="C376" s="415" t="s">
        <v>4120</v>
      </c>
      <c r="D376" s="24">
        <f>Runners!J683</f>
        <v>6</v>
      </c>
      <c r="E376" s="183">
        <f>Runners!J682</f>
        <v>7</v>
      </c>
      <c r="F376" s="79" t="s">
        <v>4407</v>
      </c>
      <c r="G376" s="334">
        <v>1.5428240740740741E-2</v>
      </c>
      <c r="H376" s="319" t="s">
        <v>5241</v>
      </c>
      <c r="I376" s="3">
        <v>1.486111111111111E-2</v>
      </c>
      <c r="J376" s="334" t="s">
        <v>2628</v>
      </c>
      <c r="K376" s="34">
        <v>43190</v>
      </c>
      <c r="L376" s="1398">
        <v>397</v>
      </c>
      <c r="M376" s="8">
        <v>2.0393518518518519E-2</v>
      </c>
      <c r="N376" s="3">
        <v>1.0474537037037037E-2</v>
      </c>
      <c r="O376" s="3">
        <v>1.2083333333333333E-2</v>
      </c>
      <c r="Q376" s="80"/>
      <c r="W376" s="1">
        <f t="shared" si="51"/>
        <v>7.0169118134235861E-4</v>
      </c>
      <c r="X376" s="1">
        <f t="shared" si="52"/>
        <v>-7.0169118134235861E-4</v>
      </c>
      <c r="Y376" s="9"/>
      <c r="AB376" s="1">
        <f t="shared" si="42"/>
        <v>8.9120370370370308E-4</v>
      </c>
      <c r="AC376" s="1"/>
      <c r="AE376" s="1"/>
      <c r="AF376" s="1"/>
    </row>
    <row r="377" spans="1:32" x14ac:dyDescent="0.2">
      <c r="A377">
        <v>1849</v>
      </c>
      <c r="B377" s="552" t="s">
        <v>9302</v>
      </c>
      <c r="C377" s="532" t="s">
        <v>8248</v>
      </c>
      <c r="D377" s="541">
        <f>Runners!K309</f>
        <v>17</v>
      </c>
      <c r="E377" s="541">
        <f>Runners!K308</f>
        <v>22</v>
      </c>
      <c r="F377" s="79" t="s">
        <v>8360</v>
      </c>
      <c r="G377" s="1">
        <v>1.5625E-2</v>
      </c>
      <c r="H377" s="513" t="s">
        <v>1440</v>
      </c>
      <c r="I377" s="512">
        <v>2.0474537037037038E-2</v>
      </c>
      <c r="J377" s="334" t="s">
        <v>2628</v>
      </c>
      <c r="K377" s="34">
        <v>42818</v>
      </c>
      <c r="L377" s="1398">
        <v>394</v>
      </c>
      <c r="M377" s="8">
        <v>2.1597222222222223E-2</v>
      </c>
      <c r="N377" s="3">
        <v>1.1909722222222223E-2</v>
      </c>
      <c r="O377" s="3">
        <v>1.4178240740740741E-2</v>
      </c>
      <c r="Q377" s="80"/>
      <c r="W377" s="1">
        <f t="shared" si="51"/>
        <v>-7.3349400384282656E-4</v>
      </c>
      <c r="X377" s="1">
        <f t="shared" si="52"/>
        <v>7.3349400384282656E-4</v>
      </c>
      <c r="Y377" s="9"/>
      <c r="AB377" s="1">
        <f t="shared" si="42"/>
        <v>2.3263888888888883E-3</v>
      </c>
      <c r="AC377" s="1"/>
      <c r="AE377" s="1"/>
      <c r="AF377" s="1"/>
    </row>
    <row r="378" spans="1:32" x14ac:dyDescent="0.2">
      <c r="A378">
        <v>1535</v>
      </c>
      <c r="B378" s="27" t="s">
        <v>1478</v>
      </c>
      <c r="C378" s="74" t="s">
        <v>1476</v>
      </c>
      <c r="D378" s="24">
        <f>Runners!U1225</f>
        <v>1</v>
      </c>
      <c r="E378" s="183">
        <f>Runners!U1224</f>
        <v>1</v>
      </c>
      <c r="F378" s="6" t="s">
        <v>1000</v>
      </c>
      <c r="G378" s="1">
        <v>1.8437499999999999E-2</v>
      </c>
      <c r="J378" s="1" t="s">
        <v>1000</v>
      </c>
      <c r="K378" s="34">
        <v>42686</v>
      </c>
      <c r="L378" s="1398">
        <v>302</v>
      </c>
      <c r="M378" s="8">
        <v>1.8217592592592594E-2</v>
      </c>
      <c r="W378" s="1"/>
      <c r="X378" s="1"/>
      <c r="Y378" s="9"/>
      <c r="AB378" s="1"/>
      <c r="AC378" s="1"/>
      <c r="AE378" s="1"/>
      <c r="AF378" s="1"/>
    </row>
    <row r="379" spans="1:32" x14ac:dyDescent="0.2">
      <c r="A379">
        <v>122</v>
      </c>
      <c r="B379" s="27" t="s">
        <v>957</v>
      </c>
      <c r="C379" s="74" t="s">
        <v>4314</v>
      </c>
      <c r="D379" s="24">
        <f>Runners!Q745</f>
        <v>5</v>
      </c>
      <c r="E379" s="183">
        <f>Runners!Q744</f>
        <v>7</v>
      </c>
      <c r="F379" s="79" t="s">
        <v>5097</v>
      </c>
      <c r="G379" s="1">
        <v>1.8252314814814815E-2</v>
      </c>
      <c r="J379" s="1" t="s">
        <v>1270</v>
      </c>
      <c r="K379" s="34">
        <v>42441</v>
      </c>
      <c r="L379" s="1398">
        <v>239</v>
      </c>
      <c r="M379" s="8">
        <v>2.0069444444444442E-2</v>
      </c>
      <c r="N379" s="3">
        <v>1.1469907407407408E-2</v>
      </c>
      <c r="O379" s="3">
        <v>1.3344907407407408E-2</v>
      </c>
      <c r="W379" s="1">
        <f t="shared" ref="W379:W387" si="53">$N$700-N379</f>
        <v>-2.9367918902801181E-4</v>
      </c>
      <c r="X379" s="1">
        <f t="shared" ref="X379:X387" si="54">N379-$N$700</f>
        <v>2.9367918902801181E-4</v>
      </c>
      <c r="Y379" s="9">
        <v>52</v>
      </c>
      <c r="Z379">
        <f t="shared" si="0"/>
        <v>2704</v>
      </c>
      <c r="AB379" s="1">
        <f t="shared" si="42"/>
        <v>1.8865740740740735E-3</v>
      </c>
      <c r="AC379" s="1"/>
      <c r="AE379" s="1"/>
      <c r="AF379" s="1"/>
    </row>
    <row r="380" spans="1:32" x14ac:dyDescent="0.2">
      <c r="A380">
        <v>587</v>
      </c>
      <c r="B380" s="27" t="s">
        <v>3202</v>
      </c>
      <c r="C380" s="74" t="s">
        <v>2082</v>
      </c>
      <c r="D380" s="24">
        <f>Runners!N1289</f>
        <v>2</v>
      </c>
      <c r="E380" s="183">
        <f>Runners!N1288</f>
        <v>2</v>
      </c>
      <c r="F380" s="6" t="s">
        <v>909</v>
      </c>
      <c r="G380" s="1">
        <v>2.148148148148148E-2</v>
      </c>
      <c r="H380" t="s">
        <v>5894</v>
      </c>
      <c r="I380" s="1">
        <v>2.1458333333333333E-2</v>
      </c>
      <c r="J380" s="1" t="s">
        <v>5061</v>
      </c>
      <c r="K380" s="34">
        <v>42441</v>
      </c>
      <c r="L380" s="1398">
        <v>237</v>
      </c>
      <c r="M380" s="8">
        <v>1.8553240740740742E-2</v>
      </c>
      <c r="N380" s="3">
        <v>1.0763888888888891E-2</v>
      </c>
      <c r="O380" s="3">
        <v>1.3206018518518518E-2</v>
      </c>
      <c r="W380" s="1">
        <f t="shared" si="53"/>
        <v>4.1233932949050547E-4</v>
      </c>
      <c r="X380" s="1">
        <f t="shared" si="54"/>
        <v>-4.1233932949050547E-4</v>
      </c>
      <c r="Y380" s="9">
        <v>18</v>
      </c>
      <c r="Z380">
        <f t="shared" si="0"/>
        <v>324</v>
      </c>
      <c r="AB380" s="1">
        <f t="shared" si="42"/>
        <v>1.1805555555555562E-3</v>
      </c>
      <c r="AC380" s="1"/>
      <c r="AE380" s="1"/>
      <c r="AF380" s="1"/>
    </row>
    <row r="381" spans="1:32" x14ac:dyDescent="0.2">
      <c r="A381">
        <v>1387</v>
      </c>
      <c r="B381" s="27" t="s">
        <v>11030</v>
      </c>
      <c r="C381" s="415" t="s">
        <v>5942</v>
      </c>
      <c r="D381" s="24">
        <f>Runners!J787</f>
        <v>1</v>
      </c>
      <c r="E381" s="183">
        <f>Runners!J786</f>
        <v>1</v>
      </c>
      <c r="F381" s="6" t="s">
        <v>1270</v>
      </c>
      <c r="G381" s="1">
        <v>1.6354166666666666E-2</v>
      </c>
      <c r="J381" s="1" t="s">
        <v>1270</v>
      </c>
      <c r="K381" s="34">
        <v>43421</v>
      </c>
      <c r="L381" s="1398">
        <v>452</v>
      </c>
      <c r="M381" s="8">
        <v>2.1828703703703701E-2</v>
      </c>
      <c r="N381" s="3">
        <v>1.2627314814814815E-2</v>
      </c>
      <c r="O381" s="3">
        <v>1.4282407407407409E-2</v>
      </c>
      <c r="W381" s="1">
        <f t="shared" si="53"/>
        <v>-1.4510865964354192E-3</v>
      </c>
      <c r="X381" s="1">
        <f t="shared" si="54"/>
        <v>1.4510865964354192E-3</v>
      </c>
      <c r="Y381" s="9"/>
      <c r="AB381" s="1">
        <f t="shared" si="42"/>
        <v>3.0439814814814808E-3</v>
      </c>
      <c r="AC381" s="1"/>
      <c r="AE381" s="1"/>
      <c r="AF381" s="1"/>
    </row>
    <row r="382" spans="1:32" x14ac:dyDescent="0.2">
      <c r="A382">
        <v>805</v>
      </c>
      <c r="B382" s="27" t="s">
        <v>911</v>
      </c>
      <c r="C382" s="74" t="s">
        <v>912</v>
      </c>
      <c r="D382" s="24">
        <f>Runners!O1289</f>
        <v>2</v>
      </c>
      <c r="E382" s="183">
        <f>Runners!O1288</f>
        <v>2</v>
      </c>
      <c r="F382" s="6" t="s">
        <v>909</v>
      </c>
      <c r="G382" s="1">
        <v>2.2060185185185183E-2</v>
      </c>
      <c r="J382" s="1" t="s">
        <v>5061</v>
      </c>
      <c r="K382" s="34">
        <v>42035</v>
      </c>
      <c r="L382" s="9">
        <v>152</v>
      </c>
      <c r="M382" s="8">
        <v>2.2002314814814818E-2</v>
      </c>
      <c r="N382" s="3">
        <v>1.0636574074074074E-2</v>
      </c>
      <c r="O382" s="3">
        <v>1.2280092592592592E-2</v>
      </c>
      <c r="W382" s="1">
        <f t="shared" si="53"/>
        <v>5.3965414430532169E-4</v>
      </c>
      <c r="X382" s="1">
        <f t="shared" si="54"/>
        <v>-5.3965414430532169E-4</v>
      </c>
      <c r="Y382" s="9">
        <v>29</v>
      </c>
      <c r="Z382">
        <f t="shared" si="0"/>
        <v>841</v>
      </c>
      <c r="AB382" s="1">
        <f t="shared" si="42"/>
        <v>1.05324074074074E-3</v>
      </c>
      <c r="AC382" s="1"/>
      <c r="AE382" s="1"/>
      <c r="AF382" s="1"/>
    </row>
    <row r="383" spans="1:32" x14ac:dyDescent="0.2">
      <c r="A383">
        <v>2254</v>
      </c>
      <c r="B383" s="493" t="s">
        <v>13264</v>
      </c>
      <c r="C383" s="415" t="s">
        <v>11978</v>
      </c>
      <c r="D383" s="24">
        <f>Runners!Q420</f>
        <v>2</v>
      </c>
      <c r="E383" s="183">
        <f>Runners!Q419</f>
        <v>2</v>
      </c>
      <c r="F383" s="79" t="s">
        <v>5951</v>
      </c>
      <c r="G383" s="1">
        <v>1.8599537037037036E-2</v>
      </c>
      <c r="J383" s="334" t="s">
        <v>5951</v>
      </c>
      <c r="K383" s="34">
        <v>43673</v>
      </c>
      <c r="M383" s="8">
        <v>2.0844907407407406E-2</v>
      </c>
      <c r="N383" s="3">
        <v>1.1631944444444445E-2</v>
      </c>
      <c r="O383" s="3">
        <v>1.4108796296296295E-2</v>
      </c>
      <c r="W383" s="1">
        <f t="shared" si="53"/>
        <v>-4.5571622606504873E-4</v>
      </c>
      <c r="X383" s="1">
        <f t="shared" si="54"/>
        <v>4.5571622606504873E-4</v>
      </c>
      <c r="Y383" s="9"/>
      <c r="AB383" s="1">
        <f t="shared" si="42"/>
        <v>2.0486111111111104E-3</v>
      </c>
      <c r="AC383" s="1"/>
      <c r="AE383" s="1"/>
      <c r="AF383" s="1"/>
    </row>
    <row r="384" spans="1:32" x14ac:dyDescent="0.2">
      <c r="A384">
        <v>469</v>
      </c>
      <c r="B384" s="27" t="s">
        <v>3505</v>
      </c>
      <c r="C384" s="74" t="s">
        <v>2634</v>
      </c>
      <c r="D384" s="24">
        <f>Runners!M815</f>
        <v>1</v>
      </c>
      <c r="E384" s="183">
        <f>Runners!M814</f>
        <v>1</v>
      </c>
      <c r="F384" s="6" t="s">
        <v>909</v>
      </c>
      <c r="G384" s="1">
        <v>1.6967592592592593E-2</v>
      </c>
      <c r="J384" s="1" t="s">
        <v>909</v>
      </c>
      <c r="K384" s="34">
        <v>42525</v>
      </c>
      <c r="L384" s="9">
        <v>260</v>
      </c>
      <c r="M384" s="8">
        <v>1.9502314814814816E-2</v>
      </c>
      <c r="N384" s="3">
        <v>1.1273148148148148E-2</v>
      </c>
      <c r="O384" s="3">
        <v>1.2870370370370372E-2</v>
      </c>
      <c r="W384" s="1">
        <f t="shared" si="53"/>
        <v>-9.6919929768752439E-5</v>
      </c>
      <c r="X384" s="1">
        <f t="shared" si="54"/>
        <v>9.6919929768752439E-5</v>
      </c>
      <c r="Y384" s="9">
        <v>26</v>
      </c>
      <c r="Z384">
        <f t="shared" si="0"/>
        <v>676</v>
      </c>
      <c r="AB384" s="1">
        <f t="shared" si="42"/>
        <v>1.6898148148148141E-3</v>
      </c>
      <c r="AC384" s="1"/>
      <c r="AE384" s="1"/>
      <c r="AF384" s="1"/>
    </row>
    <row r="385" spans="1:32" x14ac:dyDescent="0.2">
      <c r="A385">
        <v>2205</v>
      </c>
      <c r="B385" s="556" t="s">
        <v>12136</v>
      </c>
      <c r="C385" s="532" t="s">
        <v>12079</v>
      </c>
      <c r="D385" s="531">
        <f>Runners!U1200</f>
        <v>3</v>
      </c>
      <c r="E385" s="541">
        <f>Runners!U1199</f>
        <v>3</v>
      </c>
      <c r="F385" s="79" t="s">
        <v>1000</v>
      </c>
      <c r="G385" s="1">
        <v>1.9027777777777779E-2</v>
      </c>
      <c r="H385" s="513" t="s">
        <v>8441</v>
      </c>
      <c r="I385" s="1">
        <v>2.5115740740740741E-2</v>
      </c>
      <c r="J385" s="334" t="s">
        <v>1000</v>
      </c>
      <c r="K385" s="34">
        <v>43540</v>
      </c>
      <c r="L385" s="1398">
        <v>478</v>
      </c>
      <c r="M385" s="8">
        <v>1.8668981481481481E-2</v>
      </c>
      <c r="N385" s="3">
        <v>1.1770833333333333E-2</v>
      </c>
      <c r="O385" s="3">
        <v>1.3726851851851851E-2</v>
      </c>
      <c r="W385" s="1">
        <f t="shared" si="53"/>
        <v>-5.9460511495393678E-4</v>
      </c>
      <c r="X385" s="1">
        <f t="shared" si="54"/>
        <v>5.9460511495393678E-4</v>
      </c>
      <c r="Y385" s="9"/>
      <c r="AB385" s="1">
        <f t="shared" si="42"/>
        <v>2.1874999999999985E-3</v>
      </c>
      <c r="AC385" s="1"/>
      <c r="AE385" s="1"/>
      <c r="AF385" s="1"/>
    </row>
    <row r="386" spans="1:32" x14ac:dyDescent="0.2">
      <c r="A386">
        <v>2053</v>
      </c>
      <c r="B386" s="556" t="s">
        <v>11915</v>
      </c>
      <c r="C386" s="532" t="s">
        <v>11914</v>
      </c>
      <c r="D386" s="531">
        <f>Runners!I1225</f>
        <v>1</v>
      </c>
      <c r="E386" s="541">
        <f>Runners!I1224</f>
        <v>1</v>
      </c>
      <c r="F386" s="1415" t="s">
        <v>4584</v>
      </c>
      <c r="G386" s="1412">
        <v>2.146990740740741E-2</v>
      </c>
      <c r="H386" s="1371"/>
      <c r="I386" s="1412"/>
      <c r="J386" s="1432" t="s">
        <v>4584</v>
      </c>
      <c r="K386" s="1379">
        <v>43645</v>
      </c>
      <c r="L386" s="9">
        <v>507</v>
      </c>
      <c r="M386" s="8">
        <v>2.2395833333333334E-2</v>
      </c>
      <c r="N386" s="3">
        <v>1.1273148148148148E-2</v>
      </c>
      <c r="O386" s="3">
        <v>1.306712962962963E-2</v>
      </c>
      <c r="W386" s="1">
        <f t="shared" si="53"/>
        <v>-9.6919929768752439E-5</v>
      </c>
      <c r="X386" s="1">
        <f t="shared" si="54"/>
        <v>9.6919929768752439E-5</v>
      </c>
      <c r="Y386" s="9"/>
      <c r="AB386" s="1">
        <f t="shared" si="42"/>
        <v>1.6898148148148141E-3</v>
      </c>
      <c r="AC386" s="1"/>
      <c r="AE386" s="1"/>
      <c r="AF386" s="1"/>
    </row>
    <row r="387" spans="1:32" x14ac:dyDescent="0.2">
      <c r="A387">
        <v>906</v>
      </c>
      <c r="B387" s="27" t="s">
        <v>9186</v>
      </c>
      <c r="C387" s="415" t="s">
        <v>9187</v>
      </c>
      <c r="D387" s="24">
        <f>Runners!I1315</f>
        <v>1</v>
      </c>
      <c r="E387" s="183">
        <f>Runners!I1314</f>
        <v>1</v>
      </c>
      <c r="F387" s="6" t="s">
        <v>756</v>
      </c>
      <c r="G387" s="1">
        <v>1.9479166666666669E-2</v>
      </c>
      <c r="J387" s="1" t="s">
        <v>756</v>
      </c>
      <c r="K387" s="34">
        <v>43134</v>
      </c>
      <c r="L387" s="1398">
        <v>384</v>
      </c>
      <c r="M387" s="8">
        <v>2.6909722222222224E-2</v>
      </c>
      <c r="N387" s="3">
        <v>1.1516203703703702E-2</v>
      </c>
      <c r="O387" s="3">
        <v>1.3263888888888889E-2</v>
      </c>
      <c r="W387" s="1">
        <f t="shared" si="53"/>
        <v>-3.3997548532430609E-4</v>
      </c>
      <c r="X387" s="1">
        <f t="shared" si="54"/>
        <v>3.3997548532430609E-4</v>
      </c>
      <c r="Y387" s="9"/>
      <c r="AB387" s="1">
        <f t="shared" si="42"/>
        <v>1.9328703703703678E-3</v>
      </c>
      <c r="AC387" s="1"/>
      <c r="AE387" s="1"/>
      <c r="AF387" s="1"/>
    </row>
    <row r="388" spans="1:32" x14ac:dyDescent="0.2">
      <c r="A388">
        <v>2347</v>
      </c>
      <c r="B388" s="27" t="s">
        <v>15486</v>
      </c>
      <c r="C388" s="415" t="s">
        <v>15487</v>
      </c>
      <c r="D388" s="24">
        <f>Runners!L1378</f>
        <v>1</v>
      </c>
      <c r="E388" s="183">
        <f>Runners!L1377</f>
        <v>1</v>
      </c>
      <c r="F388" s="1411" t="s">
        <v>8360</v>
      </c>
      <c r="G388" s="1412">
        <v>1.503472222222222E-2</v>
      </c>
      <c r="J388" s="1" t="s">
        <v>8360</v>
      </c>
      <c r="K388" s="34">
        <v>43722</v>
      </c>
      <c r="L388" s="1398"/>
      <c r="W388" s="1"/>
      <c r="X388" s="1"/>
      <c r="Y388" s="9"/>
      <c r="AB388" s="1"/>
      <c r="AC388" s="1"/>
      <c r="AE388" s="1"/>
      <c r="AF388" s="1"/>
    </row>
    <row r="389" spans="1:32" x14ac:dyDescent="0.2">
      <c r="A389">
        <v>178</v>
      </c>
      <c r="B389" s="493" t="s">
        <v>10291</v>
      </c>
      <c r="C389" s="415" t="s">
        <v>10292</v>
      </c>
      <c r="D389" s="24">
        <f>Runners!V1165</f>
        <v>1</v>
      </c>
      <c r="E389" s="183">
        <f>Runners!V1164</f>
        <v>1</v>
      </c>
      <c r="F389" s="6"/>
      <c r="H389" s="513" t="s">
        <v>1440</v>
      </c>
      <c r="I389" s="334">
        <v>1.8680555555555554E-2</v>
      </c>
      <c r="J389" s="512" t="s">
        <v>1440</v>
      </c>
      <c r="K389" s="34">
        <v>43302</v>
      </c>
      <c r="L389" s="1398">
        <v>426</v>
      </c>
      <c r="M389" s="8">
        <v>2.1423611111111112E-2</v>
      </c>
      <c r="N389" s="3">
        <v>1.1655092592592594E-2</v>
      </c>
      <c r="O389" s="3">
        <v>1.2905092592592591E-2</v>
      </c>
      <c r="W389" s="1">
        <f t="shared" ref="W389:W410" si="55">$N$700-N389</f>
        <v>-4.7886437421319761E-4</v>
      </c>
      <c r="X389" s="1">
        <f t="shared" ref="X389:X410" si="56">N389-$N$700</f>
        <v>4.7886437421319761E-4</v>
      </c>
      <c r="Y389" s="9"/>
      <c r="AB389" s="1">
        <f t="shared" si="42"/>
        <v>2.0717592592592593E-3</v>
      </c>
      <c r="AC389" s="1"/>
      <c r="AE389" s="1"/>
      <c r="AF389" s="1"/>
    </row>
    <row r="390" spans="1:32" x14ac:dyDescent="0.2">
      <c r="A390">
        <v>2283</v>
      </c>
      <c r="B390" s="493" t="s">
        <v>15694</v>
      </c>
      <c r="C390" s="415" t="s">
        <v>15691</v>
      </c>
      <c r="D390" s="24">
        <f>Runners!V1200</f>
        <v>1</v>
      </c>
      <c r="E390" s="183">
        <f>Runners!V1199</f>
        <v>1</v>
      </c>
      <c r="F390" s="6" t="s">
        <v>1000</v>
      </c>
      <c r="G390" s="1">
        <v>2.0219907407407409E-2</v>
      </c>
      <c r="H390" s="513"/>
      <c r="I390" s="334"/>
      <c r="J390" s="334" t="s">
        <v>1000</v>
      </c>
      <c r="K390" s="34">
        <v>43741</v>
      </c>
      <c r="L390" s="1398"/>
      <c r="M390" s="8">
        <v>1.9988425925925927E-2</v>
      </c>
      <c r="N390" s="3">
        <v>1.1863425925925925E-2</v>
      </c>
      <c r="O390" s="3">
        <v>1.2430555555555554E-2</v>
      </c>
      <c r="W390" s="1">
        <f t="shared" si="55"/>
        <v>-6.8719770754652881E-4</v>
      </c>
      <c r="X390" s="1">
        <f t="shared" si="56"/>
        <v>6.8719770754652881E-4</v>
      </c>
      <c r="Y390" s="9"/>
      <c r="AB390" s="1">
        <f t="shared" si="42"/>
        <v>2.2800925925925905E-3</v>
      </c>
      <c r="AC390" s="1"/>
      <c r="AE390" s="1"/>
      <c r="AF390" s="1"/>
    </row>
    <row r="391" spans="1:32" x14ac:dyDescent="0.2">
      <c r="A391">
        <v>366</v>
      </c>
      <c r="B391" s="27" t="s">
        <v>4404</v>
      </c>
      <c r="C391" s="415" t="s">
        <v>4497</v>
      </c>
      <c r="D391" s="24">
        <f>Runners!R420</f>
        <v>2</v>
      </c>
      <c r="E391" s="183">
        <f>Runners!R419</f>
        <v>2</v>
      </c>
      <c r="F391" s="6" t="s">
        <v>1000</v>
      </c>
      <c r="G391" s="1">
        <v>1.699074074074074E-2</v>
      </c>
      <c r="J391" s="32" t="s">
        <v>1000</v>
      </c>
      <c r="K391" s="34">
        <v>41888</v>
      </c>
      <c r="L391" s="1398">
        <v>127</v>
      </c>
      <c r="M391" s="8">
        <v>1.8888888888888889E-2</v>
      </c>
      <c r="N391" s="3">
        <v>1.1180555555555556E-2</v>
      </c>
      <c r="O391" s="3">
        <v>1.2731481481481481E-2</v>
      </c>
      <c r="W391" s="1">
        <f t="shared" si="55"/>
        <v>-4.3273371761604063E-6</v>
      </c>
      <c r="X391" s="1">
        <f t="shared" si="56"/>
        <v>4.3273371761604063E-6</v>
      </c>
      <c r="Y391" s="9">
        <v>18</v>
      </c>
      <c r="Z391">
        <f t="shared" si="0"/>
        <v>324</v>
      </c>
      <c r="AB391" s="1">
        <f t="shared" si="42"/>
        <v>1.5972222222222221E-3</v>
      </c>
      <c r="AC391" s="1"/>
      <c r="AE391" s="1"/>
      <c r="AF391" s="1"/>
    </row>
    <row r="392" spans="1:32" x14ac:dyDescent="0.2">
      <c r="A392">
        <v>2012</v>
      </c>
      <c r="B392" s="493" t="s">
        <v>10250</v>
      </c>
      <c r="C392" s="415" t="s">
        <v>10246</v>
      </c>
      <c r="D392" s="24">
        <f>Runners!N1116</f>
        <v>1</v>
      </c>
      <c r="E392" s="183">
        <f>Runners!N1115</f>
        <v>1</v>
      </c>
      <c r="F392" s="79" t="s">
        <v>4584</v>
      </c>
      <c r="G392" s="1">
        <v>2.0995370370370373E-2</v>
      </c>
      <c r="J392" s="334" t="s">
        <v>4584</v>
      </c>
      <c r="K392" s="34">
        <v>43295</v>
      </c>
      <c r="L392" s="1398">
        <v>421</v>
      </c>
      <c r="M392" s="8">
        <v>2.1724537037037039E-2</v>
      </c>
      <c r="N392" s="3">
        <v>1.1388888888888888E-2</v>
      </c>
      <c r="O392" s="3">
        <v>1.2372685185185186E-2</v>
      </c>
      <c r="W392" s="1">
        <f t="shared" si="55"/>
        <v>-2.1266067050949161E-4</v>
      </c>
      <c r="X392" s="1">
        <f t="shared" si="56"/>
        <v>2.1266067050949161E-4</v>
      </c>
      <c r="Y392" s="9"/>
      <c r="AB392" s="1">
        <f t="shared" si="42"/>
        <v>1.8055555555555533E-3</v>
      </c>
      <c r="AC392" s="1"/>
      <c r="AE392" s="1"/>
      <c r="AF392" s="1"/>
    </row>
    <row r="393" spans="1:32" x14ac:dyDescent="0.2">
      <c r="A393">
        <v>198</v>
      </c>
      <c r="B393" s="27" t="s">
        <v>1618</v>
      </c>
      <c r="C393" s="74" t="s">
        <v>5960</v>
      </c>
      <c r="D393" s="183">
        <f>Runners!S309</f>
        <v>6</v>
      </c>
      <c r="E393" s="183">
        <f>Runners!S308</f>
        <v>7</v>
      </c>
      <c r="F393" s="79" t="s">
        <v>5881</v>
      </c>
      <c r="G393" s="1">
        <v>1.4282407407407409E-2</v>
      </c>
      <c r="H393" t="s">
        <v>3254</v>
      </c>
      <c r="I393" s="1">
        <v>1.9768518518518515E-2</v>
      </c>
      <c r="J393" s="32" t="s">
        <v>1000</v>
      </c>
      <c r="K393" s="34">
        <v>41065</v>
      </c>
      <c r="L393" s="1398">
        <v>25</v>
      </c>
      <c r="M393" s="8">
        <v>1.9861111111111111E-2</v>
      </c>
      <c r="N393" s="3">
        <v>1.0706018518518517E-2</v>
      </c>
      <c r="O393" s="3">
        <v>1.2326388888888888E-2</v>
      </c>
      <c r="W393" s="1">
        <f t="shared" si="55"/>
        <v>4.7020969986087853E-4</v>
      </c>
      <c r="X393" s="1">
        <f t="shared" si="56"/>
        <v>-4.7020969986087853E-4</v>
      </c>
      <c r="Y393" s="9">
        <v>23</v>
      </c>
      <c r="Z393">
        <f t="shared" si="0"/>
        <v>529</v>
      </c>
      <c r="AB393" s="1">
        <f t="shared" si="42"/>
        <v>1.1226851851851832E-3</v>
      </c>
      <c r="AC393" s="1"/>
      <c r="AE393" s="1"/>
      <c r="AF393" s="1"/>
    </row>
    <row r="394" spans="1:32" x14ac:dyDescent="0.2">
      <c r="A394">
        <v>57</v>
      </c>
      <c r="B394" s="27" t="s">
        <v>4549</v>
      </c>
      <c r="C394" s="74" t="s">
        <v>4837</v>
      </c>
      <c r="D394" s="24">
        <f>Runners!Q1073</f>
        <v>5</v>
      </c>
      <c r="E394" s="183">
        <f>Runners!Q1072</f>
        <v>5</v>
      </c>
      <c r="F394" s="6" t="s">
        <v>5881</v>
      </c>
      <c r="G394" s="1">
        <v>1.4467592592592593E-2</v>
      </c>
      <c r="H394" s="5" t="s">
        <v>5903</v>
      </c>
      <c r="I394" s="1">
        <v>1.8564814814814815E-2</v>
      </c>
      <c r="J394" s="1" t="s">
        <v>5881</v>
      </c>
      <c r="K394" s="34">
        <v>42259</v>
      </c>
      <c r="L394" s="1398">
        <v>195</v>
      </c>
      <c r="M394" s="8">
        <v>1.8020833333333333E-2</v>
      </c>
      <c r="N394" s="3">
        <v>1.0138888888888888E-2</v>
      </c>
      <c r="O394" s="3">
        <v>1.1319444444444444E-2</v>
      </c>
      <c r="W394" s="1">
        <f t="shared" si="55"/>
        <v>1.0373393294905078E-3</v>
      </c>
      <c r="X394" s="1">
        <f t="shared" si="56"/>
        <v>-1.0373393294905078E-3</v>
      </c>
      <c r="Y394" s="9">
        <v>72</v>
      </c>
      <c r="Z394">
        <f t="shared" si="0"/>
        <v>5184</v>
      </c>
      <c r="AB394" s="1">
        <f t="shared" si="42"/>
        <v>5.5555555555555393E-4</v>
      </c>
      <c r="AC394" s="1"/>
      <c r="AE394" s="1"/>
      <c r="AF394" s="1"/>
    </row>
    <row r="395" spans="1:32" x14ac:dyDescent="0.2">
      <c r="A395">
        <v>228</v>
      </c>
      <c r="B395" s="556" t="s">
        <v>846</v>
      </c>
      <c r="C395" s="532" t="s">
        <v>4585</v>
      </c>
      <c r="D395" s="531">
        <f>Runners!O1116</f>
        <v>2</v>
      </c>
      <c r="E395" s="541">
        <f>Runners!O1116</f>
        <v>2</v>
      </c>
      <c r="F395" s="79" t="s">
        <v>627</v>
      </c>
      <c r="G395" s="1">
        <v>1.6921296296296299E-2</v>
      </c>
      <c r="H395" s="5"/>
      <c r="J395" s="334" t="s">
        <v>627</v>
      </c>
      <c r="K395" s="34">
        <v>42966</v>
      </c>
      <c r="L395" s="1398">
        <v>356</v>
      </c>
      <c r="M395" s="8">
        <v>2.0405092592592593E-2</v>
      </c>
      <c r="N395" s="3">
        <v>1.087962962962963E-2</v>
      </c>
      <c r="O395" s="3">
        <v>1.2488425925925925E-2</v>
      </c>
      <c r="W395" s="1">
        <f t="shared" si="55"/>
        <v>2.965985887497663E-4</v>
      </c>
      <c r="X395" s="1">
        <f t="shared" si="56"/>
        <v>-2.965985887497663E-4</v>
      </c>
      <c r="Y395" s="9"/>
      <c r="AB395" s="1">
        <f t="shared" si="42"/>
        <v>1.2962962962962954E-3</v>
      </c>
      <c r="AC395" s="1"/>
      <c r="AE395" s="1"/>
      <c r="AF395" s="1"/>
    </row>
    <row r="396" spans="1:32" x14ac:dyDescent="0.2">
      <c r="A396">
        <v>1801</v>
      </c>
      <c r="B396" s="556" t="s">
        <v>15733</v>
      </c>
      <c r="C396" s="532" t="s">
        <v>15729</v>
      </c>
      <c r="D396" s="531">
        <f>Runners!W1200</f>
        <v>1</v>
      </c>
      <c r="E396" s="541">
        <f>Runners!W1199</f>
        <v>1</v>
      </c>
      <c r="F396" s="534" t="s">
        <v>756</v>
      </c>
      <c r="G396" s="1">
        <v>2.0243055555555552E-2</v>
      </c>
      <c r="H396" s="1707"/>
      <c r="J396" s="1414" t="s">
        <v>756</v>
      </c>
      <c r="K396" s="1379">
        <v>43743</v>
      </c>
      <c r="L396" s="1398"/>
      <c r="M396" s="8">
        <v>2.0324074074074074E-2</v>
      </c>
      <c r="N396" s="3">
        <v>1.0231481481481482E-2</v>
      </c>
      <c r="O396" s="3">
        <v>1.3819444444444445E-2</v>
      </c>
      <c r="W396" s="1">
        <f t="shared" si="55"/>
        <v>9.44746736897914E-4</v>
      </c>
      <c r="X396" s="1">
        <f t="shared" si="56"/>
        <v>-9.44746736897914E-4</v>
      </c>
      <c r="Y396" s="9"/>
      <c r="AB396" s="1">
        <f t="shared" si="42"/>
        <v>6.481481481481477E-4</v>
      </c>
      <c r="AC396" s="1"/>
      <c r="AE396" s="1"/>
      <c r="AF396" s="1"/>
    </row>
    <row r="397" spans="1:32" x14ac:dyDescent="0.2">
      <c r="A397">
        <v>250</v>
      </c>
      <c r="B397" s="556" t="s">
        <v>11613</v>
      </c>
      <c r="C397" s="532" t="s">
        <v>11552</v>
      </c>
      <c r="D397" s="531">
        <f>Runners!J1023</f>
        <v>1</v>
      </c>
      <c r="E397" s="541">
        <f>Runners!J1022</f>
        <v>1</v>
      </c>
      <c r="F397" s="79" t="s">
        <v>1000</v>
      </c>
      <c r="G397" s="1">
        <v>2.0763888888888887E-2</v>
      </c>
      <c r="H397" s="5"/>
      <c r="J397" s="334" t="s">
        <v>1000</v>
      </c>
      <c r="K397" s="34">
        <v>43477</v>
      </c>
      <c r="L397" s="1398">
        <v>462</v>
      </c>
      <c r="M397" s="8">
        <v>2.0520833333333332E-2</v>
      </c>
      <c r="N397" s="3">
        <v>1.1435185185185185E-2</v>
      </c>
      <c r="O397" s="3">
        <v>1.3912037037037037E-2</v>
      </c>
      <c r="W397" s="1">
        <f t="shared" si="55"/>
        <v>-2.5895696680578936E-4</v>
      </c>
      <c r="X397" s="1">
        <f t="shared" si="56"/>
        <v>2.5895696680578936E-4</v>
      </c>
      <c r="Y397" s="9"/>
      <c r="AB397" s="1">
        <f t="shared" si="42"/>
        <v>1.8518518518518511E-3</v>
      </c>
      <c r="AC397" s="1"/>
      <c r="AE397" s="1"/>
      <c r="AF397" s="1"/>
    </row>
    <row r="398" spans="1:32" x14ac:dyDescent="0.2">
      <c r="A398">
        <v>133</v>
      </c>
      <c r="B398" s="27" t="s">
        <v>1711</v>
      </c>
      <c r="C398" s="74" t="s">
        <v>1003</v>
      </c>
      <c r="D398" s="531">
        <f>Runners!N216</f>
        <v>22</v>
      </c>
      <c r="E398" s="541">
        <f>Runners!N215</f>
        <v>44</v>
      </c>
      <c r="F398" s="6" t="s">
        <v>5882</v>
      </c>
      <c r="G398" s="1">
        <v>1.4687499999999999E-2</v>
      </c>
      <c r="H398" s="968" t="s">
        <v>9806</v>
      </c>
      <c r="I398" s="334">
        <v>1.4305555555555557E-2</v>
      </c>
      <c r="J398" s="1" t="s">
        <v>5882</v>
      </c>
      <c r="K398" s="34">
        <v>40909</v>
      </c>
      <c r="L398" s="1398">
        <v>14</v>
      </c>
      <c r="M398" s="8">
        <v>1.9027777777777779E-2</v>
      </c>
      <c r="N398" s="3">
        <v>1.037037037037037E-2</v>
      </c>
      <c r="O398" s="3">
        <v>1.1840277777777778E-2</v>
      </c>
      <c r="Q398" s="530" t="s">
        <v>8701</v>
      </c>
      <c r="R398" s="530"/>
      <c r="S398" s="530"/>
      <c r="W398" s="1">
        <f t="shared" si="55"/>
        <v>8.0585784800902595E-4</v>
      </c>
      <c r="X398" s="1">
        <f t="shared" si="56"/>
        <v>-8.0585784800902595E-4</v>
      </c>
      <c r="Y398" s="9">
        <v>41</v>
      </c>
      <c r="Z398">
        <f t="shared" si="0"/>
        <v>1681</v>
      </c>
      <c r="AB398" s="1">
        <f t="shared" si="42"/>
        <v>7.8703703703703574E-4</v>
      </c>
      <c r="AC398" s="1"/>
      <c r="AE398" s="1"/>
      <c r="AF398" s="1"/>
    </row>
    <row r="399" spans="1:32" x14ac:dyDescent="0.2">
      <c r="A399">
        <v>499</v>
      </c>
      <c r="B399" s="27" t="s">
        <v>9151</v>
      </c>
      <c r="C399" s="415" t="s">
        <v>9152</v>
      </c>
      <c r="D399" s="531">
        <f>Runners!T1271</f>
        <v>2</v>
      </c>
      <c r="E399" s="541">
        <f>Runners!T1270</f>
        <v>2</v>
      </c>
      <c r="F399" s="6"/>
      <c r="H399" s="513" t="s">
        <v>1440</v>
      </c>
      <c r="I399" s="1">
        <v>2.101851851851852E-2</v>
      </c>
      <c r="J399" s="512" t="s">
        <v>9153</v>
      </c>
      <c r="K399" s="34">
        <v>43127</v>
      </c>
      <c r="L399" s="1398">
        <v>380</v>
      </c>
      <c r="M399" s="8">
        <v>2.1307870370370369E-2</v>
      </c>
      <c r="N399" s="3">
        <v>1.1030092592592591E-2</v>
      </c>
      <c r="O399" s="3">
        <v>1.2164351851851852E-2</v>
      </c>
      <c r="W399" s="1">
        <f t="shared" si="55"/>
        <v>1.4613562578680468E-4</v>
      </c>
      <c r="X399" s="1">
        <f t="shared" si="56"/>
        <v>-1.4613562578680468E-4</v>
      </c>
      <c r="Y399" s="9"/>
      <c r="AB399" s="1">
        <f t="shared" si="42"/>
        <v>1.446759259259257E-3</v>
      </c>
      <c r="AC399" s="1"/>
      <c r="AE399" s="1"/>
      <c r="AF399" s="1"/>
    </row>
    <row r="400" spans="1:32" x14ac:dyDescent="0.2">
      <c r="A400">
        <v>431</v>
      </c>
      <c r="B400" s="27" t="s">
        <v>3405</v>
      </c>
      <c r="C400" s="74" t="s">
        <v>3404</v>
      </c>
      <c r="D400" s="24">
        <f>Runners!P1410</f>
        <v>3</v>
      </c>
      <c r="E400" s="183">
        <f>Runners!P1409</f>
        <v>6</v>
      </c>
      <c r="F400" s="6" t="s">
        <v>4637</v>
      </c>
      <c r="G400" s="1">
        <v>1.9918981481481482E-2</v>
      </c>
      <c r="J400" s="1" t="s">
        <v>4637</v>
      </c>
      <c r="K400" s="34">
        <v>41790</v>
      </c>
      <c r="L400" s="9">
        <v>108</v>
      </c>
      <c r="M400" s="8">
        <v>2.7523148148148147E-2</v>
      </c>
      <c r="N400" s="3">
        <v>9.9189814814814817E-3</v>
      </c>
      <c r="O400" s="3">
        <v>1.1516203703703702E-2</v>
      </c>
      <c r="W400" s="1">
        <f t="shared" si="55"/>
        <v>1.2572467368979143E-3</v>
      </c>
      <c r="X400" s="1">
        <f t="shared" si="56"/>
        <v>-1.2572467368979143E-3</v>
      </c>
      <c r="Y400" s="9">
        <v>1</v>
      </c>
      <c r="Z400">
        <f t="shared" si="0"/>
        <v>1</v>
      </c>
      <c r="AB400" s="1">
        <f t="shared" si="42"/>
        <v>3.3564814814814742E-4</v>
      </c>
      <c r="AC400" s="1"/>
      <c r="AE400" s="1"/>
      <c r="AF400" s="1"/>
    </row>
    <row r="401" spans="1:32" x14ac:dyDescent="0.2">
      <c r="A401">
        <v>682</v>
      </c>
      <c r="B401" s="27" t="s">
        <v>1404</v>
      </c>
      <c r="C401" s="74" t="s">
        <v>1403</v>
      </c>
      <c r="D401" s="24">
        <f>Runners!R148</f>
        <v>35</v>
      </c>
      <c r="E401" s="183">
        <f>Runners!R147</f>
        <v>185</v>
      </c>
      <c r="F401" s="6" t="s">
        <v>13183</v>
      </c>
      <c r="G401" s="1">
        <v>1.4097222222222221E-2</v>
      </c>
      <c r="H401" s="1353" t="s">
        <v>9806</v>
      </c>
      <c r="I401" s="1354">
        <v>1.3703703703703704E-2</v>
      </c>
      <c r="J401" s="1" t="s">
        <v>5096</v>
      </c>
      <c r="K401" s="34">
        <v>41811</v>
      </c>
      <c r="L401" s="9">
        <v>111</v>
      </c>
      <c r="M401" s="8">
        <v>2.0219907407407409E-2</v>
      </c>
      <c r="N401" s="3">
        <v>1.0219907407407408E-2</v>
      </c>
      <c r="O401" s="3">
        <v>1.1967592592592592E-2</v>
      </c>
      <c r="P401" t="s">
        <v>659</v>
      </c>
      <c r="W401" s="1">
        <f t="shared" si="55"/>
        <v>9.5632081097198757E-4</v>
      </c>
      <c r="X401" s="1">
        <f t="shared" si="56"/>
        <v>-9.5632081097198757E-4</v>
      </c>
      <c r="Y401" s="9">
        <v>65</v>
      </c>
      <c r="Z401">
        <f t="shared" si="0"/>
        <v>4225</v>
      </c>
      <c r="AB401" s="1">
        <f t="shared" si="42"/>
        <v>6.3657407407407413E-4</v>
      </c>
      <c r="AC401" s="1"/>
      <c r="AE401" s="1"/>
      <c r="AF401" s="1"/>
    </row>
    <row r="402" spans="1:32" x14ac:dyDescent="0.2">
      <c r="A402">
        <v>1130</v>
      </c>
      <c r="B402" s="27" t="s">
        <v>2327</v>
      </c>
      <c r="C402" s="74" t="s">
        <v>2326</v>
      </c>
      <c r="D402" s="24">
        <f>Runners!O1048</f>
        <v>1</v>
      </c>
      <c r="E402" s="183">
        <f>Runners!O1047</f>
        <v>1</v>
      </c>
      <c r="F402" s="6" t="s">
        <v>4637</v>
      </c>
      <c r="G402" s="1">
        <v>1.6608796296296299E-2</v>
      </c>
      <c r="J402" s="1" t="s">
        <v>4637</v>
      </c>
      <c r="K402" s="34">
        <v>42224</v>
      </c>
      <c r="L402" s="9">
        <v>190</v>
      </c>
      <c r="M402" s="8">
        <v>2.0509259259259258E-2</v>
      </c>
      <c r="N402" s="3">
        <v>1.1967592592592592E-2</v>
      </c>
      <c r="O402" s="3">
        <v>1.2731481481481481E-2</v>
      </c>
      <c r="W402" s="1">
        <f t="shared" si="55"/>
        <v>-7.9136437421319615E-4</v>
      </c>
      <c r="X402" s="1">
        <f t="shared" si="56"/>
        <v>7.9136437421319615E-4</v>
      </c>
      <c r="Y402" s="9">
        <v>86</v>
      </c>
      <c r="Z402">
        <f t="shared" si="0"/>
        <v>7396</v>
      </c>
      <c r="AB402" s="1">
        <f t="shared" si="42"/>
        <v>2.3842592592592578E-3</v>
      </c>
      <c r="AC402" s="1"/>
      <c r="AE402" s="1"/>
      <c r="AF402" s="1"/>
    </row>
    <row r="403" spans="1:32" x14ac:dyDescent="0.2">
      <c r="A403">
        <v>181</v>
      </c>
      <c r="B403" s="27" t="s">
        <v>1619</v>
      </c>
      <c r="C403" s="74" t="s">
        <v>2588</v>
      </c>
      <c r="D403" s="24">
        <f>Runners!N974</f>
        <v>4</v>
      </c>
      <c r="E403" s="183">
        <f>Runners!N973</f>
        <v>4</v>
      </c>
      <c r="F403" s="6" t="s">
        <v>1270</v>
      </c>
      <c r="G403" s="1">
        <v>1.4039351851851851E-2</v>
      </c>
      <c r="J403" s="1" t="s">
        <v>1000</v>
      </c>
      <c r="K403" s="34">
        <v>41223</v>
      </c>
      <c r="L403" s="9">
        <v>43</v>
      </c>
      <c r="M403" s="8">
        <v>1.8993055555555558E-2</v>
      </c>
      <c r="N403" s="3">
        <v>1.0567129629629629E-2</v>
      </c>
      <c r="O403" s="3">
        <v>1.2233796296296296E-2</v>
      </c>
      <c r="W403" s="1">
        <f t="shared" si="55"/>
        <v>6.0909858874976658E-4</v>
      </c>
      <c r="X403" s="1">
        <f t="shared" si="56"/>
        <v>-6.0909858874976658E-4</v>
      </c>
      <c r="Y403" s="9">
        <v>35</v>
      </c>
      <c r="Z403">
        <f t="shared" si="0"/>
        <v>1225</v>
      </c>
      <c r="AB403" s="1">
        <f t="shared" si="42"/>
        <v>9.8379629629629511E-4</v>
      </c>
      <c r="AC403" s="1"/>
      <c r="AE403" s="1"/>
      <c r="AF403" s="1"/>
    </row>
    <row r="404" spans="1:32" x14ac:dyDescent="0.2">
      <c r="A404">
        <v>101</v>
      </c>
      <c r="B404" s="27" t="s">
        <v>3506</v>
      </c>
      <c r="C404" s="74" t="s">
        <v>3502</v>
      </c>
      <c r="D404" s="24">
        <f>Runners!N815</f>
        <v>3</v>
      </c>
      <c r="E404" s="183">
        <f>Runners!N814</f>
        <v>6</v>
      </c>
      <c r="F404" s="6" t="s">
        <v>909</v>
      </c>
      <c r="G404" s="1">
        <v>1.6527777777777777E-2</v>
      </c>
      <c r="H404" s="513" t="s">
        <v>748</v>
      </c>
      <c r="I404" s="1">
        <v>2.2881944444444444E-2</v>
      </c>
      <c r="J404" s="1" t="s">
        <v>909</v>
      </c>
      <c r="K404" s="34">
        <v>42336</v>
      </c>
      <c r="L404" s="9">
        <v>210</v>
      </c>
      <c r="M404" s="8">
        <v>1.8217592592592594E-2</v>
      </c>
      <c r="N404" s="3">
        <v>1.0543981481481481E-2</v>
      </c>
      <c r="O404" s="3">
        <v>1.1828703703703704E-2</v>
      </c>
      <c r="W404" s="1">
        <f t="shared" si="55"/>
        <v>6.3224673689791545E-4</v>
      </c>
      <c r="X404" s="1">
        <f t="shared" si="56"/>
        <v>-6.3224673689791545E-4</v>
      </c>
      <c r="Y404" s="9">
        <v>37</v>
      </c>
      <c r="Z404">
        <f t="shared" si="0"/>
        <v>1369</v>
      </c>
      <c r="AB404" s="1">
        <f t="shared" si="42"/>
        <v>9.6064814814814624E-4</v>
      </c>
      <c r="AC404" s="1"/>
      <c r="AE404" s="1"/>
      <c r="AF404" s="1"/>
    </row>
    <row r="405" spans="1:32" x14ac:dyDescent="0.2">
      <c r="A405">
        <v>1517</v>
      </c>
      <c r="B405" s="27" t="s">
        <v>4910</v>
      </c>
      <c r="C405" s="74" t="s">
        <v>4916</v>
      </c>
      <c r="D405" s="24">
        <f>Runners!G1378</f>
        <v>2</v>
      </c>
      <c r="E405" s="183">
        <f>Runners!G1377</f>
        <v>3</v>
      </c>
      <c r="F405" s="6" t="s">
        <v>1000</v>
      </c>
      <c r="G405" s="1">
        <v>2.0601851851851854E-2</v>
      </c>
      <c r="J405" s="1" t="s">
        <v>1000</v>
      </c>
      <c r="K405" s="34">
        <v>42616</v>
      </c>
      <c r="L405" s="9">
        <v>285</v>
      </c>
      <c r="M405" s="8">
        <v>2.2395833333333334E-2</v>
      </c>
      <c r="N405" s="3">
        <v>1.1770833333333333E-2</v>
      </c>
      <c r="O405" s="3">
        <v>1.4791666666666668E-2</v>
      </c>
      <c r="W405" s="1">
        <f t="shared" si="55"/>
        <v>-5.9460511495393678E-4</v>
      </c>
      <c r="X405" s="1">
        <f t="shared" si="56"/>
        <v>5.9460511495393678E-4</v>
      </c>
      <c r="Y405" s="9"/>
      <c r="AB405" s="1">
        <f t="shared" si="42"/>
        <v>2.1874999999999985E-3</v>
      </c>
      <c r="AC405" s="1"/>
      <c r="AE405" s="1"/>
      <c r="AF405" s="1"/>
    </row>
    <row r="406" spans="1:32" x14ac:dyDescent="0.2">
      <c r="A406">
        <v>956</v>
      </c>
      <c r="B406" s="552" t="s">
        <v>7939</v>
      </c>
      <c r="C406" s="532" t="s">
        <v>7940</v>
      </c>
      <c r="D406" s="531">
        <f>Runners!P1048</f>
        <v>2</v>
      </c>
      <c r="E406" s="541">
        <f>Runners!P1047</f>
        <v>2</v>
      </c>
      <c r="F406" s="79" t="s">
        <v>1000</v>
      </c>
      <c r="G406" s="1">
        <v>1.9421296296296294E-2</v>
      </c>
      <c r="H406" s="80" t="s">
        <v>1062</v>
      </c>
      <c r="I406" s="1">
        <v>4.1655092592592598E-2</v>
      </c>
      <c r="J406" s="334" t="s">
        <v>1000</v>
      </c>
      <c r="K406" s="34">
        <v>42882</v>
      </c>
      <c r="L406" s="9">
        <v>338</v>
      </c>
      <c r="M406" s="8">
        <v>2.0798611111111111E-2</v>
      </c>
      <c r="N406" s="3">
        <v>1.1076388888888887E-2</v>
      </c>
      <c r="O406" s="3">
        <v>1.2291666666666666E-2</v>
      </c>
      <c r="Q406" t="s">
        <v>7941</v>
      </c>
      <c r="W406" s="1">
        <f t="shared" si="55"/>
        <v>9.9839329490508666E-5</v>
      </c>
      <c r="X406" s="1">
        <f t="shared" si="56"/>
        <v>-9.9839329490508666E-5</v>
      </c>
      <c r="Y406" s="9"/>
      <c r="AB406" s="1">
        <f t="shared" si="42"/>
        <v>1.493055555555553E-3</v>
      </c>
      <c r="AC406" s="1"/>
      <c r="AE406" s="1"/>
      <c r="AF406" s="1"/>
    </row>
    <row r="407" spans="1:32" x14ac:dyDescent="0.2">
      <c r="A407">
        <v>184</v>
      </c>
      <c r="B407" s="27" t="s">
        <v>512</v>
      </c>
      <c r="C407" s="15" t="s">
        <v>2691</v>
      </c>
      <c r="D407" s="24">
        <f>Runners!L500</f>
        <v>5</v>
      </c>
      <c r="E407" s="183">
        <f>Runners!L499</f>
        <v>51</v>
      </c>
      <c r="F407" s="6" t="s">
        <v>131</v>
      </c>
      <c r="G407" s="1">
        <v>1.5462962962962963E-2</v>
      </c>
      <c r="J407" s="1" t="s">
        <v>1000</v>
      </c>
      <c r="K407" s="34">
        <v>40992</v>
      </c>
      <c r="L407" s="9">
        <v>20</v>
      </c>
      <c r="M407" s="8">
        <v>1.8402777777777778E-2</v>
      </c>
      <c r="N407" s="3">
        <v>1.0532407407407407E-2</v>
      </c>
      <c r="O407" s="3">
        <v>1.2766203703703703E-2</v>
      </c>
      <c r="P407" t="s">
        <v>5755</v>
      </c>
      <c r="Q407" s="53"/>
      <c r="R407" s="53"/>
      <c r="W407" s="1">
        <f t="shared" si="55"/>
        <v>6.4382081097198902E-4</v>
      </c>
      <c r="X407" s="1">
        <f t="shared" si="56"/>
        <v>-6.4382081097198902E-4</v>
      </c>
      <c r="Y407" s="9">
        <v>38</v>
      </c>
      <c r="Z407">
        <f t="shared" si="0"/>
        <v>1444</v>
      </c>
      <c r="AB407" s="1">
        <f t="shared" si="42"/>
        <v>9.4907407407407267E-4</v>
      </c>
      <c r="AC407" s="1"/>
      <c r="AE407" s="1"/>
      <c r="AF407" s="1"/>
    </row>
    <row r="408" spans="1:32" x14ac:dyDescent="0.2">
      <c r="A408">
        <v>56</v>
      </c>
      <c r="B408" s="27" t="s">
        <v>1706</v>
      </c>
      <c r="C408" s="74" t="s">
        <v>4513</v>
      </c>
      <c r="D408" s="24">
        <f>Runners!S148</f>
        <v>24</v>
      </c>
      <c r="E408" s="183">
        <f>Runners!S147</f>
        <v>94</v>
      </c>
      <c r="F408" s="6" t="s">
        <v>1270</v>
      </c>
      <c r="G408" s="1">
        <v>1.3842592592592594E-2</v>
      </c>
      <c r="H408" s="513" t="s">
        <v>9806</v>
      </c>
      <c r="I408" s="1">
        <v>1.486111111111111E-2</v>
      </c>
      <c r="J408" s="1" t="s">
        <v>4778</v>
      </c>
      <c r="K408" s="34">
        <v>40411</v>
      </c>
      <c r="L408" s="9">
        <v>7</v>
      </c>
      <c r="M408" s="8">
        <v>1.8622685185185183E-2</v>
      </c>
      <c r="N408" s="3">
        <v>1.0937499999999999E-2</v>
      </c>
      <c r="O408" s="3">
        <v>1.1875E-2</v>
      </c>
      <c r="P408" t="s">
        <v>247</v>
      </c>
      <c r="Q408" s="346" t="s">
        <v>3327</v>
      </c>
      <c r="R408" s="346"/>
      <c r="S408" s="346"/>
      <c r="U408" s="197"/>
      <c r="W408" s="1">
        <f t="shared" si="55"/>
        <v>2.3872821837939671E-4</v>
      </c>
      <c r="X408" s="1">
        <f t="shared" si="56"/>
        <v>-2.3872821837939671E-4</v>
      </c>
      <c r="Y408" s="9">
        <v>3</v>
      </c>
      <c r="Z408">
        <f t="shared" si="0"/>
        <v>9</v>
      </c>
      <c r="AB408" s="1">
        <f t="shared" si="42"/>
        <v>1.354166666666665E-3</v>
      </c>
      <c r="AC408" s="1"/>
      <c r="AE408" s="1"/>
      <c r="AF408" s="1"/>
    </row>
    <row r="409" spans="1:32" x14ac:dyDescent="0.2">
      <c r="A409">
        <v>106</v>
      </c>
      <c r="B409" s="27" t="s">
        <v>1581</v>
      </c>
      <c r="C409" s="74" t="s">
        <v>800</v>
      </c>
      <c r="D409" s="24">
        <f>Runners!K1023</f>
        <v>1</v>
      </c>
      <c r="E409" s="183">
        <f>Runners!K1022</f>
        <v>1</v>
      </c>
      <c r="F409" s="6" t="s">
        <v>4584</v>
      </c>
      <c r="G409" s="1">
        <v>1.7858796296296296E-2</v>
      </c>
      <c r="J409" s="1" t="s">
        <v>4584</v>
      </c>
      <c r="K409" s="34">
        <v>41790</v>
      </c>
      <c r="L409" s="9">
        <v>107</v>
      </c>
      <c r="M409" s="8">
        <v>1.9710648148148147E-2</v>
      </c>
      <c r="N409" s="3">
        <v>1.0717592592592593E-2</v>
      </c>
      <c r="O409" s="3">
        <v>1.3101851851851852E-2</v>
      </c>
      <c r="W409" s="1">
        <f t="shared" si="55"/>
        <v>4.5863562578680322E-4</v>
      </c>
      <c r="X409" s="1">
        <f t="shared" si="56"/>
        <v>-4.5863562578680322E-4</v>
      </c>
      <c r="Y409" s="9">
        <v>22</v>
      </c>
      <c r="Z409">
        <f t="shared" si="0"/>
        <v>484</v>
      </c>
      <c r="AB409" s="1">
        <f t="shared" si="42"/>
        <v>1.1342592592592585E-3</v>
      </c>
      <c r="AC409" s="1"/>
      <c r="AE409" s="1"/>
      <c r="AF409" s="1"/>
    </row>
    <row r="410" spans="1:32" x14ac:dyDescent="0.2">
      <c r="A410">
        <v>584</v>
      </c>
      <c r="B410" s="27" t="s">
        <v>5629</v>
      </c>
      <c r="C410" s="74" t="s">
        <v>5642</v>
      </c>
      <c r="D410" s="24">
        <f>Runners!J1087</f>
        <v>5</v>
      </c>
      <c r="E410" s="183">
        <f>Runners!J1086</f>
        <v>5</v>
      </c>
      <c r="F410" s="1415" t="s">
        <v>8462</v>
      </c>
      <c r="G410" s="1432">
        <v>1.3680555555555555E-2</v>
      </c>
      <c r="H410" s="206" t="s">
        <v>2752</v>
      </c>
      <c r="I410" s="1">
        <v>1.7858796296296296E-2</v>
      </c>
      <c r="J410" s="254" t="s">
        <v>2752</v>
      </c>
      <c r="K410" s="34">
        <v>42175</v>
      </c>
      <c r="L410" s="9">
        <v>179</v>
      </c>
      <c r="M410" s="8">
        <v>1.9201388888888889E-2</v>
      </c>
      <c r="N410" s="3">
        <v>1.0868055555555556E-2</v>
      </c>
      <c r="O410" s="3">
        <v>1.2442129629629629E-2</v>
      </c>
      <c r="W410" s="1">
        <f t="shared" si="55"/>
        <v>3.0817266282383987E-4</v>
      </c>
      <c r="X410" s="1">
        <f t="shared" si="56"/>
        <v>-3.0817266282383987E-4</v>
      </c>
      <c r="Y410" s="9">
        <v>9</v>
      </c>
      <c r="Z410">
        <f t="shared" si="0"/>
        <v>81</v>
      </c>
      <c r="AB410" s="1">
        <f t="shared" si="42"/>
        <v>1.2847222222222218E-3</v>
      </c>
      <c r="AC410" s="1"/>
      <c r="AE410" s="1"/>
      <c r="AF410" s="1"/>
    </row>
    <row r="411" spans="1:32" x14ac:dyDescent="0.2">
      <c r="A411">
        <v>2145</v>
      </c>
      <c r="B411" s="493" t="s">
        <v>10733</v>
      </c>
      <c r="C411" s="415" t="s">
        <v>10735</v>
      </c>
      <c r="D411" s="24">
        <f>Runners!M1378</f>
        <v>1</v>
      </c>
      <c r="E411" s="183">
        <f>Runners!M1377</f>
        <v>1</v>
      </c>
      <c r="F411" s="79" t="s">
        <v>756</v>
      </c>
      <c r="G411" s="334">
        <v>1.8587962962962962E-2</v>
      </c>
      <c r="H411" s="206"/>
      <c r="J411" s="265" t="s">
        <v>756</v>
      </c>
      <c r="K411" s="34">
        <v>43372</v>
      </c>
      <c r="L411" s="1398">
        <v>443</v>
      </c>
      <c r="W411" s="1"/>
      <c r="X411" s="1"/>
      <c r="Y411" s="9"/>
      <c r="AB411" s="1"/>
      <c r="AC411" s="1"/>
      <c r="AE411" s="1"/>
      <c r="AF411" s="1"/>
    </row>
    <row r="412" spans="1:32" x14ac:dyDescent="0.2">
      <c r="A412">
        <v>403</v>
      </c>
      <c r="B412" s="27" t="s">
        <v>4795</v>
      </c>
      <c r="C412" s="74" t="s">
        <v>1805</v>
      </c>
      <c r="D412" s="24">
        <f>Runners!M500</f>
        <v>4</v>
      </c>
      <c r="E412" s="183">
        <f>Runners!M499</f>
        <v>6</v>
      </c>
      <c r="F412" s="52" t="s">
        <v>298</v>
      </c>
      <c r="G412" s="32">
        <v>1.6562500000000001E-2</v>
      </c>
      <c r="H412" s="5" t="s">
        <v>5903</v>
      </c>
      <c r="I412" s="1">
        <v>1.8912037037037036E-2</v>
      </c>
      <c r="J412" s="1" t="s">
        <v>4778</v>
      </c>
      <c r="K412" s="34">
        <v>42119</v>
      </c>
      <c r="L412" s="1398">
        <v>162</v>
      </c>
      <c r="M412" s="8">
        <v>1.9930555555555556E-2</v>
      </c>
      <c r="N412" s="3">
        <v>1.1076388888888887E-2</v>
      </c>
      <c r="O412" s="3">
        <v>1.2673611111111109E-2</v>
      </c>
      <c r="Q412" s="53"/>
      <c r="R412" s="53"/>
      <c r="U412" s="53"/>
      <c r="W412" s="1">
        <f t="shared" ref="W412:W443" si="57">$N$700-N412</f>
        <v>9.9839329490508666E-5</v>
      </c>
      <c r="X412" s="1">
        <f t="shared" ref="X412:X443" si="58">N412-$N$700</f>
        <v>-9.9839329490508666E-5</v>
      </c>
      <c r="Y412" s="9">
        <v>9</v>
      </c>
      <c r="Z412">
        <f t="shared" si="0"/>
        <v>81</v>
      </c>
      <c r="AB412" s="1">
        <f t="shared" si="42"/>
        <v>1.493055555555553E-3</v>
      </c>
      <c r="AC412" s="1"/>
      <c r="AE412" s="1"/>
      <c r="AF412" s="1"/>
    </row>
    <row r="413" spans="1:32" x14ac:dyDescent="0.2">
      <c r="A413">
        <v>620</v>
      </c>
      <c r="B413" s="27" t="s">
        <v>2016</v>
      </c>
      <c r="C413" s="74" t="s">
        <v>5453</v>
      </c>
      <c r="D413" s="24">
        <f>Runners!T148</f>
        <v>50</v>
      </c>
      <c r="E413" s="183">
        <f>Runners!T147</f>
        <v>227</v>
      </c>
      <c r="F413" s="1415" t="s">
        <v>8462</v>
      </c>
      <c r="G413" s="1412">
        <v>1.3356481481481483E-2</v>
      </c>
      <c r="H413" s="513" t="s">
        <v>9806</v>
      </c>
      <c r="I413" s="1">
        <v>1.3854166666666666E-2</v>
      </c>
      <c r="J413" s="1" t="s">
        <v>1270</v>
      </c>
      <c r="K413" s="34">
        <v>41517</v>
      </c>
      <c r="L413" s="1398">
        <v>68</v>
      </c>
      <c r="M413" s="8">
        <v>2.0150462962962964E-2</v>
      </c>
      <c r="N413" s="3">
        <v>1.0925925925925924E-2</v>
      </c>
      <c r="O413" s="3">
        <v>1.3020833333333334E-2</v>
      </c>
      <c r="Q413" s="1410"/>
      <c r="R413" s="1410"/>
      <c r="U413" s="197"/>
      <c r="W413" s="1">
        <f t="shared" si="57"/>
        <v>2.5030229245347202E-4</v>
      </c>
      <c r="X413" s="1">
        <f t="shared" si="58"/>
        <v>-2.5030229245347202E-4</v>
      </c>
      <c r="Y413" s="9">
        <v>4</v>
      </c>
      <c r="Z413">
        <f t="shared" si="0"/>
        <v>16</v>
      </c>
      <c r="AB413" s="1">
        <f t="shared" si="42"/>
        <v>1.3425925925925897E-3</v>
      </c>
      <c r="AC413" s="1"/>
      <c r="AE413" s="1"/>
      <c r="AF413" s="1"/>
    </row>
    <row r="414" spans="1:32" x14ac:dyDescent="0.2">
      <c r="A414">
        <v>81</v>
      </c>
      <c r="B414" s="27" t="s">
        <v>1616</v>
      </c>
      <c r="C414" s="74" t="s">
        <v>5963</v>
      </c>
      <c r="D414" s="24">
        <f>Runners!W374</f>
        <v>6</v>
      </c>
      <c r="E414" s="183">
        <f>Runners!W373</f>
        <v>7</v>
      </c>
      <c r="F414" s="79" t="s">
        <v>1270</v>
      </c>
      <c r="G414" s="1">
        <v>1.3842592592592594E-2</v>
      </c>
      <c r="H414" t="s">
        <v>3254</v>
      </c>
      <c r="I414" s="1">
        <v>1.7916666666666668E-2</v>
      </c>
      <c r="J414" s="1" t="s">
        <v>1000</v>
      </c>
      <c r="K414" s="34">
        <v>40957</v>
      </c>
      <c r="L414" s="1398">
        <v>18</v>
      </c>
      <c r="M414" s="8">
        <v>1.8148148148148146E-2</v>
      </c>
      <c r="N414" s="3">
        <v>1.0833333333333334E-2</v>
      </c>
      <c r="O414" s="3">
        <v>1.2037037037037035E-2</v>
      </c>
      <c r="Q414" s="53"/>
      <c r="R414" s="53"/>
      <c r="U414" s="53"/>
      <c r="W414" s="1">
        <f t="shared" si="57"/>
        <v>3.4289488504606232E-4</v>
      </c>
      <c r="X414" s="1">
        <f t="shared" si="58"/>
        <v>-3.4289488504606232E-4</v>
      </c>
      <c r="Y414" s="9">
        <v>12</v>
      </c>
      <c r="Z414">
        <f t="shared" si="0"/>
        <v>144</v>
      </c>
      <c r="AB414" s="1">
        <f t="shared" si="42"/>
        <v>1.2499999999999994E-3</v>
      </c>
      <c r="AC414" s="1"/>
      <c r="AE414" s="1"/>
      <c r="AF414" s="1"/>
    </row>
    <row r="415" spans="1:32" x14ac:dyDescent="0.2">
      <c r="A415">
        <v>1399</v>
      </c>
      <c r="B415" s="27" t="s">
        <v>3657</v>
      </c>
      <c r="C415" s="15" t="s">
        <v>5526</v>
      </c>
      <c r="D415" s="24">
        <f>Runners!R1289</f>
        <v>2</v>
      </c>
      <c r="E415" s="183">
        <f>Runners!R1288</f>
        <v>2</v>
      </c>
      <c r="F415" s="6" t="s">
        <v>909</v>
      </c>
      <c r="G415" s="1">
        <v>2.1307870370370369E-2</v>
      </c>
      <c r="H415" t="s">
        <v>5894</v>
      </c>
      <c r="I415" s="1">
        <v>2.1296296296296299E-2</v>
      </c>
      <c r="J415" s="1" t="s">
        <v>5493</v>
      </c>
      <c r="K415" s="34">
        <v>42427</v>
      </c>
      <c r="L415" s="1398">
        <v>230</v>
      </c>
      <c r="M415" s="8">
        <v>2.3402777777777783E-2</v>
      </c>
      <c r="N415" s="3">
        <v>1.2511574074074073E-2</v>
      </c>
      <c r="O415" s="3">
        <v>1.2615740740740742E-2</v>
      </c>
      <c r="Q415" s="53"/>
      <c r="R415" s="53"/>
      <c r="U415" s="53"/>
      <c r="W415" s="1">
        <f t="shared" si="57"/>
        <v>-1.3353458556946765E-3</v>
      </c>
      <c r="X415" s="1">
        <f t="shared" si="58"/>
        <v>1.3353458556946765E-3</v>
      </c>
      <c r="Y415" s="99">
        <v>133</v>
      </c>
      <c r="Z415">
        <f t="shared" si="0"/>
        <v>17689</v>
      </c>
      <c r="AB415" s="1">
        <f t="shared" si="42"/>
        <v>2.9282407407407382E-3</v>
      </c>
      <c r="AC415" s="1"/>
      <c r="AE415" s="1"/>
      <c r="AF415" s="1"/>
    </row>
    <row r="416" spans="1:32" x14ac:dyDescent="0.2">
      <c r="A416">
        <v>1018</v>
      </c>
      <c r="B416" s="27" t="s">
        <v>3417</v>
      </c>
      <c r="C416" s="74" t="s">
        <v>778</v>
      </c>
      <c r="D416" s="24">
        <f>Runners!V539</f>
        <v>6</v>
      </c>
      <c r="E416" s="183">
        <f>Runners!V538</f>
        <v>6</v>
      </c>
      <c r="F416" s="6" t="s">
        <v>5096</v>
      </c>
      <c r="G416" s="1">
        <v>1.5196759259259259E-2</v>
      </c>
      <c r="H416" s="206" t="s">
        <v>2670</v>
      </c>
      <c r="I416" s="1">
        <v>1.554398148148148E-2</v>
      </c>
      <c r="J416" s="1" t="s">
        <v>5096</v>
      </c>
      <c r="K416" s="34">
        <v>41998</v>
      </c>
      <c r="L416" s="1398">
        <v>147</v>
      </c>
      <c r="M416" s="8">
        <v>2.0104166666666666E-2</v>
      </c>
      <c r="N416" s="3">
        <v>1.0208333333333333E-2</v>
      </c>
      <c r="O416" s="3">
        <v>1.2083333333333333E-2</v>
      </c>
      <c r="Q416" s="53"/>
      <c r="R416" s="53"/>
      <c r="U416" s="53"/>
      <c r="W416" s="1">
        <f t="shared" si="57"/>
        <v>9.6789488504606287E-4</v>
      </c>
      <c r="X416" s="1">
        <f t="shared" si="58"/>
        <v>-9.6789488504606287E-4</v>
      </c>
      <c r="Y416" s="9">
        <v>18</v>
      </c>
      <c r="Z416">
        <f t="shared" si="0"/>
        <v>324</v>
      </c>
      <c r="AB416" s="1">
        <f t="shared" si="42"/>
        <v>6.2499999999999882E-4</v>
      </c>
      <c r="AC416" s="1"/>
      <c r="AE416" s="1"/>
      <c r="AF416" s="1"/>
    </row>
    <row r="417" spans="1:32" x14ac:dyDescent="0.2">
      <c r="A417">
        <v>837</v>
      </c>
      <c r="B417" s="27" t="s">
        <v>2967</v>
      </c>
      <c r="C417" s="415" t="s">
        <v>2966</v>
      </c>
      <c r="D417" s="24">
        <f>Runners!S787</f>
        <v>3</v>
      </c>
      <c r="E417" s="183">
        <f>Runners!S786</f>
        <v>3</v>
      </c>
      <c r="F417" s="6" t="s">
        <v>1000</v>
      </c>
      <c r="G417" s="1">
        <v>1.9872685185185184E-2</v>
      </c>
      <c r="J417" s="32" t="s">
        <v>1000</v>
      </c>
      <c r="K417" s="34">
        <v>41895</v>
      </c>
      <c r="L417" s="1398">
        <v>128</v>
      </c>
      <c r="M417" s="8">
        <v>2.0798611111111111E-2</v>
      </c>
      <c r="N417" s="3">
        <v>1.1689814814814814E-2</v>
      </c>
      <c r="O417" s="3">
        <v>1.3993055555555555E-2</v>
      </c>
      <c r="Q417" s="53"/>
      <c r="R417" s="53"/>
      <c r="U417" s="53"/>
      <c r="W417" s="1">
        <f t="shared" si="57"/>
        <v>-5.1358659643541832E-4</v>
      </c>
      <c r="X417" s="1">
        <f t="shared" si="58"/>
        <v>5.1358659643541832E-4</v>
      </c>
      <c r="Y417" s="9">
        <v>62</v>
      </c>
      <c r="Z417">
        <f t="shared" si="0"/>
        <v>3844</v>
      </c>
      <c r="AB417" s="1">
        <f t="shared" si="42"/>
        <v>2.10648148148148E-3</v>
      </c>
      <c r="AC417" s="1"/>
      <c r="AE417" s="1"/>
      <c r="AF417" s="1"/>
    </row>
    <row r="418" spans="1:32" x14ac:dyDescent="0.2">
      <c r="A418">
        <v>396</v>
      </c>
      <c r="B418" s="27" t="s">
        <v>292</v>
      </c>
      <c r="C418" s="74" t="s">
        <v>3620</v>
      </c>
      <c r="D418" s="24">
        <f>Runners!S1289</f>
        <v>2</v>
      </c>
      <c r="E418" s="183">
        <f>Runners!S1288</f>
        <v>2</v>
      </c>
      <c r="F418" s="6" t="s">
        <v>909</v>
      </c>
      <c r="G418" s="1">
        <v>2.0081018518518519E-2</v>
      </c>
      <c r="H418" s="80" t="s">
        <v>5894</v>
      </c>
      <c r="I418" s="1">
        <v>2.0057870370370368E-2</v>
      </c>
      <c r="J418" s="1" t="s">
        <v>5061</v>
      </c>
      <c r="K418" s="34">
        <v>42175</v>
      </c>
      <c r="L418" s="1398">
        <v>178</v>
      </c>
      <c r="M418" s="8">
        <v>2.0254629629629629E-2</v>
      </c>
      <c r="N418" s="3">
        <v>1.0185185185185184E-2</v>
      </c>
      <c r="O418" s="3">
        <v>1.1435185185185185E-2</v>
      </c>
      <c r="Q418" s="53"/>
      <c r="R418" s="53"/>
      <c r="U418" s="53"/>
      <c r="W418" s="1">
        <f t="shared" si="57"/>
        <v>9.9104303319421175E-4</v>
      </c>
      <c r="X418" s="1">
        <f t="shared" si="58"/>
        <v>-9.9104303319421175E-4</v>
      </c>
      <c r="Y418" s="9">
        <v>68</v>
      </c>
      <c r="Z418">
        <f t="shared" si="0"/>
        <v>4624</v>
      </c>
      <c r="AB418" s="1">
        <f t="shared" si="42"/>
        <v>6.0185185185184994E-4</v>
      </c>
      <c r="AC418" s="1"/>
      <c r="AE418" s="1"/>
      <c r="AF418" s="1"/>
    </row>
    <row r="419" spans="1:32" x14ac:dyDescent="0.2">
      <c r="A419">
        <v>171</v>
      </c>
      <c r="B419" s="585" t="s">
        <v>7860</v>
      </c>
      <c r="C419" s="568" t="s">
        <v>7861</v>
      </c>
      <c r="D419" s="585"/>
      <c r="E419" s="1002"/>
      <c r="F419" s="6"/>
      <c r="H419" s="80"/>
      <c r="K419" s="34"/>
      <c r="L419" s="1398"/>
      <c r="M419" s="8">
        <v>2.1608796296296296E-2</v>
      </c>
      <c r="N419" s="3">
        <v>1.1122685185185185E-2</v>
      </c>
      <c r="O419" s="3">
        <v>1.3148148148148147E-2</v>
      </c>
      <c r="Q419" s="53"/>
      <c r="R419" s="53"/>
      <c r="U419" s="53"/>
      <c r="W419" s="1">
        <f t="shared" si="57"/>
        <v>5.3543033194210915E-5</v>
      </c>
      <c r="X419" s="1">
        <f t="shared" si="58"/>
        <v>-5.3543033194210915E-5</v>
      </c>
      <c r="Y419" s="9"/>
      <c r="AB419" s="1">
        <f t="shared" si="42"/>
        <v>1.5393518518518508E-3</v>
      </c>
      <c r="AC419" s="1"/>
      <c r="AE419" s="1"/>
      <c r="AF419" s="1"/>
    </row>
    <row r="420" spans="1:32" x14ac:dyDescent="0.2">
      <c r="A420">
        <v>882</v>
      </c>
      <c r="B420" s="27" t="s">
        <v>1406</v>
      </c>
      <c r="C420" s="74" t="s">
        <v>1405</v>
      </c>
      <c r="D420" s="24">
        <f>Runners!N500</f>
        <v>5</v>
      </c>
      <c r="E420" s="183">
        <f>Runners!N499</f>
        <v>26</v>
      </c>
      <c r="F420" s="6" t="s">
        <v>1000</v>
      </c>
      <c r="G420" s="1">
        <v>1.7997685185185186E-2</v>
      </c>
      <c r="H420" s="2" t="s">
        <v>3199</v>
      </c>
      <c r="I420" s="3">
        <v>1.7453703703703704E-2</v>
      </c>
      <c r="J420" s="1" t="s">
        <v>4778</v>
      </c>
      <c r="K420" s="34">
        <v>41951</v>
      </c>
      <c r="L420" s="1398">
        <v>140</v>
      </c>
      <c r="M420" s="8">
        <v>1.7893518518518517E-2</v>
      </c>
      <c r="N420" s="3">
        <v>1.0844907407407407E-2</v>
      </c>
      <c r="O420" s="3">
        <v>1.2870370370370372E-2</v>
      </c>
      <c r="Q420" s="103" t="s">
        <v>2100</v>
      </c>
      <c r="R420" s="103"/>
      <c r="S420" s="27"/>
      <c r="U420" s="53"/>
      <c r="W420" s="1">
        <f t="shared" si="57"/>
        <v>3.3132081097198875E-4</v>
      </c>
      <c r="X420" s="1">
        <f t="shared" si="58"/>
        <v>-3.3132081097198875E-4</v>
      </c>
      <c r="Y420" s="9">
        <v>11</v>
      </c>
      <c r="Z420">
        <f t="shared" si="0"/>
        <v>121</v>
      </c>
      <c r="AB420" s="1">
        <f t="shared" si="42"/>
        <v>1.2615740740740729E-3</v>
      </c>
      <c r="AC420" s="1"/>
      <c r="AE420" s="1"/>
      <c r="AF420" s="1"/>
    </row>
    <row r="421" spans="1:32" x14ac:dyDescent="0.2">
      <c r="A421">
        <v>521</v>
      </c>
      <c r="B421" s="556" t="s">
        <v>4325</v>
      </c>
      <c r="C421" s="532" t="s">
        <v>4498</v>
      </c>
      <c r="D421" s="531">
        <f>Runners!R579</f>
        <v>2</v>
      </c>
      <c r="E421" s="541">
        <f>Runners!R578</f>
        <v>2</v>
      </c>
      <c r="F421" s="6"/>
      <c r="H421" s="513" t="s">
        <v>1440</v>
      </c>
      <c r="I421" s="512">
        <v>1.8090277777777778E-2</v>
      </c>
      <c r="J421" s="334" t="s">
        <v>1440</v>
      </c>
      <c r="K421" s="34">
        <v>43204</v>
      </c>
      <c r="L421" s="1398">
        <v>420</v>
      </c>
      <c r="M421" s="8">
        <v>1.9456018518518518E-2</v>
      </c>
      <c r="N421" s="3">
        <v>9.9189814814814817E-3</v>
      </c>
      <c r="O421" s="3">
        <v>1.1273148148148148E-2</v>
      </c>
      <c r="Q421" s="53"/>
      <c r="R421" s="53"/>
      <c r="U421" s="53"/>
      <c r="W421" s="1">
        <f t="shared" si="57"/>
        <v>1.2572467368979143E-3</v>
      </c>
      <c r="X421" s="1">
        <f t="shared" si="58"/>
        <v>-1.2572467368979143E-3</v>
      </c>
      <c r="Y421" s="9"/>
      <c r="AB421" s="1">
        <f t="shared" si="42"/>
        <v>3.3564814814814742E-4</v>
      </c>
      <c r="AC421" s="1"/>
      <c r="AE421" s="1"/>
      <c r="AF421" s="1"/>
    </row>
    <row r="422" spans="1:32" x14ac:dyDescent="0.2">
      <c r="A422">
        <v>549</v>
      </c>
      <c r="B422" s="27" t="s">
        <v>5457</v>
      </c>
      <c r="C422" s="74" t="s">
        <v>819</v>
      </c>
      <c r="D422" s="24">
        <f>Runners!P1116</f>
        <v>1</v>
      </c>
      <c r="E422" s="183">
        <f>Runners!P1115</f>
        <v>1</v>
      </c>
      <c r="F422" s="6" t="s">
        <v>627</v>
      </c>
      <c r="G422" s="1">
        <v>1.5833333333333335E-2</v>
      </c>
      <c r="H422" s="2"/>
      <c r="I422" s="3"/>
      <c r="J422" s="1" t="s">
        <v>627</v>
      </c>
      <c r="K422" s="34">
        <v>41892</v>
      </c>
      <c r="L422" s="1398">
        <v>286</v>
      </c>
      <c r="M422" s="8">
        <v>2.0127314814814817E-2</v>
      </c>
      <c r="N422" s="3">
        <v>1.119212962962963E-2</v>
      </c>
      <c r="O422" s="3">
        <v>1.3113425925925926E-2</v>
      </c>
      <c r="Q422" s="53"/>
      <c r="R422" s="53"/>
      <c r="U422" s="53"/>
      <c r="W422" s="1">
        <f t="shared" si="57"/>
        <v>-1.5901411250233977E-5</v>
      </c>
      <c r="X422" s="1">
        <f t="shared" si="58"/>
        <v>1.5901411250233977E-5</v>
      </c>
      <c r="Y422" s="9"/>
      <c r="AB422" s="1">
        <f t="shared" si="42"/>
        <v>1.6087962962962957E-3</v>
      </c>
      <c r="AC422" s="1"/>
      <c r="AE422" s="1"/>
      <c r="AF422" s="1"/>
    </row>
    <row r="423" spans="1:32" x14ac:dyDescent="0.2">
      <c r="A423">
        <v>1172</v>
      </c>
      <c r="B423" s="27" t="s">
        <v>80</v>
      </c>
      <c r="C423" s="74" t="s">
        <v>3706</v>
      </c>
      <c r="D423" s="24">
        <f>Runners!K787</f>
        <v>1</v>
      </c>
      <c r="E423" s="183">
        <f>Runners!K786</f>
        <v>1</v>
      </c>
      <c r="F423" s="6" t="s">
        <v>654</v>
      </c>
      <c r="G423" s="1">
        <v>1.9131944444444444E-2</v>
      </c>
      <c r="H423" s="2"/>
      <c r="I423" s="3"/>
      <c r="J423" s="1" t="s">
        <v>654</v>
      </c>
      <c r="K423" s="34">
        <v>42560</v>
      </c>
      <c r="L423" s="1398">
        <v>273</v>
      </c>
      <c r="M423" s="8">
        <v>2.0879629629629626E-2</v>
      </c>
      <c r="N423" s="3">
        <v>1.1041666666666667E-2</v>
      </c>
      <c r="O423" s="3">
        <v>1.2199074074074072E-2</v>
      </c>
      <c r="Q423" s="53"/>
      <c r="R423" s="53"/>
      <c r="U423" s="53"/>
      <c r="W423" s="1">
        <f t="shared" si="57"/>
        <v>1.3456155171272938E-4</v>
      </c>
      <c r="X423" s="1">
        <f t="shared" si="58"/>
        <v>-1.3456155171272938E-4</v>
      </c>
      <c r="Y423" s="9"/>
      <c r="AB423" s="1">
        <f t="shared" si="42"/>
        <v>1.4583333333333323E-3</v>
      </c>
      <c r="AC423" s="1"/>
      <c r="AE423" s="1"/>
      <c r="AF423" s="1"/>
    </row>
    <row r="424" spans="1:32" x14ac:dyDescent="0.2">
      <c r="A424">
        <v>1029</v>
      </c>
      <c r="B424" s="552" t="s">
        <v>8220</v>
      </c>
      <c r="C424" s="532" t="s">
        <v>8221</v>
      </c>
      <c r="D424" s="531">
        <f>Runners!Q1116</f>
        <v>3</v>
      </c>
      <c r="E424" s="541">
        <f>Runners!Q1115</f>
        <v>3</v>
      </c>
      <c r="F424" s="79" t="s">
        <v>4637</v>
      </c>
      <c r="G424" s="1">
        <v>1.8067129629629631E-2</v>
      </c>
      <c r="H424" s="2"/>
      <c r="I424" s="3"/>
      <c r="J424" s="334" t="s">
        <v>4637</v>
      </c>
      <c r="K424" s="34">
        <v>42938</v>
      </c>
      <c r="L424" s="1398">
        <v>346</v>
      </c>
      <c r="M424" s="8">
        <v>2.0833333333333332E-2</v>
      </c>
      <c r="N424" s="3">
        <v>1.0960648148148148E-2</v>
      </c>
      <c r="O424" s="3">
        <v>1.252314814814815E-2</v>
      </c>
      <c r="Q424" s="53"/>
      <c r="R424" s="53"/>
      <c r="U424" s="53"/>
      <c r="W424" s="1">
        <f t="shared" si="57"/>
        <v>2.1558007023124784E-4</v>
      </c>
      <c r="X424" s="1">
        <f t="shared" si="58"/>
        <v>-2.1558007023124784E-4</v>
      </c>
      <c r="Y424" s="9"/>
      <c r="AB424" s="1">
        <f t="shared" si="42"/>
        <v>1.3773148148148139E-3</v>
      </c>
      <c r="AC424" s="1"/>
      <c r="AE424" s="1"/>
      <c r="AF424" s="1"/>
    </row>
    <row r="425" spans="1:32" x14ac:dyDescent="0.2">
      <c r="A425">
        <v>1047</v>
      </c>
      <c r="B425" s="27" t="s">
        <v>2562</v>
      </c>
      <c r="C425" s="74" t="s">
        <v>2560</v>
      </c>
      <c r="D425" s="24">
        <f>Runners!P877</f>
        <v>4</v>
      </c>
      <c r="E425" s="183">
        <f>Runners!P876</f>
        <v>4</v>
      </c>
      <c r="F425" s="6" t="s">
        <v>5096</v>
      </c>
      <c r="G425" s="1">
        <v>1.5300925925925926E-2</v>
      </c>
      <c r="H425" s="513" t="s">
        <v>748</v>
      </c>
      <c r="I425" s="1">
        <v>2.4432870370370369E-2</v>
      </c>
      <c r="J425" s="1" t="s">
        <v>5096</v>
      </c>
      <c r="K425" s="34">
        <v>41965</v>
      </c>
      <c r="L425" s="1398">
        <v>142</v>
      </c>
      <c r="M425" s="8">
        <v>1.8553240740740742E-2</v>
      </c>
      <c r="N425" s="3">
        <v>1.1307870370370371E-2</v>
      </c>
      <c r="O425" s="3">
        <v>1.2615740740740742E-2</v>
      </c>
      <c r="Q425" s="53"/>
      <c r="R425" s="53"/>
      <c r="U425" s="53"/>
      <c r="W425" s="1">
        <f t="shared" si="57"/>
        <v>-1.3164215199097488E-4</v>
      </c>
      <c r="X425" s="1">
        <f t="shared" si="58"/>
        <v>1.3164215199097488E-4</v>
      </c>
      <c r="Y425" s="9">
        <v>72</v>
      </c>
      <c r="Z425">
        <f t="shared" si="0"/>
        <v>5184</v>
      </c>
      <c r="AB425" s="1">
        <f t="shared" si="42"/>
        <v>1.7245370370370366E-3</v>
      </c>
      <c r="AC425" s="1"/>
      <c r="AE425" s="1"/>
      <c r="AF425" s="1"/>
    </row>
    <row r="426" spans="1:32" x14ac:dyDescent="0.2">
      <c r="A426">
        <v>410</v>
      </c>
      <c r="B426" s="552" t="s">
        <v>6204</v>
      </c>
      <c r="C426" s="532" t="s">
        <v>4632</v>
      </c>
      <c r="D426" s="531">
        <f>Runners!Q1048</f>
        <v>1</v>
      </c>
      <c r="E426" s="541">
        <f>Runners!Q1047</f>
        <v>1</v>
      </c>
      <c r="F426" s="6"/>
      <c r="H426" s="513" t="s">
        <v>1062</v>
      </c>
      <c r="I426" s="1">
        <v>2.4976851851851851E-2</v>
      </c>
      <c r="J426" s="512" t="s">
        <v>1062</v>
      </c>
      <c r="K426" s="34">
        <v>42736</v>
      </c>
      <c r="L426" s="1398">
        <v>310</v>
      </c>
      <c r="M426" s="8">
        <v>1.9618055555555555E-2</v>
      </c>
      <c r="N426" s="3">
        <v>1.105324074074074E-2</v>
      </c>
      <c r="O426" s="3">
        <v>1.2499999999999999E-2</v>
      </c>
      <c r="Q426" s="53"/>
      <c r="R426" s="53"/>
      <c r="U426" s="53"/>
      <c r="W426" s="1">
        <f t="shared" si="57"/>
        <v>1.2298747763865581E-4</v>
      </c>
      <c r="X426" s="1">
        <f t="shared" si="58"/>
        <v>-1.2298747763865581E-4</v>
      </c>
      <c r="Y426" s="9"/>
      <c r="AB426" s="1">
        <f t="shared" si="42"/>
        <v>1.4699074074074059E-3</v>
      </c>
      <c r="AC426" s="1"/>
      <c r="AE426" s="1"/>
      <c r="AF426" s="1"/>
    </row>
    <row r="427" spans="1:32" x14ac:dyDescent="0.2">
      <c r="A427">
        <v>276</v>
      </c>
      <c r="B427" s="27" t="s">
        <v>1628</v>
      </c>
      <c r="C427" s="415" t="s">
        <v>16400</v>
      </c>
      <c r="D427" s="24">
        <f>Runners!M832</f>
        <v>4</v>
      </c>
      <c r="E427" s="183">
        <f>Runners!M831</f>
        <v>11</v>
      </c>
      <c r="F427" s="6"/>
      <c r="H427" s="206" t="s">
        <v>748</v>
      </c>
      <c r="I427" s="1">
        <v>2.3125E-2</v>
      </c>
      <c r="J427" s="206" t="s">
        <v>748</v>
      </c>
      <c r="K427" s="34">
        <v>41895</v>
      </c>
      <c r="L427" s="1398">
        <v>129</v>
      </c>
      <c r="M427" s="8">
        <v>1.9594907407407405E-2</v>
      </c>
      <c r="N427" s="3">
        <v>1.068287037037037E-2</v>
      </c>
      <c r="O427" s="3">
        <v>1.247685185185185E-2</v>
      </c>
      <c r="Q427" s="53"/>
      <c r="R427" s="53"/>
      <c r="U427" s="53"/>
      <c r="W427" s="1">
        <f t="shared" si="57"/>
        <v>4.9335784800902567E-4</v>
      </c>
      <c r="X427" s="1">
        <f t="shared" si="58"/>
        <v>-4.9335784800902567E-4</v>
      </c>
      <c r="Y427" s="9">
        <v>25</v>
      </c>
      <c r="Z427">
        <f t="shared" si="0"/>
        <v>625</v>
      </c>
      <c r="AB427" s="1">
        <f t="shared" si="42"/>
        <v>1.099537037037036E-3</v>
      </c>
      <c r="AC427" s="1"/>
      <c r="AE427" s="1"/>
      <c r="AF427" s="1"/>
    </row>
    <row r="428" spans="1:32" x14ac:dyDescent="0.2">
      <c r="A428">
        <v>2200</v>
      </c>
      <c r="B428" s="493" t="s">
        <v>16481</v>
      </c>
      <c r="C428" s="415" t="s">
        <v>16480</v>
      </c>
      <c r="D428" s="24">
        <f>Runners!M1245</f>
        <v>2</v>
      </c>
      <c r="E428" s="183">
        <f>Runners!M1244</f>
        <v>2</v>
      </c>
      <c r="F428" s="1413" t="s">
        <v>4407</v>
      </c>
      <c r="G428" s="1412">
        <v>1.5057870370370369E-2</v>
      </c>
      <c r="H428" s="1375" t="s">
        <v>5241</v>
      </c>
      <c r="I428" s="1432">
        <v>1.5104166666666667E-2</v>
      </c>
      <c r="J428" s="1375" t="s">
        <v>16482</v>
      </c>
      <c r="K428" s="1379">
        <v>43831</v>
      </c>
      <c r="L428" s="1398"/>
      <c r="M428" s="8">
        <v>1.894675925925926E-2</v>
      </c>
      <c r="N428" s="3">
        <v>1.0497685185185186E-2</v>
      </c>
      <c r="O428" s="3">
        <v>1.2905092592592591E-2</v>
      </c>
      <c r="Q428" s="53"/>
      <c r="R428" s="53"/>
      <c r="U428" s="53"/>
      <c r="W428" s="1">
        <f t="shared" si="57"/>
        <v>6.7854303319420974E-4</v>
      </c>
      <c r="X428" s="1">
        <f t="shared" si="58"/>
        <v>-6.7854303319420974E-4</v>
      </c>
      <c r="Y428" s="9"/>
      <c r="AB428" s="1">
        <f t="shared" si="42"/>
        <v>9.1435185185185196E-4</v>
      </c>
      <c r="AC428" s="1"/>
      <c r="AE428" s="1"/>
      <c r="AF428" s="1"/>
    </row>
    <row r="429" spans="1:32" x14ac:dyDescent="0.2">
      <c r="A429">
        <v>701</v>
      </c>
      <c r="B429" s="27" t="s">
        <v>5593</v>
      </c>
      <c r="C429" s="74" t="s">
        <v>5591</v>
      </c>
      <c r="D429" s="24">
        <f>Runners!H714</f>
        <v>4</v>
      </c>
      <c r="E429" s="183">
        <f>Runners!H713</f>
        <v>4</v>
      </c>
      <c r="F429" s="6" t="s">
        <v>5096</v>
      </c>
      <c r="G429" s="1">
        <v>1.5011574074074075E-2</v>
      </c>
      <c r="H429" s="197" t="s">
        <v>4596</v>
      </c>
      <c r="I429" s="1">
        <v>2.013888888888889E-2</v>
      </c>
      <c r="J429" s="1" t="s">
        <v>5096</v>
      </c>
      <c r="K429" s="34">
        <v>42203</v>
      </c>
      <c r="L429" s="1398">
        <v>187</v>
      </c>
      <c r="M429" s="8">
        <v>1.996527777777778E-2</v>
      </c>
      <c r="N429" s="3">
        <v>1.1458333333333334E-2</v>
      </c>
      <c r="O429" s="3">
        <v>1.3078703703703703E-2</v>
      </c>
      <c r="Q429" s="53"/>
      <c r="R429" s="53"/>
      <c r="U429" s="53"/>
      <c r="W429" s="1">
        <f t="shared" si="57"/>
        <v>-2.8210511495393824E-4</v>
      </c>
      <c r="X429" s="1">
        <f t="shared" si="58"/>
        <v>2.8210511495393824E-4</v>
      </c>
      <c r="Y429" s="9">
        <v>42</v>
      </c>
      <c r="Z429">
        <f t="shared" si="0"/>
        <v>1764</v>
      </c>
      <c r="AB429" s="1">
        <f t="shared" si="42"/>
        <v>1.8749999999999999E-3</v>
      </c>
      <c r="AC429" s="1"/>
      <c r="AE429" s="1"/>
      <c r="AF429" s="1"/>
    </row>
    <row r="430" spans="1:32" x14ac:dyDescent="0.2">
      <c r="A430">
        <v>151</v>
      </c>
      <c r="B430" s="493" t="s">
        <v>9025</v>
      </c>
      <c r="C430" s="415" t="s">
        <v>4633</v>
      </c>
      <c r="D430" s="24">
        <f>Runners!R1048</f>
        <v>1</v>
      </c>
      <c r="E430" s="183">
        <f>Runners!R1047</f>
        <v>1</v>
      </c>
      <c r="F430" s="6"/>
      <c r="H430" s="197" t="s">
        <v>1062</v>
      </c>
      <c r="J430" s="334" t="s">
        <v>1062</v>
      </c>
      <c r="K430" s="34">
        <v>43101</v>
      </c>
      <c r="L430" s="1398">
        <v>376</v>
      </c>
      <c r="M430" s="8">
        <v>1.9849537037037037E-2</v>
      </c>
      <c r="N430" s="3">
        <v>1.0486111111111111E-2</v>
      </c>
      <c r="O430" s="3">
        <v>1.1921296296296298E-2</v>
      </c>
      <c r="Q430" s="53"/>
      <c r="R430" s="53"/>
      <c r="U430" s="53"/>
      <c r="W430" s="1">
        <f t="shared" si="57"/>
        <v>6.9011710726828504E-4</v>
      </c>
      <c r="X430" s="1">
        <f t="shared" si="58"/>
        <v>-6.9011710726828504E-4</v>
      </c>
      <c r="Y430" s="9"/>
      <c r="AB430" s="1">
        <f t="shared" si="42"/>
        <v>9.0277777777777665E-4</v>
      </c>
      <c r="AC430" s="1"/>
      <c r="AE430" s="1"/>
      <c r="AF430" s="1"/>
    </row>
    <row r="431" spans="1:32" x14ac:dyDescent="0.2">
      <c r="A431">
        <v>233</v>
      </c>
      <c r="B431" s="27" t="s">
        <v>1789</v>
      </c>
      <c r="C431" s="74" t="s">
        <v>1788</v>
      </c>
      <c r="D431" s="24">
        <f>Runners!R745</f>
        <v>7</v>
      </c>
      <c r="E431" s="183">
        <f>Runners!R744</f>
        <v>34</v>
      </c>
      <c r="F431" s="6" t="s">
        <v>5951</v>
      </c>
      <c r="G431" s="1">
        <v>1.6192129629629629E-2</v>
      </c>
      <c r="H431" s="206" t="s">
        <v>888</v>
      </c>
      <c r="I431" s="1">
        <v>1.9120370370370371E-2</v>
      </c>
      <c r="J431" s="1" t="s">
        <v>4467</v>
      </c>
      <c r="K431" s="34">
        <v>41531</v>
      </c>
      <c r="L431" s="1398">
        <v>70</v>
      </c>
      <c r="M431" s="8">
        <v>1.8738425925925926E-2</v>
      </c>
      <c r="N431" s="3">
        <v>1.0162037037037037E-2</v>
      </c>
      <c r="O431" s="3">
        <v>1.1284722222222222E-2</v>
      </c>
      <c r="Q431" s="103" t="s">
        <v>3013</v>
      </c>
      <c r="R431" s="103"/>
      <c r="U431" s="53"/>
      <c r="W431" s="1">
        <f t="shared" si="57"/>
        <v>1.0141911813423589E-3</v>
      </c>
      <c r="X431" s="1">
        <f t="shared" si="58"/>
        <v>-1.0141911813423589E-3</v>
      </c>
      <c r="Y431" s="9">
        <v>70</v>
      </c>
      <c r="Z431">
        <f t="shared" si="0"/>
        <v>4900</v>
      </c>
      <c r="AB431" s="1">
        <f t="shared" si="42"/>
        <v>5.787037037037028E-4</v>
      </c>
      <c r="AC431" s="1"/>
      <c r="AE431" s="1"/>
      <c r="AF431" s="1"/>
    </row>
    <row r="432" spans="1:32" x14ac:dyDescent="0.2">
      <c r="A432">
        <v>1437</v>
      </c>
      <c r="B432" s="27" t="s">
        <v>1331</v>
      </c>
      <c r="C432" s="74" t="s">
        <v>5402</v>
      </c>
      <c r="D432" s="24">
        <f>Runners!O974</f>
        <v>1</v>
      </c>
      <c r="E432" s="183">
        <f>Runners!O973</f>
        <v>1</v>
      </c>
      <c r="F432" s="6"/>
      <c r="H432" s="206" t="s">
        <v>1062</v>
      </c>
      <c r="I432" s="1">
        <v>2.5613425925925925E-2</v>
      </c>
      <c r="J432" s="1" t="s">
        <v>1062</v>
      </c>
      <c r="K432" s="34">
        <v>42602</v>
      </c>
      <c r="L432" s="1398">
        <v>282</v>
      </c>
      <c r="M432" s="8">
        <v>2.0069444444444442E-2</v>
      </c>
      <c r="N432" s="3">
        <v>1.1342592592592592E-2</v>
      </c>
      <c r="O432" s="3">
        <v>1.300925925925926E-2</v>
      </c>
      <c r="Q432" s="53"/>
      <c r="R432" s="53"/>
      <c r="U432" s="53"/>
      <c r="W432" s="1">
        <f t="shared" si="57"/>
        <v>-1.663643742131956E-4</v>
      </c>
      <c r="X432" s="1">
        <f t="shared" si="58"/>
        <v>1.663643742131956E-4</v>
      </c>
      <c r="Y432" s="9"/>
      <c r="AB432" s="1">
        <f t="shared" si="42"/>
        <v>1.7592592592592573E-3</v>
      </c>
      <c r="AC432" s="1"/>
      <c r="AE432" s="1"/>
      <c r="AF432" s="1"/>
    </row>
    <row r="433" spans="1:32" x14ac:dyDescent="0.2">
      <c r="A433">
        <v>511</v>
      </c>
      <c r="B433" s="27" t="s">
        <v>4287</v>
      </c>
      <c r="C433" s="74" t="s">
        <v>4286</v>
      </c>
      <c r="D433" s="24">
        <f>Runners!R1116</f>
        <v>2</v>
      </c>
      <c r="E433" s="183">
        <f>Runners!R1115</f>
        <v>2</v>
      </c>
      <c r="F433" s="6" t="s">
        <v>627</v>
      </c>
      <c r="G433" s="1">
        <v>1.4594907407407405E-2</v>
      </c>
      <c r="H433" s="206" t="s">
        <v>888</v>
      </c>
      <c r="I433" s="1">
        <v>2.0069444444444442E-2</v>
      </c>
      <c r="J433" s="1" t="s">
        <v>627</v>
      </c>
      <c r="K433" s="34">
        <v>41468</v>
      </c>
      <c r="L433" s="1398">
        <v>64</v>
      </c>
      <c r="M433" s="8">
        <v>1.8148148148148146E-2</v>
      </c>
      <c r="N433" s="3">
        <v>1.0694444444444444E-2</v>
      </c>
      <c r="O433" s="3">
        <v>1.1574074074074075E-2</v>
      </c>
      <c r="W433" s="1">
        <f t="shared" si="57"/>
        <v>4.817837739349521E-4</v>
      </c>
      <c r="X433" s="1">
        <f t="shared" si="58"/>
        <v>-4.817837739349521E-4</v>
      </c>
      <c r="Y433" s="9">
        <v>24</v>
      </c>
      <c r="Z433">
        <f t="shared" si="0"/>
        <v>576</v>
      </c>
      <c r="AB433" s="1">
        <f t="shared" si="42"/>
        <v>1.1111111111111096E-3</v>
      </c>
      <c r="AC433" s="1"/>
      <c r="AE433" s="1"/>
      <c r="AF433" s="1"/>
    </row>
    <row r="434" spans="1:32" x14ac:dyDescent="0.2">
      <c r="A434">
        <v>371</v>
      </c>
      <c r="B434" s="27" t="s">
        <v>6097</v>
      </c>
      <c r="C434" s="74" t="s">
        <v>2963</v>
      </c>
      <c r="D434" s="24">
        <f>Runners!L1087</f>
        <v>1</v>
      </c>
      <c r="E434" s="183">
        <f>Runners!L1086</f>
        <v>1</v>
      </c>
      <c r="F434" s="52" t="s">
        <v>1000</v>
      </c>
      <c r="G434" s="1">
        <v>1.8993055555555558E-2</v>
      </c>
      <c r="H434" s="206"/>
      <c r="J434" s="32" t="s">
        <v>1000</v>
      </c>
      <c r="K434" s="34">
        <v>42714</v>
      </c>
      <c r="L434" s="1398">
        <v>306</v>
      </c>
      <c r="M434" s="8">
        <v>2.0219907407407409E-2</v>
      </c>
      <c r="N434" s="3">
        <v>1.0972222222222223E-2</v>
      </c>
      <c r="O434" s="3">
        <v>1.3460648148148147E-2</v>
      </c>
      <c r="W434" s="1">
        <f t="shared" si="57"/>
        <v>2.0400599615717253E-4</v>
      </c>
      <c r="X434" s="1">
        <f t="shared" si="58"/>
        <v>-2.0400599615717253E-4</v>
      </c>
      <c r="Y434" s="9"/>
      <c r="AB434" s="1">
        <f t="shared" si="42"/>
        <v>1.3888888888888892E-3</v>
      </c>
      <c r="AC434" s="1"/>
      <c r="AE434" s="1"/>
      <c r="AF434" s="1"/>
    </row>
    <row r="435" spans="1:32" x14ac:dyDescent="0.2">
      <c r="A435">
        <v>1429</v>
      </c>
      <c r="B435" s="27" t="s">
        <v>2152</v>
      </c>
      <c r="C435" s="74" t="s">
        <v>1433</v>
      </c>
      <c r="D435" s="24">
        <f>Runners!S420</f>
        <v>4</v>
      </c>
      <c r="E435" s="183">
        <f>Runners!S419</f>
        <v>4</v>
      </c>
      <c r="F435" s="79" t="s">
        <v>4407</v>
      </c>
      <c r="G435" s="1">
        <v>1.5150462962962963E-2</v>
      </c>
      <c r="H435" s="197" t="s">
        <v>5241</v>
      </c>
      <c r="I435" s="1">
        <v>1.5428240740740741E-2</v>
      </c>
      <c r="J435" s="254" t="s">
        <v>748</v>
      </c>
      <c r="K435" s="34">
        <v>42679</v>
      </c>
      <c r="L435" s="1398">
        <v>300</v>
      </c>
      <c r="M435" s="8">
        <v>1.996527777777778E-2</v>
      </c>
      <c r="N435" s="3">
        <v>1.1273148148148148E-2</v>
      </c>
      <c r="O435" s="3">
        <v>1.1886574074074075E-2</v>
      </c>
      <c r="W435" s="1">
        <f t="shared" si="57"/>
        <v>-9.6919929768752439E-5</v>
      </c>
      <c r="X435" s="1">
        <f t="shared" si="58"/>
        <v>9.6919929768752439E-5</v>
      </c>
      <c r="Y435" s="9"/>
      <c r="AB435" s="1">
        <f t="shared" si="42"/>
        <v>1.6898148148148141E-3</v>
      </c>
      <c r="AC435" s="1"/>
      <c r="AE435" s="1"/>
      <c r="AF435" s="1"/>
    </row>
    <row r="436" spans="1:32" x14ac:dyDescent="0.2">
      <c r="A436">
        <v>2170</v>
      </c>
      <c r="B436" s="493" t="s">
        <v>16770</v>
      </c>
      <c r="C436" s="415" t="s">
        <v>16766</v>
      </c>
      <c r="D436" s="24">
        <f>Runners!J1271</f>
        <v>1</v>
      </c>
      <c r="E436" s="183">
        <f>Runners!J1270</f>
        <v>1</v>
      </c>
      <c r="F436" s="79" t="s">
        <v>1000</v>
      </c>
      <c r="G436" s="1">
        <v>2.071759259259259E-2</v>
      </c>
      <c r="H436" s="206"/>
      <c r="J436" s="334" t="s">
        <v>1000</v>
      </c>
      <c r="K436" s="34">
        <v>43848</v>
      </c>
      <c r="L436" s="1398"/>
      <c r="M436" s="8">
        <v>2.8761574074074075E-2</v>
      </c>
      <c r="N436" s="3">
        <v>1.1400462962962965E-2</v>
      </c>
      <c r="O436" s="3">
        <v>1.3460648148148147E-2</v>
      </c>
      <c r="W436" s="1">
        <f t="shared" si="57"/>
        <v>-2.2423474458356865E-4</v>
      </c>
      <c r="X436" s="1">
        <f t="shared" si="58"/>
        <v>2.2423474458356865E-4</v>
      </c>
      <c r="Y436" s="9"/>
      <c r="AB436" s="1">
        <f t="shared" si="42"/>
        <v>1.8171296296296303E-3</v>
      </c>
      <c r="AC436" s="1"/>
      <c r="AE436" s="1"/>
      <c r="AF436" s="1"/>
    </row>
    <row r="437" spans="1:32" x14ac:dyDescent="0.2">
      <c r="A437">
        <v>59</v>
      </c>
      <c r="B437" s="27" t="s">
        <v>287</v>
      </c>
      <c r="C437" s="74" t="s">
        <v>1302</v>
      </c>
      <c r="D437" s="24">
        <f>Runners!M1023</f>
        <v>2</v>
      </c>
      <c r="E437" s="183">
        <f>Runners!M1022</f>
        <v>7</v>
      </c>
      <c r="F437" s="6" t="s">
        <v>298</v>
      </c>
      <c r="G437" s="1">
        <v>1.8032407407407407E-2</v>
      </c>
      <c r="H437" s="206" t="s">
        <v>5903</v>
      </c>
      <c r="I437" s="1">
        <v>1.8842592592592591E-2</v>
      </c>
      <c r="J437" s="1" t="s">
        <v>298</v>
      </c>
      <c r="K437" s="34">
        <v>42455</v>
      </c>
      <c r="L437" s="1398">
        <v>242</v>
      </c>
      <c r="M437" s="8">
        <v>1.9178240740740742E-2</v>
      </c>
      <c r="N437" s="3">
        <v>1.0856481481481481E-2</v>
      </c>
      <c r="O437" s="3">
        <v>1.2685185185185183E-2</v>
      </c>
      <c r="W437" s="1">
        <f t="shared" si="57"/>
        <v>3.1974673689791518E-4</v>
      </c>
      <c r="X437" s="1">
        <f t="shared" si="58"/>
        <v>-3.1974673689791518E-4</v>
      </c>
      <c r="Y437" s="9">
        <v>10</v>
      </c>
      <c r="Z437">
        <f t="shared" si="0"/>
        <v>100</v>
      </c>
      <c r="AB437" s="1">
        <f t="shared" si="42"/>
        <v>1.2731481481481465E-3</v>
      </c>
      <c r="AC437" s="1"/>
      <c r="AE437" s="1"/>
      <c r="AF437" s="1"/>
    </row>
    <row r="438" spans="1:32" x14ac:dyDescent="0.2">
      <c r="A438">
        <v>525</v>
      </c>
      <c r="B438" s="493" t="s">
        <v>5103</v>
      </c>
      <c r="C438" s="415" t="s">
        <v>539</v>
      </c>
      <c r="D438" s="24">
        <f>Runners!S630</f>
        <v>6</v>
      </c>
      <c r="E438" s="183">
        <f>Runners!S629</f>
        <v>7</v>
      </c>
      <c r="F438" s="6"/>
      <c r="H438" s="197" t="s">
        <v>9804</v>
      </c>
      <c r="I438" s="1">
        <v>2.0925925925925928E-2</v>
      </c>
      <c r="J438" s="334" t="s">
        <v>9804</v>
      </c>
      <c r="K438" s="34">
        <v>43323</v>
      </c>
      <c r="L438" s="1398">
        <v>431</v>
      </c>
      <c r="M438" s="8">
        <v>1.8865740740740742E-2</v>
      </c>
      <c r="N438" s="3">
        <v>1.0266203703703703E-2</v>
      </c>
      <c r="O438" s="3">
        <v>1.2060185185185186E-2</v>
      </c>
      <c r="Q438" s="530" t="s">
        <v>10426</v>
      </c>
      <c r="R438" s="530"/>
      <c r="S438" s="530"/>
      <c r="W438" s="1">
        <f t="shared" si="57"/>
        <v>9.1002451467569329E-4</v>
      </c>
      <c r="X438" s="1">
        <f t="shared" si="58"/>
        <v>-9.1002451467569329E-4</v>
      </c>
      <c r="Y438" s="9"/>
      <c r="AB438" s="1">
        <f t="shared" si="42"/>
        <v>6.8287037037036841E-4</v>
      </c>
      <c r="AC438" s="1"/>
      <c r="AE438" s="1"/>
      <c r="AF438" s="1"/>
    </row>
    <row r="439" spans="1:32" x14ac:dyDescent="0.2">
      <c r="A439">
        <v>255</v>
      </c>
      <c r="B439" s="27" t="s">
        <v>1613</v>
      </c>
      <c r="C439" s="74" t="s">
        <v>5965</v>
      </c>
      <c r="D439" s="24">
        <f>Runners!L1023</f>
        <v>5</v>
      </c>
      <c r="E439" s="183">
        <f>Runners!L1022</f>
        <v>17</v>
      </c>
      <c r="F439" s="6" t="s">
        <v>5096</v>
      </c>
      <c r="G439" s="1">
        <v>1.4305555555555557E-2</v>
      </c>
      <c r="H439" s="53" t="s">
        <v>1212</v>
      </c>
      <c r="I439" s="1" t="s">
        <v>1212</v>
      </c>
      <c r="J439" s="1" t="s">
        <v>5096</v>
      </c>
      <c r="K439" s="34">
        <v>40817</v>
      </c>
      <c r="L439" s="9">
        <v>10</v>
      </c>
      <c r="M439" s="8">
        <v>1.8020833333333333E-2</v>
      </c>
      <c r="N439" s="3">
        <v>1.0486111111111111E-2</v>
      </c>
      <c r="O439" s="3">
        <v>1.2233796296296296E-2</v>
      </c>
      <c r="Q439" s="103" t="s">
        <v>267</v>
      </c>
      <c r="R439" s="103"/>
      <c r="U439" s="53"/>
      <c r="W439" s="1">
        <f t="shared" si="57"/>
        <v>6.9011710726828504E-4</v>
      </c>
      <c r="X439" s="1">
        <f t="shared" si="58"/>
        <v>-6.9011710726828504E-4</v>
      </c>
      <c r="Y439" s="9">
        <v>42</v>
      </c>
      <c r="Z439">
        <f t="shared" si="0"/>
        <v>1764</v>
      </c>
      <c r="AB439" s="1">
        <f t="shared" si="42"/>
        <v>9.0277777777777665E-4</v>
      </c>
      <c r="AC439" s="1"/>
      <c r="AE439" s="1"/>
      <c r="AF439" s="1"/>
    </row>
    <row r="440" spans="1:32" x14ac:dyDescent="0.2">
      <c r="A440">
        <v>1904</v>
      </c>
      <c r="B440" s="552" t="s">
        <v>9733</v>
      </c>
      <c r="C440" s="532" t="s">
        <v>9734</v>
      </c>
      <c r="D440" s="541">
        <f>Runners!T309</f>
        <v>9</v>
      </c>
      <c r="E440" s="541">
        <f>Runners!S308</f>
        <v>7</v>
      </c>
      <c r="F440" s="79" t="s">
        <v>5881</v>
      </c>
      <c r="G440" s="1">
        <v>1.5844907407407408E-2</v>
      </c>
      <c r="H440" s="80" t="s">
        <v>3254</v>
      </c>
      <c r="I440" s="1">
        <v>1.8483796296296297E-2</v>
      </c>
      <c r="J440" s="334" t="s">
        <v>3254</v>
      </c>
      <c r="K440" s="34">
        <v>43239</v>
      </c>
      <c r="L440" s="9">
        <v>410</v>
      </c>
      <c r="M440" s="8">
        <v>2.1550925925925928E-2</v>
      </c>
      <c r="N440" s="3">
        <v>1.1388888888888888E-2</v>
      </c>
      <c r="O440" s="3">
        <v>1.2962962962962963E-2</v>
      </c>
      <c r="Q440" s="53"/>
      <c r="R440" s="53"/>
      <c r="U440" s="53"/>
      <c r="W440" s="1">
        <f t="shared" si="57"/>
        <v>-2.1266067050949161E-4</v>
      </c>
      <c r="X440" s="1">
        <f t="shared" si="58"/>
        <v>2.1266067050949161E-4</v>
      </c>
      <c r="Y440" s="9"/>
      <c r="AB440" s="1">
        <f t="shared" si="42"/>
        <v>1.8055555555555533E-3</v>
      </c>
      <c r="AC440" s="1"/>
      <c r="AE440" s="1"/>
      <c r="AF440" s="1"/>
    </row>
    <row r="441" spans="1:32" x14ac:dyDescent="0.2">
      <c r="A441">
        <v>254</v>
      </c>
      <c r="B441" s="27" t="s">
        <v>3128</v>
      </c>
      <c r="C441" s="74" t="s">
        <v>371</v>
      </c>
      <c r="D441" s="24">
        <f>Runners!O500</f>
        <v>5</v>
      </c>
      <c r="E441" s="183">
        <f>Runners!O499</f>
        <v>14</v>
      </c>
      <c r="F441" s="6" t="s">
        <v>5096</v>
      </c>
      <c r="G441" s="1">
        <v>1.4479166666666668E-2</v>
      </c>
      <c r="J441" s="32" t="s">
        <v>1000</v>
      </c>
      <c r="K441" s="34">
        <v>41279</v>
      </c>
      <c r="L441" s="9">
        <v>51</v>
      </c>
      <c r="M441" s="8">
        <v>1.9710648148148147E-2</v>
      </c>
      <c r="N441" s="3">
        <v>1.1180555555555556E-2</v>
      </c>
      <c r="O441" s="3">
        <v>1.306712962962963E-2</v>
      </c>
      <c r="P441" t="s">
        <v>3362</v>
      </c>
      <c r="W441" s="1">
        <f t="shared" si="57"/>
        <v>-4.3273371761604063E-6</v>
      </c>
      <c r="X441" s="1">
        <f t="shared" si="58"/>
        <v>4.3273371761604063E-6</v>
      </c>
      <c r="Y441" s="9">
        <v>24</v>
      </c>
      <c r="Z441">
        <f t="shared" si="0"/>
        <v>576</v>
      </c>
      <c r="AB441" s="1">
        <f t="shared" si="42"/>
        <v>1.5972222222222221E-3</v>
      </c>
      <c r="AC441" s="1"/>
      <c r="AE441" s="1"/>
      <c r="AF441" s="1"/>
    </row>
    <row r="442" spans="1:32" x14ac:dyDescent="0.2">
      <c r="A442">
        <v>551</v>
      </c>
      <c r="B442" s="27" t="s">
        <v>5189</v>
      </c>
      <c r="C442" s="15" t="s">
        <v>5990</v>
      </c>
      <c r="D442" s="24">
        <f>Runners!T420</f>
        <v>8</v>
      </c>
      <c r="E442" s="183">
        <f>Runners!T419</f>
        <v>8</v>
      </c>
      <c r="F442" s="6" t="s">
        <v>5882</v>
      </c>
      <c r="G442" s="1">
        <v>1.6574074074074074E-2</v>
      </c>
      <c r="H442" s="197" t="s">
        <v>5241</v>
      </c>
      <c r="I442" s="1">
        <v>1.7604166666666667E-2</v>
      </c>
      <c r="J442" s="32" t="s">
        <v>1000</v>
      </c>
      <c r="K442" s="34">
        <v>41412</v>
      </c>
      <c r="L442" s="9">
        <v>61</v>
      </c>
      <c r="M442" s="8">
        <v>2.0856481481481479E-2</v>
      </c>
      <c r="N442" s="3">
        <v>1.1238425925925928E-2</v>
      </c>
      <c r="O442" s="3">
        <v>1.3657407407407408E-2</v>
      </c>
      <c r="P442" t="s">
        <v>2750</v>
      </c>
      <c r="W442" s="1">
        <f t="shared" si="57"/>
        <v>-6.2197707546531728E-5</v>
      </c>
      <c r="X442" s="1">
        <f t="shared" si="58"/>
        <v>6.2197707546531728E-5</v>
      </c>
      <c r="Y442" s="9">
        <v>41</v>
      </c>
      <c r="Z442">
        <f t="shared" si="0"/>
        <v>1681</v>
      </c>
      <c r="AB442" s="1">
        <f t="shared" ref="AB442:AB606" si="59">N442-$N$88</f>
        <v>1.6550925925925934E-3</v>
      </c>
      <c r="AC442" s="1"/>
      <c r="AE442" s="1"/>
      <c r="AF442" s="1"/>
    </row>
    <row r="443" spans="1:32" x14ac:dyDescent="0.2">
      <c r="A443">
        <v>1816</v>
      </c>
      <c r="B443" s="27" t="s">
        <v>11078</v>
      </c>
      <c r="C443" s="415" t="s">
        <v>11077</v>
      </c>
      <c r="D443" s="24">
        <f>Runners!O1315</f>
        <v>1</v>
      </c>
      <c r="E443" s="183">
        <f>Runners!O1314</f>
        <v>1</v>
      </c>
      <c r="F443" s="79" t="s">
        <v>1000</v>
      </c>
      <c r="G443" s="1">
        <v>2.0335648148148148E-2</v>
      </c>
      <c r="H443" s="197"/>
      <c r="J443" s="32" t="s">
        <v>1000</v>
      </c>
      <c r="K443" s="34">
        <v>43428</v>
      </c>
      <c r="L443" s="9">
        <v>455</v>
      </c>
      <c r="M443" s="8">
        <v>2.1597222222222223E-2</v>
      </c>
      <c r="N443" s="3">
        <v>1.1354166666666667E-2</v>
      </c>
      <c r="O443" s="3">
        <v>1.1944444444444445E-2</v>
      </c>
      <c r="W443" s="1">
        <f t="shared" si="57"/>
        <v>-1.779384482872709E-4</v>
      </c>
      <c r="X443" s="1">
        <f t="shared" si="58"/>
        <v>1.779384482872709E-4</v>
      </c>
      <c r="Y443" s="9"/>
      <c r="AB443" s="1">
        <f t="shared" si="59"/>
        <v>1.7708333333333326E-3</v>
      </c>
      <c r="AC443" s="1"/>
      <c r="AE443" s="1"/>
      <c r="AF443" s="1"/>
    </row>
    <row r="444" spans="1:32" x14ac:dyDescent="0.2">
      <c r="A444">
        <v>2510</v>
      </c>
      <c r="B444" s="27" t="s">
        <v>17075</v>
      </c>
      <c r="C444" s="415" t="s">
        <v>15899</v>
      </c>
      <c r="D444" s="24">
        <f>Runners!Q1138</f>
        <v>1</v>
      </c>
      <c r="E444" s="183">
        <f>Runners!Q1137</f>
        <v>1</v>
      </c>
      <c r="F444" s="79" t="s">
        <v>1000</v>
      </c>
      <c r="H444" s="197"/>
      <c r="J444" s="334" t="s">
        <v>1000</v>
      </c>
      <c r="K444" s="34">
        <v>43883</v>
      </c>
      <c r="M444" s="8">
        <v>1.9768518518518515E-2</v>
      </c>
      <c r="N444" s="3">
        <v>1.1620370370370371E-2</v>
      </c>
      <c r="O444" s="3">
        <v>1.3148148148148147E-2</v>
      </c>
      <c r="P444" s="80" t="s">
        <v>17076</v>
      </c>
      <c r="W444" s="1">
        <f t="shared" ref="W444:W468" si="60">$N$700-N444</f>
        <v>-4.4414215199097516E-4</v>
      </c>
      <c r="X444" s="1">
        <f t="shared" ref="X444:X468" si="61">N444-$N$700</f>
        <v>4.4414215199097516E-4</v>
      </c>
      <c r="Y444" s="9"/>
      <c r="AB444" s="1">
        <f t="shared" si="59"/>
        <v>2.0370370370370369E-3</v>
      </c>
      <c r="AC444" s="1"/>
      <c r="AE444" s="1"/>
      <c r="AF444" s="1"/>
    </row>
    <row r="445" spans="1:32" x14ac:dyDescent="0.2">
      <c r="A445">
        <v>275</v>
      </c>
      <c r="B445" s="27" t="s">
        <v>1904</v>
      </c>
      <c r="C445" s="15" t="s">
        <v>3380</v>
      </c>
      <c r="D445" s="24">
        <f>Runners!P500</f>
        <v>2</v>
      </c>
      <c r="E445" s="183">
        <f>Runners!P499</f>
        <v>2</v>
      </c>
      <c r="F445" s="6" t="s">
        <v>1000</v>
      </c>
      <c r="G445" s="1">
        <v>1.9201388888888889E-2</v>
      </c>
      <c r="H445" s="53"/>
      <c r="I445" s="54"/>
      <c r="J445" s="1" t="s">
        <v>4778</v>
      </c>
      <c r="K445" s="33">
        <v>42161</v>
      </c>
      <c r="L445" s="9">
        <v>175</v>
      </c>
      <c r="M445" s="8">
        <v>1.9745370370370371E-2</v>
      </c>
      <c r="N445" s="3">
        <v>1.1157407407407408E-2</v>
      </c>
      <c r="O445" s="3">
        <v>1.3784722222222224E-2</v>
      </c>
      <c r="P445" s="80"/>
      <c r="Q445" s="53"/>
      <c r="R445" s="53"/>
      <c r="U445" s="53"/>
      <c r="W445" s="1">
        <f t="shared" si="60"/>
        <v>1.8820810971988469E-5</v>
      </c>
      <c r="X445" s="1">
        <f t="shared" si="61"/>
        <v>-1.8820810971988469E-5</v>
      </c>
      <c r="Y445" s="9">
        <v>16</v>
      </c>
      <c r="Z445">
        <f t="shared" si="0"/>
        <v>256</v>
      </c>
      <c r="AB445" s="1">
        <f t="shared" si="59"/>
        <v>1.5740740740740732E-3</v>
      </c>
      <c r="AC445" s="1"/>
      <c r="AE445" s="1"/>
      <c r="AF445" s="1"/>
    </row>
    <row r="446" spans="1:32" x14ac:dyDescent="0.2">
      <c r="A446">
        <v>20</v>
      </c>
      <c r="B446" s="27" t="s">
        <v>1701</v>
      </c>
      <c r="C446" s="74" t="s">
        <v>3167</v>
      </c>
      <c r="D446" s="183">
        <f>Runners!U309</f>
        <v>21</v>
      </c>
      <c r="E446" s="183">
        <f>Runners!U308</f>
        <v>918</v>
      </c>
      <c r="F446" s="6" t="s">
        <v>1270</v>
      </c>
      <c r="G446" s="1">
        <v>1.2962962962962963E-2</v>
      </c>
      <c r="H446" t="s">
        <v>3168</v>
      </c>
      <c r="I446" s="1">
        <v>1.7106481481481483E-2</v>
      </c>
      <c r="J446" s="1" t="s">
        <v>1270</v>
      </c>
      <c r="K446" s="34">
        <v>40068</v>
      </c>
      <c r="L446" s="9">
        <v>4</v>
      </c>
      <c r="M446" s="8">
        <v>1.8877314814814816E-2</v>
      </c>
      <c r="N446" s="3">
        <v>1.0243055555555556E-2</v>
      </c>
      <c r="O446" s="3">
        <v>1.2060185185185186E-2</v>
      </c>
      <c r="W446" s="1">
        <f t="shared" si="60"/>
        <v>9.3317266282384043E-4</v>
      </c>
      <c r="X446" s="1">
        <f t="shared" si="61"/>
        <v>-9.3317266282384043E-4</v>
      </c>
      <c r="Y446" s="9">
        <v>63</v>
      </c>
      <c r="Z446">
        <f t="shared" si="0"/>
        <v>3969</v>
      </c>
      <c r="AB446" s="1">
        <f t="shared" si="59"/>
        <v>6.5972222222222127E-4</v>
      </c>
      <c r="AC446" s="1"/>
      <c r="AE446" s="1"/>
      <c r="AF446" s="1"/>
    </row>
    <row r="447" spans="1:32" x14ac:dyDescent="0.2">
      <c r="A447">
        <v>164</v>
      </c>
      <c r="B447" s="27" t="s">
        <v>1359</v>
      </c>
      <c r="C447" s="24" t="s">
        <v>1263</v>
      </c>
      <c r="D447" s="24">
        <f>Runners!U854</f>
        <v>2</v>
      </c>
      <c r="E447" s="183">
        <f>Runners!U853</f>
        <v>2</v>
      </c>
      <c r="F447" s="6" t="s">
        <v>1000</v>
      </c>
      <c r="G447" s="1">
        <v>1.7280092592592593E-2</v>
      </c>
      <c r="J447" s="32" t="s">
        <v>1000</v>
      </c>
      <c r="K447" s="34">
        <v>41650</v>
      </c>
      <c r="L447" s="9">
        <v>87</v>
      </c>
      <c r="M447" s="8">
        <v>1.8622685185185183E-2</v>
      </c>
      <c r="N447" s="3">
        <v>1.0601851851851854E-2</v>
      </c>
      <c r="O447" s="3">
        <v>1.2372685185185186E-2</v>
      </c>
      <c r="W447" s="1">
        <f t="shared" si="60"/>
        <v>5.743763665275424E-4</v>
      </c>
      <c r="X447" s="1">
        <f t="shared" si="61"/>
        <v>-5.743763665275424E-4</v>
      </c>
      <c r="Y447" s="9">
        <v>32</v>
      </c>
      <c r="Z447">
        <f t="shared" si="0"/>
        <v>1024</v>
      </c>
      <c r="AB447" s="1">
        <f t="shared" si="59"/>
        <v>1.0185185185185193E-3</v>
      </c>
      <c r="AC447" s="1"/>
      <c r="AE447" s="1"/>
      <c r="AF447" s="1"/>
    </row>
    <row r="448" spans="1:32" x14ac:dyDescent="0.2">
      <c r="A448">
        <v>814</v>
      </c>
      <c r="B448" s="27" t="s">
        <v>160</v>
      </c>
      <c r="C448" s="24" t="s">
        <v>161</v>
      </c>
      <c r="D448" s="183">
        <f>Runners!L309</f>
        <v>12</v>
      </c>
      <c r="E448" s="183">
        <f>Runners!L308</f>
        <v>17</v>
      </c>
      <c r="F448" s="79" t="s">
        <v>8360</v>
      </c>
      <c r="G448" s="1">
        <v>1.5601851851851851E-2</v>
      </c>
      <c r="H448" s="80" t="s">
        <v>5903</v>
      </c>
      <c r="I448" s="1">
        <v>1.8888888888888889E-2</v>
      </c>
      <c r="J448" s="32" t="s">
        <v>1000</v>
      </c>
      <c r="K448" s="34">
        <v>42210</v>
      </c>
      <c r="L448" s="9">
        <v>189</v>
      </c>
      <c r="M448" s="8">
        <v>1.9699074074074074E-2</v>
      </c>
      <c r="N448" s="3">
        <v>1.0844907407407407E-2</v>
      </c>
      <c r="O448" s="3">
        <v>1.2719907407407407E-2</v>
      </c>
      <c r="Q448" s="103" t="s">
        <v>487</v>
      </c>
      <c r="R448" s="103"/>
      <c r="U448" s="53"/>
      <c r="W448" s="1">
        <f t="shared" si="60"/>
        <v>3.3132081097198875E-4</v>
      </c>
      <c r="X448" s="1">
        <f t="shared" si="61"/>
        <v>-3.3132081097198875E-4</v>
      </c>
      <c r="Y448" s="9">
        <v>29</v>
      </c>
      <c r="Z448">
        <f t="shared" si="0"/>
        <v>841</v>
      </c>
      <c r="AB448" s="1">
        <f t="shared" si="59"/>
        <v>1.2615740740740729E-3</v>
      </c>
      <c r="AC448" s="1"/>
      <c r="AE448" s="1"/>
      <c r="AF448" s="1"/>
    </row>
    <row r="449" spans="1:32" x14ac:dyDescent="0.2">
      <c r="A449">
        <v>601</v>
      </c>
      <c r="B449" s="493" t="s">
        <v>9502</v>
      </c>
      <c r="C449" s="415" t="s">
        <v>9494</v>
      </c>
      <c r="D449" s="24">
        <f>Runners!U1354</f>
        <v>2</v>
      </c>
      <c r="E449" s="183">
        <f>Runners!U1353</f>
        <v>2</v>
      </c>
      <c r="F449" s="1415" t="s">
        <v>2628</v>
      </c>
      <c r="G449" s="1432">
        <v>1.5219907407407409E-2</v>
      </c>
      <c r="H449" s="80" t="s">
        <v>3254</v>
      </c>
      <c r="I449" s="1">
        <v>1.8124999999999999E-2</v>
      </c>
      <c r="J449" s="334" t="s">
        <v>8150</v>
      </c>
      <c r="K449" s="34">
        <v>43393</v>
      </c>
      <c r="L449" s="1398">
        <v>396</v>
      </c>
      <c r="M449" s="8">
        <v>2.6817129629629632E-2</v>
      </c>
      <c r="N449" s="3">
        <v>1.1585648148148149E-2</v>
      </c>
      <c r="O449" s="3">
        <v>1.2407407407407409E-2</v>
      </c>
      <c r="Q449" s="1455" t="s">
        <v>12644</v>
      </c>
      <c r="R449" s="1455"/>
      <c r="U449" s="53"/>
      <c r="W449" s="1">
        <f t="shared" si="60"/>
        <v>-4.0941992976875272E-4</v>
      </c>
      <c r="X449" s="1">
        <f t="shared" si="61"/>
        <v>4.0941992976875272E-4</v>
      </c>
      <c r="Y449" s="9"/>
      <c r="AB449" s="1">
        <f t="shared" si="59"/>
        <v>2.0023148148148144E-3</v>
      </c>
      <c r="AC449" s="1"/>
      <c r="AE449" s="1"/>
      <c r="AF449" s="1"/>
    </row>
    <row r="450" spans="1:32" x14ac:dyDescent="0.2">
      <c r="A450">
        <v>1238</v>
      </c>
      <c r="B450" s="27" t="s">
        <v>5665</v>
      </c>
      <c r="C450" s="24" t="s">
        <v>5664</v>
      </c>
      <c r="D450" s="24">
        <f>Runners!P1289</f>
        <v>2</v>
      </c>
      <c r="E450" s="183">
        <f>Runners!P1288</f>
        <v>2</v>
      </c>
      <c r="F450" s="6" t="s">
        <v>909</v>
      </c>
      <c r="G450" s="1">
        <v>2.0196759259259258E-2</v>
      </c>
      <c r="H450" s="206" t="s">
        <v>5894</v>
      </c>
      <c r="I450" s="1">
        <v>2.0185185185185184E-2</v>
      </c>
      <c r="J450" s="32" t="s">
        <v>5061</v>
      </c>
      <c r="K450" s="34">
        <v>42665</v>
      </c>
      <c r="L450" s="1398">
        <v>294</v>
      </c>
      <c r="M450" s="8">
        <v>2.0254629629629629E-2</v>
      </c>
      <c r="N450" s="3">
        <v>1.0416666666666666E-2</v>
      </c>
      <c r="O450" s="3">
        <v>1.2060185185185186E-2</v>
      </c>
      <c r="Q450" s="53"/>
      <c r="R450" s="53"/>
      <c r="U450" s="53"/>
      <c r="W450" s="1">
        <f t="shared" si="60"/>
        <v>7.5956155171272993E-4</v>
      </c>
      <c r="X450" s="1">
        <f t="shared" si="61"/>
        <v>-7.5956155171272993E-4</v>
      </c>
      <c r="Y450" s="9"/>
      <c r="AB450" s="1">
        <f t="shared" si="59"/>
        <v>8.3333333333333176E-4</v>
      </c>
      <c r="AC450" s="1"/>
      <c r="AE450" s="1"/>
      <c r="AF450" s="1"/>
    </row>
    <row r="451" spans="1:32" x14ac:dyDescent="0.2">
      <c r="A451">
        <v>1537</v>
      </c>
      <c r="B451" s="493" t="s">
        <v>5499</v>
      </c>
      <c r="C451" s="415" t="s">
        <v>8580</v>
      </c>
      <c r="D451" s="24">
        <f>Runners!I1378</f>
        <v>1</v>
      </c>
      <c r="E451" s="183">
        <f>Runners!J1377</f>
        <v>1</v>
      </c>
      <c r="F451" s="79" t="s">
        <v>8462</v>
      </c>
      <c r="G451" s="1">
        <v>1.3287037037037036E-2</v>
      </c>
      <c r="H451" s="206"/>
      <c r="J451" s="334" t="s">
        <v>8462</v>
      </c>
      <c r="K451" s="34">
        <v>43701</v>
      </c>
      <c r="L451" s="1473"/>
      <c r="M451" s="8">
        <v>1.9745370370370371E-2</v>
      </c>
      <c r="N451" s="3">
        <v>1.082175925925926E-2</v>
      </c>
      <c r="O451" s="3">
        <v>1.2800925925925926E-2</v>
      </c>
      <c r="Q451" s="1455" t="s">
        <v>12639</v>
      </c>
      <c r="R451" s="1455"/>
      <c r="U451" s="53"/>
      <c r="W451" s="1">
        <f t="shared" si="60"/>
        <v>3.5446895912013589E-4</v>
      </c>
      <c r="X451" s="1">
        <f t="shared" si="61"/>
        <v>-3.5446895912013589E-4</v>
      </c>
      <c r="Y451" s="9"/>
      <c r="AB451" s="1">
        <f t="shared" si="59"/>
        <v>1.2384259259259258E-3</v>
      </c>
      <c r="AC451" s="1"/>
      <c r="AE451" s="1"/>
      <c r="AF451" s="1"/>
    </row>
    <row r="452" spans="1:32" x14ac:dyDescent="0.2">
      <c r="A452">
        <v>4</v>
      </c>
      <c r="B452" s="27" t="s">
        <v>1708</v>
      </c>
      <c r="C452" s="24" t="s">
        <v>2818</v>
      </c>
      <c r="D452" s="24">
        <f>Runners!U148</f>
        <v>35</v>
      </c>
      <c r="E452" s="183">
        <f>Runners!U147</f>
        <v>133</v>
      </c>
      <c r="F452" s="6" t="s">
        <v>5881</v>
      </c>
      <c r="G452" s="1">
        <v>1.3368055555555557E-2</v>
      </c>
      <c r="H452" s="80" t="s">
        <v>9806</v>
      </c>
      <c r="I452" s="1">
        <v>1.4444444444444446E-2</v>
      </c>
      <c r="J452" s="1" t="s">
        <v>2368</v>
      </c>
      <c r="K452" s="34">
        <v>40096</v>
      </c>
      <c r="L452" s="1398">
        <v>5</v>
      </c>
      <c r="M452" s="8">
        <v>1.9918981481481482E-2</v>
      </c>
      <c r="N452" s="3">
        <v>1.0393518518518519E-2</v>
      </c>
      <c r="O452" s="3">
        <v>1.1932870370370371E-2</v>
      </c>
      <c r="Q452" s="103" t="s">
        <v>5795</v>
      </c>
      <c r="R452" s="103"/>
      <c r="T452" s="34">
        <v>39375</v>
      </c>
      <c r="U452" s="53"/>
      <c r="W452" s="1">
        <f t="shared" si="60"/>
        <v>7.8270969986087707E-4</v>
      </c>
      <c r="X452" s="1">
        <f t="shared" si="61"/>
        <v>-7.8270969986087707E-4</v>
      </c>
      <c r="Y452" s="9">
        <v>50</v>
      </c>
      <c r="Z452">
        <f t="shared" si="0"/>
        <v>2500</v>
      </c>
      <c r="AB452" s="1">
        <f t="shared" si="59"/>
        <v>8.1018518518518462E-4</v>
      </c>
      <c r="AC452" s="1"/>
      <c r="AE452" s="1"/>
      <c r="AF452" s="1"/>
    </row>
    <row r="453" spans="1:32" x14ac:dyDescent="0.2">
      <c r="A453">
        <v>125</v>
      </c>
      <c r="B453" s="556" t="s">
        <v>6408</v>
      </c>
      <c r="C453" s="532" t="s">
        <v>6393</v>
      </c>
      <c r="D453" s="947">
        <f>Runners!O216</f>
        <v>23</v>
      </c>
      <c r="E453" s="948">
        <f>Runners!O215</f>
        <v>88</v>
      </c>
      <c r="F453" s="79" t="s">
        <v>127</v>
      </c>
      <c r="G453" s="1">
        <v>1.3657407407407408E-2</v>
      </c>
      <c r="H453" s="80" t="s">
        <v>9806</v>
      </c>
      <c r="I453" s="334">
        <v>1.4224537037037037E-2</v>
      </c>
      <c r="J453" s="334" t="s">
        <v>748</v>
      </c>
      <c r="K453" s="34">
        <v>42798</v>
      </c>
      <c r="L453" s="1398">
        <v>323</v>
      </c>
      <c r="M453" s="8">
        <v>2.1030092592592597E-2</v>
      </c>
      <c r="N453" s="3">
        <v>1.1712962962962965E-2</v>
      </c>
      <c r="O453" s="3">
        <v>1.252314814814815E-2</v>
      </c>
      <c r="P453" s="80" t="s">
        <v>7581</v>
      </c>
      <c r="Q453" s="53" t="s">
        <v>16310</v>
      </c>
      <c r="R453" s="53"/>
      <c r="T453" s="34"/>
      <c r="U453" s="53"/>
      <c r="W453" s="1">
        <f t="shared" si="60"/>
        <v>-5.3673474458356893E-4</v>
      </c>
      <c r="X453" s="1">
        <f t="shared" si="61"/>
        <v>5.3673474458356893E-4</v>
      </c>
      <c r="Y453" s="9"/>
      <c r="AB453" s="1">
        <f t="shared" si="59"/>
        <v>2.1296296296296306E-3</v>
      </c>
      <c r="AC453" s="1"/>
      <c r="AE453" s="1"/>
      <c r="AF453" s="1"/>
    </row>
    <row r="454" spans="1:32" x14ac:dyDescent="0.2">
      <c r="A454">
        <v>241</v>
      </c>
      <c r="B454" s="27" t="s">
        <v>3129</v>
      </c>
      <c r="C454" s="24" t="s">
        <v>6021</v>
      </c>
      <c r="D454" s="947">
        <f>Runners!Q500</f>
        <v>11</v>
      </c>
      <c r="E454" s="948">
        <f>Runners!Q499</f>
        <v>51</v>
      </c>
      <c r="F454" s="311" t="s">
        <v>4407</v>
      </c>
      <c r="G454" s="254">
        <v>1.5416666666666667E-2</v>
      </c>
      <c r="H454" s="206" t="s">
        <v>5241</v>
      </c>
      <c r="I454" s="254">
        <v>1.5497685185185186E-2</v>
      </c>
      <c r="J454" s="1" t="s">
        <v>2368</v>
      </c>
      <c r="K454" s="34">
        <v>42133</v>
      </c>
      <c r="L454" s="1398">
        <v>169</v>
      </c>
      <c r="M454" s="8">
        <v>1.8564814814814815E-2</v>
      </c>
      <c r="N454" s="3">
        <v>1.0868055555555556E-2</v>
      </c>
      <c r="O454" s="3">
        <v>1.2731481481481481E-2</v>
      </c>
      <c r="P454" s="53" t="s">
        <v>5238</v>
      </c>
      <c r="Q454" s="253" t="s">
        <v>5101</v>
      </c>
      <c r="R454" s="253"/>
      <c r="S454" s="197"/>
      <c r="T454" s="196"/>
      <c r="W454" s="1">
        <f t="shared" si="60"/>
        <v>3.0817266282383987E-4</v>
      </c>
      <c r="X454" s="1">
        <f t="shared" si="61"/>
        <v>-3.0817266282383987E-4</v>
      </c>
      <c r="Y454" s="9">
        <v>9</v>
      </c>
      <c r="Z454">
        <f t="shared" si="0"/>
        <v>81</v>
      </c>
      <c r="AB454" s="1">
        <f t="shared" si="59"/>
        <v>1.2847222222222218E-3</v>
      </c>
      <c r="AC454" s="1"/>
      <c r="AE454" s="1"/>
      <c r="AF454" s="1"/>
    </row>
    <row r="455" spans="1:32" x14ac:dyDescent="0.2">
      <c r="A455">
        <v>2386</v>
      </c>
      <c r="B455" s="27" t="s">
        <v>16249</v>
      </c>
      <c r="C455" s="531" t="s">
        <v>16250</v>
      </c>
      <c r="D455" s="531">
        <f>Runners!X1200</f>
        <v>2</v>
      </c>
      <c r="E455" s="541">
        <f>Runners!X1199</f>
        <v>2</v>
      </c>
      <c r="F455" s="79" t="s">
        <v>1000</v>
      </c>
      <c r="G455" s="334">
        <v>2.0601851851851854E-2</v>
      </c>
      <c r="H455" s="197" t="s">
        <v>1062</v>
      </c>
      <c r="I455" s="254">
        <v>2.3854166666666666E-2</v>
      </c>
      <c r="J455" s="334" t="s">
        <v>9179</v>
      </c>
      <c r="K455" s="34">
        <v>43813</v>
      </c>
      <c r="L455" s="1398"/>
      <c r="M455" s="8">
        <v>1.9432870370370371E-2</v>
      </c>
      <c r="N455" s="3">
        <v>1.1631944444444445E-2</v>
      </c>
      <c r="O455" s="3">
        <v>1.4224537037037037E-2</v>
      </c>
      <c r="P455" s="53"/>
      <c r="Q455" s="253"/>
      <c r="R455" s="253"/>
      <c r="S455" s="197"/>
      <c r="T455" s="196"/>
      <c r="W455" s="1">
        <f t="shared" si="60"/>
        <v>-4.5571622606504873E-4</v>
      </c>
      <c r="X455" s="1">
        <f t="shared" si="61"/>
        <v>4.5571622606504873E-4</v>
      </c>
      <c r="Y455" s="9"/>
      <c r="AB455" s="1">
        <f t="shared" si="59"/>
        <v>2.0486111111111104E-3</v>
      </c>
      <c r="AC455" s="1"/>
      <c r="AE455" s="1"/>
      <c r="AF455" s="1"/>
    </row>
    <row r="456" spans="1:32" x14ac:dyDescent="0.2">
      <c r="A456">
        <v>748</v>
      </c>
      <c r="B456" s="27" t="s">
        <v>3621</v>
      </c>
      <c r="C456" s="24" t="s">
        <v>5666</v>
      </c>
      <c r="D456" s="24">
        <f>Runners!S1048</f>
        <v>4</v>
      </c>
      <c r="E456" s="183">
        <f>Runners!S1047</f>
        <v>8</v>
      </c>
      <c r="F456" s="6" t="s">
        <v>298</v>
      </c>
      <c r="G456" s="1">
        <v>1.5902777777777776E-2</v>
      </c>
      <c r="H456" t="s">
        <v>5903</v>
      </c>
      <c r="I456" s="1">
        <v>1.8449074074074073E-2</v>
      </c>
      <c r="J456" s="1" t="s">
        <v>298</v>
      </c>
      <c r="K456" s="34">
        <v>42532</v>
      </c>
      <c r="L456" s="1398">
        <v>264</v>
      </c>
      <c r="M456" s="8">
        <v>1.9606481481481482E-2</v>
      </c>
      <c r="N456" s="3">
        <v>1.1006944444444444E-2</v>
      </c>
      <c r="O456" s="3">
        <v>1.2222222222222223E-2</v>
      </c>
      <c r="P456" s="53"/>
      <c r="Q456" s="618" t="s">
        <v>3653</v>
      </c>
      <c r="R456" s="618"/>
      <c r="S456" s="636" t="s">
        <v>5852</v>
      </c>
      <c r="T456" s="618"/>
      <c r="U456" s="530"/>
      <c r="W456" s="1">
        <f t="shared" si="60"/>
        <v>1.6928377393495182E-4</v>
      </c>
      <c r="X456" s="1">
        <f t="shared" si="61"/>
        <v>-1.6928377393495182E-4</v>
      </c>
      <c r="Y456" s="9"/>
      <c r="AB456" s="1">
        <f t="shared" si="59"/>
        <v>1.4236111111111099E-3</v>
      </c>
      <c r="AC456" s="1"/>
      <c r="AE456" s="1"/>
      <c r="AF456" s="1"/>
    </row>
    <row r="457" spans="1:32" x14ac:dyDescent="0.2">
      <c r="A457">
        <v>765</v>
      </c>
      <c r="B457" s="552" t="s">
        <v>2247</v>
      </c>
      <c r="C457" s="531" t="s">
        <v>2245</v>
      </c>
      <c r="D457" s="531">
        <f>Runners!R1073</f>
        <v>4</v>
      </c>
      <c r="E457" s="541">
        <f>Runners!R1072</f>
        <v>4</v>
      </c>
      <c r="F457" s="6" t="s">
        <v>5881</v>
      </c>
      <c r="G457" s="1">
        <v>1.7905092592592594E-2</v>
      </c>
      <c r="H457" t="s">
        <v>1062</v>
      </c>
      <c r="I457" s="1">
        <v>2.4571759259259262E-2</v>
      </c>
      <c r="J457" s="1" t="s">
        <v>5881</v>
      </c>
      <c r="K457" s="34">
        <v>42938</v>
      </c>
      <c r="L457" s="1398">
        <v>345</v>
      </c>
      <c r="M457" s="8">
        <v>1.9652777777777779E-2</v>
      </c>
      <c r="N457" s="3">
        <v>1.1030092592592591E-2</v>
      </c>
      <c r="O457" s="3">
        <v>1.2499999999999999E-2</v>
      </c>
      <c r="P457" s="53"/>
      <c r="Q457" s="196"/>
      <c r="R457" s="196"/>
      <c r="S457" s="197"/>
      <c r="T457" s="196"/>
      <c r="W457" s="1">
        <f t="shared" si="60"/>
        <v>1.4613562578680468E-4</v>
      </c>
      <c r="X457" s="1">
        <f t="shared" si="61"/>
        <v>-1.4613562578680468E-4</v>
      </c>
      <c r="Y457" s="9"/>
      <c r="AB457" s="1">
        <f t="shared" si="59"/>
        <v>1.446759259259257E-3</v>
      </c>
      <c r="AC457" s="1"/>
      <c r="AE457" s="1"/>
      <c r="AF457" s="1"/>
    </row>
    <row r="458" spans="1:32" x14ac:dyDescent="0.2">
      <c r="A458">
        <v>2018</v>
      </c>
      <c r="B458" s="556" t="s">
        <v>10114</v>
      </c>
      <c r="C458" s="532" t="s">
        <v>10115</v>
      </c>
      <c r="D458" s="531">
        <f>Runners!N1378</f>
        <v>2</v>
      </c>
      <c r="E458" s="541">
        <f>Runners!N1377</f>
        <v>2</v>
      </c>
      <c r="F458" s="1413" t="s">
        <v>756</v>
      </c>
      <c r="G458" s="1">
        <v>2.0185185185185184E-2</v>
      </c>
      <c r="H458" s="80" t="s">
        <v>9804</v>
      </c>
      <c r="I458" s="1">
        <v>1.9305555555555555E-2</v>
      </c>
      <c r="J458" s="334" t="s">
        <v>9804</v>
      </c>
      <c r="K458" s="34">
        <v>43274</v>
      </c>
      <c r="L458" s="1398">
        <v>416</v>
      </c>
      <c r="M458" s="8">
        <v>2.3541666666666666E-2</v>
      </c>
      <c r="N458" s="3">
        <v>1.1435185185185185E-2</v>
      </c>
      <c r="O458" s="3">
        <v>1.3981481481481482E-2</v>
      </c>
      <c r="P458" s="53"/>
      <c r="Q458" s="196"/>
      <c r="R458" s="196"/>
      <c r="S458" s="197"/>
      <c r="T458" s="196"/>
      <c r="W458" s="1">
        <f t="shared" si="60"/>
        <v>-2.5895696680578936E-4</v>
      </c>
      <c r="X458" s="1">
        <f t="shared" si="61"/>
        <v>2.5895696680578936E-4</v>
      </c>
      <c r="Y458" s="9"/>
      <c r="AB458" s="1">
        <f t="shared" si="59"/>
        <v>1.8518518518518511E-3</v>
      </c>
      <c r="AC458" s="1"/>
      <c r="AE458" s="1"/>
      <c r="AF458" s="1"/>
    </row>
    <row r="459" spans="1:32" x14ac:dyDescent="0.2">
      <c r="A459">
        <v>385</v>
      </c>
      <c r="B459" s="27" t="s">
        <v>5773</v>
      </c>
      <c r="C459" s="24" t="s">
        <v>5774</v>
      </c>
      <c r="D459" s="24">
        <f>Runners!S1073</f>
        <v>3</v>
      </c>
      <c r="E459" s="183">
        <f>Runners!S1072</f>
        <v>3</v>
      </c>
      <c r="F459" s="6" t="s">
        <v>4239</v>
      </c>
      <c r="G459" s="1">
        <v>1.9421296296296294E-2</v>
      </c>
      <c r="H459" s="2" t="s">
        <v>5903</v>
      </c>
      <c r="I459" s="1">
        <v>1.877314814814815E-2</v>
      </c>
      <c r="J459" s="1" t="s">
        <v>5903</v>
      </c>
      <c r="K459" s="34">
        <v>42420</v>
      </c>
      <c r="L459" s="9">
        <v>228</v>
      </c>
      <c r="M459" s="8">
        <v>1.8472222222222223E-2</v>
      </c>
      <c r="N459" s="3">
        <v>1.0219907407407408E-2</v>
      </c>
      <c r="O459" s="3">
        <v>1.1608796296296296E-2</v>
      </c>
      <c r="P459" s="53"/>
      <c r="Q459" s="494" t="s">
        <v>887</v>
      </c>
      <c r="R459" s="494"/>
      <c r="S459" s="495"/>
      <c r="T459" s="196"/>
      <c r="W459" s="1">
        <f t="shared" si="60"/>
        <v>9.5632081097198757E-4</v>
      </c>
      <c r="X459" s="1">
        <f t="shared" si="61"/>
        <v>-9.5632081097198757E-4</v>
      </c>
      <c r="Y459" s="9">
        <v>65</v>
      </c>
      <c r="Z459">
        <f t="shared" si="0"/>
        <v>4225</v>
      </c>
      <c r="AB459" s="1">
        <f t="shared" si="59"/>
        <v>6.3657407407407413E-4</v>
      </c>
      <c r="AC459" s="1"/>
      <c r="AE459" s="1"/>
      <c r="AF459" s="1"/>
    </row>
    <row r="460" spans="1:32" x14ac:dyDescent="0.2">
      <c r="A460">
        <v>107</v>
      </c>
      <c r="B460" s="556" t="s">
        <v>6280</v>
      </c>
      <c r="C460" s="532" t="s">
        <v>6159</v>
      </c>
      <c r="D460" s="531">
        <f>Runners!P216</f>
        <v>3</v>
      </c>
      <c r="E460" s="541">
        <f>Runners!S1072</f>
        <v>3</v>
      </c>
      <c r="F460" s="6" t="s">
        <v>1000</v>
      </c>
      <c r="G460" s="1">
        <v>1.8819444444444448E-2</v>
      </c>
      <c r="H460" s="513" t="s">
        <v>1062</v>
      </c>
      <c r="I460" s="1">
        <v>2.2835648148148147E-2</v>
      </c>
      <c r="J460" s="334" t="s">
        <v>1000</v>
      </c>
      <c r="K460" s="34">
        <v>42833</v>
      </c>
      <c r="L460" s="1398">
        <v>329</v>
      </c>
      <c r="M460" s="8">
        <v>2.0543981481481479E-2</v>
      </c>
      <c r="N460" s="3">
        <v>1.1203703703703704E-2</v>
      </c>
      <c r="O460" s="3">
        <v>1.2685185185185183E-2</v>
      </c>
      <c r="P460" s="53"/>
      <c r="Q460" s="132"/>
      <c r="R460" s="132"/>
      <c r="S460" s="279"/>
      <c r="T460" s="196"/>
      <c r="W460" s="1">
        <f t="shared" si="60"/>
        <v>-2.7475485324307547E-5</v>
      </c>
      <c r="X460" s="1">
        <f t="shared" si="61"/>
        <v>2.7475485324307547E-5</v>
      </c>
      <c r="Y460" s="9"/>
      <c r="AB460" s="1"/>
      <c r="AC460" s="1"/>
      <c r="AE460" s="1"/>
      <c r="AF460" s="1"/>
    </row>
    <row r="461" spans="1:32" x14ac:dyDescent="0.2">
      <c r="A461">
        <v>2073</v>
      </c>
      <c r="B461" s="556" t="s">
        <v>12381</v>
      </c>
      <c r="C461" s="532" t="s">
        <v>12383</v>
      </c>
      <c r="D461" s="531">
        <f>Runners!K1225</f>
        <v>1</v>
      </c>
      <c r="E461" s="541">
        <f>Runners!K1224</f>
        <v>1</v>
      </c>
      <c r="F461" s="6"/>
      <c r="H461" s="1374" t="s">
        <v>9806</v>
      </c>
      <c r="I461" s="1412">
        <v>1.4791666666666668E-2</v>
      </c>
      <c r="J461" s="334" t="s">
        <v>9806</v>
      </c>
      <c r="K461" s="34">
        <v>43568</v>
      </c>
      <c r="L461" s="1398">
        <v>488</v>
      </c>
      <c r="M461" s="8">
        <v>1.9675925925925927E-2</v>
      </c>
      <c r="N461" s="3">
        <v>1.1354166666666667E-2</v>
      </c>
      <c r="O461" s="3">
        <v>1.2569444444444446E-2</v>
      </c>
      <c r="P461" s="53"/>
      <c r="Q461" s="132"/>
      <c r="R461" s="132"/>
      <c r="S461" s="279"/>
      <c r="T461" s="196"/>
      <c r="W461" s="1">
        <f t="shared" si="60"/>
        <v>-1.779384482872709E-4</v>
      </c>
      <c r="X461" s="1">
        <f t="shared" si="61"/>
        <v>1.779384482872709E-4</v>
      </c>
      <c r="Y461" s="9"/>
      <c r="AB461" s="1"/>
      <c r="AC461" s="1"/>
      <c r="AE461" s="1"/>
      <c r="AF461" s="1"/>
    </row>
    <row r="462" spans="1:32" x14ac:dyDescent="0.2">
      <c r="A462">
        <v>1886</v>
      </c>
      <c r="B462" s="556" t="s">
        <v>12379</v>
      </c>
      <c r="C462" s="532" t="s">
        <v>9873</v>
      </c>
      <c r="D462" s="531">
        <f>Runners!L1225</f>
        <v>2</v>
      </c>
      <c r="E462" s="541">
        <f>Runners!L1224</f>
        <v>2</v>
      </c>
      <c r="F462" s="6" t="s">
        <v>1000</v>
      </c>
      <c r="G462" s="1">
        <v>2.0532407407407405E-2</v>
      </c>
      <c r="H462" s="1374" t="s">
        <v>9806</v>
      </c>
      <c r="I462" s="1412">
        <v>1.6111111111111111E-2</v>
      </c>
      <c r="J462" s="512" t="s">
        <v>9806</v>
      </c>
      <c r="K462" s="34">
        <v>43253</v>
      </c>
      <c r="L462" s="1398">
        <v>411</v>
      </c>
      <c r="M462" s="8">
        <v>2.2337962962962962E-2</v>
      </c>
      <c r="N462" s="3">
        <v>1.2847222222222223E-2</v>
      </c>
      <c r="O462" s="3">
        <v>1.3969907407407408E-2</v>
      </c>
      <c r="P462" s="53" t="s">
        <v>1212</v>
      </c>
      <c r="Q462" s="132"/>
      <c r="R462" s="132"/>
      <c r="S462" s="279"/>
      <c r="T462" s="196"/>
      <c r="W462" s="1">
        <f t="shared" si="60"/>
        <v>-1.6709940038428274E-3</v>
      </c>
      <c r="X462" s="1">
        <f t="shared" si="61"/>
        <v>1.6709940038428274E-3</v>
      </c>
      <c r="Y462" s="9"/>
      <c r="AB462" s="1"/>
      <c r="AC462" s="1"/>
      <c r="AE462" s="1"/>
      <c r="AF462" s="1"/>
    </row>
    <row r="463" spans="1:32" x14ac:dyDescent="0.2">
      <c r="A463">
        <v>383</v>
      </c>
      <c r="B463" s="556" t="s">
        <v>17017</v>
      </c>
      <c r="C463" s="532" t="s">
        <v>17018</v>
      </c>
      <c r="D463" s="531">
        <f>Runners!L1410</f>
        <v>1</v>
      </c>
      <c r="E463" s="541">
        <f>Runners!L1409</f>
        <v>1</v>
      </c>
      <c r="F463" s="1413" t="s">
        <v>756</v>
      </c>
      <c r="G463" s="1412">
        <v>2.1134259259259259E-2</v>
      </c>
      <c r="H463" s="1374"/>
      <c r="I463" s="1412"/>
      <c r="J463" s="512" t="s">
        <v>756</v>
      </c>
      <c r="K463" s="34">
        <v>43876</v>
      </c>
      <c r="L463" s="1398"/>
      <c r="M463" s="8">
        <v>2.5405092592592594E-2</v>
      </c>
      <c r="N463" s="3">
        <v>1.064814814814815E-2</v>
      </c>
      <c r="O463" s="3">
        <v>1.1944444444444445E-2</v>
      </c>
      <c r="P463" s="53"/>
      <c r="Q463" s="132"/>
      <c r="R463" s="132"/>
      <c r="S463" s="279"/>
      <c r="T463" s="196"/>
      <c r="W463" s="1">
        <f t="shared" si="60"/>
        <v>5.2808007023124638E-4</v>
      </c>
      <c r="X463" s="1">
        <f t="shared" si="61"/>
        <v>-5.2808007023124638E-4</v>
      </c>
      <c r="Y463" s="9"/>
      <c r="AB463" s="1"/>
      <c r="AC463" s="1"/>
      <c r="AE463" s="1"/>
      <c r="AF463" s="1"/>
    </row>
    <row r="464" spans="1:32" x14ac:dyDescent="0.2">
      <c r="A464">
        <v>166</v>
      </c>
      <c r="B464" s="556" t="s">
        <v>7753</v>
      </c>
      <c r="C464" s="532" t="s">
        <v>7754</v>
      </c>
      <c r="D464" s="531">
        <f>Runners!J1354</f>
        <v>1</v>
      </c>
      <c r="E464" s="541">
        <f>Runners!J1353</f>
        <v>1</v>
      </c>
      <c r="F464" s="79" t="s">
        <v>756</v>
      </c>
      <c r="G464" s="1">
        <v>2.0520833333333332E-2</v>
      </c>
      <c r="H464" s="1374"/>
      <c r="I464" s="1412"/>
      <c r="J464" s="334" t="s">
        <v>756</v>
      </c>
      <c r="K464" s="34">
        <v>43554</v>
      </c>
      <c r="L464" s="1398">
        <v>483</v>
      </c>
      <c r="M464" s="8">
        <v>2.165509259259259E-2</v>
      </c>
      <c r="N464" s="3">
        <v>1.1249999999999998E-2</v>
      </c>
      <c r="O464" s="3">
        <v>1.3321759259259261E-2</v>
      </c>
      <c r="P464" s="53"/>
      <c r="Q464" s="132" t="s">
        <v>7755</v>
      </c>
      <c r="R464" s="132"/>
      <c r="S464" s="279"/>
      <c r="T464" s="196"/>
      <c r="W464" s="1">
        <f t="shared" si="60"/>
        <v>-7.3771781620601828E-5</v>
      </c>
      <c r="X464" s="1">
        <f t="shared" si="61"/>
        <v>7.3771781620601828E-5</v>
      </c>
      <c r="Y464" s="9"/>
      <c r="AB464" s="1"/>
      <c r="AC464" s="1"/>
      <c r="AE464" s="1"/>
      <c r="AF464" s="1"/>
    </row>
    <row r="465" spans="1:32" x14ac:dyDescent="0.2">
      <c r="A465">
        <v>555</v>
      </c>
      <c r="B465" s="27" t="s">
        <v>227</v>
      </c>
      <c r="C465" s="74" t="s">
        <v>3381</v>
      </c>
      <c r="D465" s="24">
        <f>Runners!K1410</f>
        <v>9</v>
      </c>
      <c r="E465" s="183">
        <f>Runners!K1409</f>
        <v>9</v>
      </c>
      <c r="F465" s="6" t="s">
        <v>5096</v>
      </c>
      <c r="G465" s="1">
        <v>1.7175925925925924E-2</v>
      </c>
      <c r="H465" s="1474" t="s">
        <v>1212</v>
      </c>
      <c r="I465" s="1475" t="s">
        <v>1212</v>
      </c>
      <c r="J465" s="32" t="s">
        <v>5096</v>
      </c>
      <c r="K465" s="33">
        <v>41559</v>
      </c>
      <c r="L465" s="1398">
        <v>72</v>
      </c>
      <c r="M465" s="8">
        <v>2.3194444444444445E-2</v>
      </c>
      <c r="N465" s="3">
        <v>1.0555555555555554E-2</v>
      </c>
      <c r="O465" s="3">
        <v>1.255787037037037E-2</v>
      </c>
      <c r="Q465" s="635" t="s">
        <v>5528</v>
      </c>
      <c r="R465" s="635"/>
      <c r="U465" s="53"/>
      <c r="W465" s="1">
        <f t="shared" si="60"/>
        <v>6.2067266282384188E-4</v>
      </c>
      <c r="X465" s="1">
        <f t="shared" si="61"/>
        <v>-6.2067266282384188E-4</v>
      </c>
      <c r="Y465" s="9">
        <v>36</v>
      </c>
      <c r="Z465">
        <f t="shared" si="0"/>
        <v>1296</v>
      </c>
      <c r="AB465" s="1">
        <f t="shared" si="59"/>
        <v>9.7222222222221981E-4</v>
      </c>
      <c r="AC465" s="1"/>
      <c r="AE465" s="1"/>
      <c r="AF465" s="1"/>
    </row>
    <row r="466" spans="1:32" x14ac:dyDescent="0.2">
      <c r="A466">
        <v>1600</v>
      </c>
      <c r="B466" s="27" t="s">
        <v>8338</v>
      </c>
      <c r="C466" s="415" t="s">
        <v>8335</v>
      </c>
      <c r="D466" s="24">
        <f>Runners!T1289</f>
        <v>2</v>
      </c>
      <c r="E466" s="183">
        <f>Runners!T1288</f>
        <v>2</v>
      </c>
      <c r="F466" s="6" t="s">
        <v>909</v>
      </c>
      <c r="G466" s="1">
        <v>1.9629629629629629E-2</v>
      </c>
      <c r="H466" s="1370" t="s">
        <v>5894</v>
      </c>
      <c r="I466" s="1432">
        <v>1.9618055555555555E-2</v>
      </c>
      <c r="J466" s="334" t="s">
        <v>5061</v>
      </c>
      <c r="K466" s="33">
        <v>42959</v>
      </c>
      <c r="L466" s="1398">
        <v>351</v>
      </c>
      <c r="M466" s="8">
        <v>2.2025462962962958E-2</v>
      </c>
      <c r="N466" s="3">
        <v>9.9768518518518531E-3</v>
      </c>
      <c r="O466" s="3">
        <v>1.1273148148148148E-2</v>
      </c>
      <c r="P466" s="80" t="s">
        <v>1212</v>
      </c>
      <c r="Q466" s="53"/>
      <c r="R466" s="53"/>
      <c r="U466" s="53"/>
      <c r="W466" s="1">
        <f t="shared" si="60"/>
        <v>1.199376366527543E-3</v>
      </c>
      <c r="X466" s="1">
        <f t="shared" si="61"/>
        <v>-1.199376366527543E-3</v>
      </c>
      <c r="Y466" s="9"/>
      <c r="AB466" s="1"/>
      <c r="AC466" s="1"/>
      <c r="AE466" s="1"/>
      <c r="AF466" s="1"/>
    </row>
    <row r="467" spans="1:32" x14ac:dyDescent="0.2">
      <c r="A467">
        <v>153</v>
      </c>
      <c r="B467" s="27" t="s">
        <v>2917</v>
      </c>
      <c r="C467" s="74" t="s">
        <v>4220</v>
      </c>
      <c r="D467" s="24">
        <f>Runners!P974</f>
        <v>1</v>
      </c>
      <c r="E467" s="183">
        <f>Runners!P973</f>
        <v>1</v>
      </c>
      <c r="F467" s="6"/>
      <c r="H467" s="1375" t="s">
        <v>1062</v>
      </c>
      <c r="I467" s="1476">
        <v>2.3935185185185184E-2</v>
      </c>
      <c r="J467" s="265" t="s">
        <v>1062</v>
      </c>
      <c r="K467" s="33">
        <v>42483</v>
      </c>
      <c r="L467" s="1398">
        <v>254</v>
      </c>
      <c r="M467" s="8">
        <v>2.119212962962963E-2</v>
      </c>
      <c r="N467" s="3">
        <v>1.2222222222222223E-2</v>
      </c>
      <c r="O467" s="3">
        <v>1.4351851851851852E-2</v>
      </c>
      <c r="Q467" s="53"/>
      <c r="R467" s="53"/>
      <c r="U467" s="53"/>
      <c r="W467" s="1">
        <f t="shared" si="60"/>
        <v>-1.0459940038428268E-3</v>
      </c>
      <c r="X467" s="1">
        <f t="shared" si="61"/>
        <v>1.0459940038428268E-3</v>
      </c>
      <c r="Y467" s="9">
        <v>106</v>
      </c>
      <c r="Z467">
        <f>Y467*Y467</f>
        <v>11236</v>
      </c>
      <c r="AB467" s="1">
        <f t="shared" si="59"/>
        <v>2.6388888888888885E-3</v>
      </c>
      <c r="AC467" s="1"/>
      <c r="AE467" s="1"/>
      <c r="AF467" s="1"/>
    </row>
    <row r="468" spans="1:32" x14ac:dyDescent="0.2">
      <c r="A468">
        <v>479</v>
      </c>
      <c r="B468" s="493" t="s">
        <v>8456</v>
      </c>
      <c r="C468" s="415" t="s">
        <v>4634</v>
      </c>
      <c r="D468" s="24">
        <f>Runners!T1048</f>
        <v>1</v>
      </c>
      <c r="E468" s="183">
        <f>Runners!T1047</f>
        <v>1</v>
      </c>
      <c r="F468" s="6"/>
      <c r="H468" s="1375" t="s">
        <v>748</v>
      </c>
      <c r="I468" s="1476">
        <v>2.4074074074074071E-2</v>
      </c>
      <c r="J468" s="265" t="s">
        <v>748</v>
      </c>
      <c r="K468" s="33">
        <v>42980</v>
      </c>
      <c r="L468" s="1398">
        <v>361</v>
      </c>
      <c r="M468" s="8">
        <v>1.9606481481481482E-2</v>
      </c>
      <c r="N468" s="3">
        <v>1.0717592592592593E-2</v>
      </c>
      <c r="O468" s="3">
        <v>1.1805555555555555E-2</v>
      </c>
      <c r="Q468" s="53"/>
      <c r="R468" s="53"/>
      <c r="U468" s="53"/>
      <c r="W468" s="1">
        <f t="shared" si="60"/>
        <v>4.5863562578680322E-4</v>
      </c>
      <c r="X468" s="1">
        <f t="shared" si="61"/>
        <v>-4.5863562578680322E-4</v>
      </c>
      <c r="Y468" s="9"/>
      <c r="AB468" s="1"/>
      <c r="AC468" s="1"/>
      <c r="AE468" s="1"/>
      <c r="AF468" s="1"/>
    </row>
    <row r="469" spans="1:32" x14ac:dyDescent="0.2">
      <c r="A469">
        <v>1710</v>
      </c>
      <c r="B469" s="493" t="s">
        <v>10743</v>
      </c>
      <c r="C469" s="415" t="s">
        <v>10744</v>
      </c>
      <c r="D469" s="24">
        <f>Runners!V1225</f>
        <v>2</v>
      </c>
      <c r="E469" s="183">
        <f>Runners!V1224</f>
        <v>2</v>
      </c>
      <c r="F469" s="1130" t="s">
        <v>3790</v>
      </c>
      <c r="G469" s="1">
        <v>1.5879629629629629E-2</v>
      </c>
      <c r="H469" s="1375" t="s">
        <v>4596</v>
      </c>
      <c r="I469" s="1476">
        <v>1.7928240740740741E-2</v>
      </c>
      <c r="J469" s="265" t="s">
        <v>6180</v>
      </c>
      <c r="K469" s="33">
        <v>43379</v>
      </c>
      <c r="L469" s="1398">
        <v>443</v>
      </c>
      <c r="M469" s="8">
        <v>2.0682870370370372E-2</v>
      </c>
      <c r="Q469" s="53"/>
      <c r="R469" s="53"/>
      <c r="U469" s="53"/>
      <c r="W469" s="1"/>
      <c r="X469" s="1"/>
      <c r="Y469" s="9"/>
      <c r="AB469" s="1"/>
      <c r="AC469" s="1"/>
      <c r="AE469" s="1"/>
      <c r="AF469" s="1"/>
    </row>
    <row r="470" spans="1:32" x14ac:dyDescent="0.2">
      <c r="A470">
        <v>297</v>
      </c>
      <c r="B470" s="493" t="s">
        <v>7576</v>
      </c>
      <c r="C470" s="415" t="s">
        <v>3856</v>
      </c>
      <c r="D470" s="24">
        <f>Runners!U1048</f>
        <v>2</v>
      </c>
      <c r="E470" s="183">
        <f>Runners!U1047</f>
        <v>2</v>
      </c>
      <c r="F470" s="79" t="s">
        <v>298</v>
      </c>
      <c r="G470" s="1">
        <v>1.6134259259259261E-2</v>
      </c>
      <c r="H470" s="1370" t="s">
        <v>5903</v>
      </c>
      <c r="I470" s="1432">
        <v>1.8460648148148146E-2</v>
      </c>
      <c r="J470" s="334" t="s">
        <v>7577</v>
      </c>
      <c r="K470" s="33">
        <v>42798</v>
      </c>
      <c r="L470" s="1398">
        <v>322</v>
      </c>
      <c r="M470" s="8">
        <v>1.9166666666666669E-2</v>
      </c>
      <c r="N470" s="3">
        <v>1.0810185185185185E-2</v>
      </c>
      <c r="O470" s="3">
        <v>1.2337962962962962E-2</v>
      </c>
      <c r="Q470" s="53"/>
      <c r="R470" s="53"/>
      <c r="U470" s="53"/>
      <c r="W470" s="1">
        <f t="shared" ref="W470:W478" si="62">$N$700-N470</f>
        <v>3.6604303319421119E-4</v>
      </c>
      <c r="X470" s="1">
        <f t="shared" ref="X470:X478" si="63">N470-$N$700</f>
        <v>-3.6604303319421119E-4</v>
      </c>
      <c r="Y470" s="9"/>
      <c r="AB470" s="1">
        <f t="shared" si="59"/>
        <v>1.2268518518518505E-3</v>
      </c>
      <c r="AC470" s="1"/>
      <c r="AE470" s="1"/>
      <c r="AF470" s="1"/>
    </row>
    <row r="471" spans="1:32" x14ac:dyDescent="0.2">
      <c r="A471">
        <v>19</v>
      </c>
      <c r="B471" s="27" t="s">
        <v>5127</v>
      </c>
      <c r="C471" s="24" t="s">
        <v>6018</v>
      </c>
      <c r="D471" s="24">
        <f>Runners!R500</f>
        <v>7</v>
      </c>
      <c r="E471" s="183">
        <f>Runners!R499</f>
        <v>8</v>
      </c>
      <c r="F471" s="6" t="s">
        <v>5096</v>
      </c>
      <c r="G471" s="1">
        <v>1.4699074074074074E-2</v>
      </c>
      <c r="H471" s="1370" t="s">
        <v>7799</v>
      </c>
      <c r="I471" s="1412">
        <v>1.8472222222222223E-2</v>
      </c>
      <c r="J471" s="1" t="s">
        <v>5096</v>
      </c>
      <c r="K471" s="34">
        <v>41615</v>
      </c>
      <c r="L471" s="1398">
        <v>81</v>
      </c>
      <c r="M471" s="8">
        <v>1.9189814814814816E-2</v>
      </c>
      <c r="N471" s="3">
        <v>1.0891203703703703E-2</v>
      </c>
      <c r="O471" s="3">
        <v>1.3194444444444444E-2</v>
      </c>
      <c r="P471" s="3"/>
      <c r="Q471" s="635" t="s">
        <v>3181</v>
      </c>
      <c r="R471" s="635"/>
      <c r="U471" s="53"/>
      <c r="W471" s="1">
        <f t="shared" si="62"/>
        <v>2.8502451467569273E-4</v>
      </c>
      <c r="X471" s="1">
        <f t="shared" si="63"/>
        <v>-2.8502451467569273E-4</v>
      </c>
      <c r="Y471" s="9">
        <v>7</v>
      </c>
      <c r="Z471">
        <f t="shared" si="0"/>
        <v>49</v>
      </c>
      <c r="AB471" s="1">
        <f t="shared" si="59"/>
        <v>1.307870370370369E-3</v>
      </c>
      <c r="AC471" s="1"/>
      <c r="AE471" s="1"/>
      <c r="AF471" s="1"/>
    </row>
    <row r="472" spans="1:32" x14ac:dyDescent="0.2">
      <c r="A472">
        <v>138</v>
      </c>
      <c r="B472" s="27" t="s">
        <v>3776</v>
      </c>
      <c r="C472" s="24" t="s">
        <v>3383</v>
      </c>
      <c r="D472" s="24">
        <f>Runners!S579</f>
        <v>3</v>
      </c>
      <c r="E472" s="183">
        <f>Runners!S578</f>
        <v>3</v>
      </c>
      <c r="F472" s="79" t="s">
        <v>1000</v>
      </c>
      <c r="G472" s="1">
        <v>1.8981481481481481E-2</v>
      </c>
      <c r="H472" s="1371"/>
      <c r="I472" s="1412"/>
      <c r="J472" s="1" t="s">
        <v>4778</v>
      </c>
      <c r="K472" s="34">
        <v>42532</v>
      </c>
      <c r="L472" s="1398">
        <v>265</v>
      </c>
      <c r="M472" s="8">
        <v>2.0034722222222221E-2</v>
      </c>
      <c r="N472" s="3">
        <v>1.1342592592592592E-2</v>
      </c>
      <c r="O472" s="3">
        <v>1.2743055555555556E-2</v>
      </c>
      <c r="P472" s="3"/>
      <c r="Q472" s="53"/>
      <c r="R472" s="53"/>
      <c r="U472" s="53"/>
      <c r="W472" s="1">
        <f t="shared" si="62"/>
        <v>-1.663643742131956E-4</v>
      </c>
      <c r="X472" s="1">
        <f t="shared" si="63"/>
        <v>1.663643742131956E-4</v>
      </c>
      <c r="Y472" s="9">
        <v>30</v>
      </c>
      <c r="Z472">
        <f>Y472*Y472</f>
        <v>900</v>
      </c>
      <c r="AB472" s="1">
        <f t="shared" si="59"/>
        <v>1.7592592592592573E-3</v>
      </c>
      <c r="AC472" s="1"/>
      <c r="AE472" s="1"/>
      <c r="AF472" s="1"/>
    </row>
    <row r="473" spans="1:32" x14ac:dyDescent="0.2">
      <c r="A473">
        <v>98</v>
      </c>
      <c r="B473" s="329" t="s">
        <v>6076</v>
      </c>
      <c r="C473" s="74" t="s">
        <v>6075</v>
      </c>
      <c r="D473" s="24">
        <f>Runners!R974</f>
        <v>2</v>
      </c>
      <c r="E473" s="183">
        <f>Runners!R973</f>
        <v>3</v>
      </c>
      <c r="F473" s="79" t="s">
        <v>1000</v>
      </c>
      <c r="G473" s="1">
        <v>1.9803240740740739E-2</v>
      </c>
      <c r="H473" s="1374" t="s">
        <v>1062</v>
      </c>
      <c r="I473" s="1476">
        <v>2.344907407407407E-2</v>
      </c>
      <c r="J473" s="512" t="s">
        <v>1062</v>
      </c>
      <c r="K473" s="34">
        <v>42721</v>
      </c>
      <c r="L473" s="1398">
        <v>307</v>
      </c>
      <c r="M473" s="8">
        <v>2.0208333333333335E-2</v>
      </c>
      <c r="N473" s="3">
        <v>1.1875000000000002E-2</v>
      </c>
      <c r="O473" s="3">
        <v>1.4895833333333332E-2</v>
      </c>
      <c r="P473" s="3"/>
      <c r="Q473" s="53"/>
      <c r="R473" s="53"/>
      <c r="U473" s="53"/>
      <c r="W473" s="1">
        <f t="shared" si="62"/>
        <v>-6.9877178162060585E-4</v>
      </c>
      <c r="X473" s="1">
        <f t="shared" si="63"/>
        <v>6.9877178162060585E-4</v>
      </c>
      <c r="Y473" s="9"/>
      <c r="AB473" s="1">
        <f t="shared" si="59"/>
        <v>2.2916666666666675E-3</v>
      </c>
      <c r="AC473" s="1"/>
      <c r="AE473" s="1"/>
      <c r="AF473" s="1"/>
    </row>
    <row r="474" spans="1:32" x14ac:dyDescent="0.2">
      <c r="A474">
        <v>414</v>
      </c>
      <c r="B474" s="493" t="s">
        <v>11729</v>
      </c>
      <c r="C474" s="415" t="s">
        <v>11730</v>
      </c>
      <c r="D474" s="24">
        <f>Runners!Q974</f>
        <v>2</v>
      </c>
      <c r="E474" s="183">
        <f>Runners!Q973</f>
        <v>2</v>
      </c>
      <c r="F474" s="79" t="s">
        <v>5096</v>
      </c>
      <c r="G474" s="1">
        <v>1.462962962962963E-2</v>
      </c>
      <c r="H474" s="1374"/>
      <c r="I474" s="1476"/>
      <c r="J474" s="512" t="s">
        <v>5096</v>
      </c>
      <c r="K474" s="34">
        <v>43498</v>
      </c>
      <c r="L474" s="1398">
        <v>466</v>
      </c>
      <c r="M474" s="8">
        <v>1.9756944444444445E-2</v>
      </c>
      <c r="N474" s="3">
        <v>1.0405092592592593E-2</v>
      </c>
      <c r="O474" s="3">
        <v>1.1631944444444445E-2</v>
      </c>
      <c r="P474" s="3"/>
      <c r="Q474" s="635" t="s">
        <v>1062</v>
      </c>
      <c r="R474" s="635"/>
      <c r="U474" s="53"/>
      <c r="W474" s="1">
        <f t="shared" si="62"/>
        <v>7.711356257868035E-4</v>
      </c>
      <c r="X474" s="1">
        <f t="shared" si="63"/>
        <v>-7.711356257868035E-4</v>
      </c>
      <c r="Y474" s="9"/>
      <c r="AB474" s="1">
        <f t="shared" si="59"/>
        <v>8.2175925925925819E-4</v>
      </c>
      <c r="AC474" s="1"/>
      <c r="AE474" s="1"/>
      <c r="AF474" s="1"/>
    </row>
    <row r="475" spans="1:32" x14ac:dyDescent="0.2">
      <c r="A475">
        <v>1348</v>
      </c>
      <c r="B475" s="27" t="s">
        <v>361</v>
      </c>
      <c r="C475" s="24" t="s">
        <v>1009</v>
      </c>
      <c r="D475" s="24">
        <f>Runners!K539</f>
        <v>3</v>
      </c>
      <c r="E475" s="183">
        <f>Runners!K538</f>
        <v>3</v>
      </c>
      <c r="F475" s="6" t="s">
        <v>5096</v>
      </c>
      <c r="G475" s="1">
        <v>1.5416666666666667E-2</v>
      </c>
      <c r="H475" s="1410" t="s">
        <v>1062</v>
      </c>
      <c r="I475" s="1412">
        <v>2.7800925925925923E-2</v>
      </c>
      <c r="J475" s="1" t="s">
        <v>5096</v>
      </c>
      <c r="K475" s="34">
        <v>42322</v>
      </c>
      <c r="L475" s="1398">
        <v>207</v>
      </c>
      <c r="M475" s="8">
        <v>2.1261574074074075E-2</v>
      </c>
      <c r="N475" s="3">
        <v>1.0972222222222223E-2</v>
      </c>
      <c r="O475" s="3">
        <v>1.2800925925925926E-2</v>
      </c>
      <c r="P475" s="3"/>
      <c r="Q475" s="53"/>
      <c r="R475" s="53"/>
      <c r="U475" s="53"/>
      <c r="W475" s="1">
        <f t="shared" si="62"/>
        <v>2.0400599615717253E-4</v>
      </c>
      <c r="X475" s="1">
        <f t="shared" si="63"/>
        <v>-2.0400599615717253E-4</v>
      </c>
      <c r="Y475" s="104">
        <v>88</v>
      </c>
      <c r="Z475">
        <f t="shared" si="0"/>
        <v>7744</v>
      </c>
      <c r="AB475" s="1">
        <f t="shared" si="59"/>
        <v>1.3888888888888892E-3</v>
      </c>
      <c r="AC475" s="1"/>
      <c r="AE475" s="1"/>
      <c r="AF475" s="1"/>
    </row>
    <row r="476" spans="1:32" x14ac:dyDescent="0.2">
      <c r="A476">
        <v>2037</v>
      </c>
      <c r="B476" s="493" t="s">
        <v>15560</v>
      </c>
      <c r="C476" s="415" t="s">
        <v>15564</v>
      </c>
      <c r="D476" s="24">
        <f>Runners!Z1410</f>
        <v>1</v>
      </c>
      <c r="E476" s="183">
        <f>Runners!Z1409</f>
        <v>1</v>
      </c>
      <c r="F476" s="79" t="s">
        <v>5573</v>
      </c>
      <c r="G476" s="1">
        <v>1.6377314814814813E-2</v>
      </c>
      <c r="H476" s="1410"/>
      <c r="I476" s="1412"/>
      <c r="J476" s="334" t="s">
        <v>5573</v>
      </c>
      <c r="K476" s="34">
        <v>43729</v>
      </c>
      <c r="L476" s="1398"/>
      <c r="M476" s="8">
        <v>3.0289351851851855E-2</v>
      </c>
      <c r="N476" s="3">
        <v>1.1331018518518518E-2</v>
      </c>
      <c r="O476" s="3">
        <v>1.3414351851851851E-2</v>
      </c>
      <c r="P476" s="3"/>
      <c r="Q476" s="53"/>
      <c r="R476" s="53"/>
      <c r="U476" s="53"/>
      <c r="W476" s="1">
        <f t="shared" si="62"/>
        <v>-1.5479030013912203E-4</v>
      </c>
      <c r="X476" s="1">
        <f t="shared" si="63"/>
        <v>1.5479030013912203E-4</v>
      </c>
      <c r="Y476" s="104"/>
      <c r="AB476" s="1">
        <f t="shared" si="59"/>
        <v>1.7476851851851837E-3</v>
      </c>
      <c r="AC476" s="1"/>
      <c r="AE476" s="1"/>
      <c r="AF476" s="1"/>
    </row>
    <row r="477" spans="1:32" x14ac:dyDescent="0.2">
      <c r="A477">
        <v>843</v>
      </c>
      <c r="B477" s="27" t="s">
        <v>1059</v>
      </c>
      <c r="C477" s="24" t="s">
        <v>1060</v>
      </c>
      <c r="D477" s="947">
        <f>Runners!U420</f>
        <v>20</v>
      </c>
      <c r="E477" s="948">
        <f>Runners!U419</f>
        <v>134</v>
      </c>
      <c r="F477" s="1953" t="s">
        <v>8462</v>
      </c>
      <c r="G477" s="1412">
        <v>1.298611111111111E-2</v>
      </c>
      <c r="H477" s="1375" t="s">
        <v>9797</v>
      </c>
      <c r="I477" s="1412">
        <v>1.3969907407407408E-2</v>
      </c>
      <c r="J477" s="1" t="s">
        <v>2368</v>
      </c>
      <c r="K477" s="34">
        <v>41762</v>
      </c>
      <c r="L477" s="1398">
        <v>102</v>
      </c>
      <c r="M477" s="8">
        <v>1.9421296296296294E-2</v>
      </c>
      <c r="N477" s="3">
        <v>1.0937500000000001E-2</v>
      </c>
      <c r="O477" s="3">
        <v>1.2141203703703704E-2</v>
      </c>
      <c r="P477" s="3"/>
      <c r="Q477" s="53"/>
      <c r="R477" s="53"/>
      <c r="U477" s="53"/>
      <c r="W477" s="1">
        <f t="shared" si="62"/>
        <v>2.3872821837939498E-4</v>
      </c>
      <c r="X477" s="1">
        <f t="shared" si="63"/>
        <v>-2.3872821837939498E-4</v>
      </c>
      <c r="Y477" s="9">
        <v>48</v>
      </c>
      <c r="Z477">
        <f t="shared" si="0"/>
        <v>2304</v>
      </c>
      <c r="AB477" s="1">
        <f t="shared" si="59"/>
        <v>1.3541666666666667E-3</v>
      </c>
      <c r="AC477" s="1"/>
      <c r="AE477" s="1"/>
      <c r="AF477" s="1"/>
    </row>
    <row r="478" spans="1:32" x14ac:dyDescent="0.2">
      <c r="A478">
        <v>1332</v>
      </c>
      <c r="B478" s="493" t="s">
        <v>3594</v>
      </c>
      <c r="C478" s="532" t="s">
        <v>3595</v>
      </c>
      <c r="D478" s="531">
        <f>Runners!S974</f>
        <v>5</v>
      </c>
      <c r="E478" s="541">
        <f>Runners!S973</f>
        <v>8</v>
      </c>
      <c r="F478" s="79" t="s">
        <v>1000</v>
      </c>
      <c r="G478" s="1">
        <v>1.8969907407407408E-2</v>
      </c>
      <c r="H478" s="197" t="s">
        <v>8441</v>
      </c>
      <c r="I478" s="1">
        <v>2.1631944444444443E-2</v>
      </c>
      <c r="J478" s="334" t="s">
        <v>9179</v>
      </c>
      <c r="K478" s="34">
        <v>43127</v>
      </c>
      <c r="L478" s="1398">
        <v>382</v>
      </c>
      <c r="M478" s="8">
        <v>2.0520833333333332E-2</v>
      </c>
      <c r="N478" s="3">
        <v>1.0810185185185185E-2</v>
      </c>
      <c r="O478" s="3">
        <v>1.2581018518518519E-2</v>
      </c>
      <c r="P478" s="3"/>
      <c r="Q478" s="635" t="s">
        <v>9146</v>
      </c>
      <c r="R478" s="635"/>
      <c r="U478" s="53"/>
      <c r="W478" s="1">
        <f t="shared" si="62"/>
        <v>3.6604303319421119E-4</v>
      </c>
      <c r="X478" s="1">
        <f t="shared" si="63"/>
        <v>-3.6604303319421119E-4</v>
      </c>
      <c r="Y478" s="9"/>
      <c r="AB478" s="1">
        <f t="shared" si="59"/>
        <v>1.2268518518518505E-3</v>
      </c>
      <c r="AC478" s="1"/>
      <c r="AE478" s="1"/>
      <c r="AF478" s="1"/>
    </row>
    <row r="479" spans="1:32" x14ac:dyDescent="0.2">
      <c r="A479">
        <v>2514</v>
      </c>
      <c r="B479" s="493" t="s">
        <v>16857</v>
      </c>
      <c r="C479" s="532" t="s">
        <v>15901</v>
      </c>
      <c r="D479" s="531">
        <f>Runners!T974</f>
        <v>1</v>
      </c>
      <c r="E479" s="541">
        <f>Runners!T973</f>
        <v>2</v>
      </c>
      <c r="F479" s="79"/>
      <c r="H479" s="197" t="s">
        <v>1062</v>
      </c>
      <c r="I479" s="1">
        <v>2.3692129629629629E-2</v>
      </c>
      <c r="J479" s="512" t="s">
        <v>1062</v>
      </c>
      <c r="K479" s="34">
        <v>43862</v>
      </c>
      <c r="L479" s="1398"/>
      <c r="P479" s="3"/>
      <c r="Q479" s="1474"/>
      <c r="R479" s="1474"/>
      <c r="U479" s="53"/>
      <c r="W479" s="1"/>
      <c r="X479" s="1"/>
      <c r="Y479" s="9"/>
      <c r="AB479" s="1"/>
      <c r="AC479" s="1"/>
      <c r="AE479" s="1"/>
      <c r="AF479" s="1"/>
    </row>
    <row r="480" spans="1:32" x14ac:dyDescent="0.2">
      <c r="A480">
        <v>1253</v>
      </c>
      <c r="B480" s="552" t="s">
        <v>1909</v>
      </c>
      <c r="C480" s="531" t="s">
        <v>2627</v>
      </c>
      <c r="D480" s="531">
        <f>Runners!M745</f>
        <v>4</v>
      </c>
      <c r="E480" s="541">
        <f>Runners!M744</f>
        <v>56</v>
      </c>
      <c r="F480" s="79" t="s">
        <v>5881</v>
      </c>
      <c r="G480" s="1">
        <v>1.6886574074074075E-2</v>
      </c>
      <c r="H480" s="206"/>
      <c r="J480" s="334" t="s">
        <v>5097</v>
      </c>
      <c r="K480" s="34">
        <v>42736</v>
      </c>
      <c r="L480" s="1398">
        <v>313</v>
      </c>
      <c r="M480" s="8">
        <v>2.1203703703703707E-2</v>
      </c>
      <c r="N480" s="3">
        <v>1.068287037037037E-2</v>
      </c>
      <c r="O480" s="3">
        <v>1.2615740740740742E-2</v>
      </c>
      <c r="P480" s="3"/>
      <c r="Q480" s="53"/>
      <c r="R480" s="53"/>
      <c r="U480" s="53"/>
      <c r="W480" s="1">
        <f>$N$700-N480</f>
        <v>4.9335784800902567E-4</v>
      </c>
      <c r="X480" s="1">
        <f>N480-$N$700</f>
        <v>-4.9335784800902567E-4</v>
      </c>
      <c r="Y480" s="9"/>
      <c r="AB480" s="1">
        <f t="shared" si="59"/>
        <v>1.099537037037036E-3</v>
      </c>
      <c r="AC480" s="1"/>
      <c r="AE480" s="1"/>
      <c r="AF480" s="1"/>
    </row>
    <row r="481" spans="1:32" x14ac:dyDescent="0.2">
      <c r="A481">
        <v>2578</v>
      </c>
      <c r="B481" s="556" t="s">
        <v>3314</v>
      </c>
      <c r="C481" s="532" t="s">
        <v>16236</v>
      </c>
      <c r="D481" s="541">
        <f>Runners!V309</f>
        <v>6</v>
      </c>
      <c r="E481" s="541">
        <f>Runners!V308</f>
        <v>7</v>
      </c>
      <c r="F481" s="1413" t="s">
        <v>4407</v>
      </c>
      <c r="G481" s="1412">
        <v>1.577546296296296E-2</v>
      </c>
      <c r="H481" s="1375" t="s">
        <v>5241</v>
      </c>
      <c r="I481" s="1412">
        <v>1.556712962962963E-2</v>
      </c>
      <c r="J481" s="512" t="s">
        <v>9631</v>
      </c>
      <c r="K481" s="34">
        <v>43806</v>
      </c>
      <c r="L481" s="1398"/>
      <c r="P481" s="3"/>
      <c r="Q481" s="53"/>
      <c r="R481" s="53"/>
      <c r="U481" s="53"/>
      <c r="W481" s="1"/>
      <c r="X481" s="1"/>
      <c r="Y481" s="9"/>
      <c r="AB481" s="1"/>
      <c r="AC481" s="1"/>
      <c r="AE481" s="1"/>
      <c r="AF481" s="1"/>
    </row>
    <row r="482" spans="1:32" x14ac:dyDescent="0.2">
      <c r="A482">
        <v>296</v>
      </c>
      <c r="B482" s="556" t="s">
        <v>8963</v>
      </c>
      <c r="C482" s="532" t="s">
        <v>8964</v>
      </c>
      <c r="D482" s="531">
        <f>Runners!Q877</f>
        <v>1</v>
      </c>
      <c r="E482" s="541">
        <f>Runners!Q876</f>
        <v>1</v>
      </c>
      <c r="F482" s="79"/>
      <c r="H482" s="197" t="s">
        <v>1062</v>
      </c>
      <c r="I482" s="1">
        <v>2.584490740740741E-2</v>
      </c>
      <c r="J482" s="512" t="s">
        <v>1062</v>
      </c>
      <c r="K482" s="523">
        <v>43092</v>
      </c>
      <c r="L482" s="1398">
        <v>373</v>
      </c>
      <c r="M482" s="8">
        <v>2.2476851851851855E-2</v>
      </c>
      <c r="N482" s="3">
        <v>1.207175925925926E-2</v>
      </c>
      <c r="O482" s="3">
        <v>1.3460648148148147E-2</v>
      </c>
      <c r="P482" s="3"/>
      <c r="Q482" s="53"/>
      <c r="R482" s="53"/>
      <c r="U482" s="53"/>
      <c r="W482" s="1">
        <f t="shared" ref="W482:W500" si="64">$N$700-N482</f>
        <v>-8.9553104087986349E-4</v>
      </c>
      <c r="X482" s="1">
        <f t="shared" ref="X482:X500" si="65">N482-$N$700</f>
        <v>8.9553104087986349E-4</v>
      </c>
      <c r="Y482" s="9"/>
      <c r="AB482" s="1">
        <f t="shared" si="59"/>
        <v>2.4884259259259252E-3</v>
      </c>
      <c r="AC482" s="1"/>
      <c r="AE482" s="1"/>
      <c r="AF482" s="1"/>
    </row>
    <row r="483" spans="1:32" x14ac:dyDescent="0.2">
      <c r="A483">
        <v>580</v>
      </c>
      <c r="B483" s="556" t="s">
        <v>17247</v>
      </c>
      <c r="C483" s="532" t="s">
        <v>8252</v>
      </c>
      <c r="D483" s="531">
        <f>Runners!T787</f>
        <v>1</v>
      </c>
      <c r="E483" s="541">
        <f>Runners!T786</f>
        <v>1</v>
      </c>
      <c r="F483" s="79"/>
      <c r="H483" s="80" t="s">
        <v>3254</v>
      </c>
      <c r="I483" s="1">
        <v>1.9039351851851852E-2</v>
      </c>
      <c r="J483" s="334" t="s">
        <v>3254</v>
      </c>
      <c r="K483" s="523">
        <v>43897</v>
      </c>
      <c r="L483" s="1398"/>
      <c r="M483" s="8">
        <v>2.0625000000000001E-2</v>
      </c>
      <c r="N483" s="3">
        <v>1.0277777777777778E-2</v>
      </c>
      <c r="O483" s="3">
        <v>1.2638888888888889E-2</v>
      </c>
      <c r="P483" s="3"/>
      <c r="Q483" s="53"/>
      <c r="R483" s="53"/>
      <c r="U483" s="53"/>
      <c r="W483" s="1">
        <f t="shared" si="64"/>
        <v>8.9845044060161798E-4</v>
      </c>
      <c r="X483" s="1">
        <f t="shared" si="65"/>
        <v>-8.9845044060161798E-4</v>
      </c>
      <c r="Y483" s="9"/>
      <c r="AB483" s="1"/>
      <c r="AC483" s="1"/>
      <c r="AE483" s="1"/>
      <c r="AF483" s="1"/>
    </row>
    <row r="484" spans="1:32" x14ac:dyDescent="0.2">
      <c r="A484">
        <v>994</v>
      </c>
      <c r="B484" s="552" t="s">
        <v>7793</v>
      </c>
      <c r="C484" s="531" t="s">
        <v>7794</v>
      </c>
      <c r="D484" s="531">
        <f>Runners!V1410</f>
        <v>1</v>
      </c>
      <c r="E484" s="541">
        <f>Runners!V1409</f>
        <v>1</v>
      </c>
      <c r="F484" s="79"/>
      <c r="H484" s="80" t="s">
        <v>3254</v>
      </c>
      <c r="I484" s="1">
        <v>1.9201388888888889E-2</v>
      </c>
      <c r="J484" s="334" t="s">
        <v>3254</v>
      </c>
      <c r="K484" s="34">
        <v>42840</v>
      </c>
      <c r="L484" s="9">
        <v>330</v>
      </c>
      <c r="M484" s="8">
        <v>2.883101851851852E-2</v>
      </c>
      <c r="N484" s="3">
        <v>1.1122685185185185E-2</v>
      </c>
      <c r="O484" s="3">
        <v>1.3020833333333334E-2</v>
      </c>
      <c r="P484" s="3"/>
      <c r="Q484" s="53"/>
      <c r="R484" s="53"/>
      <c r="U484" s="53"/>
      <c r="W484" s="1">
        <f t="shared" si="64"/>
        <v>5.3543033194210915E-5</v>
      </c>
      <c r="X484" s="1">
        <f t="shared" si="65"/>
        <v>-5.3543033194210915E-5</v>
      </c>
      <c r="Y484" s="9"/>
      <c r="AB484" s="1">
        <f t="shared" si="59"/>
        <v>1.5393518518518508E-3</v>
      </c>
      <c r="AC484" s="1"/>
      <c r="AE484" s="1"/>
      <c r="AF484" s="1"/>
    </row>
    <row r="485" spans="1:32" x14ac:dyDescent="0.2">
      <c r="A485">
        <v>356</v>
      </c>
      <c r="B485" s="552" t="s">
        <v>1905</v>
      </c>
      <c r="C485" s="531" t="s">
        <v>5565</v>
      </c>
      <c r="D485" s="531">
        <f>Runners!T1073</f>
        <v>4</v>
      </c>
      <c r="E485" s="541">
        <f>Runners!T1072</f>
        <v>5</v>
      </c>
      <c r="F485" s="79" t="s">
        <v>4637</v>
      </c>
      <c r="G485" s="1">
        <v>1.8553240740740742E-2</v>
      </c>
      <c r="H485" s="636" t="s">
        <v>4596</v>
      </c>
      <c r="I485" s="840">
        <v>1.8634259259259257E-2</v>
      </c>
      <c r="J485" s="334" t="s">
        <v>4637</v>
      </c>
      <c r="K485" s="34">
        <v>43449</v>
      </c>
      <c r="L485" s="1398">
        <v>458</v>
      </c>
      <c r="M485" s="8">
        <v>1.9942129629629629E-2</v>
      </c>
      <c r="N485" s="3">
        <v>1.0868055555555556E-2</v>
      </c>
      <c r="O485" s="3">
        <v>1.224537037037037E-2</v>
      </c>
      <c r="P485" s="3"/>
      <c r="Q485" s="635" t="s">
        <v>12638</v>
      </c>
      <c r="R485" s="635"/>
      <c r="S485" s="530"/>
      <c r="T485" s="530"/>
      <c r="U485" s="635"/>
      <c r="W485" s="1">
        <f t="shared" si="64"/>
        <v>3.0817266282383987E-4</v>
      </c>
      <c r="X485" s="1">
        <f t="shared" si="65"/>
        <v>-3.0817266282383987E-4</v>
      </c>
      <c r="Y485" s="9"/>
      <c r="AB485" s="1">
        <f t="shared" si="59"/>
        <v>1.2847222222222218E-3</v>
      </c>
      <c r="AC485" s="1"/>
      <c r="AE485" s="1"/>
      <c r="AF485" s="1"/>
    </row>
    <row r="486" spans="1:32" x14ac:dyDescent="0.2">
      <c r="A486">
        <v>2551</v>
      </c>
      <c r="B486" s="556" t="s">
        <v>3159</v>
      </c>
      <c r="C486" s="532" t="s">
        <v>15986</v>
      </c>
      <c r="D486" s="531">
        <f>Runners!J745</f>
        <v>1</v>
      </c>
      <c r="E486" s="541">
        <f>Runners!J744</f>
        <v>1</v>
      </c>
      <c r="F486" s="1415" t="s">
        <v>5573</v>
      </c>
      <c r="G486" s="1412">
        <v>1.695601851851852E-2</v>
      </c>
      <c r="H486" s="1375"/>
      <c r="I486" s="1412"/>
      <c r="J486" s="1432" t="s">
        <v>5573</v>
      </c>
      <c r="K486" s="1379">
        <v>43785</v>
      </c>
      <c r="L486" s="1398"/>
      <c r="M486" s="8">
        <v>2.1840277777777778E-2</v>
      </c>
      <c r="N486" s="3">
        <v>1.2939814814814814E-2</v>
      </c>
      <c r="O486" s="3">
        <v>1.5636574074074074E-2</v>
      </c>
      <c r="P486" s="334" t="s">
        <v>16043</v>
      </c>
      <c r="Q486" s="1474"/>
      <c r="R486" s="1474"/>
      <c r="S486" s="1371"/>
      <c r="T486" s="1371"/>
      <c r="U486" s="1474"/>
      <c r="W486" s="1">
        <f t="shared" si="64"/>
        <v>-1.7635865964354177E-3</v>
      </c>
      <c r="X486" s="1">
        <f t="shared" si="65"/>
        <v>1.7635865964354177E-3</v>
      </c>
      <c r="Y486" s="9"/>
      <c r="AB486" s="1">
        <f t="shared" si="59"/>
        <v>3.3564814814814794E-3</v>
      </c>
      <c r="AC486" s="1"/>
      <c r="AE486" s="1"/>
      <c r="AF486" s="1"/>
    </row>
    <row r="487" spans="1:32" x14ac:dyDescent="0.2">
      <c r="A487">
        <v>2029</v>
      </c>
      <c r="B487" s="552" t="s">
        <v>10831</v>
      </c>
      <c r="C487" s="532" t="s">
        <v>10793</v>
      </c>
      <c r="D487" s="531">
        <f>Runners!S1116</f>
        <v>3</v>
      </c>
      <c r="E487" s="541">
        <f>Runners!S1115</f>
        <v>3</v>
      </c>
      <c r="F487" s="1415" t="s">
        <v>2628</v>
      </c>
      <c r="G487" s="1412">
        <v>1.4953703703703705E-2</v>
      </c>
      <c r="H487" s="1375" t="s">
        <v>1062</v>
      </c>
      <c r="I487" s="1412">
        <v>2.3171296296296297E-2</v>
      </c>
      <c r="J487" s="1432" t="s">
        <v>9179</v>
      </c>
      <c r="K487" s="1379">
        <v>43414</v>
      </c>
      <c r="L487" s="1398">
        <v>450</v>
      </c>
      <c r="M487" s="8">
        <v>1.9872685185185184E-2</v>
      </c>
      <c r="N487" s="3">
        <v>1.105324074074074E-2</v>
      </c>
      <c r="O487" s="3">
        <v>1.2905092592592591E-2</v>
      </c>
      <c r="P487" s="3"/>
      <c r="Q487" s="1474"/>
      <c r="R487" s="1474"/>
      <c r="S487" s="1371"/>
      <c r="T487" s="1371"/>
      <c r="U487" s="1474"/>
      <c r="W487" s="1">
        <f t="shared" si="64"/>
        <v>1.2298747763865581E-4</v>
      </c>
      <c r="X487" s="1">
        <f t="shared" si="65"/>
        <v>-1.2298747763865581E-4</v>
      </c>
      <c r="Y487" s="9"/>
      <c r="AB487" s="1">
        <f t="shared" si="59"/>
        <v>1.4699074074074059E-3</v>
      </c>
      <c r="AC487" s="1"/>
      <c r="AE487" s="1"/>
      <c r="AF487" s="1"/>
    </row>
    <row r="488" spans="1:32" x14ac:dyDescent="0.2">
      <c r="A488" s="585">
        <v>86</v>
      </c>
      <c r="B488" s="585" t="s">
        <v>5521</v>
      </c>
      <c r="C488" s="585" t="s">
        <v>4806</v>
      </c>
      <c r="D488" s="585"/>
      <c r="E488" s="1002"/>
      <c r="F488" s="6"/>
      <c r="K488" s="34"/>
      <c r="L488" s="1398"/>
      <c r="M488" s="8">
        <v>1.849537037037037E-2</v>
      </c>
      <c r="N488" s="3">
        <v>1.068287037037037E-2</v>
      </c>
      <c r="O488" s="3">
        <v>1.15625E-2</v>
      </c>
      <c r="P488" s="3"/>
      <c r="Q488" s="635" t="s">
        <v>4729</v>
      </c>
      <c r="R488" s="635"/>
      <c r="S488" s="530"/>
      <c r="U488" s="53"/>
      <c r="W488" s="1">
        <f t="shared" si="64"/>
        <v>4.9335784800902567E-4</v>
      </c>
      <c r="X488" s="1">
        <f t="shared" si="65"/>
        <v>-4.9335784800902567E-4</v>
      </c>
      <c r="Y488" s="9">
        <v>25</v>
      </c>
      <c r="Z488">
        <f t="shared" si="0"/>
        <v>625</v>
      </c>
      <c r="AB488" s="1">
        <f t="shared" si="59"/>
        <v>1.099537037037036E-3</v>
      </c>
      <c r="AC488" s="1"/>
      <c r="AE488" s="1"/>
      <c r="AF488" s="1"/>
    </row>
    <row r="489" spans="1:32" x14ac:dyDescent="0.2">
      <c r="A489">
        <v>492</v>
      </c>
      <c r="B489" s="552" t="s">
        <v>11735</v>
      </c>
      <c r="C489" s="531" t="s">
        <v>11734</v>
      </c>
      <c r="D489" s="531">
        <f>Runners!S1304</f>
        <v>1</v>
      </c>
      <c r="E489" s="541">
        <f>Runners!S1303</f>
        <v>1</v>
      </c>
      <c r="F489" s="6" t="s">
        <v>756</v>
      </c>
      <c r="G489" s="1">
        <v>2.0474537037037038E-2</v>
      </c>
      <c r="J489" s="1" t="s">
        <v>756</v>
      </c>
      <c r="K489" s="34">
        <v>43498</v>
      </c>
      <c r="L489" s="1398">
        <v>466</v>
      </c>
      <c r="M489" s="8">
        <v>2.1134259259259259E-2</v>
      </c>
      <c r="N489" s="3">
        <v>1.0347222222222223E-2</v>
      </c>
      <c r="O489" s="3">
        <v>1.1597222222222222E-2</v>
      </c>
      <c r="P489" s="3"/>
      <c r="Q489" s="53"/>
      <c r="R489" s="53"/>
      <c r="U489" s="53"/>
      <c r="W489" s="1">
        <f t="shared" si="64"/>
        <v>8.2900599615717309E-4</v>
      </c>
      <c r="X489" s="1">
        <f t="shared" si="65"/>
        <v>-8.2900599615717309E-4</v>
      </c>
      <c r="Y489" s="9"/>
      <c r="AB489" s="1">
        <f t="shared" si="59"/>
        <v>7.638888888888886E-4</v>
      </c>
      <c r="AC489" s="1"/>
      <c r="AE489" s="1"/>
      <c r="AF489" s="1"/>
    </row>
    <row r="490" spans="1:32" x14ac:dyDescent="0.2">
      <c r="A490">
        <v>432</v>
      </c>
      <c r="B490" s="615" t="s">
        <v>3314</v>
      </c>
      <c r="C490" s="511" t="s">
        <v>2637</v>
      </c>
      <c r="D490" s="531">
        <f>Runners!O815</f>
        <v>2</v>
      </c>
      <c r="E490" s="541">
        <f>Runners!O814</f>
        <v>2</v>
      </c>
      <c r="F490" s="52" t="s">
        <v>909</v>
      </c>
      <c r="G490" s="32">
        <v>1.8032407407407407E-2</v>
      </c>
      <c r="J490" s="32" t="s">
        <v>909</v>
      </c>
      <c r="K490" s="33">
        <v>42693</v>
      </c>
      <c r="L490" s="1398">
        <v>304</v>
      </c>
      <c r="M490" s="8">
        <v>2.0555555555555556E-2</v>
      </c>
      <c r="N490" s="3">
        <v>1.1550925925925925E-2</v>
      </c>
      <c r="O490" s="3">
        <v>1.2499999999999999E-2</v>
      </c>
      <c r="P490" s="3"/>
      <c r="Q490" s="53"/>
      <c r="R490" s="53"/>
      <c r="U490" s="53"/>
      <c r="W490" s="1">
        <f t="shared" si="64"/>
        <v>-3.7469770754652854E-4</v>
      </c>
      <c r="X490" s="1">
        <f t="shared" si="65"/>
        <v>3.7469770754652854E-4</v>
      </c>
      <c r="Y490" s="9"/>
      <c r="AB490" s="1">
        <f t="shared" si="59"/>
        <v>1.9675925925925902E-3</v>
      </c>
      <c r="AC490" s="1"/>
      <c r="AE490" s="1"/>
      <c r="AF490" s="1"/>
    </row>
    <row r="491" spans="1:32" x14ac:dyDescent="0.2">
      <c r="A491">
        <v>1329</v>
      </c>
      <c r="B491" s="27" t="s">
        <v>4115</v>
      </c>
      <c r="C491" s="15" t="s">
        <v>459</v>
      </c>
      <c r="D491" s="24">
        <f>Runners!U974</f>
        <v>1</v>
      </c>
      <c r="E491" s="183">
        <f>Runners!U973</f>
        <v>1</v>
      </c>
      <c r="F491" s="6"/>
      <c r="H491" s="206" t="s">
        <v>1062</v>
      </c>
      <c r="I491" s="1">
        <v>2.6446759259259264E-2</v>
      </c>
      <c r="J491" s="254" t="s">
        <v>1062</v>
      </c>
      <c r="K491" s="34">
        <v>42637</v>
      </c>
      <c r="L491" s="1398">
        <v>287</v>
      </c>
      <c r="M491" s="8">
        <v>2.1666666666666667E-2</v>
      </c>
      <c r="N491" s="3">
        <v>1.1099537037037038E-2</v>
      </c>
      <c r="O491" s="3">
        <v>1.2847222222222223E-2</v>
      </c>
      <c r="P491" s="3"/>
      <c r="Q491" s="53"/>
      <c r="R491" s="53"/>
      <c r="U491" s="53"/>
      <c r="W491" s="1">
        <f t="shared" si="64"/>
        <v>7.6691181342358056E-5</v>
      </c>
      <c r="X491" s="1">
        <f t="shared" si="65"/>
        <v>-7.6691181342358056E-5</v>
      </c>
      <c r="Y491" s="9"/>
      <c r="AB491" s="1">
        <f t="shared" si="59"/>
        <v>1.5162037037037036E-3</v>
      </c>
      <c r="AC491" s="1"/>
      <c r="AE491" s="1"/>
      <c r="AF491" s="1"/>
    </row>
    <row r="492" spans="1:32" x14ac:dyDescent="0.2">
      <c r="A492">
        <v>124</v>
      </c>
      <c r="B492" s="493" t="s">
        <v>6419</v>
      </c>
      <c r="C492" s="415" t="s">
        <v>7851</v>
      </c>
      <c r="D492" s="24">
        <f>Runners!W974</f>
        <v>1</v>
      </c>
      <c r="E492" s="183">
        <f>Runners!W973</f>
        <v>1</v>
      </c>
      <c r="F492" s="6"/>
      <c r="H492" s="197" t="s">
        <v>1062</v>
      </c>
      <c r="I492" s="1">
        <v>2.298611111111111E-2</v>
      </c>
      <c r="J492" s="254" t="s">
        <v>1062</v>
      </c>
      <c r="K492" s="34">
        <v>42861</v>
      </c>
      <c r="L492" s="1398">
        <v>332</v>
      </c>
      <c r="M492" s="8">
        <v>2.0937499999999998E-2</v>
      </c>
      <c r="N492" s="3">
        <v>1.1863425925925925E-2</v>
      </c>
      <c r="O492" s="3">
        <v>1.4363425925925925E-2</v>
      </c>
      <c r="P492" s="3"/>
      <c r="Q492" s="53"/>
      <c r="R492" s="53"/>
      <c r="U492" s="53"/>
      <c r="W492" s="1">
        <f t="shared" si="64"/>
        <v>-6.8719770754652881E-4</v>
      </c>
      <c r="X492" s="1">
        <f t="shared" si="65"/>
        <v>6.8719770754652881E-4</v>
      </c>
      <c r="Y492" s="9"/>
      <c r="AB492" s="1">
        <f t="shared" si="59"/>
        <v>2.2800925925925905E-3</v>
      </c>
      <c r="AC492" s="1"/>
      <c r="AE492" s="1"/>
      <c r="AF492" s="1"/>
    </row>
    <row r="493" spans="1:32" x14ac:dyDescent="0.2">
      <c r="A493">
        <v>535</v>
      </c>
      <c r="B493" s="27" t="s">
        <v>3067</v>
      </c>
      <c r="C493" s="74" t="s">
        <v>5525</v>
      </c>
      <c r="D493" s="24">
        <f>Runners!T579</f>
        <v>2</v>
      </c>
      <c r="E493" s="183">
        <f>Runners!T578</f>
        <v>2</v>
      </c>
      <c r="F493" s="79" t="s">
        <v>1000</v>
      </c>
      <c r="G493" s="1">
        <v>2.0520833333333332E-2</v>
      </c>
      <c r="J493" s="1" t="s">
        <v>4778</v>
      </c>
      <c r="K493" s="34">
        <v>42476</v>
      </c>
      <c r="L493" s="1398" t="s">
        <v>2468</v>
      </c>
      <c r="M493" s="8">
        <v>2.0324074074074074E-2</v>
      </c>
      <c r="N493" s="3">
        <v>1.1388888888888888E-2</v>
      </c>
      <c r="O493" s="3">
        <v>1.2974537037037036E-2</v>
      </c>
      <c r="P493" s="32" t="s">
        <v>247</v>
      </c>
      <c r="Q493" s="53"/>
      <c r="R493" s="53"/>
      <c r="U493" s="53"/>
      <c r="W493" s="1">
        <f t="shared" si="64"/>
        <v>-2.1266067050949161E-4</v>
      </c>
      <c r="X493" s="1">
        <f t="shared" si="65"/>
        <v>2.1266067050949161E-4</v>
      </c>
      <c r="Y493" s="9">
        <v>36</v>
      </c>
      <c r="Z493">
        <f t="shared" si="0"/>
        <v>1296</v>
      </c>
      <c r="AB493" s="1">
        <f t="shared" si="59"/>
        <v>1.8055555555555533E-3</v>
      </c>
      <c r="AC493" s="1"/>
      <c r="AE493" s="1"/>
      <c r="AF493" s="1"/>
    </row>
    <row r="494" spans="1:32" x14ac:dyDescent="0.2">
      <c r="A494">
        <v>628</v>
      </c>
      <c r="B494" s="27" t="s">
        <v>1906</v>
      </c>
      <c r="C494" s="74" t="s">
        <v>4179</v>
      </c>
      <c r="D494" s="24">
        <f>Runners!G854</f>
        <v>5</v>
      </c>
      <c r="E494" s="183">
        <f>Runners!G853</f>
        <v>5</v>
      </c>
      <c r="F494" s="6" t="s">
        <v>4637</v>
      </c>
      <c r="G494" s="1">
        <v>1.6828703703703703E-2</v>
      </c>
      <c r="H494" s="513" t="s">
        <v>1062</v>
      </c>
      <c r="I494" s="1">
        <v>2.3252314814814812E-2</v>
      </c>
      <c r="J494" s="1" t="s">
        <v>4637</v>
      </c>
      <c r="K494" s="34">
        <v>42574</v>
      </c>
      <c r="L494" s="1398">
        <v>274</v>
      </c>
      <c r="M494" s="8">
        <v>1.9074074074074073E-2</v>
      </c>
      <c r="N494" s="3">
        <v>1.074074074074074E-2</v>
      </c>
      <c r="O494" s="3">
        <v>1.21875E-2</v>
      </c>
      <c r="P494" s="32"/>
      <c r="Q494" s="635" t="s">
        <v>16984</v>
      </c>
      <c r="R494" s="635"/>
      <c r="S494" s="530"/>
      <c r="U494" s="53"/>
      <c r="W494" s="1">
        <f t="shared" si="64"/>
        <v>4.3548747763865608E-4</v>
      </c>
      <c r="X494" s="1">
        <f t="shared" si="65"/>
        <v>-4.3548747763865608E-4</v>
      </c>
      <c r="Y494" s="9"/>
      <c r="AB494" s="1">
        <f t="shared" si="59"/>
        <v>1.1574074074074056E-3</v>
      </c>
      <c r="AC494" s="1"/>
      <c r="AE494" s="1"/>
      <c r="AF494" s="1"/>
    </row>
    <row r="495" spans="1:32" x14ac:dyDescent="0.2">
      <c r="A495">
        <v>2291</v>
      </c>
      <c r="B495" s="493" t="s">
        <v>13084</v>
      </c>
      <c r="C495" s="415" t="s">
        <v>13085</v>
      </c>
      <c r="D495" s="24">
        <f>Runners!R1354</f>
        <v>1</v>
      </c>
      <c r="E495" s="183">
        <f>+Runners!R1353</f>
        <v>1</v>
      </c>
      <c r="F495" s="79" t="s">
        <v>756</v>
      </c>
      <c r="H495" s="513"/>
      <c r="J495" s="334" t="s">
        <v>756</v>
      </c>
      <c r="K495" s="34">
        <v>43652</v>
      </c>
      <c r="L495" s="1398">
        <v>509</v>
      </c>
      <c r="M495" s="8">
        <v>2.9398148148148149E-2</v>
      </c>
      <c r="N495" s="3">
        <v>1.2222222222222223E-2</v>
      </c>
      <c r="O495" s="3">
        <v>1.6076388888888887E-2</v>
      </c>
      <c r="P495" s="32"/>
      <c r="Q495" s="1474"/>
      <c r="R495" s="1474"/>
      <c r="S495" s="1371"/>
      <c r="U495" s="53"/>
      <c r="W495" s="1">
        <f t="shared" si="64"/>
        <v>-1.0459940038428268E-3</v>
      </c>
      <c r="X495" s="1">
        <f t="shared" si="65"/>
        <v>1.0459940038428268E-3</v>
      </c>
      <c r="Y495" s="9"/>
      <c r="AB495" s="1">
        <f t="shared" si="59"/>
        <v>2.6388888888888885E-3</v>
      </c>
      <c r="AC495" s="1"/>
      <c r="AE495" s="1"/>
      <c r="AF495" s="1"/>
    </row>
    <row r="496" spans="1:32" x14ac:dyDescent="0.2">
      <c r="A496">
        <v>1409</v>
      </c>
      <c r="B496" s="27" t="s">
        <v>2206</v>
      </c>
      <c r="C496" s="74" t="s">
        <v>1696</v>
      </c>
      <c r="D496" s="24">
        <f>Runners!U579</f>
        <v>4</v>
      </c>
      <c r="E496" s="183">
        <f>Runners!U578</f>
        <v>15</v>
      </c>
      <c r="F496" s="6" t="s">
        <v>5884</v>
      </c>
      <c r="G496" s="1">
        <v>1.4143518518518519E-2</v>
      </c>
      <c r="J496" s="1" t="s">
        <v>5884</v>
      </c>
      <c r="K496" s="34">
        <v>42546</v>
      </c>
      <c r="L496" s="1398">
        <v>268</v>
      </c>
      <c r="M496" s="8">
        <v>2.2164351851851852E-2</v>
      </c>
      <c r="N496" s="3">
        <v>1.1967592592592592E-2</v>
      </c>
      <c r="O496" s="3">
        <v>1.40625E-2</v>
      </c>
      <c r="P496" s="32"/>
      <c r="Q496" s="53"/>
      <c r="R496" s="53"/>
      <c r="U496" s="53"/>
      <c r="W496" s="1">
        <f t="shared" si="64"/>
        <v>-7.9136437421319615E-4</v>
      </c>
      <c r="X496" s="1">
        <f t="shared" si="65"/>
        <v>7.9136437421319615E-4</v>
      </c>
      <c r="Y496" s="9"/>
      <c r="AB496" s="1">
        <f t="shared" si="59"/>
        <v>2.3842592592592578E-3</v>
      </c>
      <c r="AC496" s="1"/>
      <c r="AE496" s="1"/>
      <c r="AF496" s="1"/>
    </row>
    <row r="497" spans="1:32" x14ac:dyDescent="0.2">
      <c r="A497">
        <v>1846</v>
      </c>
      <c r="B497" s="27" t="s">
        <v>9210</v>
      </c>
      <c r="C497" s="415" t="s">
        <v>9719</v>
      </c>
      <c r="D497" s="24">
        <f>Runners!V974</f>
        <v>3</v>
      </c>
      <c r="E497" s="183">
        <f>Runners!W973</f>
        <v>1</v>
      </c>
      <c r="F497" s="6" t="s">
        <v>5882</v>
      </c>
      <c r="G497" s="1">
        <v>1.6053240740740739E-2</v>
      </c>
      <c r="H497" s="513" t="s">
        <v>1062</v>
      </c>
      <c r="I497" s="1">
        <v>2.478009259259259E-2</v>
      </c>
      <c r="J497" s="512" t="s">
        <v>1062</v>
      </c>
      <c r="K497" s="34">
        <v>43225</v>
      </c>
      <c r="L497" s="1398">
        <v>406</v>
      </c>
      <c r="M497" s="8">
        <v>2.1157407407407406E-2</v>
      </c>
      <c r="N497" s="3">
        <v>1.1446759259259261E-2</v>
      </c>
      <c r="O497" s="3">
        <v>1.3645833333333331E-2</v>
      </c>
      <c r="P497" s="32"/>
      <c r="Q497" s="53"/>
      <c r="R497" s="53"/>
      <c r="U497" s="53"/>
      <c r="W497" s="1">
        <f t="shared" si="64"/>
        <v>-2.7053104087986467E-4</v>
      </c>
      <c r="X497" s="1">
        <f t="shared" si="65"/>
        <v>2.7053104087986467E-4</v>
      </c>
      <c r="Y497" s="9"/>
      <c r="AB497" s="1">
        <f t="shared" si="59"/>
        <v>1.8634259259259264E-3</v>
      </c>
      <c r="AC497" s="1"/>
      <c r="AE497" s="1"/>
      <c r="AF497" s="1"/>
    </row>
    <row r="498" spans="1:32" x14ac:dyDescent="0.2">
      <c r="A498">
        <v>2077</v>
      </c>
      <c r="B498" s="568" t="s">
        <v>10518</v>
      </c>
      <c r="C498" s="568" t="s">
        <v>10519</v>
      </c>
      <c r="D498" s="585"/>
      <c r="E498" s="1002"/>
      <c r="F498" s="6"/>
      <c r="H498" s="80"/>
      <c r="J498" s="512"/>
      <c r="K498" s="34"/>
      <c r="L498" s="1398"/>
      <c r="M498" s="8">
        <v>2.0891203703703703E-2</v>
      </c>
      <c r="N498" s="3">
        <v>1.2129629629629629E-2</v>
      </c>
      <c r="O498" s="3">
        <v>1.4884259259259259E-2</v>
      </c>
      <c r="P498" s="32"/>
      <c r="Q498" s="568" t="s">
        <v>10520</v>
      </c>
      <c r="R498" s="568"/>
      <c r="S498" s="568"/>
      <c r="U498" s="53"/>
      <c r="W498" s="1">
        <f t="shared" si="64"/>
        <v>-9.5340141125023307E-4</v>
      </c>
      <c r="X498" s="1">
        <f t="shared" si="65"/>
        <v>9.5340141125023307E-4</v>
      </c>
      <c r="Y498" s="9"/>
      <c r="AB498" s="1">
        <f t="shared" si="59"/>
        <v>2.5462962962962948E-3</v>
      </c>
      <c r="AC498" s="1"/>
      <c r="AE498" s="1"/>
      <c r="AF498" s="1"/>
    </row>
    <row r="499" spans="1:32" x14ac:dyDescent="0.2">
      <c r="A499">
        <v>2320</v>
      </c>
      <c r="B499" s="556" t="s">
        <v>15352</v>
      </c>
      <c r="C499" s="532" t="s">
        <v>15353</v>
      </c>
      <c r="D499" s="531">
        <f>Runners!P815</f>
        <v>2</v>
      </c>
      <c r="E499" s="541">
        <f>Runners!P814</f>
        <v>2</v>
      </c>
      <c r="F499" s="6" t="s">
        <v>909</v>
      </c>
      <c r="G499" s="1">
        <v>2.148148148148148E-2</v>
      </c>
      <c r="H499" s="80" t="s">
        <v>9132</v>
      </c>
      <c r="I499" s="1">
        <v>2.148148148148148E-2</v>
      </c>
      <c r="J499" s="334" t="s">
        <v>5895</v>
      </c>
      <c r="K499" s="34">
        <v>43708</v>
      </c>
      <c r="L499" s="1398"/>
      <c r="M499" s="8">
        <v>1.9351851851851853E-2</v>
      </c>
      <c r="N499" s="3">
        <v>1.1006944444444444E-2</v>
      </c>
      <c r="O499" s="3">
        <v>1.2453703703703703E-2</v>
      </c>
      <c r="P499" s="32"/>
      <c r="Q499" s="1370"/>
      <c r="R499" s="1370"/>
      <c r="S499" s="1370"/>
      <c r="U499" s="53"/>
      <c r="W499" s="1">
        <f t="shared" si="64"/>
        <v>1.6928377393495182E-4</v>
      </c>
      <c r="X499" s="1">
        <f t="shared" si="65"/>
        <v>-1.6928377393495182E-4</v>
      </c>
      <c r="Y499" s="9"/>
      <c r="AB499" s="1">
        <f t="shared" si="59"/>
        <v>1.4236111111111099E-3</v>
      </c>
      <c r="AC499" s="1"/>
      <c r="AE499" s="1"/>
      <c r="AF499" s="1"/>
    </row>
    <row r="500" spans="1:32" x14ac:dyDescent="0.2">
      <c r="A500">
        <v>2278</v>
      </c>
      <c r="B500" s="556" t="s">
        <v>12636</v>
      </c>
      <c r="C500" s="532" t="s">
        <v>12637</v>
      </c>
      <c r="D500" s="531">
        <f>Runners!X974</f>
        <v>1</v>
      </c>
      <c r="E500" s="541">
        <f>Runners!X973</f>
        <v>3</v>
      </c>
      <c r="F500" s="6"/>
      <c r="H500" s="968" t="s">
        <v>8441</v>
      </c>
      <c r="I500" s="1">
        <v>2.4652777777777777E-2</v>
      </c>
      <c r="J500" s="512" t="s">
        <v>8441</v>
      </c>
      <c r="K500" s="34">
        <v>43589</v>
      </c>
      <c r="L500" s="1398">
        <v>491</v>
      </c>
      <c r="M500" s="8">
        <v>2.2465277777777778E-2</v>
      </c>
      <c r="N500" s="3">
        <v>1.1238425925925928E-2</v>
      </c>
      <c r="O500" s="3">
        <v>1.554398148148148E-2</v>
      </c>
      <c r="P500" s="32"/>
      <c r="Q500" s="1370"/>
      <c r="R500" s="1370"/>
      <c r="S500" s="1370"/>
      <c r="U500" s="53"/>
      <c r="W500" s="1">
        <f t="shared" si="64"/>
        <v>-6.2197707546531728E-5</v>
      </c>
      <c r="X500" s="1">
        <f t="shared" si="65"/>
        <v>6.2197707546531728E-5</v>
      </c>
      <c r="Y500" s="9"/>
      <c r="AB500" s="1">
        <f t="shared" si="59"/>
        <v>1.6550925925925934E-3</v>
      </c>
      <c r="AC500" s="1"/>
      <c r="AE500" s="1"/>
      <c r="AF500" s="1"/>
    </row>
    <row r="501" spans="1:32" x14ac:dyDescent="0.2">
      <c r="A501">
        <v>2544</v>
      </c>
      <c r="B501" s="556" t="s">
        <v>16311</v>
      </c>
      <c r="C501" s="532" t="s">
        <v>16124</v>
      </c>
      <c r="D501" s="531">
        <f>Runners!N832</f>
        <v>1</v>
      </c>
      <c r="E501" s="541">
        <f>Runners!N831</f>
        <v>1</v>
      </c>
      <c r="F501" s="6"/>
      <c r="H501" s="968" t="s">
        <v>9797</v>
      </c>
      <c r="I501" s="1">
        <v>1.5497685185185186E-2</v>
      </c>
      <c r="J501" s="512" t="s">
        <v>9797</v>
      </c>
      <c r="K501" s="34">
        <v>43820</v>
      </c>
      <c r="L501" s="1398"/>
      <c r="P501" s="32"/>
      <c r="Q501" s="1370"/>
      <c r="R501" s="1370"/>
      <c r="S501" s="1370"/>
      <c r="U501" s="53"/>
      <c r="W501" s="1"/>
      <c r="X501" s="1"/>
      <c r="Y501" s="9"/>
      <c r="AB501" s="1"/>
      <c r="AC501" s="1"/>
      <c r="AE501" s="1"/>
      <c r="AF501" s="1"/>
    </row>
    <row r="502" spans="1:32" x14ac:dyDescent="0.2">
      <c r="A502">
        <v>2179</v>
      </c>
      <c r="B502" s="568" t="s">
        <v>11069</v>
      </c>
      <c r="C502" s="568" t="s">
        <v>11067</v>
      </c>
      <c r="D502" s="585"/>
      <c r="E502" s="1002"/>
      <c r="F502" s="6"/>
      <c r="H502" s="968"/>
      <c r="J502" s="512"/>
      <c r="K502" s="34"/>
      <c r="L502" s="1398"/>
      <c r="P502" s="32"/>
      <c r="Q502" s="568" t="s">
        <v>11068</v>
      </c>
      <c r="R502" s="568"/>
      <c r="S502" s="568"/>
      <c r="U502" s="53"/>
      <c r="W502" s="1"/>
      <c r="X502" s="1"/>
      <c r="Y502" s="9"/>
      <c r="AB502" s="1"/>
      <c r="AC502" s="1"/>
      <c r="AE502" s="1"/>
      <c r="AF502" s="1"/>
    </row>
    <row r="503" spans="1:32" x14ac:dyDescent="0.2">
      <c r="A503">
        <v>434</v>
      </c>
      <c r="B503" s="493" t="s">
        <v>10196</v>
      </c>
      <c r="C503" s="415" t="s">
        <v>10199</v>
      </c>
      <c r="D503" s="24">
        <f>Runners!U1271</f>
        <v>1</v>
      </c>
      <c r="E503" s="183">
        <f>Runners!U1270</f>
        <v>1</v>
      </c>
      <c r="F503" s="6"/>
      <c r="H503" s="513" t="s">
        <v>8441</v>
      </c>
      <c r="I503" s="1">
        <v>2.6458333333333334E-2</v>
      </c>
      <c r="J503" s="512" t="s">
        <v>8441</v>
      </c>
      <c r="K503" s="34">
        <v>43288</v>
      </c>
      <c r="L503" s="1398">
        <v>417</v>
      </c>
      <c r="M503" s="8">
        <v>2.1342592592592594E-2</v>
      </c>
      <c r="N503" s="3">
        <v>1.0462962962962964E-2</v>
      </c>
      <c r="O503" s="3">
        <v>1.2048611111111112E-2</v>
      </c>
      <c r="P503" s="32"/>
      <c r="Q503" s="53"/>
      <c r="R503" s="53"/>
      <c r="U503" s="53"/>
      <c r="W503" s="1">
        <f t="shared" ref="W503:W521" si="66">$N$700-N503</f>
        <v>7.1326525541643218E-4</v>
      </c>
      <c r="X503" s="1">
        <f t="shared" ref="X503:X521" si="67">N503-$N$700</f>
        <v>-7.1326525541643218E-4</v>
      </c>
      <c r="Y503" s="9"/>
      <c r="AB503" s="1">
        <f t="shared" si="59"/>
        <v>8.7962962962962951E-4</v>
      </c>
      <c r="AC503" s="1"/>
      <c r="AE503" s="1"/>
      <c r="AF503" s="1"/>
    </row>
    <row r="504" spans="1:32" x14ac:dyDescent="0.2">
      <c r="A504">
        <v>1845</v>
      </c>
      <c r="B504" s="556" t="s">
        <v>9310</v>
      </c>
      <c r="C504" s="532" t="s">
        <v>9309</v>
      </c>
      <c r="D504" s="531">
        <f>Runners!H1354</f>
        <v>1</v>
      </c>
      <c r="E504" s="541">
        <f>Runners!H1353</f>
        <v>1</v>
      </c>
      <c r="F504" s="79" t="s">
        <v>1000</v>
      </c>
      <c r="G504" s="334">
        <v>2.479166666666667E-2</v>
      </c>
      <c r="J504" s="334" t="s">
        <v>1000</v>
      </c>
      <c r="K504" s="34">
        <v>43155</v>
      </c>
      <c r="L504" s="9">
        <v>390</v>
      </c>
      <c r="M504" s="8">
        <v>2.2534722222222223E-2</v>
      </c>
      <c r="N504" s="3">
        <v>1.4641203703703703E-2</v>
      </c>
      <c r="O504" s="3">
        <v>2.0659722222222222E-2</v>
      </c>
      <c r="P504" s="32"/>
      <c r="Q504" s="53"/>
      <c r="R504" s="53"/>
      <c r="U504" s="53"/>
      <c r="W504" s="1">
        <f t="shared" si="66"/>
        <v>-3.4649754853243071E-3</v>
      </c>
      <c r="X504" s="1">
        <f t="shared" si="67"/>
        <v>3.4649754853243071E-3</v>
      </c>
      <c r="Y504" s="9"/>
      <c r="AB504" s="1">
        <f t="shared" si="59"/>
        <v>5.0578703703703688E-3</v>
      </c>
      <c r="AC504" s="1"/>
      <c r="AE504" s="1"/>
      <c r="AF504" s="1"/>
    </row>
    <row r="505" spans="1:32" x14ac:dyDescent="0.2">
      <c r="A505">
        <v>28</v>
      </c>
      <c r="B505" s="27" t="s">
        <v>5915</v>
      </c>
      <c r="C505" s="74" t="s">
        <v>5527</v>
      </c>
      <c r="D505" s="24">
        <f>Runners!N1023</f>
        <v>4</v>
      </c>
      <c r="E505" s="183">
        <f>Runners!N1022</f>
        <v>8</v>
      </c>
      <c r="F505" s="6" t="s">
        <v>1270</v>
      </c>
      <c r="G505" s="1">
        <v>1.4178240740740741E-2</v>
      </c>
      <c r="J505" s="1" t="s">
        <v>1270</v>
      </c>
      <c r="K505" s="34">
        <v>41293</v>
      </c>
      <c r="L505" s="9">
        <v>52</v>
      </c>
      <c r="M505" s="8">
        <v>1.8032407407407407E-2</v>
      </c>
      <c r="N505" s="3">
        <v>1.0555555555555554E-2</v>
      </c>
      <c r="O505" s="3">
        <v>1.2222222222222223E-2</v>
      </c>
      <c r="W505" s="1">
        <f t="shared" si="66"/>
        <v>6.2067266282384188E-4</v>
      </c>
      <c r="X505" s="1">
        <f t="shared" si="67"/>
        <v>-6.2067266282384188E-4</v>
      </c>
      <c r="Y505" s="9">
        <v>36</v>
      </c>
      <c r="Z505">
        <f t="shared" si="0"/>
        <v>1296</v>
      </c>
      <c r="AB505" s="1">
        <f t="shared" si="59"/>
        <v>9.7222222222221981E-4</v>
      </c>
      <c r="AC505" s="1"/>
      <c r="AE505" s="1"/>
      <c r="AF505" s="1"/>
    </row>
    <row r="506" spans="1:32" x14ac:dyDescent="0.2">
      <c r="A506">
        <v>1139</v>
      </c>
      <c r="B506" s="27" t="s">
        <v>5060</v>
      </c>
      <c r="C506" s="74" t="s">
        <v>1569</v>
      </c>
      <c r="D506" s="24">
        <f>Runners!Q216</f>
        <v>7</v>
      </c>
      <c r="E506" s="183">
        <f>Runners!Q215</f>
        <v>9</v>
      </c>
      <c r="F506" s="6" t="s">
        <v>5096</v>
      </c>
      <c r="G506" s="1">
        <v>1.5300925925925926E-2</v>
      </c>
      <c r="H506" s="53"/>
      <c r="J506" s="1" t="s">
        <v>5096</v>
      </c>
      <c r="K506" s="34">
        <v>42042</v>
      </c>
      <c r="L506" s="9">
        <v>153</v>
      </c>
      <c r="M506" s="8">
        <v>2.1226851851851854E-2</v>
      </c>
      <c r="N506" s="3">
        <v>1.1909722222222223E-2</v>
      </c>
      <c r="O506" s="3">
        <v>1.3495370370370371E-2</v>
      </c>
      <c r="P506" t="s">
        <v>2594</v>
      </c>
      <c r="W506" s="1">
        <f t="shared" si="66"/>
        <v>-7.3349400384282656E-4</v>
      </c>
      <c r="X506" s="1">
        <f t="shared" si="67"/>
        <v>7.3349400384282656E-4</v>
      </c>
      <c r="Y506" s="9">
        <v>81</v>
      </c>
      <c r="Z506">
        <f t="shared" si="0"/>
        <v>6561</v>
      </c>
      <c r="AB506" s="1">
        <f t="shared" si="59"/>
        <v>2.3263888888888883E-3</v>
      </c>
      <c r="AC506" s="1"/>
      <c r="AE506" s="1"/>
      <c r="AF506" s="1"/>
    </row>
    <row r="507" spans="1:32" x14ac:dyDescent="0.2">
      <c r="A507">
        <v>60</v>
      </c>
      <c r="B507" s="27" t="s">
        <v>3178</v>
      </c>
      <c r="C507" s="74" t="s">
        <v>4500</v>
      </c>
      <c r="D507" s="24">
        <f>Runners!V420</f>
        <v>6</v>
      </c>
      <c r="E507" s="183">
        <f>Runners!V419</f>
        <v>9</v>
      </c>
      <c r="F507" s="6"/>
      <c r="H507" s="197" t="s">
        <v>748</v>
      </c>
      <c r="I507" s="1">
        <v>2.2129629629629628E-2</v>
      </c>
      <c r="J507" s="254" t="s">
        <v>748</v>
      </c>
      <c r="K507" s="34">
        <v>42203</v>
      </c>
      <c r="L507" s="9">
        <v>188</v>
      </c>
      <c r="M507" s="8">
        <v>1.8749999999999999E-2</v>
      </c>
      <c r="N507" s="3">
        <v>1.0497685185185186E-2</v>
      </c>
      <c r="O507" s="3">
        <v>1.1574074074074075E-2</v>
      </c>
      <c r="Q507" s="530" t="s">
        <v>8442</v>
      </c>
      <c r="R507" s="530"/>
      <c r="S507" s="530"/>
      <c r="W507" s="1">
        <f t="shared" si="66"/>
        <v>6.7854303319420974E-4</v>
      </c>
      <c r="X507" s="1">
        <f t="shared" si="67"/>
        <v>-6.7854303319420974E-4</v>
      </c>
      <c r="Y507" s="9">
        <v>39</v>
      </c>
      <c r="Z507">
        <f t="shared" si="0"/>
        <v>1521</v>
      </c>
      <c r="AB507" s="1">
        <f t="shared" si="59"/>
        <v>9.1435185185185196E-4</v>
      </c>
      <c r="AC507" s="1"/>
      <c r="AE507" s="1"/>
      <c r="AF507" s="1"/>
    </row>
    <row r="508" spans="1:32" x14ac:dyDescent="0.2">
      <c r="A508">
        <v>335</v>
      </c>
      <c r="B508" s="27" t="s">
        <v>3966</v>
      </c>
      <c r="C508" s="74" t="s">
        <v>2792</v>
      </c>
      <c r="D508" s="24">
        <f>Runners!S554</f>
        <v>1</v>
      </c>
      <c r="E508" s="183">
        <f>Runners!S553</f>
        <v>1</v>
      </c>
      <c r="F508" s="6" t="s">
        <v>1000</v>
      </c>
      <c r="G508" s="1">
        <v>1.8391203703703705E-2</v>
      </c>
      <c r="H508" s="197"/>
      <c r="J508" s="254" t="s">
        <v>1000</v>
      </c>
      <c r="K508" s="34">
        <v>42413</v>
      </c>
      <c r="L508" s="9">
        <v>226</v>
      </c>
      <c r="M508" s="8">
        <v>0.02</v>
      </c>
      <c r="N508" s="3">
        <v>9.8958333333333329E-3</v>
      </c>
      <c r="O508" s="3">
        <v>1.1944444444444445E-2</v>
      </c>
      <c r="P508" t="s">
        <v>2880</v>
      </c>
      <c r="W508" s="1">
        <f t="shared" si="66"/>
        <v>1.2803948850460631E-3</v>
      </c>
      <c r="X508" s="1">
        <f t="shared" si="67"/>
        <v>-1.2803948850460631E-3</v>
      </c>
      <c r="Y508" s="9">
        <v>82</v>
      </c>
      <c r="Z508">
        <f t="shared" si="0"/>
        <v>6724</v>
      </c>
      <c r="AB508" s="1">
        <f t="shared" si="59"/>
        <v>3.1249999999999854E-4</v>
      </c>
      <c r="AC508" s="1"/>
      <c r="AE508" s="1"/>
      <c r="AF508" s="1"/>
    </row>
    <row r="509" spans="1:32" x14ac:dyDescent="0.2">
      <c r="A509">
        <v>218</v>
      </c>
      <c r="B509" s="552" t="s">
        <v>8053</v>
      </c>
      <c r="C509" s="532" t="s">
        <v>8009</v>
      </c>
      <c r="D509" s="531">
        <f>Runners!S500</f>
        <v>4</v>
      </c>
      <c r="E509" s="541">
        <f>Runners!S499</f>
        <v>4</v>
      </c>
      <c r="F509" s="534" t="s">
        <v>3790</v>
      </c>
      <c r="G509" s="1">
        <v>1.7499999999999998E-2</v>
      </c>
      <c r="H509" s="197" t="s">
        <v>4596</v>
      </c>
      <c r="I509" s="1">
        <v>1.9606481481481482E-2</v>
      </c>
      <c r="J509" s="265" t="s">
        <v>6180</v>
      </c>
      <c r="K509" s="34">
        <v>42952</v>
      </c>
      <c r="L509" s="9">
        <v>350</v>
      </c>
      <c r="M509" s="8">
        <v>1.9675925925925927E-2</v>
      </c>
      <c r="N509" s="3">
        <v>1.0810185185185185E-2</v>
      </c>
      <c r="O509" s="3">
        <v>1.3263888888888889E-2</v>
      </c>
      <c r="P509" s="80" t="s">
        <v>13410</v>
      </c>
      <c r="W509" s="1">
        <f t="shared" si="66"/>
        <v>3.6604303319421119E-4</v>
      </c>
      <c r="X509" s="1">
        <f t="shared" si="67"/>
        <v>-3.6604303319421119E-4</v>
      </c>
      <c r="Y509" s="9"/>
      <c r="AB509" s="1">
        <f t="shared" si="59"/>
        <v>1.2268518518518505E-3</v>
      </c>
      <c r="AC509" s="1"/>
      <c r="AE509" s="1"/>
      <c r="AF509" s="1"/>
    </row>
    <row r="510" spans="1:32" x14ac:dyDescent="0.2">
      <c r="A510">
        <v>221</v>
      </c>
      <c r="B510" s="27" t="s">
        <v>5847</v>
      </c>
      <c r="C510" s="74" t="s">
        <v>5846</v>
      </c>
      <c r="D510" s="24">
        <f>Runners!O1023</f>
        <v>2</v>
      </c>
      <c r="E510" s="183">
        <f>Runners!O1022</f>
        <v>2</v>
      </c>
      <c r="F510" s="6" t="s">
        <v>298</v>
      </c>
      <c r="G510" s="1">
        <v>1.6064814814814813E-2</v>
      </c>
      <c r="H510" s="5" t="s">
        <v>5903</v>
      </c>
      <c r="I510" s="1">
        <v>1.8148148148148146E-2</v>
      </c>
      <c r="J510" s="334" t="s">
        <v>298</v>
      </c>
      <c r="K510" s="34">
        <v>42588</v>
      </c>
      <c r="L510" s="9">
        <v>278</v>
      </c>
      <c r="M510" s="8">
        <v>1.982638888888889E-2</v>
      </c>
      <c r="N510" s="3">
        <v>1.1261574074074071E-2</v>
      </c>
      <c r="O510" s="3">
        <v>1.2048611111111112E-2</v>
      </c>
      <c r="Q510" s="103" t="s">
        <v>5848</v>
      </c>
      <c r="R510" s="103"/>
      <c r="W510" s="1">
        <f t="shared" si="66"/>
        <v>-8.5345855694675399E-5</v>
      </c>
      <c r="X510" s="1">
        <f t="shared" si="67"/>
        <v>8.5345855694675399E-5</v>
      </c>
      <c r="Y510" s="9"/>
      <c r="AB510" s="1">
        <f t="shared" si="59"/>
        <v>1.6782407407407371E-3</v>
      </c>
      <c r="AC510" s="1"/>
      <c r="AE510" s="1"/>
      <c r="AF510" s="1"/>
    </row>
    <row r="511" spans="1:32" x14ac:dyDescent="0.2">
      <c r="A511">
        <v>91</v>
      </c>
      <c r="B511" s="27" t="s">
        <v>2876</v>
      </c>
      <c r="C511" s="74" t="s">
        <v>217</v>
      </c>
      <c r="D511" s="24">
        <f>Runners!W420</f>
        <v>8</v>
      </c>
      <c r="E511" s="183">
        <f>Runners!W419</f>
        <v>10</v>
      </c>
      <c r="F511" s="79" t="s">
        <v>4407</v>
      </c>
      <c r="G511" s="1">
        <v>1.5196759259259259E-2</v>
      </c>
      <c r="H511" s="80" t="s">
        <v>5241</v>
      </c>
      <c r="I511" s="1">
        <v>1.5405092592592593E-2</v>
      </c>
      <c r="J511" s="32" t="s">
        <v>1000</v>
      </c>
      <c r="K511" s="34">
        <v>41615</v>
      </c>
      <c r="L511" s="9">
        <v>82</v>
      </c>
      <c r="M511" s="8">
        <v>1.9247685185185184E-2</v>
      </c>
      <c r="N511" s="3">
        <v>1.082175925925926E-2</v>
      </c>
      <c r="O511" s="3">
        <v>1.2685185185185183E-2</v>
      </c>
      <c r="P511" s="1370" t="s">
        <v>1212</v>
      </c>
      <c r="Q511" s="1432" t="s">
        <v>1212</v>
      </c>
      <c r="R511" s="80" t="s">
        <v>1212</v>
      </c>
      <c r="W511" s="1">
        <f t="shared" si="66"/>
        <v>3.5446895912013589E-4</v>
      </c>
      <c r="X511" s="1">
        <f t="shared" si="67"/>
        <v>-3.5446895912013589E-4</v>
      </c>
      <c r="Y511" s="9">
        <v>13</v>
      </c>
      <c r="Z511">
        <f t="shared" si="0"/>
        <v>169</v>
      </c>
      <c r="AB511" s="1">
        <f t="shared" si="59"/>
        <v>1.2384259259259258E-3</v>
      </c>
      <c r="AC511" s="1"/>
      <c r="AE511" s="1"/>
      <c r="AF511" s="1"/>
    </row>
    <row r="512" spans="1:32" x14ac:dyDescent="0.2">
      <c r="A512">
        <v>411</v>
      </c>
      <c r="B512" s="27" t="s">
        <v>3111</v>
      </c>
      <c r="C512" s="74" t="s">
        <v>3110</v>
      </c>
      <c r="D512" s="24">
        <f>Runners!U1073</f>
        <v>2</v>
      </c>
      <c r="E512" s="183">
        <f>Runners!U1072</f>
        <v>4</v>
      </c>
      <c r="F512" s="6" t="s">
        <v>298</v>
      </c>
      <c r="G512" s="1">
        <v>1.7013888888888887E-2</v>
      </c>
      <c r="H512" s="5" t="s">
        <v>5903</v>
      </c>
      <c r="I512" s="1">
        <v>1.8518518518518521E-2</v>
      </c>
      <c r="J512" s="32" t="s">
        <v>298</v>
      </c>
      <c r="K512" s="34">
        <v>42448</v>
      </c>
      <c r="L512" s="9">
        <v>241</v>
      </c>
      <c r="M512" s="8">
        <v>1.8506944444444444E-2</v>
      </c>
      <c r="N512" s="3">
        <v>1.0625000000000001E-2</v>
      </c>
      <c r="O512" s="3">
        <v>1.207175925925926E-2</v>
      </c>
      <c r="W512" s="1">
        <f t="shared" si="66"/>
        <v>5.5122821837939526E-4</v>
      </c>
      <c r="X512" s="1">
        <f t="shared" si="67"/>
        <v>-5.5122821837939526E-4</v>
      </c>
      <c r="Y512" s="9">
        <v>30</v>
      </c>
      <c r="Z512">
        <f t="shared" si="0"/>
        <v>900</v>
      </c>
      <c r="AB512" s="1">
        <f t="shared" si="59"/>
        <v>1.0416666666666664E-3</v>
      </c>
      <c r="AC512" s="1"/>
      <c r="AE512" s="1"/>
      <c r="AF512" s="1"/>
    </row>
    <row r="513" spans="1:32" x14ac:dyDescent="0.2">
      <c r="A513">
        <v>468</v>
      </c>
      <c r="B513" s="27" t="s">
        <v>5677</v>
      </c>
      <c r="C513" s="74" t="s">
        <v>2532</v>
      </c>
      <c r="D513" s="24">
        <f>Runners!T500</f>
        <v>7</v>
      </c>
      <c r="E513" s="183">
        <f>Runners!T499</f>
        <v>8</v>
      </c>
      <c r="F513" s="1415" t="s">
        <v>8462</v>
      </c>
      <c r="G513" s="1412">
        <v>1.3738425925925926E-2</v>
      </c>
      <c r="H513" s="80" t="s">
        <v>1440</v>
      </c>
      <c r="I513" s="1">
        <v>1.9490740740740743E-2</v>
      </c>
      <c r="J513" s="1" t="s">
        <v>2368</v>
      </c>
      <c r="K513" s="34">
        <v>41559</v>
      </c>
      <c r="L513" s="9">
        <v>73</v>
      </c>
      <c r="M513" s="8">
        <v>1.8298611111111113E-2</v>
      </c>
      <c r="N513" s="3">
        <v>1.03125E-2</v>
      </c>
      <c r="O513" s="3">
        <v>1.1712962962962965E-2</v>
      </c>
      <c r="W513" s="1">
        <f t="shared" si="66"/>
        <v>8.6372821837939553E-4</v>
      </c>
      <c r="X513" s="1">
        <f t="shared" si="67"/>
        <v>-8.6372821837939553E-4</v>
      </c>
      <c r="Y513" s="9">
        <v>22</v>
      </c>
      <c r="Z513">
        <f t="shared" si="0"/>
        <v>484</v>
      </c>
      <c r="AB513" s="1">
        <f t="shared" si="59"/>
        <v>7.2916666666666616E-4</v>
      </c>
      <c r="AC513" s="1"/>
      <c r="AE513" s="1"/>
      <c r="AF513" s="1"/>
    </row>
    <row r="514" spans="1:32" x14ac:dyDescent="0.2">
      <c r="A514">
        <v>314</v>
      </c>
      <c r="B514" s="27" t="s">
        <v>4572</v>
      </c>
      <c r="C514" s="74" t="s">
        <v>4243</v>
      </c>
      <c r="D514" s="24">
        <f>Runners!K745</f>
        <v>2</v>
      </c>
      <c r="E514" s="183">
        <f>Runners!K744</f>
        <v>2</v>
      </c>
      <c r="F514" s="6" t="s">
        <v>5096</v>
      </c>
      <c r="G514" s="1">
        <v>1.4398148148148148E-2</v>
      </c>
      <c r="J514" s="1" t="s">
        <v>5096</v>
      </c>
      <c r="K514" s="34">
        <v>41622</v>
      </c>
      <c r="L514" s="9">
        <v>83</v>
      </c>
      <c r="M514" s="8">
        <v>1.9120370370370371E-2</v>
      </c>
      <c r="N514" s="3">
        <v>1.045138888888889E-2</v>
      </c>
      <c r="O514" s="3">
        <v>1.2118055555555556E-2</v>
      </c>
      <c r="P514" t="s">
        <v>4249</v>
      </c>
      <c r="W514" s="1">
        <f t="shared" si="66"/>
        <v>7.2483932949050575E-4</v>
      </c>
      <c r="X514" s="1">
        <f t="shared" si="67"/>
        <v>-7.2483932949050575E-4</v>
      </c>
      <c r="Y514" s="9">
        <v>47</v>
      </c>
      <c r="Z514">
        <f t="shared" si="0"/>
        <v>2209</v>
      </c>
      <c r="AB514" s="1">
        <f t="shared" si="59"/>
        <v>8.6805555555555594E-4</v>
      </c>
      <c r="AC514" s="1"/>
      <c r="AE514" s="1"/>
      <c r="AF514" s="1"/>
    </row>
    <row r="515" spans="1:32" x14ac:dyDescent="0.2">
      <c r="A515">
        <v>1835</v>
      </c>
      <c r="B515" s="556" t="s">
        <v>9699</v>
      </c>
      <c r="C515" s="532" t="s">
        <v>9216</v>
      </c>
      <c r="D515" s="531">
        <f>Runners!T554</f>
        <v>2</v>
      </c>
      <c r="E515" s="541">
        <f>Runners!T553</f>
        <v>2</v>
      </c>
      <c r="F515" s="79" t="s">
        <v>1000</v>
      </c>
      <c r="G515" s="1">
        <v>2.056712962962963E-2</v>
      </c>
      <c r="J515" s="334" t="s">
        <v>4778</v>
      </c>
      <c r="K515" s="34">
        <v>43253</v>
      </c>
      <c r="L515" s="1398">
        <v>411</v>
      </c>
      <c r="M515" s="8">
        <v>2.101851851851852E-2</v>
      </c>
      <c r="N515" s="3">
        <v>1.1446759259259261E-2</v>
      </c>
      <c r="O515" s="3">
        <v>1.3819444444444445E-2</v>
      </c>
      <c r="P515" s="80" t="s">
        <v>9700</v>
      </c>
      <c r="W515" s="1">
        <f t="shared" si="66"/>
        <v>-2.7053104087986467E-4</v>
      </c>
      <c r="X515" s="1">
        <f t="shared" si="67"/>
        <v>2.7053104087986467E-4</v>
      </c>
      <c r="Y515" s="9"/>
      <c r="AB515" s="1">
        <f t="shared" si="59"/>
        <v>1.8634259259259264E-3</v>
      </c>
      <c r="AC515" s="1"/>
      <c r="AE515" s="1"/>
      <c r="AF515" s="1"/>
    </row>
    <row r="516" spans="1:32" x14ac:dyDescent="0.2">
      <c r="A516">
        <v>2446</v>
      </c>
      <c r="B516" s="556" t="s">
        <v>16251</v>
      </c>
      <c r="C516" s="532" t="s">
        <v>15451</v>
      </c>
      <c r="D516" s="531">
        <f>Runners!V579</f>
        <v>2</v>
      </c>
      <c r="E516" s="541">
        <f>Runners!V578</f>
        <v>3</v>
      </c>
      <c r="F516" s="79"/>
      <c r="H516" s="80" t="s">
        <v>7799</v>
      </c>
      <c r="I516" s="1">
        <v>2.3391203703703702E-2</v>
      </c>
      <c r="J516" s="334" t="s">
        <v>16252</v>
      </c>
      <c r="K516" s="34">
        <v>43813</v>
      </c>
      <c r="L516" s="1398"/>
      <c r="M516" s="8">
        <v>2.2141203703703705E-2</v>
      </c>
      <c r="N516" s="3">
        <v>1.2175925925925929E-2</v>
      </c>
      <c r="O516" s="3">
        <v>1.4178240740740741E-2</v>
      </c>
      <c r="P516" s="80"/>
      <c r="W516" s="1">
        <f t="shared" si="66"/>
        <v>-9.9969770754653256E-4</v>
      </c>
      <c r="X516" s="1">
        <f t="shared" si="67"/>
        <v>9.9969770754653256E-4</v>
      </c>
      <c r="Y516" s="9"/>
      <c r="AB516" s="1">
        <f t="shared" si="59"/>
        <v>2.5925925925925943E-3</v>
      </c>
      <c r="AC516" s="1"/>
      <c r="AE516" s="1"/>
      <c r="AF516" s="1"/>
    </row>
    <row r="517" spans="1:32" x14ac:dyDescent="0.2">
      <c r="A517">
        <v>95</v>
      </c>
      <c r="B517" s="27" t="s">
        <v>1620</v>
      </c>
      <c r="C517" s="74" t="s">
        <v>4452</v>
      </c>
      <c r="D517" s="947">
        <f>Runners!W539</f>
        <v>12</v>
      </c>
      <c r="E517" s="948">
        <f>Runners!W538</f>
        <v>63</v>
      </c>
      <c r="F517" s="6" t="s">
        <v>5096</v>
      </c>
      <c r="G517" s="1">
        <v>1.4317129629629631E-2</v>
      </c>
      <c r="H517" s="53"/>
      <c r="J517" s="1" t="s">
        <v>1000</v>
      </c>
      <c r="K517" s="34">
        <v>41062</v>
      </c>
      <c r="L517" s="1398">
        <v>23</v>
      </c>
      <c r="M517" s="8">
        <v>1.8587962962962962E-2</v>
      </c>
      <c r="N517" s="3">
        <v>1.0243055555555556E-2</v>
      </c>
      <c r="O517" s="3">
        <v>1.105324074074074E-2</v>
      </c>
      <c r="Q517" s="103" t="s">
        <v>4018</v>
      </c>
      <c r="R517" s="103"/>
      <c r="U517" s="53"/>
      <c r="W517" s="1">
        <f t="shared" si="66"/>
        <v>9.3317266282384043E-4</v>
      </c>
      <c r="X517" s="1">
        <f t="shared" si="67"/>
        <v>-9.3317266282384043E-4</v>
      </c>
      <c r="Y517" s="9">
        <v>63</v>
      </c>
      <c r="Z517">
        <f t="shared" si="0"/>
        <v>3969</v>
      </c>
      <c r="AB517" s="1">
        <f t="shared" si="59"/>
        <v>6.5972222222222127E-4</v>
      </c>
      <c r="AC517" s="1"/>
      <c r="AE517" s="1"/>
      <c r="AF517" s="1"/>
    </row>
    <row r="518" spans="1:32" x14ac:dyDescent="0.2">
      <c r="A518">
        <v>249</v>
      </c>
      <c r="B518" s="27" t="s">
        <v>10329</v>
      </c>
      <c r="C518" s="415" t="s">
        <v>10323</v>
      </c>
      <c r="D518" s="531">
        <f>Runners!P1138</f>
        <v>1</v>
      </c>
      <c r="E518" s="541">
        <f>Runners!P1137</f>
        <v>1</v>
      </c>
      <c r="F518" s="6" t="s">
        <v>4897</v>
      </c>
      <c r="G518" s="1">
        <v>1.7256944444444446E-2</v>
      </c>
      <c r="H518" s="53"/>
      <c r="J518" s="1" t="s">
        <v>4897</v>
      </c>
      <c r="K518" s="34">
        <v>43239</v>
      </c>
      <c r="L518" s="1398">
        <v>428</v>
      </c>
      <c r="M518" s="8">
        <v>1.9988425925925927E-2</v>
      </c>
      <c r="N518" s="3">
        <v>1.068287037037037E-2</v>
      </c>
      <c r="O518" s="3">
        <v>1.2129629629629629E-2</v>
      </c>
      <c r="P518" s="2" t="s">
        <v>12684</v>
      </c>
      <c r="Q518" s="53"/>
      <c r="R518" s="53"/>
      <c r="U518" s="53"/>
      <c r="W518" s="1">
        <f t="shared" si="66"/>
        <v>4.9335784800902567E-4</v>
      </c>
      <c r="X518" s="1">
        <f t="shared" si="67"/>
        <v>-4.9335784800902567E-4</v>
      </c>
      <c r="Y518" s="9"/>
      <c r="AB518" s="1">
        <f t="shared" ref="AB518" si="68">N518-$N$88</f>
        <v>1.099537037037036E-3</v>
      </c>
      <c r="AC518" s="1"/>
      <c r="AE518" s="1"/>
      <c r="AF518" s="1"/>
    </row>
    <row r="519" spans="1:32" x14ac:dyDescent="0.2">
      <c r="A519">
        <v>25</v>
      </c>
      <c r="B519" s="27" t="s">
        <v>3695</v>
      </c>
      <c r="C519" s="74" t="s">
        <v>5987</v>
      </c>
      <c r="D519" s="24">
        <f>Runners!Q1289</f>
        <v>7</v>
      </c>
      <c r="E519" s="183">
        <f>Runners!Q1288</f>
        <v>8</v>
      </c>
      <c r="F519" s="79" t="s">
        <v>1457</v>
      </c>
      <c r="G519" s="1">
        <v>1.4166666666666666E-2</v>
      </c>
      <c r="H519" s="513" t="s">
        <v>1440</v>
      </c>
      <c r="I519" s="1">
        <v>1.9479166666666669E-2</v>
      </c>
      <c r="J519" s="1" t="s">
        <v>5061</v>
      </c>
      <c r="K519" s="34">
        <v>42042</v>
      </c>
      <c r="L519" s="1398">
        <v>154</v>
      </c>
      <c r="M519" s="8">
        <v>1.9629629629629629E-2</v>
      </c>
      <c r="N519" s="3">
        <v>1.03125E-2</v>
      </c>
      <c r="O519" s="3">
        <v>1.1736111111111109E-2</v>
      </c>
      <c r="Q519" s="581" t="s">
        <v>9132</v>
      </c>
      <c r="R519" s="581"/>
      <c r="W519" s="1">
        <f t="shared" si="66"/>
        <v>8.6372821837939553E-4</v>
      </c>
      <c r="X519" s="1">
        <f t="shared" si="67"/>
        <v>-8.6372821837939553E-4</v>
      </c>
      <c r="Y519" s="9">
        <v>57</v>
      </c>
      <c r="Z519">
        <f t="shared" si="0"/>
        <v>3249</v>
      </c>
      <c r="AB519" s="1">
        <f t="shared" si="59"/>
        <v>7.2916666666666616E-4</v>
      </c>
      <c r="AC519" s="1"/>
      <c r="AE519" s="1"/>
      <c r="AF519" s="1"/>
    </row>
    <row r="520" spans="1:32" x14ac:dyDescent="0.2">
      <c r="A520">
        <v>1942</v>
      </c>
      <c r="B520" s="585" t="s">
        <v>9614</v>
      </c>
      <c r="C520" s="568" t="s">
        <v>9615</v>
      </c>
      <c r="D520" s="585"/>
      <c r="E520" s="1002"/>
      <c r="F520" s="79"/>
      <c r="H520" s="513"/>
      <c r="K520" s="34"/>
      <c r="L520" s="1398"/>
      <c r="Q520" s="80" t="s">
        <v>9616</v>
      </c>
      <c r="R520" s="80"/>
      <c r="W520" s="1">
        <f t="shared" si="66"/>
        <v>1.1176228218379396E-2</v>
      </c>
      <c r="X520" s="1">
        <f t="shared" si="67"/>
        <v>-1.1176228218379396E-2</v>
      </c>
      <c r="Y520" s="9"/>
      <c r="AB520" s="1">
        <f t="shared" si="59"/>
        <v>-9.5833333333333343E-3</v>
      </c>
      <c r="AC520" s="1"/>
      <c r="AE520" s="1"/>
      <c r="AF520" s="1"/>
    </row>
    <row r="521" spans="1:32" x14ac:dyDescent="0.2">
      <c r="A521">
        <v>285</v>
      </c>
      <c r="B521" s="27" t="s">
        <v>1927</v>
      </c>
      <c r="C521" s="74" t="s">
        <v>203</v>
      </c>
      <c r="D521" s="24">
        <f>Runners!X539</f>
        <v>6</v>
      </c>
      <c r="E521" s="183">
        <f>Runners!X538</f>
        <v>9</v>
      </c>
      <c r="F521" s="6" t="s">
        <v>4637</v>
      </c>
      <c r="G521" s="1">
        <v>1.6053240740740739E-2</v>
      </c>
      <c r="H521" s="53"/>
      <c r="J521" s="1" t="s">
        <v>1000</v>
      </c>
      <c r="K521" s="34">
        <v>42567</v>
      </c>
      <c r="L521" s="1398">
        <v>272</v>
      </c>
      <c r="M521" s="8">
        <v>2.0023148148148148E-2</v>
      </c>
      <c r="N521" s="3">
        <v>1.1724537037037035E-2</v>
      </c>
      <c r="O521" s="3">
        <v>1.3043981481481483E-2</v>
      </c>
      <c r="P521" t="s">
        <v>1928</v>
      </c>
      <c r="W521" s="1">
        <f t="shared" si="66"/>
        <v>-5.4830881865763903E-4</v>
      </c>
      <c r="X521" s="1">
        <f t="shared" si="67"/>
        <v>5.4830881865763903E-4</v>
      </c>
      <c r="Y521" s="9"/>
      <c r="AB521" s="1">
        <f t="shared" si="59"/>
        <v>2.1412037037037007E-3</v>
      </c>
      <c r="AC521" s="1"/>
      <c r="AE521" s="1"/>
      <c r="AF521" s="1"/>
    </row>
    <row r="522" spans="1:32" x14ac:dyDescent="0.2">
      <c r="A522">
        <v>347</v>
      </c>
      <c r="B522" s="552" t="s">
        <v>16582</v>
      </c>
      <c r="C522" s="532" t="s">
        <v>149</v>
      </c>
      <c r="D522" s="531">
        <f>Runners!Q714</f>
        <v>1</v>
      </c>
      <c r="E522" s="541">
        <f>Runners!Q713</f>
        <v>1</v>
      </c>
      <c r="F522" s="1411" t="s">
        <v>5573</v>
      </c>
      <c r="G522" s="1412">
        <v>1.7951388888888888E-2</v>
      </c>
      <c r="H522" s="1474"/>
      <c r="I522" s="1412"/>
      <c r="J522" s="1412" t="s">
        <v>5573</v>
      </c>
      <c r="K522" s="1379">
        <v>43831</v>
      </c>
      <c r="L522" s="1398"/>
      <c r="W522" s="1"/>
      <c r="X522" s="1"/>
      <c r="Y522" s="9"/>
      <c r="AB522" s="1"/>
      <c r="AC522" s="1"/>
      <c r="AE522" s="1"/>
      <c r="AF522" s="1"/>
    </row>
    <row r="523" spans="1:32" x14ac:dyDescent="0.2">
      <c r="A523">
        <v>1402</v>
      </c>
      <c r="B523" s="552" t="s">
        <v>2205</v>
      </c>
      <c r="C523" s="511" t="s">
        <v>2204</v>
      </c>
      <c r="D523" s="531">
        <f>Runners!P854</f>
        <v>5</v>
      </c>
      <c r="E523" s="541">
        <f>Runners!P853</f>
        <v>6</v>
      </c>
      <c r="F523" s="1413" t="s">
        <v>4407</v>
      </c>
      <c r="G523" s="1412">
        <v>1.577546296296296E-2</v>
      </c>
      <c r="H523" s="1433" t="s">
        <v>5241</v>
      </c>
      <c r="I523" s="1530">
        <v>1.5127314814814816E-2</v>
      </c>
      <c r="J523" s="1412" t="s">
        <v>1000</v>
      </c>
      <c r="K523" s="1379">
        <v>42434</v>
      </c>
      <c r="L523" s="1398">
        <v>235</v>
      </c>
      <c r="M523" s="8">
        <v>1.9201388888888889E-2</v>
      </c>
      <c r="N523" s="3">
        <v>1.1898148148148149E-2</v>
      </c>
      <c r="O523" s="3">
        <v>1.2870370370370372E-2</v>
      </c>
      <c r="W523" s="1">
        <f>$N$700-N523</f>
        <v>-7.2191992976875299E-4</v>
      </c>
      <c r="X523" s="1">
        <f>N523-$N$700</f>
        <v>7.2191992976875299E-4</v>
      </c>
      <c r="Y523" s="9">
        <v>80</v>
      </c>
      <c r="Z523">
        <f t="shared" si="0"/>
        <v>6400</v>
      </c>
      <c r="AB523" s="1">
        <f t="shared" si="59"/>
        <v>2.3148148148148147E-3</v>
      </c>
      <c r="AC523" s="1"/>
      <c r="AE523" s="1"/>
      <c r="AF523" s="1"/>
    </row>
    <row r="524" spans="1:32" x14ac:dyDescent="0.2">
      <c r="A524">
        <v>2432</v>
      </c>
      <c r="B524" s="552" t="s">
        <v>16583</v>
      </c>
      <c r="C524" s="532" t="s">
        <v>16486</v>
      </c>
      <c r="D524" s="531">
        <f>Runners!R714</f>
        <v>1</v>
      </c>
      <c r="E524" s="541">
        <f>Runners!R713</f>
        <v>1</v>
      </c>
      <c r="F524" s="1930" t="s">
        <v>5573</v>
      </c>
      <c r="G524" s="1412">
        <v>1.9282407407407408E-2</v>
      </c>
      <c r="H524" s="1433"/>
      <c r="I524" s="1530"/>
      <c r="J524" s="1432" t="s">
        <v>5573</v>
      </c>
      <c r="K524" s="1379">
        <v>43831</v>
      </c>
      <c r="L524" s="1398"/>
      <c r="W524" s="1"/>
      <c r="X524" s="1"/>
      <c r="Y524" s="9"/>
      <c r="AB524" s="1"/>
      <c r="AC524" s="1"/>
      <c r="AE524" s="1"/>
      <c r="AF524" s="1"/>
    </row>
    <row r="525" spans="1:32" x14ac:dyDescent="0.2">
      <c r="A525">
        <v>1948</v>
      </c>
      <c r="B525" s="493" t="s">
        <v>10281</v>
      </c>
      <c r="C525" s="415" t="s">
        <v>10282</v>
      </c>
      <c r="D525" s="24">
        <f>Runners!K683</f>
        <v>1</v>
      </c>
      <c r="E525" s="183">
        <f>Runners!K682</f>
        <v>1</v>
      </c>
      <c r="F525" s="79" t="s">
        <v>654</v>
      </c>
      <c r="G525" s="334">
        <v>2.4247685185185181E-2</v>
      </c>
      <c r="H525" s="53"/>
      <c r="J525" s="334" t="s">
        <v>654</v>
      </c>
      <c r="K525" s="34">
        <v>43302</v>
      </c>
      <c r="L525" s="1398">
        <v>426</v>
      </c>
      <c r="M525" s="8">
        <v>2.0995370370370373E-2</v>
      </c>
      <c r="N525" s="3">
        <v>1.1238425925925928E-2</v>
      </c>
      <c r="O525" s="3">
        <v>1.375E-2</v>
      </c>
      <c r="W525" s="1">
        <f t="shared" ref="W525:W533" si="69">$N$700-N525</f>
        <v>-6.2197707546531728E-5</v>
      </c>
      <c r="X525" s="1">
        <f t="shared" ref="X525:X533" si="70">N525-$N$700</f>
        <v>6.2197707546531728E-5</v>
      </c>
      <c r="Y525" s="9"/>
      <c r="AB525" s="1">
        <f t="shared" si="59"/>
        <v>1.6550925925925934E-3</v>
      </c>
      <c r="AC525" s="1"/>
      <c r="AE525" s="1"/>
      <c r="AF525" s="1"/>
    </row>
    <row r="526" spans="1:32" x14ac:dyDescent="0.2">
      <c r="A526">
        <v>1353</v>
      </c>
      <c r="B526" s="27" t="s">
        <v>3159</v>
      </c>
      <c r="C526" s="74" t="s">
        <v>1503</v>
      </c>
      <c r="D526" s="24">
        <f>Runners!P1023</f>
        <v>1</v>
      </c>
      <c r="E526" s="183">
        <f>Runners!P1022</f>
        <v>1</v>
      </c>
      <c r="F526" s="6" t="s">
        <v>1270</v>
      </c>
      <c r="G526" s="1">
        <v>1.8391203703703705E-2</v>
      </c>
      <c r="H526" s="53"/>
      <c r="J526" s="1" t="s">
        <v>1270</v>
      </c>
      <c r="K526" s="34">
        <v>42672</v>
      </c>
      <c r="L526" s="1398">
        <v>299</v>
      </c>
      <c r="M526" s="8">
        <v>1.8634259259259257E-2</v>
      </c>
      <c r="N526" s="3">
        <v>1.0787037037037038E-2</v>
      </c>
      <c r="O526" s="3">
        <v>1.2037037037037035E-2</v>
      </c>
      <c r="W526" s="1">
        <f t="shared" si="69"/>
        <v>3.8919118134235833E-4</v>
      </c>
      <c r="X526" s="1">
        <f t="shared" si="70"/>
        <v>-3.8919118134235833E-4</v>
      </c>
      <c r="Y526" s="9"/>
      <c r="AB526" s="1">
        <f t="shared" si="59"/>
        <v>1.2037037037037034E-3</v>
      </c>
      <c r="AC526" s="1"/>
      <c r="AE526" s="1"/>
      <c r="AF526" s="1"/>
    </row>
    <row r="527" spans="1:32" x14ac:dyDescent="0.2">
      <c r="A527">
        <v>1757</v>
      </c>
      <c r="B527" s="493" t="s">
        <v>9158</v>
      </c>
      <c r="C527" s="415" t="s">
        <v>9160</v>
      </c>
      <c r="D527" s="24">
        <f>Runners!T1304</f>
        <v>1</v>
      </c>
      <c r="E527" s="980">
        <f>Runners!T1303</f>
        <v>2</v>
      </c>
      <c r="F527" s="534" t="s">
        <v>9159</v>
      </c>
      <c r="G527" s="1">
        <v>2.1388888888888888E-2</v>
      </c>
      <c r="H527" s="53"/>
      <c r="J527" s="334" t="s">
        <v>756</v>
      </c>
      <c r="K527" s="34">
        <v>43127</v>
      </c>
      <c r="L527" s="1398">
        <v>381</v>
      </c>
      <c r="M527" s="8">
        <v>2.7384259259259257E-2</v>
      </c>
      <c r="N527" s="3">
        <v>1.2164351851851852E-2</v>
      </c>
      <c r="O527" s="3">
        <v>1.4444444444444446E-2</v>
      </c>
      <c r="W527" s="1">
        <f t="shared" si="69"/>
        <v>-9.8812363347245552E-4</v>
      </c>
      <c r="X527" s="1">
        <f t="shared" si="70"/>
        <v>9.8812363347245552E-4</v>
      </c>
      <c r="Y527" s="9"/>
      <c r="AB527" s="1">
        <f t="shared" si="59"/>
        <v>2.5810185185185172E-3</v>
      </c>
      <c r="AC527" s="1"/>
      <c r="AE527" s="1"/>
      <c r="AF527" s="1"/>
    </row>
    <row r="528" spans="1:32" x14ac:dyDescent="0.2">
      <c r="A528">
        <v>23</v>
      </c>
      <c r="B528" s="27" t="s">
        <v>5893</v>
      </c>
      <c r="C528" s="74" t="s">
        <v>4202</v>
      </c>
      <c r="D528" s="24">
        <f>Runners!V1073</f>
        <v>2</v>
      </c>
      <c r="E528" s="183">
        <f>Runners!V1072</f>
        <v>80</v>
      </c>
      <c r="F528" s="6" t="s">
        <v>298</v>
      </c>
      <c r="G528" s="1">
        <v>1.5231481481481483E-2</v>
      </c>
      <c r="H528" s="5" t="s">
        <v>5903</v>
      </c>
      <c r="I528" s="1">
        <v>1.7349537037037038E-2</v>
      </c>
      <c r="J528" s="1" t="s">
        <v>5903</v>
      </c>
      <c r="K528" s="34">
        <v>42392</v>
      </c>
      <c r="L528" s="9">
        <v>224</v>
      </c>
      <c r="M528" s="8">
        <v>1.8888888888888889E-2</v>
      </c>
      <c r="N528" s="3">
        <v>1.0717592592592593E-2</v>
      </c>
      <c r="O528" s="3">
        <v>1.1643518518518518E-2</v>
      </c>
      <c r="W528" s="1">
        <f t="shared" si="69"/>
        <v>4.5863562578680322E-4</v>
      </c>
      <c r="X528" s="1">
        <f t="shared" si="70"/>
        <v>-4.5863562578680322E-4</v>
      </c>
      <c r="Y528" s="9">
        <v>22</v>
      </c>
      <c r="Z528">
        <f t="shared" si="0"/>
        <v>484</v>
      </c>
      <c r="AB528" s="1">
        <f t="shared" si="59"/>
        <v>1.1342592592592585E-3</v>
      </c>
      <c r="AC528" s="1"/>
      <c r="AE528" s="1"/>
      <c r="AF528" s="1"/>
    </row>
    <row r="529" spans="1:32" x14ac:dyDescent="0.2">
      <c r="A529">
        <v>2259</v>
      </c>
      <c r="B529" s="27" t="s">
        <v>12311</v>
      </c>
      <c r="C529" s="415" t="s">
        <v>12216</v>
      </c>
      <c r="D529" s="24">
        <f>Runners!U500</f>
        <v>3</v>
      </c>
      <c r="E529" s="183">
        <f>Runners!U499</f>
        <v>4</v>
      </c>
      <c r="F529" s="1411" t="s">
        <v>5096</v>
      </c>
      <c r="G529" s="1412">
        <v>1.4791666666666668E-2</v>
      </c>
      <c r="H529" s="5"/>
      <c r="J529" s="1" t="s">
        <v>4778</v>
      </c>
      <c r="K529" s="34">
        <v>43561</v>
      </c>
      <c r="L529" s="1398">
        <v>486</v>
      </c>
      <c r="M529" s="8">
        <v>2.0821759259259259E-2</v>
      </c>
      <c r="N529" s="3">
        <v>1.1655092592592594E-2</v>
      </c>
      <c r="O529" s="3">
        <v>1.3645833333333331E-2</v>
      </c>
      <c r="P529" t="s">
        <v>13480</v>
      </c>
      <c r="W529" s="1">
        <f t="shared" si="69"/>
        <v>-4.7886437421319761E-4</v>
      </c>
      <c r="X529" s="1">
        <f t="shared" si="70"/>
        <v>4.7886437421319761E-4</v>
      </c>
      <c r="Y529" s="9"/>
      <c r="AB529" s="1">
        <f t="shared" si="59"/>
        <v>2.0717592592592593E-3</v>
      </c>
      <c r="AC529" s="1"/>
      <c r="AE529" s="1"/>
      <c r="AF529" s="1"/>
    </row>
    <row r="530" spans="1:32" x14ac:dyDescent="0.2">
      <c r="A530">
        <v>2064</v>
      </c>
      <c r="B530" s="556" t="s">
        <v>11669</v>
      </c>
      <c r="C530" s="532" t="s">
        <v>11670</v>
      </c>
      <c r="D530" s="531">
        <f>Runners!R877</f>
        <v>2</v>
      </c>
      <c r="E530" s="541">
        <f>Runners!R876</f>
        <v>2</v>
      </c>
      <c r="F530" s="79" t="s">
        <v>1000</v>
      </c>
      <c r="G530" s="1">
        <v>2.1458333333333333E-2</v>
      </c>
      <c r="H530" s="1274" t="s">
        <v>1062</v>
      </c>
      <c r="I530" s="1">
        <v>2.4247685185185181E-2</v>
      </c>
      <c r="J530" s="334" t="s">
        <v>9179</v>
      </c>
      <c r="K530" s="34">
        <v>43498</v>
      </c>
      <c r="L530" s="1398">
        <v>467</v>
      </c>
      <c r="M530" s="8">
        <v>2.1840277777777778E-2</v>
      </c>
      <c r="N530" s="3">
        <v>1.1041666666666667E-2</v>
      </c>
      <c r="O530" s="3">
        <v>1.2199074074074072E-2</v>
      </c>
      <c r="W530" s="1">
        <f t="shared" si="69"/>
        <v>1.3456155171272938E-4</v>
      </c>
      <c r="X530" s="1">
        <f t="shared" si="70"/>
        <v>-1.3456155171272938E-4</v>
      </c>
      <c r="Y530" s="9"/>
      <c r="AB530" s="1">
        <f t="shared" si="59"/>
        <v>1.4583333333333323E-3</v>
      </c>
      <c r="AC530" s="1"/>
      <c r="AE530" s="1"/>
      <c r="AF530" s="1"/>
    </row>
    <row r="531" spans="1:32" ht="13.5" customHeight="1" x14ac:dyDescent="0.2">
      <c r="A531">
        <v>1309</v>
      </c>
      <c r="B531" s="27" t="s">
        <v>5115</v>
      </c>
      <c r="C531" s="74" t="s">
        <v>4535</v>
      </c>
      <c r="D531" s="24">
        <f>Runners!T1116</f>
        <v>2</v>
      </c>
      <c r="E531" s="183">
        <f>Runners!T1116</f>
        <v>2</v>
      </c>
      <c r="F531" s="79" t="s">
        <v>2628</v>
      </c>
      <c r="G531" s="334">
        <v>1.5335648148148147E-2</v>
      </c>
      <c r="H531" s="53"/>
      <c r="J531" s="1" t="s">
        <v>1270</v>
      </c>
      <c r="K531" s="34">
        <v>42301</v>
      </c>
      <c r="L531" s="9">
        <v>203</v>
      </c>
      <c r="M531" s="8">
        <v>1.9178240740740742E-2</v>
      </c>
      <c r="N531" s="3">
        <v>1.1122685185185185E-2</v>
      </c>
      <c r="O531" s="3">
        <v>1.3182870370370371E-2</v>
      </c>
      <c r="W531" s="1">
        <f t="shared" si="69"/>
        <v>5.3543033194210915E-5</v>
      </c>
      <c r="X531" s="1">
        <f t="shared" si="70"/>
        <v>-5.3543033194210915E-5</v>
      </c>
      <c r="Y531" s="9">
        <v>11</v>
      </c>
      <c r="Z531">
        <f t="shared" si="0"/>
        <v>121</v>
      </c>
      <c r="AB531" s="1">
        <f t="shared" si="59"/>
        <v>1.5393518518518508E-3</v>
      </c>
      <c r="AC531" s="1"/>
      <c r="AE531" s="1"/>
      <c r="AF531" s="1"/>
    </row>
    <row r="532" spans="1:32" x14ac:dyDescent="0.2">
      <c r="A532">
        <v>61</v>
      </c>
      <c r="B532" s="27" t="s">
        <v>5120</v>
      </c>
      <c r="C532" s="415" t="s">
        <v>16131</v>
      </c>
      <c r="D532" s="24">
        <f>Runners!L745</f>
        <v>2</v>
      </c>
      <c r="E532" s="183">
        <f>Runners!L744</f>
        <v>6</v>
      </c>
      <c r="F532" s="79" t="s">
        <v>5573</v>
      </c>
      <c r="G532" s="1">
        <v>1.6782407407407409E-2</v>
      </c>
      <c r="J532" s="1" t="s">
        <v>1000</v>
      </c>
      <c r="K532" s="34">
        <v>41174</v>
      </c>
      <c r="L532" s="9">
        <v>37</v>
      </c>
      <c r="M532" s="8">
        <v>1.9652777777777779E-2</v>
      </c>
      <c r="N532" s="3">
        <v>1.0613425925925927E-2</v>
      </c>
      <c r="O532" s="3">
        <v>1.1886574074074075E-2</v>
      </c>
      <c r="Q532" s="618" t="s">
        <v>5650</v>
      </c>
      <c r="R532" s="618"/>
      <c r="U532" s="196"/>
      <c r="W532" s="1">
        <f t="shared" si="69"/>
        <v>5.6280229245346883E-4</v>
      </c>
      <c r="X532" s="1">
        <f t="shared" si="70"/>
        <v>-5.6280229245346883E-4</v>
      </c>
      <c r="Y532" s="9">
        <v>31</v>
      </c>
      <c r="Z532">
        <f t="shared" si="0"/>
        <v>961</v>
      </c>
      <c r="AB532" s="1">
        <f t="shared" si="59"/>
        <v>1.0300925925925929E-3</v>
      </c>
      <c r="AC532" s="1"/>
      <c r="AE532" s="1"/>
      <c r="AF532" s="1"/>
    </row>
    <row r="533" spans="1:32" x14ac:dyDescent="0.2">
      <c r="A533">
        <v>1002</v>
      </c>
      <c r="B533" s="552" t="s">
        <v>2902</v>
      </c>
      <c r="C533" s="532" t="s">
        <v>2311</v>
      </c>
      <c r="D533" s="531">
        <f>Runners!L787</f>
        <v>3</v>
      </c>
      <c r="E533" s="541">
        <f>Runners!M786</f>
        <v>1</v>
      </c>
      <c r="F533" s="534" t="s">
        <v>3790</v>
      </c>
      <c r="G533" s="1">
        <v>1.7662037037037035E-2</v>
      </c>
      <c r="H533" s="968" t="s">
        <v>9553</v>
      </c>
      <c r="I533" s="1">
        <v>1.6770833333333332E-2</v>
      </c>
      <c r="J533" s="512" t="s">
        <v>6180</v>
      </c>
      <c r="K533" s="34">
        <v>42736</v>
      </c>
      <c r="L533" s="9">
        <v>312</v>
      </c>
      <c r="M533" s="8">
        <v>2.1307870370370369E-2</v>
      </c>
      <c r="N533" s="3">
        <v>1.0925925925925924E-2</v>
      </c>
      <c r="O533" s="3">
        <v>1.2615740740740742E-2</v>
      </c>
      <c r="Q533" s="196"/>
      <c r="R533" s="196"/>
      <c r="U533" s="196"/>
      <c r="W533" s="1">
        <f t="shared" si="69"/>
        <v>2.5030229245347202E-4</v>
      </c>
      <c r="X533" s="1">
        <f t="shared" si="70"/>
        <v>-2.5030229245347202E-4</v>
      </c>
      <c r="Y533" s="9"/>
      <c r="AB533" s="1">
        <f t="shared" si="59"/>
        <v>1.3425925925925897E-3</v>
      </c>
      <c r="AC533" s="1"/>
      <c r="AE533" s="1"/>
      <c r="AF533" s="1"/>
    </row>
    <row r="534" spans="1:32" x14ac:dyDescent="0.2">
      <c r="B534" s="530"/>
      <c r="C534" s="581" t="s">
        <v>5494</v>
      </c>
      <c r="D534" s="530"/>
      <c r="E534" s="582"/>
      <c r="F534" s="534"/>
      <c r="H534" s="968"/>
      <c r="J534" s="512"/>
      <c r="K534" s="34"/>
      <c r="Q534" s="618" t="s">
        <v>17042</v>
      </c>
      <c r="R534" s="618"/>
      <c r="U534" s="196"/>
      <c r="W534" s="1"/>
      <c r="X534" s="1"/>
      <c r="Y534" s="9"/>
      <c r="AB534" s="1"/>
      <c r="AC534" s="1"/>
      <c r="AE534" s="1"/>
      <c r="AF534" s="1"/>
    </row>
    <row r="535" spans="1:32" x14ac:dyDescent="0.2">
      <c r="A535">
        <v>1614</v>
      </c>
      <c r="B535" s="552" t="s">
        <v>8703</v>
      </c>
      <c r="C535" s="532" t="s">
        <v>8704</v>
      </c>
      <c r="D535" s="531">
        <f>Runners!V1271</f>
        <v>1</v>
      </c>
      <c r="E535" s="541">
        <f>Runners!V1270</f>
        <v>1</v>
      </c>
      <c r="F535" s="79" t="s">
        <v>1000</v>
      </c>
      <c r="G535" s="1">
        <v>1.8877314814814816E-2</v>
      </c>
      <c r="H535" s="513"/>
      <c r="J535" s="512" t="s">
        <v>1000</v>
      </c>
      <c r="K535" s="34">
        <v>43029</v>
      </c>
      <c r="L535" s="1398">
        <v>368</v>
      </c>
      <c r="M535" s="8">
        <v>2.3217592592592592E-2</v>
      </c>
      <c r="N535" s="3">
        <v>1.2962962962962963E-2</v>
      </c>
      <c r="O535" s="3">
        <v>1.4849537037037036E-2</v>
      </c>
      <c r="Q535" s="196"/>
      <c r="R535" s="196"/>
      <c r="U535" s="196"/>
      <c r="W535" s="1">
        <f t="shared" ref="W535:W541" si="71">$N$700-N535</f>
        <v>-1.7867347445835666E-3</v>
      </c>
      <c r="X535" s="1">
        <f t="shared" ref="X535:X541" si="72">N535-$N$700</f>
        <v>1.7867347445835666E-3</v>
      </c>
      <c r="Y535" s="9"/>
      <c r="AB535" s="1">
        <f t="shared" si="59"/>
        <v>3.3796296296296283E-3</v>
      </c>
      <c r="AC535" s="1"/>
      <c r="AE535" s="1"/>
      <c r="AF535" s="1"/>
    </row>
    <row r="536" spans="1:32" x14ac:dyDescent="0.2">
      <c r="A536">
        <v>393</v>
      </c>
      <c r="B536" s="27" t="s">
        <v>1921</v>
      </c>
      <c r="C536" s="15" t="s">
        <v>1659</v>
      </c>
      <c r="D536" s="24">
        <f>Runners!W1073</f>
        <v>2</v>
      </c>
      <c r="E536" s="183">
        <f>Runners!W1072</f>
        <v>2</v>
      </c>
      <c r="F536" s="6" t="s">
        <v>298</v>
      </c>
      <c r="G536" s="1">
        <v>1.6481481481481482E-2</v>
      </c>
      <c r="H536" t="s">
        <v>5903</v>
      </c>
      <c r="I536" s="1">
        <v>1.8796296296296297E-2</v>
      </c>
      <c r="J536" s="1" t="s">
        <v>298</v>
      </c>
      <c r="K536" s="34">
        <v>42616</v>
      </c>
      <c r="L536" s="9">
        <v>283</v>
      </c>
      <c r="M536" s="8">
        <v>2.013888888888889E-2</v>
      </c>
      <c r="N536" s="3">
        <v>1.1400462962962965E-2</v>
      </c>
      <c r="O536" s="3">
        <v>1.3344907407407408E-2</v>
      </c>
      <c r="Q536" s="196"/>
      <c r="R536" s="196"/>
      <c r="U536" s="196"/>
      <c r="W536" s="1">
        <f t="shared" si="71"/>
        <v>-2.2423474458356865E-4</v>
      </c>
      <c r="X536" s="1">
        <f t="shared" si="72"/>
        <v>2.2423474458356865E-4</v>
      </c>
      <c r="Y536" s="9"/>
      <c r="AB536" s="1">
        <f t="shared" si="59"/>
        <v>1.8171296296296303E-3</v>
      </c>
      <c r="AC536" s="1"/>
      <c r="AE536" s="1"/>
      <c r="AF536" s="1"/>
    </row>
    <row r="537" spans="1:32" x14ac:dyDescent="0.2">
      <c r="A537">
        <v>460</v>
      </c>
      <c r="B537" s="27" t="s">
        <v>3108</v>
      </c>
      <c r="C537" s="74" t="s">
        <v>4443</v>
      </c>
      <c r="D537" s="24">
        <f>Runners!H854</f>
        <v>4</v>
      </c>
      <c r="E537" s="183">
        <f>Runners!H853</f>
        <v>4</v>
      </c>
      <c r="F537" s="79" t="s">
        <v>1000</v>
      </c>
      <c r="G537" s="1">
        <v>2.0439814814814817E-2</v>
      </c>
      <c r="H537" s="206" t="s">
        <v>4596</v>
      </c>
      <c r="I537" s="1">
        <v>1.8217592592592594E-2</v>
      </c>
      <c r="J537" s="254" t="s">
        <v>4596</v>
      </c>
      <c r="K537" s="34">
        <v>42189</v>
      </c>
      <c r="L537" s="9">
        <v>185</v>
      </c>
      <c r="M537" s="8">
        <v>1.9756944444444445E-2</v>
      </c>
      <c r="N537" s="3">
        <v>1.0173611111111111E-2</v>
      </c>
      <c r="O537" s="3">
        <v>1.1724537037037035E-2</v>
      </c>
      <c r="W537" s="1">
        <f t="shared" si="71"/>
        <v>1.0026171072682853E-3</v>
      </c>
      <c r="X537" s="1">
        <f t="shared" si="72"/>
        <v>-1.0026171072682853E-3</v>
      </c>
      <c r="Y537" s="9">
        <v>69</v>
      </c>
      <c r="Z537">
        <f t="shared" si="0"/>
        <v>4761</v>
      </c>
      <c r="AB537" s="1">
        <f t="shared" si="59"/>
        <v>5.9027777777777637E-4</v>
      </c>
      <c r="AC537" s="1"/>
      <c r="AE537" s="1"/>
      <c r="AF537" s="1"/>
    </row>
    <row r="538" spans="1:32" x14ac:dyDescent="0.2">
      <c r="A538">
        <v>467</v>
      </c>
      <c r="B538" s="493" t="s">
        <v>4780</v>
      </c>
      <c r="C538" s="415" t="s">
        <v>667</v>
      </c>
      <c r="D538" s="24">
        <f>Runners!V1048</f>
        <v>3</v>
      </c>
      <c r="E538" s="183">
        <f>Runners!V1047</f>
        <v>3</v>
      </c>
      <c r="F538" s="79" t="s">
        <v>9840</v>
      </c>
      <c r="G538" s="1">
        <v>2.6666666666666668E-2</v>
      </c>
      <c r="H538" s="636" t="s">
        <v>5903</v>
      </c>
      <c r="I538" s="840">
        <v>2.0821759259259259E-2</v>
      </c>
      <c r="J538" s="1341" t="s">
        <v>9840</v>
      </c>
      <c r="K538" s="34">
        <v>43533</v>
      </c>
      <c r="L538" s="1398">
        <v>476</v>
      </c>
      <c r="M538" s="8">
        <v>2.0520833333333332E-2</v>
      </c>
      <c r="N538" s="3">
        <v>1.1238425925925928E-2</v>
      </c>
      <c r="O538" s="3">
        <v>1.2905092592592591E-2</v>
      </c>
      <c r="W538" s="1">
        <f t="shared" si="71"/>
        <v>-6.2197707546531728E-5</v>
      </c>
      <c r="X538" s="1">
        <f t="shared" si="72"/>
        <v>6.2197707546531728E-5</v>
      </c>
      <c r="Y538" s="9"/>
      <c r="AB538" s="1">
        <f t="shared" si="59"/>
        <v>1.6550925925925934E-3</v>
      </c>
      <c r="AC538" s="1"/>
      <c r="AE538" s="1"/>
      <c r="AF538" s="1"/>
    </row>
    <row r="539" spans="1:32" x14ac:dyDescent="0.2">
      <c r="A539">
        <v>2354</v>
      </c>
      <c r="B539" s="493" t="s">
        <v>12759</v>
      </c>
      <c r="C539" s="415" t="s">
        <v>12698</v>
      </c>
      <c r="D539" s="24">
        <f>Runners!T714</f>
        <v>1</v>
      </c>
      <c r="E539" s="183">
        <f>Runners!T713</f>
        <v>2</v>
      </c>
      <c r="F539" s="1415" t="s">
        <v>5573</v>
      </c>
      <c r="G539" s="1412">
        <v>1.6793981481481483E-2</v>
      </c>
      <c r="H539" s="1375"/>
      <c r="I539" s="1412"/>
      <c r="J539" s="1432" t="s">
        <v>5573</v>
      </c>
      <c r="K539" s="1384">
        <v>43610</v>
      </c>
      <c r="L539" s="1398">
        <v>497</v>
      </c>
      <c r="M539" s="1515">
        <v>2.164351851851852E-2</v>
      </c>
      <c r="N539" s="3">
        <v>1.1840277777777778E-2</v>
      </c>
      <c r="O539" s="3">
        <v>1.4224537037037037E-2</v>
      </c>
      <c r="P539" s="80" t="s">
        <v>12896</v>
      </c>
      <c r="W539" s="1">
        <f t="shared" si="71"/>
        <v>-6.6404955939838167E-4</v>
      </c>
      <c r="X539" s="1">
        <f t="shared" si="72"/>
        <v>6.6404955939838167E-4</v>
      </c>
      <c r="Y539" s="9"/>
      <c r="AB539" s="1">
        <f t="shared" si="59"/>
        <v>2.2569444444444434E-3</v>
      </c>
      <c r="AC539" s="1"/>
      <c r="AE539" s="1"/>
      <c r="AF539" s="1"/>
    </row>
    <row r="540" spans="1:32" x14ac:dyDescent="0.2">
      <c r="A540">
        <v>1270</v>
      </c>
      <c r="B540" s="27" t="s">
        <v>1910</v>
      </c>
      <c r="C540" s="74" t="s">
        <v>1434</v>
      </c>
      <c r="D540" s="24">
        <f>Runners!S714</f>
        <v>1</v>
      </c>
      <c r="E540" s="183">
        <f>Runners!S713</f>
        <v>1</v>
      </c>
      <c r="F540" s="1411"/>
      <c r="G540" s="1412"/>
      <c r="H540" s="206" t="s">
        <v>748</v>
      </c>
      <c r="I540" s="1">
        <v>2.5243055555555557E-2</v>
      </c>
      <c r="J540" s="254" t="s">
        <v>748</v>
      </c>
      <c r="K540" s="34">
        <v>42469</v>
      </c>
      <c r="L540" s="9">
        <v>248</v>
      </c>
      <c r="M540" s="8">
        <v>2.0509259259259258E-2</v>
      </c>
      <c r="N540" s="3">
        <v>1.0717592592592593E-2</v>
      </c>
      <c r="O540" s="3">
        <v>1.3472222222222221E-2</v>
      </c>
      <c r="W540" s="1">
        <f t="shared" si="71"/>
        <v>4.5863562578680322E-4</v>
      </c>
      <c r="X540" s="1">
        <f t="shared" si="72"/>
        <v>-4.5863562578680322E-4</v>
      </c>
      <c r="Y540" s="9">
        <v>76</v>
      </c>
      <c r="Z540">
        <f t="shared" si="0"/>
        <v>5776</v>
      </c>
      <c r="AB540" s="1">
        <f t="shared" si="59"/>
        <v>1.1342592592592585E-3</v>
      </c>
      <c r="AC540" s="1"/>
      <c r="AE540" s="1"/>
      <c r="AF540" s="1"/>
    </row>
    <row r="541" spans="1:32" x14ac:dyDescent="0.2">
      <c r="A541">
        <v>1236</v>
      </c>
      <c r="B541" s="27" t="s">
        <v>2397</v>
      </c>
      <c r="C541" s="74" t="s">
        <v>2395</v>
      </c>
      <c r="D541" s="24">
        <f>Runners!U1289</f>
        <v>2</v>
      </c>
      <c r="E541" s="183">
        <f>Runners!U1288</f>
        <v>2</v>
      </c>
      <c r="F541" s="6" t="s">
        <v>909</v>
      </c>
      <c r="G541" s="1">
        <v>2.0590277777777777E-2</v>
      </c>
      <c r="H541" s="80" t="s">
        <v>5894</v>
      </c>
      <c r="I541" s="1">
        <v>2.0590277777777777E-2</v>
      </c>
      <c r="J541" s="254" t="s">
        <v>4322</v>
      </c>
      <c r="K541" s="34">
        <v>42672</v>
      </c>
      <c r="L541" s="9">
        <v>297</v>
      </c>
      <c r="M541" s="8">
        <v>2.2615740740740742E-2</v>
      </c>
      <c r="N541" s="3">
        <v>1.0995370370370371E-2</v>
      </c>
      <c r="O541" s="3">
        <v>1.252314814814815E-2</v>
      </c>
      <c r="W541" s="1">
        <f t="shared" si="71"/>
        <v>1.8085784800902539E-4</v>
      </c>
      <c r="X541" s="1">
        <f t="shared" si="72"/>
        <v>-1.8085784800902539E-4</v>
      </c>
      <c r="Y541" s="9"/>
      <c r="AB541" s="1">
        <f t="shared" si="59"/>
        <v>1.4120370370370363E-3</v>
      </c>
      <c r="AC541" s="1"/>
      <c r="AE541" s="1"/>
      <c r="AF541" s="1"/>
    </row>
    <row r="542" spans="1:32" x14ac:dyDescent="0.2">
      <c r="A542">
        <v>1869</v>
      </c>
      <c r="B542" s="556" t="s">
        <v>9462</v>
      </c>
      <c r="C542" s="532" t="s">
        <v>9463</v>
      </c>
      <c r="D542" s="531">
        <f>Runners!L854</f>
        <v>1</v>
      </c>
      <c r="E542" s="541">
        <f>Runners!L853</f>
        <v>1</v>
      </c>
      <c r="F542" s="6"/>
      <c r="H542" s="197" t="s">
        <v>1062</v>
      </c>
      <c r="J542" s="254"/>
      <c r="K542" s="34">
        <v>43831</v>
      </c>
      <c r="W542" s="1"/>
      <c r="X542" s="1"/>
      <c r="Y542" s="9"/>
      <c r="AB542" s="1"/>
      <c r="AC542" s="1"/>
      <c r="AE542" s="1"/>
      <c r="AF542" s="1"/>
    </row>
    <row r="543" spans="1:32" x14ac:dyDescent="0.2">
      <c r="A543">
        <v>465</v>
      </c>
      <c r="B543" s="27" t="s">
        <v>5625</v>
      </c>
      <c r="C543" s="74" t="s">
        <v>5624</v>
      </c>
      <c r="D543" s="24">
        <f>Runners!AA815</f>
        <v>1</v>
      </c>
      <c r="E543" s="183">
        <f>Runners!AA814</f>
        <v>1</v>
      </c>
      <c r="F543" s="311" t="s">
        <v>3196</v>
      </c>
      <c r="G543" s="1">
        <v>1.4398148148148148E-2</v>
      </c>
      <c r="J543" s="254" t="s">
        <v>3196</v>
      </c>
      <c r="K543" s="34">
        <v>42147</v>
      </c>
      <c r="L543" s="9">
        <v>171</v>
      </c>
      <c r="M543" s="8">
        <v>2.2164351851851852E-2</v>
      </c>
      <c r="N543" s="3">
        <v>1.1064814814814814E-2</v>
      </c>
      <c r="O543" s="3">
        <v>1.2291666666666666E-2</v>
      </c>
      <c r="W543" s="1">
        <f>$N$700-N543</f>
        <v>1.1141340356458224E-4</v>
      </c>
      <c r="X543" s="1">
        <f>N543-$N$700</f>
        <v>-1.1141340356458224E-4</v>
      </c>
      <c r="Y543" s="9">
        <v>46</v>
      </c>
      <c r="Z543">
        <f t="shared" si="0"/>
        <v>2116</v>
      </c>
      <c r="AB543" s="1">
        <f t="shared" si="59"/>
        <v>1.4814814814814795E-3</v>
      </c>
      <c r="AC543" s="1"/>
      <c r="AE543" s="1"/>
      <c r="AF543" s="1"/>
    </row>
    <row r="544" spans="1:32" x14ac:dyDescent="0.2">
      <c r="A544">
        <v>1326</v>
      </c>
      <c r="B544" s="27" t="s">
        <v>2875</v>
      </c>
      <c r="C544" s="74" t="s">
        <v>1366</v>
      </c>
      <c r="D544" s="24">
        <f>Runners!U554</f>
        <v>2</v>
      </c>
      <c r="E544" s="183">
        <f>Runners!U553</f>
        <v>2</v>
      </c>
      <c r="F544" s="79" t="s">
        <v>1000</v>
      </c>
      <c r="G544" s="1">
        <v>1.9120370370370371E-2</v>
      </c>
      <c r="J544" s="334" t="s">
        <v>4778</v>
      </c>
      <c r="K544" s="34">
        <v>42434</v>
      </c>
      <c r="L544" s="9">
        <v>236</v>
      </c>
      <c r="M544" s="8">
        <v>2.1041666666666667E-2</v>
      </c>
      <c r="N544" s="3">
        <v>1.0752314814814814E-2</v>
      </c>
      <c r="O544" s="3">
        <v>1.3263888888888889E-2</v>
      </c>
      <c r="W544" s="1">
        <f>$N$700-N544</f>
        <v>4.2391340356458251E-4</v>
      </c>
      <c r="X544" s="1">
        <f>N544-$N$700</f>
        <v>-4.2391340356458251E-4</v>
      </c>
      <c r="Y544" s="9">
        <v>22</v>
      </c>
      <c r="Z544">
        <f t="shared" si="0"/>
        <v>484</v>
      </c>
      <c r="AB544" s="1">
        <f t="shared" si="59"/>
        <v>1.1689814814814792E-3</v>
      </c>
      <c r="AC544" s="1"/>
      <c r="AE544" s="1"/>
      <c r="AF544" s="1"/>
    </row>
    <row r="545" spans="1:32" x14ac:dyDescent="0.2">
      <c r="A545">
        <v>377</v>
      </c>
      <c r="B545" s="27" t="s">
        <v>5117</v>
      </c>
      <c r="C545" s="74" t="s">
        <v>451</v>
      </c>
      <c r="D545" s="24">
        <f>Runners!T630</f>
        <v>14</v>
      </c>
      <c r="E545" s="183">
        <f>Runners!T629</f>
        <v>59</v>
      </c>
      <c r="F545" s="311" t="s">
        <v>334</v>
      </c>
      <c r="G545" s="1">
        <v>1.2233796296296296E-2</v>
      </c>
      <c r="H545" s="197" t="s">
        <v>5241</v>
      </c>
      <c r="I545" s="254">
        <v>1.9421296296296294E-2</v>
      </c>
      <c r="J545" s="1" t="s">
        <v>1000</v>
      </c>
      <c r="K545" s="34">
        <v>41209</v>
      </c>
      <c r="L545" s="9">
        <v>40</v>
      </c>
      <c r="M545" s="8">
        <v>2.0983796296296296E-2</v>
      </c>
      <c r="N545" s="3">
        <v>1.0775462962962964E-2</v>
      </c>
      <c r="O545" s="3">
        <v>1.238425925925926E-2</v>
      </c>
      <c r="P545" s="3"/>
      <c r="Q545" s="53"/>
      <c r="R545" s="53"/>
      <c r="U545" s="53"/>
      <c r="W545" s="1">
        <f>$N$700-N545</f>
        <v>4.007652554164319E-4</v>
      </c>
      <c r="X545" s="1">
        <f>N545-$N$700</f>
        <v>-4.007652554164319E-4</v>
      </c>
      <c r="Y545" s="9">
        <v>9</v>
      </c>
      <c r="Z545">
        <f t="shared" si="0"/>
        <v>81</v>
      </c>
      <c r="AB545" s="1">
        <f t="shared" si="59"/>
        <v>1.1921296296296298E-3</v>
      </c>
      <c r="AC545" s="1"/>
      <c r="AE545" s="1"/>
      <c r="AF545" s="1"/>
    </row>
    <row r="546" spans="1:32" x14ac:dyDescent="0.2">
      <c r="B546" s="1722" t="s">
        <v>16657</v>
      </c>
      <c r="C546" s="415" t="s">
        <v>16656</v>
      </c>
      <c r="D546" s="531">
        <f>Runners!U1304</f>
        <v>1</v>
      </c>
      <c r="E546" s="541">
        <f>Runners!U1303</f>
        <v>1</v>
      </c>
      <c r="F546" s="79" t="s">
        <v>1000</v>
      </c>
      <c r="G546" s="1">
        <v>2.0034722222222221E-2</v>
      </c>
      <c r="H546" s="197"/>
      <c r="I546" s="254"/>
      <c r="J546" s="334" t="s">
        <v>1000</v>
      </c>
      <c r="K546" s="34">
        <v>43841</v>
      </c>
      <c r="M546" s="8">
        <v>2.8020833333333332E-2</v>
      </c>
      <c r="N546" s="3">
        <v>1.0798611111111111E-2</v>
      </c>
      <c r="O546" s="3">
        <v>1.252314814814815E-2</v>
      </c>
      <c r="P546" s="3"/>
      <c r="Q546" s="53"/>
      <c r="R546" s="53"/>
      <c r="U546" s="53"/>
      <c r="W546" s="1">
        <f>$N$700-N546</f>
        <v>3.7761710726828476E-4</v>
      </c>
      <c r="X546" s="1">
        <f>N546-$N$700</f>
        <v>-3.7761710726828476E-4</v>
      </c>
      <c r="Y546" s="9"/>
      <c r="AB546" s="1">
        <f t="shared" si="59"/>
        <v>1.2152777777777769E-3</v>
      </c>
      <c r="AC546" s="1"/>
      <c r="AE546" s="1"/>
      <c r="AF546" s="1"/>
    </row>
    <row r="547" spans="1:32" x14ac:dyDescent="0.2">
      <c r="A547">
        <v>2130</v>
      </c>
      <c r="B547" s="27" t="s">
        <v>12316</v>
      </c>
      <c r="C547" s="415" t="s">
        <v>12305</v>
      </c>
      <c r="D547" s="24">
        <f>Runners!O1200</f>
        <v>1</v>
      </c>
      <c r="E547" s="183">
        <f>Runners!O1199</f>
        <v>1</v>
      </c>
      <c r="F547" s="79" t="s">
        <v>1000</v>
      </c>
      <c r="H547" s="206"/>
      <c r="I547" s="254"/>
      <c r="J547" s="1" t="s">
        <v>1000</v>
      </c>
      <c r="K547" s="34">
        <v>43561</v>
      </c>
      <c r="L547" s="1398">
        <v>485</v>
      </c>
      <c r="P547" s="3"/>
      <c r="Q547" s="53"/>
      <c r="R547" s="53"/>
      <c r="U547" s="53"/>
      <c r="W547" s="1"/>
      <c r="X547" s="1"/>
      <c r="Y547" s="9"/>
      <c r="AB547" s="1"/>
      <c r="AC547" s="1"/>
      <c r="AE547" s="1"/>
      <c r="AF547" s="1"/>
    </row>
    <row r="548" spans="1:32" x14ac:dyDescent="0.2">
      <c r="A548">
        <v>683</v>
      </c>
      <c r="B548" s="27" t="s">
        <v>1555</v>
      </c>
      <c r="C548" s="74" t="s">
        <v>1554</v>
      </c>
      <c r="D548" s="24">
        <f>Runners!W579</f>
        <v>3</v>
      </c>
      <c r="E548" s="183">
        <f>Runners!W578</f>
        <v>3</v>
      </c>
      <c r="F548" s="79" t="s">
        <v>1000</v>
      </c>
      <c r="G548" s="1">
        <v>1.9618055555555555E-2</v>
      </c>
      <c r="H548" s="581" t="s">
        <v>9797</v>
      </c>
      <c r="I548" s="840">
        <v>1.4259259259259261E-2</v>
      </c>
      <c r="J548" s="1" t="s">
        <v>1000</v>
      </c>
      <c r="K548" s="34">
        <v>42308</v>
      </c>
      <c r="L548" s="9">
        <v>204</v>
      </c>
      <c r="M548" s="8">
        <v>2.0069444444444442E-2</v>
      </c>
      <c r="N548" s="3">
        <v>1.0613425925925927E-2</v>
      </c>
      <c r="O548" s="3">
        <v>1.1550925925925925E-2</v>
      </c>
      <c r="P548" s="3"/>
      <c r="Q548" s="53"/>
      <c r="R548" s="53"/>
      <c r="U548" s="53"/>
      <c r="W548" s="1">
        <f>$N$700-N548</f>
        <v>5.6280229245346883E-4</v>
      </c>
      <c r="X548" s="1">
        <f>N548-$N$700</f>
        <v>-5.6280229245346883E-4</v>
      </c>
      <c r="Y548" s="9">
        <v>31</v>
      </c>
      <c r="Z548">
        <f t="shared" si="0"/>
        <v>961</v>
      </c>
      <c r="AB548" s="1">
        <f t="shared" si="59"/>
        <v>1.0300925925925929E-3</v>
      </c>
      <c r="AC548" s="1"/>
      <c r="AE548" s="1"/>
      <c r="AF548" s="1"/>
    </row>
    <row r="549" spans="1:32" x14ac:dyDescent="0.2">
      <c r="A549">
        <v>1395</v>
      </c>
      <c r="B549" s="27" t="s">
        <v>5946</v>
      </c>
      <c r="C549" s="74" t="s">
        <v>5267</v>
      </c>
      <c r="D549" s="24">
        <f>Runners!V148</f>
        <v>10</v>
      </c>
      <c r="E549" s="183">
        <f>Runners!V147</f>
        <v>16</v>
      </c>
      <c r="F549" s="79" t="s">
        <v>3790</v>
      </c>
      <c r="G549" s="1">
        <v>1.7106481481481483E-2</v>
      </c>
      <c r="H549" s="319" t="s">
        <v>2670</v>
      </c>
      <c r="I549" s="1">
        <v>1.4166666666666666E-2</v>
      </c>
      <c r="J549" s="254" t="s">
        <v>4596</v>
      </c>
      <c r="K549" s="34">
        <v>42399</v>
      </c>
      <c r="L549" s="9">
        <v>225</v>
      </c>
      <c r="M549" s="8">
        <v>1.8379629629629628E-2</v>
      </c>
      <c r="N549" s="3">
        <v>1.0891203703703703E-2</v>
      </c>
      <c r="O549" s="3">
        <v>1.2881944444444446E-2</v>
      </c>
      <c r="P549" s="32" t="s">
        <v>2728</v>
      </c>
      <c r="Q549" s="53"/>
      <c r="R549" s="53"/>
      <c r="U549" s="53"/>
      <c r="W549" s="1">
        <f>$N$700-N549</f>
        <v>2.8502451467569273E-4</v>
      </c>
      <c r="X549" s="1">
        <f>N549-$N$700</f>
        <v>-2.8502451467569273E-4</v>
      </c>
      <c r="Y549" s="9">
        <v>30</v>
      </c>
      <c r="Z549">
        <f t="shared" si="0"/>
        <v>900</v>
      </c>
      <c r="AB549" s="1">
        <f t="shared" si="59"/>
        <v>1.307870370370369E-3</v>
      </c>
      <c r="AC549" s="1"/>
      <c r="AE549" s="1"/>
      <c r="AF549" s="1"/>
    </row>
    <row r="550" spans="1:32" x14ac:dyDescent="0.2">
      <c r="A550">
        <v>102</v>
      </c>
      <c r="B550" s="493" t="s">
        <v>15263</v>
      </c>
      <c r="C550" s="415" t="s">
        <v>15264</v>
      </c>
      <c r="D550" s="24">
        <f>Runners!U787</f>
        <v>1</v>
      </c>
      <c r="E550" s="183">
        <f>Runners!U786</f>
        <v>1</v>
      </c>
      <c r="F550" s="79"/>
      <c r="H550" s="870" t="s">
        <v>15266</v>
      </c>
      <c r="J550" s="1602" t="s">
        <v>15265</v>
      </c>
      <c r="K550" s="523">
        <v>43121</v>
      </c>
      <c r="P550" s="32"/>
      <c r="Q550" s="53"/>
      <c r="R550" s="53"/>
      <c r="U550" s="53"/>
      <c r="W550" s="1"/>
      <c r="X550" s="1"/>
      <c r="Y550" s="9"/>
      <c r="AB550" s="1"/>
      <c r="AC550" s="1"/>
      <c r="AE550" s="1"/>
      <c r="AF550" s="1"/>
    </row>
    <row r="551" spans="1:32" x14ac:dyDescent="0.2">
      <c r="A551">
        <v>1453</v>
      </c>
      <c r="B551" s="27" t="s">
        <v>784</v>
      </c>
      <c r="C551" s="74" t="s">
        <v>2376</v>
      </c>
      <c r="D551" s="24">
        <f>Runners!W1225</f>
        <v>3</v>
      </c>
      <c r="E551" s="183">
        <f>Runners!W1224</f>
        <v>3</v>
      </c>
      <c r="F551" s="311" t="s">
        <v>3790</v>
      </c>
      <c r="G551" s="1">
        <v>1.6527777777777777E-2</v>
      </c>
      <c r="H551" s="206" t="s">
        <v>4596</v>
      </c>
      <c r="I551" s="1">
        <v>2.2627314814814819E-2</v>
      </c>
      <c r="J551" s="334" t="s">
        <v>1000</v>
      </c>
      <c r="K551" s="34">
        <v>42504</v>
      </c>
      <c r="L551" s="9">
        <v>255</v>
      </c>
      <c r="M551" s="8">
        <v>2.013888888888889E-2</v>
      </c>
      <c r="N551" s="3">
        <v>1.2118055555555556E-2</v>
      </c>
      <c r="O551" s="3">
        <v>1.4664351851851852E-2</v>
      </c>
      <c r="P551" s="32"/>
      <c r="Q551" s="53"/>
      <c r="R551" s="53"/>
      <c r="U551" s="53"/>
      <c r="W551" s="1">
        <f t="shared" ref="W551:W564" si="73">$N$700-N551</f>
        <v>-9.418273371761595E-4</v>
      </c>
      <c r="X551" s="1">
        <f t="shared" ref="X551:X564" si="74">N551-$N$700</f>
        <v>9.418273371761595E-4</v>
      </c>
      <c r="Y551" s="9"/>
      <c r="AB551" s="1">
        <f t="shared" si="59"/>
        <v>2.5347222222222212E-3</v>
      </c>
      <c r="AC551" s="1"/>
      <c r="AE551" s="1"/>
      <c r="AF551" s="1"/>
    </row>
    <row r="552" spans="1:32" x14ac:dyDescent="0.2">
      <c r="A552">
        <v>447</v>
      </c>
      <c r="B552" s="27" t="s">
        <v>297</v>
      </c>
      <c r="C552" s="74" t="s">
        <v>4739</v>
      </c>
      <c r="D552" s="24">
        <f>Runners!N1315</f>
        <v>1</v>
      </c>
      <c r="E552" s="183">
        <f>Runners!N1312</f>
        <v>2</v>
      </c>
      <c r="F552" s="79"/>
      <c r="H552" s="206" t="s">
        <v>888</v>
      </c>
      <c r="I552" s="1">
        <v>2.0023148148148148E-2</v>
      </c>
      <c r="J552" s="254" t="s">
        <v>888</v>
      </c>
      <c r="K552" s="34">
        <v>42357</v>
      </c>
      <c r="L552" s="9">
        <v>217</v>
      </c>
      <c r="M552" s="8">
        <v>1.9409722222222221E-2</v>
      </c>
      <c r="N552" s="3">
        <v>1.050925925925926E-2</v>
      </c>
      <c r="O552" s="3">
        <v>1.1828703703703704E-2</v>
      </c>
      <c r="P552" s="32" t="s">
        <v>2907</v>
      </c>
      <c r="Q552" s="53"/>
      <c r="R552" s="53"/>
      <c r="U552" s="53"/>
      <c r="W552" s="1">
        <f t="shared" si="73"/>
        <v>6.6696895912013617E-4</v>
      </c>
      <c r="X552" s="1">
        <f t="shared" si="74"/>
        <v>-6.6696895912013617E-4</v>
      </c>
      <c r="Y552" s="9">
        <v>40</v>
      </c>
      <c r="Z552">
        <f t="shared" si="0"/>
        <v>1600</v>
      </c>
      <c r="AB552" s="1">
        <f t="shared" si="59"/>
        <v>9.2592592592592553E-4</v>
      </c>
      <c r="AC552" s="1"/>
      <c r="AE552" s="1"/>
      <c r="AF552" s="1"/>
    </row>
    <row r="553" spans="1:32" x14ac:dyDescent="0.2">
      <c r="A553">
        <v>1734</v>
      </c>
      <c r="B553" s="493" t="s">
        <v>9617</v>
      </c>
      <c r="C553" s="415" t="s">
        <v>9630</v>
      </c>
      <c r="D553" s="24">
        <f>Runners!J1200</f>
        <v>2</v>
      </c>
      <c r="E553" s="183">
        <f>Runners!J1199</f>
        <v>3</v>
      </c>
      <c r="F553" s="79" t="s">
        <v>1000</v>
      </c>
      <c r="G553" s="1">
        <v>2.1736111111111112E-2</v>
      </c>
      <c r="H553" s="1375" t="s">
        <v>748</v>
      </c>
      <c r="I553" s="1412">
        <v>2.5752314814814815E-2</v>
      </c>
      <c r="J553" s="334" t="s">
        <v>1000</v>
      </c>
      <c r="K553" s="34">
        <v>43211</v>
      </c>
      <c r="L553" s="1398">
        <v>403</v>
      </c>
      <c r="M553" s="8">
        <v>1.9108796296296294E-2</v>
      </c>
      <c r="N553" s="3">
        <v>1.1782407407407406E-2</v>
      </c>
      <c r="O553" s="3">
        <v>1.3564814814814816E-2</v>
      </c>
      <c r="P553" s="32"/>
      <c r="Q553" s="53"/>
      <c r="R553" s="53"/>
      <c r="U553" s="53"/>
      <c r="W553" s="1">
        <f t="shared" si="73"/>
        <v>-6.0617918902801035E-4</v>
      </c>
      <c r="X553" s="1">
        <f t="shared" si="74"/>
        <v>6.0617918902801035E-4</v>
      </c>
      <c r="Y553" s="9"/>
      <c r="AB553" s="1">
        <f t="shared" si="59"/>
        <v>2.199074074074072E-3</v>
      </c>
      <c r="AC553" s="1"/>
      <c r="AE553" s="1"/>
      <c r="AF553" s="1"/>
    </row>
    <row r="554" spans="1:32" x14ac:dyDescent="0.2">
      <c r="A554">
        <v>83</v>
      </c>
      <c r="B554" s="493" t="s">
        <v>7897</v>
      </c>
      <c r="C554" s="415" t="s">
        <v>5759</v>
      </c>
      <c r="D554" s="24">
        <f>Runners!M787</f>
        <v>1</v>
      </c>
      <c r="E554" s="183">
        <f>Runners!M786</f>
        <v>1</v>
      </c>
      <c r="F554" s="79"/>
      <c r="H554" s="197" t="s">
        <v>1062</v>
      </c>
      <c r="I554" s="1">
        <v>2.6342592592592588E-2</v>
      </c>
      <c r="J554" s="265" t="s">
        <v>1062</v>
      </c>
      <c r="K554" s="34">
        <v>42868</v>
      </c>
      <c r="L554" s="1398">
        <v>335</v>
      </c>
      <c r="M554" s="8">
        <v>2.2048611111111113E-2</v>
      </c>
      <c r="N554" s="3">
        <v>1.1712962962962965E-2</v>
      </c>
      <c r="O554" s="3">
        <v>1.2858796296296297E-2</v>
      </c>
      <c r="P554" s="32"/>
      <c r="Q554" s="53"/>
      <c r="R554" s="53"/>
      <c r="U554" s="53"/>
      <c r="W554" s="1">
        <f t="shared" si="73"/>
        <v>-5.3673474458356893E-4</v>
      </c>
      <c r="X554" s="1">
        <f t="shared" si="74"/>
        <v>5.3673474458356893E-4</v>
      </c>
      <c r="Y554" s="9"/>
      <c r="AB554" s="1">
        <f t="shared" si="59"/>
        <v>2.1296296296296306E-3</v>
      </c>
      <c r="AC554" s="1"/>
      <c r="AE554" s="1"/>
      <c r="AF554" s="1"/>
    </row>
    <row r="555" spans="1:32" x14ac:dyDescent="0.2">
      <c r="A555">
        <v>1048</v>
      </c>
      <c r="B555" s="552" t="s">
        <v>1323</v>
      </c>
      <c r="C555" s="511" t="s">
        <v>1324</v>
      </c>
      <c r="D555" s="24">
        <f>Runners!Y539</f>
        <v>10</v>
      </c>
      <c r="E555" s="183">
        <f>Runners!Y538</f>
        <v>27</v>
      </c>
      <c r="F555" s="6" t="s">
        <v>5096</v>
      </c>
      <c r="G555" s="1">
        <v>1.511574074074074E-2</v>
      </c>
      <c r="H555" s="206" t="s">
        <v>2670</v>
      </c>
      <c r="I555" s="1">
        <v>1.5868055555555555E-2</v>
      </c>
      <c r="J555" s="254" t="s">
        <v>2670</v>
      </c>
      <c r="K555" s="34">
        <v>41944</v>
      </c>
      <c r="L555" s="1398">
        <v>137</v>
      </c>
      <c r="M555" s="8">
        <v>2.0821759259259259E-2</v>
      </c>
      <c r="N555" s="3">
        <v>1.1539351851851851E-2</v>
      </c>
      <c r="O555" s="3">
        <v>1.3599537037037037E-2</v>
      </c>
      <c r="P555" s="3"/>
      <c r="Q555" s="53"/>
      <c r="R555" s="53"/>
      <c r="U555" s="53"/>
      <c r="W555" s="1">
        <f t="shared" si="73"/>
        <v>-3.6312363347245497E-4</v>
      </c>
      <c r="X555" s="1">
        <f t="shared" si="74"/>
        <v>3.6312363347245497E-4</v>
      </c>
      <c r="Y555" s="99">
        <v>110</v>
      </c>
      <c r="Z555">
        <f t="shared" si="0"/>
        <v>12100</v>
      </c>
      <c r="AB555" s="1">
        <f t="shared" si="59"/>
        <v>1.9560185185185167E-3</v>
      </c>
      <c r="AC555" s="1"/>
      <c r="AE555" s="1"/>
      <c r="AF555" s="1"/>
    </row>
    <row r="556" spans="1:32" x14ac:dyDescent="0.2">
      <c r="A556">
        <v>329</v>
      </c>
      <c r="B556" s="552" t="s">
        <v>10877</v>
      </c>
      <c r="C556" s="532" t="s">
        <v>10878</v>
      </c>
      <c r="D556" s="531">
        <f>Runners!R1138</f>
        <v>1</v>
      </c>
      <c r="E556" s="541">
        <f>Runners!R1137</f>
        <v>1</v>
      </c>
      <c r="F556" s="79" t="s">
        <v>1000</v>
      </c>
      <c r="G556" s="1">
        <v>2.1053240740740744E-2</v>
      </c>
      <c r="H556" s="206"/>
      <c r="J556" s="265" t="s">
        <v>1000</v>
      </c>
      <c r="K556" s="34">
        <v>43400</v>
      </c>
      <c r="L556" s="1398">
        <v>449</v>
      </c>
      <c r="M556" s="8">
        <v>1.9953703703703706E-2</v>
      </c>
      <c r="N556" s="3">
        <v>1.0891203703703703E-2</v>
      </c>
      <c r="O556" s="3">
        <v>1.2499999999999999E-2</v>
      </c>
      <c r="P556" s="3"/>
      <c r="Q556" s="53"/>
      <c r="R556" s="53"/>
      <c r="U556" s="53"/>
      <c r="W556" s="1">
        <f t="shared" si="73"/>
        <v>2.8502451467569273E-4</v>
      </c>
      <c r="X556" s="1">
        <f t="shared" si="74"/>
        <v>-2.8502451467569273E-4</v>
      </c>
      <c r="Y556" s="99"/>
      <c r="AB556" s="1">
        <f t="shared" si="59"/>
        <v>1.307870370370369E-3</v>
      </c>
      <c r="AC556" s="1"/>
      <c r="AE556" s="1"/>
      <c r="AF556" s="1"/>
    </row>
    <row r="557" spans="1:32" x14ac:dyDescent="0.2">
      <c r="A557">
        <v>1009</v>
      </c>
      <c r="B557" s="556" t="s">
        <v>9902</v>
      </c>
      <c r="C557" s="532" t="s">
        <v>9904</v>
      </c>
      <c r="D557" s="24">
        <f>Runners!Q1410</f>
        <v>1</v>
      </c>
      <c r="E557" s="183">
        <f>Runners!Q1409</f>
        <v>1</v>
      </c>
      <c r="F557" s="79" t="s">
        <v>1270</v>
      </c>
      <c r="G557" s="1125">
        <v>4.4421296296296292E-2</v>
      </c>
      <c r="H557" s="206"/>
      <c r="J557" s="334" t="s">
        <v>1270</v>
      </c>
      <c r="K557" s="34">
        <v>43260</v>
      </c>
      <c r="L557" s="1398">
        <v>413</v>
      </c>
      <c r="M557" s="8">
        <v>2.6585648148148146E-2</v>
      </c>
      <c r="N557" s="3">
        <v>1.1307870370370371E-2</v>
      </c>
      <c r="O557" s="3">
        <v>1.2499999999999999E-2</v>
      </c>
      <c r="P557" s="3"/>
      <c r="Q557" s="53"/>
      <c r="R557" s="53"/>
      <c r="U557" s="53"/>
      <c r="W557" s="1">
        <f t="shared" si="73"/>
        <v>-1.3164215199097488E-4</v>
      </c>
      <c r="X557" s="1">
        <f t="shared" si="74"/>
        <v>1.3164215199097488E-4</v>
      </c>
      <c r="Y557" s="99"/>
      <c r="AB557" s="1">
        <f t="shared" si="59"/>
        <v>1.7245370370370366E-3</v>
      </c>
      <c r="AC557" s="1"/>
      <c r="AE557" s="1"/>
      <c r="AF557" s="1"/>
    </row>
    <row r="558" spans="1:32" x14ac:dyDescent="0.2">
      <c r="A558">
        <v>440</v>
      </c>
      <c r="B558" s="27" t="s">
        <v>3492</v>
      </c>
      <c r="C558" s="15" t="s">
        <v>5991</v>
      </c>
      <c r="D558" s="24">
        <f>Runners!M374</f>
        <v>38</v>
      </c>
      <c r="E558" s="183">
        <f>Runners!M373</f>
        <v>199</v>
      </c>
      <c r="F558" s="6" t="s">
        <v>5881</v>
      </c>
      <c r="G558" s="1">
        <v>1.3182870370370371E-2</v>
      </c>
      <c r="H558" t="s">
        <v>9806</v>
      </c>
      <c r="I558" s="1">
        <v>1.4293981481481482E-2</v>
      </c>
      <c r="J558" s="1" t="s">
        <v>1213</v>
      </c>
      <c r="K558" s="34">
        <v>41237</v>
      </c>
      <c r="L558" s="1398">
        <v>45</v>
      </c>
      <c r="M558" s="8">
        <v>2.0011574074074074E-2</v>
      </c>
      <c r="N558" s="3">
        <v>1.074074074074074E-2</v>
      </c>
      <c r="O558" s="3">
        <v>1.2604166666666666E-2</v>
      </c>
      <c r="W558" s="1">
        <f t="shared" si="73"/>
        <v>4.3548747763865608E-4</v>
      </c>
      <c r="X558" s="1">
        <f t="shared" si="74"/>
        <v>-4.3548747763865608E-4</v>
      </c>
      <c r="Y558" s="9">
        <v>20</v>
      </c>
      <c r="Z558">
        <f t="shared" si="0"/>
        <v>400</v>
      </c>
      <c r="AB558" s="1">
        <f t="shared" si="59"/>
        <v>1.1574074074074056E-3</v>
      </c>
      <c r="AC558" s="1"/>
      <c r="AE558" s="1"/>
      <c r="AF558" s="1"/>
    </row>
    <row r="559" spans="1:32" ht="13.5" customHeight="1" x14ac:dyDescent="0.2">
      <c r="A559">
        <v>263</v>
      </c>
      <c r="B559" s="493" t="s">
        <v>10251</v>
      </c>
      <c r="C559" s="415" t="s">
        <v>8254</v>
      </c>
      <c r="D559" s="24">
        <f>Runners!S745</f>
        <v>5</v>
      </c>
      <c r="E559" s="183">
        <f>Runners!S744</f>
        <v>6</v>
      </c>
      <c r="F559" s="79" t="s">
        <v>12695</v>
      </c>
      <c r="G559" s="334">
        <v>1.4016203703703704E-2</v>
      </c>
      <c r="H559" s="197" t="s">
        <v>5894</v>
      </c>
      <c r="I559" s="1">
        <v>2.298611111111111E-2</v>
      </c>
      <c r="J559" s="334" t="s">
        <v>5061</v>
      </c>
      <c r="K559" s="34">
        <v>43295</v>
      </c>
      <c r="L559" s="1398">
        <v>422</v>
      </c>
      <c r="M559" s="8">
        <v>2.0347222222222221E-2</v>
      </c>
      <c r="N559" s="3">
        <v>1.1331018518518518E-2</v>
      </c>
      <c r="O559" s="3">
        <v>1.3379629629629628E-2</v>
      </c>
      <c r="W559" s="1">
        <f t="shared" si="73"/>
        <v>-1.5479030013912203E-4</v>
      </c>
      <c r="X559" s="1">
        <f t="shared" si="74"/>
        <v>1.5479030013912203E-4</v>
      </c>
      <c r="Y559" s="9"/>
      <c r="AB559" s="1">
        <f t="shared" si="59"/>
        <v>1.7476851851851837E-3</v>
      </c>
      <c r="AC559" s="1"/>
      <c r="AE559" s="1"/>
      <c r="AF559" s="1"/>
    </row>
    <row r="560" spans="1:32" ht="13.5" customHeight="1" x14ac:dyDescent="0.2">
      <c r="A560">
        <v>183</v>
      </c>
      <c r="B560" s="27" t="s">
        <v>3602</v>
      </c>
      <c r="C560" s="15" t="s">
        <v>5146</v>
      </c>
      <c r="D560" s="24">
        <f>Runners!V500</f>
        <v>5</v>
      </c>
      <c r="E560" s="183">
        <f>Runners!V499</f>
        <v>5</v>
      </c>
      <c r="F560" s="79" t="s">
        <v>5096</v>
      </c>
      <c r="G560" s="1">
        <v>1.4872685185185185E-2</v>
      </c>
      <c r="J560" s="32" t="s">
        <v>1000</v>
      </c>
      <c r="K560" s="34">
        <v>41265</v>
      </c>
      <c r="L560" s="9">
        <v>48</v>
      </c>
      <c r="M560" s="8">
        <v>2.1053240740740744E-2</v>
      </c>
      <c r="N560" s="3">
        <v>1.0555555555555554E-2</v>
      </c>
      <c r="O560" s="3">
        <v>1.1805555555555555E-2</v>
      </c>
      <c r="W560" s="1">
        <f t="shared" si="73"/>
        <v>6.2067266282384188E-4</v>
      </c>
      <c r="X560" s="1">
        <f t="shared" si="74"/>
        <v>-6.2067266282384188E-4</v>
      </c>
      <c r="Y560" s="9">
        <v>36</v>
      </c>
      <c r="Z560">
        <f t="shared" si="0"/>
        <v>1296</v>
      </c>
      <c r="AB560" s="1">
        <f t="shared" si="59"/>
        <v>9.7222222222221981E-4</v>
      </c>
      <c r="AC560" s="1"/>
      <c r="AE560" s="1"/>
      <c r="AF560" s="1"/>
    </row>
    <row r="561" spans="1:32" ht="13.5" customHeight="1" x14ac:dyDescent="0.2">
      <c r="A561">
        <v>962</v>
      </c>
      <c r="B561" s="27" t="s">
        <v>688</v>
      </c>
      <c r="C561" s="74" t="s">
        <v>5549</v>
      </c>
      <c r="D561" s="24">
        <f>Runners!M1087</f>
        <v>2</v>
      </c>
      <c r="E561" s="183">
        <f>Runners!M1086</f>
        <v>15</v>
      </c>
      <c r="F561" s="6"/>
      <c r="H561" s="206" t="s">
        <v>2752</v>
      </c>
      <c r="I561" s="254">
        <v>1.8831018518518518E-2</v>
      </c>
      <c r="J561" s="254" t="s">
        <v>2752</v>
      </c>
      <c r="K561" s="34">
        <v>42343</v>
      </c>
      <c r="L561" s="9">
        <v>211</v>
      </c>
      <c r="M561" s="8">
        <v>2.0254629629629629E-2</v>
      </c>
      <c r="N561" s="3">
        <v>1.1157407407407408E-2</v>
      </c>
      <c r="O561" s="3">
        <v>1.4525462962962964E-2</v>
      </c>
      <c r="W561" s="1">
        <f t="shared" si="73"/>
        <v>1.8820810971988469E-5</v>
      </c>
      <c r="X561" s="1">
        <f t="shared" si="74"/>
        <v>-1.8820810971988469E-5</v>
      </c>
      <c r="Y561" s="9">
        <v>16</v>
      </c>
      <c r="Z561">
        <f t="shared" si="0"/>
        <v>256</v>
      </c>
      <c r="AB561" s="1">
        <f t="shared" si="59"/>
        <v>1.5740740740740732E-3</v>
      </c>
      <c r="AC561" s="1"/>
      <c r="AE561" s="1"/>
      <c r="AF561" s="1"/>
    </row>
    <row r="562" spans="1:32" ht="13.5" customHeight="1" x14ac:dyDescent="0.2">
      <c r="A562">
        <v>802</v>
      </c>
      <c r="B562" s="27" t="s">
        <v>4735</v>
      </c>
      <c r="C562" s="74" t="s">
        <v>4734</v>
      </c>
      <c r="D562" s="24">
        <f>Runners!K1315</f>
        <v>1</v>
      </c>
      <c r="E562" s="183">
        <f>Runners!K1314</f>
        <v>1</v>
      </c>
      <c r="F562" s="6"/>
      <c r="H562" s="206" t="s">
        <v>888</v>
      </c>
      <c r="I562" s="254">
        <v>2.0486111111111111E-2</v>
      </c>
      <c r="J562" s="254" t="s">
        <v>888</v>
      </c>
      <c r="K562" s="34">
        <v>42350</v>
      </c>
      <c r="L562" s="1398">
        <v>215</v>
      </c>
      <c r="M562" s="8">
        <v>2.2569444444444444E-2</v>
      </c>
      <c r="N562" s="3">
        <v>1.0590277777777777E-2</v>
      </c>
      <c r="O562" s="3">
        <v>1.3402777777777777E-2</v>
      </c>
      <c r="W562" s="1">
        <f t="shared" si="73"/>
        <v>5.8595044060161944E-4</v>
      </c>
      <c r="X562" s="1">
        <f t="shared" si="74"/>
        <v>-5.8595044060161944E-4</v>
      </c>
      <c r="Y562" s="9">
        <v>33</v>
      </c>
      <c r="Z562">
        <f t="shared" si="0"/>
        <v>1089</v>
      </c>
      <c r="AB562" s="1">
        <f t="shared" si="59"/>
        <v>1.0069444444444423E-3</v>
      </c>
      <c r="AC562" s="1"/>
      <c r="AE562" s="1"/>
      <c r="AF562" s="1"/>
    </row>
    <row r="563" spans="1:32" ht="13.5" customHeight="1" x14ac:dyDescent="0.2">
      <c r="A563">
        <v>1868</v>
      </c>
      <c r="B563" s="552" t="s">
        <v>9356</v>
      </c>
      <c r="C563" s="532" t="s">
        <v>9355</v>
      </c>
      <c r="D563" s="531">
        <f>Runners!W500</f>
        <v>10</v>
      </c>
      <c r="E563" s="1398">
        <f>Runners!W499</f>
        <v>11</v>
      </c>
      <c r="F563" s="1413" t="s">
        <v>12695</v>
      </c>
      <c r="G563" s="1414">
        <v>1.3611111111111114E-2</v>
      </c>
      <c r="H563" s="1375" t="s">
        <v>9806</v>
      </c>
      <c r="I563" s="1760">
        <v>1.4166666666666666E-2</v>
      </c>
      <c r="J563" s="1432" t="s">
        <v>9513</v>
      </c>
      <c r="K563" s="34">
        <v>43190</v>
      </c>
      <c r="L563" s="1398">
        <v>399</v>
      </c>
      <c r="M563" s="8">
        <v>1.8391203703703705E-2</v>
      </c>
      <c r="N563" s="3">
        <v>1.0219907407407408E-2</v>
      </c>
      <c r="O563" s="3">
        <v>1.275462962962963E-2</v>
      </c>
      <c r="W563" s="1">
        <f t="shared" si="73"/>
        <v>9.5632081097198757E-4</v>
      </c>
      <c r="X563" s="1">
        <f t="shared" si="74"/>
        <v>-9.5632081097198757E-4</v>
      </c>
      <c r="Y563" s="9"/>
      <c r="AB563" s="1">
        <f t="shared" si="59"/>
        <v>6.3657407407407413E-4</v>
      </c>
      <c r="AC563" s="1"/>
      <c r="AE563" s="1"/>
      <c r="AF563" s="1"/>
    </row>
    <row r="564" spans="1:32" ht="13.5" customHeight="1" x14ac:dyDescent="0.2">
      <c r="A564">
        <v>2010</v>
      </c>
      <c r="B564" s="556" t="s">
        <v>10670</v>
      </c>
      <c r="C564" s="532" t="s">
        <v>10666</v>
      </c>
      <c r="D564" s="531">
        <f>Runners!O1378</f>
        <v>1</v>
      </c>
      <c r="E564" s="541">
        <f>Runners!O1377</f>
        <v>1</v>
      </c>
      <c r="F564" s="534" t="s">
        <v>756</v>
      </c>
      <c r="G564" s="512">
        <v>1.8599537037037036E-2</v>
      </c>
      <c r="H564" s="319"/>
      <c r="I564" s="254"/>
      <c r="J564" s="334" t="s">
        <v>756</v>
      </c>
      <c r="K564" s="34">
        <v>43365</v>
      </c>
      <c r="L564" s="1398">
        <v>441</v>
      </c>
      <c r="M564" s="8">
        <v>2.2546296296296297E-2</v>
      </c>
      <c r="N564" s="3">
        <v>1.2013888888888888E-2</v>
      </c>
      <c r="O564" s="3">
        <v>1.252314814814815E-2</v>
      </c>
      <c r="W564" s="1">
        <f t="shared" si="73"/>
        <v>-8.3766067050949217E-4</v>
      </c>
      <c r="X564" s="1">
        <f t="shared" si="74"/>
        <v>8.3766067050949217E-4</v>
      </c>
      <c r="Y564" s="9"/>
      <c r="AB564" s="1">
        <f t="shared" si="59"/>
        <v>2.4305555555555539E-3</v>
      </c>
      <c r="AC564" s="1"/>
      <c r="AE564" s="1"/>
      <c r="AF564" s="1"/>
    </row>
    <row r="565" spans="1:32" ht="13.5" customHeight="1" x14ac:dyDescent="0.2">
      <c r="A565">
        <v>2109</v>
      </c>
      <c r="B565" s="585" t="s">
        <v>10626</v>
      </c>
      <c r="C565" s="568" t="s">
        <v>10627</v>
      </c>
      <c r="D565" s="585"/>
      <c r="E565" s="1002"/>
      <c r="F565" s="534"/>
      <c r="G565" s="512"/>
      <c r="H565" s="319"/>
      <c r="I565" s="254"/>
      <c r="J565" s="334"/>
      <c r="K565" s="34"/>
      <c r="L565" s="1398"/>
      <c r="M565" s="8">
        <v>2.0648148148148148E-2</v>
      </c>
      <c r="N565" s="3">
        <v>1.1608796296296296E-2</v>
      </c>
      <c r="O565" s="3">
        <v>1.3946759259259258E-2</v>
      </c>
      <c r="W565" s="1"/>
      <c r="X565" s="1"/>
      <c r="Y565" s="9"/>
      <c r="AB565" s="1"/>
      <c r="AC565" s="1"/>
      <c r="AE565" s="1"/>
      <c r="AF565" s="1"/>
    </row>
    <row r="566" spans="1:32" ht="13.5" customHeight="1" x14ac:dyDescent="0.2">
      <c r="A566">
        <v>251</v>
      </c>
      <c r="B566" s="27" t="s">
        <v>3397</v>
      </c>
      <c r="C566" s="15" t="s">
        <v>3382</v>
      </c>
      <c r="D566" s="24">
        <f>Runners!S877</f>
        <v>6</v>
      </c>
      <c r="E566" s="183">
        <f>Runners!S876</f>
        <v>16</v>
      </c>
      <c r="F566" s="6" t="s">
        <v>2821</v>
      </c>
      <c r="G566" s="1">
        <v>1.3981481481481482E-2</v>
      </c>
      <c r="H566" s="206" t="s">
        <v>2670</v>
      </c>
      <c r="I566" s="1">
        <v>1.4606481481481482E-2</v>
      </c>
      <c r="J566" s="1" t="s">
        <v>5096</v>
      </c>
      <c r="K566" s="34">
        <v>41720</v>
      </c>
      <c r="L566" s="9">
        <v>94</v>
      </c>
      <c r="M566" s="8">
        <v>1.8587962962962962E-2</v>
      </c>
      <c r="N566" s="3">
        <v>1.0416666666666666E-2</v>
      </c>
      <c r="O566" s="3">
        <v>1.1909722222222223E-2</v>
      </c>
      <c r="Q566" s="103" t="s">
        <v>1048</v>
      </c>
      <c r="R566" s="103"/>
      <c r="U566" s="53"/>
      <c r="W566" s="1">
        <f t="shared" ref="W566:W578" si="75">$N$700-N566</f>
        <v>7.5956155171272993E-4</v>
      </c>
      <c r="X566" s="1">
        <f t="shared" ref="X566:X578" si="76">N566-$N$700</f>
        <v>-7.5956155171272993E-4</v>
      </c>
      <c r="Y566" s="9">
        <v>48</v>
      </c>
      <c r="Z566">
        <f t="shared" si="0"/>
        <v>2304</v>
      </c>
      <c r="AB566" s="1">
        <f t="shared" si="59"/>
        <v>8.3333333333333176E-4</v>
      </c>
      <c r="AC566" s="1"/>
      <c r="AE566" s="1"/>
      <c r="AF566" s="1"/>
    </row>
    <row r="567" spans="1:32" ht="13.5" customHeight="1" x14ac:dyDescent="0.2">
      <c r="A567">
        <v>461</v>
      </c>
      <c r="B567" s="27" t="s">
        <v>2088</v>
      </c>
      <c r="C567" s="74" t="s">
        <v>3532</v>
      </c>
      <c r="D567" s="24">
        <f>Runners!X500</f>
        <v>2</v>
      </c>
      <c r="E567" s="183">
        <f>Runners!X499</f>
        <v>3</v>
      </c>
      <c r="F567" s="6" t="s">
        <v>1000</v>
      </c>
      <c r="G567" s="1">
        <v>1.8055555555555557E-2</v>
      </c>
      <c r="J567" s="32" t="s">
        <v>1000</v>
      </c>
      <c r="K567" s="34">
        <v>41300</v>
      </c>
      <c r="L567" s="9">
        <v>53</v>
      </c>
      <c r="M567" s="8">
        <v>1.9780092592592592E-2</v>
      </c>
      <c r="N567" s="3">
        <v>1.1655092592592594E-2</v>
      </c>
      <c r="O567" s="3">
        <v>1.3321759259259261E-2</v>
      </c>
      <c r="W567" s="1">
        <f t="shared" si="75"/>
        <v>-4.7886437421319761E-4</v>
      </c>
      <c r="X567" s="1">
        <f t="shared" si="76"/>
        <v>4.7886437421319761E-4</v>
      </c>
      <c r="Y567" s="9">
        <v>59</v>
      </c>
      <c r="Z567">
        <f t="shared" si="0"/>
        <v>3481</v>
      </c>
      <c r="AB567" s="1">
        <f t="shared" si="59"/>
        <v>2.0717592592592593E-3</v>
      </c>
      <c r="AC567" s="1"/>
      <c r="AE567" s="1"/>
      <c r="AF567" s="1"/>
    </row>
    <row r="568" spans="1:32" ht="13.5" customHeight="1" x14ac:dyDescent="0.2">
      <c r="A568">
        <v>230</v>
      </c>
      <c r="B568" s="27" t="s">
        <v>3599</v>
      </c>
      <c r="C568" s="511" t="s">
        <v>1780</v>
      </c>
      <c r="D568" s="531">
        <f>Runners!Y500</f>
        <v>3</v>
      </c>
      <c r="E568" s="541">
        <f>Runners!Y499</f>
        <v>3</v>
      </c>
      <c r="F568" s="79" t="s">
        <v>5096</v>
      </c>
      <c r="G568" s="1">
        <v>1.503472222222222E-2</v>
      </c>
      <c r="J568" s="1" t="s">
        <v>4778</v>
      </c>
      <c r="K568" s="34">
        <v>41776</v>
      </c>
      <c r="L568" s="1398">
        <v>105</v>
      </c>
      <c r="M568" s="8">
        <v>1.8935185185185183E-2</v>
      </c>
      <c r="N568" s="3">
        <v>1.0497685185185186E-2</v>
      </c>
      <c r="O568" s="3">
        <v>1.2175925925925929E-2</v>
      </c>
      <c r="W568" s="1">
        <f t="shared" si="75"/>
        <v>6.7854303319420974E-4</v>
      </c>
      <c r="X568" s="1">
        <f t="shared" si="76"/>
        <v>-6.7854303319420974E-4</v>
      </c>
      <c r="Y568" s="9">
        <v>13</v>
      </c>
      <c r="Z568">
        <f t="shared" si="0"/>
        <v>169</v>
      </c>
      <c r="AB568" s="1">
        <f t="shared" si="59"/>
        <v>9.1435185185185196E-4</v>
      </c>
      <c r="AC568" s="1"/>
      <c r="AE568" s="1"/>
      <c r="AF568" s="1"/>
    </row>
    <row r="569" spans="1:32" ht="13.5" customHeight="1" x14ac:dyDescent="0.2">
      <c r="A569">
        <v>472</v>
      </c>
      <c r="B569" s="493" t="s">
        <v>12263</v>
      </c>
      <c r="C569" s="532" t="s">
        <v>12244</v>
      </c>
      <c r="D569" s="531">
        <f>Runners!N1245</f>
        <v>1</v>
      </c>
      <c r="E569" s="541">
        <f>Runners!N1244</f>
        <v>1</v>
      </c>
      <c r="F569" s="79"/>
      <c r="H569" s="513" t="s">
        <v>748</v>
      </c>
      <c r="I569" s="1">
        <v>2.4467592592592593E-2</v>
      </c>
      <c r="J569" s="334" t="s">
        <v>748</v>
      </c>
      <c r="K569" s="34">
        <v>43554</v>
      </c>
      <c r="L569" s="1398">
        <v>482</v>
      </c>
      <c r="M569" s="8">
        <v>1.7523148148148149E-2</v>
      </c>
      <c r="N569" s="3">
        <v>1.0775462962962964E-2</v>
      </c>
      <c r="O569" s="3">
        <v>1.2361111111111113E-2</v>
      </c>
      <c r="W569" s="1">
        <f t="shared" si="75"/>
        <v>4.007652554164319E-4</v>
      </c>
      <c r="X569" s="1">
        <f t="shared" si="76"/>
        <v>-4.007652554164319E-4</v>
      </c>
      <c r="Y569" s="9"/>
      <c r="AB569" s="1">
        <f t="shared" si="59"/>
        <v>1.1921296296296298E-3</v>
      </c>
      <c r="AC569" s="1"/>
      <c r="AE569" s="1"/>
      <c r="AF569" s="1"/>
    </row>
    <row r="570" spans="1:32" ht="13.5" customHeight="1" x14ac:dyDescent="0.2">
      <c r="A570">
        <v>2465</v>
      </c>
      <c r="B570" s="493" t="s">
        <v>16074</v>
      </c>
      <c r="C570" s="532" t="s">
        <v>15677</v>
      </c>
      <c r="D570" s="531">
        <f>Runners!Q854</f>
        <v>2</v>
      </c>
      <c r="E570" s="541">
        <f>Runners!Q853</f>
        <v>2</v>
      </c>
      <c r="F570" s="79" t="s">
        <v>1000</v>
      </c>
      <c r="G570" s="1">
        <v>2.0057870370370368E-2</v>
      </c>
      <c r="H570" s="513" t="s">
        <v>1062</v>
      </c>
      <c r="I570" s="1">
        <v>2.2546296296296297E-2</v>
      </c>
      <c r="J570" s="334" t="s">
        <v>1000</v>
      </c>
      <c r="K570" s="34">
        <v>43792</v>
      </c>
      <c r="L570" s="1398"/>
      <c r="M570" s="8">
        <v>2.0162037037037037E-2</v>
      </c>
      <c r="N570" s="3">
        <v>1.1469907407407408E-2</v>
      </c>
      <c r="O570" s="3">
        <v>1.2662037037037039E-2</v>
      </c>
      <c r="W570" s="1">
        <f t="shared" si="75"/>
        <v>-2.9367918902801181E-4</v>
      </c>
      <c r="X570" s="1">
        <f t="shared" si="76"/>
        <v>2.9367918902801181E-4</v>
      </c>
      <c r="Y570" s="9"/>
      <c r="AB570" s="1">
        <f t="shared" si="59"/>
        <v>1.8865740740740735E-3</v>
      </c>
      <c r="AC570" s="1"/>
      <c r="AE570" s="1"/>
      <c r="AF570" s="1"/>
    </row>
    <row r="571" spans="1:32" ht="13.5" customHeight="1" x14ac:dyDescent="0.2">
      <c r="A571">
        <v>2106</v>
      </c>
      <c r="B571" s="556" t="s">
        <v>11911</v>
      </c>
      <c r="C571" s="532" t="s">
        <v>11851</v>
      </c>
      <c r="D571" s="531">
        <f>Runners!Y974</f>
        <v>1</v>
      </c>
      <c r="E571" s="541">
        <f>Runners!Y973</f>
        <v>1</v>
      </c>
      <c r="F571" s="79" t="s">
        <v>1000</v>
      </c>
      <c r="G571" s="1">
        <v>1.9884259259259258E-2</v>
      </c>
      <c r="J571" s="1" t="s">
        <v>1000</v>
      </c>
      <c r="K571" s="1379">
        <v>43547</v>
      </c>
      <c r="L571" s="1398">
        <v>480</v>
      </c>
      <c r="M571" s="8">
        <v>2.1226851851851854E-2</v>
      </c>
      <c r="N571" s="3">
        <v>1.2060185185185186E-2</v>
      </c>
      <c r="O571" s="3">
        <v>1.3935185185185184E-2</v>
      </c>
      <c r="W571" s="1">
        <f t="shared" si="75"/>
        <v>-8.8395696680578992E-4</v>
      </c>
      <c r="X571" s="1">
        <f t="shared" si="76"/>
        <v>8.8395696680578992E-4</v>
      </c>
      <c r="Y571" s="9"/>
      <c r="AB571" s="1">
        <f t="shared" si="59"/>
        <v>2.4768518518518516E-3</v>
      </c>
      <c r="AC571" s="1"/>
      <c r="AE571" s="1"/>
      <c r="AF571" s="1"/>
    </row>
    <row r="572" spans="1:32" ht="13.5" customHeight="1" x14ac:dyDescent="0.2">
      <c r="A572">
        <v>1152</v>
      </c>
      <c r="B572" s="552" t="s">
        <v>5232</v>
      </c>
      <c r="C572" s="511" t="s">
        <v>3728</v>
      </c>
      <c r="D572" s="531">
        <f>Runners!R216</f>
        <v>17</v>
      </c>
      <c r="E572" s="541">
        <f>Runners!R215</f>
        <v>31</v>
      </c>
      <c r="F572" s="6" t="s">
        <v>127</v>
      </c>
      <c r="G572" s="1">
        <v>1.3715277777777778E-2</v>
      </c>
      <c r="H572" s="206" t="s">
        <v>2670</v>
      </c>
      <c r="I572" s="1">
        <v>1.4363425925925925E-2</v>
      </c>
      <c r="J572" s="1" t="s">
        <v>5096</v>
      </c>
      <c r="K572" s="34">
        <v>42063</v>
      </c>
      <c r="L572" s="1398">
        <v>155</v>
      </c>
      <c r="M572" s="8">
        <v>1.9212962962962963E-2</v>
      </c>
      <c r="N572" s="3">
        <v>1.0902777777777777E-2</v>
      </c>
      <c r="O572" s="3">
        <v>1.2291666666666666E-2</v>
      </c>
      <c r="Q572" s="103" t="s">
        <v>5323</v>
      </c>
      <c r="R572" s="103"/>
      <c r="S572" s="103" t="s">
        <v>5393</v>
      </c>
      <c r="T572" s="103"/>
      <c r="U572" s="103"/>
      <c r="W572" s="1">
        <f t="shared" si="75"/>
        <v>2.7345044060161916E-4</v>
      </c>
      <c r="X572" s="1">
        <f t="shared" si="76"/>
        <v>-2.7345044060161916E-4</v>
      </c>
      <c r="Y572" s="9">
        <v>2</v>
      </c>
      <c r="Z572">
        <f t="shared" si="0"/>
        <v>4</v>
      </c>
      <c r="AB572" s="1">
        <f t="shared" si="59"/>
        <v>1.3194444444444425E-3</v>
      </c>
      <c r="AC572" s="1"/>
      <c r="AE572" s="1"/>
      <c r="AF572" s="1"/>
    </row>
    <row r="573" spans="1:32" ht="13.5" customHeight="1" x14ac:dyDescent="0.2">
      <c r="A573">
        <v>2353</v>
      </c>
      <c r="B573" s="556" t="s">
        <v>15681</v>
      </c>
      <c r="C573" s="532" t="s">
        <v>15682</v>
      </c>
      <c r="D573" s="531">
        <f>Runners!P1354</f>
        <v>2</v>
      </c>
      <c r="E573" s="541">
        <f>Runners!P1353</f>
        <v>2</v>
      </c>
      <c r="F573" s="1415" t="s">
        <v>756</v>
      </c>
      <c r="G573" s="1412">
        <v>2.0810185185185185E-2</v>
      </c>
      <c r="H573" s="206"/>
      <c r="J573" s="334" t="s">
        <v>15683</v>
      </c>
      <c r="K573" s="34">
        <v>43736</v>
      </c>
      <c r="L573" s="1398"/>
      <c r="M573" s="8">
        <v>2.2962962962962966E-2</v>
      </c>
      <c r="N573" s="3">
        <v>1.2893518518518519E-2</v>
      </c>
      <c r="O573" s="3">
        <v>1.5196759259259259E-2</v>
      </c>
      <c r="Q573" s="1474"/>
      <c r="R573" s="1474"/>
      <c r="S573" s="1474"/>
      <c r="T573" s="103"/>
      <c r="U573" s="103"/>
      <c r="W573" s="1">
        <f t="shared" si="75"/>
        <v>-1.7172903001391234E-3</v>
      </c>
      <c r="X573" s="1">
        <f t="shared" si="76"/>
        <v>1.7172903001391234E-3</v>
      </c>
      <c r="Y573" s="9"/>
      <c r="AB573" s="1">
        <f t="shared" si="59"/>
        <v>3.3101851851851851E-3</v>
      </c>
      <c r="AC573" s="1"/>
      <c r="AE573" s="1"/>
      <c r="AF573" s="1"/>
    </row>
    <row r="574" spans="1:32" ht="13.5" customHeight="1" x14ac:dyDescent="0.2">
      <c r="A574">
        <v>2092</v>
      </c>
      <c r="B574" s="552" t="s">
        <v>10478</v>
      </c>
      <c r="C574" s="532" t="s">
        <v>10479</v>
      </c>
      <c r="D574" s="531">
        <f>Runners!N374</f>
        <v>4</v>
      </c>
      <c r="E574" s="541">
        <f>Runners!N373</f>
        <v>5</v>
      </c>
      <c r="F574" s="1763" t="s">
        <v>4637</v>
      </c>
      <c r="G574" s="1412">
        <v>1.9479166666666669E-2</v>
      </c>
      <c r="H574" s="206"/>
      <c r="J574" s="334" t="s">
        <v>1000</v>
      </c>
      <c r="K574" s="34">
        <v>43393</v>
      </c>
      <c r="L574" s="1398">
        <v>446</v>
      </c>
      <c r="M574" s="8">
        <v>2.0694444444444446E-2</v>
      </c>
      <c r="N574" s="3">
        <v>1.1782407407407406E-2</v>
      </c>
      <c r="O574" s="3">
        <v>1.3668981481481482E-2</v>
      </c>
      <c r="Q574" s="53"/>
      <c r="R574" s="53"/>
      <c r="S574" s="53"/>
      <c r="T574" s="53"/>
      <c r="U574" s="53"/>
      <c r="W574" s="1">
        <f t="shared" si="75"/>
        <v>-6.0617918902801035E-4</v>
      </c>
      <c r="X574" s="1">
        <f t="shared" si="76"/>
        <v>6.0617918902801035E-4</v>
      </c>
      <c r="Y574" s="9"/>
      <c r="AB574" s="1">
        <f t="shared" si="59"/>
        <v>2.199074074074072E-3</v>
      </c>
      <c r="AC574" s="1"/>
      <c r="AE574" s="1"/>
      <c r="AF574" s="1"/>
    </row>
    <row r="575" spans="1:32" ht="13.5" customHeight="1" x14ac:dyDescent="0.2">
      <c r="A575">
        <v>1455</v>
      </c>
      <c r="B575" s="556" t="s">
        <v>185</v>
      </c>
      <c r="C575" s="532" t="s">
        <v>7937</v>
      </c>
      <c r="D575" s="531">
        <f>Runners!U1116</f>
        <v>1</v>
      </c>
      <c r="E575" s="541">
        <f>Runners!U1115</f>
        <v>1</v>
      </c>
      <c r="F575" s="6" t="s">
        <v>4778</v>
      </c>
      <c r="G575" s="1">
        <v>2.8587962962962964E-2</v>
      </c>
      <c r="H575" s="206"/>
      <c r="J575" s="1" t="s">
        <v>4778</v>
      </c>
      <c r="K575" s="34">
        <v>42910</v>
      </c>
      <c r="L575" s="1398">
        <v>340</v>
      </c>
      <c r="M575" s="8">
        <v>2.2222222222222223E-2</v>
      </c>
      <c r="N575" s="3">
        <v>1.1678240740740741E-2</v>
      </c>
      <c r="O575" s="3">
        <v>1.3229166666666667E-2</v>
      </c>
      <c r="Q575" s="53"/>
      <c r="R575" s="53"/>
      <c r="S575" s="53"/>
      <c r="T575" s="53"/>
      <c r="U575" s="53"/>
      <c r="W575" s="1">
        <f t="shared" si="75"/>
        <v>-5.0201252236134475E-4</v>
      </c>
      <c r="X575" s="1">
        <f t="shared" si="76"/>
        <v>5.0201252236134475E-4</v>
      </c>
      <c r="Y575" s="9"/>
      <c r="AB575" s="1">
        <f t="shared" si="59"/>
        <v>2.0949074074074064E-3</v>
      </c>
      <c r="AC575" s="1"/>
      <c r="AE575" s="1"/>
      <c r="AF575" s="1"/>
    </row>
    <row r="576" spans="1:32" ht="13.5" customHeight="1" x14ac:dyDescent="0.2">
      <c r="A576">
        <v>204</v>
      </c>
      <c r="B576" s="552" t="s">
        <v>8140</v>
      </c>
      <c r="C576" s="532" t="s">
        <v>8334</v>
      </c>
      <c r="D576" s="531">
        <f>Runners!Z539</f>
        <v>1</v>
      </c>
      <c r="E576" s="541">
        <f>Runners!Z538</f>
        <v>1</v>
      </c>
      <c r="F576" s="6" t="s">
        <v>1000</v>
      </c>
      <c r="G576" s="1">
        <v>1.9791666666666666E-2</v>
      </c>
      <c r="H576" s="206"/>
      <c r="J576" s="1" t="s">
        <v>1000</v>
      </c>
      <c r="K576" s="34">
        <v>42980</v>
      </c>
      <c r="L576" s="1398">
        <v>360</v>
      </c>
      <c r="M576" s="8">
        <v>2.1111111111111108E-2</v>
      </c>
      <c r="N576" s="3">
        <v>1.1446759259259261E-2</v>
      </c>
      <c r="O576" s="3">
        <v>1.3958333333333335E-2</v>
      </c>
      <c r="Q576" s="53"/>
      <c r="R576" s="53"/>
      <c r="S576" s="53"/>
      <c r="T576" s="53"/>
      <c r="U576" s="53"/>
      <c r="W576" s="1">
        <f t="shared" si="75"/>
        <v>-2.7053104087986467E-4</v>
      </c>
      <c r="X576" s="1">
        <f t="shared" si="76"/>
        <v>2.7053104087986467E-4</v>
      </c>
      <c r="Y576" s="9"/>
      <c r="AB576" s="1">
        <f t="shared" si="59"/>
        <v>1.8634259259259264E-3</v>
      </c>
      <c r="AC576" s="1"/>
      <c r="AE576" s="1"/>
      <c r="AF576" s="1"/>
    </row>
    <row r="577" spans="1:32" ht="13.5" customHeight="1" x14ac:dyDescent="0.2">
      <c r="A577">
        <v>643</v>
      </c>
      <c r="B577" s="27" t="s">
        <v>4454</v>
      </c>
      <c r="C577" s="74" t="s">
        <v>5332</v>
      </c>
      <c r="D577" s="24">
        <f>Runners!V1304</f>
        <v>2</v>
      </c>
      <c r="E577" s="183">
        <f>Runners!V1303</f>
        <v>2</v>
      </c>
      <c r="F577" s="6" t="s">
        <v>1000</v>
      </c>
      <c r="G577" s="1">
        <v>1.849537037037037E-2</v>
      </c>
      <c r="J577" s="32" t="s">
        <v>1000</v>
      </c>
      <c r="K577" s="34">
        <v>41951</v>
      </c>
      <c r="L577" s="1398">
        <v>139</v>
      </c>
      <c r="M577" s="8">
        <v>2.0787037037037038E-2</v>
      </c>
      <c r="N577" s="3">
        <v>1.105324074074074E-2</v>
      </c>
      <c r="O577" s="3">
        <v>1.3321759259259261E-2</v>
      </c>
      <c r="Q577" s="53"/>
      <c r="R577" s="53"/>
      <c r="U577" s="53"/>
      <c r="W577" s="1">
        <f t="shared" si="75"/>
        <v>1.2298747763865581E-4</v>
      </c>
      <c r="X577" s="1">
        <f t="shared" si="76"/>
        <v>-1.2298747763865581E-4</v>
      </c>
      <c r="Y577" s="9">
        <v>7</v>
      </c>
      <c r="Z577">
        <f t="shared" si="0"/>
        <v>49</v>
      </c>
      <c r="AB577" s="1">
        <f t="shared" si="59"/>
        <v>1.4699074074074059E-3</v>
      </c>
      <c r="AC577" s="1"/>
      <c r="AE577" s="1"/>
      <c r="AF577" s="1"/>
    </row>
    <row r="578" spans="1:32" ht="13.5" customHeight="1" x14ac:dyDescent="0.2">
      <c r="A578">
        <v>887</v>
      </c>
      <c r="B578" s="493" t="s">
        <v>9839</v>
      </c>
      <c r="C578" s="415" t="s">
        <v>9816</v>
      </c>
      <c r="D578" s="24">
        <f>Runners!W1048</f>
        <v>1</v>
      </c>
      <c r="E578" s="183">
        <f>Runners!W1047</f>
        <v>1</v>
      </c>
      <c r="F578" s="79" t="s">
        <v>9840</v>
      </c>
      <c r="G578" s="1">
        <v>2.4305555555555556E-2</v>
      </c>
      <c r="J578" s="334" t="s">
        <v>9840</v>
      </c>
      <c r="K578" s="34">
        <v>43239</v>
      </c>
      <c r="L578" s="1398">
        <v>410</v>
      </c>
      <c r="M578" s="8">
        <v>1.8900462962962963E-2</v>
      </c>
      <c r="N578" s="3">
        <v>1.1168981481481481E-2</v>
      </c>
      <c r="O578" s="3">
        <v>1.2453703703703703E-2</v>
      </c>
      <c r="Q578" s="53"/>
      <c r="R578" s="53"/>
      <c r="U578" s="53"/>
      <c r="W578" s="1">
        <f t="shared" si="75"/>
        <v>7.2467368979148988E-6</v>
      </c>
      <c r="X578" s="1">
        <f t="shared" si="76"/>
        <v>-7.2467368979148988E-6</v>
      </c>
      <c r="Y578" s="9"/>
      <c r="AB578" s="1">
        <f t="shared" si="59"/>
        <v>1.5856481481481468E-3</v>
      </c>
      <c r="AC578" s="1"/>
      <c r="AE578" s="1"/>
      <c r="AF578" s="1"/>
    </row>
    <row r="579" spans="1:32" ht="13.5" customHeight="1" x14ac:dyDescent="0.2">
      <c r="A579">
        <v>632</v>
      </c>
      <c r="B579" s="530" t="s">
        <v>4615</v>
      </c>
      <c r="C579" s="982" t="s">
        <v>4614</v>
      </c>
      <c r="D579" s="530"/>
      <c r="E579" s="582"/>
      <c r="F579" s="6"/>
      <c r="M579" s="8">
        <v>1.90625E-2</v>
      </c>
      <c r="N579" s="3">
        <v>1.0787037037037038E-2</v>
      </c>
      <c r="O579" s="3">
        <v>1.315972222222222E-2</v>
      </c>
      <c r="Q579" s="635" t="s">
        <v>17041</v>
      </c>
      <c r="R579" s="635"/>
      <c r="U579" s="53"/>
      <c r="W579" s="1"/>
      <c r="X579" s="1"/>
      <c r="Y579" s="9"/>
      <c r="AB579" s="1"/>
      <c r="AC579" s="1"/>
      <c r="AE579" s="1"/>
      <c r="AF579" s="1"/>
    </row>
    <row r="580" spans="1:32" ht="13.5" customHeight="1" x14ac:dyDescent="0.2">
      <c r="A580">
        <v>954</v>
      </c>
      <c r="B580" s="493" t="s">
        <v>15431</v>
      </c>
      <c r="C580" s="415" t="s">
        <v>15432</v>
      </c>
      <c r="D580" s="24">
        <f>Runners!R1023</f>
        <v>1</v>
      </c>
      <c r="E580" s="183">
        <f>Runners!R1022</f>
        <v>1</v>
      </c>
      <c r="F580" s="79" t="s">
        <v>12695</v>
      </c>
      <c r="G580" s="1">
        <v>1.681712962962963E-2</v>
      </c>
      <c r="J580" s="334" t="s">
        <v>12695</v>
      </c>
      <c r="K580" s="34">
        <v>43715</v>
      </c>
      <c r="L580" s="1398"/>
      <c r="M580" s="8">
        <v>2.2060185185185183E-2</v>
      </c>
      <c r="N580" s="3">
        <v>1.2361111111111113E-2</v>
      </c>
      <c r="O580" s="3">
        <v>1.3842592592592594E-2</v>
      </c>
      <c r="Q580" s="53"/>
      <c r="R580" s="53"/>
      <c r="U580" s="53"/>
      <c r="W580" s="1">
        <f t="shared" ref="W580:W606" si="77">$N$700-N580</f>
        <v>-1.1848828927317166E-3</v>
      </c>
      <c r="X580" s="1">
        <f t="shared" ref="X580:X606" si="78">N580-$N$700</f>
        <v>1.1848828927317166E-3</v>
      </c>
      <c r="Y580" s="9"/>
      <c r="AB580" s="1">
        <f t="shared" si="59"/>
        <v>2.7777777777777783E-3</v>
      </c>
      <c r="AC580" s="1"/>
      <c r="AE580" s="1"/>
      <c r="AF580" s="1"/>
    </row>
    <row r="581" spans="1:32" ht="13.5" customHeight="1" x14ac:dyDescent="0.2">
      <c r="A581">
        <v>1671</v>
      </c>
      <c r="B581" s="556" t="s">
        <v>10776</v>
      </c>
      <c r="C581" s="532" t="s">
        <v>10775</v>
      </c>
      <c r="D581" s="531">
        <f>Runners!J1378</f>
        <v>1</v>
      </c>
      <c r="E581" s="541">
        <f>Runners!J1377</f>
        <v>1</v>
      </c>
      <c r="F581" s="79" t="s">
        <v>5882</v>
      </c>
      <c r="G581" s="1">
        <v>1.7407407407407406E-2</v>
      </c>
      <c r="J581" s="334" t="s">
        <v>5882</v>
      </c>
      <c r="K581" s="34">
        <v>43379</v>
      </c>
      <c r="L581" s="1398">
        <v>445</v>
      </c>
      <c r="M581" s="8">
        <v>2.1435185185185186E-2</v>
      </c>
      <c r="N581" s="3">
        <v>1.0671296296296297E-2</v>
      </c>
      <c r="O581" s="3">
        <v>1.4618055555555556E-2</v>
      </c>
      <c r="Q581" s="53"/>
      <c r="R581" s="53"/>
      <c r="U581" s="53"/>
      <c r="W581" s="1">
        <f t="shared" si="77"/>
        <v>5.0493192208309924E-4</v>
      </c>
      <c r="X581" s="1">
        <f t="shared" si="78"/>
        <v>-5.0493192208309924E-4</v>
      </c>
      <c r="Y581" s="9"/>
      <c r="AB581" s="1">
        <f t="shared" si="59"/>
        <v>1.0879629629629625E-3</v>
      </c>
      <c r="AC581" s="1"/>
      <c r="AE581" s="1"/>
      <c r="AF581" s="1"/>
    </row>
    <row r="582" spans="1:32" ht="13.5" customHeight="1" x14ac:dyDescent="0.2">
      <c r="A582">
        <v>100</v>
      </c>
      <c r="B582" s="493" t="s">
        <v>7609</v>
      </c>
      <c r="C582" s="415" t="s">
        <v>7932</v>
      </c>
      <c r="D582" s="24">
        <f>Runners!X420</f>
        <v>2</v>
      </c>
      <c r="E582" s="183">
        <f>Runners!X419</f>
        <v>2</v>
      </c>
      <c r="F582" s="79" t="s">
        <v>1000</v>
      </c>
      <c r="G582" s="1">
        <v>1.9340277777777779E-2</v>
      </c>
      <c r="H582" s="513" t="s">
        <v>748</v>
      </c>
      <c r="I582" s="1">
        <v>2.2210648148148149E-2</v>
      </c>
      <c r="J582" s="512" t="s">
        <v>748</v>
      </c>
      <c r="K582" s="34">
        <v>42875</v>
      </c>
      <c r="L582" s="9">
        <v>336</v>
      </c>
      <c r="M582" s="8">
        <v>1.9884259259259258E-2</v>
      </c>
      <c r="N582" s="3">
        <v>1.1400462962962965E-2</v>
      </c>
      <c r="O582" s="3">
        <v>1.247685185185185E-2</v>
      </c>
      <c r="Q582" s="53"/>
      <c r="R582" s="53"/>
      <c r="U582" s="53"/>
      <c r="W582" s="1">
        <f t="shared" si="77"/>
        <v>-2.2423474458356865E-4</v>
      </c>
      <c r="X582" s="1">
        <f t="shared" si="78"/>
        <v>2.2423474458356865E-4</v>
      </c>
      <c r="Y582" s="9"/>
      <c r="AB582" s="1">
        <f t="shared" si="59"/>
        <v>1.8171296296296303E-3</v>
      </c>
      <c r="AC582" s="1"/>
      <c r="AE582" s="1"/>
      <c r="AF582" s="1"/>
    </row>
    <row r="583" spans="1:32" ht="13.5" customHeight="1" x14ac:dyDescent="0.2">
      <c r="A583">
        <v>156</v>
      </c>
      <c r="B583" s="27" t="s">
        <v>3569</v>
      </c>
      <c r="C583" s="74" t="s">
        <v>2840</v>
      </c>
      <c r="D583" s="24">
        <f>Runners!X1073</f>
        <v>3</v>
      </c>
      <c r="E583" s="183">
        <f>Runners!X1072</f>
        <v>3</v>
      </c>
      <c r="F583" s="6" t="s">
        <v>5881</v>
      </c>
      <c r="G583" s="1">
        <v>1.4074074074074074E-2</v>
      </c>
      <c r="J583" s="1" t="s">
        <v>5881</v>
      </c>
      <c r="K583" s="34">
        <v>41832</v>
      </c>
      <c r="L583" s="9">
        <v>116</v>
      </c>
      <c r="M583" s="8">
        <v>1.8935185185185183E-2</v>
      </c>
      <c r="N583" s="3">
        <v>1.087962962962963E-2</v>
      </c>
      <c r="O583" s="3">
        <v>1.2627314814814815E-2</v>
      </c>
      <c r="Q583" s="635" t="s">
        <v>12650</v>
      </c>
      <c r="R583" s="635"/>
      <c r="U583" s="53"/>
      <c r="W583" s="1">
        <f t="shared" si="77"/>
        <v>2.965985887497663E-4</v>
      </c>
      <c r="X583" s="1">
        <f t="shared" si="78"/>
        <v>-2.965985887497663E-4</v>
      </c>
      <c r="Y583" s="9">
        <v>8</v>
      </c>
      <c r="Z583">
        <f t="shared" si="0"/>
        <v>64</v>
      </c>
      <c r="AB583" s="1">
        <f t="shared" si="59"/>
        <v>1.2962962962962954E-3</v>
      </c>
      <c r="AC583" s="1"/>
      <c r="AE583" s="1"/>
      <c r="AF583" s="1"/>
    </row>
    <row r="584" spans="1:32" ht="13.5" customHeight="1" x14ac:dyDescent="0.2">
      <c r="A584">
        <v>203</v>
      </c>
      <c r="B584" s="493" t="s">
        <v>5553</v>
      </c>
      <c r="C584" s="415" t="s">
        <v>4501</v>
      </c>
      <c r="D584" s="24">
        <f>Runners!Y579</f>
        <v>2</v>
      </c>
      <c r="E584" s="183">
        <f>Runners!Y578</f>
        <v>2</v>
      </c>
      <c r="F584" s="79" t="s">
        <v>5882</v>
      </c>
      <c r="G584" s="1">
        <v>1.5416666666666667E-2</v>
      </c>
      <c r="H584" s="1370" t="s">
        <v>1440</v>
      </c>
      <c r="I584" s="1412">
        <v>2.0763888888888887E-2</v>
      </c>
      <c r="J584" s="334" t="s">
        <v>5882</v>
      </c>
      <c r="K584" s="34">
        <v>42868</v>
      </c>
      <c r="L584" s="9">
        <v>334</v>
      </c>
      <c r="M584" s="8">
        <v>1.9363425925925926E-2</v>
      </c>
      <c r="N584" s="3">
        <v>1.0972222222222223E-2</v>
      </c>
      <c r="O584" s="3">
        <v>1.2569444444444446E-2</v>
      </c>
      <c r="Q584" s="53"/>
      <c r="R584" s="53"/>
      <c r="U584" s="53"/>
      <c r="W584" s="1">
        <f t="shared" si="77"/>
        <v>2.0400599615717253E-4</v>
      </c>
      <c r="X584" s="1">
        <f t="shared" si="78"/>
        <v>-2.0400599615717253E-4</v>
      </c>
      <c r="Y584" s="9"/>
      <c r="AB584" s="1">
        <f t="shared" si="59"/>
        <v>1.3888888888888892E-3</v>
      </c>
      <c r="AC584" s="1"/>
      <c r="AE584" s="1"/>
      <c r="AF584" s="1"/>
    </row>
    <row r="585" spans="1:32" ht="13.5" customHeight="1" x14ac:dyDescent="0.2">
      <c r="A585">
        <v>1540</v>
      </c>
      <c r="B585" s="556" t="s">
        <v>8261</v>
      </c>
      <c r="C585" s="532" t="s">
        <v>8260</v>
      </c>
      <c r="D585" s="531">
        <f>Runners!V1289</f>
        <v>3</v>
      </c>
      <c r="E585" s="541">
        <f>Runners!V1288</f>
        <v>3</v>
      </c>
      <c r="F585" s="79" t="s">
        <v>4637</v>
      </c>
      <c r="G585" s="1">
        <v>1.7812499999999998E-2</v>
      </c>
      <c r="H585" t="s">
        <v>5894</v>
      </c>
      <c r="I585" s="1">
        <v>2.1412037037037035E-2</v>
      </c>
      <c r="J585" s="334" t="s">
        <v>5061</v>
      </c>
      <c r="K585" s="34">
        <v>42945</v>
      </c>
      <c r="L585" s="9">
        <v>347</v>
      </c>
      <c r="M585" s="8">
        <v>1.9918981481481482E-2</v>
      </c>
      <c r="N585" s="3">
        <v>1.1145833333333334E-2</v>
      </c>
      <c r="O585" s="3">
        <v>1.255787037037037E-2</v>
      </c>
      <c r="Q585" s="53"/>
      <c r="R585" s="53"/>
      <c r="U585" s="53"/>
      <c r="W585" s="1">
        <f t="shared" si="77"/>
        <v>3.039488504606204E-5</v>
      </c>
      <c r="X585" s="1">
        <f t="shared" si="78"/>
        <v>-3.039488504606204E-5</v>
      </c>
      <c r="Y585" s="9"/>
      <c r="AB585" s="1">
        <f t="shared" si="59"/>
        <v>1.5624999999999997E-3</v>
      </c>
      <c r="AC585" s="1"/>
      <c r="AE585" s="1"/>
      <c r="AF585" s="1"/>
    </row>
    <row r="586" spans="1:32" ht="13.5" customHeight="1" x14ac:dyDescent="0.2">
      <c r="A586">
        <v>1199</v>
      </c>
      <c r="B586" s="27" t="s">
        <v>5275</v>
      </c>
      <c r="C586" s="74" t="s">
        <v>472</v>
      </c>
      <c r="D586" s="24">
        <f>Runners!S1023</f>
        <v>1</v>
      </c>
      <c r="E586" s="183">
        <f>Runners!S1022</f>
        <v>1</v>
      </c>
      <c r="F586" s="6" t="s">
        <v>1270</v>
      </c>
      <c r="G586" s="1">
        <v>1.4004629629629631E-2</v>
      </c>
      <c r="J586" s="1" t="s">
        <v>1270</v>
      </c>
      <c r="K586" s="34">
        <v>42126</v>
      </c>
      <c r="L586" s="9">
        <v>163</v>
      </c>
      <c r="M586" s="8">
        <v>1.9074074074074073E-2</v>
      </c>
      <c r="N586" s="3">
        <v>1.1412037037037038E-2</v>
      </c>
      <c r="O586" s="3">
        <v>1.2800925925925926E-2</v>
      </c>
      <c r="Q586" s="53"/>
      <c r="R586" s="53"/>
      <c r="U586" s="53"/>
      <c r="W586" s="1">
        <f t="shared" si="77"/>
        <v>-2.3580881865764222E-4</v>
      </c>
      <c r="X586" s="1">
        <f t="shared" si="78"/>
        <v>2.3580881865764222E-4</v>
      </c>
      <c r="Y586" s="9">
        <v>53</v>
      </c>
      <c r="Z586">
        <f t="shared" si="0"/>
        <v>2809</v>
      </c>
      <c r="AB586" s="1">
        <f t="shared" si="59"/>
        <v>1.8287037037037039E-3</v>
      </c>
      <c r="AC586" s="1"/>
      <c r="AE586" s="1"/>
      <c r="AF586" s="1"/>
    </row>
    <row r="587" spans="1:32" ht="13.5" customHeight="1" x14ac:dyDescent="0.2">
      <c r="A587">
        <v>2</v>
      </c>
      <c r="B587" s="27" t="s">
        <v>5118</v>
      </c>
      <c r="C587" s="74" t="s">
        <v>4451</v>
      </c>
      <c r="D587" s="24">
        <f>Runners!W148</f>
        <v>14</v>
      </c>
      <c r="E587" s="183">
        <f>Runners!W147</f>
        <v>16</v>
      </c>
      <c r="F587" s="79" t="s">
        <v>5884</v>
      </c>
      <c r="G587" s="1">
        <v>1.3969907407407408E-2</v>
      </c>
      <c r="H587" t="s">
        <v>1440</v>
      </c>
      <c r="I587" s="1">
        <v>1.9583333333333331E-2</v>
      </c>
      <c r="J587" s="1" t="s">
        <v>1000</v>
      </c>
      <c r="K587" s="34">
        <v>41083</v>
      </c>
      <c r="L587" s="9">
        <v>27</v>
      </c>
      <c r="M587" s="8">
        <v>1.8067129629629631E-2</v>
      </c>
      <c r="N587" s="3">
        <v>1.0462962962962964E-2</v>
      </c>
      <c r="O587" s="3">
        <v>1.1493055555555555E-2</v>
      </c>
      <c r="T587" s="34">
        <v>39088</v>
      </c>
      <c r="W587" s="1">
        <f t="shared" si="77"/>
        <v>7.1326525541643218E-4</v>
      </c>
      <c r="X587" s="1">
        <f t="shared" si="78"/>
        <v>-7.1326525541643218E-4</v>
      </c>
      <c r="Y587" s="9">
        <v>44</v>
      </c>
      <c r="Z587">
        <f t="shared" si="0"/>
        <v>1936</v>
      </c>
      <c r="AB587" s="1">
        <f t="shared" si="59"/>
        <v>8.7962962962962951E-4</v>
      </c>
      <c r="AC587" s="1"/>
      <c r="AE587" s="1"/>
      <c r="AF587" s="1"/>
    </row>
    <row r="588" spans="1:32" ht="13.5" customHeight="1" x14ac:dyDescent="0.2">
      <c r="A588">
        <v>445</v>
      </c>
      <c r="B588" s="27" t="s">
        <v>2119</v>
      </c>
      <c r="C588" s="74" t="s">
        <v>1187</v>
      </c>
      <c r="D588" s="24">
        <f>Runners!O832</f>
        <v>3</v>
      </c>
      <c r="E588" s="183">
        <f>Runners!O831</f>
        <v>3</v>
      </c>
      <c r="F588" s="6" t="s">
        <v>4584</v>
      </c>
      <c r="G588" s="1">
        <v>1.877314814814815E-2</v>
      </c>
      <c r="J588" s="1" t="s">
        <v>4584</v>
      </c>
      <c r="K588" s="34">
        <v>41524</v>
      </c>
      <c r="L588" s="9">
        <v>69</v>
      </c>
      <c r="M588" s="8">
        <v>1.9814814814814816E-2</v>
      </c>
      <c r="N588" s="3">
        <v>1.1157407407407408E-2</v>
      </c>
      <c r="O588" s="3">
        <v>1.2615740740740742E-2</v>
      </c>
      <c r="W588" s="1">
        <f t="shared" si="77"/>
        <v>1.8820810971988469E-5</v>
      </c>
      <c r="X588" s="1">
        <f t="shared" si="78"/>
        <v>-1.8820810971988469E-5</v>
      </c>
      <c r="Y588" s="9">
        <v>16</v>
      </c>
      <c r="Z588">
        <f t="shared" si="0"/>
        <v>256</v>
      </c>
      <c r="AB588" s="1">
        <f t="shared" si="59"/>
        <v>1.5740740740740732E-3</v>
      </c>
      <c r="AC588" s="1"/>
      <c r="AE588" s="1"/>
      <c r="AF588" s="1"/>
    </row>
    <row r="589" spans="1:32" ht="13.5" customHeight="1" x14ac:dyDescent="0.2">
      <c r="A589">
        <v>280</v>
      </c>
      <c r="B589" s="27" t="s">
        <v>1940</v>
      </c>
      <c r="C589" s="74" t="s">
        <v>1939</v>
      </c>
      <c r="D589" s="24">
        <f>Runners!Y420</f>
        <v>6</v>
      </c>
      <c r="E589" s="183">
        <f>Runners!Y419</f>
        <v>7</v>
      </c>
      <c r="F589" s="1415" t="s">
        <v>12695</v>
      </c>
      <c r="G589" s="1412">
        <v>1.4004629629629631E-2</v>
      </c>
      <c r="J589" s="1" t="s">
        <v>1000</v>
      </c>
      <c r="K589" s="34">
        <v>41454</v>
      </c>
      <c r="L589" s="9">
        <v>62</v>
      </c>
      <c r="M589" s="8">
        <v>1.861111111111111E-2</v>
      </c>
      <c r="N589" s="3">
        <v>1.087962962962963E-2</v>
      </c>
      <c r="O589" s="3">
        <v>1.2037037037037035E-2</v>
      </c>
      <c r="Q589" s="1641" t="s">
        <v>5102</v>
      </c>
      <c r="R589" s="1641"/>
      <c r="S589" s="1641"/>
      <c r="U589" s="197"/>
      <c r="W589" s="1">
        <f t="shared" si="77"/>
        <v>2.965985887497663E-4</v>
      </c>
      <c r="X589" s="1">
        <f t="shared" si="78"/>
        <v>-2.965985887497663E-4</v>
      </c>
      <c r="Y589" s="9">
        <v>8</v>
      </c>
      <c r="Z589">
        <f t="shared" si="0"/>
        <v>64</v>
      </c>
      <c r="AB589" s="1">
        <f t="shared" si="59"/>
        <v>1.2962962962962954E-3</v>
      </c>
      <c r="AC589" s="1"/>
      <c r="AE589" s="1"/>
      <c r="AF589" s="1"/>
    </row>
    <row r="590" spans="1:32" ht="13.5" customHeight="1" x14ac:dyDescent="0.2">
      <c r="A590">
        <v>1852</v>
      </c>
      <c r="B590" s="556" t="s">
        <v>9646</v>
      </c>
      <c r="C590" s="532" t="s">
        <v>9218</v>
      </c>
      <c r="D590" s="531">
        <f>Runners!X374</f>
        <v>1</v>
      </c>
      <c r="E590" s="541">
        <f>Runners!X373</f>
        <v>1</v>
      </c>
      <c r="F590" s="6" t="s">
        <v>1000</v>
      </c>
      <c r="G590" s="1">
        <v>2.1562499999999998E-2</v>
      </c>
      <c r="J590" s="1" t="s">
        <v>1000</v>
      </c>
      <c r="K590" s="34">
        <v>43463</v>
      </c>
      <c r="L590" s="1398">
        <v>460</v>
      </c>
      <c r="M590" s="8">
        <v>2.1539351851851851E-2</v>
      </c>
      <c r="N590" s="3">
        <v>1.1851851851851851E-2</v>
      </c>
      <c r="O590" s="3">
        <v>1.3622685185185184E-2</v>
      </c>
      <c r="Q590" s="206"/>
      <c r="R590" s="206"/>
      <c r="S590" s="206"/>
      <c r="U590" s="197"/>
      <c r="W590" s="1">
        <f t="shared" si="77"/>
        <v>-6.7562363347245524E-4</v>
      </c>
      <c r="X590" s="1">
        <f t="shared" si="78"/>
        <v>6.7562363347245524E-4</v>
      </c>
      <c r="Y590" s="9"/>
      <c r="AB590" s="1">
        <f t="shared" si="59"/>
        <v>2.2685185185185169E-3</v>
      </c>
      <c r="AC590" s="1"/>
      <c r="AE590" s="1"/>
      <c r="AF590" s="1"/>
    </row>
    <row r="591" spans="1:32" ht="13.5" customHeight="1" x14ac:dyDescent="0.2">
      <c r="A591">
        <v>931</v>
      </c>
      <c r="B591" s="27" t="s">
        <v>5200</v>
      </c>
      <c r="C591" s="74" t="s">
        <v>5198</v>
      </c>
      <c r="D591" s="183">
        <f>Runners!M309</f>
        <v>36</v>
      </c>
      <c r="E591" s="183">
        <f>Runners!M308</f>
        <v>469</v>
      </c>
      <c r="F591" s="6" t="s">
        <v>5881</v>
      </c>
      <c r="G591" s="1">
        <v>1.3518518518518518E-2</v>
      </c>
      <c r="H591" s="197" t="s">
        <v>9797</v>
      </c>
      <c r="I591" s="1">
        <v>1.3854166666666666E-2</v>
      </c>
      <c r="J591" s="1" t="s">
        <v>5882</v>
      </c>
      <c r="K591" s="34">
        <v>41867</v>
      </c>
      <c r="L591" s="1398">
        <v>122</v>
      </c>
      <c r="M591" s="8">
        <v>1.9942129629629629E-2</v>
      </c>
      <c r="N591" s="3">
        <v>1.0694444444444444E-2</v>
      </c>
      <c r="O591" s="3">
        <v>1.2268518518518519E-2</v>
      </c>
      <c r="P591" t="s">
        <v>1212</v>
      </c>
      <c r="Q591" s="103" t="s">
        <v>426</v>
      </c>
      <c r="R591" s="103"/>
      <c r="S591" s="103"/>
      <c r="U591" s="53"/>
      <c r="W591" s="1">
        <f t="shared" si="77"/>
        <v>4.817837739349521E-4</v>
      </c>
      <c r="X591" s="1">
        <f t="shared" si="78"/>
        <v>-4.817837739349521E-4</v>
      </c>
      <c r="Y591" s="9">
        <v>37</v>
      </c>
      <c r="Z591">
        <f t="shared" si="0"/>
        <v>1369</v>
      </c>
      <c r="AB591" s="1">
        <f t="shared" si="59"/>
        <v>1.1111111111111096E-3</v>
      </c>
      <c r="AC591" s="1"/>
      <c r="AE591" s="1"/>
      <c r="AF591" s="1"/>
    </row>
    <row r="592" spans="1:32" ht="13.5" customHeight="1" x14ac:dyDescent="0.2">
      <c r="A592">
        <v>222</v>
      </c>
      <c r="B592" s="27" t="s">
        <v>5989</v>
      </c>
      <c r="C592" s="74" t="s">
        <v>5087</v>
      </c>
      <c r="D592" s="24">
        <f>Runners!T877</f>
        <v>2</v>
      </c>
      <c r="E592" s="183">
        <f>Runners!T876</f>
        <v>2</v>
      </c>
      <c r="F592" s="6" t="s">
        <v>5096</v>
      </c>
      <c r="G592" s="1">
        <v>1.556712962962963E-2</v>
      </c>
      <c r="H592" s="53"/>
      <c r="J592" s="1" t="s">
        <v>5096</v>
      </c>
      <c r="K592" s="34">
        <v>41671</v>
      </c>
      <c r="L592" s="1398">
        <v>89</v>
      </c>
      <c r="M592" s="8">
        <v>1.8587962962962962E-2</v>
      </c>
      <c r="N592" s="3">
        <v>1.0208333333333333E-2</v>
      </c>
      <c r="O592" s="3">
        <v>1.1979166666666666E-2</v>
      </c>
      <c r="Q592" s="103" t="s">
        <v>4017</v>
      </c>
      <c r="R592" s="103"/>
      <c r="U592" s="53"/>
      <c r="W592" s="1">
        <f t="shared" si="77"/>
        <v>9.6789488504606287E-4</v>
      </c>
      <c r="X592" s="1">
        <f t="shared" si="78"/>
        <v>-9.6789488504606287E-4</v>
      </c>
      <c r="Y592" s="9">
        <v>66</v>
      </c>
      <c r="Z592">
        <f t="shared" si="0"/>
        <v>4356</v>
      </c>
      <c r="AB592" s="1">
        <f t="shared" si="59"/>
        <v>6.2499999999999882E-4</v>
      </c>
      <c r="AC592" s="1"/>
      <c r="AE592" s="1"/>
      <c r="AF592" s="1"/>
    </row>
    <row r="593" spans="1:32" ht="13.5" customHeight="1" x14ac:dyDescent="0.2">
      <c r="A593">
        <v>21</v>
      </c>
      <c r="B593" s="27" t="s">
        <v>1614</v>
      </c>
      <c r="C593" s="74" t="s">
        <v>5964</v>
      </c>
      <c r="D593" s="24">
        <f>Runners!Q1023</f>
        <v>3</v>
      </c>
      <c r="E593" s="183">
        <f>Runners!Q1022</f>
        <v>9</v>
      </c>
      <c r="F593" s="6" t="s">
        <v>5882</v>
      </c>
      <c r="G593" s="1">
        <v>1.6550925925925924E-2</v>
      </c>
      <c r="J593" s="1" t="s">
        <v>4584</v>
      </c>
      <c r="K593" s="34">
        <v>40838</v>
      </c>
      <c r="L593" s="1398">
        <v>11</v>
      </c>
      <c r="M593" s="8">
        <v>1.8969907407407408E-2</v>
      </c>
      <c r="N593" s="3">
        <v>1.0671296296296297E-2</v>
      </c>
      <c r="O593" s="3">
        <v>1.238425925925926E-2</v>
      </c>
      <c r="W593" s="1">
        <f t="shared" si="77"/>
        <v>5.0493192208309924E-4</v>
      </c>
      <c r="X593" s="1">
        <f t="shared" si="78"/>
        <v>-5.0493192208309924E-4</v>
      </c>
      <c r="Y593" s="9">
        <v>26</v>
      </c>
      <c r="Z593">
        <f t="shared" si="0"/>
        <v>676</v>
      </c>
      <c r="AB593" s="1">
        <f t="shared" si="59"/>
        <v>1.0879629629629625E-3</v>
      </c>
      <c r="AC593" s="1"/>
      <c r="AE593" s="1"/>
      <c r="AF593" s="1"/>
    </row>
    <row r="594" spans="1:32" ht="13.5" customHeight="1" x14ac:dyDescent="0.2">
      <c r="A594">
        <v>5</v>
      </c>
      <c r="B594" s="27" t="s">
        <v>1727</v>
      </c>
      <c r="C594" s="74" t="s">
        <v>1417</v>
      </c>
      <c r="D594" s="24">
        <f>Runners!X1048</f>
        <v>2</v>
      </c>
      <c r="E594" s="183">
        <f>Runners!X1047</f>
        <v>2</v>
      </c>
      <c r="F594" s="6" t="s">
        <v>4637</v>
      </c>
      <c r="G594" s="1">
        <v>1.6701388888888887E-2</v>
      </c>
      <c r="J594" s="1" t="s">
        <v>4637</v>
      </c>
      <c r="K594" s="34">
        <v>42455</v>
      </c>
      <c r="L594" s="1398">
        <v>242</v>
      </c>
      <c r="M594" s="8">
        <v>1.8530092592592595E-2</v>
      </c>
      <c r="N594" s="3">
        <v>1.0393518518518519E-2</v>
      </c>
      <c r="O594" s="3">
        <v>1.1400462962962965E-2</v>
      </c>
      <c r="W594" s="1">
        <f t="shared" si="77"/>
        <v>7.8270969986087707E-4</v>
      </c>
      <c r="X594" s="1">
        <f t="shared" si="78"/>
        <v>-7.8270969986087707E-4</v>
      </c>
      <c r="Y594" s="9">
        <v>50</v>
      </c>
      <c r="Z594">
        <f t="shared" si="0"/>
        <v>2500</v>
      </c>
      <c r="AB594" s="1">
        <f t="shared" si="59"/>
        <v>8.1018518518518462E-4</v>
      </c>
      <c r="AC594" s="1"/>
      <c r="AE594" s="1"/>
      <c r="AF594" s="1"/>
    </row>
    <row r="595" spans="1:32" ht="13.5" customHeight="1" x14ac:dyDescent="0.2">
      <c r="A595">
        <v>430</v>
      </c>
      <c r="B595" s="27" t="s">
        <v>1615</v>
      </c>
      <c r="C595" s="74" t="s">
        <v>1214</v>
      </c>
      <c r="D595" s="183">
        <f>Runners!W309</f>
        <v>21</v>
      </c>
      <c r="E595" s="183">
        <f>Runners!W308</f>
        <v>158</v>
      </c>
      <c r="F595" s="6" t="s">
        <v>1270</v>
      </c>
      <c r="G595" s="1">
        <v>1.306712962962963E-2</v>
      </c>
      <c r="H595" t="s">
        <v>3254</v>
      </c>
      <c r="I595" s="1">
        <v>1.7349537037037038E-2</v>
      </c>
      <c r="J595" s="1" t="s">
        <v>1213</v>
      </c>
      <c r="K595" s="34">
        <v>41195</v>
      </c>
      <c r="L595" s="1398">
        <v>38</v>
      </c>
      <c r="M595" s="8">
        <v>1.9050925925925926E-2</v>
      </c>
      <c r="N595" s="3">
        <v>1.064814814814815E-2</v>
      </c>
      <c r="O595" s="3">
        <v>1.2349537037037039E-2</v>
      </c>
      <c r="W595" s="1">
        <f t="shared" si="77"/>
        <v>5.2808007023124638E-4</v>
      </c>
      <c r="X595" s="1">
        <f t="shared" si="78"/>
        <v>-5.2808007023124638E-4</v>
      </c>
      <c r="Y595" s="9">
        <v>28</v>
      </c>
      <c r="Z595">
        <f t="shared" si="0"/>
        <v>784</v>
      </c>
      <c r="AB595" s="1">
        <f t="shared" si="59"/>
        <v>1.0648148148148153E-3</v>
      </c>
      <c r="AC595" s="1"/>
      <c r="AE595" s="1"/>
      <c r="AF595" s="1"/>
    </row>
    <row r="596" spans="1:32" ht="13.5" customHeight="1" x14ac:dyDescent="0.2">
      <c r="A596">
        <v>2189</v>
      </c>
      <c r="B596" s="493" t="s">
        <v>12135</v>
      </c>
      <c r="C596" s="415" t="s">
        <v>11276</v>
      </c>
      <c r="D596" s="183">
        <f>Runners!V787</f>
        <v>1</v>
      </c>
      <c r="E596" s="183">
        <f>Runners!V786</f>
        <v>1</v>
      </c>
      <c r="F596" s="6"/>
      <c r="H596" s="80" t="s">
        <v>9553</v>
      </c>
      <c r="I596" s="1">
        <v>1.9166666666666669E-2</v>
      </c>
      <c r="J596" s="334" t="s">
        <v>9553</v>
      </c>
      <c r="K596" s="34">
        <v>43540</v>
      </c>
      <c r="L596" s="1398">
        <v>479</v>
      </c>
      <c r="M596" s="8">
        <v>2.3368055555555555E-2</v>
      </c>
      <c r="N596" s="3">
        <v>1.315972222222222E-2</v>
      </c>
      <c r="O596" s="3">
        <v>1.4664351851851852E-2</v>
      </c>
      <c r="W596" s="1">
        <f t="shared" si="77"/>
        <v>-1.9834940038428242E-3</v>
      </c>
      <c r="X596" s="1">
        <f t="shared" si="78"/>
        <v>1.9834940038428242E-3</v>
      </c>
      <c r="Y596" s="9"/>
      <c r="AB596" s="1">
        <f t="shared" si="59"/>
        <v>3.5763888888888859E-3</v>
      </c>
      <c r="AC596" s="1"/>
      <c r="AE596" s="1"/>
      <c r="AF596" s="1"/>
    </row>
    <row r="597" spans="1:32" ht="13.5" customHeight="1" x14ac:dyDescent="0.2">
      <c r="A597">
        <v>302</v>
      </c>
      <c r="B597" s="27" t="s">
        <v>1612</v>
      </c>
      <c r="C597" s="74" t="s">
        <v>1002</v>
      </c>
      <c r="D597" s="947">
        <f>Runners!X148</f>
        <v>15</v>
      </c>
      <c r="E597" s="948">
        <f>Runners!X147</f>
        <v>33</v>
      </c>
      <c r="F597" s="6" t="s">
        <v>1270</v>
      </c>
      <c r="G597" s="1">
        <v>1.2893518518518519E-2</v>
      </c>
      <c r="H597" s="197" t="s">
        <v>9806</v>
      </c>
      <c r="I597" s="1">
        <v>1.5671296296296298E-2</v>
      </c>
      <c r="J597" s="1" t="s">
        <v>1000</v>
      </c>
      <c r="K597" s="34">
        <v>40915</v>
      </c>
      <c r="L597" s="1398">
        <v>15</v>
      </c>
      <c r="M597" s="8">
        <v>1.8356481481481481E-2</v>
      </c>
      <c r="N597" s="3">
        <v>1.0833333333333334E-2</v>
      </c>
      <c r="O597" s="3">
        <v>1.2916666666666667E-2</v>
      </c>
      <c r="W597" s="1">
        <f t="shared" si="77"/>
        <v>3.4289488504606232E-4</v>
      </c>
      <c r="X597" s="1">
        <f t="shared" si="78"/>
        <v>-3.4289488504606232E-4</v>
      </c>
      <c r="Y597" s="9">
        <v>12</v>
      </c>
      <c r="Z597">
        <f t="shared" si="0"/>
        <v>144</v>
      </c>
      <c r="AB597" s="1">
        <f t="shared" si="59"/>
        <v>1.2499999999999994E-3</v>
      </c>
      <c r="AC597" s="1"/>
      <c r="AE597" s="1"/>
      <c r="AF597" s="1"/>
    </row>
    <row r="598" spans="1:32" ht="13.5" customHeight="1" x14ac:dyDescent="0.2">
      <c r="A598">
        <v>355</v>
      </c>
      <c r="B598" s="552" t="s">
        <v>7725</v>
      </c>
      <c r="C598" s="532" t="s">
        <v>2674</v>
      </c>
      <c r="D598" s="531">
        <f>Runners!U1023</f>
        <v>2</v>
      </c>
      <c r="E598" s="541">
        <f>Runners!U1022</f>
        <v>2</v>
      </c>
      <c r="F598" s="79" t="s">
        <v>909</v>
      </c>
      <c r="G598" s="1">
        <v>2.2141203703703705E-2</v>
      </c>
      <c r="H598" s="80" t="s">
        <v>5894</v>
      </c>
      <c r="I598" s="1">
        <v>2.2141203703703705E-2</v>
      </c>
      <c r="J598" s="334" t="s">
        <v>5061</v>
      </c>
      <c r="K598" s="34">
        <v>43302</v>
      </c>
      <c r="L598" s="1398">
        <v>425</v>
      </c>
      <c r="M598" s="8">
        <v>1.9456018518518518E-2</v>
      </c>
      <c r="N598" s="3">
        <v>1.091435185185185E-2</v>
      </c>
      <c r="O598" s="3">
        <v>1.1921296296296298E-2</v>
      </c>
      <c r="Q598" s="552" t="s">
        <v>7727</v>
      </c>
      <c r="R598" s="552"/>
      <c r="S598" s="552"/>
      <c r="T598" s="552"/>
      <c r="U598" s="552"/>
      <c r="W598" s="1">
        <f t="shared" si="77"/>
        <v>2.6187636652754559E-4</v>
      </c>
      <c r="X598" s="1">
        <f t="shared" si="78"/>
        <v>-2.6187636652754559E-4</v>
      </c>
      <c r="Y598" s="9"/>
      <c r="AB598" s="1">
        <f t="shared" si="59"/>
        <v>1.3310185185185161E-3</v>
      </c>
      <c r="AC598" s="1"/>
      <c r="AE598" s="1"/>
      <c r="AF598" s="1"/>
    </row>
    <row r="599" spans="1:32" ht="13.5" customHeight="1" x14ac:dyDescent="0.2">
      <c r="A599">
        <v>1438</v>
      </c>
      <c r="B599" s="552" t="s">
        <v>3818</v>
      </c>
      <c r="C599" s="532" t="s">
        <v>4368</v>
      </c>
      <c r="D599" s="531">
        <f>Runners!U630</f>
        <v>2</v>
      </c>
      <c r="E599" s="541">
        <f>Runners!U629</f>
        <v>2</v>
      </c>
      <c r="F599" s="79" t="s">
        <v>1000</v>
      </c>
      <c r="G599" s="1">
        <v>1.8981481481481481E-2</v>
      </c>
      <c r="H599" s="206"/>
      <c r="J599" s="1" t="s">
        <v>1000</v>
      </c>
      <c r="K599" s="34">
        <v>43197</v>
      </c>
      <c r="L599" s="1398">
        <v>400</v>
      </c>
      <c r="M599" s="8">
        <v>1.951388888888889E-2</v>
      </c>
      <c r="N599" s="3">
        <v>1.03125E-2</v>
      </c>
      <c r="O599" s="3">
        <v>1.1793981481481482E-2</v>
      </c>
      <c r="W599" s="1">
        <f t="shared" si="77"/>
        <v>8.6372821837939553E-4</v>
      </c>
      <c r="X599" s="1">
        <f t="shared" si="78"/>
        <v>-8.6372821837939553E-4</v>
      </c>
      <c r="Y599" s="9"/>
      <c r="AB599" s="1">
        <f t="shared" si="59"/>
        <v>7.2916666666666616E-4</v>
      </c>
      <c r="AC599" s="1"/>
      <c r="AE599" s="1"/>
      <c r="AF599" s="1"/>
    </row>
    <row r="600" spans="1:32" ht="13.5" customHeight="1" x14ac:dyDescent="0.2">
      <c r="A600">
        <v>282</v>
      </c>
      <c r="B600" s="27" t="s">
        <v>1707</v>
      </c>
      <c r="C600" s="74" t="s">
        <v>5653</v>
      </c>
      <c r="D600" s="24">
        <f>Runners!O374</f>
        <v>21</v>
      </c>
      <c r="E600" s="183">
        <f>Runners!O373</f>
        <v>142</v>
      </c>
      <c r="F600" s="6" t="s">
        <v>5881</v>
      </c>
      <c r="G600" s="1">
        <v>1.3935185185185184E-2</v>
      </c>
      <c r="H600" t="s">
        <v>3254</v>
      </c>
      <c r="I600" s="1">
        <v>1.7372685185185185E-2</v>
      </c>
      <c r="J600" s="1" t="s">
        <v>1000</v>
      </c>
      <c r="K600" s="34">
        <v>41125</v>
      </c>
      <c r="L600" s="1398">
        <v>34</v>
      </c>
      <c r="M600" s="8">
        <v>1.9178240740740742E-2</v>
      </c>
      <c r="N600" s="3">
        <v>1.0625000000000001E-2</v>
      </c>
      <c r="O600" s="3">
        <v>1.2465277777777777E-2</v>
      </c>
      <c r="W600" s="1">
        <f t="shared" si="77"/>
        <v>5.5122821837939526E-4</v>
      </c>
      <c r="X600" s="1">
        <f t="shared" si="78"/>
        <v>-5.5122821837939526E-4</v>
      </c>
      <c r="Y600" s="9">
        <v>30</v>
      </c>
      <c r="Z600">
        <f t="shared" si="0"/>
        <v>900</v>
      </c>
      <c r="AB600" s="1">
        <f t="shared" si="59"/>
        <v>1.0416666666666664E-3</v>
      </c>
      <c r="AC600" s="1"/>
      <c r="AE600" s="1"/>
      <c r="AF600" s="1"/>
    </row>
    <row r="601" spans="1:32" ht="13.5" customHeight="1" x14ac:dyDescent="0.2">
      <c r="A601">
        <v>310</v>
      </c>
      <c r="B601" s="27" t="s">
        <v>4261</v>
      </c>
      <c r="C601" s="74" t="s">
        <v>4263</v>
      </c>
      <c r="D601" s="24">
        <f>Runners!T1023</f>
        <v>2</v>
      </c>
      <c r="E601" s="183">
        <f>Runners!T1022</f>
        <v>2</v>
      </c>
      <c r="F601" s="52" t="s">
        <v>1270</v>
      </c>
      <c r="G601" s="32">
        <v>1.4189814814814815E-2</v>
      </c>
      <c r="H601" s="3"/>
      <c r="I601" s="3" t="s">
        <v>1212</v>
      </c>
      <c r="J601" s="32" t="s">
        <v>654</v>
      </c>
      <c r="K601" s="33">
        <v>41608</v>
      </c>
      <c r="L601" s="1398">
        <v>80</v>
      </c>
      <c r="M601" s="8">
        <v>1.9166666666666669E-2</v>
      </c>
      <c r="N601" s="3">
        <v>1.1354166666666667E-2</v>
      </c>
      <c r="O601" s="3">
        <v>1.2789351851851852E-2</v>
      </c>
      <c r="W601" s="1">
        <f t="shared" si="77"/>
        <v>-1.779384482872709E-4</v>
      </c>
      <c r="X601" s="1">
        <f t="shared" si="78"/>
        <v>1.779384482872709E-4</v>
      </c>
      <c r="Y601" s="9">
        <v>33</v>
      </c>
      <c r="Z601">
        <f t="shared" si="0"/>
        <v>1089</v>
      </c>
      <c r="AB601" s="1">
        <f t="shared" si="59"/>
        <v>1.7708333333333326E-3</v>
      </c>
      <c r="AC601" s="1"/>
      <c r="AE601" s="1"/>
      <c r="AF601" s="1"/>
    </row>
    <row r="602" spans="1:32" ht="13.5" customHeight="1" x14ac:dyDescent="0.2">
      <c r="A602">
        <v>629</v>
      </c>
      <c r="B602" s="27" t="s">
        <v>3774</v>
      </c>
      <c r="C602" s="15" t="s">
        <v>1057</v>
      </c>
      <c r="D602" s="24">
        <f>Runners!L683</f>
        <v>6</v>
      </c>
      <c r="E602" s="183">
        <f>Runners!L682</f>
        <v>9</v>
      </c>
      <c r="F602" s="1963" t="s">
        <v>3790</v>
      </c>
      <c r="G602" s="1996">
        <v>1.7673611111111109E-2</v>
      </c>
      <c r="H602" s="1995" t="s">
        <v>4596</v>
      </c>
      <c r="I602" s="842">
        <v>1.7673611111111109E-2</v>
      </c>
      <c r="J602" s="32" t="s">
        <v>5097</v>
      </c>
      <c r="K602" s="33">
        <v>41741</v>
      </c>
      <c r="L602" s="1398">
        <v>98</v>
      </c>
      <c r="M602" s="8">
        <v>2.011574074074074E-2</v>
      </c>
      <c r="N602" s="3">
        <v>1.1539351851851851E-2</v>
      </c>
      <c r="O602" s="3">
        <v>1.3460648148148147E-2</v>
      </c>
      <c r="W602" s="1">
        <f t="shared" si="77"/>
        <v>-3.6312363347245497E-4</v>
      </c>
      <c r="X602" s="1">
        <f t="shared" si="78"/>
        <v>3.6312363347245497E-4</v>
      </c>
      <c r="Y602" s="9">
        <v>49</v>
      </c>
      <c r="Z602">
        <f t="shared" si="0"/>
        <v>2401</v>
      </c>
      <c r="AB602" s="1">
        <f t="shared" si="59"/>
        <v>1.9560185185185167E-3</v>
      </c>
      <c r="AC602" s="1"/>
      <c r="AE602" s="1"/>
      <c r="AF602" s="1"/>
    </row>
    <row r="603" spans="1:32" ht="13.5" customHeight="1" x14ac:dyDescent="0.2">
      <c r="A603">
        <v>96</v>
      </c>
      <c r="B603" s="27" t="s">
        <v>3200</v>
      </c>
      <c r="C603" s="74" t="s">
        <v>668</v>
      </c>
      <c r="D603" s="24">
        <f>Runners!Y1048</f>
        <v>3</v>
      </c>
      <c r="E603" s="183">
        <f>Runners!Y1047</f>
        <v>3</v>
      </c>
      <c r="F603" s="52" t="s">
        <v>298</v>
      </c>
      <c r="G603" s="32">
        <v>1.6724537037037034E-2</v>
      </c>
      <c r="H603" s="32" t="s">
        <v>5903</v>
      </c>
      <c r="I603" s="32">
        <v>1.8553240740740742E-2</v>
      </c>
      <c r="J603" s="32" t="s">
        <v>298</v>
      </c>
      <c r="K603" s="33">
        <v>42441</v>
      </c>
      <c r="L603" s="1398">
        <v>238</v>
      </c>
      <c r="M603" s="8">
        <v>1.8287037037037036E-2</v>
      </c>
      <c r="N603" s="3">
        <v>1.0219907407407408E-2</v>
      </c>
      <c r="O603" s="3">
        <v>1.1273148148148148E-2</v>
      </c>
      <c r="Q603" t="s">
        <v>10428</v>
      </c>
      <c r="W603" s="1">
        <f t="shared" si="77"/>
        <v>9.5632081097198757E-4</v>
      </c>
      <c r="X603" s="1">
        <f t="shared" si="78"/>
        <v>-9.5632081097198757E-4</v>
      </c>
      <c r="Y603" s="9">
        <v>65</v>
      </c>
      <c r="Z603">
        <f>Y603*Y603</f>
        <v>4225</v>
      </c>
      <c r="AB603" s="168">
        <f t="shared" si="59"/>
        <v>6.3657407407407413E-4</v>
      </c>
      <c r="AC603" s="1"/>
      <c r="AE603" s="1"/>
      <c r="AF603" s="1"/>
    </row>
    <row r="604" spans="1:32" ht="13.5" customHeight="1" x14ac:dyDescent="0.2">
      <c r="A604">
        <v>1513</v>
      </c>
      <c r="B604" s="27" t="s">
        <v>9273</v>
      </c>
      <c r="C604" s="415" t="s">
        <v>9272</v>
      </c>
      <c r="D604" s="24">
        <f>Runners!W1304</f>
        <v>1</v>
      </c>
      <c r="E604" s="183">
        <f>Runners!W1303</f>
        <v>1</v>
      </c>
      <c r="F604" s="79" t="s">
        <v>756</v>
      </c>
      <c r="G604" s="32">
        <v>1.9247685185185184E-2</v>
      </c>
      <c r="H604" s="32"/>
      <c r="I604" s="32"/>
      <c r="J604" s="334" t="s">
        <v>756</v>
      </c>
      <c r="K604" s="33">
        <v>43148</v>
      </c>
      <c r="L604" s="1398">
        <v>386</v>
      </c>
      <c r="M604" s="8">
        <v>2.224537037037037E-2</v>
      </c>
      <c r="N604" s="3">
        <v>1.238425925925926E-2</v>
      </c>
      <c r="O604" s="3">
        <v>1.3043981481481483E-2</v>
      </c>
      <c r="W604" s="1">
        <f t="shared" si="77"/>
        <v>-1.2080310408798638E-3</v>
      </c>
      <c r="X604" s="1">
        <f t="shared" si="78"/>
        <v>1.2080310408798638E-3</v>
      </c>
      <c r="Y604" s="9"/>
      <c r="AB604" s="1">
        <f t="shared" si="59"/>
        <v>2.8009259259259255E-3</v>
      </c>
      <c r="AC604" s="1"/>
      <c r="AE604" s="1"/>
      <c r="AF604" s="1"/>
    </row>
    <row r="605" spans="1:32" ht="13.5" customHeight="1" x14ac:dyDescent="0.2">
      <c r="A605">
        <v>1536</v>
      </c>
      <c r="B605" s="493" t="s">
        <v>16772</v>
      </c>
      <c r="C605" s="415" t="s">
        <v>16737</v>
      </c>
      <c r="D605" s="24">
        <f>Runners!M1410</f>
        <v>4</v>
      </c>
      <c r="E605" s="183">
        <f>Runners!M1409</f>
        <v>4</v>
      </c>
      <c r="F605" s="534" t="s">
        <v>4407</v>
      </c>
      <c r="G605" s="512"/>
      <c r="H605" s="512" t="s">
        <v>5241</v>
      </c>
      <c r="I605" s="32"/>
      <c r="J605" s="334" t="s">
        <v>4584</v>
      </c>
      <c r="K605" s="33">
        <v>43848</v>
      </c>
      <c r="L605" s="1398"/>
      <c r="M605" s="8">
        <v>2.7546296296296294E-2</v>
      </c>
      <c r="N605" s="3">
        <v>1.1608796296296296E-2</v>
      </c>
      <c r="O605" s="3">
        <v>1.3483796296296298E-2</v>
      </c>
      <c r="W605" s="1">
        <f t="shared" si="77"/>
        <v>-4.3256807791689986E-4</v>
      </c>
      <c r="X605" s="1">
        <f t="shared" si="78"/>
        <v>4.3256807791689986E-4</v>
      </c>
      <c r="Y605" s="9"/>
      <c r="AB605" s="1">
        <f t="shared" si="59"/>
        <v>2.0254629629629615E-3</v>
      </c>
      <c r="AC605" s="1"/>
      <c r="AE605" s="1"/>
      <c r="AF605" s="1"/>
    </row>
    <row r="606" spans="1:32" ht="13.5" customHeight="1" x14ac:dyDescent="0.2">
      <c r="A606">
        <v>2024</v>
      </c>
      <c r="B606" s="493" t="s">
        <v>11870</v>
      </c>
      <c r="C606" s="415" t="s">
        <v>11869</v>
      </c>
      <c r="D606" s="24">
        <f>Runners!O1245</f>
        <v>1</v>
      </c>
      <c r="E606" s="183">
        <f>Runners!O1244</f>
        <v>1</v>
      </c>
      <c r="F606" s="79" t="s">
        <v>11871</v>
      </c>
      <c r="G606" s="32">
        <v>2.0162037037037037E-2</v>
      </c>
      <c r="H606" s="32"/>
      <c r="I606" s="32"/>
      <c r="J606" s="334" t="s">
        <v>1000</v>
      </c>
      <c r="K606" s="33">
        <v>43519</v>
      </c>
      <c r="L606" s="1398">
        <v>471</v>
      </c>
      <c r="M606" s="8">
        <v>2.0185185185185184E-2</v>
      </c>
      <c r="N606" s="3">
        <v>1.2002314814814815E-2</v>
      </c>
      <c r="O606" s="3">
        <v>1.4641203703703703E-2</v>
      </c>
      <c r="W606" s="1">
        <f t="shared" si="77"/>
        <v>-8.260865964354186E-4</v>
      </c>
      <c r="X606" s="1">
        <f t="shared" si="78"/>
        <v>8.260865964354186E-4</v>
      </c>
      <c r="Y606" s="9"/>
      <c r="AB606" s="1">
        <f t="shared" si="59"/>
        <v>2.4189814814814803E-3</v>
      </c>
      <c r="AC606" s="1"/>
      <c r="AE606" s="1"/>
      <c r="AF606" s="1"/>
    </row>
    <row r="607" spans="1:32" x14ac:dyDescent="0.2">
      <c r="B607" s="530" t="s">
        <v>200</v>
      </c>
      <c r="C607" s="581" t="s">
        <v>2959</v>
      </c>
      <c r="E607" s="9"/>
      <c r="F607" s="52"/>
      <c r="G607" s="32"/>
      <c r="H607" s="32"/>
      <c r="I607" s="32"/>
      <c r="J607" s="32"/>
      <c r="K607" s="33"/>
      <c r="Q607" s="530" t="s">
        <v>1062</v>
      </c>
      <c r="R607" s="530"/>
      <c r="S607" s="530"/>
      <c r="T607" s="530"/>
      <c r="W607" s="1"/>
      <c r="X607" s="1"/>
      <c r="Y607" s="9"/>
      <c r="AB607" s="1"/>
      <c r="AC607" s="1"/>
      <c r="AE607" s="1"/>
      <c r="AF607" s="1"/>
    </row>
    <row r="608" spans="1:32" x14ac:dyDescent="0.2">
      <c r="B608" s="530" t="s">
        <v>794</v>
      </c>
      <c r="C608" s="581" t="s">
        <v>2960</v>
      </c>
      <c r="E608" s="9"/>
      <c r="F608" s="52"/>
      <c r="G608" s="32"/>
      <c r="H608" s="32"/>
      <c r="I608" s="32"/>
      <c r="J608" s="32"/>
      <c r="K608" s="33"/>
      <c r="Q608" s="530" t="s">
        <v>1062</v>
      </c>
      <c r="R608" s="530"/>
      <c r="S608" s="530"/>
      <c r="T608" s="530"/>
      <c r="W608" s="1"/>
      <c r="X608" s="1"/>
      <c r="Y608" s="9"/>
      <c r="AB608" s="1"/>
      <c r="AC608" s="1"/>
      <c r="AE608" s="1"/>
      <c r="AF608" s="1"/>
    </row>
    <row r="609" spans="1:32" x14ac:dyDescent="0.2">
      <c r="A609">
        <v>374</v>
      </c>
      <c r="B609" s="530" t="s">
        <v>457</v>
      </c>
      <c r="C609" s="581" t="s">
        <v>2433</v>
      </c>
      <c r="E609" s="9"/>
      <c r="F609" s="52"/>
      <c r="G609" s="32"/>
      <c r="H609" s="32"/>
      <c r="I609" s="32"/>
      <c r="J609" s="32"/>
      <c r="K609" s="33"/>
      <c r="Q609" s="530" t="s">
        <v>8854</v>
      </c>
      <c r="R609" s="530"/>
      <c r="S609" s="530"/>
      <c r="T609" s="530"/>
      <c r="W609" s="1"/>
      <c r="X609" s="1"/>
      <c r="Y609" s="9"/>
      <c r="AB609" s="1"/>
      <c r="AC609" s="1"/>
      <c r="AE609" s="1"/>
      <c r="AF609" s="1"/>
    </row>
    <row r="610" spans="1:32" x14ac:dyDescent="0.2">
      <c r="A610">
        <v>1050</v>
      </c>
      <c r="B610" s="530" t="s">
        <v>4564</v>
      </c>
      <c r="C610" s="581" t="s">
        <v>4563</v>
      </c>
      <c r="E610" s="9"/>
      <c r="F610" s="52"/>
      <c r="G610" s="32"/>
      <c r="H610" s="32"/>
      <c r="I610" s="32"/>
      <c r="J610" s="32"/>
      <c r="K610" s="33"/>
      <c r="Q610" s="530" t="s">
        <v>8853</v>
      </c>
      <c r="R610" s="530"/>
      <c r="S610" s="530"/>
      <c r="T610" s="530"/>
      <c r="W610" s="1"/>
      <c r="X610" s="1"/>
      <c r="Y610" s="9"/>
      <c r="AB610" s="1"/>
      <c r="AC610" s="1"/>
      <c r="AE610" s="1"/>
      <c r="AF610" s="1"/>
    </row>
    <row r="611" spans="1:32" x14ac:dyDescent="0.2">
      <c r="A611">
        <v>498</v>
      </c>
      <c r="B611" s="30" t="s">
        <v>5853</v>
      </c>
      <c r="C611" s="5" t="s">
        <v>4833</v>
      </c>
      <c r="E611" s="9"/>
      <c r="F611" s="6"/>
      <c r="H611" s="206"/>
      <c r="Q611" s="618" t="s">
        <v>5854</v>
      </c>
      <c r="R611" s="636"/>
      <c r="S611" s="636"/>
      <c r="T611" s="530"/>
      <c r="U611" s="196"/>
    </row>
    <row r="612" spans="1:32" x14ac:dyDescent="0.2">
      <c r="A612">
        <v>523</v>
      </c>
      <c r="B612" s="30" t="s">
        <v>4930</v>
      </c>
      <c r="C612" s="5" t="s">
        <v>2115</v>
      </c>
      <c r="E612" s="9"/>
      <c r="F612" s="6"/>
      <c r="H612" s="206"/>
      <c r="Q612" s="530" t="s">
        <v>3877</v>
      </c>
      <c r="R612" s="530"/>
      <c r="S612" s="530"/>
      <c r="T612" s="530"/>
      <c r="Z612" t="e">
        <f>SQRT(#REF!)</f>
        <v>#REF!</v>
      </c>
      <c r="AE612" s="9"/>
      <c r="AF612" s="9"/>
    </row>
    <row r="613" spans="1:32" x14ac:dyDescent="0.2">
      <c r="A613">
        <v>18</v>
      </c>
      <c r="B613" t="s">
        <v>3615</v>
      </c>
      <c r="C613" s="5" t="s">
        <v>1298</v>
      </c>
      <c r="E613" s="9"/>
      <c r="F613" s="6"/>
      <c r="M613" s="8">
        <v>1.9409722222222221E-2</v>
      </c>
      <c r="N613" s="3">
        <v>1.0277777777777778E-2</v>
      </c>
      <c r="O613" s="3">
        <v>1.1550925925925925E-2</v>
      </c>
      <c r="U613" s="53"/>
      <c r="Z613" t="e">
        <f>Z612*Z612</f>
        <v>#REF!</v>
      </c>
      <c r="AE613" s="9"/>
      <c r="AF613" s="9"/>
    </row>
    <row r="614" spans="1:32" x14ac:dyDescent="0.2">
      <c r="A614">
        <v>159</v>
      </c>
      <c r="B614" t="s">
        <v>1361</v>
      </c>
      <c r="C614" s="982" t="s">
        <v>5487</v>
      </c>
      <c r="E614" s="9"/>
      <c r="F614" s="6"/>
      <c r="H614" s="5" t="s">
        <v>1212</v>
      </c>
      <c r="I614" s="1" t="s">
        <v>1212</v>
      </c>
      <c r="M614" s="8">
        <v>1.8900462962962963E-2</v>
      </c>
      <c r="N614" s="3">
        <v>1.0162037037037037E-2</v>
      </c>
      <c r="O614" s="3">
        <v>1.1678240740740741E-2</v>
      </c>
      <c r="Q614" s="635" t="s">
        <v>3203</v>
      </c>
      <c r="R614" s="635"/>
      <c r="U614" s="53"/>
      <c r="AE614" s="9"/>
      <c r="AF614" s="9"/>
    </row>
    <row r="615" spans="1:32" x14ac:dyDescent="0.2">
      <c r="A615">
        <v>632</v>
      </c>
      <c r="B615" t="s">
        <v>4615</v>
      </c>
      <c r="C615" s="5" t="s">
        <v>4614</v>
      </c>
      <c r="E615" s="9"/>
      <c r="F615" s="6"/>
      <c r="M615" s="8">
        <v>1.90625E-2</v>
      </c>
      <c r="N615" s="3">
        <v>1.0787037037037038E-2</v>
      </c>
      <c r="O615" s="3">
        <v>1.315972222222222E-2</v>
      </c>
      <c r="Q615" s="53"/>
      <c r="R615" s="53"/>
      <c r="U615" s="53"/>
      <c r="AE615" s="9"/>
      <c r="AF615" s="9"/>
    </row>
    <row r="616" spans="1:32" x14ac:dyDescent="0.2">
      <c r="D616">
        <f>SUM(D5:D613)</f>
        <v>2635</v>
      </c>
      <c r="E616" s="9">
        <f>SUM(E5:E615)</f>
        <v>15709</v>
      </c>
      <c r="F616" s="119" t="s">
        <v>264</v>
      </c>
      <c r="G616" s="120">
        <f>SUM(G5:G615)/G617</f>
        <v>1.7359786367692986E-2</v>
      </c>
      <c r="H616" s="120"/>
      <c r="I616" s="120">
        <f>SUM(I5:I615)/I617</f>
        <v>1.952449223416965E-2</v>
      </c>
      <c r="J616" s="120"/>
      <c r="K616" s="120"/>
      <c r="L616" s="983"/>
      <c r="M616" s="593">
        <v>1.9467592592592595E-2</v>
      </c>
      <c r="N616" s="594">
        <v>1.0439814814814813E-2</v>
      </c>
      <c r="O616" s="594">
        <v>1.2280092592592592E-2</v>
      </c>
      <c r="U616" s="53"/>
      <c r="AE616" s="9"/>
      <c r="AF616" s="9"/>
    </row>
    <row r="617" spans="1:32" x14ac:dyDescent="0.2">
      <c r="D617" s="30">
        <f>Runners!C1412</f>
        <v>0</v>
      </c>
      <c r="E617" s="20">
        <f>Runners!C147</f>
        <v>15766</v>
      </c>
      <c r="G617">
        <f>COUNT(G5:G615)</f>
        <v>498</v>
      </c>
      <c r="I617">
        <f>COUNT(I5:I615)</f>
        <v>310</v>
      </c>
      <c r="J617"/>
      <c r="K617"/>
      <c r="M617" s="145">
        <f>COUNT(M5:M603)</f>
        <v>559</v>
      </c>
      <c r="N617" s="145">
        <f>COUNT(N5:N603)</f>
        <v>556</v>
      </c>
      <c r="O617" s="145">
        <f>COUNT(O5:O603)</f>
        <v>555</v>
      </c>
      <c r="U617" s="53"/>
    </row>
    <row r="618" spans="1:32" ht="13.5" customHeight="1" x14ac:dyDescent="0.2">
      <c r="D618" s="142">
        <f>COUNT(D5:D615)</f>
        <v>572</v>
      </c>
      <c r="E618" s="142">
        <f>COUNT(E5:E615)</f>
        <v>572</v>
      </c>
      <c r="G618"/>
      <c r="I618"/>
      <c r="J618"/>
      <c r="K618"/>
    </row>
    <row r="619" spans="1:32" ht="13.5" customHeight="1" x14ac:dyDescent="0.2">
      <c r="D619" s="99"/>
      <c r="E619" s="99"/>
      <c r="G619"/>
      <c r="I619"/>
      <c r="J619"/>
      <c r="K619"/>
    </row>
    <row r="620" spans="1:32" ht="13.5" customHeight="1" x14ac:dyDescent="0.2">
      <c r="C620" s="2" t="s">
        <v>12766</v>
      </c>
      <c r="D620" s="99"/>
      <c r="E620" s="99"/>
      <c r="G620"/>
      <c r="I620"/>
      <c r="J620"/>
      <c r="K620"/>
    </row>
    <row r="621" spans="1:32" ht="13.5" customHeight="1" x14ac:dyDescent="0.2">
      <c r="A621">
        <v>2247</v>
      </c>
      <c r="C621" s="80" t="s">
        <v>11979</v>
      </c>
      <c r="D621" s="99" t="s">
        <v>1141</v>
      </c>
      <c r="E621" s="99"/>
      <c r="F621" s="80" t="s">
        <v>11973</v>
      </c>
      <c r="G621"/>
      <c r="I621"/>
      <c r="J621"/>
      <c r="K621"/>
    </row>
    <row r="622" spans="1:32" ht="13.5" customHeight="1" x14ac:dyDescent="0.2">
      <c r="A622">
        <v>2257</v>
      </c>
      <c r="C622" s="80" t="s">
        <v>11974</v>
      </c>
      <c r="D622" s="99" t="s">
        <v>4293</v>
      </c>
      <c r="E622" s="99"/>
      <c r="F622" s="80" t="s">
        <v>11973</v>
      </c>
      <c r="G622"/>
      <c r="I622"/>
      <c r="J622"/>
      <c r="K622"/>
    </row>
    <row r="623" spans="1:32" ht="13.5" customHeight="1" x14ac:dyDescent="0.2">
      <c r="A623">
        <v>2234</v>
      </c>
      <c r="C623" s="80" t="s">
        <v>11977</v>
      </c>
      <c r="D623" s="99" t="s">
        <v>11976</v>
      </c>
      <c r="E623" s="99"/>
      <c r="F623" s="80" t="s">
        <v>11973</v>
      </c>
      <c r="G623"/>
      <c r="I623"/>
      <c r="J623"/>
      <c r="K623"/>
    </row>
    <row r="624" spans="1:32" ht="13.5" customHeight="1" x14ac:dyDescent="0.2">
      <c r="A624">
        <v>2232</v>
      </c>
      <c r="C624" s="80" t="s">
        <v>11975</v>
      </c>
      <c r="D624" s="99" t="s">
        <v>1149</v>
      </c>
      <c r="E624" s="99"/>
      <c r="F624" s="80" t="s">
        <v>11973</v>
      </c>
      <c r="G624"/>
      <c r="I624"/>
      <c r="J624"/>
      <c r="K624"/>
    </row>
    <row r="625" spans="1:11" x14ac:dyDescent="0.2">
      <c r="A625">
        <v>2256</v>
      </c>
      <c r="C625" s="80" t="s">
        <v>12061</v>
      </c>
      <c r="D625" s="99" t="s">
        <v>12062</v>
      </c>
      <c r="E625" s="99"/>
      <c r="F625" s="80" t="s">
        <v>12063</v>
      </c>
      <c r="G625"/>
      <c r="I625"/>
      <c r="J625"/>
      <c r="K625"/>
    </row>
    <row r="626" spans="1:11" x14ac:dyDescent="0.2">
      <c r="C626" s="80" t="s">
        <v>13062</v>
      </c>
      <c r="D626" s="99" t="s">
        <v>5075</v>
      </c>
      <c r="E626" s="99"/>
      <c r="F626" s="80" t="s">
        <v>12154</v>
      </c>
      <c r="G626"/>
      <c r="I626"/>
      <c r="J626"/>
      <c r="K626"/>
    </row>
    <row r="627" spans="1:11" x14ac:dyDescent="0.2">
      <c r="A627">
        <v>2323</v>
      </c>
      <c r="C627" s="80" t="s">
        <v>12663</v>
      </c>
      <c r="D627" s="99" t="s">
        <v>12702</v>
      </c>
      <c r="E627" s="99"/>
      <c r="F627" s="80" t="s">
        <v>12664</v>
      </c>
      <c r="G627"/>
      <c r="I627"/>
      <c r="J627"/>
      <c r="K627"/>
    </row>
    <row r="628" spans="1:11" x14ac:dyDescent="0.2">
      <c r="A628">
        <v>2299</v>
      </c>
      <c r="C628" s="80" t="s">
        <v>12665</v>
      </c>
      <c r="D628" s="99" t="s">
        <v>1146</v>
      </c>
      <c r="E628" s="99"/>
      <c r="F628" s="80" t="s">
        <v>12666</v>
      </c>
      <c r="G628"/>
      <c r="I628"/>
      <c r="J628"/>
      <c r="K628"/>
    </row>
    <row r="629" spans="1:11" x14ac:dyDescent="0.2">
      <c r="C629" s="80" t="s">
        <v>12700</v>
      </c>
      <c r="D629" s="99" t="s">
        <v>9366</v>
      </c>
      <c r="E629" s="99"/>
      <c r="F629" s="80" t="s">
        <v>12697</v>
      </c>
      <c r="G629"/>
      <c r="I629"/>
      <c r="J629"/>
      <c r="K629"/>
    </row>
    <row r="630" spans="1:11" x14ac:dyDescent="0.2">
      <c r="A630">
        <v>2293</v>
      </c>
      <c r="C630" s="80" t="s">
        <v>12355</v>
      </c>
      <c r="D630" s="99" t="s">
        <v>1149</v>
      </c>
      <c r="E630" s="99"/>
      <c r="F630" s="80" t="s">
        <v>12699</v>
      </c>
      <c r="G630"/>
      <c r="I630"/>
      <c r="J630"/>
      <c r="K630"/>
    </row>
    <row r="631" spans="1:11" x14ac:dyDescent="0.2">
      <c r="A631">
        <v>2328</v>
      </c>
      <c r="C631" s="80" t="s">
        <v>12890</v>
      </c>
      <c r="D631" s="99" t="s">
        <v>4292</v>
      </c>
      <c r="E631" s="99"/>
      <c r="F631" s="80" t="s">
        <v>12891</v>
      </c>
      <c r="G631"/>
      <c r="I631"/>
      <c r="J631"/>
      <c r="K631"/>
    </row>
    <row r="632" spans="1:11" x14ac:dyDescent="0.2">
      <c r="C632" s="80" t="s">
        <v>12940</v>
      </c>
      <c r="D632" s="99" t="s">
        <v>13240</v>
      </c>
      <c r="E632" s="99"/>
      <c r="F632" s="80" t="s">
        <v>12939</v>
      </c>
      <c r="G632"/>
      <c r="I632"/>
      <c r="J632"/>
      <c r="K632"/>
    </row>
    <row r="633" spans="1:11" x14ac:dyDescent="0.2">
      <c r="C633" s="80" t="s">
        <v>12996</v>
      </c>
      <c r="D633" s="99" t="s">
        <v>9366</v>
      </c>
      <c r="E633" s="99"/>
      <c r="F633" s="80" t="s">
        <v>12997</v>
      </c>
      <c r="G633"/>
      <c r="I633"/>
      <c r="J633"/>
      <c r="K633"/>
    </row>
    <row r="634" spans="1:11" x14ac:dyDescent="0.2">
      <c r="C634" s="80" t="s">
        <v>13060</v>
      </c>
      <c r="D634" s="99" t="s">
        <v>1151</v>
      </c>
      <c r="E634" s="99"/>
      <c r="F634" s="80" t="s">
        <v>13061</v>
      </c>
      <c r="G634"/>
      <c r="I634"/>
      <c r="J634"/>
      <c r="K634"/>
    </row>
    <row r="635" spans="1:11" x14ac:dyDescent="0.2">
      <c r="C635" s="80" t="s">
        <v>13174</v>
      </c>
      <c r="D635" s="99" t="s">
        <v>9366</v>
      </c>
      <c r="E635" s="99"/>
      <c r="F635" s="80" t="s">
        <v>13175</v>
      </c>
      <c r="G635"/>
      <c r="I635"/>
      <c r="J635"/>
      <c r="K635"/>
    </row>
    <row r="636" spans="1:11" x14ac:dyDescent="0.2">
      <c r="C636" s="80" t="s">
        <v>13233</v>
      </c>
      <c r="D636" s="99" t="s">
        <v>13237</v>
      </c>
      <c r="E636" s="99"/>
      <c r="F636" s="80" t="s">
        <v>13235</v>
      </c>
      <c r="G636"/>
      <c r="I636"/>
      <c r="J636"/>
      <c r="K636"/>
    </row>
    <row r="637" spans="1:11" x14ac:dyDescent="0.2">
      <c r="C637" s="80" t="s">
        <v>13234</v>
      </c>
      <c r="D637" s="99" t="s">
        <v>13238</v>
      </c>
      <c r="E637" s="99"/>
      <c r="F637" s="80" t="s">
        <v>13235</v>
      </c>
      <c r="G637"/>
      <c r="I637"/>
      <c r="J637"/>
      <c r="K637"/>
    </row>
    <row r="638" spans="1:11" x14ac:dyDescent="0.2">
      <c r="C638" s="80" t="s">
        <v>13236</v>
      </c>
      <c r="D638" s="99" t="s">
        <v>13240</v>
      </c>
      <c r="E638" s="99"/>
      <c r="F638" s="80" t="s">
        <v>13235</v>
      </c>
      <c r="G638"/>
      <c r="I638"/>
      <c r="J638"/>
      <c r="K638"/>
    </row>
    <row r="639" spans="1:11" x14ac:dyDescent="0.2">
      <c r="C639" s="80" t="s">
        <v>13239</v>
      </c>
      <c r="D639" s="99" t="s">
        <v>12062</v>
      </c>
      <c r="E639" s="99"/>
      <c r="F639" s="80" t="s">
        <v>13329</v>
      </c>
      <c r="G639"/>
      <c r="I639"/>
      <c r="J639"/>
      <c r="K639"/>
    </row>
    <row r="640" spans="1:11" x14ac:dyDescent="0.2">
      <c r="C640" s="80" t="s">
        <v>13330</v>
      </c>
      <c r="D640" s="99" t="s">
        <v>5075</v>
      </c>
      <c r="E640" s="99"/>
      <c r="F640" s="80" t="s">
        <v>13329</v>
      </c>
      <c r="G640"/>
      <c r="I640"/>
      <c r="J640"/>
      <c r="K640"/>
    </row>
    <row r="641" spans="1:11" x14ac:dyDescent="0.2">
      <c r="C641" s="80" t="s">
        <v>13338</v>
      </c>
      <c r="D641" s="99" t="s">
        <v>13340</v>
      </c>
      <c r="E641" s="99"/>
      <c r="F641" s="80" t="s">
        <v>13339</v>
      </c>
      <c r="G641"/>
      <c r="I641"/>
      <c r="J641"/>
      <c r="K641"/>
    </row>
    <row r="642" spans="1:11" x14ac:dyDescent="0.2">
      <c r="A642">
        <v>2427</v>
      </c>
      <c r="C642" s="80" t="s">
        <v>13376</v>
      </c>
      <c r="D642" s="99" t="s">
        <v>2180</v>
      </c>
      <c r="E642" s="99"/>
      <c r="F642" s="80" t="s">
        <v>13377</v>
      </c>
      <c r="G642"/>
      <c r="I642"/>
      <c r="J642"/>
      <c r="K642"/>
    </row>
    <row r="643" spans="1:11" x14ac:dyDescent="0.2">
      <c r="C643" s="80" t="s">
        <v>15207</v>
      </c>
      <c r="D643" s="99" t="s">
        <v>15208</v>
      </c>
      <c r="E643" s="99"/>
      <c r="F643" s="80" t="s">
        <v>15206</v>
      </c>
      <c r="G643"/>
      <c r="I643"/>
      <c r="J643"/>
      <c r="K643"/>
    </row>
    <row r="644" spans="1:11" x14ac:dyDescent="0.2">
      <c r="A644">
        <v>2452</v>
      </c>
      <c r="C644" s="80" t="s">
        <v>15413</v>
      </c>
      <c r="D644" s="99" t="s">
        <v>2180</v>
      </c>
      <c r="E644" s="99"/>
      <c r="F644" s="80" t="s">
        <v>15409</v>
      </c>
      <c r="G644"/>
      <c r="I644"/>
      <c r="J644"/>
      <c r="K644"/>
    </row>
    <row r="645" spans="1:11" x14ac:dyDescent="0.2">
      <c r="C645" s="80" t="s">
        <v>15412</v>
      </c>
      <c r="D645" s="99" t="s">
        <v>15208</v>
      </c>
      <c r="E645" s="99"/>
      <c r="F645" s="80" t="s">
        <v>15409</v>
      </c>
      <c r="G645"/>
      <c r="I645"/>
      <c r="J645"/>
      <c r="K645"/>
    </row>
    <row r="646" spans="1:11" x14ac:dyDescent="0.2">
      <c r="C646" s="80" t="s">
        <v>15411</v>
      </c>
      <c r="D646" s="99" t="s">
        <v>15208</v>
      </c>
      <c r="E646" s="99"/>
      <c r="F646" s="80" t="s">
        <v>15409</v>
      </c>
      <c r="G646"/>
      <c r="I646"/>
      <c r="J646"/>
      <c r="K646"/>
    </row>
    <row r="647" spans="1:11" x14ac:dyDescent="0.2">
      <c r="A647">
        <v>2460</v>
      </c>
      <c r="C647" s="80" t="s">
        <v>15434</v>
      </c>
      <c r="D647" s="99" t="s">
        <v>5817</v>
      </c>
      <c r="E647" s="99"/>
      <c r="F647" s="80" t="s">
        <v>15435</v>
      </c>
      <c r="G647"/>
      <c r="I647"/>
      <c r="J647"/>
      <c r="K647"/>
    </row>
    <row r="648" spans="1:11" x14ac:dyDescent="0.2">
      <c r="A648">
        <v>2459</v>
      </c>
      <c r="C648" s="80" t="s">
        <v>15447</v>
      </c>
      <c r="D648" s="99" t="s">
        <v>5075</v>
      </c>
      <c r="E648" s="99"/>
      <c r="F648" s="80" t="s">
        <v>15435</v>
      </c>
      <c r="G648"/>
      <c r="I648"/>
      <c r="J648"/>
      <c r="K648"/>
    </row>
    <row r="649" spans="1:11" x14ac:dyDescent="0.2">
      <c r="A649">
        <v>2446</v>
      </c>
      <c r="C649" s="80" t="s">
        <v>15452</v>
      </c>
      <c r="D649" s="99" t="s">
        <v>15450</v>
      </c>
      <c r="E649" s="99"/>
      <c r="F649" s="80" t="s">
        <v>15537</v>
      </c>
      <c r="G649"/>
      <c r="I649"/>
      <c r="J649"/>
      <c r="K649"/>
    </row>
    <row r="650" spans="1:11" x14ac:dyDescent="0.2">
      <c r="C650" s="80" t="s">
        <v>15536</v>
      </c>
      <c r="D650" s="99" t="s">
        <v>9366</v>
      </c>
      <c r="E650" s="99"/>
      <c r="F650" s="80" t="s">
        <v>15537</v>
      </c>
      <c r="G650"/>
      <c r="I650"/>
      <c r="J650"/>
      <c r="K650"/>
    </row>
    <row r="651" spans="1:11" x14ac:dyDescent="0.2">
      <c r="C651" s="80" t="s">
        <v>15538</v>
      </c>
      <c r="D651" s="99" t="s">
        <v>15208</v>
      </c>
      <c r="E651" s="99"/>
      <c r="F651" s="80" t="s">
        <v>15537</v>
      </c>
      <c r="G651"/>
      <c r="H651" t="s">
        <v>693</v>
      </c>
      <c r="I651"/>
      <c r="J651"/>
      <c r="K651"/>
    </row>
    <row r="652" spans="1:11" x14ac:dyDescent="0.2">
      <c r="C652" s="80" t="s">
        <v>15619</v>
      </c>
      <c r="D652" s="99" t="s">
        <v>5817</v>
      </c>
      <c r="E652" s="99"/>
      <c r="F652" s="80" t="s">
        <v>15620</v>
      </c>
      <c r="G652"/>
      <c r="I652"/>
      <c r="J652"/>
      <c r="K652"/>
    </row>
    <row r="653" spans="1:11" x14ac:dyDescent="0.2">
      <c r="C653" s="80" t="s">
        <v>15621</v>
      </c>
      <c r="D653" s="99" t="s">
        <v>15208</v>
      </c>
      <c r="E653" s="99"/>
      <c r="F653" s="80" t="s">
        <v>15620</v>
      </c>
      <c r="G653"/>
      <c r="H653" s="80" t="s">
        <v>2729</v>
      </c>
      <c r="I653"/>
      <c r="J653"/>
      <c r="K653"/>
    </row>
    <row r="654" spans="1:11" x14ac:dyDescent="0.2">
      <c r="C654" s="80" t="s">
        <v>15779</v>
      </c>
      <c r="D654" s="99" t="s">
        <v>9366</v>
      </c>
      <c r="E654" s="99"/>
      <c r="F654" s="80" t="s">
        <v>15780</v>
      </c>
      <c r="G654"/>
      <c r="I654"/>
      <c r="J654"/>
      <c r="K654"/>
    </row>
    <row r="655" spans="1:11" x14ac:dyDescent="0.2">
      <c r="C655" s="80" t="s">
        <v>15778</v>
      </c>
      <c r="D655" s="99" t="s">
        <v>4293</v>
      </c>
      <c r="E655" s="99"/>
      <c r="F655" s="80" t="s">
        <v>15780</v>
      </c>
      <c r="G655"/>
      <c r="I655"/>
      <c r="J655"/>
      <c r="K655"/>
    </row>
    <row r="656" spans="1:11" x14ac:dyDescent="0.2">
      <c r="A656">
        <v>2501</v>
      </c>
      <c r="C656" s="80" t="s">
        <v>15784</v>
      </c>
      <c r="D656" s="99" t="s">
        <v>5075</v>
      </c>
      <c r="E656" s="99"/>
      <c r="F656" s="80" t="s">
        <v>15785</v>
      </c>
      <c r="G656"/>
      <c r="I656"/>
      <c r="J656"/>
      <c r="K656"/>
    </row>
    <row r="657" spans="1:11" x14ac:dyDescent="0.2">
      <c r="A657">
        <v>2509</v>
      </c>
      <c r="C657" s="80" t="s">
        <v>15829</v>
      </c>
      <c r="D657" s="99"/>
      <c r="E657" s="99"/>
      <c r="F657" s="80" t="s">
        <v>15830</v>
      </c>
      <c r="G657"/>
      <c r="I657"/>
      <c r="J657"/>
      <c r="K657"/>
    </row>
    <row r="658" spans="1:11" x14ac:dyDescent="0.2">
      <c r="C658" s="80" t="s">
        <v>15870</v>
      </c>
      <c r="D658" s="99" t="s">
        <v>9366</v>
      </c>
      <c r="E658" s="99"/>
      <c r="F658" s="80"/>
      <c r="G658"/>
      <c r="I658"/>
      <c r="J658"/>
      <c r="K658"/>
    </row>
    <row r="659" spans="1:11" x14ac:dyDescent="0.2">
      <c r="C659" s="80" t="s">
        <v>15899</v>
      </c>
      <c r="D659" s="99" t="s">
        <v>5075</v>
      </c>
      <c r="E659" s="99"/>
      <c r="F659" s="80"/>
      <c r="G659"/>
      <c r="I659"/>
      <c r="J659"/>
      <c r="K659"/>
    </row>
    <row r="660" spans="1:11" x14ac:dyDescent="0.2">
      <c r="C660" s="80" t="s">
        <v>15900</v>
      </c>
      <c r="D660" s="99" t="s">
        <v>15907</v>
      </c>
      <c r="E660" s="99"/>
      <c r="F660" s="80" t="s">
        <v>15906</v>
      </c>
      <c r="G660"/>
      <c r="I660"/>
      <c r="J660"/>
      <c r="K660"/>
    </row>
    <row r="661" spans="1:11" x14ac:dyDescent="0.2">
      <c r="A661">
        <v>2514</v>
      </c>
      <c r="C661" s="80" t="s">
        <v>15901</v>
      </c>
      <c r="D661" s="99" t="s">
        <v>15908</v>
      </c>
      <c r="E661" s="99"/>
      <c r="F661" s="80" t="s">
        <v>15906</v>
      </c>
      <c r="G661"/>
      <c r="I661"/>
      <c r="J661"/>
      <c r="K661"/>
    </row>
    <row r="662" spans="1:11" x14ac:dyDescent="0.2">
      <c r="A662">
        <v>2532</v>
      </c>
      <c r="C662" s="80" t="s">
        <v>15909</v>
      </c>
      <c r="D662" s="99" t="s">
        <v>5817</v>
      </c>
      <c r="E662" s="99"/>
      <c r="F662" s="80" t="s">
        <v>15906</v>
      </c>
      <c r="G662"/>
      <c r="I662"/>
      <c r="J662"/>
      <c r="K662"/>
    </row>
    <row r="663" spans="1:11" x14ac:dyDescent="0.2">
      <c r="C663" s="80" t="s">
        <v>15902</v>
      </c>
      <c r="D663" s="99" t="s">
        <v>15908</v>
      </c>
      <c r="E663" s="99"/>
      <c r="F663" s="80" t="s">
        <v>15903</v>
      </c>
      <c r="G663"/>
      <c r="I663"/>
      <c r="J663"/>
      <c r="K663"/>
    </row>
    <row r="664" spans="1:11" x14ac:dyDescent="0.2">
      <c r="C664" s="80" t="s">
        <v>15904</v>
      </c>
      <c r="D664" s="99" t="s">
        <v>5075</v>
      </c>
      <c r="E664" s="99"/>
      <c r="F664" s="80" t="s">
        <v>15903</v>
      </c>
      <c r="G664"/>
      <c r="I664"/>
      <c r="J664"/>
      <c r="K664"/>
    </row>
    <row r="665" spans="1:11" x14ac:dyDescent="0.2">
      <c r="A665">
        <v>2507</v>
      </c>
      <c r="C665" s="80" t="s">
        <v>15905</v>
      </c>
      <c r="D665" s="99" t="s">
        <v>5075</v>
      </c>
      <c r="E665" s="99"/>
      <c r="F665" s="80" t="s">
        <v>15903</v>
      </c>
      <c r="G665"/>
      <c r="I665"/>
      <c r="J665"/>
      <c r="K665"/>
    </row>
    <row r="666" spans="1:11" x14ac:dyDescent="0.2">
      <c r="C666" s="80" t="s">
        <v>16890</v>
      </c>
      <c r="D666" s="99" t="s">
        <v>2180</v>
      </c>
      <c r="E666" s="99"/>
      <c r="F666" s="80" t="s">
        <v>15975</v>
      </c>
      <c r="G666"/>
      <c r="I666"/>
      <c r="J666"/>
      <c r="K666"/>
    </row>
    <row r="667" spans="1:11" x14ac:dyDescent="0.2">
      <c r="C667" s="80" t="s">
        <v>15973</v>
      </c>
      <c r="D667" s="99" t="s">
        <v>15208</v>
      </c>
      <c r="E667" s="99"/>
      <c r="F667" s="80" t="s">
        <v>15975</v>
      </c>
      <c r="G667"/>
      <c r="I667"/>
      <c r="J667"/>
      <c r="K667"/>
    </row>
    <row r="668" spans="1:11" x14ac:dyDescent="0.2">
      <c r="C668" s="80" t="s">
        <v>15974</v>
      </c>
      <c r="D668" s="99" t="s">
        <v>2180</v>
      </c>
      <c r="E668" s="99"/>
      <c r="F668" s="80" t="s">
        <v>15975</v>
      </c>
      <c r="G668"/>
      <c r="I668"/>
      <c r="J668"/>
      <c r="K668"/>
    </row>
    <row r="669" spans="1:11" x14ac:dyDescent="0.2">
      <c r="A669">
        <v>2552</v>
      </c>
      <c r="C669" s="80" t="s">
        <v>16058</v>
      </c>
      <c r="D669" s="99" t="s">
        <v>16057</v>
      </c>
      <c r="E669" s="99"/>
      <c r="F669" s="80" t="s">
        <v>16059</v>
      </c>
      <c r="G669"/>
      <c r="I669"/>
      <c r="J669"/>
      <c r="K669"/>
    </row>
    <row r="670" spans="1:11" x14ac:dyDescent="0.2">
      <c r="A670">
        <v>2555</v>
      </c>
      <c r="C670" s="80" t="s">
        <v>16183</v>
      </c>
      <c r="D670" s="99" t="s">
        <v>529</v>
      </c>
      <c r="E670" s="99"/>
      <c r="F670" s="523">
        <v>43799</v>
      </c>
      <c r="G670"/>
      <c r="I670"/>
      <c r="J670"/>
      <c r="K670"/>
    </row>
    <row r="671" spans="1:11" x14ac:dyDescent="0.2">
      <c r="C671" s="80" t="s">
        <v>16241</v>
      </c>
      <c r="D671" s="99" t="s">
        <v>5817</v>
      </c>
      <c r="E671" s="99"/>
      <c r="F671" s="523" t="s">
        <v>16246</v>
      </c>
      <c r="G671"/>
      <c r="I671"/>
      <c r="J671"/>
      <c r="K671"/>
    </row>
    <row r="672" spans="1:11" x14ac:dyDescent="0.2">
      <c r="C672" s="80" t="s">
        <v>16242</v>
      </c>
      <c r="D672" s="99" t="s">
        <v>5154</v>
      </c>
      <c r="E672" s="99"/>
      <c r="F672" s="523" t="s">
        <v>16246</v>
      </c>
      <c r="G672"/>
      <c r="I672"/>
      <c r="J672"/>
      <c r="K672"/>
    </row>
    <row r="673" spans="1:11" x14ac:dyDescent="0.2">
      <c r="C673" s="80" t="s">
        <v>16243</v>
      </c>
      <c r="D673" s="99" t="s">
        <v>5075</v>
      </c>
      <c r="E673" s="99"/>
      <c r="F673" s="523" t="s">
        <v>16246</v>
      </c>
      <c r="G673"/>
      <c r="I673"/>
      <c r="J673"/>
      <c r="K673"/>
    </row>
    <row r="674" spans="1:11" x14ac:dyDescent="0.2">
      <c r="C674" s="80" t="s">
        <v>16244</v>
      </c>
      <c r="D674" s="99" t="s">
        <v>5817</v>
      </c>
      <c r="E674" s="99"/>
      <c r="F674" s="523" t="s">
        <v>16246</v>
      </c>
      <c r="G674"/>
      <c r="I674"/>
      <c r="J674"/>
      <c r="K674"/>
    </row>
    <row r="675" spans="1:11" x14ac:dyDescent="0.2">
      <c r="C675" s="80" t="s">
        <v>16245</v>
      </c>
      <c r="D675" s="99" t="s">
        <v>4126</v>
      </c>
      <c r="E675" s="99"/>
      <c r="F675" s="523" t="s">
        <v>16246</v>
      </c>
      <c r="G675"/>
      <c r="I675"/>
      <c r="J675"/>
      <c r="K675"/>
    </row>
    <row r="676" spans="1:11" x14ac:dyDescent="0.2">
      <c r="A676">
        <v>2600</v>
      </c>
      <c r="C676" s="80" t="s">
        <v>16720</v>
      </c>
      <c r="D676" s="99" t="s">
        <v>5075</v>
      </c>
      <c r="E676" s="99"/>
      <c r="F676" s="523" t="s">
        <v>16721</v>
      </c>
      <c r="G676"/>
      <c r="I676"/>
      <c r="J676"/>
      <c r="K676"/>
    </row>
    <row r="677" spans="1:11" x14ac:dyDescent="0.2">
      <c r="A677">
        <v>2611</v>
      </c>
      <c r="C677" s="80" t="s">
        <v>16722</v>
      </c>
      <c r="D677" s="99" t="s">
        <v>16889</v>
      </c>
      <c r="E677" s="99"/>
      <c r="F677" s="523" t="s">
        <v>16721</v>
      </c>
      <c r="G677"/>
      <c r="I677"/>
      <c r="J677"/>
      <c r="K677"/>
    </row>
    <row r="678" spans="1:11" x14ac:dyDescent="0.2">
      <c r="A678">
        <v>2599</v>
      </c>
      <c r="C678" s="80" t="s">
        <v>16723</v>
      </c>
      <c r="D678" s="99" t="s">
        <v>5817</v>
      </c>
      <c r="E678" s="99"/>
      <c r="F678" s="523" t="s">
        <v>16721</v>
      </c>
      <c r="G678"/>
      <c r="I678"/>
      <c r="J678"/>
      <c r="K678"/>
    </row>
    <row r="679" spans="1:11" x14ac:dyDescent="0.2">
      <c r="C679" s="80" t="s">
        <v>16726</v>
      </c>
      <c r="D679" s="99"/>
      <c r="E679" s="99"/>
      <c r="F679" s="523" t="s">
        <v>16725</v>
      </c>
      <c r="G679"/>
      <c r="I679"/>
      <c r="J679"/>
      <c r="K679"/>
    </row>
    <row r="680" spans="1:11" x14ac:dyDescent="0.2">
      <c r="A680">
        <v>2596</v>
      </c>
      <c r="C680" s="80" t="s">
        <v>16724</v>
      </c>
      <c r="D680" s="99" t="s">
        <v>5075</v>
      </c>
      <c r="E680" s="99"/>
      <c r="F680" s="523" t="s">
        <v>16725</v>
      </c>
      <c r="G680"/>
      <c r="I680"/>
      <c r="J680"/>
      <c r="K680"/>
    </row>
    <row r="681" spans="1:11" x14ac:dyDescent="0.2">
      <c r="A681">
        <v>2613</v>
      </c>
      <c r="C681" s="80" t="s">
        <v>16793</v>
      </c>
      <c r="D681" s="99" t="s">
        <v>9366</v>
      </c>
      <c r="E681" s="99"/>
      <c r="F681" s="523" t="s">
        <v>16792</v>
      </c>
      <c r="G681"/>
      <c r="I681"/>
      <c r="J681"/>
      <c r="K681"/>
    </row>
    <row r="682" spans="1:11" x14ac:dyDescent="0.2">
      <c r="A682">
        <v>2607</v>
      </c>
      <c r="C682" s="80" t="s">
        <v>16794</v>
      </c>
      <c r="D682" s="99" t="s">
        <v>529</v>
      </c>
      <c r="E682" s="99"/>
      <c r="F682" s="523" t="s">
        <v>16792</v>
      </c>
      <c r="G682"/>
      <c r="I682"/>
      <c r="J682"/>
      <c r="K682"/>
    </row>
    <row r="683" spans="1:11" x14ac:dyDescent="0.2">
      <c r="C683" s="80" t="s">
        <v>16795</v>
      </c>
      <c r="D683" s="99"/>
      <c r="E683" s="99"/>
      <c r="F683" s="523" t="s">
        <v>16792</v>
      </c>
      <c r="G683"/>
      <c r="I683"/>
      <c r="J683"/>
      <c r="K683"/>
    </row>
    <row r="684" spans="1:11" x14ac:dyDescent="0.2">
      <c r="A684">
        <v>2620</v>
      </c>
      <c r="C684" s="80" t="s">
        <v>16796</v>
      </c>
      <c r="D684" s="99" t="s">
        <v>16057</v>
      </c>
      <c r="E684" s="99"/>
      <c r="F684" s="523" t="s">
        <v>16792</v>
      </c>
      <c r="G684"/>
      <c r="I684"/>
      <c r="J684"/>
      <c r="K684"/>
    </row>
    <row r="685" spans="1:11" x14ac:dyDescent="0.2">
      <c r="C685" s="80" t="s">
        <v>16883</v>
      </c>
      <c r="D685" s="99" t="s">
        <v>15208</v>
      </c>
      <c r="E685" s="99"/>
      <c r="F685" s="523" t="s">
        <v>16884</v>
      </c>
      <c r="G685"/>
      <c r="I685"/>
      <c r="J685"/>
      <c r="K685"/>
    </row>
    <row r="686" spans="1:11" x14ac:dyDescent="0.2">
      <c r="C686" s="80" t="s">
        <v>16940</v>
      </c>
      <c r="D686" s="99" t="s">
        <v>9847</v>
      </c>
      <c r="E686" s="99"/>
      <c r="F686" s="523" t="s">
        <v>16941</v>
      </c>
      <c r="G686"/>
      <c r="I686"/>
      <c r="J686"/>
      <c r="K686"/>
    </row>
    <row r="687" spans="1:11" x14ac:dyDescent="0.2">
      <c r="C687" s="80" t="s">
        <v>16942</v>
      </c>
      <c r="D687" s="99" t="s">
        <v>529</v>
      </c>
      <c r="E687" s="99"/>
      <c r="F687" s="523"/>
      <c r="G687"/>
      <c r="I687"/>
      <c r="J687"/>
      <c r="K687"/>
    </row>
    <row r="688" spans="1:11" ht="12" customHeight="1" x14ac:dyDescent="0.2">
      <c r="C688" s="80" t="s">
        <v>17194</v>
      </c>
      <c r="D688" s="99" t="s">
        <v>9847</v>
      </c>
      <c r="E688" s="99"/>
      <c r="F688" s="523" t="s">
        <v>17193</v>
      </c>
      <c r="G688"/>
      <c r="H688" s="80" t="s">
        <v>17195</v>
      </c>
      <c r="I688"/>
      <c r="J688"/>
      <c r="K688"/>
    </row>
    <row r="689" spans="3:15" ht="12" customHeight="1" x14ac:dyDescent="0.2">
      <c r="C689" s="80" t="s">
        <v>17196</v>
      </c>
      <c r="D689" s="99" t="s">
        <v>13240</v>
      </c>
      <c r="E689" s="99"/>
      <c r="F689" s="523" t="s">
        <v>17193</v>
      </c>
      <c r="G689"/>
      <c r="I689"/>
      <c r="J689"/>
      <c r="K689"/>
    </row>
    <row r="690" spans="3:15" ht="12" customHeight="1" x14ac:dyDescent="0.2">
      <c r="C690" s="80" t="s">
        <v>17197</v>
      </c>
      <c r="D690" s="99" t="s">
        <v>2717</v>
      </c>
      <c r="E690" s="99"/>
      <c r="F690" s="523" t="s">
        <v>17193</v>
      </c>
      <c r="G690"/>
      <c r="I690"/>
      <c r="J690"/>
      <c r="K690"/>
    </row>
    <row r="691" spans="3:15" ht="12" customHeight="1" x14ac:dyDescent="0.2">
      <c r="C691" s="80" t="s">
        <v>17198</v>
      </c>
      <c r="D691" s="99" t="s">
        <v>13240</v>
      </c>
      <c r="E691" s="99"/>
      <c r="F691" s="523" t="s">
        <v>17193</v>
      </c>
      <c r="G691"/>
      <c r="I691"/>
      <c r="J691"/>
      <c r="K691"/>
    </row>
    <row r="692" spans="3:15" ht="12" customHeight="1" x14ac:dyDescent="0.2">
      <c r="C692" s="80" t="s">
        <v>17199</v>
      </c>
      <c r="D692" s="99" t="s">
        <v>9847</v>
      </c>
      <c r="E692" s="99"/>
      <c r="F692" s="523" t="s">
        <v>17193</v>
      </c>
      <c r="G692"/>
      <c r="I692"/>
      <c r="J692"/>
      <c r="K692"/>
    </row>
    <row r="693" spans="3:15" ht="12" customHeight="1" x14ac:dyDescent="0.2">
      <c r="C693" s="80" t="s">
        <v>17252</v>
      </c>
      <c r="D693" s="99" t="s">
        <v>15208</v>
      </c>
      <c r="E693" s="99"/>
      <c r="F693" s="523" t="s">
        <v>17255</v>
      </c>
      <c r="G693"/>
      <c r="H693" s="80" t="s">
        <v>1147</v>
      </c>
      <c r="I693"/>
      <c r="J693"/>
      <c r="K693"/>
    </row>
    <row r="694" spans="3:15" ht="12" customHeight="1" x14ac:dyDescent="0.2">
      <c r="C694" s="80" t="s">
        <v>17253</v>
      </c>
      <c r="D694" s="99" t="s">
        <v>5075</v>
      </c>
      <c r="E694" s="99"/>
      <c r="F694" s="523" t="s">
        <v>17255</v>
      </c>
      <c r="G694"/>
      <c r="H694" s="80" t="s">
        <v>17256</v>
      </c>
      <c r="I694"/>
      <c r="J694"/>
      <c r="K694"/>
    </row>
    <row r="695" spans="3:15" ht="12" customHeight="1" x14ac:dyDescent="0.2">
      <c r="C695" s="80" t="s">
        <v>17254</v>
      </c>
      <c r="D695" s="99" t="s">
        <v>5817</v>
      </c>
      <c r="E695" s="99"/>
      <c r="F695" s="523" t="s">
        <v>17255</v>
      </c>
      <c r="G695"/>
      <c r="H695" s="80" t="s">
        <v>5186</v>
      </c>
      <c r="I695"/>
      <c r="J695"/>
      <c r="K695"/>
    </row>
    <row r="696" spans="3:15" ht="12" customHeight="1" x14ac:dyDescent="0.2">
      <c r="C696" s="80" t="s">
        <v>17329</v>
      </c>
      <c r="D696" s="99"/>
      <c r="E696" s="99"/>
      <c r="F696" s="523"/>
      <c r="G696"/>
      <c r="I696"/>
      <c r="J696"/>
      <c r="K696"/>
    </row>
    <row r="697" spans="3:15" ht="12" customHeight="1" x14ac:dyDescent="0.2">
      <c r="C697" s="80"/>
      <c r="D697" s="99"/>
      <c r="E697" s="99"/>
      <c r="F697" s="523"/>
      <c r="G697"/>
      <c r="I697"/>
      <c r="J697"/>
      <c r="K697"/>
    </row>
    <row r="698" spans="3:15" ht="12" customHeight="1" x14ac:dyDescent="0.2">
      <c r="C698" s="80"/>
      <c r="D698" s="99"/>
      <c r="E698" s="99"/>
      <c r="F698" s="523"/>
      <c r="G698"/>
      <c r="I698"/>
      <c r="J698"/>
      <c r="K698"/>
    </row>
    <row r="699" spans="3:15" ht="12" customHeight="1" x14ac:dyDescent="0.2">
      <c r="C699" s="80"/>
      <c r="D699" s="99"/>
      <c r="E699" s="99"/>
      <c r="F699" s="523"/>
      <c r="G699"/>
      <c r="I699"/>
      <c r="J699"/>
      <c r="K699"/>
    </row>
    <row r="700" spans="3:15" x14ac:dyDescent="0.2">
      <c r="C700" t="s">
        <v>13481</v>
      </c>
      <c r="F700" s="6"/>
      <c r="L700" s="9" t="s">
        <v>1367</v>
      </c>
      <c r="M700" s="3">
        <f>SUM(M5:M606)/COUNT(M5:M606)</f>
        <v>7.1946921998566644</v>
      </c>
      <c r="N700" s="3">
        <f>SUM(N5:N606)/COUNT(N5:N606)</f>
        <v>1.1176228218379396E-2</v>
      </c>
      <c r="O700" s="3">
        <f>SUM(O5:O606)/COUNT(O5:O606)</f>
        <v>1.2949273197929099E-2</v>
      </c>
    </row>
    <row r="701" spans="3:15" x14ac:dyDescent="0.2">
      <c r="C701" s="80" t="s">
        <v>10351</v>
      </c>
      <c r="D701" s="11"/>
      <c r="F701" s="6"/>
    </row>
    <row r="702" spans="3:15" x14ac:dyDescent="0.2">
      <c r="C702" s="80" t="s">
        <v>9507</v>
      </c>
      <c r="D702" s="11"/>
      <c r="F702" s="6"/>
    </row>
    <row r="703" spans="3:15" x14ac:dyDescent="0.2">
      <c r="C703" s="5" t="s">
        <v>657</v>
      </c>
      <c r="D703" s="11"/>
      <c r="F703" s="6"/>
    </row>
    <row r="704" spans="3:15" x14ac:dyDescent="0.2">
      <c r="C704" s="5" t="s">
        <v>2013</v>
      </c>
      <c r="D704" s="11"/>
      <c r="F704" s="6"/>
    </row>
    <row r="705" spans="3:8" x14ac:dyDescent="0.2">
      <c r="C705" s="522" t="s">
        <v>8132</v>
      </c>
      <c r="D705" s="5"/>
      <c r="E705" s="5"/>
      <c r="F705" s="5"/>
    </row>
    <row r="706" spans="3:8" x14ac:dyDescent="0.2">
      <c r="C706" s="140" t="s">
        <v>3193</v>
      </c>
      <c r="D706" s="5"/>
      <c r="E706" s="5"/>
      <c r="F706" s="5"/>
    </row>
    <row r="707" spans="3:8" x14ac:dyDescent="0.2">
      <c r="C707" s="140" t="s">
        <v>3419</v>
      </c>
      <c r="D707" s="5"/>
      <c r="E707" s="5"/>
      <c r="F707" s="5"/>
      <c r="G707" s="32"/>
      <c r="H707" s="5"/>
    </row>
    <row r="708" spans="3:8" x14ac:dyDescent="0.2">
      <c r="C708" s="140" t="s">
        <v>3420</v>
      </c>
      <c r="D708" s="5"/>
      <c r="E708" s="5"/>
      <c r="F708" s="5"/>
      <c r="G708" s="32"/>
      <c r="H708" s="5" t="s">
        <v>4672</v>
      </c>
    </row>
    <row r="709" spans="3:8" x14ac:dyDescent="0.2">
      <c r="C709" s="522" t="s">
        <v>9809</v>
      </c>
      <c r="D709" s="5"/>
      <c r="E709" s="5"/>
      <c r="F709" s="5"/>
    </row>
    <row r="710" spans="3:8" x14ac:dyDescent="0.2">
      <c r="C710" s="522" t="s">
        <v>13063</v>
      </c>
      <c r="D710" s="5"/>
      <c r="E710" s="5"/>
    </row>
    <row r="711" spans="3:8" x14ac:dyDescent="0.2">
      <c r="C711" s="140" t="s">
        <v>1568</v>
      </c>
      <c r="D711" s="5"/>
      <c r="E711" s="5"/>
    </row>
    <row r="712" spans="3:8" x14ac:dyDescent="0.2">
      <c r="C712" s="522" t="s">
        <v>6392</v>
      </c>
      <c r="D712" s="5"/>
      <c r="E712" s="5"/>
    </row>
    <row r="713" spans="3:8" x14ac:dyDescent="0.2">
      <c r="C713" s="522" t="s">
        <v>7568</v>
      </c>
    </row>
    <row r="714" spans="3:8" x14ac:dyDescent="0.2">
      <c r="C714" s="522" t="s">
        <v>7694</v>
      </c>
    </row>
    <row r="715" spans="3:8" x14ac:dyDescent="0.2">
      <c r="C715" s="522" t="s">
        <v>7726</v>
      </c>
    </row>
    <row r="716" spans="3:8" x14ac:dyDescent="0.2">
      <c r="C716" s="522" t="s">
        <v>7759</v>
      </c>
    </row>
    <row r="717" spans="3:8" x14ac:dyDescent="0.2">
      <c r="C717" s="522" t="s">
        <v>12746</v>
      </c>
    </row>
    <row r="718" spans="3:8" x14ac:dyDescent="0.2">
      <c r="C718" s="522" t="s">
        <v>13341</v>
      </c>
    </row>
    <row r="719" spans="3:8" x14ac:dyDescent="0.2">
      <c r="C719" s="522" t="s">
        <v>9128</v>
      </c>
    </row>
    <row r="720" spans="3:8" x14ac:dyDescent="0.2">
      <c r="C720" s="522" t="s">
        <v>13342</v>
      </c>
      <c r="H720" s="80"/>
    </row>
    <row r="721" spans="3:10" x14ac:dyDescent="0.2">
      <c r="C721" s="522" t="s">
        <v>9456</v>
      </c>
      <c r="H721" s="80"/>
    </row>
    <row r="722" spans="3:10" x14ac:dyDescent="0.2">
      <c r="C722" s="522" t="s">
        <v>13343</v>
      </c>
      <c r="H722" s="80"/>
    </row>
    <row r="723" spans="3:10" x14ac:dyDescent="0.2">
      <c r="C723" s="522" t="s">
        <v>10917</v>
      </c>
      <c r="H723" s="80"/>
    </row>
    <row r="724" spans="3:10" x14ac:dyDescent="0.2">
      <c r="C724" s="522" t="s">
        <v>10976</v>
      </c>
      <c r="H724" s="80"/>
    </row>
    <row r="725" spans="3:10" x14ac:dyDescent="0.2">
      <c r="C725" s="522" t="s">
        <v>16351</v>
      </c>
      <c r="H725" s="80"/>
    </row>
    <row r="726" spans="3:10" x14ac:dyDescent="0.2">
      <c r="C726" s="12" t="s">
        <v>5739</v>
      </c>
    </row>
    <row r="727" spans="3:10" x14ac:dyDescent="0.2">
      <c r="C727" s="12"/>
    </row>
    <row r="728" spans="3:10" x14ac:dyDescent="0.2">
      <c r="C728" s="12" t="s">
        <v>4568</v>
      </c>
    </row>
    <row r="729" spans="3:10" x14ac:dyDescent="0.2">
      <c r="C729" s="522" t="s">
        <v>4563</v>
      </c>
      <c r="H729" s="197" t="s">
        <v>9153</v>
      </c>
    </row>
    <row r="730" spans="3:10" x14ac:dyDescent="0.2">
      <c r="C730" s="140" t="s">
        <v>4200</v>
      </c>
      <c r="H730" s="206" t="s">
        <v>4596</v>
      </c>
      <c r="I730" s="1">
        <v>2.2141203703703705E-2</v>
      </c>
    </row>
    <row r="731" spans="3:10" x14ac:dyDescent="0.2">
      <c r="C731" s="140" t="s">
        <v>1032</v>
      </c>
      <c r="H731" s="206" t="s">
        <v>4596</v>
      </c>
      <c r="I731" s="1">
        <v>1.7881944444444443E-2</v>
      </c>
    </row>
    <row r="732" spans="3:10" x14ac:dyDescent="0.2">
      <c r="C732" s="140" t="s">
        <v>755</v>
      </c>
      <c r="H732" s="206" t="s">
        <v>756</v>
      </c>
      <c r="I732" s="1">
        <v>1.8564814814814815E-2</v>
      </c>
    </row>
    <row r="733" spans="3:10" x14ac:dyDescent="0.2">
      <c r="C733" s="140" t="s">
        <v>2433</v>
      </c>
      <c r="H733" s="206" t="s">
        <v>5903</v>
      </c>
      <c r="I733" s="1">
        <v>1.8738425925925926E-2</v>
      </c>
    </row>
    <row r="734" spans="3:10" x14ac:dyDescent="0.2">
      <c r="C734" s="522" t="s">
        <v>8218</v>
      </c>
      <c r="H734" s="859" t="s">
        <v>10350</v>
      </c>
      <c r="I734" s="1">
        <v>1.9293981481481485E-2</v>
      </c>
      <c r="J734" s="334" t="s">
        <v>16943</v>
      </c>
    </row>
    <row r="735" spans="3:10" x14ac:dyDescent="0.2">
      <c r="C735" s="140"/>
      <c r="H735" s="206"/>
    </row>
    <row r="736" spans="3:10" x14ac:dyDescent="0.2">
      <c r="C736" s="370" t="s">
        <v>9461</v>
      </c>
      <c r="D736" s="197"/>
      <c r="E736" s="197"/>
      <c r="F736" s="197"/>
      <c r="G736" s="265"/>
      <c r="H736" s="197"/>
    </row>
    <row r="737" spans="3:12" x14ac:dyDescent="0.2">
      <c r="C737" s="370" t="s">
        <v>5913</v>
      </c>
      <c r="D737" s="197"/>
      <c r="E737" s="197"/>
      <c r="F737" s="197"/>
      <c r="G737" s="265"/>
      <c r="H737" s="197"/>
    </row>
    <row r="738" spans="3:12" x14ac:dyDescent="0.2">
      <c r="C738" s="370" t="s">
        <v>3214</v>
      </c>
      <c r="D738" s="197"/>
      <c r="E738" s="197"/>
      <c r="F738" s="197"/>
      <c r="G738" s="265"/>
      <c r="H738" s="197"/>
      <c r="I738" s="265"/>
      <c r="J738" s="265"/>
      <c r="K738" s="265"/>
      <c r="L738" s="321"/>
    </row>
    <row r="739" spans="3:12" x14ac:dyDescent="0.2">
      <c r="C739" s="634" t="s">
        <v>7726</v>
      </c>
      <c r="D739" s="513"/>
      <c r="E739" s="513"/>
      <c r="F739" s="513"/>
      <c r="G739" s="512"/>
      <c r="H739" s="513"/>
      <c r="I739" s="512"/>
    </row>
    <row r="740" spans="3:12" x14ac:dyDescent="0.2">
      <c r="C740" s="370" t="s">
        <v>8217</v>
      </c>
      <c r="D740" s="197"/>
      <c r="E740" s="197"/>
      <c r="F740" s="197"/>
      <c r="G740" s="265"/>
      <c r="H740" s="197"/>
    </row>
    <row r="741" spans="3:12" x14ac:dyDescent="0.2">
      <c r="C741" s="370" t="s">
        <v>8149</v>
      </c>
      <c r="D741" s="197"/>
      <c r="E741" s="197"/>
      <c r="F741" s="197"/>
      <c r="G741" s="265"/>
      <c r="H741" s="197"/>
    </row>
    <row r="742" spans="3:12" x14ac:dyDescent="0.2">
      <c r="C742" s="370" t="s">
        <v>8148</v>
      </c>
      <c r="D742" s="197"/>
      <c r="E742" s="197"/>
      <c r="F742" s="197" t="s">
        <v>8147</v>
      </c>
      <c r="G742" s="265"/>
      <c r="H742" s="197"/>
    </row>
    <row r="743" spans="3:12" x14ac:dyDescent="0.2">
      <c r="C743" s="370" t="s">
        <v>8185</v>
      </c>
      <c r="D743" s="197"/>
      <c r="E743" s="197"/>
      <c r="F743" s="197"/>
      <c r="G743" s="265"/>
      <c r="H743" s="197"/>
    </row>
    <row r="744" spans="3:12" x14ac:dyDescent="0.2">
      <c r="C744" s="370" t="s">
        <v>12073</v>
      </c>
      <c r="D744" s="197"/>
      <c r="E744" s="197"/>
      <c r="F744" s="197"/>
      <c r="G744" s="265"/>
      <c r="H744" s="197"/>
    </row>
    <row r="745" spans="3:12" x14ac:dyDescent="0.2">
      <c r="C745" s="370" t="s">
        <v>13477</v>
      </c>
      <c r="D745" s="197"/>
      <c r="E745" s="197" t="s">
        <v>12083</v>
      </c>
      <c r="F745" s="197"/>
      <c r="G745" s="265"/>
      <c r="H745" s="197"/>
    </row>
    <row r="746" spans="3:12" x14ac:dyDescent="0.2">
      <c r="C746" s="370" t="s">
        <v>13476</v>
      </c>
      <c r="D746" s="197"/>
      <c r="E746" s="197"/>
      <c r="F746" s="197"/>
      <c r="G746" s="265"/>
      <c r="H746" s="197"/>
    </row>
    <row r="747" spans="3:12" x14ac:dyDescent="0.2">
      <c r="C747" s="370" t="s">
        <v>17036</v>
      </c>
      <c r="D747" s="197"/>
      <c r="E747" s="197"/>
      <c r="F747" s="197"/>
      <c r="G747" s="265"/>
      <c r="H747" s="197"/>
    </row>
    <row r="748" spans="3:12" x14ac:dyDescent="0.2">
      <c r="C748" s="370"/>
      <c r="D748" s="197"/>
      <c r="E748" s="197"/>
      <c r="F748" s="197"/>
      <c r="G748" s="265"/>
      <c r="H748" s="197"/>
    </row>
    <row r="749" spans="3:12" x14ac:dyDescent="0.2">
      <c r="C749" s="370"/>
      <c r="D749" s="197"/>
      <c r="E749" s="197"/>
      <c r="F749" s="197"/>
      <c r="G749" s="265"/>
      <c r="H749" s="197"/>
    </row>
    <row r="750" spans="3:12" x14ac:dyDescent="0.2">
      <c r="C750" s="2" t="s">
        <v>2582</v>
      </c>
      <c r="D750" s="11"/>
      <c r="E750" s="1"/>
      <c r="F750" s="6"/>
    </row>
    <row r="751" spans="3:12" x14ac:dyDescent="0.2">
      <c r="C751" s="5" t="s">
        <v>5555</v>
      </c>
      <c r="D751" s="11"/>
      <c r="E751" s="1"/>
      <c r="F751" s="6"/>
    </row>
    <row r="752" spans="3:12" x14ac:dyDescent="0.2">
      <c r="C752" s="48">
        <v>17852205</v>
      </c>
      <c r="D752" s="11" t="s">
        <v>2583</v>
      </c>
      <c r="E752" s="1"/>
      <c r="F752" s="49">
        <v>8726198</v>
      </c>
      <c r="G752" s="1" t="s">
        <v>862</v>
      </c>
    </row>
    <row r="753" spans="3:7" x14ac:dyDescent="0.2">
      <c r="C753" s="5">
        <v>456</v>
      </c>
      <c r="D753" s="11" t="s">
        <v>2584</v>
      </c>
      <c r="E753" s="1"/>
      <c r="F753" s="49">
        <f>C753*365*24*60*60</f>
        <v>14380416000</v>
      </c>
      <c r="G753" s="1" t="s">
        <v>2585</v>
      </c>
    </row>
    <row r="754" spans="3:7" x14ac:dyDescent="0.2">
      <c r="C754" s="5">
        <v>135</v>
      </c>
      <c r="D754" s="11" t="s">
        <v>2586</v>
      </c>
      <c r="E754" s="1"/>
      <c r="F754" s="49">
        <f>C754*24*60*60</f>
        <v>11664000</v>
      </c>
    </row>
    <row r="755" spans="3:7" x14ac:dyDescent="0.2">
      <c r="C755" s="5">
        <v>19</v>
      </c>
      <c r="D755" s="11" t="s">
        <v>5562</v>
      </c>
      <c r="E755" s="1"/>
      <c r="F755" s="49">
        <f>C755*60*60</f>
        <v>68400</v>
      </c>
    </row>
    <row r="756" spans="3:7" x14ac:dyDescent="0.2">
      <c r="C756" s="5">
        <v>6</v>
      </c>
      <c r="D756" s="11" t="s">
        <v>5563</v>
      </c>
      <c r="E756" s="1"/>
      <c r="F756" s="49">
        <f>C756*60</f>
        <v>360</v>
      </c>
    </row>
    <row r="757" spans="3:7" x14ac:dyDescent="0.2">
      <c r="C757" s="5">
        <v>0</v>
      </c>
      <c r="D757" s="11" t="s">
        <v>2585</v>
      </c>
      <c r="E757" s="1"/>
      <c r="F757" s="49">
        <f>C757</f>
        <v>0</v>
      </c>
    </row>
    <row r="758" spans="3:7" x14ac:dyDescent="0.2">
      <c r="C758" s="5"/>
      <c r="D758" s="11"/>
      <c r="E758" s="1"/>
      <c r="F758" s="49">
        <f>SUM(F753:F757)</f>
        <v>14392148760</v>
      </c>
    </row>
    <row r="759" spans="3:7" x14ac:dyDescent="0.2">
      <c r="C759" s="5"/>
      <c r="D759" s="11" t="s">
        <v>2382</v>
      </c>
      <c r="E759" s="1"/>
      <c r="F759" s="6">
        <f>F758/F752</f>
        <v>1649.3034836019078</v>
      </c>
      <c r="G759" s="1" t="s">
        <v>2585</v>
      </c>
    </row>
    <row r="760" spans="3:7" x14ac:dyDescent="0.2">
      <c r="C760" s="2">
        <v>27</v>
      </c>
      <c r="D760" s="12" t="s">
        <v>5563</v>
      </c>
      <c r="E760" s="1"/>
      <c r="F760" s="6">
        <f>F759/60</f>
        <v>27.488391393365131</v>
      </c>
      <c r="G760" s="1" t="s">
        <v>5563</v>
      </c>
    </row>
    <row r="761" spans="3:7" x14ac:dyDescent="0.2">
      <c r="C761" s="2">
        <v>29</v>
      </c>
      <c r="D761" s="12" t="s">
        <v>2585</v>
      </c>
      <c r="E761" s="1"/>
      <c r="F761" s="6">
        <f>(F760-C760)*60</f>
        <v>29.303483601907843</v>
      </c>
    </row>
    <row r="762" spans="3:7" x14ac:dyDescent="0.2">
      <c r="C762" s="5"/>
      <c r="D762" s="11"/>
      <c r="E762" s="1"/>
      <c r="F762" s="6"/>
    </row>
    <row r="763" spans="3:7" x14ac:dyDescent="0.2">
      <c r="C763" s="5" t="s">
        <v>5968</v>
      </c>
      <c r="D763" s="1">
        <v>1.8460648148148146E-2</v>
      </c>
      <c r="E763" s="1"/>
      <c r="F763" s="6"/>
    </row>
    <row r="764" spans="3:7" x14ac:dyDescent="0.2">
      <c r="C764" s="5" t="s">
        <v>5969</v>
      </c>
      <c r="D764" s="1">
        <v>1.8483796296296297E-2</v>
      </c>
      <c r="E764" s="1"/>
      <c r="F764" s="6"/>
    </row>
    <row r="765" spans="3:7" x14ac:dyDescent="0.2">
      <c r="C765" s="5" t="s">
        <v>1937</v>
      </c>
      <c r="D765" s="1">
        <v>1.8530092592592595E-2</v>
      </c>
      <c r="E765" s="1"/>
      <c r="F765" s="6"/>
    </row>
    <row r="766" spans="3:7" x14ac:dyDescent="0.2">
      <c r="C766" s="5" t="s">
        <v>976</v>
      </c>
      <c r="D766" s="1">
        <v>1.8599537037037036E-2</v>
      </c>
      <c r="E766" s="1"/>
      <c r="F766" s="6"/>
    </row>
    <row r="767" spans="3:7" x14ac:dyDescent="0.2">
      <c r="C767" s="5" t="s">
        <v>3691</v>
      </c>
      <c r="D767" s="1">
        <v>1.8668981481481481E-2</v>
      </c>
      <c r="E767" s="1"/>
      <c r="F767" s="6"/>
    </row>
    <row r="768" spans="3:7" ht="13.5" customHeight="1" x14ac:dyDescent="0.2">
      <c r="C768" s="80" t="s">
        <v>6278</v>
      </c>
      <c r="D768" s="1">
        <v>1.9085648148148147E-2</v>
      </c>
      <c r="E768" s="1"/>
      <c r="F768" s="6"/>
    </row>
    <row r="769" spans="3:10" ht="13.5" customHeight="1" x14ac:dyDescent="0.2">
      <c r="C769" s="5"/>
      <c r="D769" s="11"/>
      <c r="E769" s="1"/>
      <c r="F769" s="6"/>
    </row>
    <row r="770" spans="3:10" ht="13.5" customHeight="1" x14ac:dyDescent="0.2">
      <c r="C770" s="5"/>
      <c r="D770" s="11"/>
      <c r="E770" s="1"/>
      <c r="F770" s="6"/>
    </row>
    <row r="771" spans="3:10" ht="13.5" customHeight="1" x14ac:dyDescent="0.2">
      <c r="C771" s="2" t="s">
        <v>6100</v>
      </c>
      <c r="D771" s="11"/>
      <c r="E771" s="32"/>
      <c r="F771" s="70"/>
    </row>
    <row r="772" spans="3:10" ht="13.5" customHeight="1" x14ac:dyDescent="0.2">
      <c r="C772" s="5" t="str">
        <f t="shared" ref="C772:I772" si="79">C25</f>
        <v>Banstead Woods</v>
      </c>
      <c r="D772" s="5">
        <f t="shared" si="79"/>
        <v>13</v>
      </c>
      <c r="E772" s="5">
        <f t="shared" si="79"/>
        <v>60</v>
      </c>
      <c r="F772" s="5" t="str">
        <f t="shared" si="79"/>
        <v>Paul Watt</v>
      </c>
      <c r="G772" s="32">
        <f t="shared" si="79"/>
        <v>1.5104166666666667E-2</v>
      </c>
      <c r="H772" s="5" t="str">
        <f t="shared" si="79"/>
        <v>Julie Barclay</v>
      </c>
      <c r="I772" s="32">
        <f t="shared" si="79"/>
        <v>1.5162037037037036E-2</v>
      </c>
    </row>
    <row r="773" spans="3:10" ht="13.5" customHeight="1" x14ac:dyDescent="0.2">
      <c r="C773" s="5" t="str">
        <f t="shared" ref="C773:I773" si="80">C38</f>
        <v>Bedfont Lakes</v>
      </c>
      <c r="D773" s="5">
        <f t="shared" si="80"/>
        <v>63</v>
      </c>
      <c r="E773" s="5">
        <f t="shared" si="80"/>
        <v>3743</v>
      </c>
      <c r="F773" s="5" t="str">
        <f t="shared" si="80"/>
        <v>Gary Rushmer</v>
      </c>
      <c r="G773" s="32">
        <f t="shared" si="80"/>
        <v>1.298611111111111E-2</v>
      </c>
      <c r="H773" s="1012" t="str">
        <f t="shared" si="80"/>
        <v>Kay Trinder</v>
      </c>
      <c r="I773" s="1013">
        <f t="shared" si="80"/>
        <v>1.4247685185185184E-2</v>
      </c>
    </row>
    <row r="774" spans="3:10" ht="13.5" customHeight="1" x14ac:dyDescent="0.2">
      <c r="C774" s="5" t="str">
        <f t="shared" ref="C774:I774" si="81">C57</f>
        <v>Black Park (Iver Heath)</v>
      </c>
      <c r="D774" s="5">
        <f t="shared" si="81"/>
        <v>44</v>
      </c>
      <c r="E774" s="5">
        <f t="shared" si="81"/>
        <v>683</v>
      </c>
      <c r="F774" s="5" t="str">
        <f t="shared" si="81"/>
        <v>Paul Knechtl</v>
      </c>
      <c r="G774" s="32">
        <f t="shared" si="81"/>
        <v>1.2430555555555554E-2</v>
      </c>
      <c r="H774" s="1012" t="str">
        <f t="shared" si="81"/>
        <v>Maria Jovani</v>
      </c>
      <c r="I774" s="1013">
        <f t="shared" si="81"/>
        <v>1.4490740740740742E-2</v>
      </c>
      <c r="J774" s="1" t="s">
        <v>8340</v>
      </c>
    </row>
    <row r="775" spans="3:10" ht="13.5" customHeight="1" x14ac:dyDescent="0.2">
      <c r="C775" s="5" t="str">
        <f t="shared" ref="C775:I775" si="82">C68</f>
        <v>Bracknell</v>
      </c>
      <c r="D775" s="5">
        <f t="shared" si="82"/>
        <v>20</v>
      </c>
      <c r="E775" s="5">
        <f t="shared" si="82"/>
        <v>37</v>
      </c>
      <c r="F775" s="519" t="str">
        <f t="shared" si="82"/>
        <v>Barry Walters</v>
      </c>
      <c r="G775" s="32">
        <f t="shared" si="82"/>
        <v>1.3900462962962962E-2</v>
      </c>
      <c r="H775" s="1014" t="str">
        <f t="shared" si="82"/>
        <v>Alice Banks</v>
      </c>
      <c r="I775" s="1015">
        <f t="shared" si="82"/>
        <v>1.8912037037037036E-2</v>
      </c>
    </row>
    <row r="776" spans="3:10" ht="13.5" customHeight="1" x14ac:dyDescent="0.2">
      <c r="C776" s="5" t="str">
        <f t="shared" ref="C776:I776" si="83">C88</f>
        <v>Bushy Park</v>
      </c>
      <c r="D776" s="5">
        <f t="shared" si="83"/>
        <v>69</v>
      </c>
      <c r="E776" s="5">
        <f t="shared" si="83"/>
        <v>2057</v>
      </c>
      <c r="F776" s="5" t="str">
        <f t="shared" si="83"/>
        <v>Paul Knechtl</v>
      </c>
      <c r="G776" s="32">
        <f t="shared" si="83"/>
        <v>1.2013888888888888E-2</v>
      </c>
      <c r="H776" s="5" t="str">
        <f t="shared" si="83"/>
        <v>Katherine Stather</v>
      </c>
      <c r="I776" s="32">
        <f t="shared" si="83"/>
        <v>1.3101851851851852E-2</v>
      </c>
    </row>
    <row r="777" spans="3:10" ht="13.5" customHeight="1" x14ac:dyDescent="0.2">
      <c r="C777" s="5" t="str">
        <f t="shared" ref="C777:I777" si="84">C109</f>
        <v>Chertsey (Homewood Park)</v>
      </c>
      <c r="D777" s="5">
        <f t="shared" si="84"/>
        <v>38</v>
      </c>
      <c r="E777" s="5">
        <f t="shared" si="84"/>
        <v>119</v>
      </c>
      <c r="F777" s="519" t="str">
        <f t="shared" si="84"/>
        <v>Paul Knechtl</v>
      </c>
      <c r="G777" s="32">
        <f t="shared" si="84"/>
        <v>1.3055555555555556E-2</v>
      </c>
      <c r="H777" s="5" t="str">
        <f t="shared" si="84"/>
        <v>Maria Jovani</v>
      </c>
      <c r="I777" s="32">
        <f t="shared" si="84"/>
        <v>1.4548611111111111E-2</v>
      </c>
    </row>
    <row r="778" spans="3:10" ht="13.5" customHeight="1" x14ac:dyDescent="0.2">
      <c r="C778" s="5" t="str">
        <f t="shared" ref="C778:I778" si="85">C141</f>
        <v>Crane Park</v>
      </c>
      <c r="D778" s="5">
        <f t="shared" si="85"/>
        <v>46</v>
      </c>
      <c r="E778" s="5">
        <f t="shared" si="85"/>
        <v>730</v>
      </c>
      <c r="F778" s="5" t="str">
        <f t="shared" si="85"/>
        <v>James Shoulder</v>
      </c>
      <c r="G778" s="32">
        <f t="shared" si="85"/>
        <v>1.3101851851851852E-2</v>
      </c>
      <c r="H778" s="5" t="str">
        <f t="shared" si="85"/>
        <v>Maria Jovani</v>
      </c>
      <c r="I778" s="32">
        <f t="shared" si="85"/>
        <v>1.4016203703703704E-2</v>
      </c>
    </row>
    <row r="779" spans="3:10" ht="13.5" customHeight="1" x14ac:dyDescent="0.2">
      <c r="C779" s="5" t="str">
        <f t="shared" ref="C779:I779" si="86">C219</f>
        <v>Frimley Lodge</v>
      </c>
      <c r="D779" s="5">
        <f t="shared" si="86"/>
        <v>31</v>
      </c>
      <c r="E779" s="5">
        <f t="shared" si="86"/>
        <v>123</v>
      </c>
      <c r="F779" s="519" t="str">
        <f t="shared" si="86"/>
        <v>Barry Walters</v>
      </c>
      <c r="G779" s="32">
        <f t="shared" si="86"/>
        <v>1.324074074074074E-2</v>
      </c>
      <c r="H779" s="1012" t="str">
        <f t="shared" si="86"/>
        <v>Maria Jovani</v>
      </c>
      <c r="I779" s="1013">
        <f t="shared" si="86"/>
        <v>1.4641203703703703E-2</v>
      </c>
    </row>
    <row r="780" spans="3:10" ht="13.5" customHeight="1" x14ac:dyDescent="0.2">
      <c r="C780" s="5" t="str">
        <f t="shared" ref="C780:I780" si="87">C221</f>
        <v>Fulham Palace</v>
      </c>
      <c r="D780" s="5">
        <f t="shared" si="87"/>
        <v>29</v>
      </c>
      <c r="E780" s="5">
        <f t="shared" si="87"/>
        <v>131</v>
      </c>
      <c r="F780" s="5" t="str">
        <f t="shared" si="87"/>
        <v>Adam Moquet</v>
      </c>
      <c r="G780" s="32">
        <f t="shared" si="87"/>
        <v>1.2314814814814815E-2</v>
      </c>
      <c r="H780" s="5" t="str">
        <f t="shared" si="87"/>
        <v>Natalie Ruffell</v>
      </c>
      <c r="I780" s="32">
        <f t="shared" si="87"/>
        <v>1.4074074074074074E-2</v>
      </c>
    </row>
    <row r="781" spans="3:10" ht="13.5" customHeight="1" x14ac:dyDescent="0.2">
      <c r="C781" s="5" t="str">
        <f t="shared" ref="C781:I782" si="88">C253</f>
        <v>Guildford (Stoke Park)</v>
      </c>
      <c r="D781" s="5">
        <f t="shared" si="88"/>
        <v>23</v>
      </c>
      <c r="E781" s="5">
        <f t="shared" si="88"/>
        <v>193</v>
      </c>
      <c r="F781" s="519" t="str">
        <f t="shared" si="88"/>
        <v>Barry Walters</v>
      </c>
      <c r="G781" s="32">
        <f t="shared" si="88"/>
        <v>1.3645833333333331E-2</v>
      </c>
      <c r="H781" s="1012" t="str">
        <f t="shared" si="88"/>
        <v>Julie Barclay</v>
      </c>
      <c r="I781" s="1013">
        <f t="shared" si="88"/>
        <v>1.5057870370370369E-2</v>
      </c>
    </row>
    <row r="782" spans="3:10" ht="13.5" customHeight="1" x14ac:dyDescent="0.2">
      <c r="C782" s="5" t="str">
        <f t="shared" si="88"/>
        <v>Gunnersbury Park</v>
      </c>
      <c r="D782" s="5">
        <f t="shared" si="88"/>
        <v>46</v>
      </c>
      <c r="E782" s="104">
        <f t="shared" si="88"/>
        <v>1015</v>
      </c>
      <c r="F782" s="518" t="str">
        <f t="shared" si="88"/>
        <v>Chris Kelly</v>
      </c>
      <c r="G782" s="32">
        <f t="shared" si="88"/>
        <v>1.2905092592592591E-2</v>
      </c>
      <c r="H782" s="5" t="str">
        <f t="shared" si="88"/>
        <v>Kerstin Luksch</v>
      </c>
      <c r="I782" s="32">
        <f t="shared" si="88"/>
        <v>1.4837962962962963E-2</v>
      </c>
    </row>
    <row r="783" spans="3:10" ht="13.5" customHeight="1" x14ac:dyDescent="0.2">
      <c r="C783" s="5" t="str">
        <f t="shared" ref="C783:I783" si="89">C276</f>
        <v>Hazelwood (Sunbury on Thames)</v>
      </c>
      <c r="D783" s="5">
        <f t="shared" si="89"/>
        <v>32</v>
      </c>
      <c r="E783" s="5">
        <f t="shared" si="89"/>
        <v>193</v>
      </c>
      <c r="F783" s="5" t="str">
        <f t="shared" si="89"/>
        <v>Paul Prescott</v>
      </c>
      <c r="G783" s="32">
        <f t="shared" si="89"/>
        <v>1.4189814814814815E-2</v>
      </c>
      <c r="H783" s="5" t="str">
        <f t="shared" si="89"/>
        <v>Julie Barclay</v>
      </c>
      <c r="I783" s="32">
        <f t="shared" si="89"/>
        <v>1.5092592592592593E-2</v>
      </c>
    </row>
    <row r="784" spans="3:10" ht="13.5" customHeight="1" x14ac:dyDescent="0.2">
      <c r="C784" s="5" t="str">
        <f t="shared" ref="C784:I784" si="90">C318</f>
        <v>Kingston</v>
      </c>
      <c r="D784" s="5">
        <f t="shared" si="90"/>
        <v>37</v>
      </c>
      <c r="E784" s="5">
        <f t="shared" si="90"/>
        <v>81</v>
      </c>
      <c r="F784" s="5" t="str">
        <f t="shared" si="90"/>
        <v>Gary Rushmer</v>
      </c>
      <c r="G784" s="32">
        <f t="shared" si="90"/>
        <v>1.4108796296296295E-2</v>
      </c>
      <c r="H784" s="5" t="str">
        <f t="shared" si="90"/>
        <v>Maria Jovani</v>
      </c>
      <c r="I784" s="32">
        <f t="shared" si="90"/>
        <v>1.3645833333333331E-2</v>
      </c>
    </row>
    <row r="785" spans="3:9" ht="13.5" customHeight="1" x14ac:dyDescent="0.2">
      <c r="C785" s="5" t="str">
        <f t="shared" ref="C785:I785" si="91">C352</f>
        <v>Maidenhead</v>
      </c>
      <c r="D785" s="5">
        <f t="shared" si="91"/>
        <v>24</v>
      </c>
      <c r="E785" s="5">
        <f t="shared" si="91"/>
        <v>297</v>
      </c>
      <c r="F785" s="519" t="str">
        <f t="shared" si="91"/>
        <v>Barry Walters</v>
      </c>
      <c r="G785" s="32">
        <f t="shared" si="91"/>
        <v>1.4525462962962964E-2</v>
      </c>
      <c r="H785" s="1014" t="str">
        <f t="shared" si="91"/>
        <v>Maria Jovani</v>
      </c>
      <c r="I785" s="1015">
        <f t="shared" si="91"/>
        <v>1.5173611111111112E-2</v>
      </c>
    </row>
    <row r="786" spans="3:9" ht="13.5" customHeight="1" x14ac:dyDescent="0.2">
      <c r="C786" s="5" t="str">
        <f t="shared" ref="C786:I786" si="92">C401</f>
        <v>Northala Fields (Northolt)</v>
      </c>
      <c r="D786" s="5">
        <f t="shared" si="92"/>
        <v>35</v>
      </c>
      <c r="E786" s="5">
        <f t="shared" si="92"/>
        <v>185</v>
      </c>
      <c r="F786" s="5" t="str">
        <f t="shared" si="92"/>
        <v>Paul Davis</v>
      </c>
      <c r="G786" s="32">
        <f t="shared" si="92"/>
        <v>1.4097222222222221E-2</v>
      </c>
      <c r="H786" s="80" t="str">
        <f t="shared" si="92"/>
        <v>Maria Jovani</v>
      </c>
      <c r="I786" s="32">
        <f t="shared" si="92"/>
        <v>1.3703703703703704E-2</v>
      </c>
    </row>
    <row r="787" spans="3:9" ht="13.5" customHeight="1" x14ac:dyDescent="0.2">
      <c r="C787" s="5" t="str">
        <f t="shared" ref="C787:I787" si="93">C413</f>
        <v>Osterley</v>
      </c>
      <c r="D787" s="5">
        <f t="shared" si="93"/>
        <v>50</v>
      </c>
      <c r="E787" s="5">
        <f t="shared" si="93"/>
        <v>227</v>
      </c>
      <c r="F787" s="518" t="str">
        <f t="shared" si="93"/>
        <v>James Shoulder</v>
      </c>
      <c r="G787" s="32">
        <f t="shared" si="93"/>
        <v>1.3356481481481483E-2</v>
      </c>
      <c r="H787" s="5" t="str">
        <f t="shared" si="93"/>
        <v>Maria Jovani</v>
      </c>
      <c r="I787" s="32">
        <f t="shared" si="93"/>
        <v>1.3854166666666666E-2</v>
      </c>
    </row>
    <row r="788" spans="3:9" ht="13.5" customHeight="1" x14ac:dyDescent="0.2">
      <c r="C788" s="5" t="str">
        <f t="shared" ref="C788:I788" si="94">C446</f>
        <v>Reading</v>
      </c>
      <c r="D788" s="5">
        <f t="shared" si="94"/>
        <v>21</v>
      </c>
      <c r="E788" s="5">
        <f t="shared" si="94"/>
        <v>918</v>
      </c>
      <c r="F788" s="518" t="str">
        <f t="shared" si="94"/>
        <v>Chris Kelly</v>
      </c>
      <c r="G788" s="32">
        <f t="shared" si="94"/>
        <v>1.2962962962962963E-2</v>
      </c>
      <c r="H788" s="5" t="str">
        <f t="shared" si="94"/>
        <v>Melanie Holman</v>
      </c>
      <c r="I788" s="32">
        <f t="shared" si="94"/>
        <v>1.7106481481481483E-2</v>
      </c>
    </row>
    <row r="789" spans="3:9" ht="13.5" customHeight="1" x14ac:dyDescent="0.2">
      <c r="C789" s="5" t="str">
        <f t="shared" ref="C789:I791" si="95">C452</f>
        <v>Richmond Park</v>
      </c>
      <c r="D789" s="5">
        <f t="shared" si="95"/>
        <v>35</v>
      </c>
      <c r="E789" s="5">
        <f t="shared" si="95"/>
        <v>133</v>
      </c>
      <c r="F789" s="519" t="str">
        <f t="shared" si="95"/>
        <v>Barry Walters</v>
      </c>
      <c r="G789" s="32">
        <f t="shared" si="95"/>
        <v>1.3368055555555557E-2</v>
      </c>
      <c r="H789" s="80" t="str">
        <f t="shared" si="95"/>
        <v>Maria Jovani</v>
      </c>
      <c r="I789" s="32">
        <f t="shared" si="95"/>
        <v>1.4444444444444446E-2</v>
      </c>
    </row>
    <row r="790" spans="3:9" ht="13.5" customHeight="1" x14ac:dyDescent="0.2">
      <c r="C790" s="5" t="str">
        <f t="shared" si="95"/>
        <v>Rickmansworth</v>
      </c>
      <c r="D790" s="5">
        <f t="shared" si="95"/>
        <v>23</v>
      </c>
      <c r="E790" s="104">
        <f t="shared" si="95"/>
        <v>88</v>
      </c>
      <c r="F790" s="5" t="str">
        <f t="shared" si="95"/>
        <v>John Taylor</v>
      </c>
      <c r="G790" s="32">
        <f t="shared" si="95"/>
        <v>1.3657407407407408E-2</v>
      </c>
      <c r="H790" s="80" t="str">
        <f t="shared" si="95"/>
        <v>Maria Jovani</v>
      </c>
      <c r="I790" s="32">
        <f t="shared" si="95"/>
        <v>1.4224537037037037E-2</v>
      </c>
    </row>
    <row r="791" spans="3:9" ht="13.5" customHeight="1" x14ac:dyDescent="0.2">
      <c r="C791" s="5" t="str">
        <f t="shared" si="95"/>
        <v>Riddlesdown</v>
      </c>
      <c r="D791" s="5">
        <f t="shared" si="95"/>
        <v>11</v>
      </c>
      <c r="E791" s="104">
        <f t="shared" si="95"/>
        <v>51</v>
      </c>
      <c r="F791" s="5" t="str">
        <f t="shared" si="95"/>
        <v>Paul Watt</v>
      </c>
      <c r="G791" s="32">
        <f t="shared" si="95"/>
        <v>1.5416666666666667E-2</v>
      </c>
      <c r="H791" s="862" t="str">
        <f t="shared" si="95"/>
        <v>Julie Barclay</v>
      </c>
      <c r="I791" s="1013">
        <f t="shared" si="95"/>
        <v>1.5497685185185186E-2</v>
      </c>
    </row>
    <row r="792" spans="3:9" ht="13.5" customHeight="1" x14ac:dyDescent="0.2">
      <c r="C792" s="5" t="str">
        <f t="shared" ref="C792:I792" si="96">C558</f>
        <v>Upton Court (Langley)</v>
      </c>
      <c r="D792" s="5">
        <f t="shared" si="96"/>
        <v>38</v>
      </c>
      <c r="E792" s="5">
        <f t="shared" si="96"/>
        <v>199</v>
      </c>
      <c r="F792" s="519" t="str">
        <f t="shared" si="96"/>
        <v>Barry Walters</v>
      </c>
      <c r="G792" s="32">
        <f t="shared" si="96"/>
        <v>1.3182870370370371E-2</v>
      </c>
      <c r="H792" s="1014" t="str">
        <f t="shared" si="96"/>
        <v>Maria Jovani</v>
      </c>
      <c r="I792" s="1015">
        <f t="shared" si="96"/>
        <v>1.4293981481481482E-2</v>
      </c>
    </row>
    <row r="793" spans="3:9" ht="13.5" customHeight="1" x14ac:dyDescent="0.2">
      <c r="C793" s="5" t="str">
        <f t="shared" ref="C793:I793" si="97">C572</f>
        <v>Watford (Cassiobury Park)</v>
      </c>
      <c r="D793" s="5">
        <f t="shared" si="97"/>
        <v>17</v>
      </c>
      <c r="E793" s="5">
        <f t="shared" si="97"/>
        <v>31</v>
      </c>
      <c r="F793" s="5" t="str">
        <f t="shared" si="97"/>
        <v>John Taylor</v>
      </c>
      <c r="G793" s="32">
        <f t="shared" si="97"/>
        <v>1.3715277777777778E-2</v>
      </c>
      <c r="H793" s="5" t="str">
        <f t="shared" si="97"/>
        <v>Natalie Ruffell</v>
      </c>
      <c r="I793" s="32">
        <f t="shared" si="97"/>
        <v>1.4363425925925925E-2</v>
      </c>
    </row>
    <row r="794" spans="3:9" ht="13.5" customHeight="1" x14ac:dyDescent="0.2">
      <c r="C794" s="5" t="str">
        <f t="shared" ref="C794:I794" si="98">C587</f>
        <v>Wimbledon Common</v>
      </c>
      <c r="D794" s="5">
        <f t="shared" si="98"/>
        <v>14</v>
      </c>
      <c r="E794" s="5">
        <f t="shared" si="98"/>
        <v>16</v>
      </c>
      <c r="F794" s="5" t="str">
        <f t="shared" si="98"/>
        <v>Gary Rushmer</v>
      </c>
      <c r="G794" s="32">
        <f t="shared" si="98"/>
        <v>1.3969907407407408E-2</v>
      </c>
      <c r="H794" s="5" t="str">
        <f t="shared" si="98"/>
        <v>Trish McCabe</v>
      </c>
      <c r="I794" s="32">
        <f t="shared" si="98"/>
        <v>1.9583333333333331E-2</v>
      </c>
    </row>
    <row r="795" spans="3:9" ht="13.5" customHeight="1" x14ac:dyDescent="0.2">
      <c r="C795" s="5" t="str">
        <f t="shared" ref="C795:I795" si="99">C591</f>
        <v>Woking</v>
      </c>
      <c r="D795" s="5">
        <f t="shared" si="99"/>
        <v>36</v>
      </c>
      <c r="E795" s="5">
        <f t="shared" si="99"/>
        <v>469</v>
      </c>
      <c r="F795" s="519" t="str">
        <f t="shared" si="99"/>
        <v>Barry Walters</v>
      </c>
      <c r="G795" s="32">
        <f t="shared" si="99"/>
        <v>1.3518518518518518E-2</v>
      </c>
      <c r="H795" s="1012" t="str">
        <f t="shared" si="99"/>
        <v>Kay Trinder</v>
      </c>
      <c r="I795" s="1013">
        <f t="shared" si="99"/>
        <v>1.3854166666666666E-2</v>
      </c>
    </row>
    <row r="796" spans="3:9" ht="13.5" customHeight="1" x14ac:dyDescent="0.2">
      <c r="C796" s="5" t="str">
        <f t="shared" ref="C796:I796" si="100">C595</f>
        <v>Woodley</v>
      </c>
      <c r="D796" s="5">
        <f t="shared" si="100"/>
        <v>21</v>
      </c>
      <c r="E796" s="5">
        <f t="shared" si="100"/>
        <v>158</v>
      </c>
      <c r="F796" s="518" t="str">
        <f t="shared" si="100"/>
        <v>Chris Kelly</v>
      </c>
      <c r="G796" s="32">
        <f t="shared" si="100"/>
        <v>1.306712962962963E-2</v>
      </c>
      <c r="H796" s="1014" t="str">
        <f t="shared" si="100"/>
        <v>Alice Banks</v>
      </c>
      <c r="I796" s="1015">
        <f t="shared" si="100"/>
        <v>1.7349537037037038E-2</v>
      </c>
    </row>
    <row r="797" spans="3:9" ht="13.5" customHeight="1" x14ac:dyDescent="0.2">
      <c r="C797" s="5" t="str">
        <f t="shared" ref="C797:I797" si="101">C597</f>
        <v>Wormwood Scrubs</v>
      </c>
      <c r="D797" s="5">
        <f t="shared" si="101"/>
        <v>15</v>
      </c>
      <c r="E797" s="5">
        <f t="shared" si="101"/>
        <v>33</v>
      </c>
      <c r="F797" s="518" t="str">
        <f t="shared" si="101"/>
        <v>Chris Kelly</v>
      </c>
      <c r="G797" s="32">
        <f t="shared" si="101"/>
        <v>1.2893518518518519E-2</v>
      </c>
      <c r="H797" s="5" t="str">
        <f t="shared" si="101"/>
        <v>Maria Jovani</v>
      </c>
      <c r="I797" s="32">
        <f t="shared" si="101"/>
        <v>1.5671296296296298E-2</v>
      </c>
    </row>
    <row r="798" spans="3:9" ht="13.5" customHeight="1" x14ac:dyDescent="0.2">
      <c r="C798" s="5" t="str">
        <f t="shared" ref="C798:I798" si="102">C600</f>
        <v>Wycombe Rye</v>
      </c>
      <c r="D798" s="5">
        <f t="shared" si="102"/>
        <v>21</v>
      </c>
      <c r="E798" s="5">
        <f t="shared" si="102"/>
        <v>142</v>
      </c>
      <c r="F798" s="519" t="str">
        <f t="shared" si="102"/>
        <v>Barry Walters</v>
      </c>
      <c r="G798" s="32">
        <f t="shared" si="102"/>
        <v>1.3935185185185184E-2</v>
      </c>
      <c r="H798" s="1014" t="str">
        <f t="shared" si="102"/>
        <v>Alice Banks</v>
      </c>
      <c r="I798" s="1015">
        <f t="shared" si="102"/>
        <v>1.7372685185185185E-2</v>
      </c>
    </row>
    <row r="799" spans="3:9" ht="13.5" customHeight="1" x14ac:dyDescent="0.2">
      <c r="C799" s="5"/>
      <c r="E799" s="9"/>
      <c r="F799" s="9"/>
      <c r="H799" s="9"/>
    </row>
    <row r="800" spans="3:9" ht="13.5" customHeight="1" x14ac:dyDescent="0.2">
      <c r="C800" s="5"/>
      <c r="D800" s="5"/>
      <c r="E800" s="5"/>
      <c r="F800" s="5"/>
      <c r="G800" s="32"/>
      <c r="H800" s="5"/>
      <c r="I800" s="32"/>
    </row>
    <row r="801" spans="2:19" ht="13.5" customHeight="1" x14ac:dyDescent="0.2">
      <c r="C801" s="5"/>
      <c r="D801" s="11"/>
      <c r="E801" s="1"/>
      <c r="F801" s="6"/>
    </row>
    <row r="802" spans="2:19" x14ac:dyDescent="0.2">
      <c r="E802" s="5"/>
      <c r="G802" s="9"/>
    </row>
    <row r="803" spans="2:19" x14ac:dyDescent="0.2">
      <c r="B803" s="80" t="s">
        <v>9215</v>
      </c>
      <c r="C803" s="672"/>
      <c r="D803" s="672"/>
      <c r="E803" s="672"/>
      <c r="F803" s="672"/>
      <c r="G803" s="672"/>
      <c r="H803" s="672"/>
      <c r="I803" s="672"/>
      <c r="J803" s="672"/>
      <c r="K803" s="672"/>
      <c r="L803" s="672"/>
      <c r="M803" s="672"/>
      <c r="N803" s="9"/>
      <c r="O803" s="8"/>
      <c r="P803" s="3"/>
      <c r="Q803" s="3"/>
    </row>
    <row r="804" spans="2:19" x14ac:dyDescent="0.2">
      <c r="B804" s="674">
        <v>91</v>
      </c>
      <c r="C804" s="674" t="s">
        <v>2662</v>
      </c>
      <c r="D804" s="674"/>
      <c r="E804" s="674"/>
      <c r="F804" s="674" t="s">
        <v>654</v>
      </c>
      <c r="G804" s="674"/>
      <c r="H804" s="674"/>
      <c r="I804" s="674"/>
      <c r="J804" s="1062">
        <v>41706</v>
      </c>
      <c r="K804" s="672"/>
      <c r="L804" s="672"/>
      <c r="M804" s="672"/>
      <c r="N804" s="672"/>
      <c r="O804" s="672"/>
      <c r="P804" s="9"/>
      <c r="Q804" s="8"/>
      <c r="R804" s="3"/>
      <c r="S804" s="3"/>
    </row>
    <row r="805" spans="2:19" x14ac:dyDescent="0.2">
      <c r="B805" s="674">
        <v>92</v>
      </c>
      <c r="C805" s="685" t="s">
        <v>449</v>
      </c>
      <c r="D805" s="685"/>
      <c r="E805" s="685"/>
      <c r="F805" s="685" t="s">
        <v>665</v>
      </c>
      <c r="G805" s="685"/>
      <c r="H805" s="685"/>
      <c r="I805" s="685"/>
      <c r="J805" s="1063">
        <v>41713</v>
      </c>
      <c r="K805" s="672"/>
      <c r="L805" s="672"/>
      <c r="M805" s="672"/>
      <c r="N805" s="672"/>
      <c r="O805" s="672"/>
      <c r="P805" s="9"/>
      <c r="Q805" s="8"/>
      <c r="R805" s="3"/>
      <c r="S805" s="3"/>
    </row>
    <row r="806" spans="2:19" x14ac:dyDescent="0.2">
      <c r="B806" s="674">
        <v>93</v>
      </c>
      <c r="C806" s="685" t="s">
        <v>2072</v>
      </c>
      <c r="D806" s="685"/>
      <c r="E806" s="685"/>
      <c r="F806" s="685" t="s">
        <v>2073</v>
      </c>
      <c r="G806" s="685"/>
      <c r="H806" s="685"/>
      <c r="I806" s="685"/>
      <c r="J806" s="1063">
        <v>41720</v>
      </c>
      <c r="K806" s="672"/>
      <c r="L806" s="672"/>
      <c r="M806" s="672"/>
      <c r="N806" s="672"/>
      <c r="O806" s="672"/>
      <c r="P806" s="9"/>
      <c r="Q806" s="8"/>
      <c r="R806" s="3"/>
      <c r="S806" s="3"/>
    </row>
    <row r="807" spans="2:19" x14ac:dyDescent="0.2">
      <c r="B807" s="674">
        <v>94</v>
      </c>
      <c r="C807" s="685" t="s">
        <v>2449</v>
      </c>
      <c r="D807" s="685"/>
      <c r="E807" s="685"/>
      <c r="F807" s="685" t="s">
        <v>665</v>
      </c>
      <c r="G807" s="685"/>
      <c r="H807" s="685"/>
      <c r="I807" s="685"/>
      <c r="J807" s="1063">
        <v>41727</v>
      </c>
      <c r="K807" s="672"/>
      <c r="L807" s="672"/>
      <c r="M807" s="672"/>
      <c r="N807" s="672"/>
      <c r="O807" s="672"/>
      <c r="P807" s="9"/>
      <c r="Q807" s="8"/>
      <c r="R807" s="3"/>
      <c r="S807" s="3"/>
    </row>
    <row r="808" spans="2:19" x14ac:dyDescent="0.2">
      <c r="B808" s="674">
        <v>95</v>
      </c>
      <c r="C808" s="685" t="s">
        <v>2284</v>
      </c>
      <c r="D808" s="685"/>
      <c r="E808" s="685"/>
      <c r="F808" s="685" t="s">
        <v>654</v>
      </c>
      <c r="G808" s="685"/>
      <c r="H808" s="685"/>
      <c r="I808" s="685"/>
      <c r="J808" s="1063">
        <v>41727</v>
      </c>
      <c r="K808" s="672"/>
      <c r="L808" s="672"/>
      <c r="M808" s="672"/>
      <c r="N808" s="672"/>
      <c r="O808" s="672"/>
      <c r="P808" s="9"/>
      <c r="Q808" s="8"/>
      <c r="R808" s="3"/>
      <c r="S808" s="3"/>
    </row>
    <row r="809" spans="2:19" x14ac:dyDescent="0.2">
      <c r="B809" s="674">
        <v>96</v>
      </c>
      <c r="C809" s="674" t="s">
        <v>4901</v>
      </c>
      <c r="D809" s="674"/>
      <c r="E809" s="674"/>
      <c r="F809" s="674" t="s">
        <v>5882</v>
      </c>
      <c r="G809" s="674"/>
      <c r="H809" s="674"/>
      <c r="I809" s="674"/>
      <c r="J809" s="1062">
        <v>41741</v>
      </c>
      <c r="K809" s="672"/>
      <c r="L809" s="672"/>
      <c r="M809" s="672"/>
      <c r="N809" s="672"/>
      <c r="O809" s="672"/>
      <c r="P809" s="9"/>
      <c r="Q809" s="8"/>
      <c r="R809" s="3"/>
      <c r="S809" s="3"/>
    </row>
    <row r="810" spans="2:19" x14ac:dyDescent="0.2">
      <c r="B810" s="674">
        <v>97</v>
      </c>
      <c r="C810" s="674" t="s">
        <v>3385</v>
      </c>
      <c r="D810" s="674"/>
      <c r="E810" s="674"/>
      <c r="F810" s="674" t="s">
        <v>5097</v>
      </c>
      <c r="G810" s="674"/>
      <c r="H810" s="674"/>
      <c r="I810" s="674"/>
      <c r="J810" s="1062">
        <v>41741</v>
      </c>
      <c r="K810" s="672"/>
      <c r="L810" s="672"/>
      <c r="M810" s="672"/>
      <c r="N810" s="672"/>
      <c r="O810" s="672"/>
      <c r="P810" s="9"/>
      <c r="Q810" s="8"/>
      <c r="R810" s="3"/>
      <c r="S810" s="3"/>
    </row>
    <row r="811" spans="2:19" x14ac:dyDescent="0.2">
      <c r="B811" s="711" t="s">
        <v>3841</v>
      </c>
      <c r="C811" s="685" t="s">
        <v>775</v>
      </c>
      <c r="D811" s="685"/>
      <c r="E811" s="685"/>
      <c r="F811" s="685" t="s">
        <v>5096</v>
      </c>
      <c r="G811" s="685"/>
      <c r="H811" s="685"/>
      <c r="I811" s="685"/>
      <c r="J811" s="1063">
        <v>41748</v>
      </c>
      <c r="K811" s="672"/>
      <c r="L811" s="672"/>
      <c r="M811" s="672"/>
      <c r="N811" s="672"/>
      <c r="O811" s="672"/>
      <c r="P811" s="9"/>
      <c r="Q811" s="8"/>
      <c r="R811" s="3"/>
      <c r="S811" s="3"/>
    </row>
    <row r="812" spans="2:19" x14ac:dyDescent="0.2">
      <c r="B812" s="711" t="s">
        <v>3841</v>
      </c>
      <c r="C812" s="674" t="s">
        <v>5552</v>
      </c>
      <c r="D812" s="674"/>
      <c r="E812" s="674"/>
      <c r="F812" s="674" t="s">
        <v>665</v>
      </c>
      <c r="G812" s="674"/>
      <c r="H812" s="674"/>
      <c r="I812" s="674"/>
      <c r="J812" s="1063">
        <v>41748</v>
      </c>
      <c r="K812" s="672"/>
      <c r="L812" s="672"/>
      <c r="M812" s="672"/>
      <c r="N812" s="672"/>
      <c r="O812" s="672"/>
      <c r="P812" s="9"/>
      <c r="Q812" s="8"/>
      <c r="R812" s="3"/>
      <c r="S812" s="3"/>
    </row>
    <row r="813" spans="2:19" x14ac:dyDescent="0.2">
      <c r="B813" s="711" t="s">
        <v>3841</v>
      </c>
      <c r="C813" s="674" t="s">
        <v>6017</v>
      </c>
      <c r="D813" s="674"/>
      <c r="E813" s="674"/>
      <c r="F813" s="674" t="s">
        <v>4778</v>
      </c>
      <c r="G813" s="674"/>
      <c r="H813" s="674"/>
      <c r="I813" s="674"/>
      <c r="J813" s="1063">
        <v>41748</v>
      </c>
      <c r="K813" s="672"/>
      <c r="L813" s="672"/>
      <c r="M813" s="672"/>
      <c r="N813" s="672"/>
      <c r="O813" s="672"/>
      <c r="P813" s="9"/>
      <c r="Q813" s="8"/>
      <c r="R813" s="3"/>
      <c r="S813" s="3"/>
    </row>
    <row r="814" spans="2:19" x14ac:dyDescent="0.2">
      <c r="B814" s="674">
        <v>101</v>
      </c>
      <c r="C814" s="674" t="s">
        <v>2431</v>
      </c>
      <c r="D814" s="674"/>
      <c r="E814" s="674"/>
      <c r="F814" s="674" t="s">
        <v>4778</v>
      </c>
      <c r="G814" s="674"/>
      <c r="H814" s="674"/>
      <c r="I814" s="674"/>
      <c r="J814" s="1063">
        <v>41762</v>
      </c>
      <c r="K814" s="672"/>
      <c r="L814" s="672"/>
      <c r="M814" s="672"/>
      <c r="N814" s="672"/>
      <c r="O814" s="672"/>
      <c r="P814" s="9"/>
      <c r="Q814" s="8"/>
      <c r="R814" s="3"/>
      <c r="S814" s="3"/>
    </row>
    <row r="815" spans="2:19" x14ac:dyDescent="0.2">
      <c r="B815" s="674">
        <f>B814+1</f>
        <v>102</v>
      </c>
      <c r="C815" s="674" t="s">
        <v>4981</v>
      </c>
      <c r="D815" s="674"/>
      <c r="E815" s="674"/>
      <c r="F815" s="674" t="s">
        <v>665</v>
      </c>
      <c r="G815" s="674"/>
      <c r="H815" s="674"/>
      <c r="I815" s="674"/>
      <c r="J815" s="1063">
        <v>41769</v>
      </c>
      <c r="K815" s="672"/>
      <c r="L815" s="672"/>
      <c r="M815" s="672"/>
      <c r="N815" s="672"/>
      <c r="O815" s="672"/>
      <c r="P815" s="9"/>
      <c r="Q815" s="8"/>
      <c r="R815" s="3"/>
      <c r="S815" s="3"/>
    </row>
    <row r="816" spans="2:19" x14ac:dyDescent="0.2">
      <c r="B816" s="674">
        <f t="shared" ref="B816:B879" si="103">B815+1</f>
        <v>103</v>
      </c>
      <c r="C816" s="674" t="s">
        <v>4839</v>
      </c>
      <c r="D816" s="674"/>
      <c r="E816" s="674"/>
      <c r="F816" s="674" t="s">
        <v>665</v>
      </c>
      <c r="G816" s="674"/>
      <c r="H816" s="674"/>
      <c r="I816" s="674"/>
      <c r="J816" s="1063">
        <v>41769</v>
      </c>
      <c r="K816" s="672"/>
      <c r="L816" s="672"/>
      <c r="M816" s="672"/>
      <c r="N816" s="672"/>
      <c r="O816" s="672"/>
      <c r="P816" s="9"/>
      <c r="Q816" s="8"/>
      <c r="R816" s="3"/>
      <c r="S816" s="3"/>
    </row>
    <row r="817" spans="2:19" x14ac:dyDescent="0.2">
      <c r="B817" s="674">
        <f t="shared" si="103"/>
        <v>104</v>
      </c>
      <c r="C817" s="674" t="s">
        <v>1780</v>
      </c>
      <c r="D817" s="674"/>
      <c r="E817" s="674"/>
      <c r="F817" s="674" t="s">
        <v>4778</v>
      </c>
      <c r="G817" s="674"/>
      <c r="H817" s="674"/>
      <c r="I817" s="674"/>
      <c r="J817" s="1063">
        <v>41776</v>
      </c>
      <c r="K817" s="672"/>
      <c r="L817" s="672"/>
      <c r="M817" s="672"/>
      <c r="N817" s="672"/>
      <c r="O817" s="672"/>
      <c r="P817" s="9"/>
      <c r="Q817" s="8"/>
      <c r="R817" s="3"/>
      <c r="S817" s="3"/>
    </row>
    <row r="818" spans="2:19" x14ac:dyDescent="0.2">
      <c r="B818" s="674">
        <f t="shared" si="103"/>
        <v>105</v>
      </c>
      <c r="C818" s="674" t="s">
        <v>373</v>
      </c>
      <c r="D818" s="674"/>
      <c r="E818" s="674"/>
      <c r="F818" s="674" t="s">
        <v>3840</v>
      </c>
      <c r="G818" s="674"/>
      <c r="H818" s="674"/>
      <c r="I818" s="674"/>
      <c r="J818" s="1062">
        <v>41790</v>
      </c>
      <c r="K818" s="672"/>
      <c r="L818" s="672"/>
      <c r="M818" s="672"/>
      <c r="N818" s="672"/>
      <c r="O818" s="672"/>
      <c r="P818" s="9"/>
      <c r="Q818" s="8"/>
      <c r="R818" s="3"/>
      <c r="S818" s="3"/>
    </row>
    <row r="819" spans="2:19" x14ac:dyDescent="0.2">
      <c r="B819" s="674">
        <f t="shared" si="103"/>
        <v>106</v>
      </c>
      <c r="C819" s="674" t="s">
        <v>1075</v>
      </c>
      <c r="D819" s="674"/>
      <c r="E819" s="674"/>
      <c r="F819" s="674" t="s">
        <v>4584</v>
      </c>
      <c r="G819" s="674"/>
      <c r="H819" s="674"/>
      <c r="I819" s="674"/>
      <c r="J819" s="1062">
        <v>41790</v>
      </c>
      <c r="K819" s="672"/>
      <c r="L819" s="672"/>
      <c r="M819" s="672"/>
      <c r="N819" s="672"/>
      <c r="O819" s="672"/>
      <c r="P819" s="9"/>
      <c r="Q819" s="8"/>
      <c r="R819" s="3"/>
      <c r="S819" s="3"/>
    </row>
    <row r="820" spans="2:19" x14ac:dyDescent="0.2">
      <c r="B820" s="674">
        <f t="shared" si="103"/>
        <v>107</v>
      </c>
      <c r="C820" s="674" t="s">
        <v>5752</v>
      </c>
      <c r="D820" s="674"/>
      <c r="E820" s="674"/>
      <c r="F820" s="674" t="s">
        <v>4637</v>
      </c>
      <c r="G820" s="674"/>
      <c r="H820" s="674"/>
      <c r="I820" s="674"/>
      <c r="J820" s="1062">
        <v>41790</v>
      </c>
      <c r="K820" s="672"/>
      <c r="L820" s="672"/>
      <c r="M820" s="672"/>
      <c r="N820" s="672"/>
      <c r="O820" s="672"/>
      <c r="P820" s="9"/>
      <c r="Q820" s="8"/>
      <c r="R820" s="3"/>
      <c r="S820" s="3"/>
    </row>
    <row r="821" spans="2:19" x14ac:dyDescent="0.2">
      <c r="B821" s="674">
        <f t="shared" si="103"/>
        <v>108</v>
      </c>
      <c r="C821" s="674" t="s">
        <v>6003</v>
      </c>
      <c r="D821" s="674"/>
      <c r="E821" s="674"/>
      <c r="F821" s="674" t="s">
        <v>4778</v>
      </c>
      <c r="G821" s="674"/>
      <c r="H821" s="674"/>
      <c r="I821" s="674"/>
      <c r="J821" s="1062">
        <v>41790</v>
      </c>
      <c r="K821" s="672"/>
      <c r="L821" s="672"/>
      <c r="M821" s="672"/>
      <c r="N821" s="672"/>
      <c r="O821" s="672"/>
      <c r="P821" s="9"/>
      <c r="Q821" s="8"/>
      <c r="R821" s="3"/>
      <c r="S821" s="3"/>
    </row>
    <row r="822" spans="2:19" x14ac:dyDescent="0.2">
      <c r="B822" s="674">
        <f t="shared" si="103"/>
        <v>109</v>
      </c>
      <c r="C822" s="674" t="s">
        <v>468</v>
      </c>
      <c r="D822" s="674"/>
      <c r="E822" s="674"/>
      <c r="F822" s="674" t="s">
        <v>1270</v>
      </c>
      <c r="G822" s="674"/>
      <c r="H822" s="674"/>
      <c r="I822" s="674"/>
      <c r="J822" s="1062">
        <v>41811</v>
      </c>
      <c r="K822" s="672"/>
      <c r="L822" s="672"/>
      <c r="M822" s="672"/>
      <c r="N822" s="672"/>
      <c r="O822" s="672"/>
      <c r="P822" s="9"/>
      <c r="Q822" s="8"/>
      <c r="R822" s="3"/>
      <c r="S822" s="3"/>
    </row>
    <row r="823" spans="2:19" x14ac:dyDescent="0.2">
      <c r="B823" s="674">
        <f t="shared" si="103"/>
        <v>110</v>
      </c>
      <c r="C823" s="674" t="s">
        <v>1401</v>
      </c>
      <c r="D823" s="674"/>
      <c r="E823" s="674"/>
      <c r="F823" s="674" t="s">
        <v>1105</v>
      </c>
      <c r="G823" s="674"/>
      <c r="H823" s="674"/>
      <c r="I823" s="674"/>
      <c r="J823" s="1062">
        <v>41811</v>
      </c>
      <c r="K823" s="672"/>
      <c r="L823" s="672"/>
      <c r="M823" s="672"/>
      <c r="N823" s="672"/>
      <c r="O823" s="672"/>
      <c r="P823" s="9"/>
      <c r="Q823" s="8"/>
      <c r="R823" s="3"/>
      <c r="S823" s="3"/>
    </row>
    <row r="824" spans="2:19" x14ac:dyDescent="0.2">
      <c r="B824" s="674">
        <f t="shared" si="103"/>
        <v>111</v>
      </c>
      <c r="C824" s="674" t="s">
        <v>3338</v>
      </c>
      <c r="D824" s="674"/>
      <c r="E824" s="674"/>
      <c r="F824" s="674" t="s">
        <v>5096</v>
      </c>
      <c r="G824" s="674"/>
      <c r="H824" s="674"/>
      <c r="I824" s="674"/>
      <c r="J824" s="1062">
        <v>41818</v>
      </c>
      <c r="K824" s="672"/>
      <c r="L824" s="672"/>
      <c r="M824" s="672"/>
      <c r="N824" s="672"/>
      <c r="O824" s="672"/>
      <c r="P824" s="9"/>
      <c r="Q824" s="8"/>
      <c r="R824" s="3"/>
      <c r="S824" s="3"/>
    </row>
    <row r="825" spans="2:19" x14ac:dyDescent="0.2">
      <c r="B825" s="674">
        <f t="shared" si="103"/>
        <v>112</v>
      </c>
      <c r="C825" s="674" t="s">
        <v>918</v>
      </c>
      <c r="D825" s="674"/>
      <c r="E825" s="674"/>
      <c r="F825" s="674" t="s">
        <v>665</v>
      </c>
      <c r="G825" s="674"/>
      <c r="H825" s="674"/>
      <c r="I825" s="674"/>
      <c r="J825" s="1062">
        <v>41818</v>
      </c>
      <c r="K825" s="672"/>
      <c r="L825" s="672"/>
      <c r="M825" s="672"/>
      <c r="N825" s="672"/>
      <c r="O825" s="672"/>
      <c r="P825" s="9"/>
      <c r="Q825" s="8"/>
      <c r="R825" s="3"/>
      <c r="S825" s="3"/>
    </row>
    <row r="826" spans="2:19" x14ac:dyDescent="0.2">
      <c r="B826" s="674">
        <f t="shared" si="103"/>
        <v>113</v>
      </c>
      <c r="C826" s="674" t="s">
        <v>2521</v>
      </c>
      <c r="D826" s="674"/>
      <c r="E826" s="674"/>
      <c r="F826" s="674" t="s">
        <v>654</v>
      </c>
      <c r="G826" s="674"/>
      <c r="H826" s="674"/>
      <c r="I826" s="674"/>
      <c r="J826" s="1062">
        <v>41825</v>
      </c>
      <c r="K826" s="672"/>
      <c r="L826" s="672"/>
      <c r="M826" s="672"/>
      <c r="N826" s="672"/>
      <c r="O826" s="672"/>
      <c r="P826" s="9"/>
      <c r="Q826" s="8"/>
      <c r="R826" s="3"/>
      <c r="S826" s="3"/>
    </row>
    <row r="827" spans="2:19" x14ac:dyDescent="0.2">
      <c r="B827" s="674">
        <f t="shared" si="103"/>
        <v>114</v>
      </c>
      <c r="C827" s="674" t="s">
        <v>494</v>
      </c>
      <c r="D827" s="674"/>
      <c r="E827" s="674"/>
      <c r="F827" s="674" t="s">
        <v>665</v>
      </c>
      <c r="G827" s="674"/>
      <c r="H827" s="674"/>
      <c r="I827" s="674"/>
      <c r="J827" s="1062">
        <v>41825</v>
      </c>
      <c r="K827" s="672"/>
      <c r="L827" s="672"/>
      <c r="M827" s="672"/>
      <c r="N827" s="672"/>
      <c r="O827" s="672"/>
      <c r="P827" s="9"/>
      <c r="Q827" s="8"/>
      <c r="R827" s="3"/>
      <c r="S827" s="3"/>
    </row>
    <row r="828" spans="2:19" x14ac:dyDescent="0.2">
      <c r="B828" s="674">
        <f t="shared" si="103"/>
        <v>115</v>
      </c>
      <c r="C828" s="674" t="s">
        <v>2840</v>
      </c>
      <c r="D828" s="674"/>
      <c r="E828" s="674"/>
      <c r="F828" s="674" t="s">
        <v>5881</v>
      </c>
      <c r="G828" s="674"/>
      <c r="H828" s="674"/>
      <c r="I828" s="674"/>
      <c r="J828" s="1062">
        <v>41832</v>
      </c>
      <c r="K828" s="672"/>
      <c r="L828" s="672"/>
      <c r="M828" s="672"/>
      <c r="N828" s="672"/>
      <c r="O828" s="672"/>
      <c r="P828" s="9"/>
      <c r="Q828" s="8"/>
      <c r="R828" s="3"/>
      <c r="S828" s="3"/>
    </row>
    <row r="829" spans="2:19" x14ac:dyDescent="0.2">
      <c r="B829" s="674">
        <f t="shared" si="103"/>
        <v>116</v>
      </c>
      <c r="C829" s="674" t="s">
        <v>707</v>
      </c>
      <c r="D829" s="674"/>
      <c r="E829" s="674"/>
      <c r="F829" s="674" t="s">
        <v>5096</v>
      </c>
      <c r="G829" s="674"/>
      <c r="H829" s="674"/>
      <c r="I829" s="674"/>
      <c r="J829" s="1062">
        <v>41832</v>
      </c>
      <c r="K829" s="672"/>
      <c r="L829" s="672"/>
      <c r="M829" s="672"/>
      <c r="N829" s="672"/>
      <c r="O829" s="672"/>
      <c r="P829" s="9"/>
      <c r="Q829" s="8"/>
      <c r="R829" s="3"/>
      <c r="S829" s="3"/>
    </row>
    <row r="830" spans="2:19" x14ac:dyDescent="0.2">
      <c r="B830" s="674">
        <f t="shared" si="103"/>
        <v>117</v>
      </c>
      <c r="C830" s="674" t="s">
        <v>4544</v>
      </c>
      <c r="D830" s="674"/>
      <c r="E830" s="674"/>
      <c r="F830" s="674" t="s">
        <v>4778</v>
      </c>
      <c r="G830" s="674"/>
      <c r="H830" s="674"/>
      <c r="I830" s="674"/>
      <c r="J830" s="1062">
        <v>41839</v>
      </c>
      <c r="K830" s="672"/>
      <c r="L830" s="672"/>
      <c r="M830" s="672"/>
      <c r="N830" s="672"/>
      <c r="O830" s="672"/>
      <c r="P830" s="9"/>
      <c r="Q830" s="8"/>
      <c r="R830" s="3"/>
      <c r="S830" s="3"/>
    </row>
    <row r="831" spans="2:19" x14ac:dyDescent="0.2">
      <c r="B831" s="674">
        <f t="shared" si="103"/>
        <v>118</v>
      </c>
      <c r="C831" s="674" t="s">
        <v>4491</v>
      </c>
      <c r="D831" s="674"/>
      <c r="E831" s="674"/>
      <c r="F831" s="674" t="s">
        <v>665</v>
      </c>
      <c r="G831" s="674"/>
      <c r="H831" s="674"/>
      <c r="I831" s="674"/>
      <c r="J831" s="1062">
        <v>41836</v>
      </c>
      <c r="K831" s="672"/>
      <c r="L831" s="672"/>
      <c r="M831" s="672"/>
      <c r="N831" s="672"/>
      <c r="O831" s="672"/>
      <c r="P831" s="9"/>
      <c r="Q831" s="8"/>
      <c r="R831" s="3"/>
      <c r="S831" s="3"/>
    </row>
    <row r="832" spans="2:19" x14ac:dyDescent="0.2">
      <c r="B832" s="674">
        <f t="shared" si="103"/>
        <v>119</v>
      </c>
      <c r="C832" s="674" t="s">
        <v>1829</v>
      </c>
      <c r="D832" s="674"/>
      <c r="E832" s="674"/>
      <c r="F832" s="674" t="s">
        <v>748</v>
      </c>
      <c r="G832" s="674"/>
      <c r="H832" s="674"/>
      <c r="I832" s="674"/>
      <c r="J832" s="1062">
        <v>41853</v>
      </c>
      <c r="K832" s="672"/>
      <c r="L832" s="672"/>
      <c r="M832" s="672"/>
      <c r="N832" s="672"/>
      <c r="O832" s="672"/>
      <c r="P832" s="9"/>
      <c r="Q832" s="8"/>
      <c r="R832" s="3"/>
      <c r="S832" s="3"/>
    </row>
    <row r="833" spans="2:19" x14ac:dyDescent="0.2">
      <c r="B833" s="674">
        <f t="shared" si="103"/>
        <v>120</v>
      </c>
      <c r="C833" s="674" t="s">
        <v>3307</v>
      </c>
      <c r="D833" s="674"/>
      <c r="E833" s="674"/>
      <c r="F833" s="674" t="s">
        <v>665</v>
      </c>
      <c r="G833" s="674"/>
      <c r="H833" s="674"/>
      <c r="I833" s="674"/>
      <c r="J833" s="1062">
        <v>41860</v>
      </c>
      <c r="K833" s="672"/>
      <c r="L833" s="672"/>
      <c r="M833" s="672"/>
      <c r="N833" s="672"/>
      <c r="O833" s="672"/>
      <c r="P833" s="9"/>
      <c r="Q833" s="8"/>
      <c r="R833" s="3"/>
      <c r="S833" s="3"/>
    </row>
    <row r="834" spans="2:19" x14ac:dyDescent="0.2">
      <c r="B834" s="674">
        <f t="shared" si="103"/>
        <v>121</v>
      </c>
      <c r="C834" s="674" t="s">
        <v>5198</v>
      </c>
      <c r="D834" s="674"/>
      <c r="E834" s="674"/>
      <c r="F834" s="674" t="s">
        <v>3189</v>
      </c>
      <c r="G834" s="674"/>
      <c r="H834" s="674"/>
      <c r="I834" s="674"/>
      <c r="J834" s="1064"/>
      <c r="K834" s="672"/>
      <c r="L834" s="672"/>
      <c r="M834" s="672"/>
      <c r="N834" s="672"/>
      <c r="O834" s="672"/>
      <c r="P834" s="9"/>
      <c r="Q834" s="8"/>
      <c r="R834" s="3"/>
      <c r="S834" s="3"/>
    </row>
    <row r="835" spans="2:19" x14ac:dyDescent="0.2">
      <c r="B835" s="674">
        <f t="shared" si="103"/>
        <v>122</v>
      </c>
      <c r="C835" s="674" t="s">
        <v>806</v>
      </c>
      <c r="D835" s="674"/>
      <c r="E835" s="674"/>
      <c r="F835" s="674" t="s">
        <v>2131</v>
      </c>
      <c r="G835" s="674"/>
      <c r="H835" s="674"/>
      <c r="I835" s="674"/>
      <c r="J835" s="1064"/>
      <c r="K835" s="672"/>
      <c r="L835" s="672"/>
      <c r="M835" s="672"/>
      <c r="N835" s="672"/>
      <c r="O835" s="672"/>
      <c r="P835" s="9"/>
      <c r="Q835" s="8"/>
      <c r="R835" s="3"/>
      <c r="S835" s="3"/>
    </row>
    <row r="836" spans="2:19" x14ac:dyDescent="0.2">
      <c r="B836" s="674">
        <f t="shared" si="103"/>
        <v>123</v>
      </c>
      <c r="C836" s="674" t="s">
        <v>1783</v>
      </c>
      <c r="D836" s="674"/>
      <c r="E836" s="674"/>
      <c r="F836" s="674" t="s">
        <v>4778</v>
      </c>
      <c r="G836" s="674"/>
      <c r="H836" s="674"/>
      <c r="I836" s="674"/>
      <c r="J836" s="1064"/>
      <c r="K836" s="672"/>
      <c r="L836" s="672"/>
      <c r="M836" s="672"/>
      <c r="N836" s="672"/>
      <c r="O836" s="672"/>
      <c r="P836" s="9"/>
      <c r="Q836" s="8"/>
      <c r="R836" s="3"/>
      <c r="S836" s="3"/>
    </row>
    <row r="837" spans="2:19" x14ac:dyDescent="0.2">
      <c r="B837" s="674">
        <f t="shared" si="103"/>
        <v>124</v>
      </c>
      <c r="C837" s="674" t="s">
        <v>3359</v>
      </c>
      <c r="D837" s="674"/>
      <c r="E837" s="674"/>
      <c r="F837" s="674" t="s">
        <v>1264</v>
      </c>
      <c r="G837" s="674"/>
      <c r="H837" s="674"/>
      <c r="I837" s="674"/>
      <c r="J837" s="1064"/>
      <c r="K837" s="672"/>
      <c r="L837" s="672"/>
      <c r="M837" s="672"/>
      <c r="N837" s="672"/>
      <c r="O837" s="672"/>
      <c r="P837" s="9"/>
      <c r="Q837" s="8"/>
      <c r="R837" s="3"/>
      <c r="S837" s="3"/>
    </row>
    <row r="838" spans="2:19" x14ac:dyDescent="0.2">
      <c r="B838" s="674">
        <f t="shared" si="103"/>
        <v>125</v>
      </c>
      <c r="C838" s="674" t="s">
        <v>4397</v>
      </c>
      <c r="D838" s="674"/>
      <c r="E838" s="674"/>
      <c r="F838" s="674" t="s">
        <v>3360</v>
      </c>
      <c r="G838" s="674"/>
      <c r="H838" s="674"/>
      <c r="I838" s="674"/>
      <c r="J838" s="1064"/>
      <c r="K838" s="672"/>
      <c r="L838" s="672"/>
      <c r="M838" s="672"/>
      <c r="N838" s="672"/>
      <c r="O838" s="672"/>
      <c r="P838" s="9"/>
      <c r="Q838" s="8"/>
      <c r="R838" s="3"/>
      <c r="S838" s="3"/>
    </row>
    <row r="839" spans="2:19" x14ac:dyDescent="0.2">
      <c r="B839" s="674">
        <f t="shared" si="103"/>
        <v>126</v>
      </c>
      <c r="C839" s="674" t="s">
        <v>4497</v>
      </c>
      <c r="D839" s="674"/>
      <c r="E839" s="674"/>
      <c r="F839" s="674" t="s">
        <v>665</v>
      </c>
      <c r="G839" s="674"/>
      <c r="H839" s="674"/>
      <c r="I839" s="674"/>
      <c r="J839" s="1064"/>
      <c r="K839" s="672"/>
      <c r="L839" s="672"/>
      <c r="M839" s="672"/>
      <c r="N839" s="672"/>
      <c r="O839" s="672"/>
      <c r="P839" s="9"/>
      <c r="Q839" s="8"/>
      <c r="R839" s="3"/>
      <c r="S839" s="3"/>
    </row>
    <row r="840" spans="2:19" x14ac:dyDescent="0.2">
      <c r="B840" s="674">
        <f t="shared" si="103"/>
        <v>127</v>
      </c>
      <c r="C840" s="674" t="s">
        <v>3131</v>
      </c>
      <c r="D840" s="674"/>
      <c r="E840" s="674"/>
      <c r="F840" s="674" t="s">
        <v>665</v>
      </c>
      <c r="G840" s="674"/>
      <c r="H840" s="674"/>
      <c r="I840" s="674"/>
      <c r="J840" s="1064"/>
      <c r="K840" s="672"/>
      <c r="L840" s="672"/>
      <c r="M840" s="672"/>
      <c r="N840" s="672"/>
      <c r="O840" s="672"/>
      <c r="P840" s="9"/>
      <c r="Q840" s="8"/>
      <c r="R840" s="3"/>
      <c r="S840" s="3"/>
    </row>
    <row r="841" spans="2:19" x14ac:dyDescent="0.2">
      <c r="B841" s="674">
        <f t="shared" si="103"/>
        <v>128</v>
      </c>
      <c r="C841" s="674" t="s">
        <v>2636</v>
      </c>
      <c r="D841" s="674"/>
      <c r="E841" s="674"/>
      <c r="F841" s="674" t="s">
        <v>748</v>
      </c>
      <c r="G841" s="674"/>
      <c r="H841" s="674"/>
      <c r="I841" s="674"/>
      <c r="J841" s="1064"/>
      <c r="K841" s="672"/>
      <c r="L841" s="672"/>
      <c r="M841" s="672"/>
      <c r="N841" s="672"/>
      <c r="O841" s="672"/>
      <c r="P841" s="9"/>
      <c r="Q841" s="8"/>
      <c r="R841" s="3"/>
      <c r="S841" s="3"/>
    </row>
    <row r="842" spans="2:19" x14ac:dyDescent="0.2">
      <c r="B842" s="674">
        <f t="shared" si="103"/>
        <v>129</v>
      </c>
      <c r="C842" s="674" t="s">
        <v>803</v>
      </c>
      <c r="D842" s="674"/>
      <c r="E842" s="674"/>
      <c r="F842" s="674" t="s">
        <v>4897</v>
      </c>
      <c r="G842" s="674"/>
      <c r="H842" s="674"/>
      <c r="I842" s="674"/>
      <c r="J842" s="1064"/>
      <c r="K842" s="672"/>
      <c r="L842" s="672"/>
      <c r="M842" s="672"/>
      <c r="N842" s="672"/>
      <c r="O842" s="672"/>
      <c r="P842" s="9"/>
      <c r="Q842" s="8"/>
      <c r="R842" s="3"/>
      <c r="S842" s="3"/>
    </row>
    <row r="843" spans="2:19" x14ac:dyDescent="0.2">
      <c r="B843" s="674">
        <f t="shared" si="103"/>
        <v>130</v>
      </c>
      <c r="C843" s="674" t="s">
        <v>840</v>
      </c>
      <c r="D843" s="674"/>
      <c r="E843" s="674"/>
      <c r="F843" s="674" t="s">
        <v>665</v>
      </c>
      <c r="G843" s="674"/>
      <c r="H843" s="674"/>
      <c r="I843" s="674"/>
      <c r="J843" s="1064"/>
      <c r="K843" s="672"/>
      <c r="L843" s="672"/>
      <c r="M843" s="672"/>
      <c r="N843" s="672"/>
      <c r="O843" s="672"/>
      <c r="P843" s="9"/>
      <c r="Q843" s="8"/>
      <c r="R843" s="3"/>
      <c r="S843" s="3"/>
    </row>
    <row r="844" spans="2:19" x14ac:dyDescent="0.2">
      <c r="B844" s="674">
        <f t="shared" si="103"/>
        <v>131</v>
      </c>
      <c r="C844" s="674" t="s">
        <v>4460</v>
      </c>
      <c r="D844" s="674"/>
      <c r="E844" s="674"/>
      <c r="F844" s="674" t="s">
        <v>2725</v>
      </c>
      <c r="G844" s="674"/>
      <c r="H844" s="674"/>
      <c r="I844" s="674"/>
      <c r="J844" s="1064">
        <v>41916</v>
      </c>
      <c r="K844" s="672"/>
      <c r="L844" s="672"/>
      <c r="M844" s="672"/>
      <c r="N844" s="672"/>
      <c r="O844" s="672"/>
      <c r="P844" s="9"/>
      <c r="Q844" s="8"/>
      <c r="R844" s="3"/>
      <c r="S844" s="3"/>
    </row>
    <row r="845" spans="2:19" x14ac:dyDescent="0.2">
      <c r="B845" s="674">
        <f t="shared" si="103"/>
        <v>132</v>
      </c>
      <c r="C845" s="674" t="s">
        <v>1950</v>
      </c>
      <c r="D845" s="674"/>
      <c r="E845" s="674"/>
      <c r="F845" s="674" t="s">
        <v>3444</v>
      </c>
      <c r="G845" s="674"/>
      <c r="H845" s="674"/>
      <c r="I845" s="674"/>
      <c r="J845" s="1064">
        <v>41916</v>
      </c>
      <c r="K845" s="672"/>
      <c r="L845" s="672"/>
      <c r="M845" s="672"/>
      <c r="N845" s="672"/>
      <c r="O845" s="672"/>
      <c r="P845" s="9"/>
      <c r="Q845" s="8"/>
      <c r="R845" s="3"/>
      <c r="S845" s="3"/>
    </row>
    <row r="846" spans="2:19" x14ac:dyDescent="0.2">
      <c r="B846" s="674">
        <f t="shared" si="103"/>
        <v>133</v>
      </c>
      <c r="C846" s="674" t="s">
        <v>2719</v>
      </c>
      <c r="D846" s="674"/>
      <c r="E846" s="674"/>
      <c r="F846" s="674" t="s">
        <v>665</v>
      </c>
      <c r="G846" s="674"/>
      <c r="H846" s="672"/>
      <c r="I846" s="672"/>
      <c r="J846" s="1064"/>
      <c r="K846" s="672"/>
      <c r="L846" s="672"/>
      <c r="M846" s="672"/>
      <c r="N846" s="9"/>
      <c r="O846" s="8"/>
      <c r="P846" s="3"/>
      <c r="Q846" s="3"/>
    </row>
    <row r="847" spans="2:19" x14ac:dyDescent="0.2">
      <c r="B847" s="674">
        <f t="shared" si="103"/>
        <v>134</v>
      </c>
      <c r="C847" s="674" t="s">
        <v>841</v>
      </c>
      <c r="D847" s="674"/>
      <c r="E847" s="674"/>
      <c r="F847" s="674" t="s">
        <v>665</v>
      </c>
      <c r="G847" s="674"/>
      <c r="H847" s="672"/>
      <c r="I847" s="672"/>
      <c r="J847" s="1064"/>
      <c r="K847" s="672"/>
      <c r="L847" s="672"/>
      <c r="M847" s="672"/>
      <c r="N847" s="9"/>
      <c r="O847" s="8"/>
      <c r="P847" s="3"/>
      <c r="Q847" s="3"/>
    </row>
    <row r="848" spans="2:19" x14ac:dyDescent="0.2">
      <c r="B848" s="674">
        <f t="shared" si="103"/>
        <v>135</v>
      </c>
      <c r="C848" s="674" t="s">
        <v>3912</v>
      </c>
      <c r="D848" s="674"/>
      <c r="E848" s="674"/>
      <c r="F848" s="674" t="s">
        <v>665</v>
      </c>
      <c r="G848" s="674"/>
      <c r="H848" s="672"/>
      <c r="I848" s="672"/>
      <c r="J848" s="1064"/>
      <c r="K848" s="672"/>
      <c r="L848" s="672"/>
      <c r="M848" s="672"/>
      <c r="N848" s="9"/>
      <c r="O848" s="8"/>
      <c r="P848" s="3"/>
      <c r="Q848" s="3"/>
    </row>
    <row r="849" spans="2:17" x14ac:dyDescent="0.2">
      <c r="B849" s="674">
        <f t="shared" si="103"/>
        <v>136</v>
      </c>
      <c r="C849" s="674" t="s">
        <v>3204</v>
      </c>
      <c r="D849" s="674"/>
      <c r="E849" s="674"/>
      <c r="F849" s="674" t="s">
        <v>665</v>
      </c>
      <c r="G849" s="674"/>
      <c r="H849" s="672"/>
      <c r="I849" s="672"/>
      <c r="J849" s="1064"/>
      <c r="K849" s="672"/>
      <c r="L849" s="672"/>
      <c r="M849" s="672"/>
      <c r="N849" s="9"/>
      <c r="O849" s="8"/>
      <c r="P849" s="3"/>
      <c r="Q849" s="3"/>
    </row>
    <row r="850" spans="2:17" x14ac:dyDescent="0.2">
      <c r="B850" s="674">
        <f t="shared" si="103"/>
        <v>137</v>
      </c>
      <c r="C850" s="674" t="s">
        <v>5337</v>
      </c>
      <c r="D850" s="674"/>
      <c r="E850" s="674"/>
      <c r="F850" s="674" t="s">
        <v>3205</v>
      </c>
      <c r="G850" s="674"/>
      <c r="H850" s="672"/>
      <c r="I850" s="672"/>
      <c r="J850" s="1064"/>
      <c r="K850" s="672"/>
      <c r="L850" s="672"/>
      <c r="M850" s="672"/>
      <c r="N850" s="9"/>
      <c r="O850" s="8"/>
      <c r="P850" s="3"/>
      <c r="Q850" s="3"/>
    </row>
    <row r="851" spans="2:17" x14ac:dyDescent="0.2">
      <c r="B851" s="674">
        <f t="shared" si="103"/>
        <v>138</v>
      </c>
      <c r="C851" s="674" t="s">
        <v>470</v>
      </c>
      <c r="D851" s="674"/>
      <c r="E851" s="674"/>
      <c r="F851" s="674" t="s">
        <v>665</v>
      </c>
      <c r="G851" s="674"/>
      <c r="H851" s="672"/>
      <c r="I851" s="672"/>
      <c r="J851" s="1064"/>
      <c r="K851" s="672"/>
      <c r="L851" s="672"/>
      <c r="M851" s="672"/>
      <c r="N851" s="9"/>
      <c r="O851" s="8"/>
      <c r="P851" s="3"/>
      <c r="Q851" s="3"/>
    </row>
    <row r="852" spans="2:17" x14ac:dyDescent="0.2">
      <c r="B852" s="674">
        <f t="shared" si="103"/>
        <v>139</v>
      </c>
      <c r="C852" s="674" t="s">
        <v>1405</v>
      </c>
      <c r="D852" s="674"/>
      <c r="E852" s="674"/>
      <c r="F852" s="674" t="s">
        <v>4778</v>
      </c>
      <c r="G852" s="674"/>
      <c r="H852" s="672"/>
      <c r="I852" s="672"/>
      <c r="J852" s="1064"/>
      <c r="K852" s="672"/>
      <c r="L852" s="672"/>
      <c r="M852" s="672"/>
      <c r="N852" s="9"/>
      <c r="O852" s="8"/>
      <c r="P852" s="3"/>
      <c r="Q852" s="3"/>
    </row>
    <row r="853" spans="2:17" x14ac:dyDescent="0.2">
      <c r="B853" s="674">
        <f t="shared" si="103"/>
        <v>140</v>
      </c>
      <c r="C853" s="674" t="s">
        <v>5955</v>
      </c>
      <c r="D853" s="674"/>
      <c r="E853" s="674"/>
      <c r="F853" s="674" t="s">
        <v>4878</v>
      </c>
      <c r="G853" s="674"/>
      <c r="H853" s="672"/>
      <c r="I853" s="672"/>
      <c r="J853" s="1064"/>
      <c r="K853" s="672"/>
      <c r="L853" s="672"/>
      <c r="M853" s="672"/>
      <c r="N853" s="9"/>
      <c r="O853" s="8"/>
      <c r="P853" s="3"/>
      <c r="Q853" s="3"/>
    </row>
    <row r="854" spans="2:17" x14ac:dyDescent="0.2">
      <c r="B854" s="674">
        <f t="shared" si="103"/>
        <v>141</v>
      </c>
      <c r="C854" s="674" t="s">
        <v>3226</v>
      </c>
      <c r="D854" s="674"/>
      <c r="E854" s="674"/>
      <c r="F854" s="674" t="s">
        <v>5884</v>
      </c>
      <c r="G854" s="674"/>
      <c r="H854" s="672"/>
      <c r="I854" s="672"/>
      <c r="J854" s="1064"/>
      <c r="K854" s="672"/>
      <c r="L854" s="672"/>
      <c r="M854" s="672"/>
      <c r="N854" s="9"/>
      <c r="O854" s="8"/>
      <c r="P854" s="3"/>
      <c r="Q854" s="3"/>
    </row>
    <row r="855" spans="2:17" x14ac:dyDescent="0.2">
      <c r="B855" s="674">
        <f t="shared" si="103"/>
        <v>142</v>
      </c>
      <c r="C855" s="674" t="s">
        <v>2563</v>
      </c>
      <c r="D855" s="674"/>
      <c r="E855" s="674"/>
      <c r="F855" s="674" t="s">
        <v>5096</v>
      </c>
      <c r="G855" s="674"/>
      <c r="H855" s="672"/>
      <c r="I855" s="672"/>
      <c r="J855" s="1064"/>
      <c r="K855" s="672"/>
      <c r="L855" s="672"/>
      <c r="M855" s="672"/>
      <c r="N855" s="9"/>
      <c r="O855" s="8"/>
      <c r="P855" s="3"/>
      <c r="Q855" s="3"/>
    </row>
    <row r="856" spans="2:17" x14ac:dyDescent="0.2">
      <c r="B856" s="674">
        <f t="shared" si="103"/>
        <v>143</v>
      </c>
      <c r="C856" s="674" t="s">
        <v>2830</v>
      </c>
      <c r="D856" s="674"/>
      <c r="E856" s="674"/>
      <c r="F856" s="674" t="s">
        <v>4778</v>
      </c>
      <c r="G856" s="674"/>
      <c r="H856" s="672"/>
      <c r="I856" s="672"/>
      <c r="J856" s="1064"/>
      <c r="K856" s="672"/>
      <c r="L856" s="672"/>
      <c r="M856" s="672"/>
      <c r="N856" s="9"/>
      <c r="O856" s="8"/>
      <c r="P856" s="3"/>
      <c r="Q856" s="3"/>
    </row>
    <row r="857" spans="2:17" x14ac:dyDescent="0.2">
      <c r="B857" s="674">
        <f t="shared" si="103"/>
        <v>144</v>
      </c>
      <c r="C857" s="674" t="s">
        <v>5655</v>
      </c>
      <c r="D857" s="674"/>
      <c r="E857" s="674"/>
      <c r="F857" s="674" t="s">
        <v>665</v>
      </c>
      <c r="G857" s="674"/>
      <c r="H857" s="672"/>
      <c r="I857" s="672"/>
      <c r="J857" s="1064"/>
      <c r="K857" s="672"/>
      <c r="L857" s="672"/>
      <c r="M857" s="672"/>
      <c r="N857" s="9"/>
      <c r="O857" s="8"/>
      <c r="P857" s="3"/>
      <c r="Q857" s="3"/>
    </row>
    <row r="858" spans="2:17" x14ac:dyDescent="0.2">
      <c r="B858" s="674">
        <f t="shared" si="103"/>
        <v>145</v>
      </c>
      <c r="C858" s="674" t="s">
        <v>1964</v>
      </c>
      <c r="D858" s="674"/>
      <c r="E858" s="674"/>
      <c r="F858" s="674" t="s">
        <v>5096</v>
      </c>
      <c r="G858" s="674"/>
      <c r="H858" s="672"/>
      <c r="I858" s="672"/>
      <c r="J858" s="1064"/>
      <c r="K858" s="672"/>
      <c r="L858" s="672"/>
      <c r="M858" s="672"/>
      <c r="N858" s="9"/>
      <c r="O858" s="8"/>
      <c r="P858" s="3"/>
      <c r="Q858" s="3"/>
    </row>
    <row r="859" spans="2:17" x14ac:dyDescent="0.2">
      <c r="B859" s="674">
        <f t="shared" si="103"/>
        <v>146</v>
      </c>
      <c r="C859" s="674" t="s">
        <v>4244</v>
      </c>
      <c r="D859" s="674"/>
      <c r="E859" s="674"/>
      <c r="F859" s="674" t="s">
        <v>5096</v>
      </c>
      <c r="G859" s="674"/>
      <c r="H859" s="672"/>
      <c r="I859" s="672"/>
      <c r="J859" s="1064"/>
      <c r="K859" s="672"/>
      <c r="L859" s="672"/>
      <c r="M859" s="672"/>
      <c r="N859" s="9"/>
      <c r="O859" s="8"/>
      <c r="P859" s="3"/>
      <c r="Q859" s="3"/>
    </row>
    <row r="860" spans="2:17" x14ac:dyDescent="0.2">
      <c r="B860" s="674">
        <f t="shared" si="103"/>
        <v>147</v>
      </c>
      <c r="C860" s="674" t="s">
        <v>1563</v>
      </c>
      <c r="D860" s="674"/>
      <c r="E860" s="674"/>
      <c r="F860" s="674" t="s">
        <v>5096</v>
      </c>
      <c r="G860" s="674"/>
      <c r="H860" s="672"/>
      <c r="I860" s="672"/>
      <c r="J860" s="1064"/>
      <c r="K860" s="672"/>
      <c r="L860" s="672"/>
      <c r="M860" s="672"/>
      <c r="N860" s="9"/>
      <c r="O860" s="8"/>
      <c r="P860" s="3"/>
      <c r="Q860" s="3"/>
    </row>
    <row r="861" spans="2:17" x14ac:dyDescent="0.2">
      <c r="B861" s="674">
        <f t="shared" si="103"/>
        <v>148</v>
      </c>
      <c r="C861" s="674" t="s">
        <v>2312</v>
      </c>
      <c r="D861" s="674"/>
      <c r="E861" s="674"/>
      <c r="F861" s="674" t="s">
        <v>1000</v>
      </c>
      <c r="G861" s="674"/>
      <c r="H861" s="672"/>
      <c r="I861" s="672"/>
      <c r="J861" s="1064"/>
      <c r="K861" s="672"/>
      <c r="L861" s="672"/>
      <c r="M861" s="672"/>
      <c r="N861" s="9"/>
      <c r="O861" s="8"/>
      <c r="P861" s="3"/>
      <c r="Q861" s="3"/>
    </row>
    <row r="862" spans="2:17" x14ac:dyDescent="0.2">
      <c r="B862" s="674">
        <f t="shared" si="103"/>
        <v>149</v>
      </c>
      <c r="C862" s="674" t="s">
        <v>2384</v>
      </c>
      <c r="D862" s="674"/>
      <c r="E862" s="674"/>
      <c r="F862" s="674" t="s">
        <v>1000</v>
      </c>
      <c r="G862" s="674"/>
      <c r="H862" s="672"/>
      <c r="I862" s="672"/>
      <c r="J862" s="1064"/>
      <c r="K862" s="672"/>
      <c r="L862" s="672"/>
      <c r="M862" s="672"/>
      <c r="N862" s="9"/>
      <c r="O862" s="8"/>
      <c r="P862" s="3"/>
      <c r="Q862" s="3"/>
    </row>
    <row r="863" spans="2:17" x14ac:dyDescent="0.2">
      <c r="B863" s="674">
        <f t="shared" si="103"/>
        <v>150</v>
      </c>
      <c r="C863" s="674" t="s">
        <v>444</v>
      </c>
      <c r="D863" s="674"/>
      <c r="E863" s="674"/>
      <c r="F863" s="674" t="s">
        <v>4700</v>
      </c>
      <c r="G863" s="674"/>
      <c r="H863" s="672"/>
      <c r="I863" s="672"/>
      <c r="J863" s="1064"/>
      <c r="K863" s="672"/>
      <c r="L863" s="672"/>
      <c r="M863" s="672"/>
      <c r="N863" s="9"/>
      <c r="O863" s="8"/>
      <c r="P863" s="3"/>
      <c r="Q863" s="3"/>
    </row>
    <row r="864" spans="2:17" x14ac:dyDescent="0.2">
      <c r="B864" s="674">
        <f t="shared" si="103"/>
        <v>151</v>
      </c>
      <c r="C864" s="674" t="s">
        <v>910</v>
      </c>
      <c r="D864" s="674"/>
      <c r="E864" s="674"/>
      <c r="F864" s="674" t="s">
        <v>4700</v>
      </c>
      <c r="G864" s="674"/>
      <c r="H864" s="672"/>
      <c r="I864" s="672"/>
      <c r="J864" s="1064"/>
      <c r="K864" s="672"/>
      <c r="L864" s="672"/>
      <c r="M864" s="672"/>
      <c r="N864" s="9"/>
      <c r="O864" s="8"/>
      <c r="P864" s="3"/>
      <c r="Q864" s="3"/>
    </row>
    <row r="865" spans="2:17" x14ac:dyDescent="0.2">
      <c r="B865" s="674">
        <f t="shared" si="103"/>
        <v>152</v>
      </c>
      <c r="C865" s="674" t="s">
        <v>5266</v>
      </c>
      <c r="D865" s="674"/>
      <c r="E865" s="674"/>
      <c r="F865" s="674" t="s">
        <v>4700</v>
      </c>
      <c r="G865" s="674"/>
      <c r="H865" s="672"/>
      <c r="I865" s="672"/>
      <c r="J865" s="1064"/>
      <c r="K865" s="672"/>
      <c r="L865" s="672"/>
      <c r="M865" s="672"/>
      <c r="N865" s="9"/>
      <c r="O865" s="8"/>
      <c r="P865" s="3"/>
      <c r="Q865" s="3"/>
    </row>
    <row r="866" spans="2:17" x14ac:dyDescent="0.2">
      <c r="B866" s="674">
        <f t="shared" si="103"/>
        <v>153</v>
      </c>
      <c r="C866" s="685" t="s">
        <v>1569</v>
      </c>
      <c r="D866" s="685"/>
      <c r="E866" s="685"/>
      <c r="F866" s="674" t="s">
        <v>5096</v>
      </c>
      <c r="G866" s="674"/>
      <c r="H866" s="672"/>
      <c r="I866" s="672"/>
      <c r="J866" s="1064"/>
      <c r="K866" s="672"/>
      <c r="L866" s="672"/>
      <c r="M866" s="672"/>
      <c r="N866" s="9"/>
      <c r="O866" s="8"/>
      <c r="P866" s="3"/>
      <c r="Q866" s="3"/>
    </row>
    <row r="867" spans="2:17" x14ac:dyDescent="0.2">
      <c r="B867" s="674">
        <f t="shared" si="103"/>
        <v>154</v>
      </c>
      <c r="C867" s="685" t="s">
        <v>2593</v>
      </c>
      <c r="D867" s="685"/>
      <c r="E867" s="685"/>
      <c r="F867" s="674" t="s">
        <v>5096</v>
      </c>
      <c r="G867" s="674"/>
      <c r="H867" s="672"/>
      <c r="I867" s="672"/>
      <c r="J867" s="1064"/>
      <c r="K867" s="672"/>
      <c r="L867" s="672"/>
      <c r="M867" s="672"/>
      <c r="N867" s="9"/>
      <c r="O867" s="8"/>
      <c r="P867" s="3"/>
      <c r="Q867" s="3"/>
    </row>
    <row r="868" spans="2:17" x14ac:dyDescent="0.2">
      <c r="B868" s="674">
        <f t="shared" si="103"/>
        <v>155</v>
      </c>
      <c r="C868" s="685" t="s">
        <v>4509</v>
      </c>
      <c r="D868" s="685"/>
      <c r="E868" s="685"/>
      <c r="F868" s="674" t="s">
        <v>1000</v>
      </c>
      <c r="G868" s="674"/>
      <c r="H868" s="672"/>
      <c r="I868" s="672"/>
      <c r="J868" s="1064"/>
      <c r="K868" s="672"/>
      <c r="L868" s="672"/>
      <c r="M868" s="672"/>
      <c r="N868" s="9"/>
      <c r="O868" s="8"/>
      <c r="P868" s="3"/>
      <c r="Q868" s="3"/>
    </row>
    <row r="869" spans="2:17" x14ac:dyDescent="0.2">
      <c r="B869" s="674">
        <f t="shared" si="103"/>
        <v>156</v>
      </c>
      <c r="C869" s="685" t="s">
        <v>4727</v>
      </c>
      <c r="D869" s="685"/>
      <c r="E869" s="685"/>
      <c r="F869" s="674" t="s">
        <v>4700</v>
      </c>
      <c r="G869" s="674"/>
      <c r="H869" s="672"/>
      <c r="I869" s="672"/>
      <c r="J869" s="1064"/>
      <c r="K869" s="672"/>
      <c r="L869" s="672"/>
      <c r="M869" s="672"/>
      <c r="N869" s="9"/>
      <c r="O869" s="8"/>
      <c r="P869" s="3"/>
      <c r="Q869" s="3"/>
    </row>
    <row r="870" spans="2:17" x14ac:dyDescent="0.2">
      <c r="B870" s="674">
        <f t="shared" si="103"/>
        <v>157</v>
      </c>
      <c r="C870" s="685" t="s">
        <v>802</v>
      </c>
      <c r="D870" s="685"/>
      <c r="E870" s="685"/>
      <c r="F870" s="674" t="s">
        <v>5806</v>
      </c>
      <c r="G870" s="674"/>
      <c r="H870" s="672"/>
      <c r="I870" s="672"/>
      <c r="J870" s="1064"/>
      <c r="K870" s="672"/>
      <c r="L870" s="672"/>
      <c r="M870" s="672"/>
      <c r="N870" s="9"/>
      <c r="O870" s="8"/>
      <c r="P870" s="3"/>
      <c r="Q870" s="3"/>
    </row>
    <row r="871" spans="2:17" x14ac:dyDescent="0.2">
      <c r="B871" s="674">
        <f t="shared" si="103"/>
        <v>158</v>
      </c>
      <c r="C871" s="685" t="s">
        <v>1456</v>
      </c>
      <c r="D871" s="685"/>
      <c r="E871" s="685"/>
      <c r="F871" s="674" t="s">
        <v>1000</v>
      </c>
      <c r="G871" s="674"/>
      <c r="H871" s="672"/>
      <c r="I871" s="672"/>
      <c r="J871" s="1064"/>
      <c r="K871" s="672"/>
      <c r="L871" s="672"/>
      <c r="M871" s="672"/>
      <c r="N871" s="9"/>
      <c r="O871" s="8"/>
      <c r="P871" s="3"/>
      <c r="Q871" s="3"/>
    </row>
    <row r="872" spans="2:17" x14ac:dyDescent="0.2">
      <c r="B872" s="674">
        <f t="shared" si="103"/>
        <v>159</v>
      </c>
      <c r="C872" s="685" t="s">
        <v>4974</v>
      </c>
      <c r="D872" s="685"/>
      <c r="E872" s="685"/>
      <c r="F872" s="674" t="s">
        <v>1000</v>
      </c>
      <c r="G872" s="674"/>
      <c r="H872" s="672"/>
      <c r="I872" s="672"/>
      <c r="J872" s="1064"/>
      <c r="K872" s="672"/>
      <c r="L872" s="672"/>
      <c r="M872" s="672"/>
      <c r="N872" s="9"/>
      <c r="O872" s="8"/>
      <c r="P872" s="3"/>
      <c r="Q872" s="3"/>
    </row>
    <row r="873" spans="2:17" x14ac:dyDescent="0.2">
      <c r="B873" s="674">
        <f t="shared" si="103"/>
        <v>160</v>
      </c>
      <c r="C873" s="685" t="s">
        <v>843</v>
      </c>
      <c r="D873" s="685"/>
      <c r="E873" s="685"/>
      <c r="F873" s="674" t="s">
        <v>1000</v>
      </c>
      <c r="G873" s="674"/>
      <c r="H873" s="672"/>
      <c r="I873" s="672"/>
      <c r="J873" s="1064"/>
      <c r="K873" s="672"/>
      <c r="L873" s="672"/>
      <c r="M873" s="672"/>
      <c r="N873" s="9"/>
      <c r="O873" s="8"/>
      <c r="P873" s="3"/>
      <c r="Q873" s="3"/>
    </row>
    <row r="874" spans="2:17" x14ac:dyDescent="0.2">
      <c r="B874" s="674">
        <f t="shared" si="103"/>
        <v>161</v>
      </c>
      <c r="C874" s="685" t="s">
        <v>1805</v>
      </c>
      <c r="D874" s="685"/>
      <c r="E874" s="685"/>
      <c r="F874" s="674" t="s">
        <v>4778</v>
      </c>
      <c r="G874" s="674"/>
      <c r="H874" s="672"/>
      <c r="I874" s="672"/>
      <c r="J874" s="1064"/>
      <c r="K874" s="672"/>
      <c r="L874" s="672"/>
      <c r="M874" s="672"/>
      <c r="N874" s="9"/>
      <c r="O874" s="8"/>
      <c r="P874" s="3"/>
      <c r="Q874" s="3"/>
    </row>
    <row r="875" spans="2:17" x14ac:dyDescent="0.2">
      <c r="B875" s="674">
        <f t="shared" si="103"/>
        <v>162</v>
      </c>
      <c r="C875" s="685" t="s">
        <v>249</v>
      </c>
      <c r="D875" s="685"/>
      <c r="E875" s="685"/>
      <c r="F875" s="674" t="s">
        <v>1270</v>
      </c>
      <c r="G875" s="674"/>
      <c r="H875" s="672"/>
      <c r="I875" s="672"/>
      <c r="J875" s="1064"/>
      <c r="K875" s="672"/>
      <c r="L875" s="672"/>
      <c r="M875" s="672"/>
      <c r="N875" s="9"/>
      <c r="O875" s="8"/>
      <c r="P875" s="3"/>
      <c r="Q875" s="3"/>
    </row>
    <row r="876" spans="2:17" x14ac:dyDescent="0.2">
      <c r="B876" s="674">
        <f t="shared" si="103"/>
        <v>163</v>
      </c>
      <c r="C876" s="685" t="s">
        <v>2996</v>
      </c>
      <c r="D876" s="685"/>
      <c r="E876" s="685"/>
      <c r="F876" s="674" t="s">
        <v>5882</v>
      </c>
      <c r="G876" s="674"/>
      <c r="H876" s="672"/>
      <c r="I876" s="672"/>
      <c r="J876" s="1064"/>
      <c r="K876" s="672"/>
      <c r="L876" s="672"/>
      <c r="M876" s="672"/>
      <c r="N876" s="9"/>
      <c r="O876" s="8"/>
      <c r="P876" s="3"/>
      <c r="Q876" s="3"/>
    </row>
    <row r="877" spans="2:17" x14ac:dyDescent="0.2">
      <c r="B877" s="674">
        <f t="shared" si="103"/>
        <v>164</v>
      </c>
      <c r="C877" s="685" t="s">
        <v>2995</v>
      </c>
      <c r="D877" s="685"/>
      <c r="E877" s="685"/>
      <c r="F877" s="674" t="s">
        <v>5096</v>
      </c>
      <c r="G877" s="674"/>
      <c r="H877" s="672"/>
      <c r="I877" s="672"/>
      <c r="J877" s="1064"/>
      <c r="K877" s="672"/>
      <c r="L877" s="672"/>
      <c r="M877" s="672"/>
      <c r="N877" s="9"/>
      <c r="O877" s="8"/>
      <c r="P877" s="3"/>
      <c r="Q877" s="3"/>
    </row>
    <row r="878" spans="2:17" x14ac:dyDescent="0.2">
      <c r="B878" s="674">
        <f t="shared" si="103"/>
        <v>165</v>
      </c>
      <c r="C878" s="685" t="s">
        <v>2392</v>
      </c>
      <c r="D878" s="685"/>
      <c r="E878" s="685"/>
      <c r="F878" s="674" t="s">
        <v>1000</v>
      </c>
      <c r="G878" s="674"/>
      <c r="H878" s="672"/>
      <c r="I878" s="672"/>
      <c r="J878" s="1064"/>
      <c r="K878" s="672"/>
      <c r="L878" s="672"/>
      <c r="M878" s="672"/>
      <c r="N878" s="9"/>
      <c r="O878" s="8"/>
      <c r="P878" s="3"/>
      <c r="Q878" s="3"/>
    </row>
    <row r="879" spans="2:17" x14ac:dyDescent="0.2">
      <c r="B879" s="674">
        <f t="shared" si="103"/>
        <v>166</v>
      </c>
      <c r="C879" s="685" t="s">
        <v>3323</v>
      </c>
      <c r="D879" s="685"/>
      <c r="E879" s="685"/>
      <c r="F879" s="674" t="s">
        <v>4700</v>
      </c>
      <c r="G879" s="674"/>
      <c r="H879" s="672"/>
      <c r="I879" s="672"/>
      <c r="J879" s="1064"/>
      <c r="K879" s="672"/>
      <c r="L879" s="672"/>
      <c r="M879" s="672"/>
      <c r="N879" s="9"/>
      <c r="O879" s="8"/>
      <c r="P879" s="3"/>
      <c r="Q879" s="3"/>
    </row>
    <row r="880" spans="2:17" x14ac:dyDescent="0.2">
      <c r="B880" s="674">
        <f t="shared" ref="B880:B909" si="104">B879+1</f>
        <v>167</v>
      </c>
      <c r="C880" s="685" t="s">
        <v>135</v>
      </c>
      <c r="D880" s="685"/>
      <c r="E880" s="685"/>
      <c r="F880" s="674" t="s">
        <v>3196</v>
      </c>
      <c r="G880" s="674"/>
      <c r="H880" s="672"/>
      <c r="I880" s="672"/>
      <c r="J880" s="1064"/>
      <c r="K880" s="672"/>
      <c r="L880" s="672"/>
      <c r="M880" s="672"/>
      <c r="N880" s="9"/>
      <c r="O880" s="8"/>
      <c r="P880" s="3"/>
      <c r="Q880" s="3"/>
    </row>
    <row r="881" spans="2:17" x14ac:dyDescent="0.2">
      <c r="B881" s="674">
        <f t="shared" si="104"/>
        <v>168</v>
      </c>
      <c r="C881" s="685" t="s">
        <v>5953</v>
      </c>
      <c r="D881" s="685"/>
      <c r="E881" s="685"/>
      <c r="F881" s="674" t="s">
        <v>2725</v>
      </c>
      <c r="G881" s="674"/>
      <c r="H881" s="672"/>
      <c r="I881" s="672"/>
      <c r="J881" s="1064"/>
      <c r="K881" s="672"/>
      <c r="L881" s="672"/>
      <c r="M881" s="672"/>
      <c r="N881" s="9"/>
      <c r="O881" s="8"/>
      <c r="P881" s="3"/>
      <c r="Q881" s="3"/>
    </row>
    <row r="882" spans="2:17" x14ac:dyDescent="0.2">
      <c r="B882" s="674">
        <f t="shared" si="104"/>
        <v>169</v>
      </c>
      <c r="C882" s="685" t="s">
        <v>6021</v>
      </c>
      <c r="D882" s="685"/>
      <c r="E882" s="685"/>
      <c r="F882" s="674" t="s">
        <v>4778</v>
      </c>
      <c r="G882" s="674"/>
      <c r="H882" s="672"/>
      <c r="I882" s="672"/>
      <c r="J882" s="1064"/>
      <c r="K882" s="672"/>
      <c r="L882" s="672"/>
      <c r="M882" s="672"/>
      <c r="N882" s="9"/>
      <c r="O882" s="8"/>
      <c r="P882" s="3"/>
      <c r="Q882" s="3"/>
    </row>
    <row r="883" spans="2:17" x14ac:dyDescent="0.2">
      <c r="B883" s="674">
        <f t="shared" si="104"/>
        <v>170</v>
      </c>
      <c r="C883" s="685" t="s">
        <v>1020</v>
      </c>
      <c r="D883" s="685"/>
      <c r="E883" s="685"/>
      <c r="F883" s="674" t="s">
        <v>1987</v>
      </c>
      <c r="G883" s="674"/>
      <c r="H883" s="672"/>
      <c r="I883" s="672"/>
      <c r="J883" s="1064"/>
      <c r="K883" s="672"/>
      <c r="L883" s="672"/>
      <c r="M883" s="672"/>
      <c r="N883" s="9"/>
      <c r="O883" s="8"/>
      <c r="P883" s="3"/>
      <c r="Q883" s="3"/>
    </row>
    <row r="884" spans="2:17" x14ac:dyDescent="0.2">
      <c r="B884" s="674">
        <f t="shared" si="104"/>
        <v>171</v>
      </c>
      <c r="C884" s="685" t="s">
        <v>4849</v>
      </c>
      <c r="D884" s="685"/>
      <c r="E884" s="685"/>
      <c r="F884" s="674" t="s">
        <v>2334</v>
      </c>
      <c r="G884" s="674"/>
      <c r="H884" s="672"/>
      <c r="I884" s="672"/>
      <c r="J884" s="1064"/>
      <c r="K884" s="672"/>
      <c r="L884" s="672"/>
      <c r="M884" s="672"/>
      <c r="N884" s="9"/>
      <c r="O884" s="8"/>
      <c r="P884" s="3"/>
      <c r="Q884" s="3"/>
    </row>
    <row r="885" spans="2:17" x14ac:dyDescent="0.2">
      <c r="B885" s="674">
        <f t="shared" si="104"/>
        <v>172</v>
      </c>
      <c r="C885" s="685" t="s">
        <v>4936</v>
      </c>
      <c r="D885" s="685"/>
      <c r="E885" s="685"/>
      <c r="F885" s="674" t="s">
        <v>1000</v>
      </c>
      <c r="G885" s="674"/>
      <c r="H885" s="672"/>
      <c r="I885" s="672"/>
      <c r="J885" s="1064"/>
      <c r="K885" s="672"/>
      <c r="L885" s="672"/>
      <c r="M885" s="672"/>
      <c r="N885" s="9"/>
      <c r="O885" s="8"/>
      <c r="P885" s="3"/>
      <c r="Q885" s="3"/>
    </row>
    <row r="886" spans="2:17" x14ac:dyDescent="0.2">
      <c r="B886" s="674">
        <f t="shared" si="104"/>
        <v>173</v>
      </c>
      <c r="C886" s="685" t="s">
        <v>1627</v>
      </c>
      <c r="D886" s="685"/>
      <c r="E886" s="685"/>
      <c r="F886" s="674" t="s">
        <v>4778</v>
      </c>
      <c r="G886" s="674"/>
      <c r="H886" s="672"/>
      <c r="I886" s="672"/>
      <c r="J886" s="672"/>
      <c r="K886" s="672"/>
      <c r="L886" s="672"/>
      <c r="M886" s="672"/>
      <c r="N886" s="9"/>
      <c r="O886" s="8"/>
      <c r="P886" s="3"/>
      <c r="Q886" s="3"/>
    </row>
    <row r="887" spans="2:17" x14ac:dyDescent="0.2">
      <c r="B887" s="674">
        <f t="shared" si="104"/>
        <v>174</v>
      </c>
      <c r="C887" s="685" t="s">
        <v>645</v>
      </c>
      <c r="D887" s="685"/>
      <c r="E887" s="685"/>
      <c r="F887" s="674" t="s">
        <v>1000</v>
      </c>
      <c r="G887" s="674"/>
      <c r="H887" s="672"/>
      <c r="I887" s="672"/>
      <c r="J887" s="672"/>
      <c r="K887" s="672"/>
      <c r="L887" s="672"/>
      <c r="M887" s="672"/>
      <c r="N887" s="9"/>
      <c r="O887" s="8"/>
      <c r="P887" s="3"/>
      <c r="Q887" s="3"/>
    </row>
    <row r="888" spans="2:17" x14ac:dyDescent="0.2">
      <c r="B888" s="674">
        <f t="shared" si="104"/>
        <v>175</v>
      </c>
      <c r="C888" s="685" t="s">
        <v>1534</v>
      </c>
      <c r="D888" s="685"/>
      <c r="E888" s="685"/>
      <c r="F888" s="674" t="s">
        <v>909</v>
      </c>
      <c r="G888" s="674"/>
      <c r="H888" s="672"/>
      <c r="I888" s="672"/>
      <c r="J888" s="672"/>
      <c r="K888" s="672"/>
      <c r="L888" s="672"/>
      <c r="M888" s="672"/>
      <c r="N888" s="9"/>
      <c r="O888" s="8"/>
      <c r="P888" s="3"/>
      <c r="Q888" s="3"/>
    </row>
    <row r="889" spans="2:17" x14ac:dyDescent="0.2">
      <c r="B889" s="674">
        <f t="shared" si="104"/>
        <v>176</v>
      </c>
      <c r="C889" s="685" t="s">
        <v>3807</v>
      </c>
      <c r="D889" s="685"/>
      <c r="E889" s="685"/>
      <c r="F889" s="674" t="s">
        <v>5241</v>
      </c>
      <c r="G889" s="674"/>
      <c r="H889" s="672"/>
      <c r="I889" s="672"/>
      <c r="J889" s="672"/>
      <c r="K889" s="672"/>
      <c r="L889" s="672"/>
      <c r="M889" s="672"/>
      <c r="N889" s="9"/>
      <c r="O889" s="8"/>
      <c r="P889" s="3"/>
      <c r="Q889" s="3"/>
    </row>
    <row r="890" spans="2:17" x14ac:dyDescent="0.2">
      <c r="B890" s="674">
        <f t="shared" si="104"/>
        <v>177</v>
      </c>
      <c r="C890" s="685" t="s">
        <v>291</v>
      </c>
      <c r="D890" s="685"/>
      <c r="E890" s="685"/>
      <c r="F890" s="674" t="s">
        <v>5895</v>
      </c>
      <c r="G890" s="674"/>
      <c r="H890" s="672"/>
      <c r="I890" s="672"/>
      <c r="J890" s="672"/>
      <c r="K890" s="672"/>
      <c r="L890" s="672"/>
      <c r="M890" s="672"/>
      <c r="N890" s="9"/>
      <c r="O890" s="8"/>
      <c r="P890" s="3"/>
      <c r="Q890" s="3"/>
    </row>
    <row r="891" spans="2:17" x14ac:dyDescent="0.2">
      <c r="B891" s="674">
        <f t="shared" si="104"/>
        <v>178</v>
      </c>
      <c r="C891" s="685" t="s">
        <v>2962</v>
      </c>
      <c r="D891" s="685"/>
      <c r="E891" s="685"/>
      <c r="F891" s="674" t="s">
        <v>5896</v>
      </c>
      <c r="G891" s="674"/>
      <c r="H891" s="672"/>
      <c r="I891" s="672"/>
      <c r="J891" s="672"/>
      <c r="K891" s="672"/>
      <c r="L891" s="672"/>
      <c r="M891" s="672"/>
      <c r="N891" s="9"/>
      <c r="O891" s="8"/>
      <c r="P891" s="3"/>
      <c r="Q891" s="3"/>
    </row>
    <row r="892" spans="2:17" x14ac:dyDescent="0.2">
      <c r="B892" s="674">
        <f t="shared" si="104"/>
        <v>179</v>
      </c>
      <c r="C892" s="685" t="s">
        <v>2544</v>
      </c>
      <c r="D892" s="685"/>
      <c r="E892" s="685"/>
      <c r="F892" s="674" t="s">
        <v>5895</v>
      </c>
      <c r="G892" s="674"/>
      <c r="H892" s="672"/>
      <c r="I892" s="672"/>
      <c r="J892" s="672"/>
      <c r="K892" s="672"/>
      <c r="L892" s="672"/>
      <c r="M892" s="672"/>
      <c r="N892" s="9"/>
      <c r="O892" s="8"/>
      <c r="P892" s="3"/>
      <c r="Q892" s="3"/>
    </row>
    <row r="893" spans="2:17" x14ac:dyDescent="0.2">
      <c r="B893" s="674">
        <f t="shared" si="104"/>
        <v>180</v>
      </c>
      <c r="C893" s="685" t="s">
        <v>2542</v>
      </c>
      <c r="D893" s="685"/>
      <c r="E893" s="685"/>
      <c r="F893" s="674" t="s">
        <v>1000</v>
      </c>
      <c r="G893" s="674"/>
      <c r="H893" s="672"/>
      <c r="I893" s="672"/>
      <c r="J893" s="672"/>
      <c r="K893" s="672"/>
      <c r="L893" s="672"/>
      <c r="M893" s="672"/>
      <c r="N893" s="9"/>
      <c r="O893" s="8"/>
      <c r="P893" s="3"/>
      <c r="Q893" s="3"/>
    </row>
    <row r="894" spans="2:17" x14ac:dyDescent="0.2">
      <c r="B894" s="674">
        <f t="shared" si="104"/>
        <v>181</v>
      </c>
      <c r="C894" s="685" t="s">
        <v>5911</v>
      </c>
      <c r="D894" s="685"/>
      <c r="E894" s="685"/>
      <c r="F894" s="674" t="s">
        <v>5682</v>
      </c>
      <c r="G894" s="674"/>
      <c r="H894" s="672"/>
      <c r="I894" s="672"/>
      <c r="J894" s="672"/>
      <c r="K894" s="672"/>
      <c r="L894" s="672"/>
      <c r="M894" s="672"/>
      <c r="N894" s="9"/>
      <c r="O894" s="8"/>
      <c r="P894" s="3"/>
      <c r="Q894" s="3"/>
    </row>
    <row r="895" spans="2:17" x14ac:dyDescent="0.2">
      <c r="B895" s="674">
        <f t="shared" si="104"/>
        <v>182</v>
      </c>
      <c r="C895" s="685" t="s">
        <v>3860</v>
      </c>
      <c r="D895" s="685"/>
      <c r="E895" s="685"/>
      <c r="F895" s="674" t="s">
        <v>5895</v>
      </c>
      <c r="G895" s="674"/>
      <c r="H895" s="672"/>
      <c r="I895" s="672"/>
      <c r="J895" s="672"/>
      <c r="K895" s="672"/>
      <c r="L895" s="672"/>
      <c r="M895" s="672"/>
      <c r="N895" s="9"/>
      <c r="O895" s="8"/>
      <c r="P895" s="3"/>
      <c r="Q895" s="3"/>
    </row>
    <row r="896" spans="2:17" x14ac:dyDescent="0.2">
      <c r="B896" s="674">
        <f t="shared" si="104"/>
        <v>183</v>
      </c>
      <c r="C896" s="685" t="s">
        <v>317</v>
      </c>
      <c r="D896" s="685"/>
      <c r="E896" s="685"/>
      <c r="F896" s="674" t="s">
        <v>1000</v>
      </c>
      <c r="G896" s="674"/>
      <c r="H896" s="672"/>
      <c r="I896" s="672"/>
      <c r="J896" s="672"/>
      <c r="K896" s="672"/>
      <c r="L896" s="672"/>
      <c r="M896" s="672"/>
      <c r="N896" s="9"/>
      <c r="O896" s="8"/>
      <c r="P896" s="3"/>
      <c r="Q896" s="3"/>
    </row>
    <row r="897" spans="2:17" x14ac:dyDescent="0.2">
      <c r="B897" s="674">
        <f t="shared" si="104"/>
        <v>184</v>
      </c>
      <c r="C897" s="685" t="s">
        <v>4180</v>
      </c>
      <c r="D897" s="685"/>
      <c r="E897" s="685"/>
      <c r="F897" s="674" t="s">
        <v>4596</v>
      </c>
      <c r="G897" s="674"/>
      <c r="H897" s="672"/>
      <c r="I897" s="672"/>
      <c r="J897" s="672"/>
      <c r="K897" s="672"/>
      <c r="L897" s="672"/>
      <c r="M897" s="672"/>
      <c r="N897" s="9"/>
      <c r="O897" s="8"/>
      <c r="P897" s="3"/>
      <c r="Q897" s="3"/>
    </row>
    <row r="898" spans="2:17" x14ac:dyDescent="0.2">
      <c r="B898" s="674">
        <f t="shared" si="104"/>
        <v>185</v>
      </c>
      <c r="C898" s="685" t="s">
        <v>5588</v>
      </c>
      <c r="D898" s="685"/>
      <c r="E898" s="685"/>
      <c r="F898" s="674" t="s">
        <v>5096</v>
      </c>
      <c r="G898" s="674"/>
      <c r="H898" s="672"/>
      <c r="I898" s="672"/>
      <c r="J898" s="672"/>
      <c r="K898" s="672"/>
      <c r="L898" s="672"/>
      <c r="M898" s="672"/>
      <c r="N898" s="9"/>
      <c r="O898" s="8"/>
      <c r="P898" s="3"/>
      <c r="Q898" s="3"/>
    </row>
    <row r="899" spans="2:17" x14ac:dyDescent="0.2">
      <c r="B899" s="674">
        <f t="shared" si="104"/>
        <v>186</v>
      </c>
      <c r="C899" s="685" t="s">
        <v>4500</v>
      </c>
      <c r="D899" s="685"/>
      <c r="E899" s="685"/>
      <c r="F899" s="674" t="s">
        <v>748</v>
      </c>
      <c r="G899" s="674"/>
      <c r="H899" s="672"/>
      <c r="I899" s="672"/>
      <c r="J899" s="672"/>
      <c r="K899" s="672"/>
      <c r="L899" s="672"/>
      <c r="M899" s="672"/>
      <c r="N899" s="9"/>
      <c r="O899" s="8"/>
      <c r="P899" s="3"/>
      <c r="Q899" s="3"/>
    </row>
    <row r="900" spans="2:17" x14ac:dyDescent="0.2">
      <c r="B900" s="674">
        <f t="shared" si="104"/>
        <v>187</v>
      </c>
      <c r="C900" s="685" t="s">
        <v>5821</v>
      </c>
      <c r="D900" s="685"/>
      <c r="E900" s="685"/>
      <c r="F900" s="674" t="s">
        <v>4778</v>
      </c>
      <c r="G900" s="674"/>
      <c r="H900" s="672"/>
      <c r="I900" s="672"/>
      <c r="J900" s="672"/>
      <c r="K900" s="672"/>
      <c r="L900" s="672"/>
      <c r="M900" s="672"/>
      <c r="N900" s="9"/>
      <c r="O900" s="8"/>
      <c r="P900" s="3"/>
      <c r="Q900" s="3"/>
    </row>
    <row r="901" spans="2:17" x14ac:dyDescent="0.2">
      <c r="B901" s="674">
        <f t="shared" si="104"/>
        <v>188</v>
      </c>
      <c r="C901" s="685" t="s">
        <v>161</v>
      </c>
      <c r="D901" s="685"/>
      <c r="E901" s="685"/>
      <c r="F901" s="674" t="s">
        <v>1000</v>
      </c>
      <c r="G901" s="674"/>
      <c r="H901" s="672"/>
      <c r="I901" s="672"/>
      <c r="J901" s="672"/>
      <c r="K901" s="672"/>
      <c r="L901" s="672"/>
      <c r="M901" s="672"/>
      <c r="N901" s="9"/>
      <c r="O901" s="8"/>
      <c r="P901" s="3"/>
      <c r="Q901" s="3"/>
    </row>
    <row r="902" spans="2:17" x14ac:dyDescent="0.2">
      <c r="B902" s="674">
        <f t="shared" si="104"/>
        <v>189</v>
      </c>
      <c r="C902" s="685" t="s">
        <v>2326</v>
      </c>
      <c r="D902" s="685"/>
      <c r="E902" s="685"/>
      <c r="F902" s="674" t="s">
        <v>4637</v>
      </c>
      <c r="G902" s="674"/>
      <c r="H902" s="672"/>
      <c r="I902" s="672"/>
      <c r="J902" s="672"/>
      <c r="K902" s="672"/>
      <c r="L902" s="672"/>
      <c r="M902" s="672"/>
      <c r="N902" s="9"/>
      <c r="O902" s="8"/>
      <c r="P902" s="3"/>
      <c r="Q902" s="3"/>
    </row>
    <row r="903" spans="2:17" x14ac:dyDescent="0.2">
      <c r="B903" s="674">
        <f t="shared" si="104"/>
        <v>190</v>
      </c>
      <c r="C903" s="685" t="s">
        <v>4694</v>
      </c>
      <c r="D903" s="685"/>
      <c r="E903" s="685"/>
      <c r="F903" s="674" t="s">
        <v>3360</v>
      </c>
      <c r="G903" s="674"/>
      <c r="H903" s="672"/>
      <c r="I903" s="672"/>
      <c r="J903" s="672"/>
      <c r="K903" s="672"/>
      <c r="L903" s="672"/>
      <c r="M903" s="672"/>
      <c r="N903" s="9"/>
      <c r="O903" s="8"/>
      <c r="P903" s="3"/>
      <c r="Q903" s="3"/>
    </row>
    <row r="904" spans="2:17" x14ac:dyDescent="0.2">
      <c r="B904" s="674">
        <f t="shared" si="104"/>
        <v>191</v>
      </c>
      <c r="C904" s="685" t="s">
        <v>1678</v>
      </c>
      <c r="D904" s="685"/>
      <c r="E904" s="685"/>
      <c r="F904" s="674" t="s">
        <v>5895</v>
      </c>
      <c r="G904" s="674"/>
      <c r="H904" s="672"/>
      <c r="I904" s="672"/>
      <c r="J904" s="672"/>
      <c r="K904" s="672"/>
      <c r="L904" s="672"/>
      <c r="M904" s="672"/>
      <c r="N904" s="9"/>
      <c r="O904" s="8"/>
      <c r="P904" s="3"/>
      <c r="Q904" s="3"/>
    </row>
    <row r="905" spans="2:17" x14ac:dyDescent="0.2">
      <c r="B905" s="674">
        <f t="shared" si="104"/>
        <v>192</v>
      </c>
      <c r="C905" s="685" t="s">
        <v>1793</v>
      </c>
      <c r="D905" s="685"/>
      <c r="E905" s="685"/>
      <c r="F905" s="674" t="s">
        <v>2073</v>
      </c>
      <c r="G905" s="674"/>
      <c r="H905" s="672"/>
      <c r="I905" s="672"/>
      <c r="J905" s="672"/>
      <c r="K905" s="672"/>
      <c r="L905" s="672"/>
      <c r="M905" s="672"/>
      <c r="N905" s="9"/>
      <c r="O905" s="8"/>
      <c r="P905" s="3"/>
      <c r="Q905" s="3"/>
    </row>
    <row r="906" spans="2:17" x14ac:dyDescent="0.2">
      <c r="B906" s="674">
        <f t="shared" si="104"/>
        <v>193</v>
      </c>
      <c r="C906" s="685" t="s">
        <v>2430</v>
      </c>
      <c r="D906" s="685"/>
      <c r="E906" s="685"/>
      <c r="F906" s="674" t="s">
        <v>1000</v>
      </c>
      <c r="G906" s="674"/>
      <c r="H906" s="672"/>
      <c r="I906" s="672"/>
      <c r="J906" s="672"/>
      <c r="K906" s="672"/>
      <c r="L906" s="672"/>
      <c r="M906" s="672"/>
      <c r="N906" s="9"/>
      <c r="O906" s="8"/>
      <c r="P906" s="3"/>
      <c r="Q906" s="3"/>
    </row>
    <row r="907" spans="2:17" x14ac:dyDescent="0.2">
      <c r="B907" s="674">
        <f t="shared" si="104"/>
        <v>194</v>
      </c>
      <c r="C907" s="685" t="s">
        <v>4244</v>
      </c>
      <c r="D907" s="685"/>
      <c r="E907" s="685"/>
      <c r="F907" s="674" t="s">
        <v>1000</v>
      </c>
      <c r="G907" s="674"/>
      <c r="H907" s="672"/>
      <c r="I907" s="672"/>
      <c r="J907" s="672"/>
      <c r="K907" s="672"/>
      <c r="L907" s="672"/>
      <c r="M907" s="672"/>
      <c r="N907" s="9"/>
      <c r="O907" s="8"/>
      <c r="P907" s="3"/>
      <c r="Q907" s="3"/>
    </row>
    <row r="908" spans="2:17" x14ac:dyDescent="0.2">
      <c r="B908" s="674">
        <f t="shared" si="104"/>
        <v>195</v>
      </c>
      <c r="C908" s="685" t="s">
        <v>4837</v>
      </c>
      <c r="D908" s="685"/>
      <c r="E908" s="685"/>
      <c r="F908" s="674" t="s">
        <v>5881</v>
      </c>
      <c r="G908" s="674"/>
      <c r="H908" s="672"/>
      <c r="I908" s="672"/>
      <c r="J908" s="672"/>
      <c r="K908" s="672"/>
      <c r="L908" s="672"/>
      <c r="M908" s="672"/>
      <c r="N908" s="9"/>
      <c r="O908" s="8"/>
      <c r="P908" s="3"/>
      <c r="Q908" s="3"/>
    </row>
    <row r="909" spans="2:17" x14ac:dyDescent="0.2">
      <c r="B909" s="674">
        <f t="shared" si="104"/>
        <v>196</v>
      </c>
      <c r="C909" s="685" t="s">
        <v>2337</v>
      </c>
      <c r="D909" s="685"/>
      <c r="E909" s="685"/>
      <c r="F909" s="674" t="s">
        <v>4554</v>
      </c>
      <c r="G909" s="674"/>
      <c r="H909" s="672"/>
      <c r="I909" s="672"/>
      <c r="J909" s="672"/>
      <c r="K909" s="672"/>
      <c r="L909" s="672"/>
      <c r="M909" s="672"/>
      <c r="N909" s="9"/>
      <c r="O909" s="8"/>
      <c r="P909" s="3"/>
      <c r="Q909" s="3"/>
    </row>
    <row r="910" spans="2:17" x14ac:dyDescent="0.2">
      <c r="B910" s="674">
        <v>197</v>
      </c>
      <c r="C910" s="685" t="s">
        <v>3669</v>
      </c>
      <c r="D910" s="685"/>
      <c r="E910" s="685"/>
      <c r="F910" s="674" t="s">
        <v>1000</v>
      </c>
      <c r="G910" s="674"/>
      <c r="H910" s="672"/>
      <c r="I910" s="672"/>
      <c r="J910" s="672"/>
      <c r="K910" s="672"/>
      <c r="L910" s="672"/>
      <c r="M910" s="672"/>
      <c r="N910" s="9"/>
      <c r="O910" s="8"/>
      <c r="P910" s="3"/>
      <c r="Q910" s="3"/>
    </row>
    <row r="911" spans="2:17" x14ac:dyDescent="0.2">
      <c r="B911" s="674">
        <v>198</v>
      </c>
      <c r="C911" s="685" t="s">
        <v>5092</v>
      </c>
      <c r="D911" s="685"/>
      <c r="E911" s="685"/>
      <c r="F911" s="674" t="s">
        <v>1000</v>
      </c>
      <c r="G911" s="674"/>
      <c r="H911" s="672"/>
      <c r="I911" s="672"/>
      <c r="J911" s="672"/>
      <c r="K911" s="672"/>
      <c r="L911" s="672"/>
      <c r="M911" s="672"/>
      <c r="N911" s="9"/>
      <c r="O911" s="8"/>
      <c r="P911" s="3"/>
      <c r="Q911" s="3"/>
    </row>
    <row r="912" spans="2:17" x14ac:dyDescent="0.2">
      <c r="B912" s="674">
        <v>199</v>
      </c>
      <c r="C912" s="685" t="s">
        <v>2090</v>
      </c>
      <c r="D912" s="685"/>
      <c r="E912" s="685"/>
      <c r="F912" s="674" t="s">
        <v>909</v>
      </c>
      <c r="G912" s="674"/>
      <c r="H912" s="672"/>
      <c r="I912" s="672"/>
      <c r="J912" s="672"/>
      <c r="K912" s="672"/>
      <c r="L912" s="672"/>
      <c r="M912" s="672"/>
      <c r="N912" s="9"/>
      <c r="O912" s="8"/>
      <c r="P912" s="3"/>
      <c r="Q912" s="3"/>
    </row>
    <row r="913" spans="2:17" x14ac:dyDescent="0.2">
      <c r="B913" s="674">
        <v>200</v>
      </c>
      <c r="C913" s="685" t="s">
        <v>3174</v>
      </c>
      <c r="D913" s="685"/>
      <c r="E913" s="685"/>
      <c r="F913" s="674" t="s">
        <v>1000</v>
      </c>
      <c r="G913" s="674"/>
      <c r="H913" s="672"/>
      <c r="I913" s="672"/>
      <c r="J913" s="672"/>
      <c r="K913" s="672"/>
      <c r="L913" s="672"/>
      <c r="M913" s="672"/>
      <c r="N913" s="9"/>
      <c r="O913" s="8"/>
      <c r="P913" s="3"/>
      <c r="Q913" s="3"/>
    </row>
    <row r="914" spans="2:17" x14ac:dyDescent="0.2">
      <c r="B914" s="674">
        <v>201</v>
      </c>
      <c r="C914" s="685" t="s">
        <v>972</v>
      </c>
      <c r="D914" s="685"/>
      <c r="E914" s="685"/>
      <c r="F914" s="674" t="s">
        <v>2725</v>
      </c>
      <c r="G914" s="674"/>
      <c r="H914" s="672"/>
      <c r="I914" s="672"/>
      <c r="J914" s="672"/>
      <c r="K914" s="672"/>
      <c r="L914" s="672"/>
      <c r="M914" s="672"/>
      <c r="N914" s="9"/>
      <c r="O914" s="8"/>
      <c r="P914" s="3"/>
      <c r="Q914" s="3"/>
    </row>
    <row r="915" spans="2:17" x14ac:dyDescent="0.2">
      <c r="B915" s="674">
        <v>202</v>
      </c>
      <c r="C915" s="685" t="s">
        <v>2596</v>
      </c>
      <c r="D915" s="685"/>
      <c r="E915" s="685"/>
      <c r="F915" s="674" t="s">
        <v>5097</v>
      </c>
      <c r="G915" s="674"/>
      <c r="H915" s="672"/>
      <c r="I915" s="672"/>
      <c r="J915" s="672"/>
      <c r="K915" s="672"/>
      <c r="L915" s="672"/>
      <c r="M915" s="672"/>
      <c r="N915" s="9"/>
      <c r="O915" s="8"/>
      <c r="P915" s="3"/>
      <c r="Q915" s="3"/>
    </row>
    <row r="916" spans="2:17" x14ac:dyDescent="0.2">
      <c r="B916" s="751">
        <v>203</v>
      </c>
      <c r="C916" s="685" t="s">
        <v>4535</v>
      </c>
      <c r="D916" s="685"/>
      <c r="E916" s="685"/>
      <c r="F916" s="674" t="s">
        <v>1270</v>
      </c>
      <c r="G916" s="674"/>
      <c r="H916" s="672"/>
      <c r="I916" s="672"/>
      <c r="J916" s="672"/>
      <c r="K916" s="672"/>
      <c r="L916" s="672"/>
      <c r="M916" s="672"/>
      <c r="N916" s="9"/>
      <c r="O916" s="8"/>
      <c r="P916" s="3"/>
      <c r="Q916" s="3"/>
    </row>
    <row r="917" spans="2:17" x14ac:dyDescent="0.2">
      <c r="B917" s="674">
        <v>204</v>
      </c>
      <c r="C917" s="685" t="s">
        <v>1554</v>
      </c>
      <c r="D917" s="685"/>
      <c r="E917" s="685"/>
      <c r="F917" s="674" t="s">
        <v>1000</v>
      </c>
      <c r="G917" s="674"/>
      <c r="H917" s="672"/>
      <c r="I917" s="672"/>
      <c r="J917" s="672"/>
      <c r="K917" s="672"/>
      <c r="L917" s="672"/>
      <c r="M917" s="672"/>
      <c r="N917" s="9"/>
      <c r="O917" s="8"/>
      <c r="P917" s="3"/>
      <c r="Q917" s="3"/>
    </row>
    <row r="918" spans="2:17" x14ac:dyDescent="0.2">
      <c r="B918" s="674">
        <v>205</v>
      </c>
      <c r="C918" s="685" t="s">
        <v>5981</v>
      </c>
      <c r="D918" s="685"/>
      <c r="E918" s="685"/>
      <c r="F918" s="674" t="s">
        <v>5951</v>
      </c>
      <c r="G918" s="674"/>
      <c r="H918" s="672"/>
      <c r="I918" s="672"/>
      <c r="J918" s="672"/>
      <c r="K918" s="672"/>
      <c r="L918" s="672"/>
      <c r="M918" s="672"/>
      <c r="N918" s="9"/>
      <c r="O918" s="8"/>
      <c r="P918" s="3"/>
      <c r="Q918" s="3"/>
    </row>
    <row r="919" spans="2:17" x14ac:dyDescent="0.2">
      <c r="B919" s="674">
        <v>206</v>
      </c>
      <c r="C919" s="685" t="s">
        <v>4510</v>
      </c>
      <c r="D919" s="685"/>
      <c r="E919" s="685"/>
      <c r="F919" s="674" t="s">
        <v>1000</v>
      </c>
      <c r="G919" s="674"/>
      <c r="H919" s="672"/>
      <c r="I919" s="672"/>
      <c r="J919" s="672"/>
      <c r="K919" s="672"/>
      <c r="L919" s="672"/>
      <c r="M919" s="672"/>
      <c r="N919" s="9"/>
      <c r="O919" s="8"/>
      <c r="P919" s="3"/>
      <c r="Q919" s="3"/>
    </row>
    <row r="920" spans="2:17" x14ac:dyDescent="0.2">
      <c r="B920" s="674">
        <v>207</v>
      </c>
      <c r="C920" s="685" t="s">
        <v>5055</v>
      </c>
      <c r="D920" s="685"/>
      <c r="E920" s="685"/>
      <c r="F920" s="674" t="s">
        <v>5096</v>
      </c>
      <c r="G920" s="674"/>
      <c r="H920" s="672"/>
      <c r="I920" s="672"/>
      <c r="J920" s="672"/>
      <c r="K920" s="672"/>
      <c r="L920" s="672"/>
      <c r="M920" s="672"/>
      <c r="N920" s="9"/>
      <c r="O920" s="8"/>
      <c r="P920" s="3"/>
      <c r="Q920" s="3"/>
    </row>
    <row r="921" spans="2:17" x14ac:dyDescent="0.2">
      <c r="B921" s="674">
        <v>208</v>
      </c>
      <c r="C921" s="685" t="s">
        <v>479</v>
      </c>
      <c r="D921" s="685"/>
      <c r="E921" s="685"/>
      <c r="F921" s="674" t="s">
        <v>1000</v>
      </c>
      <c r="G921" s="674"/>
      <c r="H921" s="672"/>
      <c r="I921" s="672"/>
      <c r="J921" s="672"/>
      <c r="K921" s="672"/>
      <c r="L921" s="672"/>
      <c r="M921" s="672"/>
      <c r="N921" s="9"/>
      <c r="O921" s="8"/>
      <c r="P921" s="3"/>
      <c r="Q921" s="3"/>
    </row>
    <row r="922" spans="2:17" x14ac:dyDescent="0.2">
      <c r="B922" s="674">
        <v>209</v>
      </c>
      <c r="C922" s="685" t="s">
        <v>2294</v>
      </c>
      <c r="D922" s="685"/>
      <c r="E922" s="685"/>
      <c r="F922" s="674" t="s">
        <v>1000</v>
      </c>
      <c r="G922" s="674"/>
      <c r="H922" s="672"/>
      <c r="I922" s="672"/>
      <c r="J922" s="672"/>
      <c r="K922" s="672"/>
      <c r="L922" s="672"/>
      <c r="M922" s="672"/>
      <c r="N922" s="9"/>
      <c r="O922" s="8"/>
      <c r="P922" s="3"/>
      <c r="Q922" s="3"/>
    </row>
    <row r="923" spans="2:17" x14ac:dyDescent="0.2">
      <c r="B923" s="674">
        <v>210</v>
      </c>
      <c r="C923" s="685" t="s">
        <v>2635</v>
      </c>
      <c r="D923" s="685"/>
      <c r="E923" s="685"/>
      <c r="F923" s="674" t="s">
        <v>909</v>
      </c>
      <c r="G923" s="674"/>
      <c r="H923" s="672"/>
      <c r="I923" s="672"/>
      <c r="J923" s="672"/>
      <c r="K923" s="672"/>
      <c r="L923" s="672"/>
      <c r="M923" s="672"/>
      <c r="N923" s="9"/>
      <c r="O923" s="8"/>
      <c r="P923" s="3"/>
      <c r="Q923" s="3"/>
    </row>
    <row r="924" spans="2:17" x14ac:dyDescent="0.2">
      <c r="B924" s="674">
        <v>211</v>
      </c>
      <c r="C924" s="685" t="s">
        <v>1694</v>
      </c>
      <c r="D924" s="685"/>
      <c r="E924" s="685"/>
      <c r="F924" s="674" t="s">
        <v>2752</v>
      </c>
      <c r="G924" s="674"/>
      <c r="H924" s="672"/>
      <c r="I924" s="672"/>
      <c r="J924" s="672"/>
      <c r="K924" s="672"/>
      <c r="L924" s="672"/>
      <c r="M924" s="672"/>
      <c r="N924" s="9"/>
      <c r="O924" s="8"/>
      <c r="P924" s="3"/>
      <c r="Q924" s="3"/>
    </row>
    <row r="925" spans="2:17" x14ac:dyDescent="0.2">
      <c r="B925" s="674">
        <v>212</v>
      </c>
      <c r="C925" s="685" t="s">
        <v>5039</v>
      </c>
      <c r="D925" s="685"/>
      <c r="E925" s="685"/>
      <c r="F925" s="674" t="s">
        <v>1000</v>
      </c>
      <c r="G925" s="674"/>
      <c r="H925" s="672"/>
      <c r="I925" s="672"/>
      <c r="J925" s="672"/>
      <c r="K925" s="672"/>
      <c r="L925" s="672"/>
      <c r="M925" s="672"/>
      <c r="N925" s="9"/>
      <c r="O925" s="8"/>
      <c r="P925" s="3"/>
      <c r="Q925" s="3"/>
    </row>
    <row r="926" spans="2:17" x14ac:dyDescent="0.2">
      <c r="B926" s="674">
        <v>213</v>
      </c>
      <c r="C926" s="685" t="s">
        <v>850</v>
      </c>
      <c r="D926" s="685"/>
      <c r="E926" s="685"/>
      <c r="F926" s="674" t="s">
        <v>888</v>
      </c>
      <c r="G926" s="674"/>
      <c r="H926" s="672"/>
      <c r="I926" s="672"/>
      <c r="J926" s="672"/>
      <c r="K926" s="672"/>
      <c r="L926" s="672"/>
      <c r="M926" s="672"/>
      <c r="N926" s="9"/>
      <c r="O926" s="8"/>
      <c r="P926" s="3"/>
      <c r="Q926" s="3"/>
    </row>
    <row r="927" spans="2:17" x14ac:dyDescent="0.2">
      <c r="B927" s="674">
        <v>214</v>
      </c>
      <c r="C927" s="685" t="s">
        <v>1380</v>
      </c>
      <c r="D927" s="685"/>
      <c r="E927" s="685"/>
      <c r="F927" s="674" t="s">
        <v>1000</v>
      </c>
      <c r="G927" s="674"/>
      <c r="H927" s="672"/>
      <c r="I927" s="672"/>
      <c r="J927" s="672"/>
      <c r="K927" s="672"/>
      <c r="L927" s="672"/>
      <c r="M927" s="672"/>
      <c r="N927" s="9"/>
      <c r="O927" s="8"/>
      <c r="P927" s="3"/>
      <c r="Q927" s="3"/>
    </row>
    <row r="928" spans="2:17" x14ac:dyDescent="0.2">
      <c r="B928" s="674">
        <v>215</v>
      </c>
      <c r="C928" s="685" t="s">
        <v>4725</v>
      </c>
      <c r="D928" s="685"/>
      <c r="E928" s="685"/>
      <c r="F928" s="674" t="s">
        <v>888</v>
      </c>
      <c r="G928" s="674"/>
      <c r="H928" s="672"/>
      <c r="I928" s="672"/>
      <c r="J928" s="672"/>
      <c r="K928" s="672"/>
      <c r="L928" s="672"/>
      <c r="M928" s="672"/>
      <c r="N928" s="9"/>
      <c r="O928" s="8"/>
      <c r="P928" s="3"/>
      <c r="Q928" s="3"/>
    </row>
    <row r="929" spans="2:17" x14ac:dyDescent="0.2">
      <c r="B929" s="674">
        <v>216</v>
      </c>
      <c r="C929" s="685" t="s">
        <v>4141</v>
      </c>
      <c r="D929" s="685"/>
      <c r="E929" s="685"/>
      <c r="F929" s="674" t="s">
        <v>1000</v>
      </c>
      <c r="G929" s="674"/>
      <c r="H929" s="672"/>
      <c r="I929" s="672"/>
      <c r="J929" s="672"/>
      <c r="K929" s="672"/>
      <c r="L929" s="672"/>
      <c r="M929" s="672"/>
      <c r="N929" s="9"/>
      <c r="O929" s="8"/>
      <c r="P929" s="3"/>
      <c r="Q929" s="3"/>
    </row>
    <row r="930" spans="2:17" x14ac:dyDescent="0.2">
      <c r="B930" s="674">
        <v>217</v>
      </c>
      <c r="C930" s="685" t="s">
        <v>4739</v>
      </c>
      <c r="D930" s="685"/>
      <c r="E930" s="685"/>
      <c r="F930" s="674" t="s">
        <v>888</v>
      </c>
      <c r="G930" s="674"/>
      <c r="H930" s="672"/>
      <c r="I930" s="672"/>
      <c r="J930" s="672"/>
      <c r="K930" s="672"/>
      <c r="L930" s="672"/>
      <c r="M930" s="672"/>
      <c r="N930" s="9"/>
      <c r="O930" s="8"/>
      <c r="P930" s="3"/>
      <c r="Q930" s="3"/>
    </row>
    <row r="931" spans="2:17" x14ac:dyDescent="0.2">
      <c r="B931" s="674">
        <v>218</v>
      </c>
      <c r="C931" s="685" t="s">
        <v>5554</v>
      </c>
      <c r="D931" s="685"/>
      <c r="E931" s="685"/>
      <c r="F931" s="674" t="s">
        <v>5096</v>
      </c>
      <c r="G931" s="674"/>
      <c r="H931" s="672"/>
      <c r="I931" s="672"/>
      <c r="J931" s="672"/>
      <c r="K931" s="672"/>
      <c r="L931" s="672"/>
      <c r="M931" s="672"/>
      <c r="N931" s="9"/>
      <c r="O931" s="8"/>
      <c r="P931" s="3"/>
      <c r="Q931" s="3"/>
    </row>
    <row r="932" spans="2:17" x14ac:dyDescent="0.2">
      <c r="B932" s="674">
        <v>219</v>
      </c>
      <c r="C932" s="685" t="s">
        <v>4529</v>
      </c>
      <c r="D932" s="685"/>
      <c r="E932" s="685"/>
      <c r="F932" s="674" t="s">
        <v>4596</v>
      </c>
      <c r="G932" s="674"/>
      <c r="H932" s="672"/>
      <c r="I932" s="672"/>
      <c r="J932" s="672"/>
      <c r="K932" s="672"/>
      <c r="L932" s="672"/>
      <c r="M932" s="672"/>
      <c r="N932" s="9"/>
      <c r="O932" s="8"/>
      <c r="P932" s="3"/>
      <c r="Q932" s="3"/>
    </row>
    <row r="933" spans="2:17" x14ac:dyDescent="0.2">
      <c r="B933" s="725">
        <v>220</v>
      </c>
      <c r="C933" s="754" t="s">
        <v>2965</v>
      </c>
      <c r="D933" s="754"/>
      <c r="E933" s="754"/>
      <c r="F933" s="725" t="s">
        <v>4596</v>
      </c>
      <c r="G933" s="674"/>
      <c r="H933" s="672"/>
      <c r="I933" s="672"/>
      <c r="J933" s="672"/>
      <c r="K933" s="672"/>
      <c r="L933" s="672"/>
      <c r="M933" s="672"/>
      <c r="N933" s="9"/>
      <c r="O933" s="8"/>
      <c r="P933" s="3"/>
      <c r="Q933" s="3"/>
    </row>
    <row r="934" spans="2:17" x14ac:dyDescent="0.2">
      <c r="B934" s="674">
        <v>221</v>
      </c>
      <c r="C934" s="685" t="s">
        <v>2869</v>
      </c>
      <c r="D934" s="685"/>
      <c r="E934" s="685"/>
      <c r="F934" s="674" t="s">
        <v>4637</v>
      </c>
      <c r="G934" s="674"/>
      <c r="H934" s="672"/>
      <c r="I934" s="672"/>
      <c r="J934" s="672"/>
      <c r="K934" s="672"/>
      <c r="L934" s="672"/>
      <c r="M934" s="672"/>
      <c r="N934" s="9"/>
      <c r="O934" s="8"/>
      <c r="P934" s="3"/>
      <c r="Q934" s="3"/>
    </row>
    <row r="935" spans="2:17" x14ac:dyDescent="0.2">
      <c r="B935" s="674">
        <v>222</v>
      </c>
      <c r="C935" s="685" t="s">
        <v>452</v>
      </c>
      <c r="D935" s="685"/>
      <c r="E935" s="685"/>
      <c r="F935" s="674" t="s">
        <v>888</v>
      </c>
      <c r="G935" s="674"/>
      <c r="H935" s="672"/>
      <c r="I935" s="672"/>
      <c r="J935" s="672"/>
      <c r="K935" s="672"/>
      <c r="L935" s="672"/>
      <c r="M935" s="672"/>
      <c r="N935" s="9"/>
      <c r="O935" s="8"/>
      <c r="P935" s="3"/>
      <c r="Q935" s="3"/>
    </row>
    <row r="936" spans="2:17" x14ac:dyDescent="0.2">
      <c r="B936" s="674">
        <v>223</v>
      </c>
      <c r="C936" s="685" t="s">
        <v>3225</v>
      </c>
      <c r="D936" s="685"/>
      <c r="E936" s="685"/>
      <c r="F936" s="674" t="s">
        <v>5903</v>
      </c>
      <c r="G936" s="674"/>
      <c r="H936" s="672"/>
      <c r="I936" s="672"/>
      <c r="J936" s="672"/>
      <c r="K936" s="672"/>
      <c r="L936" s="672"/>
      <c r="M936" s="672"/>
      <c r="N936" s="9"/>
      <c r="O936" s="8"/>
      <c r="P936" s="3"/>
      <c r="Q936" s="3"/>
    </row>
    <row r="937" spans="2:17" x14ac:dyDescent="0.2">
      <c r="B937" s="674">
        <v>224</v>
      </c>
      <c r="C937" s="685" t="s">
        <v>4202</v>
      </c>
      <c r="D937" s="685"/>
      <c r="E937" s="685"/>
      <c r="F937" s="674" t="s">
        <v>5903</v>
      </c>
      <c r="G937" s="674"/>
      <c r="H937" s="672"/>
      <c r="I937" s="672"/>
      <c r="J937" s="672"/>
      <c r="K937" s="672"/>
      <c r="L937" s="672"/>
      <c r="M937" s="672"/>
      <c r="N937" s="9"/>
      <c r="O937" s="8"/>
      <c r="P937" s="3"/>
      <c r="Q937" s="3"/>
    </row>
    <row r="938" spans="2:17" x14ac:dyDescent="0.2">
      <c r="B938" s="674">
        <v>225</v>
      </c>
      <c r="C938" s="685" t="s">
        <v>5267</v>
      </c>
      <c r="D938" s="685"/>
      <c r="E938" s="685"/>
      <c r="F938" s="674" t="s">
        <v>4596</v>
      </c>
      <c r="G938" s="674"/>
      <c r="H938" s="672"/>
      <c r="I938" s="672"/>
      <c r="J938" s="672"/>
      <c r="K938" s="672"/>
      <c r="L938" s="672"/>
      <c r="M938" s="672"/>
      <c r="N938" s="9"/>
      <c r="O938" s="8"/>
      <c r="P938" s="3"/>
      <c r="Q938" s="3"/>
    </row>
    <row r="939" spans="2:17" x14ac:dyDescent="0.2">
      <c r="B939" s="674">
        <v>226</v>
      </c>
      <c r="C939" s="685" t="s">
        <v>4845</v>
      </c>
      <c r="D939" s="685"/>
      <c r="E939" s="685"/>
      <c r="F939" s="674" t="s">
        <v>1000</v>
      </c>
      <c r="G939" s="674"/>
      <c r="H939" s="672"/>
      <c r="I939" s="672"/>
      <c r="J939" s="672"/>
      <c r="K939" s="672"/>
      <c r="L939" s="672"/>
      <c r="M939" s="672"/>
      <c r="N939" s="9"/>
      <c r="O939" s="8"/>
      <c r="P939" s="3"/>
      <c r="Q939" s="3"/>
    </row>
    <row r="940" spans="2:17" x14ac:dyDescent="0.2">
      <c r="B940" s="674">
        <v>227</v>
      </c>
      <c r="C940" s="685" t="s">
        <v>2638</v>
      </c>
      <c r="D940" s="685"/>
      <c r="E940" s="685"/>
      <c r="F940" s="674" t="s">
        <v>1000</v>
      </c>
      <c r="G940" s="674"/>
      <c r="H940" s="672"/>
      <c r="I940" s="672"/>
      <c r="J940" s="672"/>
      <c r="K940" s="672"/>
      <c r="L940" s="672"/>
      <c r="M940" s="672"/>
      <c r="N940" s="9"/>
      <c r="O940" s="8"/>
      <c r="P940" s="3"/>
      <c r="Q940" s="3"/>
    </row>
    <row r="941" spans="2:17" x14ac:dyDescent="0.2">
      <c r="B941" s="674">
        <v>228</v>
      </c>
      <c r="C941" s="685" t="s">
        <v>4199</v>
      </c>
      <c r="D941" s="685"/>
      <c r="E941" s="685"/>
      <c r="F941" s="674" t="s">
        <v>5903</v>
      </c>
      <c r="G941" s="674"/>
      <c r="H941" s="672"/>
      <c r="I941" s="672"/>
      <c r="J941" s="672"/>
      <c r="K941" s="672"/>
      <c r="L941" s="672"/>
      <c r="M941" s="672"/>
      <c r="N941" s="9"/>
      <c r="O941" s="8"/>
      <c r="P941" s="3"/>
      <c r="Q941" s="3"/>
    </row>
    <row r="942" spans="2:17" x14ac:dyDescent="0.2">
      <c r="B942" s="674">
        <v>229</v>
      </c>
      <c r="C942" s="685" t="s">
        <v>2732</v>
      </c>
      <c r="D942" s="685"/>
      <c r="E942" s="685"/>
      <c r="F942" s="674" t="s">
        <v>1000</v>
      </c>
      <c r="G942" s="674"/>
      <c r="H942" s="672"/>
      <c r="I942" s="672"/>
      <c r="J942" s="672"/>
      <c r="K942" s="672"/>
      <c r="L942" s="672"/>
      <c r="M942" s="672"/>
      <c r="N942" s="9"/>
      <c r="O942" s="8"/>
      <c r="P942" s="3"/>
      <c r="Q942" s="3"/>
    </row>
    <row r="943" spans="2:17" x14ac:dyDescent="0.2">
      <c r="B943" s="674">
        <v>230</v>
      </c>
      <c r="C943" s="685" t="s">
        <v>5492</v>
      </c>
      <c r="D943" s="685"/>
      <c r="E943" s="685"/>
      <c r="F943" s="674" t="s">
        <v>70</v>
      </c>
      <c r="G943" s="674"/>
      <c r="H943" s="672"/>
      <c r="I943" s="672"/>
      <c r="J943" s="672"/>
      <c r="K943" s="672"/>
      <c r="L943" s="672"/>
      <c r="M943" s="672"/>
      <c r="N943" s="9"/>
      <c r="O943" s="8"/>
      <c r="P943" s="3"/>
      <c r="Q943" s="3"/>
    </row>
    <row r="944" spans="2:17" x14ac:dyDescent="0.2">
      <c r="B944" s="674">
        <v>231</v>
      </c>
      <c r="C944" s="685" t="s">
        <v>2068</v>
      </c>
      <c r="D944" s="685"/>
      <c r="E944" s="685"/>
      <c r="F944" s="674" t="s">
        <v>5241</v>
      </c>
      <c r="G944" s="674"/>
      <c r="H944" s="672"/>
      <c r="I944" s="672"/>
      <c r="J944" s="672"/>
      <c r="K944" s="672"/>
      <c r="L944" s="672"/>
      <c r="M944" s="672"/>
      <c r="N944" s="9"/>
      <c r="O944" s="8"/>
      <c r="P944" s="3"/>
      <c r="Q944" s="3"/>
    </row>
    <row r="945" spans="2:17" x14ac:dyDescent="0.2">
      <c r="B945" s="674">
        <v>232</v>
      </c>
      <c r="C945" s="685" t="s">
        <v>3093</v>
      </c>
      <c r="D945" s="685"/>
      <c r="E945" s="685"/>
      <c r="F945" s="674" t="s">
        <v>4322</v>
      </c>
      <c r="G945" s="674"/>
      <c r="H945" s="672"/>
      <c r="I945" s="672"/>
      <c r="J945" s="672"/>
      <c r="K945" s="672"/>
      <c r="L945" s="672"/>
      <c r="M945" s="672"/>
      <c r="N945" s="9"/>
      <c r="O945" s="8"/>
      <c r="P945" s="3"/>
      <c r="Q945" s="3"/>
    </row>
    <row r="946" spans="2:17" x14ac:dyDescent="0.2">
      <c r="B946" s="674">
        <v>233</v>
      </c>
      <c r="C946" s="685" t="s">
        <v>842</v>
      </c>
      <c r="D946" s="685"/>
      <c r="E946" s="685"/>
      <c r="F946" s="674" t="s">
        <v>72</v>
      </c>
      <c r="G946" s="674"/>
      <c r="H946" s="675">
        <v>1.6967592592592593E-2</v>
      </c>
      <c r="I946" s="672"/>
      <c r="J946" s="672"/>
      <c r="K946" s="672"/>
      <c r="L946" s="672"/>
      <c r="M946" s="672"/>
      <c r="N946" s="9"/>
      <c r="O946" s="8"/>
      <c r="P946" s="3"/>
      <c r="Q946" s="3"/>
    </row>
    <row r="947" spans="2:17" x14ac:dyDescent="0.2">
      <c r="B947" s="674">
        <v>234</v>
      </c>
      <c r="C947" s="685" t="s">
        <v>4321</v>
      </c>
      <c r="D947" s="685"/>
      <c r="E947" s="685"/>
      <c r="F947" s="674" t="s">
        <v>4637</v>
      </c>
      <c r="G947" s="674"/>
      <c r="H947" s="675">
        <v>1.7037037037037038E-2</v>
      </c>
      <c r="I947" s="672"/>
      <c r="J947" s="672"/>
      <c r="K947" s="672"/>
      <c r="L947" s="672"/>
      <c r="M947" s="672"/>
      <c r="N947" s="9"/>
      <c r="O947" s="8"/>
      <c r="P947" s="3"/>
      <c r="Q947" s="3"/>
    </row>
    <row r="948" spans="2:17" x14ac:dyDescent="0.2">
      <c r="B948" s="674">
        <v>235</v>
      </c>
      <c r="C948" s="415" t="s">
        <v>2465</v>
      </c>
      <c r="D948" s="415"/>
      <c r="E948" s="415"/>
      <c r="F948" s="674" t="s">
        <v>1000</v>
      </c>
      <c r="G948" s="674"/>
      <c r="H948" s="675">
        <v>1.832175925925926E-2</v>
      </c>
      <c r="I948" s="672"/>
      <c r="J948" s="672"/>
      <c r="K948" s="672"/>
      <c r="L948" s="672"/>
      <c r="M948" s="672"/>
      <c r="N948" s="9"/>
      <c r="O948" s="8"/>
      <c r="P948" s="3"/>
      <c r="Q948" s="3"/>
    </row>
    <row r="949" spans="2:17" x14ac:dyDescent="0.2">
      <c r="B949" s="674">
        <v>236</v>
      </c>
      <c r="C949" s="685" t="s">
        <v>2872</v>
      </c>
      <c r="D949" s="685"/>
      <c r="E949" s="685"/>
      <c r="F949" s="674" t="s">
        <v>4778</v>
      </c>
      <c r="G949" s="674"/>
      <c r="H949" s="675">
        <v>2.2789351851851852E-2</v>
      </c>
      <c r="I949" s="672"/>
      <c r="J949" s="672"/>
      <c r="K949" s="672"/>
      <c r="L949" s="672"/>
      <c r="M949" s="672"/>
      <c r="N949" s="9"/>
      <c r="O949" s="8"/>
      <c r="P949" s="3"/>
      <c r="Q949" s="3"/>
    </row>
    <row r="950" spans="2:17" x14ac:dyDescent="0.2">
      <c r="B950" s="674">
        <v>237</v>
      </c>
      <c r="C950" s="685" t="s">
        <v>2082</v>
      </c>
      <c r="D950" s="685"/>
      <c r="E950" s="685"/>
      <c r="F950" s="674" t="s">
        <v>4322</v>
      </c>
      <c r="G950" s="674"/>
      <c r="H950" s="672"/>
      <c r="I950" s="672"/>
      <c r="J950" s="672"/>
      <c r="K950" s="672"/>
      <c r="L950" s="672"/>
      <c r="M950" s="672"/>
      <c r="N950" s="9"/>
      <c r="O950" s="8"/>
      <c r="P950" s="3"/>
      <c r="Q950" s="3"/>
    </row>
    <row r="951" spans="2:17" x14ac:dyDescent="0.2">
      <c r="B951" s="674">
        <v>238</v>
      </c>
      <c r="C951" s="685" t="s">
        <v>668</v>
      </c>
      <c r="D951" s="685"/>
      <c r="E951" s="685"/>
      <c r="F951" s="674" t="s">
        <v>298</v>
      </c>
      <c r="G951" s="674"/>
      <c r="H951" s="672"/>
      <c r="I951" s="672"/>
      <c r="J951" s="672"/>
      <c r="K951" s="672"/>
      <c r="L951" s="672"/>
      <c r="M951" s="672"/>
      <c r="N951" s="9"/>
      <c r="O951" s="8"/>
      <c r="P951" s="3"/>
      <c r="Q951" s="3"/>
    </row>
    <row r="952" spans="2:17" x14ac:dyDescent="0.2">
      <c r="B952" s="674">
        <v>239</v>
      </c>
      <c r="C952" s="685" t="s">
        <v>761</v>
      </c>
      <c r="D952" s="685"/>
      <c r="E952" s="685"/>
      <c r="F952" s="674" t="s">
        <v>1270</v>
      </c>
      <c r="G952" s="674"/>
      <c r="H952" s="672"/>
      <c r="I952" s="672"/>
      <c r="J952" s="672"/>
      <c r="K952" s="672"/>
      <c r="L952" s="672"/>
      <c r="M952" s="672"/>
      <c r="N952" s="9"/>
      <c r="O952" s="8"/>
      <c r="P952" s="3"/>
      <c r="Q952" s="3"/>
    </row>
    <row r="953" spans="2:17" x14ac:dyDescent="0.2">
      <c r="B953" s="674">
        <v>240</v>
      </c>
      <c r="C953" s="685" t="s">
        <v>3259</v>
      </c>
      <c r="D953" s="685"/>
      <c r="E953" s="685"/>
      <c r="F953" s="674" t="s">
        <v>2670</v>
      </c>
      <c r="G953" s="674"/>
      <c r="H953" s="672"/>
      <c r="I953" s="672"/>
      <c r="J953" s="672"/>
      <c r="K953" s="672"/>
      <c r="L953" s="672"/>
      <c r="M953" s="672"/>
      <c r="N953" s="9"/>
      <c r="O953" s="8"/>
      <c r="P953" s="3"/>
      <c r="Q953" s="3"/>
    </row>
    <row r="954" spans="2:17" x14ac:dyDescent="0.2">
      <c r="B954" s="674">
        <v>241</v>
      </c>
      <c r="C954" s="685" t="s">
        <v>4201</v>
      </c>
      <c r="D954" s="685"/>
      <c r="E954" s="685"/>
      <c r="F954" s="674" t="s">
        <v>5365</v>
      </c>
      <c r="G954" s="674"/>
      <c r="H954" s="672"/>
      <c r="I954" s="672"/>
      <c r="J954" s="672"/>
      <c r="K954" s="672"/>
      <c r="L954" s="672"/>
      <c r="M954" s="672"/>
      <c r="N954" s="9"/>
      <c r="O954" s="8"/>
      <c r="P954" s="3"/>
      <c r="Q954" s="3"/>
    </row>
    <row r="955" spans="2:17" x14ac:dyDescent="0.2">
      <c r="B955" s="674">
        <v>242</v>
      </c>
      <c r="C955" s="685" t="s">
        <v>4053</v>
      </c>
      <c r="D955" s="685"/>
      <c r="E955" s="685"/>
      <c r="F955" s="674" t="s">
        <v>4637</v>
      </c>
      <c r="G955" s="674"/>
      <c r="H955" s="675">
        <v>1.6701388888888887E-2</v>
      </c>
      <c r="I955" s="672"/>
      <c r="J955" s="672"/>
      <c r="K955" s="672"/>
      <c r="L955" s="672"/>
      <c r="M955" s="672"/>
      <c r="N955" s="9"/>
      <c r="O955" s="8"/>
      <c r="P955" s="3"/>
      <c r="Q955" s="3"/>
    </row>
    <row r="956" spans="2:17" x14ac:dyDescent="0.2">
      <c r="B956" s="674">
        <v>243</v>
      </c>
      <c r="C956" s="685" t="s">
        <v>542</v>
      </c>
      <c r="D956" s="685"/>
      <c r="E956" s="685"/>
      <c r="F956" s="674" t="s">
        <v>298</v>
      </c>
      <c r="G956" s="674"/>
      <c r="H956" s="675">
        <v>1.8032407407407407E-2</v>
      </c>
      <c r="I956" s="672"/>
      <c r="J956" s="672"/>
      <c r="K956" s="672"/>
      <c r="L956" s="672"/>
      <c r="M956" s="672"/>
      <c r="N956" s="9"/>
      <c r="O956" s="8"/>
      <c r="P956" s="3"/>
      <c r="Q956" s="3"/>
    </row>
    <row r="957" spans="2:17" x14ac:dyDescent="0.2">
      <c r="B957" s="674">
        <v>244</v>
      </c>
      <c r="C957" s="685" t="s">
        <v>5366</v>
      </c>
      <c r="D957" s="685"/>
      <c r="E957" s="685"/>
      <c r="F957" s="674" t="s">
        <v>1000</v>
      </c>
      <c r="G957" s="674"/>
      <c r="H957" s="675">
        <v>1.8865740740740742E-2</v>
      </c>
      <c r="I957" s="672"/>
      <c r="J957" s="672"/>
      <c r="K957" s="672"/>
      <c r="L957" s="672"/>
      <c r="M957" s="672"/>
      <c r="N957" s="9"/>
      <c r="O957" s="8"/>
      <c r="P957" s="3"/>
      <c r="Q957" s="3"/>
    </row>
    <row r="958" spans="2:17" x14ac:dyDescent="0.2">
      <c r="B958" s="674">
        <v>245</v>
      </c>
      <c r="C958" s="685" t="s">
        <v>768</v>
      </c>
      <c r="D958" s="685"/>
      <c r="E958" s="685"/>
      <c r="F958" s="674" t="s">
        <v>4584</v>
      </c>
      <c r="G958" s="674"/>
      <c r="H958" s="675">
        <v>2.525462962962963E-2</v>
      </c>
      <c r="I958" s="672"/>
      <c r="J958" s="672"/>
      <c r="K958" s="672"/>
      <c r="L958" s="672"/>
      <c r="M958" s="672"/>
      <c r="N958" s="9"/>
      <c r="O958" s="8"/>
      <c r="P958" s="3"/>
      <c r="Q958" s="3"/>
    </row>
    <row r="959" spans="2:17" x14ac:dyDescent="0.2">
      <c r="B959" s="674">
        <v>246</v>
      </c>
      <c r="C959" s="685" t="s">
        <v>4835</v>
      </c>
      <c r="D959" s="685"/>
      <c r="E959" s="685"/>
      <c r="F959" s="674" t="s">
        <v>298</v>
      </c>
      <c r="G959" s="674"/>
      <c r="H959" s="675">
        <v>1.6701388888888887E-2</v>
      </c>
      <c r="I959" s="672"/>
      <c r="J959" s="672"/>
      <c r="K959" s="672"/>
      <c r="L959" s="672"/>
      <c r="M959" s="672"/>
      <c r="N959" s="9"/>
      <c r="O959" s="8"/>
      <c r="P959" s="3"/>
      <c r="Q959" s="3"/>
    </row>
    <row r="960" spans="2:17" x14ac:dyDescent="0.2">
      <c r="B960" s="674">
        <v>247</v>
      </c>
      <c r="C960" s="685" t="s">
        <v>1042</v>
      </c>
      <c r="D960" s="685"/>
      <c r="E960" s="685"/>
      <c r="F960" s="674" t="s">
        <v>3199</v>
      </c>
      <c r="G960" s="674"/>
      <c r="H960" s="675">
        <v>1.7986111111111109E-2</v>
      </c>
      <c r="I960" s="672"/>
      <c r="J960" s="672"/>
      <c r="K960" s="672"/>
      <c r="L960" s="672"/>
      <c r="M960" s="672"/>
      <c r="N960" s="9"/>
      <c r="O960" s="8"/>
      <c r="P960" s="3"/>
      <c r="Q960" s="3"/>
    </row>
    <row r="961" spans="2:17" x14ac:dyDescent="0.2">
      <c r="B961" s="674">
        <v>248</v>
      </c>
      <c r="C961" s="685" t="s">
        <v>4040</v>
      </c>
      <c r="D961" s="685"/>
      <c r="E961" s="685"/>
      <c r="F961" s="674" t="s">
        <v>748</v>
      </c>
      <c r="G961" s="674"/>
      <c r="H961" s="675">
        <v>2.5243055555555557E-2</v>
      </c>
      <c r="I961" s="672"/>
      <c r="J961" s="672"/>
      <c r="K961" s="672"/>
      <c r="L961" s="672"/>
      <c r="M961" s="672"/>
      <c r="N961" s="9"/>
      <c r="O961" s="8"/>
      <c r="P961" s="3"/>
      <c r="Q961" s="3"/>
    </row>
    <row r="962" spans="2:17" x14ac:dyDescent="0.2">
      <c r="B962" s="674">
        <v>249</v>
      </c>
      <c r="C962" s="685" t="s">
        <v>280</v>
      </c>
      <c r="D962" s="685"/>
      <c r="E962" s="685"/>
      <c r="F962" s="674" t="s">
        <v>1000</v>
      </c>
      <c r="G962" s="674"/>
      <c r="H962" s="675">
        <v>2.2800925925925929E-2</v>
      </c>
      <c r="I962" s="672"/>
      <c r="J962" s="672"/>
      <c r="K962" s="672"/>
      <c r="L962" s="672"/>
      <c r="M962" s="672"/>
      <c r="N962" s="9"/>
      <c r="O962" s="8"/>
      <c r="P962" s="3"/>
      <c r="Q962" s="3"/>
    </row>
    <row r="963" spans="2:17" x14ac:dyDescent="0.2">
      <c r="B963" s="674">
        <v>250</v>
      </c>
      <c r="C963" s="685" t="s">
        <v>2711</v>
      </c>
      <c r="D963" s="685"/>
      <c r="E963" s="685"/>
      <c r="F963" s="674" t="s">
        <v>1270</v>
      </c>
      <c r="G963" s="674"/>
      <c r="H963" s="675">
        <v>1.4166666666666666E-2</v>
      </c>
      <c r="I963" s="672"/>
      <c r="J963" s="672"/>
      <c r="K963" s="672"/>
      <c r="L963" s="672"/>
      <c r="M963" s="672"/>
      <c r="N963" s="9"/>
      <c r="O963" s="8"/>
      <c r="P963" s="3"/>
      <c r="Q963" s="3"/>
    </row>
    <row r="964" spans="2:17" x14ac:dyDescent="0.2">
      <c r="B964" s="674">
        <v>251</v>
      </c>
      <c r="C964" s="685" t="s">
        <v>4836</v>
      </c>
      <c r="D964" s="685"/>
      <c r="E964" s="685"/>
      <c r="F964" s="674" t="s">
        <v>298</v>
      </c>
      <c r="G964" s="674"/>
      <c r="H964" s="675">
        <v>1.6180555555555556E-2</v>
      </c>
      <c r="I964" s="672"/>
      <c r="J964" s="672"/>
      <c r="K964" s="672"/>
      <c r="L964" s="672"/>
      <c r="M964" s="672"/>
      <c r="N964" s="9"/>
      <c r="O964" s="8"/>
      <c r="P964" s="3"/>
      <c r="Q964" s="3"/>
    </row>
    <row r="965" spans="2:17" x14ac:dyDescent="0.2">
      <c r="B965" s="674">
        <v>252</v>
      </c>
      <c r="C965" s="685" t="s">
        <v>4499</v>
      </c>
      <c r="D965" s="685"/>
      <c r="E965" s="685"/>
      <c r="F965" s="674" t="s">
        <v>4778</v>
      </c>
      <c r="G965" s="674"/>
      <c r="H965" s="675">
        <v>2.3217592592592592E-2</v>
      </c>
      <c r="I965" s="672"/>
      <c r="J965" s="672"/>
      <c r="K965" s="672"/>
      <c r="L965" s="672"/>
      <c r="M965" s="672"/>
      <c r="N965" s="9"/>
      <c r="O965" s="8"/>
      <c r="P965" s="3"/>
      <c r="Q965" s="3"/>
    </row>
    <row r="966" spans="2:17" x14ac:dyDescent="0.2">
      <c r="B966" s="674">
        <v>253</v>
      </c>
      <c r="C966" s="685" t="s">
        <v>2464</v>
      </c>
      <c r="D966" s="685"/>
      <c r="E966" s="685"/>
      <c r="F966" s="674" t="s">
        <v>1000</v>
      </c>
      <c r="G966" s="674"/>
      <c r="H966" s="675">
        <v>1.8877314814814816E-2</v>
      </c>
      <c r="I966" s="672"/>
      <c r="J966" s="672"/>
      <c r="K966" s="672"/>
      <c r="L966" s="672"/>
      <c r="M966" s="672"/>
      <c r="N966" s="9"/>
      <c r="O966" s="8"/>
      <c r="P966" s="3"/>
      <c r="Q966" s="3"/>
    </row>
    <row r="967" spans="2:17" x14ac:dyDescent="0.2">
      <c r="B967" s="674">
        <v>254</v>
      </c>
      <c r="C967" s="685" t="s">
        <v>230</v>
      </c>
      <c r="D967" s="685"/>
      <c r="E967" s="685"/>
      <c r="F967" s="674" t="s">
        <v>1062</v>
      </c>
      <c r="G967" s="674"/>
      <c r="H967" s="675">
        <v>2.3935185185185184E-2</v>
      </c>
      <c r="I967" s="672"/>
      <c r="J967" s="672"/>
      <c r="K967" s="672"/>
      <c r="L967" s="672"/>
      <c r="M967" s="672"/>
      <c r="N967" s="9"/>
      <c r="O967" s="8"/>
      <c r="P967" s="3"/>
      <c r="Q967" s="3"/>
    </row>
    <row r="968" spans="2:17" x14ac:dyDescent="0.2">
      <c r="B968" s="674">
        <v>255</v>
      </c>
      <c r="C968" s="685" t="s">
        <v>2378</v>
      </c>
      <c r="D968" s="685"/>
      <c r="E968" s="685"/>
      <c r="F968" s="674" t="s">
        <v>1000</v>
      </c>
      <c r="G968" s="674"/>
      <c r="H968" s="675"/>
      <c r="I968" s="672"/>
      <c r="J968" s="672"/>
      <c r="K968" s="672"/>
      <c r="L968" s="672"/>
      <c r="M968" s="672"/>
      <c r="N968" s="9"/>
      <c r="O968" s="8"/>
      <c r="P968" s="3"/>
      <c r="Q968" s="3"/>
    </row>
    <row r="969" spans="2:17" x14ac:dyDescent="0.2">
      <c r="B969" s="674">
        <v>256</v>
      </c>
      <c r="C969" s="685" t="s">
        <v>2897</v>
      </c>
      <c r="D969" s="685"/>
      <c r="E969" s="685"/>
      <c r="F969" s="674" t="s">
        <v>3270</v>
      </c>
      <c r="G969" s="674"/>
      <c r="H969" s="766"/>
      <c r="I969" s="672"/>
      <c r="J969" s="672"/>
      <c r="K969" s="672"/>
      <c r="L969" s="672"/>
      <c r="M969" s="672"/>
      <c r="N969" s="9"/>
      <c r="O969" s="8"/>
      <c r="P969" s="3"/>
      <c r="Q969" s="3"/>
    </row>
    <row r="970" spans="2:17" x14ac:dyDescent="0.2">
      <c r="B970" s="674">
        <v>257</v>
      </c>
      <c r="C970" s="685" t="s">
        <v>355</v>
      </c>
      <c r="D970" s="685"/>
      <c r="E970" s="685"/>
      <c r="F970" s="674" t="s">
        <v>1062</v>
      </c>
      <c r="G970" s="674"/>
      <c r="H970" s="766"/>
      <c r="I970" s="672"/>
      <c r="J970" s="672"/>
      <c r="K970" s="672"/>
      <c r="L970" s="672"/>
      <c r="M970" s="672"/>
      <c r="N970" s="9"/>
      <c r="O970" s="8"/>
      <c r="P970" s="3"/>
      <c r="Q970" s="3"/>
    </row>
    <row r="971" spans="2:17" x14ac:dyDescent="0.2">
      <c r="B971" s="674">
        <v>258</v>
      </c>
      <c r="C971" s="685" t="s">
        <v>3857</v>
      </c>
      <c r="D971" s="685"/>
      <c r="E971" s="685"/>
      <c r="F971" s="674" t="s">
        <v>2670</v>
      </c>
      <c r="G971" s="674"/>
      <c r="H971" s="675"/>
      <c r="I971" s="672"/>
      <c r="J971" s="672"/>
      <c r="K971" s="672"/>
      <c r="L971" s="672"/>
      <c r="M971" s="672"/>
      <c r="N971" s="9"/>
      <c r="O971" s="8"/>
      <c r="P971" s="3"/>
      <c r="Q971" s="3"/>
    </row>
    <row r="972" spans="2:17" x14ac:dyDescent="0.2">
      <c r="B972" s="674">
        <v>259</v>
      </c>
      <c r="C972" s="685" t="s">
        <v>1929</v>
      </c>
      <c r="D972" s="685"/>
      <c r="E972" s="685"/>
      <c r="F972" s="674" t="s">
        <v>1000</v>
      </c>
      <c r="G972" s="674"/>
      <c r="H972" s="675"/>
      <c r="I972" s="672"/>
      <c r="J972" s="672"/>
      <c r="K972" s="672"/>
      <c r="L972" s="672"/>
      <c r="M972" s="672"/>
      <c r="N972" s="9"/>
      <c r="O972" s="8"/>
      <c r="P972" s="3"/>
      <c r="Q972" s="3"/>
    </row>
    <row r="973" spans="2:17" x14ac:dyDescent="0.2">
      <c r="B973" s="674">
        <v>260</v>
      </c>
      <c r="C973" s="685" t="s">
        <v>2634</v>
      </c>
      <c r="D973" s="685"/>
      <c r="E973" s="685"/>
      <c r="F973" s="674" t="s">
        <v>909</v>
      </c>
      <c r="G973" s="674"/>
      <c r="H973" s="675">
        <v>1.6967592592592593E-2</v>
      </c>
      <c r="I973" s="672"/>
      <c r="J973" s="672"/>
      <c r="K973" s="672"/>
      <c r="L973" s="672"/>
      <c r="M973" s="672"/>
      <c r="N973" s="9"/>
      <c r="O973" s="8"/>
      <c r="P973" s="3"/>
      <c r="Q973" s="3"/>
    </row>
    <row r="974" spans="2:17" x14ac:dyDescent="0.2">
      <c r="B974" s="674">
        <v>261</v>
      </c>
      <c r="C974" s="685" t="s">
        <v>4137</v>
      </c>
      <c r="D974" s="685"/>
      <c r="E974" s="685"/>
      <c r="F974" s="674" t="s">
        <v>5097</v>
      </c>
      <c r="G974" s="674"/>
      <c r="H974" s="675">
        <v>1.8333333333333333E-2</v>
      </c>
      <c r="I974" s="672"/>
      <c r="J974" s="672"/>
      <c r="K974" s="672"/>
      <c r="L974" s="672"/>
      <c r="M974" s="672"/>
      <c r="N974" s="9"/>
      <c r="O974" s="8"/>
      <c r="P974" s="3"/>
      <c r="Q974" s="3"/>
    </row>
    <row r="975" spans="2:17" x14ac:dyDescent="0.2">
      <c r="B975" s="674">
        <v>262</v>
      </c>
      <c r="C975" s="685" t="s">
        <v>5633</v>
      </c>
      <c r="D975" s="685"/>
      <c r="E975" s="685"/>
      <c r="F975" s="674" t="s">
        <v>4584</v>
      </c>
      <c r="G975" s="674"/>
      <c r="H975" s="675">
        <v>2.0636574074074075E-2</v>
      </c>
      <c r="I975" s="672"/>
      <c r="J975" s="672"/>
      <c r="K975" s="672"/>
      <c r="L975" s="672"/>
      <c r="M975" s="672"/>
      <c r="N975" s="9"/>
      <c r="O975" s="8"/>
      <c r="P975" s="3"/>
      <c r="Q975" s="3"/>
    </row>
    <row r="976" spans="2:17" x14ac:dyDescent="0.2">
      <c r="B976" s="674">
        <v>263</v>
      </c>
      <c r="C976" s="685" t="s">
        <v>282</v>
      </c>
      <c r="D976" s="685"/>
      <c r="E976" s="685"/>
      <c r="F976" s="674" t="s">
        <v>1062</v>
      </c>
      <c r="G976" s="674"/>
      <c r="H976" s="675">
        <v>2.4560185185185185E-2</v>
      </c>
      <c r="I976" s="672"/>
      <c r="J976" s="672"/>
      <c r="K976" s="672"/>
      <c r="L976" s="672"/>
      <c r="M976" s="672"/>
      <c r="N976" s="9"/>
      <c r="O976" s="8"/>
      <c r="P976" s="3"/>
      <c r="Q976" s="3"/>
    </row>
    <row r="977" spans="2:18" x14ac:dyDescent="0.2">
      <c r="B977" s="674">
        <v>264</v>
      </c>
      <c r="C977" s="685" t="s">
        <v>3683</v>
      </c>
      <c r="D977" s="685"/>
      <c r="E977" s="685"/>
      <c r="F977" s="674" t="s">
        <v>298</v>
      </c>
      <c r="G977" s="674"/>
      <c r="H977" s="675">
        <v>1.5983796296296295E-2</v>
      </c>
      <c r="I977" s="672"/>
      <c r="J977" s="672"/>
      <c r="K977" s="672"/>
      <c r="L977" s="672"/>
      <c r="M977" s="672"/>
      <c r="N977" s="9"/>
      <c r="O977" s="8"/>
      <c r="P977" s="3"/>
      <c r="Q977" s="3"/>
    </row>
    <row r="978" spans="2:18" x14ac:dyDescent="0.2">
      <c r="B978" s="674">
        <v>265</v>
      </c>
      <c r="C978" s="685" t="s">
        <v>1654</v>
      </c>
      <c r="D978" s="685"/>
      <c r="E978" s="685"/>
      <c r="F978" s="674" t="s">
        <v>4778</v>
      </c>
      <c r="G978" s="674"/>
      <c r="H978" s="675">
        <v>2.431712962962963E-2</v>
      </c>
      <c r="I978" s="672"/>
      <c r="J978" s="672"/>
      <c r="K978" s="672"/>
      <c r="L978" s="672"/>
      <c r="M978" s="672"/>
      <c r="N978" s="9"/>
      <c r="O978" s="8"/>
      <c r="P978" s="3"/>
      <c r="Q978" s="3"/>
    </row>
    <row r="979" spans="2:18" x14ac:dyDescent="0.2">
      <c r="B979" s="674">
        <v>266</v>
      </c>
      <c r="C979" s="685" t="s">
        <v>5708</v>
      </c>
      <c r="D979" s="685"/>
      <c r="E979" s="685"/>
      <c r="F979" s="674" t="s">
        <v>748</v>
      </c>
      <c r="G979" s="674"/>
      <c r="H979" s="675">
        <v>2.4432870370370369E-2</v>
      </c>
      <c r="I979" s="672"/>
      <c r="J979" s="672"/>
      <c r="K979" s="672"/>
      <c r="L979" s="672"/>
      <c r="M979" s="672"/>
      <c r="N979" s="9"/>
      <c r="O979" s="8"/>
      <c r="P979" s="3"/>
      <c r="Q979" s="3"/>
    </row>
    <row r="980" spans="2:18" x14ac:dyDescent="0.2">
      <c r="B980" s="674">
        <v>267</v>
      </c>
      <c r="C980" s="685" t="s">
        <v>283</v>
      </c>
      <c r="D980" s="685"/>
      <c r="E980" s="685"/>
      <c r="F980" s="674" t="s">
        <v>1000</v>
      </c>
      <c r="G980" s="674"/>
      <c r="H980" s="675"/>
      <c r="I980" s="672"/>
      <c r="J980" s="672"/>
      <c r="K980" s="672"/>
      <c r="L980" s="672"/>
      <c r="M980" s="672"/>
      <c r="N980" s="9"/>
      <c r="O980" s="8"/>
      <c r="P980" s="3"/>
      <c r="Q980" s="3"/>
    </row>
    <row r="981" spans="2:18" x14ac:dyDescent="0.2">
      <c r="B981" s="674">
        <v>268</v>
      </c>
      <c r="C981" s="685" t="s">
        <v>1696</v>
      </c>
      <c r="D981" s="685"/>
      <c r="E981" s="685"/>
      <c r="F981" s="674" t="s">
        <v>5884</v>
      </c>
      <c r="G981" s="674"/>
      <c r="H981" s="675"/>
      <c r="I981" s="672"/>
      <c r="J981" s="672"/>
      <c r="K981" s="672"/>
      <c r="L981" s="672"/>
      <c r="M981" s="672"/>
      <c r="N981" s="9"/>
      <c r="O981" s="8"/>
      <c r="P981" s="3"/>
      <c r="Q981" s="3"/>
    </row>
    <row r="982" spans="2:18" x14ac:dyDescent="0.2">
      <c r="B982" s="674">
        <v>269</v>
      </c>
      <c r="C982" s="685" t="s">
        <v>2961</v>
      </c>
      <c r="D982" s="685"/>
      <c r="E982" s="685"/>
      <c r="F982" s="674" t="s">
        <v>909</v>
      </c>
      <c r="G982" s="674"/>
      <c r="H982" s="675">
        <v>1.7210648148148149E-2</v>
      </c>
      <c r="I982" s="675"/>
      <c r="J982" s="768">
        <v>42560</v>
      </c>
      <c r="K982" s="672"/>
      <c r="L982" s="672"/>
      <c r="M982" s="672"/>
      <c r="N982" s="672"/>
      <c r="O982" s="9"/>
      <c r="P982" s="8"/>
      <c r="Q982" s="3"/>
      <c r="R982" s="3"/>
    </row>
    <row r="983" spans="2:18" x14ac:dyDescent="0.2">
      <c r="B983" s="674">
        <v>270</v>
      </c>
      <c r="C983" s="685" t="s">
        <v>284</v>
      </c>
      <c r="D983" s="685"/>
      <c r="E983" s="685"/>
      <c r="F983" s="674" t="s">
        <v>1000</v>
      </c>
      <c r="G983" s="674"/>
      <c r="H983" s="675">
        <v>1.9039351851851852E-2</v>
      </c>
      <c r="I983" s="675"/>
      <c r="J983" s="768">
        <v>42560</v>
      </c>
      <c r="K983" s="672"/>
      <c r="L983" s="672"/>
      <c r="M983" s="672"/>
      <c r="N983" s="672"/>
      <c r="O983" s="9"/>
      <c r="P983" s="8"/>
      <c r="Q983" s="3"/>
      <c r="R983" s="3"/>
    </row>
    <row r="984" spans="2:18" x14ac:dyDescent="0.2">
      <c r="B984" s="674">
        <v>271</v>
      </c>
      <c r="C984" s="685" t="s">
        <v>2529</v>
      </c>
      <c r="D984" s="685"/>
      <c r="E984" s="685"/>
      <c r="F984" s="674" t="s">
        <v>3254</v>
      </c>
      <c r="G984" s="674"/>
      <c r="H984" s="675">
        <v>1.8298611111111113E-2</v>
      </c>
      <c r="I984" s="675"/>
      <c r="J984" s="768">
        <v>42567</v>
      </c>
      <c r="K984" s="672"/>
      <c r="L984" s="672"/>
      <c r="M984" s="672"/>
      <c r="N984" s="672"/>
      <c r="O984" s="9"/>
      <c r="P984" s="8"/>
      <c r="Q984" s="3"/>
      <c r="R984" s="3"/>
    </row>
    <row r="985" spans="2:18" x14ac:dyDescent="0.2">
      <c r="B985" s="674">
        <v>272</v>
      </c>
      <c r="C985" s="685" t="s">
        <v>203</v>
      </c>
      <c r="D985" s="685"/>
      <c r="E985" s="685"/>
      <c r="F985" s="674" t="s">
        <v>1000</v>
      </c>
      <c r="G985" s="674"/>
      <c r="H985" s="675">
        <v>1.8935185185185183E-2</v>
      </c>
      <c r="I985" s="675"/>
      <c r="J985" s="768">
        <v>42567</v>
      </c>
      <c r="K985" s="672"/>
      <c r="L985" s="672"/>
      <c r="M985" s="672"/>
      <c r="N985" s="672"/>
      <c r="O985" s="9"/>
      <c r="P985" s="8"/>
      <c r="Q985" s="3"/>
      <c r="R985" s="3"/>
    </row>
    <row r="986" spans="2:18" x14ac:dyDescent="0.2">
      <c r="B986" s="674">
        <v>273</v>
      </c>
      <c r="C986" s="685" t="s">
        <v>3706</v>
      </c>
      <c r="D986" s="685"/>
      <c r="E986" s="685"/>
      <c r="F986" s="674" t="s">
        <v>654</v>
      </c>
      <c r="G986" s="674"/>
      <c r="H986" s="675">
        <v>1.9131944444444444E-2</v>
      </c>
      <c r="I986" s="675"/>
      <c r="J986" s="768">
        <v>42567</v>
      </c>
      <c r="K986" s="672"/>
      <c r="L986" s="672"/>
      <c r="M986" s="672"/>
      <c r="N986" s="672"/>
      <c r="O986" s="9"/>
      <c r="P986" s="8"/>
      <c r="Q986" s="3"/>
      <c r="R986" s="3"/>
    </row>
    <row r="987" spans="2:18" x14ac:dyDescent="0.2">
      <c r="B987" s="674">
        <v>274</v>
      </c>
      <c r="C987" s="685" t="s">
        <v>4179</v>
      </c>
      <c r="D987" s="685"/>
      <c r="E987" s="685"/>
      <c r="F987" s="674" t="s">
        <v>4637</v>
      </c>
      <c r="G987" s="674"/>
      <c r="H987" s="675">
        <v>1.6828703703703703E-2</v>
      </c>
      <c r="I987" s="675"/>
      <c r="J987" s="768">
        <v>42574</v>
      </c>
      <c r="K987" s="672"/>
      <c r="L987" s="672"/>
      <c r="M987" s="672"/>
      <c r="N987" s="672"/>
      <c r="O987" s="9"/>
      <c r="P987" s="8"/>
      <c r="Q987" s="3"/>
      <c r="R987" s="3"/>
    </row>
    <row r="988" spans="2:18" x14ac:dyDescent="0.2">
      <c r="B988" s="674">
        <v>275</v>
      </c>
      <c r="C988" s="685" t="s">
        <v>5352</v>
      </c>
      <c r="D988" s="685"/>
      <c r="E988" s="685"/>
      <c r="F988" s="756" t="s">
        <v>654</v>
      </c>
      <c r="G988" s="756"/>
      <c r="H988" s="675">
        <v>1.9490740740740743E-2</v>
      </c>
      <c r="I988" s="675"/>
      <c r="J988" s="768">
        <v>42574</v>
      </c>
      <c r="K988" s="672"/>
      <c r="L988" s="672"/>
      <c r="M988" s="672"/>
      <c r="N988" s="672"/>
      <c r="O988" s="9"/>
      <c r="P988" s="8"/>
      <c r="Q988" s="3"/>
      <c r="R988" s="3"/>
    </row>
    <row r="989" spans="2:18" x14ac:dyDescent="0.2">
      <c r="B989" s="674">
        <v>276</v>
      </c>
      <c r="C989" s="685" t="s">
        <v>5347</v>
      </c>
      <c r="D989" s="685"/>
      <c r="E989" s="685"/>
      <c r="F989" s="674" t="s">
        <v>1000</v>
      </c>
      <c r="G989" s="674"/>
      <c r="H989" s="675">
        <v>1.9710648148148147E-2</v>
      </c>
      <c r="I989" s="675"/>
      <c r="J989" s="768">
        <v>42574</v>
      </c>
      <c r="K989" s="672"/>
      <c r="L989" s="672"/>
      <c r="M989" s="672"/>
      <c r="N989" s="672"/>
      <c r="O989" s="9"/>
      <c r="P989" s="8"/>
      <c r="Q989" s="3"/>
      <c r="R989" s="3"/>
    </row>
    <row r="990" spans="2:18" x14ac:dyDescent="0.2">
      <c r="B990" s="674">
        <v>277</v>
      </c>
      <c r="C990" s="685" t="s">
        <v>2192</v>
      </c>
      <c r="D990" s="685"/>
      <c r="E990" s="685"/>
      <c r="F990" s="674" t="s">
        <v>1062</v>
      </c>
      <c r="G990" s="674"/>
      <c r="H990" s="675">
        <v>2.6157407407407407E-2</v>
      </c>
      <c r="I990" s="675"/>
      <c r="J990" s="768">
        <v>42574</v>
      </c>
      <c r="K990" s="672"/>
      <c r="L990" s="672"/>
      <c r="M990" s="672"/>
      <c r="N990" s="672"/>
      <c r="O990" s="9"/>
      <c r="P990" s="8"/>
      <c r="Q990" s="3"/>
      <c r="R990" s="3"/>
    </row>
    <row r="991" spans="2:18" x14ac:dyDescent="0.2">
      <c r="B991" s="674">
        <v>278</v>
      </c>
      <c r="C991" s="685" t="s">
        <v>4367</v>
      </c>
      <c r="D991" s="685"/>
      <c r="E991" s="685"/>
      <c r="F991" s="674" t="s">
        <v>298</v>
      </c>
      <c r="G991" s="674"/>
      <c r="H991" s="675">
        <v>1.6064814814814813E-2</v>
      </c>
      <c r="I991" s="675"/>
      <c r="J991" s="768">
        <v>42588</v>
      </c>
      <c r="K991" s="672"/>
      <c r="L991" s="672"/>
      <c r="M991" s="672"/>
      <c r="N991" s="672"/>
      <c r="O991" s="9"/>
      <c r="P991" s="8"/>
      <c r="Q991" s="3"/>
      <c r="R991" s="3"/>
    </row>
    <row r="992" spans="2:18" x14ac:dyDescent="0.2">
      <c r="B992" s="674">
        <v>279</v>
      </c>
      <c r="C992" s="685" t="s">
        <v>1183</v>
      </c>
      <c r="D992" s="685"/>
      <c r="E992" s="685"/>
      <c r="F992" s="674" t="s">
        <v>298</v>
      </c>
      <c r="G992" s="674"/>
      <c r="H992" s="675">
        <v>1.6087962962962964E-2</v>
      </c>
      <c r="I992" s="675"/>
      <c r="J992" s="768">
        <v>42595</v>
      </c>
      <c r="K992" s="672"/>
      <c r="L992" s="672"/>
      <c r="M992" s="672"/>
      <c r="N992" s="672"/>
      <c r="O992" s="9"/>
      <c r="P992" s="8"/>
      <c r="Q992" s="3"/>
      <c r="R992" s="3"/>
    </row>
    <row r="993" spans="2:18" x14ac:dyDescent="0.2">
      <c r="B993" s="674">
        <v>280</v>
      </c>
      <c r="C993" s="685" t="s">
        <v>1535</v>
      </c>
      <c r="D993" s="685"/>
      <c r="E993" s="685"/>
      <c r="F993" s="674" t="s">
        <v>909</v>
      </c>
      <c r="G993" s="674"/>
      <c r="H993" s="675">
        <v>1.741898148148148E-2</v>
      </c>
      <c r="I993" s="675"/>
      <c r="J993" s="768">
        <v>42595</v>
      </c>
      <c r="K993" s="672"/>
      <c r="L993" s="672"/>
      <c r="M993" s="672"/>
      <c r="N993" s="672"/>
      <c r="O993" s="9"/>
      <c r="P993" s="8"/>
      <c r="Q993" s="3"/>
      <c r="R993" s="3"/>
    </row>
    <row r="994" spans="2:18" x14ac:dyDescent="0.2">
      <c r="B994" s="674">
        <v>281</v>
      </c>
      <c r="C994" s="685" t="s">
        <v>769</v>
      </c>
      <c r="D994" s="685"/>
      <c r="E994" s="685"/>
      <c r="F994" s="674" t="s">
        <v>1440</v>
      </c>
      <c r="G994" s="674"/>
      <c r="H994" s="675">
        <v>1.877314814814815E-2</v>
      </c>
      <c r="I994" s="675"/>
      <c r="J994" s="768">
        <v>42595</v>
      </c>
      <c r="K994" s="672"/>
      <c r="L994" s="672"/>
      <c r="M994" s="672"/>
      <c r="N994" s="672"/>
      <c r="O994" s="9"/>
      <c r="P994" s="8"/>
      <c r="Q994" s="3"/>
      <c r="R994" s="3"/>
    </row>
    <row r="995" spans="2:18" x14ac:dyDescent="0.2">
      <c r="B995" s="674">
        <v>282</v>
      </c>
      <c r="C995" s="685" t="s">
        <v>5402</v>
      </c>
      <c r="D995" s="685"/>
      <c r="E995" s="685"/>
      <c r="F995" s="674" t="s">
        <v>1062</v>
      </c>
      <c r="G995" s="674"/>
      <c r="H995" s="675"/>
      <c r="I995" s="675"/>
      <c r="J995" s="768">
        <v>42602</v>
      </c>
      <c r="K995" s="672"/>
      <c r="L995" s="672"/>
      <c r="M995" s="672"/>
      <c r="N995" s="672"/>
      <c r="O995" s="9"/>
      <c r="P995" s="8"/>
      <c r="Q995" s="3"/>
      <c r="R995" s="3"/>
    </row>
    <row r="996" spans="2:18" x14ac:dyDescent="0.2">
      <c r="B996" s="674">
        <v>283</v>
      </c>
      <c r="C996" s="685" t="s">
        <v>5290</v>
      </c>
      <c r="D996" s="685"/>
      <c r="E996" s="685"/>
      <c r="F996" s="674" t="s">
        <v>298</v>
      </c>
      <c r="G996" s="674"/>
      <c r="H996" s="675">
        <v>1.6481481481481482E-2</v>
      </c>
      <c r="I996" s="675"/>
      <c r="J996" s="768">
        <v>42616</v>
      </c>
      <c r="K996" s="672"/>
      <c r="L996" s="672"/>
      <c r="M996" s="672"/>
      <c r="N996" s="672"/>
      <c r="O996" s="9"/>
      <c r="P996" s="8"/>
      <c r="Q996" s="3"/>
      <c r="R996" s="3"/>
    </row>
    <row r="997" spans="2:18" x14ac:dyDescent="0.2">
      <c r="B997" s="674">
        <v>284</v>
      </c>
      <c r="C997" s="685" t="s">
        <v>5289</v>
      </c>
      <c r="D997" s="685"/>
      <c r="E997" s="685"/>
      <c r="F997" s="674" t="s">
        <v>1062</v>
      </c>
      <c r="G997" s="674"/>
      <c r="H997" s="675">
        <v>2.5381944444444443E-2</v>
      </c>
      <c r="I997" s="675"/>
      <c r="J997" s="768">
        <v>42616</v>
      </c>
      <c r="K997" s="672"/>
      <c r="L997" s="672"/>
      <c r="M997" s="672"/>
      <c r="N997" s="672"/>
      <c r="O997" s="9"/>
      <c r="P997" s="8"/>
      <c r="Q997" s="3"/>
      <c r="R997" s="3"/>
    </row>
    <row r="998" spans="2:18" x14ac:dyDescent="0.2">
      <c r="B998" s="674">
        <v>285</v>
      </c>
      <c r="C998" s="685" t="s">
        <v>4911</v>
      </c>
      <c r="D998" s="685"/>
      <c r="E998" s="685"/>
      <c r="F998" s="674" t="s">
        <v>1000</v>
      </c>
      <c r="G998" s="674"/>
      <c r="H998" s="675">
        <v>2.0601851851851854E-2</v>
      </c>
      <c r="I998" s="675"/>
      <c r="J998" s="768">
        <v>42616</v>
      </c>
      <c r="K998" s="672"/>
      <c r="L998" s="672"/>
      <c r="M998" s="672"/>
      <c r="N998" s="672"/>
      <c r="O998" s="9"/>
      <c r="P998" s="8"/>
      <c r="Q998" s="3"/>
      <c r="R998" s="3"/>
    </row>
    <row r="999" spans="2:18" x14ac:dyDescent="0.2">
      <c r="B999" s="674">
        <v>286</v>
      </c>
      <c r="C999" s="685" t="s">
        <v>819</v>
      </c>
      <c r="D999" s="685"/>
      <c r="E999" s="685"/>
      <c r="F999" s="674" t="s">
        <v>627</v>
      </c>
      <c r="G999" s="674"/>
      <c r="H999" s="675">
        <v>1.5833333333333335E-2</v>
      </c>
      <c r="I999" s="675"/>
      <c r="J999" s="768">
        <v>42623</v>
      </c>
      <c r="K999" s="672"/>
      <c r="L999" s="672"/>
      <c r="M999" s="672"/>
      <c r="N999" s="672"/>
      <c r="O999" s="9"/>
      <c r="P999" s="8"/>
      <c r="Q999" s="3"/>
      <c r="R999" s="3"/>
    </row>
    <row r="1000" spans="2:18" x14ac:dyDescent="0.2">
      <c r="B1000" s="674">
        <v>287</v>
      </c>
      <c r="C1000" s="685" t="s">
        <v>4117</v>
      </c>
      <c r="D1000" s="685"/>
      <c r="E1000" s="685"/>
      <c r="F1000" s="674" t="s">
        <v>1062</v>
      </c>
      <c r="G1000" s="674"/>
      <c r="H1000" s="675"/>
      <c r="I1000" s="675"/>
      <c r="J1000" s="768">
        <v>42637</v>
      </c>
      <c r="K1000" s="672"/>
      <c r="L1000" s="672"/>
      <c r="M1000" s="672"/>
      <c r="N1000" s="672"/>
      <c r="O1000" s="9"/>
      <c r="P1000" s="8"/>
      <c r="Q1000" s="3"/>
      <c r="R1000" s="3"/>
    </row>
    <row r="1001" spans="2:18" x14ac:dyDescent="0.2">
      <c r="B1001" s="674">
        <v>288</v>
      </c>
      <c r="C1001" s="685" t="s">
        <v>5153</v>
      </c>
      <c r="D1001" s="685"/>
      <c r="E1001" s="685"/>
      <c r="F1001" s="674" t="s">
        <v>1000</v>
      </c>
      <c r="G1001" s="674"/>
      <c r="H1001" s="675"/>
      <c r="I1001" s="675"/>
      <c r="J1001" s="768">
        <v>42644</v>
      </c>
      <c r="K1001" s="672"/>
      <c r="L1001" s="672"/>
      <c r="M1001" s="672"/>
      <c r="N1001" s="672"/>
      <c r="O1001" s="9"/>
      <c r="P1001" s="8"/>
      <c r="Q1001" s="3"/>
      <c r="R1001" s="3"/>
    </row>
    <row r="1002" spans="2:18" x14ac:dyDescent="0.2">
      <c r="B1002" s="674">
        <v>289</v>
      </c>
      <c r="C1002" s="685" t="s">
        <v>4496</v>
      </c>
      <c r="D1002" s="685"/>
      <c r="E1002" s="685"/>
      <c r="F1002" s="674" t="s">
        <v>1440</v>
      </c>
      <c r="G1002" s="674"/>
      <c r="H1002" s="675">
        <v>1.8055555555555557E-2</v>
      </c>
      <c r="I1002" s="675"/>
      <c r="J1002" s="768">
        <v>42651</v>
      </c>
      <c r="K1002" s="672"/>
      <c r="L1002" s="672"/>
      <c r="M1002" s="672"/>
      <c r="N1002" s="672"/>
      <c r="O1002" s="9"/>
      <c r="P1002" s="8"/>
      <c r="Q1002" s="3"/>
      <c r="R1002" s="3"/>
    </row>
    <row r="1003" spans="2:18" x14ac:dyDescent="0.2">
      <c r="B1003" s="674">
        <v>290</v>
      </c>
      <c r="C1003" s="685" t="s">
        <v>1089</v>
      </c>
      <c r="D1003" s="685"/>
      <c r="E1003" s="685"/>
      <c r="F1003" s="674" t="s">
        <v>1000</v>
      </c>
      <c r="G1003" s="674"/>
      <c r="H1003" s="675">
        <v>1.8969907407407408E-2</v>
      </c>
      <c r="I1003" s="675"/>
      <c r="J1003" s="768">
        <v>42651</v>
      </c>
      <c r="K1003" s="672"/>
      <c r="L1003" s="672"/>
      <c r="M1003" s="672"/>
      <c r="N1003" s="672"/>
      <c r="O1003" s="9"/>
      <c r="P1003" s="8"/>
      <c r="Q1003" s="3"/>
      <c r="R1003" s="3"/>
    </row>
    <row r="1004" spans="2:18" x14ac:dyDescent="0.2">
      <c r="B1004" s="674">
        <v>261</v>
      </c>
      <c r="C1004" s="685" t="s">
        <v>1981</v>
      </c>
      <c r="D1004" s="685"/>
      <c r="E1004" s="685"/>
      <c r="F1004" s="674" t="s">
        <v>4322</v>
      </c>
      <c r="G1004" s="674"/>
      <c r="H1004" s="675"/>
      <c r="I1004" s="675"/>
      <c r="J1004" s="768">
        <v>42658</v>
      </c>
      <c r="K1004" s="672"/>
      <c r="L1004" s="672"/>
      <c r="M1004" s="672"/>
      <c r="N1004" s="672"/>
      <c r="O1004" s="9"/>
      <c r="P1004" s="8"/>
      <c r="Q1004" s="3"/>
      <c r="R1004" s="3"/>
    </row>
    <row r="1005" spans="2:18" x14ac:dyDescent="0.2">
      <c r="B1005" s="674">
        <v>292</v>
      </c>
      <c r="C1005" s="685" t="s">
        <v>1970</v>
      </c>
      <c r="D1005" s="685"/>
      <c r="E1005" s="685"/>
      <c r="F1005" s="674" t="s">
        <v>1000</v>
      </c>
      <c r="G1005" s="674"/>
      <c r="H1005" s="675"/>
      <c r="I1005" s="675"/>
      <c r="J1005" s="768">
        <v>42658</v>
      </c>
      <c r="K1005" s="672"/>
      <c r="L1005" s="672"/>
      <c r="M1005" s="672"/>
      <c r="N1005" s="672"/>
      <c r="O1005" s="9"/>
      <c r="P1005" s="8"/>
      <c r="Q1005" s="3"/>
      <c r="R1005" s="3"/>
    </row>
    <row r="1006" spans="2:18" x14ac:dyDescent="0.2">
      <c r="B1006" s="674">
        <v>293</v>
      </c>
      <c r="C1006" s="685" t="s">
        <v>1982</v>
      </c>
      <c r="D1006" s="685"/>
      <c r="E1006" s="685"/>
      <c r="F1006" s="674" t="s">
        <v>4467</v>
      </c>
      <c r="G1006" s="674"/>
      <c r="H1006" s="675"/>
      <c r="I1006" s="675"/>
      <c r="J1006" s="768">
        <v>42658</v>
      </c>
      <c r="K1006" s="672"/>
      <c r="L1006" s="672"/>
      <c r="M1006" s="672"/>
      <c r="N1006" s="672"/>
      <c r="O1006" s="9"/>
      <c r="P1006" s="8"/>
      <c r="Q1006" s="3"/>
      <c r="R1006" s="3"/>
    </row>
    <row r="1007" spans="2:18" x14ac:dyDescent="0.2">
      <c r="B1007" s="674">
        <v>294</v>
      </c>
      <c r="C1007" s="685" t="s">
        <v>5663</v>
      </c>
      <c r="D1007" s="685"/>
      <c r="E1007" s="685"/>
      <c r="F1007" s="674" t="s">
        <v>4322</v>
      </c>
      <c r="G1007" s="674"/>
      <c r="H1007" s="675"/>
      <c r="I1007" s="675"/>
      <c r="J1007" s="768">
        <v>42665</v>
      </c>
      <c r="K1007" s="672"/>
      <c r="L1007" s="672"/>
      <c r="M1007" s="672"/>
      <c r="N1007" s="672"/>
      <c r="O1007" s="9"/>
      <c r="P1007" s="8"/>
      <c r="Q1007" s="3"/>
      <c r="R1007" s="3"/>
    </row>
    <row r="1008" spans="2:18" x14ac:dyDescent="0.2">
      <c r="B1008" s="674">
        <v>295</v>
      </c>
      <c r="C1008" s="685" t="s">
        <v>692</v>
      </c>
      <c r="D1008" s="685"/>
      <c r="E1008" s="685"/>
      <c r="F1008" s="674" t="s">
        <v>3345</v>
      </c>
      <c r="G1008" s="674"/>
      <c r="H1008" s="675">
        <v>1.7465277777777777E-2</v>
      </c>
      <c r="I1008" s="675"/>
      <c r="J1008" s="768">
        <v>42665</v>
      </c>
      <c r="K1008" s="672"/>
      <c r="L1008" s="672"/>
      <c r="M1008" s="672"/>
      <c r="N1008" s="672"/>
      <c r="O1008" s="9"/>
      <c r="P1008" s="8"/>
      <c r="Q1008" s="3"/>
      <c r="R1008" s="3"/>
    </row>
    <row r="1009" spans="2:18" x14ac:dyDescent="0.2">
      <c r="B1009" s="674">
        <v>296</v>
      </c>
      <c r="C1009" s="685" t="s">
        <v>74</v>
      </c>
      <c r="D1009" s="685"/>
      <c r="E1009" s="685"/>
      <c r="F1009" s="674" t="s">
        <v>4778</v>
      </c>
      <c r="G1009" s="674"/>
      <c r="H1009" s="675">
        <v>2.3391203703703702E-2</v>
      </c>
      <c r="I1009" s="675"/>
      <c r="J1009" s="768">
        <v>42665</v>
      </c>
      <c r="K1009" s="672"/>
      <c r="L1009" s="672"/>
      <c r="M1009" s="672"/>
      <c r="N1009" s="672"/>
      <c r="O1009" s="9"/>
      <c r="P1009" s="8"/>
      <c r="Q1009" s="3"/>
      <c r="R1009" s="3"/>
    </row>
    <row r="1010" spans="2:18" x14ac:dyDescent="0.2">
      <c r="B1010" s="674">
        <v>297</v>
      </c>
      <c r="C1010" s="685" t="s">
        <v>2399</v>
      </c>
      <c r="D1010" s="685"/>
      <c r="E1010" s="685"/>
      <c r="F1010" s="674" t="s">
        <v>4322</v>
      </c>
      <c r="G1010" s="674"/>
      <c r="H1010" s="675">
        <v>2.0590277777777777E-2</v>
      </c>
      <c r="I1010" s="675"/>
      <c r="J1010" s="768">
        <v>42672</v>
      </c>
      <c r="K1010" s="672"/>
      <c r="L1010" s="672"/>
      <c r="M1010" s="672"/>
      <c r="N1010" s="672"/>
      <c r="O1010" s="9"/>
      <c r="P1010" s="8"/>
      <c r="Q1010" s="3"/>
      <c r="R1010" s="3"/>
    </row>
    <row r="1011" spans="2:18" x14ac:dyDescent="0.2">
      <c r="B1011" s="674">
        <v>298</v>
      </c>
      <c r="C1011" s="685" t="s">
        <v>353</v>
      </c>
      <c r="D1011" s="685"/>
      <c r="E1011" s="685"/>
      <c r="F1011" s="674" t="s">
        <v>298</v>
      </c>
      <c r="G1011" s="674"/>
      <c r="H1011" s="675">
        <v>1.650462962962963E-2</v>
      </c>
      <c r="I1011" s="675"/>
      <c r="J1011" s="768">
        <v>42672</v>
      </c>
      <c r="K1011" s="672"/>
      <c r="L1011" s="672"/>
      <c r="M1011" s="672"/>
      <c r="N1011" s="672"/>
      <c r="O1011" s="9"/>
      <c r="P1011" s="8"/>
      <c r="Q1011" s="3"/>
      <c r="R1011" s="3"/>
    </row>
    <row r="1012" spans="2:18" x14ac:dyDescent="0.2">
      <c r="B1012" s="674">
        <v>299</v>
      </c>
      <c r="C1012" s="685" t="s">
        <v>3160</v>
      </c>
      <c r="D1012" s="685"/>
      <c r="E1012" s="685"/>
      <c r="F1012" s="674" t="s">
        <v>1270</v>
      </c>
      <c r="G1012" s="674"/>
      <c r="H1012" s="675">
        <v>1.8391203703703705E-2</v>
      </c>
      <c r="I1012" s="675"/>
      <c r="J1012" s="768">
        <v>42672</v>
      </c>
      <c r="K1012" s="672"/>
      <c r="L1012" s="672"/>
      <c r="M1012" s="672"/>
      <c r="N1012" s="672"/>
      <c r="O1012" s="9"/>
      <c r="P1012" s="8"/>
      <c r="Q1012" s="3"/>
      <c r="R1012" s="3"/>
    </row>
    <row r="1013" spans="2:18" x14ac:dyDescent="0.2">
      <c r="B1013" s="674">
        <v>300</v>
      </c>
      <c r="C1013" s="685" t="s">
        <v>623</v>
      </c>
      <c r="D1013" s="685"/>
      <c r="E1013" s="685"/>
      <c r="F1013" s="685" t="s">
        <v>748</v>
      </c>
      <c r="G1013" s="685"/>
      <c r="H1013" s="675">
        <v>2.2488425925925926E-2</v>
      </c>
      <c r="I1013" s="675"/>
      <c r="J1013" s="768">
        <v>42679</v>
      </c>
      <c r="K1013" s="672"/>
      <c r="L1013" s="672"/>
      <c r="M1013" s="672"/>
      <c r="N1013" s="672"/>
      <c r="O1013" s="9"/>
      <c r="P1013" s="8"/>
      <c r="Q1013" s="3"/>
      <c r="R1013" s="3"/>
    </row>
    <row r="1014" spans="2:18" x14ac:dyDescent="0.2">
      <c r="B1014" s="674">
        <v>301</v>
      </c>
      <c r="C1014" s="685" t="s">
        <v>615</v>
      </c>
      <c r="D1014" s="685"/>
      <c r="E1014" s="685"/>
      <c r="F1014" s="685" t="s">
        <v>1062</v>
      </c>
      <c r="G1014" s="685"/>
      <c r="H1014" s="675">
        <v>2.7002314814814812E-2</v>
      </c>
      <c r="I1014" s="675"/>
      <c r="J1014" s="768">
        <v>42679</v>
      </c>
      <c r="K1014" s="672"/>
      <c r="L1014" s="672"/>
      <c r="M1014" s="672"/>
      <c r="N1014" s="672"/>
      <c r="O1014" s="9"/>
      <c r="P1014" s="8"/>
      <c r="Q1014" s="3"/>
      <c r="R1014" s="3"/>
    </row>
    <row r="1015" spans="2:18" x14ac:dyDescent="0.2">
      <c r="B1015" s="674">
        <v>302</v>
      </c>
      <c r="C1015" s="685" t="s">
        <v>1460</v>
      </c>
      <c r="D1015" s="685"/>
      <c r="E1015" s="685"/>
      <c r="F1015" s="674" t="s">
        <v>1000</v>
      </c>
      <c r="G1015" s="674"/>
      <c r="H1015" s="675" t="s">
        <v>1475</v>
      </c>
      <c r="I1015" s="675"/>
      <c r="J1015" s="768">
        <v>42686</v>
      </c>
      <c r="K1015" s="672"/>
      <c r="L1015" s="672"/>
      <c r="M1015" s="672"/>
      <c r="N1015" s="672"/>
      <c r="O1015" s="9"/>
      <c r="P1015" s="8"/>
      <c r="Q1015" s="3"/>
      <c r="R1015" s="3"/>
    </row>
    <row r="1016" spans="2:18" x14ac:dyDescent="0.2">
      <c r="B1016" s="674">
        <v>303</v>
      </c>
      <c r="C1016" s="685" t="s">
        <v>1459</v>
      </c>
      <c r="D1016" s="685"/>
      <c r="E1016" s="685"/>
      <c r="F1016" s="674" t="s">
        <v>627</v>
      </c>
      <c r="G1016" s="674"/>
      <c r="H1016" s="675" t="s">
        <v>5307</v>
      </c>
      <c r="I1016" s="675"/>
      <c r="J1016" s="768">
        <v>42686</v>
      </c>
      <c r="K1016" s="672"/>
      <c r="L1016" s="672"/>
      <c r="M1016" s="672"/>
      <c r="N1016" s="672"/>
      <c r="O1016" s="9"/>
      <c r="P1016" s="8"/>
      <c r="Q1016" s="3"/>
      <c r="R1016" s="3"/>
    </row>
    <row r="1017" spans="2:18" x14ac:dyDescent="0.2">
      <c r="B1017" s="674">
        <v>304</v>
      </c>
      <c r="C1017" s="685" t="s">
        <v>2637</v>
      </c>
      <c r="D1017" s="685"/>
      <c r="E1017" s="685"/>
      <c r="F1017" s="756" t="s">
        <v>909</v>
      </c>
      <c r="G1017" s="756"/>
      <c r="H1017" s="675">
        <v>1.8032407407407407E-2</v>
      </c>
      <c r="I1017" s="675"/>
      <c r="J1017" s="768">
        <v>42693</v>
      </c>
      <c r="K1017" s="672"/>
      <c r="L1017" s="672"/>
      <c r="M1017" s="672"/>
      <c r="N1017" s="672"/>
      <c r="O1017" s="9"/>
      <c r="P1017" s="8"/>
      <c r="Q1017" s="3"/>
      <c r="R1017" s="3"/>
    </row>
    <row r="1018" spans="2:18" x14ac:dyDescent="0.2">
      <c r="B1018" s="674">
        <v>305</v>
      </c>
      <c r="C1018" s="685" t="s">
        <v>3947</v>
      </c>
      <c r="D1018" s="685"/>
      <c r="E1018" s="685"/>
      <c r="F1018" s="674" t="s">
        <v>1000</v>
      </c>
      <c r="G1018" s="674"/>
      <c r="H1018" s="675">
        <v>2.0532407407407405E-2</v>
      </c>
      <c r="I1018" s="675"/>
      <c r="J1018" s="768">
        <v>42700</v>
      </c>
      <c r="K1018" s="672"/>
      <c r="L1018" s="672"/>
      <c r="M1018" s="672"/>
      <c r="N1018" s="672"/>
      <c r="O1018" s="9"/>
      <c r="P1018" s="8"/>
      <c r="Q1018" s="3"/>
      <c r="R1018" s="3"/>
    </row>
    <row r="1019" spans="2:18" x14ac:dyDescent="0.2">
      <c r="B1019" s="674">
        <v>306</v>
      </c>
      <c r="C1019" s="685" t="s">
        <v>2963</v>
      </c>
      <c r="D1019" s="685"/>
      <c r="E1019" s="685"/>
      <c r="F1019" s="674" t="s">
        <v>1000</v>
      </c>
      <c r="G1019" s="674"/>
      <c r="H1019" s="675">
        <v>1.8993055555555558E-2</v>
      </c>
      <c r="I1019" s="675"/>
      <c r="J1019" s="768">
        <v>42714</v>
      </c>
      <c r="K1019" s="672"/>
      <c r="L1019" s="672"/>
      <c r="M1019" s="672"/>
      <c r="N1019" s="672"/>
      <c r="O1019" s="9"/>
      <c r="P1019" s="8"/>
      <c r="Q1019" s="3"/>
      <c r="R1019" s="3"/>
    </row>
    <row r="1020" spans="2:18" x14ac:dyDescent="0.2">
      <c r="B1020" s="674">
        <v>307</v>
      </c>
      <c r="C1020" s="685" t="s">
        <v>6075</v>
      </c>
      <c r="D1020" s="685"/>
      <c r="E1020" s="685"/>
      <c r="F1020" s="674" t="s">
        <v>1062</v>
      </c>
      <c r="G1020" s="674"/>
      <c r="H1020" s="683"/>
      <c r="I1020" s="683"/>
      <c r="J1020" s="768">
        <v>42721</v>
      </c>
      <c r="K1020" s="672"/>
      <c r="L1020" s="672"/>
      <c r="M1020" s="672"/>
      <c r="N1020" s="672"/>
      <c r="O1020" s="9"/>
      <c r="P1020" s="8"/>
      <c r="Q1020" s="3"/>
      <c r="R1020" s="3"/>
    </row>
    <row r="1021" spans="2:18" x14ac:dyDescent="0.2">
      <c r="B1021" s="674">
        <v>308</v>
      </c>
      <c r="C1021" s="685" t="s">
        <v>4834</v>
      </c>
      <c r="D1021" s="685"/>
      <c r="E1021" s="685"/>
      <c r="F1021" s="674" t="s">
        <v>298</v>
      </c>
      <c r="G1021" s="674"/>
      <c r="H1021" s="675"/>
      <c r="I1021" s="675"/>
      <c r="J1021" s="768">
        <v>42728</v>
      </c>
      <c r="K1021" s="672"/>
      <c r="L1021" s="672"/>
      <c r="M1021" s="672"/>
      <c r="N1021" s="672"/>
      <c r="O1021" s="9"/>
      <c r="P1021" s="8"/>
      <c r="Q1021" s="3"/>
      <c r="R1021" s="3"/>
    </row>
    <row r="1022" spans="2:18" x14ac:dyDescent="0.2">
      <c r="B1022" s="725">
        <v>309</v>
      </c>
      <c r="C1022" s="754" t="s">
        <v>4866</v>
      </c>
      <c r="D1022" s="754"/>
      <c r="E1022" s="754"/>
      <c r="F1022" s="754" t="s">
        <v>6221</v>
      </c>
      <c r="G1022" s="754"/>
      <c r="H1022" s="727"/>
      <c r="I1022" s="727"/>
      <c r="J1022" s="770">
        <v>42735</v>
      </c>
      <c r="K1022" s="672"/>
      <c r="L1022" s="672"/>
      <c r="M1022" s="672"/>
      <c r="N1022" s="672"/>
      <c r="O1022" s="9"/>
      <c r="P1022" s="8"/>
      <c r="Q1022" s="3"/>
      <c r="R1022" s="3"/>
    </row>
    <row r="1023" spans="2:18" x14ac:dyDescent="0.2">
      <c r="B1023" s="674">
        <v>310</v>
      </c>
      <c r="C1023" s="685" t="s">
        <v>4632</v>
      </c>
      <c r="D1023" s="685"/>
      <c r="E1023" s="685"/>
      <c r="F1023" s="685" t="s">
        <v>1062</v>
      </c>
      <c r="G1023" s="685"/>
      <c r="H1023" s="675">
        <v>6.6666666666666671E-3</v>
      </c>
      <c r="I1023" s="675"/>
      <c r="J1023" s="768">
        <v>42736</v>
      </c>
      <c r="K1023" s="672"/>
      <c r="L1023" s="672"/>
      <c r="M1023" s="672"/>
      <c r="N1023" s="672"/>
      <c r="O1023" s="9"/>
      <c r="P1023" s="8"/>
      <c r="Q1023" s="3"/>
      <c r="R1023" s="3"/>
    </row>
    <row r="1024" spans="2:18" x14ac:dyDescent="0.2">
      <c r="B1024" s="674">
        <v>311</v>
      </c>
      <c r="C1024" s="685" t="s">
        <v>6205</v>
      </c>
      <c r="D1024" s="685"/>
      <c r="E1024" s="685"/>
      <c r="F1024" s="685" t="s">
        <v>6140</v>
      </c>
      <c r="G1024" s="685"/>
      <c r="H1024" s="675">
        <v>7.5578703703703702E-3</v>
      </c>
      <c r="I1024" s="675"/>
      <c r="J1024" s="768">
        <v>42736</v>
      </c>
      <c r="K1024" s="672"/>
      <c r="L1024" s="672"/>
      <c r="M1024" s="672"/>
      <c r="N1024" s="672"/>
      <c r="O1024" s="9"/>
      <c r="P1024" s="8"/>
      <c r="Q1024" s="3"/>
      <c r="R1024" s="3"/>
    </row>
    <row r="1025" spans="2:18" x14ac:dyDescent="0.2">
      <c r="B1025" s="674">
        <v>312</v>
      </c>
      <c r="C1025" s="685" t="s">
        <v>2311</v>
      </c>
      <c r="D1025" s="685"/>
      <c r="E1025" s="685"/>
      <c r="F1025" s="760" t="s">
        <v>6180</v>
      </c>
      <c r="G1025" s="760"/>
      <c r="H1025" s="675">
        <v>7.5810185185185182E-3</v>
      </c>
      <c r="I1025" s="675"/>
      <c r="J1025" s="768">
        <v>42736</v>
      </c>
      <c r="K1025" s="672"/>
      <c r="L1025" s="672"/>
      <c r="M1025" s="672"/>
      <c r="N1025" s="672"/>
      <c r="O1025" s="9"/>
      <c r="P1025" s="8"/>
      <c r="Q1025" s="3"/>
      <c r="R1025" s="3"/>
    </row>
    <row r="1026" spans="2:18" x14ac:dyDescent="0.2">
      <c r="B1026" s="674">
        <v>313</v>
      </c>
      <c r="C1026" s="685" t="s">
        <v>2627</v>
      </c>
      <c r="D1026" s="685"/>
      <c r="E1026" s="685"/>
      <c r="F1026" s="685" t="s">
        <v>5097</v>
      </c>
      <c r="G1026" s="685"/>
      <c r="H1026" s="675">
        <v>7.6157407407407415E-3</v>
      </c>
      <c r="I1026" s="675"/>
      <c r="J1026" s="768">
        <v>42736</v>
      </c>
      <c r="K1026" s="672"/>
      <c r="L1026" s="672"/>
      <c r="M1026" s="672"/>
      <c r="N1026" s="672"/>
      <c r="O1026" s="9"/>
      <c r="P1026" s="8"/>
      <c r="Q1026" s="3"/>
      <c r="R1026" s="3"/>
    </row>
    <row r="1027" spans="2:18" x14ac:dyDescent="0.2">
      <c r="B1027" s="674">
        <v>314</v>
      </c>
      <c r="C1027" s="685" t="s">
        <v>3227</v>
      </c>
      <c r="D1027" s="685"/>
      <c r="E1027" s="685"/>
      <c r="F1027" s="685" t="s">
        <v>1062</v>
      </c>
      <c r="G1027" s="685"/>
      <c r="H1027" s="675">
        <v>7.7314814814814815E-3</v>
      </c>
      <c r="I1027" s="675"/>
      <c r="J1027" s="768">
        <v>42736</v>
      </c>
      <c r="K1027" s="672"/>
      <c r="L1027" s="672"/>
      <c r="M1027" s="672"/>
      <c r="N1027" s="672"/>
      <c r="O1027" s="9"/>
      <c r="P1027" s="8"/>
      <c r="Q1027" s="3"/>
      <c r="R1027" s="3"/>
    </row>
    <row r="1028" spans="2:18" x14ac:dyDescent="0.2">
      <c r="B1028" s="674">
        <v>315</v>
      </c>
      <c r="C1028" s="685" t="s">
        <v>6269</v>
      </c>
      <c r="D1028" s="685"/>
      <c r="E1028" s="685"/>
      <c r="F1028" s="685" t="s">
        <v>2670</v>
      </c>
      <c r="G1028" s="685"/>
      <c r="H1028" s="672"/>
      <c r="I1028" s="672"/>
      <c r="J1028" s="768">
        <v>42742</v>
      </c>
      <c r="K1028" s="672"/>
      <c r="L1028" s="672"/>
      <c r="M1028" s="672"/>
      <c r="N1028" s="672"/>
      <c r="O1028" s="9"/>
      <c r="P1028" s="8"/>
      <c r="Q1028" s="3"/>
      <c r="R1028" s="3"/>
    </row>
    <row r="1029" spans="2:18" x14ac:dyDescent="0.2">
      <c r="B1029" s="674">
        <v>316</v>
      </c>
      <c r="C1029" s="685" t="s">
        <v>4530</v>
      </c>
      <c r="D1029" s="685"/>
      <c r="E1029" s="685"/>
      <c r="F1029" s="685" t="s">
        <v>5096</v>
      </c>
      <c r="G1029" s="685"/>
      <c r="H1029" s="672"/>
      <c r="I1029" s="672"/>
      <c r="J1029" s="768">
        <v>42742</v>
      </c>
      <c r="K1029" s="672"/>
      <c r="L1029" s="672"/>
      <c r="M1029" s="672"/>
      <c r="N1029" s="672"/>
      <c r="O1029" s="9"/>
      <c r="P1029" s="8"/>
      <c r="Q1029" s="3"/>
      <c r="R1029" s="3"/>
    </row>
    <row r="1030" spans="2:18" x14ac:dyDescent="0.2">
      <c r="B1030" s="674">
        <v>317</v>
      </c>
      <c r="C1030" s="685" t="s">
        <v>3157</v>
      </c>
      <c r="D1030" s="685"/>
      <c r="E1030" s="685"/>
      <c r="F1030" s="685" t="s">
        <v>1062</v>
      </c>
      <c r="G1030" s="685"/>
      <c r="H1030" s="672"/>
      <c r="I1030" s="672"/>
      <c r="J1030" s="768">
        <v>42749</v>
      </c>
      <c r="K1030" s="672"/>
      <c r="L1030" s="672"/>
      <c r="M1030" s="672"/>
      <c r="N1030" s="672"/>
      <c r="O1030" s="9"/>
      <c r="P1030" s="8"/>
      <c r="Q1030" s="3"/>
      <c r="R1030" s="3"/>
    </row>
    <row r="1031" spans="2:18" x14ac:dyDescent="0.2">
      <c r="B1031" s="674">
        <v>318</v>
      </c>
      <c r="C1031" s="685" t="s">
        <v>6373</v>
      </c>
      <c r="D1031" s="685"/>
      <c r="E1031" s="685"/>
      <c r="F1031" s="685" t="s">
        <v>1000</v>
      </c>
      <c r="G1031" s="685"/>
      <c r="H1031" s="672"/>
      <c r="I1031" s="672"/>
      <c r="J1031" s="768">
        <v>42756</v>
      </c>
      <c r="K1031" s="672"/>
      <c r="L1031" s="672"/>
      <c r="M1031" s="672"/>
      <c r="N1031" s="672"/>
      <c r="O1031" s="9"/>
      <c r="P1031" s="8"/>
      <c r="Q1031" s="3"/>
      <c r="R1031" s="3"/>
    </row>
    <row r="1032" spans="2:18" x14ac:dyDescent="0.2">
      <c r="B1032" s="674">
        <v>319</v>
      </c>
      <c r="C1032" s="685" t="s">
        <v>2783</v>
      </c>
      <c r="D1032" s="685"/>
      <c r="E1032" s="685"/>
      <c r="F1032" s="685" t="s">
        <v>1000</v>
      </c>
      <c r="G1032" s="685"/>
      <c r="H1032" s="672"/>
      <c r="I1032" s="672"/>
      <c r="J1032" s="768">
        <v>42777</v>
      </c>
      <c r="K1032" s="672"/>
      <c r="L1032" s="672"/>
      <c r="M1032" s="672"/>
      <c r="N1032" s="672"/>
      <c r="O1032" s="9"/>
      <c r="P1032" s="8"/>
      <c r="Q1032" s="3"/>
      <c r="R1032" s="3"/>
    </row>
    <row r="1033" spans="2:18" x14ac:dyDescent="0.2">
      <c r="B1033" s="674">
        <v>320</v>
      </c>
      <c r="C1033" s="685" t="s">
        <v>6283</v>
      </c>
      <c r="D1033" s="685"/>
      <c r="E1033" s="685"/>
      <c r="F1033" s="685" t="s">
        <v>1062</v>
      </c>
      <c r="G1033" s="685"/>
      <c r="H1033" s="672"/>
      <c r="I1033" s="672"/>
      <c r="J1033" s="768">
        <v>42777</v>
      </c>
      <c r="K1033" s="672"/>
      <c r="L1033" s="672"/>
      <c r="M1033" s="672"/>
      <c r="N1033" s="672"/>
      <c r="O1033" s="9"/>
      <c r="P1033" s="8"/>
      <c r="Q1033" s="3"/>
      <c r="R1033" s="3"/>
    </row>
    <row r="1034" spans="2:18" x14ac:dyDescent="0.2">
      <c r="B1034" s="674">
        <v>321</v>
      </c>
      <c r="C1034" s="685" t="s">
        <v>2079</v>
      </c>
      <c r="D1034" s="685"/>
      <c r="E1034" s="685"/>
      <c r="F1034" s="685" t="s">
        <v>1000</v>
      </c>
      <c r="G1034" s="685"/>
      <c r="H1034" s="672"/>
      <c r="I1034" s="672"/>
      <c r="J1034" s="768">
        <v>42784</v>
      </c>
      <c r="K1034" s="672"/>
      <c r="L1034" s="672"/>
      <c r="M1034" s="672"/>
      <c r="N1034" s="672"/>
      <c r="O1034" s="9"/>
      <c r="P1034" s="8"/>
      <c r="Q1034" s="3"/>
      <c r="R1034" s="3"/>
    </row>
    <row r="1035" spans="2:18" x14ac:dyDescent="0.2">
      <c r="B1035" s="674">
        <v>322</v>
      </c>
      <c r="C1035" s="685" t="s">
        <v>7580</v>
      </c>
      <c r="D1035" s="685"/>
      <c r="E1035" s="685"/>
      <c r="F1035" s="685" t="s">
        <v>6140</v>
      </c>
      <c r="G1035" s="685"/>
      <c r="H1035" s="672"/>
      <c r="I1035" s="672"/>
      <c r="J1035" s="768">
        <v>42798</v>
      </c>
      <c r="K1035" s="672"/>
      <c r="L1035" s="672"/>
      <c r="M1035" s="672"/>
      <c r="N1035" s="672"/>
      <c r="O1035" s="9"/>
      <c r="P1035" s="8"/>
      <c r="Q1035" s="3"/>
      <c r="R1035" s="3"/>
    </row>
    <row r="1036" spans="2:18" x14ac:dyDescent="0.2">
      <c r="B1036" s="674">
        <v>323</v>
      </c>
      <c r="C1036" s="685" t="s">
        <v>6393</v>
      </c>
      <c r="D1036" s="685"/>
      <c r="E1036" s="685"/>
      <c r="F1036" s="685" t="s">
        <v>748</v>
      </c>
      <c r="G1036" s="685"/>
      <c r="H1036" s="672"/>
      <c r="I1036" s="672"/>
      <c r="J1036" s="768">
        <v>42798</v>
      </c>
      <c r="K1036" s="672"/>
      <c r="L1036" s="672"/>
      <c r="M1036" s="672"/>
      <c r="N1036" s="672"/>
      <c r="O1036" s="9"/>
      <c r="P1036" s="8"/>
      <c r="Q1036" s="3"/>
      <c r="R1036" s="3"/>
    </row>
    <row r="1037" spans="2:18" x14ac:dyDescent="0.2">
      <c r="B1037" s="674">
        <v>324</v>
      </c>
      <c r="C1037" s="685" t="s">
        <v>1299</v>
      </c>
      <c r="D1037" s="685"/>
      <c r="E1037" s="685"/>
      <c r="F1037" s="685" t="s">
        <v>6140</v>
      </c>
      <c r="G1037" s="685"/>
      <c r="H1037" s="672"/>
      <c r="I1037" s="672"/>
      <c r="J1037" s="768">
        <v>42805</v>
      </c>
      <c r="K1037" s="672"/>
      <c r="L1037" s="672"/>
      <c r="M1037" s="672"/>
      <c r="N1037" s="672"/>
      <c r="O1037" s="9"/>
      <c r="P1037" s="8"/>
      <c r="Q1037" s="3"/>
      <c r="R1037" s="3"/>
    </row>
    <row r="1038" spans="2:18" x14ac:dyDescent="0.2">
      <c r="B1038" s="674">
        <v>325</v>
      </c>
      <c r="C1038" s="685" t="s">
        <v>4379</v>
      </c>
      <c r="D1038" s="685"/>
      <c r="E1038" s="685"/>
      <c r="F1038" s="685" t="s">
        <v>4778</v>
      </c>
      <c r="G1038" s="685"/>
      <c r="H1038" s="672"/>
      <c r="I1038" s="672"/>
      <c r="J1038" s="768">
        <v>42805</v>
      </c>
      <c r="K1038" s="672"/>
      <c r="L1038" s="672"/>
      <c r="M1038" s="672"/>
      <c r="N1038" s="672"/>
      <c r="O1038" s="9"/>
      <c r="P1038" s="8"/>
      <c r="Q1038" s="3"/>
      <c r="R1038" s="3"/>
    </row>
    <row r="1039" spans="2:18" x14ac:dyDescent="0.2">
      <c r="B1039" s="674">
        <v>326</v>
      </c>
      <c r="C1039" s="685" t="s">
        <v>6284</v>
      </c>
      <c r="D1039" s="685"/>
      <c r="E1039" s="685"/>
      <c r="F1039" s="685" t="s">
        <v>4637</v>
      </c>
      <c r="G1039" s="685"/>
      <c r="H1039" s="672"/>
      <c r="I1039" s="672"/>
      <c r="J1039" s="768">
        <v>42812</v>
      </c>
      <c r="K1039" s="672"/>
      <c r="L1039" s="672"/>
      <c r="M1039" s="672"/>
      <c r="N1039" s="672"/>
      <c r="O1039" s="9"/>
      <c r="P1039" s="8"/>
      <c r="Q1039" s="3"/>
      <c r="R1039" s="3"/>
    </row>
    <row r="1040" spans="2:18" x14ac:dyDescent="0.2">
      <c r="B1040" s="674">
        <v>327</v>
      </c>
      <c r="C1040" s="685" t="s">
        <v>762</v>
      </c>
      <c r="D1040" s="685"/>
      <c r="E1040" s="685"/>
      <c r="F1040" s="685" t="s">
        <v>1000</v>
      </c>
      <c r="G1040" s="685"/>
      <c r="H1040" s="672"/>
      <c r="I1040" s="672"/>
      <c r="J1040" s="768">
        <v>42819</v>
      </c>
      <c r="K1040" s="672"/>
      <c r="L1040" s="672"/>
      <c r="M1040" s="672"/>
      <c r="N1040" s="672"/>
      <c r="O1040" s="9"/>
      <c r="P1040" s="8"/>
      <c r="Q1040" s="3"/>
      <c r="R1040" s="3"/>
    </row>
    <row r="1041" spans="2:18" x14ac:dyDescent="0.2">
      <c r="B1041" s="674">
        <v>328</v>
      </c>
      <c r="C1041" s="685" t="s">
        <v>5836</v>
      </c>
      <c r="D1041" s="685"/>
      <c r="E1041" s="685"/>
      <c r="F1041" s="685" t="s">
        <v>4584</v>
      </c>
      <c r="G1041" s="685"/>
      <c r="H1041" s="672"/>
      <c r="I1041" s="672"/>
      <c r="J1041" s="768">
        <v>42826</v>
      </c>
      <c r="K1041" s="672"/>
      <c r="L1041" s="672"/>
      <c r="M1041" s="672"/>
      <c r="N1041" s="672"/>
      <c r="O1041" s="9"/>
      <c r="P1041" s="8"/>
      <c r="Q1041" s="3"/>
      <c r="R1041" s="3"/>
    </row>
    <row r="1042" spans="2:18" x14ac:dyDescent="0.2">
      <c r="B1042" s="674">
        <v>329</v>
      </c>
      <c r="C1042" s="685" t="s">
        <v>6159</v>
      </c>
      <c r="D1042" s="685"/>
      <c r="E1042" s="685"/>
      <c r="F1042" s="685" t="s">
        <v>1000</v>
      </c>
      <c r="G1042" s="685"/>
      <c r="H1042" s="681" t="s">
        <v>7730</v>
      </c>
      <c r="I1042" s="681"/>
      <c r="J1042" s="768">
        <v>42833</v>
      </c>
      <c r="K1042" s="672"/>
      <c r="L1042" s="672"/>
      <c r="M1042" s="672"/>
      <c r="N1042" s="672"/>
      <c r="O1042" s="9"/>
      <c r="P1042" s="8"/>
      <c r="Q1042" s="3"/>
      <c r="R1042" s="3"/>
    </row>
    <row r="1043" spans="2:18" x14ac:dyDescent="0.2">
      <c r="B1043" s="674">
        <v>330</v>
      </c>
      <c r="C1043" s="685" t="s">
        <v>7796</v>
      </c>
      <c r="D1043" s="685"/>
      <c r="E1043" s="685"/>
      <c r="F1043" s="685" t="s">
        <v>3254</v>
      </c>
      <c r="G1043" s="685"/>
      <c r="H1043" s="672"/>
      <c r="I1043" s="672"/>
      <c r="J1043" s="768">
        <v>42840</v>
      </c>
      <c r="K1043" s="672"/>
      <c r="L1043" s="672"/>
      <c r="M1043" s="672"/>
      <c r="N1043" s="672"/>
      <c r="O1043" s="9"/>
      <c r="P1043" s="8"/>
      <c r="Q1043" s="3"/>
      <c r="R1043" s="3"/>
    </row>
    <row r="1044" spans="2:18" x14ac:dyDescent="0.2">
      <c r="B1044" s="674">
        <v>331</v>
      </c>
      <c r="C1044" s="685" t="s">
        <v>419</v>
      </c>
      <c r="D1044" s="685"/>
      <c r="E1044" s="685"/>
      <c r="F1044" s="685" t="s">
        <v>1000</v>
      </c>
      <c r="G1044" s="685"/>
      <c r="H1044" s="672"/>
      <c r="I1044" s="672"/>
      <c r="J1044" s="768">
        <v>42854</v>
      </c>
      <c r="K1044" s="672"/>
      <c r="L1044" s="672"/>
      <c r="M1044" s="672"/>
      <c r="N1044" s="672"/>
      <c r="O1044" s="9"/>
      <c r="P1044" s="8"/>
      <c r="Q1044" s="3"/>
      <c r="R1044" s="3"/>
    </row>
    <row r="1045" spans="2:18" x14ac:dyDescent="0.2">
      <c r="B1045" s="674">
        <v>332</v>
      </c>
      <c r="C1045" s="685" t="s">
        <v>6420</v>
      </c>
      <c r="D1045" s="685"/>
      <c r="E1045" s="685"/>
      <c r="F1045" s="685" t="s">
        <v>1062</v>
      </c>
      <c r="G1045" s="685"/>
      <c r="H1045" s="672"/>
      <c r="I1045" s="672"/>
      <c r="J1045" s="768">
        <v>42861</v>
      </c>
      <c r="K1045" s="672"/>
      <c r="L1045" s="672"/>
      <c r="M1045" s="672"/>
      <c r="N1045" s="672"/>
      <c r="O1045" s="9"/>
      <c r="P1045" s="8"/>
      <c r="Q1045" s="3"/>
      <c r="R1045" s="3"/>
    </row>
    <row r="1046" spans="2:18" x14ac:dyDescent="0.2">
      <c r="B1046" s="674">
        <v>333</v>
      </c>
      <c r="C1046" s="685" t="s">
        <v>7880</v>
      </c>
      <c r="D1046" s="685"/>
      <c r="E1046" s="685"/>
      <c r="F1046" s="685" t="s">
        <v>5096</v>
      </c>
      <c r="G1046" s="685"/>
      <c r="H1046" s="672"/>
      <c r="I1046" s="672"/>
      <c r="J1046" s="768">
        <v>42868</v>
      </c>
      <c r="K1046" s="672"/>
      <c r="L1046" s="672"/>
      <c r="M1046" s="672"/>
      <c r="N1046" s="672"/>
      <c r="O1046" s="9"/>
      <c r="P1046" s="8"/>
      <c r="Q1046" s="3"/>
      <c r="R1046" s="3"/>
    </row>
    <row r="1047" spans="2:18" x14ac:dyDescent="0.2">
      <c r="B1047" s="674">
        <v>334</v>
      </c>
      <c r="C1047" s="685" t="s">
        <v>4501</v>
      </c>
      <c r="D1047" s="685"/>
      <c r="E1047" s="685"/>
      <c r="F1047" s="685" t="s">
        <v>5882</v>
      </c>
      <c r="G1047" s="685"/>
      <c r="H1047" s="672"/>
      <c r="I1047" s="672"/>
      <c r="J1047" s="768">
        <v>42868</v>
      </c>
      <c r="K1047" s="672"/>
      <c r="L1047" s="672"/>
      <c r="M1047" s="672"/>
      <c r="N1047" s="672"/>
      <c r="O1047" s="9"/>
      <c r="P1047" s="8"/>
      <c r="Q1047" s="3"/>
      <c r="R1047" s="3"/>
    </row>
    <row r="1048" spans="2:18" x14ac:dyDescent="0.2">
      <c r="B1048" s="674">
        <v>335</v>
      </c>
      <c r="C1048" s="685" t="s">
        <v>5759</v>
      </c>
      <c r="D1048" s="685"/>
      <c r="E1048" s="685"/>
      <c r="F1048" s="685" t="s">
        <v>1062</v>
      </c>
      <c r="G1048" s="685"/>
      <c r="H1048" s="672"/>
      <c r="I1048" s="672"/>
      <c r="J1048" s="768">
        <v>42868</v>
      </c>
      <c r="K1048" s="672"/>
      <c r="L1048" s="672"/>
      <c r="M1048" s="672"/>
      <c r="N1048" s="672"/>
      <c r="O1048" s="9"/>
      <c r="P1048" s="8"/>
      <c r="Q1048" s="3"/>
      <c r="R1048" s="3"/>
    </row>
    <row r="1049" spans="2:18" x14ac:dyDescent="0.2">
      <c r="B1049" s="674">
        <v>336</v>
      </c>
      <c r="C1049" s="685" t="s">
        <v>7932</v>
      </c>
      <c r="D1049" s="685"/>
      <c r="E1049" s="685"/>
      <c r="F1049" s="685" t="s">
        <v>748</v>
      </c>
      <c r="G1049" s="685"/>
      <c r="H1049" s="672"/>
      <c r="I1049" s="672"/>
      <c r="J1049" s="768">
        <v>42875</v>
      </c>
      <c r="K1049" s="672"/>
      <c r="L1049" s="672"/>
      <c r="M1049" s="672"/>
      <c r="N1049" s="672"/>
      <c r="O1049" s="9"/>
      <c r="P1049" s="8"/>
      <c r="Q1049" s="3"/>
      <c r="R1049" s="3"/>
    </row>
    <row r="1050" spans="2:18" x14ac:dyDescent="0.2">
      <c r="B1050" s="674">
        <v>337</v>
      </c>
      <c r="C1050" s="685" t="s">
        <v>7944</v>
      </c>
      <c r="D1050" s="685"/>
      <c r="E1050" s="685"/>
      <c r="F1050" s="685" t="s">
        <v>4467</v>
      </c>
      <c r="G1050" s="685"/>
      <c r="H1050" s="672"/>
      <c r="I1050" s="672"/>
      <c r="J1050" s="768">
        <v>42882</v>
      </c>
      <c r="K1050" s="672"/>
      <c r="L1050" s="672"/>
      <c r="M1050" s="672"/>
      <c r="N1050" s="672"/>
      <c r="O1050" s="9"/>
      <c r="P1050" s="8"/>
      <c r="Q1050" s="3"/>
      <c r="R1050" s="3"/>
    </row>
    <row r="1051" spans="2:18" x14ac:dyDescent="0.2">
      <c r="B1051" s="674">
        <v>338</v>
      </c>
      <c r="C1051" s="415" t="s">
        <v>7962</v>
      </c>
      <c r="D1051" s="415"/>
      <c r="E1051" s="415"/>
      <c r="F1051" s="685" t="s">
        <v>1000</v>
      </c>
      <c r="G1051" s="685"/>
      <c r="H1051" s="672"/>
      <c r="I1051" s="672"/>
      <c r="J1051" s="768">
        <v>42882</v>
      </c>
      <c r="K1051" s="672"/>
      <c r="L1051" s="672"/>
      <c r="M1051" s="672"/>
      <c r="N1051" s="672"/>
      <c r="O1051" s="9"/>
      <c r="P1051" s="8"/>
      <c r="Q1051" s="3"/>
      <c r="R1051" s="3"/>
    </row>
    <row r="1052" spans="2:18" x14ac:dyDescent="0.2">
      <c r="B1052" s="674">
        <v>339</v>
      </c>
      <c r="C1052" s="685" t="s">
        <v>7999</v>
      </c>
      <c r="D1052" s="685"/>
      <c r="E1052" s="685"/>
      <c r="F1052" s="685" t="s">
        <v>627</v>
      </c>
      <c r="G1052" s="685"/>
      <c r="H1052" s="672"/>
      <c r="I1052" s="672"/>
      <c r="J1052" s="768">
        <v>42889</v>
      </c>
      <c r="K1052" s="672"/>
      <c r="L1052" s="672"/>
      <c r="M1052" s="672"/>
      <c r="N1052" s="672"/>
      <c r="O1052" s="9"/>
      <c r="P1052" s="8"/>
      <c r="Q1052" s="3"/>
      <c r="R1052" s="3"/>
    </row>
    <row r="1053" spans="2:18" x14ac:dyDescent="0.2">
      <c r="B1053" s="415">
        <v>340</v>
      </c>
      <c r="C1053" s="415" t="s">
        <v>7938</v>
      </c>
      <c r="D1053" s="415"/>
      <c r="E1053" s="415"/>
      <c r="F1053" s="415" t="s">
        <v>4778</v>
      </c>
      <c r="G1053" s="415"/>
      <c r="H1053" s="672"/>
      <c r="I1053" s="672"/>
      <c r="J1053" s="768">
        <v>42910</v>
      </c>
      <c r="K1053" s="672"/>
      <c r="L1053" s="672"/>
      <c r="M1053" s="672"/>
      <c r="N1053" s="672"/>
      <c r="O1053" s="9"/>
      <c r="P1053" s="8"/>
      <c r="Q1053" s="3"/>
      <c r="R1053" s="3"/>
    </row>
    <row r="1054" spans="2:18" x14ac:dyDescent="0.2">
      <c r="B1054" s="415">
        <v>341</v>
      </c>
      <c r="C1054" s="415" t="s">
        <v>3701</v>
      </c>
      <c r="D1054" s="415"/>
      <c r="E1054" s="415"/>
      <c r="F1054" s="415" t="s">
        <v>1000</v>
      </c>
      <c r="G1054" s="415"/>
      <c r="H1054" s="672"/>
      <c r="I1054" s="672"/>
      <c r="J1054" s="768">
        <v>42910</v>
      </c>
      <c r="K1054" s="672"/>
      <c r="L1054" s="672"/>
      <c r="M1054" s="672"/>
      <c r="N1054" s="672"/>
      <c r="O1054" s="9"/>
      <c r="P1054" s="8"/>
      <c r="Q1054" s="3"/>
      <c r="R1054" s="3"/>
    </row>
    <row r="1055" spans="2:18" x14ac:dyDescent="0.2">
      <c r="B1055" s="415">
        <v>342</v>
      </c>
      <c r="C1055" s="415" t="s">
        <v>8116</v>
      </c>
      <c r="D1055" s="415"/>
      <c r="E1055" s="415"/>
      <c r="F1055" s="415" t="s">
        <v>3254</v>
      </c>
      <c r="G1055" s="415"/>
      <c r="H1055" s="672"/>
      <c r="I1055" s="672"/>
      <c r="J1055" s="768">
        <v>42917</v>
      </c>
      <c r="K1055" s="672"/>
      <c r="L1055" s="672"/>
      <c r="M1055" s="672"/>
      <c r="N1055" s="672"/>
      <c r="O1055" s="9"/>
      <c r="P1055" s="8"/>
      <c r="Q1055" s="3"/>
      <c r="R1055" s="3"/>
    </row>
    <row r="1056" spans="2:18" x14ac:dyDescent="0.2">
      <c r="B1056" s="415">
        <v>343</v>
      </c>
      <c r="C1056" s="415" t="s">
        <v>2364</v>
      </c>
      <c r="D1056" s="415"/>
      <c r="E1056" s="415"/>
      <c r="F1056" s="415" t="s">
        <v>1000</v>
      </c>
      <c r="G1056" s="415"/>
      <c r="H1056" s="672"/>
      <c r="I1056" s="672"/>
      <c r="J1056" s="768">
        <v>42917</v>
      </c>
      <c r="K1056" s="672"/>
      <c r="L1056" s="672"/>
      <c r="M1056" s="672"/>
      <c r="N1056" s="672"/>
      <c r="O1056" s="9"/>
      <c r="P1056" s="8"/>
      <c r="Q1056" s="3"/>
      <c r="R1056" s="3"/>
    </row>
    <row r="1057" spans="2:18" x14ac:dyDescent="0.2">
      <c r="B1057" s="415">
        <v>344</v>
      </c>
      <c r="C1057" s="415" t="s">
        <v>8214</v>
      </c>
      <c r="D1057" s="415"/>
      <c r="E1057" s="415"/>
      <c r="F1057" s="415" t="s">
        <v>6180</v>
      </c>
      <c r="G1057" s="415"/>
      <c r="H1057" s="672"/>
      <c r="I1057" s="672"/>
      <c r="J1057" s="768">
        <v>42924</v>
      </c>
      <c r="K1057" s="672"/>
      <c r="L1057" s="672"/>
      <c r="M1057" s="672"/>
      <c r="N1057" s="672"/>
      <c r="O1057" s="9"/>
      <c r="P1057" s="8"/>
      <c r="Q1057" s="3"/>
      <c r="R1057" s="3"/>
    </row>
    <row r="1058" spans="2:18" x14ac:dyDescent="0.2">
      <c r="B1058" s="415">
        <v>345</v>
      </c>
      <c r="C1058" s="415" t="s">
        <v>2245</v>
      </c>
      <c r="D1058" s="415"/>
      <c r="E1058" s="415"/>
      <c r="F1058" s="415" t="s">
        <v>5881</v>
      </c>
      <c r="G1058" s="415"/>
      <c r="H1058" s="672"/>
      <c r="I1058" s="672"/>
      <c r="J1058" s="768">
        <v>42938</v>
      </c>
      <c r="K1058" s="672"/>
      <c r="L1058" s="672"/>
      <c r="M1058" s="672"/>
      <c r="N1058" s="672"/>
      <c r="O1058" s="9"/>
      <c r="P1058" s="8"/>
      <c r="Q1058" s="3"/>
      <c r="R1058" s="3"/>
    </row>
    <row r="1059" spans="2:18" x14ac:dyDescent="0.2">
      <c r="B1059" s="415">
        <v>346</v>
      </c>
      <c r="C1059" s="415" t="s">
        <v>8223</v>
      </c>
      <c r="D1059" s="415"/>
      <c r="E1059" s="415"/>
      <c r="F1059" s="415" t="s">
        <v>4637</v>
      </c>
      <c r="G1059" s="415"/>
      <c r="H1059" s="672"/>
      <c r="I1059" s="672"/>
      <c r="J1059" s="768">
        <v>42938</v>
      </c>
      <c r="K1059" s="672"/>
      <c r="L1059" s="672"/>
      <c r="M1059" s="672"/>
      <c r="N1059" s="672"/>
      <c r="O1059" s="9"/>
      <c r="P1059" s="8"/>
      <c r="Q1059" s="3"/>
      <c r="R1059" s="3"/>
    </row>
    <row r="1060" spans="2:18" x14ac:dyDescent="0.2">
      <c r="B1060" s="415">
        <v>347</v>
      </c>
      <c r="C1060" s="415" t="s">
        <v>8262</v>
      </c>
      <c r="D1060" s="415"/>
      <c r="E1060" s="415"/>
      <c r="F1060" s="415" t="s">
        <v>4322</v>
      </c>
      <c r="G1060" s="415"/>
      <c r="H1060" s="672"/>
      <c r="I1060" s="672"/>
      <c r="J1060" s="768">
        <v>42945</v>
      </c>
      <c r="K1060" s="672"/>
      <c r="L1060" s="672"/>
      <c r="M1060" s="672"/>
      <c r="N1060" s="672"/>
      <c r="O1060" s="9"/>
      <c r="P1060" s="8"/>
      <c r="Q1060" s="3"/>
      <c r="R1060" s="3"/>
    </row>
    <row r="1061" spans="2:18" x14ac:dyDescent="0.2">
      <c r="B1061" s="415">
        <v>348</v>
      </c>
      <c r="C1061" s="415" t="s">
        <v>2040</v>
      </c>
      <c r="D1061" s="415"/>
      <c r="E1061" s="415"/>
      <c r="F1061" s="415" t="s">
        <v>1000</v>
      </c>
      <c r="G1061" s="415"/>
      <c r="H1061" s="672"/>
      <c r="I1061" s="672"/>
      <c r="J1061" s="768">
        <v>42945</v>
      </c>
      <c r="K1061" s="672"/>
      <c r="L1061" s="672"/>
      <c r="M1061" s="672"/>
      <c r="N1061" s="672"/>
      <c r="O1061" s="9"/>
      <c r="P1061" s="8"/>
      <c r="Q1061" s="3"/>
      <c r="R1061" s="3"/>
    </row>
    <row r="1062" spans="2:18" x14ac:dyDescent="0.2">
      <c r="B1062" s="415">
        <v>349</v>
      </c>
      <c r="C1062" s="415" t="s">
        <v>8290</v>
      </c>
      <c r="D1062" s="415"/>
      <c r="E1062" s="415"/>
      <c r="F1062" s="415" t="s">
        <v>5061</v>
      </c>
      <c r="G1062" s="415"/>
      <c r="H1062" s="672"/>
      <c r="I1062" s="672"/>
      <c r="J1062" s="768">
        <v>42952</v>
      </c>
      <c r="K1062" s="672"/>
      <c r="L1062" s="672"/>
      <c r="M1062" s="672"/>
      <c r="N1062" s="672"/>
      <c r="O1062" s="9"/>
      <c r="P1062" s="8"/>
      <c r="Q1062" s="3"/>
      <c r="R1062" s="3"/>
    </row>
    <row r="1063" spans="2:18" x14ac:dyDescent="0.2">
      <c r="B1063" s="415">
        <v>350</v>
      </c>
      <c r="C1063" s="415" t="s">
        <v>8009</v>
      </c>
      <c r="D1063" s="415"/>
      <c r="E1063" s="415"/>
      <c r="F1063" s="415" t="s">
        <v>6180</v>
      </c>
      <c r="G1063" s="415"/>
      <c r="H1063" s="672"/>
      <c r="I1063" s="672"/>
      <c r="J1063" s="768">
        <v>42952</v>
      </c>
      <c r="K1063" s="672"/>
      <c r="L1063" s="672"/>
      <c r="M1063" s="672"/>
      <c r="N1063" s="672"/>
      <c r="O1063" s="9"/>
      <c r="P1063" s="8"/>
      <c r="Q1063" s="3"/>
      <c r="R1063" s="3"/>
    </row>
    <row r="1064" spans="2:18" x14ac:dyDescent="0.2">
      <c r="B1064" s="415">
        <v>351</v>
      </c>
      <c r="C1064" s="415" t="s">
        <v>8335</v>
      </c>
      <c r="D1064" s="415"/>
      <c r="E1064" s="415"/>
      <c r="F1064" s="415" t="s">
        <v>5061</v>
      </c>
      <c r="G1064" s="415"/>
      <c r="H1064" s="672"/>
      <c r="I1064" s="672"/>
      <c r="J1064" s="768">
        <v>42959</v>
      </c>
      <c r="K1064" s="672"/>
      <c r="L1064" s="672"/>
      <c r="M1064" s="672"/>
      <c r="N1064" s="672"/>
      <c r="O1064" s="9"/>
      <c r="P1064" s="8"/>
      <c r="Q1064" s="3"/>
      <c r="R1064" s="3"/>
    </row>
    <row r="1065" spans="2:18" x14ac:dyDescent="0.2">
      <c r="B1065" s="415">
        <v>352</v>
      </c>
      <c r="C1065" s="415" t="s">
        <v>8154</v>
      </c>
      <c r="D1065" s="415"/>
      <c r="E1065" s="415"/>
      <c r="F1065" s="415" t="s">
        <v>5096</v>
      </c>
      <c r="G1065" s="415"/>
      <c r="H1065" s="675">
        <v>1.5219907407407409E-2</v>
      </c>
      <c r="I1065" s="675"/>
      <c r="J1065" s="768">
        <v>42959</v>
      </c>
      <c r="K1065" s="672"/>
      <c r="L1065" s="672"/>
      <c r="M1065" s="672"/>
      <c r="N1065" s="672"/>
      <c r="O1065" s="9"/>
      <c r="P1065" s="8"/>
      <c r="Q1065" s="3"/>
      <c r="R1065" s="3"/>
    </row>
    <row r="1066" spans="2:18" x14ac:dyDescent="0.2">
      <c r="B1066" s="415">
        <v>353</v>
      </c>
      <c r="C1066" s="415" t="s">
        <v>2041</v>
      </c>
      <c r="D1066" s="415"/>
      <c r="E1066" s="415"/>
      <c r="F1066" s="415" t="s">
        <v>1000</v>
      </c>
      <c r="G1066" s="415"/>
      <c r="H1066" s="675">
        <v>1.9004629629629632E-2</v>
      </c>
      <c r="I1066" s="675"/>
      <c r="J1066" s="768">
        <v>42959</v>
      </c>
      <c r="K1066" s="672"/>
      <c r="L1066" s="672"/>
      <c r="M1066" s="672"/>
      <c r="N1066" s="672"/>
      <c r="O1066" s="9"/>
      <c r="P1066" s="8"/>
      <c r="Q1066" s="3"/>
      <c r="R1066" s="3"/>
    </row>
    <row r="1067" spans="2:18" x14ac:dyDescent="0.2">
      <c r="B1067" s="415">
        <v>354</v>
      </c>
      <c r="C1067" s="415" t="s">
        <v>8111</v>
      </c>
      <c r="D1067" s="415"/>
      <c r="E1067" s="415"/>
      <c r="F1067" s="415" t="s">
        <v>4778</v>
      </c>
      <c r="G1067" s="415"/>
      <c r="H1067" s="675">
        <v>2.6226851851851852E-2</v>
      </c>
      <c r="I1067" s="675"/>
      <c r="J1067" s="768">
        <v>42959</v>
      </c>
      <c r="K1067" s="672"/>
      <c r="L1067" s="672"/>
      <c r="M1067" s="672"/>
      <c r="N1067" s="672"/>
      <c r="O1067" s="9"/>
      <c r="P1067" s="8"/>
      <c r="Q1067" s="3"/>
      <c r="R1067" s="3"/>
    </row>
    <row r="1068" spans="2:18" x14ac:dyDescent="0.2">
      <c r="B1068" s="415">
        <v>355</v>
      </c>
      <c r="C1068" s="415" t="s">
        <v>8377</v>
      </c>
      <c r="D1068" s="415"/>
      <c r="E1068" s="415"/>
      <c r="F1068" s="415" t="s">
        <v>4322</v>
      </c>
      <c r="G1068" s="415"/>
      <c r="H1068" s="672"/>
      <c r="I1068" s="672"/>
      <c r="J1068" s="768">
        <v>42966</v>
      </c>
      <c r="K1068" s="672"/>
      <c r="L1068" s="672"/>
      <c r="M1068" s="672"/>
      <c r="N1068" s="672"/>
      <c r="O1068" s="9"/>
      <c r="P1068" s="8"/>
      <c r="Q1068" s="3"/>
      <c r="R1068" s="3"/>
    </row>
    <row r="1069" spans="2:18" x14ac:dyDescent="0.2">
      <c r="B1069" s="415">
        <v>356</v>
      </c>
      <c r="C1069" s="415" t="s">
        <v>646</v>
      </c>
      <c r="D1069" s="415"/>
      <c r="E1069" s="415"/>
      <c r="F1069" s="415" t="s">
        <v>627</v>
      </c>
      <c r="G1069" s="415"/>
      <c r="H1069" s="675">
        <v>1.6921296296296299E-2</v>
      </c>
      <c r="I1069" s="675"/>
      <c r="J1069" s="768">
        <v>42966</v>
      </c>
      <c r="K1069" s="672"/>
      <c r="L1069" s="672"/>
      <c r="M1069" s="672"/>
      <c r="N1069" s="672"/>
      <c r="O1069" s="9"/>
      <c r="P1069" s="8"/>
      <c r="Q1069" s="3"/>
      <c r="R1069" s="3"/>
    </row>
    <row r="1070" spans="2:18" x14ac:dyDescent="0.2">
      <c r="B1070" s="415">
        <v>357</v>
      </c>
      <c r="C1070" s="415" t="s">
        <v>2825</v>
      </c>
      <c r="D1070" s="415"/>
      <c r="E1070" s="415"/>
      <c r="F1070" s="415" t="s">
        <v>3254</v>
      </c>
      <c r="G1070" s="415"/>
      <c r="H1070" s="675">
        <v>1.8229166666666668E-2</v>
      </c>
      <c r="I1070" s="675"/>
      <c r="J1070" s="768">
        <v>42966</v>
      </c>
      <c r="K1070" s="672"/>
      <c r="L1070" s="672"/>
      <c r="M1070" s="672"/>
      <c r="N1070" s="672"/>
      <c r="O1070" s="9"/>
      <c r="P1070" s="8"/>
      <c r="Q1070" s="3"/>
      <c r="R1070" s="3"/>
    </row>
    <row r="1071" spans="2:18" x14ac:dyDescent="0.2">
      <c r="B1071" s="415">
        <v>358</v>
      </c>
      <c r="C1071" s="415" t="s">
        <v>8407</v>
      </c>
      <c r="D1071" s="415"/>
      <c r="E1071" s="415"/>
      <c r="F1071" s="415" t="s">
        <v>944</v>
      </c>
      <c r="G1071" s="415"/>
      <c r="H1071" s="672"/>
      <c r="I1071" s="672"/>
      <c r="J1071" s="768">
        <v>42966</v>
      </c>
      <c r="K1071" s="672"/>
      <c r="L1071" s="672"/>
      <c r="M1071" s="672"/>
      <c r="N1071" s="672"/>
      <c r="O1071" s="9"/>
      <c r="P1071" s="8"/>
      <c r="Q1071" s="3"/>
      <c r="R1071" s="3"/>
    </row>
    <row r="1072" spans="2:18" x14ac:dyDescent="0.2">
      <c r="B1072" s="415">
        <v>359</v>
      </c>
      <c r="C1072" s="415" t="s">
        <v>8458</v>
      </c>
      <c r="D1072" s="415"/>
      <c r="E1072" s="415"/>
      <c r="F1072" s="415" t="s">
        <v>8462</v>
      </c>
      <c r="G1072" s="415"/>
      <c r="H1072" s="80" t="s">
        <v>8461</v>
      </c>
      <c r="I1072" s="80"/>
      <c r="J1072" s="768">
        <v>42980</v>
      </c>
      <c r="K1072" s="672"/>
      <c r="L1072" s="672"/>
      <c r="M1072" s="672"/>
      <c r="N1072" s="672"/>
      <c r="O1072" s="9"/>
      <c r="P1072" s="8"/>
      <c r="Q1072" s="3"/>
      <c r="R1072" s="3"/>
    </row>
    <row r="1073" spans="2:18" x14ac:dyDescent="0.2">
      <c r="B1073" s="415">
        <v>360</v>
      </c>
      <c r="C1073" s="415" t="s">
        <v>8143</v>
      </c>
      <c r="D1073" s="415"/>
      <c r="E1073" s="415"/>
      <c r="F1073" s="415" t="s">
        <v>1000</v>
      </c>
      <c r="G1073" s="415"/>
      <c r="H1073" s="675">
        <v>1.9791666666666666E-2</v>
      </c>
      <c r="I1073" s="675"/>
      <c r="J1073" s="768">
        <v>42980</v>
      </c>
      <c r="K1073" s="672"/>
      <c r="L1073" s="672"/>
      <c r="M1073" s="672"/>
      <c r="N1073" s="672"/>
      <c r="O1073" s="9"/>
      <c r="P1073" s="8"/>
      <c r="Q1073" s="3"/>
      <c r="R1073" s="3"/>
    </row>
    <row r="1074" spans="2:18" x14ac:dyDescent="0.2">
      <c r="B1074" s="415">
        <v>361</v>
      </c>
      <c r="C1074" s="415" t="s">
        <v>4634</v>
      </c>
      <c r="D1074" s="415"/>
      <c r="E1074" s="415"/>
      <c r="F1074" s="415" t="s">
        <v>748</v>
      </c>
      <c r="G1074" s="415"/>
      <c r="H1074" s="675">
        <v>2.4074074074074071E-2</v>
      </c>
      <c r="I1074" s="675"/>
      <c r="J1074" s="768">
        <v>42980</v>
      </c>
      <c r="K1074" s="672"/>
      <c r="L1074" s="672"/>
      <c r="M1074" s="672"/>
      <c r="N1074" s="672"/>
      <c r="O1074" s="9"/>
      <c r="P1074" s="8"/>
      <c r="Q1074" s="3"/>
      <c r="R1074" s="3"/>
    </row>
    <row r="1075" spans="2:18" x14ac:dyDescent="0.2">
      <c r="B1075" s="415">
        <v>362</v>
      </c>
      <c r="C1075" s="415" t="s">
        <v>8449</v>
      </c>
      <c r="D1075" s="415"/>
      <c r="E1075" s="415"/>
      <c r="F1075" s="415" t="s">
        <v>5895</v>
      </c>
      <c r="G1075" s="415"/>
      <c r="H1075" s="675"/>
      <c r="I1075" s="675"/>
      <c r="J1075" s="768">
        <v>42980</v>
      </c>
      <c r="K1075" s="672"/>
      <c r="L1075" s="672"/>
      <c r="M1075" s="672"/>
      <c r="N1075" s="672"/>
      <c r="O1075" s="9"/>
      <c r="P1075" s="8"/>
      <c r="Q1075" s="3"/>
      <c r="R1075" s="3"/>
    </row>
    <row r="1076" spans="2:18" x14ac:dyDescent="0.2">
      <c r="B1076" s="415">
        <v>363</v>
      </c>
      <c r="C1076" s="415" t="s">
        <v>374</v>
      </c>
      <c r="D1076" s="415"/>
      <c r="E1076" s="415"/>
      <c r="F1076" s="415" t="s">
        <v>5096</v>
      </c>
      <c r="G1076" s="415"/>
      <c r="H1076" s="675">
        <v>1.5046296296296295E-2</v>
      </c>
      <c r="I1076" s="771"/>
      <c r="J1076" s="768">
        <v>43001</v>
      </c>
      <c r="K1076" s="672"/>
      <c r="L1076" s="672"/>
      <c r="M1076" s="672"/>
      <c r="N1076" s="672"/>
      <c r="O1076" s="9"/>
      <c r="P1076" s="8"/>
      <c r="Q1076" s="3"/>
      <c r="R1076" s="3"/>
    </row>
    <row r="1077" spans="2:18" x14ac:dyDescent="0.2">
      <c r="B1077" s="415">
        <v>364</v>
      </c>
      <c r="C1077" s="415" t="s">
        <v>3702</v>
      </c>
      <c r="D1077" s="415"/>
      <c r="E1077" s="415"/>
      <c r="F1077" s="415" t="s">
        <v>4322</v>
      </c>
      <c r="G1077" s="415"/>
      <c r="H1077" s="672"/>
      <c r="I1077" s="672"/>
      <c r="J1077" s="768">
        <v>43001</v>
      </c>
      <c r="K1077" s="80"/>
      <c r="L1077" s="672"/>
      <c r="M1077" s="672"/>
      <c r="N1077" s="672"/>
      <c r="O1077" s="9"/>
      <c r="P1077" s="8"/>
      <c r="Q1077" s="3"/>
      <c r="R1077" s="3"/>
    </row>
    <row r="1078" spans="2:18" x14ac:dyDescent="0.2">
      <c r="B1078" s="415"/>
      <c r="C1078" s="869" t="s">
        <v>8565</v>
      </c>
      <c r="D1078" s="869"/>
      <c r="E1078" s="869"/>
      <c r="F1078" s="869" t="s">
        <v>8150</v>
      </c>
      <c r="G1078" s="869"/>
      <c r="H1078" s="1457"/>
      <c r="I1078" s="1457"/>
      <c r="J1078" s="1458">
        <v>43001</v>
      </c>
      <c r="K1078" s="2" t="s">
        <v>12641</v>
      </c>
      <c r="L1078" s="672"/>
      <c r="M1078" s="672"/>
      <c r="N1078" s="672"/>
      <c r="O1078" s="9"/>
      <c r="P1078" s="8"/>
      <c r="Q1078" s="3"/>
      <c r="R1078" s="3"/>
    </row>
    <row r="1079" spans="2:18" x14ac:dyDescent="0.2">
      <c r="B1079" s="415">
        <f>B1077+1</f>
        <v>365</v>
      </c>
      <c r="C1079" s="415" t="s">
        <v>8373</v>
      </c>
      <c r="D1079" s="415"/>
      <c r="E1079" s="415"/>
      <c r="F1079" s="415" t="s">
        <v>4778</v>
      </c>
      <c r="G1079" s="415"/>
      <c r="H1079" s="672"/>
      <c r="I1079" s="672"/>
      <c r="J1079" s="768">
        <v>43008</v>
      </c>
      <c r="K1079" s="80"/>
      <c r="L1079" s="672">
        <v>365</v>
      </c>
      <c r="M1079" s="672"/>
      <c r="N1079" s="672"/>
      <c r="O1079" s="9"/>
      <c r="P1079" s="8"/>
      <c r="Q1079" s="3"/>
      <c r="R1079" s="3"/>
    </row>
    <row r="1080" spans="2:18" x14ac:dyDescent="0.2">
      <c r="B1080" s="415">
        <f>B1079+1</f>
        <v>366</v>
      </c>
      <c r="C1080" s="415" t="s">
        <v>8664</v>
      </c>
      <c r="D1080" s="415"/>
      <c r="E1080" s="415"/>
      <c r="F1080" s="415" t="s">
        <v>1000</v>
      </c>
      <c r="G1080" s="415"/>
      <c r="H1080" s="672"/>
      <c r="I1080" s="672"/>
      <c r="J1080" s="768">
        <v>43022</v>
      </c>
      <c r="K1080" s="672"/>
      <c r="L1080" s="672"/>
      <c r="M1080" s="672"/>
      <c r="N1080" s="672"/>
      <c r="O1080" s="9"/>
      <c r="P1080" s="8"/>
      <c r="Q1080" s="3"/>
      <c r="R1080" s="3"/>
    </row>
    <row r="1081" spans="2:18" x14ac:dyDescent="0.2">
      <c r="B1081" s="415">
        <f t="shared" ref="B1081:B1144" si="105">B1080+1</f>
        <v>367</v>
      </c>
      <c r="C1081" s="415" t="s">
        <v>4473</v>
      </c>
      <c r="D1081" s="415"/>
      <c r="E1081" s="415"/>
      <c r="F1081" s="415" t="s">
        <v>5061</v>
      </c>
      <c r="G1081" s="415"/>
      <c r="H1081" s="672"/>
      <c r="I1081" s="672"/>
      <c r="J1081" s="768">
        <v>43022</v>
      </c>
      <c r="K1081" s="672"/>
      <c r="L1081" s="672"/>
      <c r="M1081" s="672"/>
      <c r="N1081" s="672"/>
      <c r="O1081" s="9"/>
      <c r="P1081" s="8"/>
      <c r="Q1081" s="3"/>
      <c r="R1081" s="3"/>
    </row>
    <row r="1082" spans="2:18" x14ac:dyDescent="0.2">
      <c r="B1082" s="415">
        <f t="shared" si="105"/>
        <v>368</v>
      </c>
      <c r="C1082" s="415" t="s">
        <v>8702</v>
      </c>
      <c r="D1082" s="415"/>
      <c r="E1082" s="415"/>
      <c r="F1082" s="415" t="s">
        <v>1000</v>
      </c>
      <c r="G1082" s="415"/>
      <c r="H1082" s="672"/>
      <c r="I1082" s="672"/>
      <c r="J1082" s="523">
        <v>43029</v>
      </c>
      <c r="K1082" s="80"/>
      <c r="L1082" s="672"/>
      <c r="M1082" s="672"/>
      <c r="N1082" s="672"/>
      <c r="O1082" s="9"/>
      <c r="P1082" s="8"/>
      <c r="Q1082" s="3"/>
      <c r="R1082" s="3"/>
    </row>
    <row r="1083" spans="2:18" x14ac:dyDescent="0.2">
      <c r="B1083" s="415">
        <f t="shared" si="105"/>
        <v>369</v>
      </c>
      <c r="C1083" s="415" t="s">
        <v>8720</v>
      </c>
      <c r="D1083" s="415"/>
      <c r="E1083" s="415"/>
      <c r="F1083" s="415" t="s">
        <v>4584</v>
      </c>
      <c r="G1083" s="415"/>
      <c r="H1083" s="672"/>
      <c r="I1083" s="672"/>
      <c r="J1083" s="523">
        <v>43029</v>
      </c>
      <c r="K1083" s="672"/>
      <c r="L1083" s="672"/>
      <c r="M1083" s="672"/>
      <c r="N1083" s="672"/>
      <c r="O1083" s="9"/>
      <c r="P1083" s="8"/>
      <c r="Q1083" s="3"/>
      <c r="R1083" s="3"/>
    </row>
    <row r="1084" spans="2:18" x14ac:dyDescent="0.2">
      <c r="B1084" s="415">
        <f t="shared" si="105"/>
        <v>370</v>
      </c>
      <c r="C1084" s="415" t="s">
        <v>8793</v>
      </c>
      <c r="D1084" s="415"/>
      <c r="E1084" s="415"/>
      <c r="F1084" s="415" t="s">
        <v>1000</v>
      </c>
      <c r="G1084" s="415"/>
      <c r="H1084" s="672"/>
      <c r="I1084" s="672"/>
      <c r="J1084" s="768">
        <v>43050</v>
      </c>
      <c r="K1084" s="672"/>
      <c r="L1084" s="672"/>
      <c r="M1084" s="672"/>
      <c r="N1084" s="672"/>
      <c r="O1084" s="9"/>
      <c r="P1084" s="8"/>
      <c r="Q1084" s="3"/>
      <c r="R1084" s="3"/>
    </row>
    <row r="1085" spans="2:18" x14ac:dyDescent="0.2">
      <c r="B1085" s="415">
        <f t="shared" si="105"/>
        <v>371</v>
      </c>
      <c r="C1085" s="415" t="s">
        <v>8820</v>
      </c>
      <c r="D1085" s="415"/>
      <c r="E1085" s="415"/>
      <c r="F1085" s="415" t="s">
        <v>8360</v>
      </c>
      <c r="G1085" s="415"/>
      <c r="H1085" s="672"/>
      <c r="I1085" s="672"/>
      <c r="J1085" s="768">
        <v>43057</v>
      </c>
      <c r="K1085" s="672"/>
      <c r="L1085" s="672"/>
      <c r="M1085" s="672"/>
      <c r="N1085" s="672"/>
      <c r="O1085" s="9"/>
      <c r="P1085" s="8"/>
      <c r="Q1085" s="3"/>
      <c r="R1085" s="3"/>
    </row>
    <row r="1086" spans="2:18" x14ac:dyDescent="0.2">
      <c r="B1086" s="415">
        <f t="shared" si="105"/>
        <v>372</v>
      </c>
      <c r="C1086" s="415" t="s">
        <v>8859</v>
      </c>
      <c r="D1086" s="415"/>
      <c r="E1086" s="415"/>
      <c r="F1086" s="415" t="s">
        <v>1000</v>
      </c>
      <c r="G1086" s="415"/>
      <c r="H1086" s="672"/>
      <c r="I1086" s="672"/>
      <c r="J1086" s="768">
        <v>43071</v>
      </c>
      <c r="K1086" s="672"/>
      <c r="L1086" s="672"/>
      <c r="M1086" s="672"/>
      <c r="N1086" s="672"/>
      <c r="O1086" s="9"/>
      <c r="P1086" s="8"/>
      <c r="Q1086" s="3"/>
      <c r="R1086" s="3"/>
    </row>
    <row r="1087" spans="2:18" x14ac:dyDescent="0.2">
      <c r="B1087" s="415">
        <f t="shared" si="105"/>
        <v>373</v>
      </c>
      <c r="C1087" s="415" t="s">
        <v>8953</v>
      </c>
      <c r="D1087" s="415"/>
      <c r="E1087" s="415"/>
      <c r="F1087" s="415" t="s">
        <v>1062</v>
      </c>
      <c r="G1087" s="415"/>
      <c r="H1087" s="672"/>
      <c r="I1087" s="672"/>
      <c r="J1087" s="768">
        <v>43092</v>
      </c>
      <c r="K1087" s="672"/>
      <c r="L1087" s="672"/>
      <c r="M1087" s="672"/>
      <c r="N1087" s="672"/>
      <c r="O1087" s="9"/>
      <c r="P1087" s="8"/>
      <c r="Q1087" s="3"/>
      <c r="R1087" s="3"/>
    </row>
    <row r="1088" spans="2:18" ht="13.5" thickBot="1" x14ac:dyDescent="0.25">
      <c r="B1088" s="415">
        <f t="shared" si="105"/>
        <v>374</v>
      </c>
      <c r="C1088" s="970" t="s">
        <v>8897</v>
      </c>
      <c r="D1088" s="970"/>
      <c r="E1088" s="970"/>
      <c r="F1088" s="970" t="s">
        <v>4897</v>
      </c>
      <c r="G1088" s="970"/>
      <c r="H1088" s="969"/>
      <c r="I1088" s="969"/>
      <c r="J1088" s="971">
        <v>43099</v>
      </c>
      <c r="K1088" s="672"/>
      <c r="L1088" s="672">
        <v>374</v>
      </c>
      <c r="M1088" s="672"/>
      <c r="N1088" s="672"/>
      <c r="O1088" s="9"/>
      <c r="P1088" s="8"/>
      <c r="Q1088" s="3"/>
      <c r="R1088" s="3"/>
    </row>
    <row r="1089" spans="2:18" x14ac:dyDescent="0.2">
      <c r="B1089" s="415">
        <f t="shared" si="105"/>
        <v>375</v>
      </c>
      <c r="C1089" s="415" t="s">
        <v>8514</v>
      </c>
      <c r="D1089" s="415"/>
      <c r="E1089" s="415"/>
      <c r="F1089" s="415" t="s">
        <v>1000</v>
      </c>
      <c r="G1089" s="415"/>
      <c r="H1089" s="672"/>
      <c r="I1089" s="672"/>
      <c r="J1089" s="768">
        <v>43101</v>
      </c>
      <c r="K1089" s="672"/>
      <c r="L1089" s="672"/>
      <c r="M1089" s="672"/>
      <c r="N1089" s="672"/>
      <c r="O1089" s="9"/>
      <c r="P1089" s="8"/>
      <c r="Q1089" s="3"/>
      <c r="R1089" s="3"/>
    </row>
    <row r="1090" spans="2:18" x14ac:dyDescent="0.2">
      <c r="B1090" s="415">
        <f t="shared" si="105"/>
        <v>376</v>
      </c>
      <c r="C1090" s="415" t="s">
        <v>4633</v>
      </c>
      <c r="D1090" s="415"/>
      <c r="E1090" s="415"/>
      <c r="F1090" s="415" t="s">
        <v>1062</v>
      </c>
      <c r="G1090" s="415"/>
      <c r="H1090" s="672"/>
      <c r="I1090" s="672"/>
      <c r="J1090" s="768">
        <v>43101</v>
      </c>
      <c r="K1090" s="672"/>
      <c r="L1090" s="672"/>
      <c r="M1090" s="672"/>
      <c r="N1090" s="672"/>
      <c r="O1090" s="9"/>
      <c r="P1090" s="8"/>
      <c r="Q1090" s="3"/>
      <c r="R1090" s="3"/>
    </row>
    <row r="1091" spans="2:18" x14ac:dyDescent="0.2">
      <c r="B1091" s="415">
        <f t="shared" si="105"/>
        <v>377</v>
      </c>
      <c r="C1091" s="415" t="s">
        <v>9056</v>
      </c>
      <c r="D1091" s="415"/>
      <c r="E1091" s="415"/>
      <c r="F1091" s="415" t="s">
        <v>8360</v>
      </c>
      <c r="G1091" s="415"/>
      <c r="H1091" s="672"/>
      <c r="I1091" s="672"/>
      <c r="J1091" s="768">
        <v>43106</v>
      </c>
      <c r="K1091" s="672"/>
      <c r="L1091" s="672"/>
      <c r="M1091" s="672"/>
      <c r="N1091" s="672"/>
      <c r="O1091" s="9"/>
      <c r="P1091" s="8"/>
      <c r="Q1091" s="3"/>
      <c r="R1091" s="3"/>
    </row>
    <row r="1092" spans="2:18" x14ac:dyDescent="0.2">
      <c r="B1092" s="415">
        <f t="shared" si="105"/>
        <v>378</v>
      </c>
      <c r="C1092" s="415" t="s">
        <v>9067</v>
      </c>
      <c r="D1092" s="415"/>
      <c r="E1092" s="415"/>
      <c r="F1092" s="415" t="s">
        <v>9066</v>
      </c>
      <c r="G1092" s="415"/>
      <c r="H1092" s="672"/>
      <c r="I1092" s="672"/>
      <c r="J1092" s="768">
        <v>43106</v>
      </c>
      <c r="K1092" s="672"/>
      <c r="L1092" s="672"/>
      <c r="M1092" s="672"/>
      <c r="N1092" s="672"/>
      <c r="O1092" s="9"/>
      <c r="P1092" s="8"/>
      <c r="Q1092" s="3"/>
      <c r="R1092" s="3"/>
    </row>
    <row r="1093" spans="2:18" x14ac:dyDescent="0.2">
      <c r="B1093" s="415">
        <f t="shared" si="105"/>
        <v>379</v>
      </c>
      <c r="C1093" s="415" t="s">
        <v>9055</v>
      </c>
      <c r="D1093" s="415"/>
      <c r="E1093" s="415"/>
      <c r="F1093" s="415" t="s">
        <v>5096</v>
      </c>
      <c r="G1093" s="415"/>
      <c r="H1093" s="672"/>
      <c r="I1093" s="672"/>
      <c r="J1093" s="768">
        <v>43113</v>
      </c>
      <c r="K1093" s="672"/>
      <c r="L1093" s="672"/>
      <c r="M1093" s="672"/>
      <c r="N1093" s="672"/>
      <c r="O1093" s="9"/>
      <c r="P1093" s="8"/>
      <c r="Q1093" s="3"/>
      <c r="R1093" s="3"/>
    </row>
    <row r="1094" spans="2:18" x14ac:dyDescent="0.2">
      <c r="B1094" s="415">
        <f t="shared" si="105"/>
        <v>380</v>
      </c>
      <c r="C1094" s="415" t="s">
        <v>9152</v>
      </c>
      <c r="D1094" s="415"/>
      <c r="E1094" s="415"/>
      <c r="F1094" s="415" t="s">
        <v>9153</v>
      </c>
      <c r="G1094" s="415"/>
      <c r="H1094" s="675">
        <v>2.101851851851852E-2</v>
      </c>
      <c r="I1094" s="675"/>
      <c r="J1094" s="768">
        <v>43127</v>
      </c>
      <c r="K1094" s="80" t="s">
        <v>9154</v>
      </c>
      <c r="L1094" s="672"/>
      <c r="M1094" s="80" t="s">
        <v>9162</v>
      </c>
      <c r="N1094" s="672"/>
      <c r="O1094" s="9"/>
      <c r="P1094" s="8"/>
      <c r="Q1094" s="3"/>
      <c r="R1094" s="3"/>
    </row>
    <row r="1095" spans="2:18" x14ac:dyDescent="0.2">
      <c r="B1095" s="415">
        <f t="shared" si="105"/>
        <v>381</v>
      </c>
      <c r="C1095" s="415" t="s">
        <v>9157</v>
      </c>
      <c r="D1095" s="415"/>
      <c r="E1095" s="415"/>
      <c r="F1095" s="415" t="s">
        <v>756</v>
      </c>
      <c r="G1095" s="415"/>
      <c r="H1095" s="675">
        <v>2.1388888888888888E-2</v>
      </c>
      <c r="I1095" s="675"/>
      <c r="J1095" s="768">
        <v>43127</v>
      </c>
      <c r="K1095" s="80" t="s">
        <v>9161</v>
      </c>
      <c r="L1095" s="672"/>
      <c r="M1095" s="80" t="s">
        <v>9162</v>
      </c>
      <c r="N1095" s="672"/>
      <c r="O1095" s="9"/>
      <c r="P1095" s="8"/>
      <c r="Q1095" s="3"/>
      <c r="R1095" s="3"/>
    </row>
    <row r="1096" spans="2:18" x14ac:dyDescent="0.2">
      <c r="B1096" s="415">
        <f t="shared" si="105"/>
        <v>382</v>
      </c>
      <c r="C1096" s="415" t="s">
        <v>3595</v>
      </c>
      <c r="D1096" s="415"/>
      <c r="E1096" s="415"/>
      <c r="F1096" s="415" t="s">
        <v>1000</v>
      </c>
      <c r="G1096" s="415"/>
      <c r="H1096" s="675">
        <v>1.8969907407407408E-2</v>
      </c>
      <c r="I1096" s="675"/>
      <c r="J1096" s="768">
        <v>43127</v>
      </c>
      <c r="K1096" s="672"/>
      <c r="L1096" s="672"/>
      <c r="M1096" s="672"/>
      <c r="N1096" s="672"/>
      <c r="O1096" s="9"/>
      <c r="P1096" s="8"/>
      <c r="Q1096" s="3"/>
      <c r="R1096" s="3"/>
    </row>
    <row r="1097" spans="2:18" x14ac:dyDescent="0.2">
      <c r="B1097" s="415">
        <f t="shared" si="105"/>
        <v>383</v>
      </c>
      <c r="C1097" s="415" t="s">
        <v>5079</v>
      </c>
      <c r="D1097" s="415"/>
      <c r="E1097" s="415"/>
      <c r="F1097" s="415" t="s">
        <v>4584</v>
      </c>
      <c r="G1097" s="415"/>
      <c r="H1097" s="675">
        <v>2.0416666666666666E-2</v>
      </c>
      <c r="I1097" s="675"/>
      <c r="J1097" s="768">
        <v>43127</v>
      </c>
      <c r="K1097" s="672"/>
      <c r="L1097" s="672"/>
      <c r="M1097" s="672"/>
      <c r="N1097" s="672"/>
      <c r="O1097" s="9"/>
      <c r="P1097" s="8"/>
      <c r="Q1097" s="3"/>
      <c r="R1097" s="3"/>
    </row>
    <row r="1098" spans="2:18" x14ac:dyDescent="0.2">
      <c r="B1098" s="415">
        <f t="shared" si="105"/>
        <v>384</v>
      </c>
      <c r="C1098" s="415" t="s">
        <v>9188</v>
      </c>
      <c r="D1098" s="415"/>
      <c r="E1098" s="415"/>
      <c r="F1098" s="415" t="s">
        <v>756</v>
      </c>
      <c r="G1098" s="415"/>
      <c r="H1098" s="672"/>
      <c r="I1098" s="672"/>
      <c r="J1098" s="768">
        <v>43134</v>
      </c>
      <c r="K1098" s="672"/>
      <c r="L1098" s="672">
        <v>384</v>
      </c>
      <c r="M1098" s="672"/>
      <c r="N1098" s="672"/>
      <c r="O1098" s="9"/>
      <c r="P1098" s="8"/>
      <c r="Q1098" s="3"/>
      <c r="R1098" s="3"/>
    </row>
    <row r="1099" spans="2:18" x14ac:dyDescent="0.2">
      <c r="B1099" s="415">
        <f t="shared" si="105"/>
        <v>385</v>
      </c>
      <c r="C1099" s="532" t="s">
        <v>9224</v>
      </c>
      <c r="D1099" s="532"/>
      <c r="E1099" s="532"/>
      <c r="F1099" s="532" t="s">
        <v>756</v>
      </c>
      <c r="G1099" s="532"/>
      <c r="H1099" s="672"/>
      <c r="I1099" s="672"/>
      <c r="J1099" s="768">
        <v>43141</v>
      </c>
      <c r="K1099" s="80" t="s">
        <v>9227</v>
      </c>
      <c r="L1099" s="672"/>
      <c r="M1099" s="672"/>
      <c r="N1099" s="672">
        <v>385</v>
      </c>
      <c r="O1099" s="9"/>
      <c r="P1099" s="8"/>
      <c r="Q1099" s="3"/>
      <c r="R1099" s="3"/>
    </row>
    <row r="1100" spans="2:18" x14ac:dyDescent="0.2">
      <c r="B1100" s="415">
        <f t="shared" si="105"/>
        <v>386</v>
      </c>
      <c r="C1100" s="415" t="s">
        <v>9275</v>
      </c>
      <c r="D1100" s="415"/>
      <c r="E1100" s="415"/>
      <c r="F1100" s="415" t="s">
        <v>756</v>
      </c>
      <c r="G1100" s="415"/>
      <c r="H1100" s="672"/>
      <c r="I1100" s="672"/>
      <c r="J1100" s="768">
        <v>43148</v>
      </c>
      <c r="K1100" s="80" t="s">
        <v>9161</v>
      </c>
      <c r="L1100" s="672"/>
      <c r="M1100" s="672"/>
      <c r="N1100" s="672">
        <v>387</v>
      </c>
      <c r="O1100" s="9"/>
      <c r="P1100" s="8"/>
      <c r="Q1100" s="3"/>
      <c r="R1100" s="3"/>
    </row>
    <row r="1101" spans="2:18" x14ac:dyDescent="0.2">
      <c r="B1101" s="415">
        <f t="shared" si="105"/>
        <v>387</v>
      </c>
      <c r="C1101" s="415" t="s">
        <v>9134</v>
      </c>
      <c r="D1101" s="415"/>
      <c r="E1101" s="415"/>
      <c r="F1101" s="415" t="s">
        <v>1000</v>
      </c>
      <c r="G1101" s="415"/>
      <c r="H1101" s="672"/>
      <c r="I1101" s="672"/>
      <c r="J1101" s="768">
        <v>43148</v>
      </c>
      <c r="K1101" s="80" t="s">
        <v>9274</v>
      </c>
      <c r="L1101" s="672"/>
      <c r="M1101" s="672"/>
      <c r="N1101" s="672">
        <v>386</v>
      </c>
      <c r="O1101" s="9"/>
      <c r="P1101" s="8"/>
      <c r="Q1101" s="3"/>
      <c r="R1101" s="3"/>
    </row>
    <row r="1102" spans="2:18" x14ac:dyDescent="0.2">
      <c r="B1102" s="415">
        <f t="shared" si="105"/>
        <v>388</v>
      </c>
      <c r="C1102" s="415" t="s">
        <v>9339</v>
      </c>
      <c r="D1102" s="415"/>
      <c r="E1102" s="415"/>
      <c r="F1102" s="415" t="s">
        <v>5882</v>
      </c>
      <c r="G1102" s="415"/>
      <c r="H1102" s="672"/>
      <c r="I1102" s="672"/>
      <c r="J1102" s="768">
        <v>43155</v>
      </c>
      <c r="K1102" s="672"/>
      <c r="L1102" s="672"/>
      <c r="M1102" s="672"/>
      <c r="N1102" s="80">
        <v>388</v>
      </c>
      <c r="O1102" s="9"/>
      <c r="P1102" s="8"/>
      <c r="Q1102" s="3"/>
      <c r="R1102" s="3"/>
    </row>
    <row r="1103" spans="2:18" x14ac:dyDescent="0.2">
      <c r="B1103" s="415">
        <f t="shared" si="105"/>
        <v>389</v>
      </c>
      <c r="C1103" s="415" t="s">
        <v>9340</v>
      </c>
      <c r="D1103" s="415"/>
      <c r="E1103" s="415"/>
      <c r="F1103" s="415" t="s">
        <v>1000</v>
      </c>
      <c r="G1103" s="415"/>
      <c r="H1103" s="672"/>
      <c r="I1103" s="672"/>
      <c r="J1103" s="768">
        <v>43155</v>
      </c>
      <c r="K1103" s="672"/>
      <c r="L1103" s="672"/>
      <c r="M1103" s="672"/>
      <c r="N1103" s="80">
        <v>389</v>
      </c>
      <c r="O1103" s="9"/>
      <c r="P1103" s="8"/>
      <c r="Q1103" s="3"/>
      <c r="R1103" s="3"/>
    </row>
    <row r="1104" spans="2:18" x14ac:dyDescent="0.2">
      <c r="B1104" s="415">
        <f t="shared" si="105"/>
        <v>390</v>
      </c>
      <c r="C1104" s="415" t="s">
        <v>9307</v>
      </c>
      <c r="D1104" s="415"/>
      <c r="E1104" s="415"/>
      <c r="F1104" s="415" t="s">
        <v>4239</v>
      </c>
      <c r="G1104" s="415"/>
      <c r="H1104" s="672"/>
      <c r="I1104" s="672"/>
      <c r="J1104" s="768">
        <v>43176</v>
      </c>
      <c r="K1104" s="672"/>
      <c r="L1104" s="672"/>
      <c r="M1104" s="672"/>
      <c r="N1104" s="80">
        <v>390</v>
      </c>
      <c r="O1104" s="9"/>
      <c r="P1104" s="8"/>
      <c r="Q1104" s="3"/>
      <c r="R1104" s="3"/>
    </row>
    <row r="1105" spans="2:18" x14ac:dyDescent="0.2">
      <c r="B1105" s="415">
        <f t="shared" si="105"/>
        <v>391</v>
      </c>
      <c r="C1105" s="415" t="s">
        <v>9142</v>
      </c>
      <c r="D1105" s="415"/>
      <c r="E1105" s="415"/>
      <c r="F1105" s="415" t="s">
        <v>1062</v>
      </c>
      <c r="G1105" s="415"/>
      <c r="H1105" s="672"/>
      <c r="I1105" s="672"/>
      <c r="J1105" s="768">
        <v>43176</v>
      </c>
      <c r="K1105" s="672"/>
      <c r="L1105" s="672"/>
      <c r="M1105" s="672"/>
      <c r="N1105" s="80">
        <v>391</v>
      </c>
      <c r="O1105" s="9"/>
      <c r="P1105" s="8"/>
      <c r="Q1105" s="3"/>
      <c r="R1105" s="3"/>
    </row>
    <row r="1106" spans="2:18" x14ac:dyDescent="0.2">
      <c r="B1106" s="415">
        <f t="shared" si="105"/>
        <v>392</v>
      </c>
      <c r="C1106" s="415" t="s">
        <v>475</v>
      </c>
      <c r="D1106" s="415"/>
      <c r="E1106" s="415"/>
      <c r="F1106" s="415" t="s">
        <v>5241</v>
      </c>
      <c r="G1106" s="415"/>
      <c r="H1106" s="675">
        <v>1.53125E-2</v>
      </c>
      <c r="I1106" s="675"/>
      <c r="J1106" s="768">
        <v>43183</v>
      </c>
      <c r="K1106" s="80" t="s">
        <v>5307</v>
      </c>
      <c r="L1106" s="672">
        <v>392</v>
      </c>
      <c r="M1106" s="672"/>
      <c r="N1106" s="672"/>
      <c r="O1106" s="9"/>
      <c r="P1106" s="8"/>
      <c r="Q1106" s="3"/>
      <c r="R1106" s="3"/>
    </row>
    <row r="1107" spans="2:18" x14ac:dyDescent="0.2">
      <c r="B1107" s="415">
        <f t="shared" si="105"/>
        <v>393</v>
      </c>
      <c r="C1107" s="415" t="s">
        <v>9407</v>
      </c>
      <c r="D1107" s="415"/>
      <c r="E1107" s="415"/>
      <c r="F1107" s="415" t="s">
        <v>9479</v>
      </c>
      <c r="G1107" s="415"/>
      <c r="H1107" s="675">
        <v>1.7488425925925925E-2</v>
      </c>
      <c r="I1107" s="675"/>
      <c r="J1107" s="768">
        <v>43183</v>
      </c>
      <c r="K1107" s="80" t="s">
        <v>5307</v>
      </c>
      <c r="L1107" s="672">
        <v>393</v>
      </c>
      <c r="M1107" s="672"/>
      <c r="N1107" s="672"/>
      <c r="O1107" s="9"/>
      <c r="P1107" s="8"/>
      <c r="Q1107" s="3"/>
      <c r="R1107" s="3"/>
    </row>
    <row r="1108" spans="2:18" x14ac:dyDescent="0.2">
      <c r="B1108" s="415">
        <f t="shared" si="105"/>
        <v>394</v>
      </c>
      <c r="C1108" s="415" t="s">
        <v>8248</v>
      </c>
      <c r="D1108" s="415"/>
      <c r="E1108" s="415"/>
      <c r="F1108" s="415" t="s">
        <v>2628</v>
      </c>
      <c r="G1108" s="415"/>
      <c r="H1108" s="675">
        <v>1.8206018518518517E-2</v>
      </c>
      <c r="I1108" s="675"/>
      <c r="J1108" s="768">
        <v>43183</v>
      </c>
      <c r="K1108" s="80" t="s">
        <v>5307</v>
      </c>
      <c r="L1108" s="672">
        <v>395</v>
      </c>
      <c r="M1108" s="672"/>
      <c r="N1108" s="672"/>
      <c r="O1108" s="9"/>
      <c r="P1108" s="8"/>
      <c r="Q1108" s="3"/>
      <c r="R1108" s="3"/>
    </row>
    <row r="1109" spans="2:18" x14ac:dyDescent="0.2">
      <c r="B1109" s="415">
        <f t="shared" si="105"/>
        <v>395</v>
      </c>
      <c r="C1109" s="415" t="s">
        <v>9144</v>
      </c>
      <c r="D1109" s="415"/>
      <c r="E1109" s="415"/>
      <c r="F1109" s="415" t="s">
        <v>1000</v>
      </c>
      <c r="G1109" s="415"/>
      <c r="H1109" s="675">
        <v>2.1493055555555557E-2</v>
      </c>
      <c r="I1109" s="675"/>
      <c r="J1109" s="768">
        <v>43183</v>
      </c>
      <c r="K1109" s="80" t="s">
        <v>5307</v>
      </c>
      <c r="L1109" s="80">
        <v>394</v>
      </c>
      <c r="M1109" s="672"/>
      <c r="N1109" s="672"/>
      <c r="O1109" s="9"/>
      <c r="P1109" s="8"/>
      <c r="Q1109" s="3"/>
      <c r="R1109" s="3"/>
    </row>
    <row r="1110" spans="2:18" x14ac:dyDescent="0.2">
      <c r="B1110" s="415">
        <f t="shared" si="105"/>
        <v>396</v>
      </c>
      <c r="C1110" s="415" t="s">
        <v>9500</v>
      </c>
      <c r="D1110" s="415"/>
      <c r="E1110" s="415"/>
      <c r="F1110" s="415" t="s">
        <v>8150</v>
      </c>
      <c r="G1110" s="415"/>
      <c r="H1110" s="672"/>
      <c r="I1110" s="672"/>
      <c r="J1110" s="768">
        <v>43183</v>
      </c>
      <c r="K1110" s="80" t="s">
        <v>9501</v>
      </c>
      <c r="L1110" s="862">
        <v>447</v>
      </c>
      <c r="M1110" s="80" t="s">
        <v>15185</v>
      </c>
      <c r="N1110" s="672"/>
      <c r="O1110" s="9"/>
      <c r="P1110" s="8"/>
      <c r="Q1110" s="3"/>
      <c r="R1110" s="3"/>
    </row>
    <row r="1111" spans="2:18" x14ac:dyDescent="0.2">
      <c r="B1111" s="415">
        <f t="shared" si="105"/>
        <v>397</v>
      </c>
      <c r="C1111" s="415" t="s">
        <v>4120</v>
      </c>
      <c r="D1111" s="415"/>
      <c r="E1111" s="415"/>
      <c r="F1111" s="415" t="s">
        <v>2628</v>
      </c>
      <c r="G1111" s="415"/>
      <c r="H1111" s="675">
        <v>1.5960648148148151E-2</v>
      </c>
      <c r="I1111" s="675"/>
      <c r="J1111" s="768">
        <v>43190</v>
      </c>
      <c r="K1111" s="672"/>
      <c r="L1111" s="672">
        <v>396</v>
      </c>
      <c r="M1111" s="672"/>
      <c r="N1111" s="672"/>
      <c r="O1111" s="9"/>
      <c r="P1111" s="8"/>
      <c r="Q1111" s="3"/>
      <c r="R1111" s="3"/>
    </row>
    <row r="1112" spans="2:18" x14ac:dyDescent="0.2">
      <c r="B1112" s="415">
        <f t="shared" si="105"/>
        <v>398</v>
      </c>
      <c r="C1112" s="415" t="s">
        <v>8855</v>
      </c>
      <c r="D1112" s="415"/>
      <c r="E1112" s="415"/>
      <c r="F1112" s="415" t="s">
        <v>9528</v>
      </c>
      <c r="G1112" s="415"/>
      <c r="H1112" s="675">
        <v>1.6354166666666666E-2</v>
      </c>
      <c r="I1112" s="675"/>
      <c r="J1112" s="768">
        <v>43190</v>
      </c>
      <c r="K1112" s="80" t="s">
        <v>4526</v>
      </c>
      <c r="L1112" s="672"/>
      <c r="M1112" s="672"/>
      <c r="N1112" s="672"/>
      <c r="O1112" s="9"/>
      <c r="P1112" s="8"/>
      <c r="Q1112" s="3"/>
      <c r="R1112" s="3"/>
    </row>
    <row r="1113" spans="2:18" x14ac:dyDescent="0.2">
      <c r="B1113" s="415">
        <f t="shared" si="105"/>
        <v>399</v>
      </c>
      <c r="C1113" s="415" t="s">
        <v>9304</v>
      </c>
      <c r="D1113" s="415"/>
      <c r="E1113" s="415"/>
      <c r="F1113" s="415" t="s">
        <v>9513</v>
      </c>
      <c r="G1113" s="415"/>
      <c r="H1113" s="675">
        <v>2.0682870370370372E-2</v>
      </c>
      <c r="I1113" s="675"/>
      <c r="J1113" s="768">
        <v>43190</v>
      </c>
      <c r="K1113" s="80" t="s">
        <v>4526</v>
      </c>
      <c r="L1113" s="672"/>
      <c r="M1113" s="672"/>
      <c r="N1113" s="672"/>
      <c r="O1113" s="9"/>
      <c r="P1113" s="8"/>
      <c r="Q1113" s="3"/>
      <c r="R1113" s="3"/>
    </row>
    <row r="1114" spans="2:18" x14ac:dyDescent="0.2">
      <c r="B1114" s="415">
        <f t="shared" si="105"/>
        <v>400</v>
      </c>
      <c r="C1114" s="415" t="s">
        <v>4368</v>
      </c>
      <c r="D1114" s="415"/>
      <c r="E1114" s="415"/>
      <c r="F1114" s="415" t="s">
        <v>1000</v>
      </c>
      <c r="G1114" s="415"/>
      <c r="H1114" s="672"/>
      <c r="I1114" s="672"/>
      <c r="J1114" s="768">
        <v>43197</v>
      </c>
      <c r="K1114" s="672"/>
      <c r="L1114" s="80">
        <v>400</v>
      </c>
      <c r="M1114" s="672"/>
      <c r="N1114" s="672"/>
      <c r="O1114" s="9"/>
      <c r="P1114" s="8"/>
      <c r="Q1114" s="3"/>
      <c r="R1114" s="3"/>
    </row>
    <row r="1115" spans="2:18" x14ac:dyDescent="0.2">
      <c r="B1115" s="415">
        <f t="shared" si="105"/>
        <v>401</v>
      </c>
      <c r="C1115" s="415" t="s">
        <v>8015</v>
      </c>
      <c r="D1115" s="415"/>
      <c r="E1115" s="415"/>
      <c r="F1115" s="415" t="s">
        <v>4778</v>
      </c>
      <c r="G1115" s="415"/>
      <c r="H1115" s="672"/>
      <c r="I1115" s="672"/>
      <c r="J1115" s="768">
        <v>43197</v>
      </c>
      <c r="K1115" s="672"/>
      <c r="L1115" s="672">
        <v>399</v>
      </c>
      <c r="M1115" s="80" t="s">
        <v>16138</v>
      </c>
      <c r="N1115" s="672"/>
      <c r="O1115" s="9"/>
      <c r="P1115" s="8"/>
      <c r="Q1115" s="3"/>
      <c r="R1115" s="3"/>
    </row>
    <row r="1116" spans="2:18" x14ac:dyDescent="0.2">
      <c r="B1116" s="415">
        <f t="shared" si="105"/>
        <v>402</v>
      </c>
      <c r="C1116" s="415" t="s">
        <v>9582</v>
      </c>
      <c r="D1116" s="415"/>
      <c r="E1116" s="415"/>
      <c r="F1116" s="415" t="s">
        <v>1000</v>
      </c>
      <c r="G1116" s="415"/>
      <c r="H1116" s="672"/>
      <c r="I1116" s="672"/>
      <c r="J1116" s="768">
        <v>43204</v>
      </c>
      <c r="K1116" s="672"/>
      <c r="L1116" s="80">
        <v>402</v>
      </c>
      <c r="M1116" s="672"/>
      <c r="N1116" s="672"/>
      <c r="O1116" s="9"/>
      <c r="P1116" s="8"/>
      <c r="Q1116" s="3"/>
      <c r="R1116" s="3"/>
    </row>
    <row r="1117" spans="2:18" x14ac:dyDescent="0.2">
      <c r="B1117" s="415">
        <f t="shared" si="105"/>
        <v>403</v>
      </c>
      <c r="C1117" s="415" t="s">
        <v>9630</v>
      </c>
      <c r="D1117" s="415"/>
      <c r="E1117" s="415"/>
      <c r="F1117" s="415" t="s">
        <v>1000</v>
      </c>
      <c r="G1117" s="415"/>
      <c r="H1117" s="672"/>
      <c r="I1117" s="672"/>
      <c r="J1117" s="768">
        <v>43211</v>
      </c>
      <c r="K1117" s="672"/>
      <c r="L1117" s="80">
        <v>405</v>
      </c>
      <c r="M1117" s="672"/>
      <c r="N1117" s="672"/>
      <c r="O1117" s="9"/>
      <c r="P1117" s="8"/>
      <c r="Q1117" s="3"/>
      <c r="R1117" s="3"/>
    </row>
    <row r="1118" spans="2:18" x14ac:dyDescent="0.2">
      <c r="B1118" s="415">
        <f t="shared" si="105"/>
        <v>404</v>
      </c>
      <c r="C1118" s="415" t="s">
        <v>9578</v>
      </c>
      <c r="D1118" s="415"/>
      <c r="E1118" s="415"/>
      <c r="F1118" s="415" t="s">
        <v>9631</v>
      </c>
      <c r="G1118" s="415"/>
      <c r="H1118" s="672"/>
      <c r="I1118" s="672"/>
      <c r="J1118" s="768">
        <v>43211</v>
      </c>
      <c r="K1118" s="672"/>
      <c r="L1118" s="80">
        <v>403</v>
      </c>
      <c r="M1118" s="672"/>
      <c r="N1118" s="672"/>
      <c r="O1118" s="9"/>
      <c r="P1118" s="8"/>
      <c r="Q1118" s="3"/>
      <c r="R1118" s="3"/>
    </row>
    <row r="1119" spans="2:18" x14ac:dyDescent="0.2">
      <c r="B1119" s="415">
        <f t="shared" si="105"/>
        <v>405</v>
      </c>
      <c r="C1119" s="415" t="s">
        <v>9620</v>
      </c>
      <c r="D1119" s="415"/>
      <c r="E1119" s="415"/>
      <c r="F1119" s="415" t="s">
        <v>4778</v>
      </c>
      <c r="G1119" s="415"/>
      <c r="H1119" s="672"/>
      <c r="I1119" s="672"/>
      <c r="J1119" s="768">
        <v>43218</v>
      </c>
      <c r="K1119" s="672"/>
      <c r="L1119" s="80">
        <v>406</v>
      </c>
      <c r="M1119" s="80" t="s">
        <v>15188</v>
      </c>
      <c r="N1119" s="672"/>
      <c r="O1119" s="9"/>
      <c r="P1119" s="8"/>
      <c r="Q1119" s="3"/>
      <c r="R1119" s="3"/>
    </row>
    <row r="1120" spans="2:18" x14ac:dyDescent="0.2">
      <c r="B1120" s="415">
        <f t="shared" si="105"/>
        <v>406</v>
      </c>
      <c r="C1120" s="415" t="s">
        <v>9719</v>
      </c>
      <c r="D1120" s="415"/>
      <c r="E1120" s="415"/>
      <c r="F1120" s="415" t="s">
        <v>1062</v>
      </c>
      <c r="G1120" s="415"/>
      <c r="H1120" s="672"/>
      <c r="I1120" s="672"/>
      <c r="J1120" s="768">
        <v>43225</v>
      </c>
      <c r="K1120" s="672"/>
      <c r="L1120" s="672"/>
      <c r="M1120" s="672"/>
      <c r="N1120" s="672"/>
      <c r="O1120" s="9"/>
      <c r="P1120" s="8"/>
      <c r="Q1120" s="3"/>
      <c r="R1120" s="3"/>
    </row>
    <row r="1121" spans="2:18" x14ac:dyDescent="0.2">
      <c r="B1121" s="415">
        <f t="shared" si="105"/>
        <v>407</v>
      </c>
      <c r="C1121" s="415" t="s">
        <v>9760</v>
      </c>
      <c r="D1121" s="415"/>
      <c r="E1121" s="415"/>
      <c r="F1121" s="415" t="s">
        <v>5573</v>
      </c>
      <c r="G1121" s="415"/>
      <c r="H1121" s="675">
        <v>1.7222222222222222E-2</v>
      </c>
      <c r="I1121" s="675"/>
      <c r="J1121" s="768">
        <v>43232</v>
      </c>
      <c r="K1121" s="672"/>
      <c r="L1121" s="672"/>
      <c r="M1121" s="672"/>
      <c r="N1121" s="672"/>
      <c r="O1121" s="9"/>
      <c r="P1121" s="8"/>
      <c r="Q1121" s="3"/>
      <c r="R1121" s="3"/>
    </row>
    <row r="1122" spans="2:18" x14ac:dyDescent="0.2">
      <c r="B1122" s="415">
        <f t="shared" si="105"/>
        <v>408</v>
      </c>
      <c r="C1122" s="415" t="s">
        <v>9750</v>
      </c>
      <c r="D1122" s="415"/>
      <c r="E1122" s="415"/>
      <c r="F1122" s="415" t="s">
        <v>1062</v>
      </c>
      <c r="G1122" s="415"/>
      <c r="H1122" s="675">
        <v>2.4120370370370372E-2</v>
      </c>
      <c r="I1122" s="675"/>
      <c r="J1122" s="768">
        <v>43232</v>
      </c>
      <c r="K1122" s="672"/>
      <c r="L1122" s="672"/>
      <c r="M1122" s="672"/>
      <c r="N1122" s="672"/>
      <c r="O1122" s="9"/>
      <c r="P1122" s="8"/>
      <c r="Q1122" s="3"/>
      <c r="R1122" s="3"/>
    </row>
    <row r="1123" spans="2:18" x14ac:dyDescent="0.2">
      <c r="B1123" s="415">
        <f t="shared" si="105"/>
        <v>409</v>
      </c>
      <c r="C1123" s="415" t="s">
        <v>9837</v>
      </c>
      <c r="D1123" s="415"/>
      <c r="E1123" s="415"/>
      <c r="F1123" s="415" t="s">
        <v>3254</v>
      </c>
      <c r="G1123" s="415"/>
      <c r="H1123" s="675">
        <v>1.8483796296296297E-2</v>
      </c>
      <c r="I1123" s="675"/>
      <c r="J1123" s="768">
        <v>43239</v>
      </c>
      <c r="K1123" s="672"/>
      <c r="L1123" s="80">
        <v>411</v>
      </c>
      <c r="M1123" s="672"/>
      <c r="N1123" s="672"/>
      <c r="O1123" s="9"/>
      <c r="P1123" s="8"/>
      <c r="Q1123" s="3"/>
      <c r="R1123" s="3"/>
    </row>
    <row r="1124" spans="2:18" x14ac:dyDescent="0.2">
      <c r="B1124" s="415">
        <f t="shared" si="105"/>
        <v>410</v>
      </c>
      <c r="C1124" s="415" t="s">
        <v>9816</v>
      </c>
      <c r="D1124" s="415"/>
      <c r="E1124" s="415"/>
      <c r="F1124" s="415" t="s">
        <v>9840</v>
      </c>
      <c r="G1124" s="415"/>
      <c r="H1124" s="675">
        <v>2.4305555555555556E-2</v>
      </c>
      <c r="I1124" s="675"/>
      <c r="J1124" s="768">
        <v>43239</v>
      </c>
      <c r="K1124" s="672"/>
      <c r="L1124" s="672">
        <v>410</v>
      </c>
      <c r="M1124" s="672"/>
      <c r="N1124" s="672"/>
      <c r="O1124" s="9"/>
      <c r="P1124" s="8"/>
      <c r="Q1124" s="3"/>
      <c r="R1124" s="3"/>
    </row>
    <row r="1125" spans="2:18" x14ac:dyDescent="0.2">
      <c r="B1125" s="415">
        <f t="shared" si="105"/>
        <v>411</v>
      </c>
      <c r="C1125" s="415" t="s">
        <v>9873</v>
      </c>
      <c r="D1125" s="415"/>
      <c r="E1125" s="415"/>
      <c r="F1125" s="415" t="s">
        <v>9806</v>
      </c>
      <c r="G1125" s="415"/>
      <c r="H1125" s="675"/>
      <c r="I1125" s="675"/>
      <c r="J1125" s="768">
        <v>43253</v>
      </c>
      <c r="K1125" s="672"/>
      <c r="L1125" s="672">
        <v>414</v>
      </c>
      <c r="M1125" s="672"/>
      <c r="N1125" s="672"/>
      <c r="O1125" s="9"/>
      <c r="P1125" s="8"/>
      <c r="Q1125" s="3"/>
      <c r="R1125" s="3"/>
    </row>
    <row r="1126" spans="2:18" x14ac:dyDescent="0.2">
      <c r="B1126" s="415">
        <f t="shared" si="105"/>
        <v>412</v>
      </c>
      <c r="C1126" s="415" t="s">
        <v>9861</v>
      </c>
      <c r="D1126" s="415"/>
      <c r="E1126" s="415"/>
      <c r="F1126" s="415" t="s">
        <v>4778</v>
      </c>
      <c r="G1126" s="415"/>
      <c r="H1126" s="675">
        <v>2.5914351851851855E-2</v>
      </c>
      <c r="I1126" s="675"/>
      <c r="J1126" s="768">
        <v>43253</v>
      </c>
      <c r="K1126" s="672"/>
      <c r="L1126" s="80">
        <v>413</v>
      </c>
      <c r="M1126" s="672"/>
      <c r="N1126" s="672"/>
      <c r="O1126" s="9"/>
      <c r="P1126" s="8"/>
      <c r="Q1126" s="3"/>
      <c r="R1126" s="3"/>
    </row>
    <row r="1127" spans="2:18" x14ac:dyDescent="0.2">
      <c r="B1127" s="415">
        <f t="shared" si="105"/>
        <v>413</v>
      </c>
      <c r="C1127" s="415" t="s">
        <v>9903</v>
      </c>
      <c r="D1127" s="415"/>
      <c r="E1127" s="415"/>
      <c r="F1127" s="415" t="s">
        <v>1270</v>
      </c>
      <c r="G1127" s="415"/>
      <c r="H1127" s="675"/>
      <c r="I1127" s="675"/>
      <c r="J1127" s="768">
        <v>43260</v>
      </c>
      <c r="K1127" s="672"/>
      <c r="L1127" s="672">
        <v>415</v>
      </c>
      <c r="M1127" s="672"/>
      <c r="N1127" s="672"/>
      <c r="O1127" s="9"/>
      <c r="P1127" s="8"/>
      <c r="Q1127" s="3"/>
      <c r="R1127" s="3"/>
    </row>
    <row r="1128" spans="2:18" x14ac:dyDescent="0.2">
      <c r="B1128" s="415">
        <f t="shared" si="105"/>
        <v>414</v>
      </c>
      <c r="C1128" s="415" t="s">
        <v>10111</v>
      </c>
      <c r="D1128" s="80"/>
      <c r="E1128" s="80"/>
      <c r="F1128" s="415" t="s">
        <v>9479</v>
      </c>
      <c r="G1128" s="80"/>
      <c r="H1128" s="675"/>
      <c r="I1128" s="675"/>
      <c r="J1128" s="768">
        <v>43274</v>
      </c>
      <c r="K1128" s="672"/>
      <c r="L1128" s="672"/>
      <c r="M1128" s="672"/>
      <c r="N1128" s="672"/>
      <c r="O1128" s="9"/>
      <c r="P1128" s="8"/>
      <c r="Q1128" s="3"/>
      <c r="R1128" s="3"/>
    </row>
    <row r="1129" spans="2:18" x14ac:dyDescent="0.2">
      <c r="B1129" s="415">
        <f t="shared" si="105"/>
        <v>415</v>
      </c>
      <c r="C1129" s="415" t="s">
        <v>10100</v>
      </c>
      <c r="D1129" s="80"/>
      <c r="E1129" s="80"/>
      <c r="F1129" s="415" t="s">
        <v>8441</v>
      </c>
      <c r="G1129" s="80"/>
      <c r="H1129" s="675"/>
      <c r="I1129" s="675"/>
      <c r="J1129" s="768">
        <v>43274</v>
      </c>
      <c r="K1129" s="672"/>
      <c r="L1129" s="672"/>
      <c r="M1129" s="672"/>
      <c r="N1129" s="672"/>
      <c r="O1129" s="9"/>
      <c r="P1129" s="8"/>
      <c r="Q1129" s="3"/>
      <c r="R1129" s="3"/>
    </row>
    <row r="1130" spans="2:18" x14ac:dyDescent="0.2">
      <c r="B1130" s="415">
        <f t="shared" si="105"/>
        <v>416</v>
      </c>
      <c r="C1130" s="415" t="s">
        <v>10113</v>
      </c>
      <c r="D1130" s="80"/>
      <c r="E1130" s="80"/>
      <c r="F1130" s="415" t="s">
        <v>9804</v>
      </c>
      <c r="G1130" s="80"/>
      <c r="H1130" s="675"/>
      <c r="I1130" s="675"/>
      <c r="J1130" s="768">
        <v>43274</v>
      </c>
      <c r="K1130" s="672"/>
      <c r="L1130" s="672"/>
      <c r="M1130" s="672"/>
      <c r="N1130" s="672"/>
      <c r="O1130" s="9"/>
      <c r="P1130" s="8"/>
      <c r="Q1130" s="3"/>
      <c r="R1130" s="3"/>
    </row>
    <row r="1131" spans="2:18" x14ac:dyDescent="0.2">
      <c r="B1131" s="415">
        <f t="shared" si="105"/>
        <v>417</v>
      </c>
      <c r="C1131" s="415" t="s">
        <v>10199</v>
      </c>
      <c r="D1131" s="80"/>
      <c r="E1131" s="80"/>
      <c r="F1131" s="415" t="s">
        <v>8441</v>
      </c>
      <c r="G1131" s="80"/>
      <c r="H1131" s="675"/>
      <c r="I1131" s="675"/>
      <c r="J1131" s="768">
        <v>43288</v>
      </c>
      <c r="K1131" s="672"/>
      <c r="L1131" s="672"/>
      <c r="M1131" s="672"/>
      <c r="N1131" s="672"/>
      <c r="O1131" s="9"/>
      <c r="P1131" s="8"/>
      <c r="Q1131" s="3"/>
      <c r="R1131" s="3"/>
    </row>
    <row r="1132" spans="2:18" x14ac:dyDescent="0.2">
      <c r="B1132" s="415">
        <f t="shared" si="105"/>
        <v>418</v>
      </c>
      <c r="C1132" s="415" t="s">
        <v>3442</v>
      </c>
      <c r="E1132" s="9"/>
      <c r="F1132" s="415" t="s">
        <v>1440</v>
      </c>
      <c r="G1132" s="9"/>
      <c r="J1132" s="34">
        <v>43288</v>
      </c>
      <c r="N1132" s="672"/>
      <c r="O1132" s="9"/>
      <c r="P1132" s="8"/>
      <c r="Q1132" s="3"/>
      <c r="R1132" s="3"/>
    </row>
    <row r="1133" spans="2:18" x14ac:dyDescent="0.2">
      <c r="B1133" s="415">
        <f t="shared" si="105"/>
        <v>419</v>
      </c>
      <c r="C1133" s="415" t="s">
        <v>10192</v>
      </c>
      <c r="E1133" s="9"/>
      <c r="F1133" s="415" t="s">
        <v>1270</v>
      </c>
      <c r="G1133" s="9"/>
      <c r="H1133" s="1">
        <v>1.4675925925925926E-2</v>
      </c>
      <c r="J1133" s="34">
        <v>43295</v>
      </c>
      <c r="L1133" s="9">
        <v>421</v>
      </c>
    </row>
    <row r="1134" spans="2:18" x14ac:dyDescent="0.2">
      <c r="B1134" s="415">
        <f t="shared" si="105"/>
        <v>420</v>
      </c>
      <c r="C1134" s="415" t="s">
        <v>4498</v>
      </c>
      <c r="E1134" s="9"/>
      <c r="F1134" s="415" t="s">
        <v>1440</v>
      </c>
      <c r="G1134" s="9"/>
      <c r="H1134" s="1">
        <v>1.8090277777777778E-2</v>
      </c>
      <c r="J1134" s="34">
        <v>43295</v>
      </c>
    </row>
    <row r="1135" spans="2:18" x14ac:dyDescent="0.2">
      <c r="B1135" s="415">
        <f t="shared" si="105"/>
        <v>421</v>
      </c>
      <c r="C1135" s="415" t="s">
        <v>10248</v>
      </c>
      <c r="E1135" s="9"/>
      <c r="F1135" s="415" t="s">
        <v>4584</v>
      </c>
      <c r="G1135" s="9"/>
      <c r="H1135" s="1">
        <v>2.0995370370370373E-2</v>
      </c>
      <c r="J1135" s="34">
        <v>43295</v>
      </c>
    </row>
    <row r="1136" spans="2:18" x14ac:dyDescent="0.2">
      <c r="B1136" s="415">
        <f t="shared" si="105"/>
        <v>422</v>
      </c>
      <c r="C1136" s="415" t="s">
        <v>8254</v>
      </c>
      <c r="E1136" s="9"/>
      <c r="F1136" s="415" t="s">
        <v>4322</v>
      </c>
      <c r="G1136" s="9"/>
      <c r="H1136" s="1">
        <v>2.298611111111111E-2</v>
      </c>
      <c r="J1136" s="34">
        <v>43295</v>
      </c>
      <c r="L1136" s="9">
        <v>426</v>
      </c>
    </row>
    <row r="1137" spans="2:13" x14ac:dyDescent="0.2">
      <c r="B1137" s="415">
        <f t="shared" si="105"/>
        <v>423</v>
      </c>
      <c r="C1137" s="415" t="s">
        <v>10249</v>
      </c>
      <c r="E1137" s="9"/>
      <c r="F1137" s="415" t="s">
        <v>654</v>
      </c>
      <c r="G1137" s="9"/>
      <c r="H1137" s="1">
        <v>2.4895833333333336E-2</v>
      </c>
      <c r="J1137" s="34">
        <v>43295</v>
      </c>
    </row>
    <row r="1138" spans="2:13" x14ac:dyDescent="0.2">
      <c r="B1138" s="415">
        <f t="shared" si="105"/>
        <v>424</v>
      </c>
      <c r="C1138" s="415" t="s">
        <v>9738</v>
      </c>
      <c r="E1138" s="9"/>
      <c r="F1138" s="415" t="s">
        <v>4778</v>
      </c>
      <c r="G1138" s="9"/>
      <c r="H1138" s="1">
        <v>2.6331018518518517E-2</v>
      </c>
      <c r="J1138" s="34">
        <v>43295</v>
      </c>
    </row>
    <row r="1139" spans="2:13" x14ac:dyDescent="0.2">
      <c r="B1139" s="415">
        <f t="shared" si="105"/>
        <v>425</v>
      </c>
      <c r="C1139" s="415" t="s">
        <v>2674</v>
      </c>
      <c r="E1139" s="9"/>
      <c r="F1139" s="415" t="s">
        <v>5061</v>
      </c>
      <c r="G1139" s="9"/>
      <c r="H1139" s="1">
        <v>2.2141203703703705E-2</v>
      </c>
      <c r="J1139" s="34">
        <v>43302</v>
      </c>
      <c r="K1139" s="334" t="s">
        <v>139</v>
      </c>
    </row>
    <row r="1140" spans="2:13" x14ac:dyDescent="0.2">
      <c r="B1140" s="415">
        <f t="shared" si="105"/>
        <v>426</v>
      </c>
      <c r="C1140" s="415" t="s">
        <v>10282</v>
      </c>
      <c r="E1140" s="9"/>
      <c r="F1140" s="415" t="s">
        <v>654</v>
      </c>
      <c r="G1140" s="9"/>
      <c r="H1140" s="1">
        <v>2.4247685185185181E-2</v>
      </c>
      <c r="J1140" s="34">
        <v>43302</v>
      </c>
      <c r="K1140" s="334" t="s">
        <v>139</v>
      </c>
    </row>
    <row r="1141" spans="2:13" x14ac:dyDescent="0.2">
      <c r="B1141" s="415">
        <f t="shared" si="105"/>
        <v>427</v>
      </c>
      <c r="C1141" s="415" t="s">
        <v>10287</v>
      </c>
      <c r="E1141" s="9"/>
      <c r="F1141" s="415" t="s">
        <v>1440</v>
      </c>
      <c r="G1141" s="9"/>
      <c r="H1141" s="1"/>
      <c r="J1141" s="34">
        <v>43302</v>
      </c>
      <c r="K1141" s="334" t="s">
        <v>10288</v>
      </c>
    </row>
    <row r="1142" spans="2:13" x14ac:dyDescent="0.2">
      <c r="B1142" s="415">
        <f t="shared" si="105"/>
        <v>428</v>
      </c>
      <c r="C1142" s="415" t="s">
        <v>10323</v>
      </c>
      <c r="D1142" s="415"/>
      <c r="E1142" s="415"/>
      <c r="F1142" s="415" t="s">
        <v>4897</v>
      </c>
      <c r="G1142" s="415"/>
      <c r="H1142" s="675"/>
      <c r="I1142" s="675"/>
      <c r="J1142" s="768">
        <v>43239</v>
      </c>
      <c r="K1142" s="80"/>
      <c r="L1142" s="1648">
        <v>412</v>
      </c>
      <c r="M1142" s="80" t="s">
        <v>15187</v>
      </c>
    </row>
    <row r="1143" spans="2:13" x14ac:dyDescent="0.2">
      <c r="B1143" s="415">
        <f t="shared" si="105"/>
        <v>429</v>
      </c>
      <c r="C1143" s="415" t="s">
        <v>5359</v>
      </c>
      <c r="E1143" s="9"/>
      <c r="F1143" s="415" t="s">
        <v>1000</v>
      </c>
      <c r="G1143" s="9"/>
      <c r="H1143" s="1"/>
      <c r="J1143" s="34">
        <v>43309</v>
      </c>
      <c r="K1143" s="334"/>
      <c r="L1143" s="9">
        <v>431</v>
      </c>
    </row>
    <row r="1144" spans="2:13" x14ac:dyDescent="0.2">
      <c r="B1144" s="415">
        <f t="shared" si="105"/>
        <v>430</v>
      </c>
      <c r="C1144" s="415" t="s">
        <v>10272</v>
      </c>
      <c r="E1144" s="9"/>
      <c r="F1144" s="415" t="s">
        <v>4778</v>
      </c>
      <c r="G1144" s="9"/>
      <c r="H1144" s="1"/>
      <c r="J1144" s="34">
        <v>43309</v>
      </c>
      <c r="K1144" s="334"/>
      <c r="L1144" s="9">
        <v>430</v>
      </c>
    </row>
    <row r="1145" spans="2:13" x14ac:dyDescent="0.2">
      <c r="B1145" s="415">
        <f t="shared" ref="B1145:B1182" si="106">B1144+1</f>
        <v>431</v>
      </c>
      <c r="C1145" s="415" t="s">
        <v>539</v>
      </c>
      <c r="E1145" s="9"/>
      <c r="F1145" s="415" t="s">
        <v>9804</v>
      </c>
      <c r="G1145" s="9"/>
      <c r="H1145" s="1"/>
      <c r="J1145" s="34">
        <v>43323</v>
      </c>
      <c r="K1145" s="334"/>
      <c r="L1145" s="9">
        <v>433</v>
      </c>
    </row>
    <row r="1146" spans="2:13" x14ac:dyDescent="0.2">
      <c r="B1146" s="415">
        <f t="shared" si="106"/>
        <v>432</v>
      </c>
      <c r="C1146" s="415" t="s">
        <v>10419</v>
      </c>
      <c r="E1146" s="9"/>
      <c r="F1146" s="415" t="s">
        <v>654</v>
      </c>
      <c r="G1146" s="9"/>
      <c r="H1146" s="1"/>
      <c r="J1146" s="34">
        <v>43323</v>
      </c>
      <c r="L1146" s="9">
        <v>432</v>
      </c>
    </row>
    <row r="1147" spans="2:13" x14ac:dyDescent="0.2">
      <c r="B1147" s="415">
        <f t="shared" si="106"/>
        <v>433</v>
      </c>
      <c r="C1147" s="415" t="s">
        <v>10514</v>
      </c>
      <c r="E1147" s="9"/>
      <c r="F1147" s="415" t="s">
        <v>4322</v>
      </c>
      <c r="G1147" s="9"/>
      <c r="H1147" s="1"/>
      <c r="J1147" s="34">
        <v>43330</v>
      </c>
      <c r="L1147" s="9">
        <v>434</v>
      </c>
    </row>
    <row r="1148" spans="2:13" x14ac:dyDescent="0.2">
      <c r="B1148" s="415">
        <f t="shared" si="106"/>
        <v>434</v>
      </c>
      <c r="C1148" s="415" t="s">
        <v>5834</v>
      </c>
      <c r="E1148" s="9"/>
      <c r="F1148" s="415" t="s">
        <v>10188</v>
      </c>
      <c r="G1148" s="9"/>
      <c r="H1148" s="1"/>
      <c r="J1148" s="34">
        <v>43337</v>
      </c>
      <c r="L1148" s="9">
        <v>436</v>
      </c>
    </row>
    <row r="1149" spans="2:13" x14ac:dyDescent="0.2">
      <c r="B1149" s="415">
        <f t="shared" si="106"/>
        <v>435</v>
      </c>
      <c r="C1149" s="415" t="s">
        <v>5230</v>
      </c>
      <c r="E1149" s="9"/>
      <c r="F1149" s="415" t="s">
        <v>4778</v>
      </c>
      <c r="G1149" s="9"/>
      <c r="H1149" s="1"/>
      <c r="J1149" s="34">
        <v>43337</v>
      </c>
      <c r="L1149" s="9">
        <v>435</v>
      </c>
    </row>
    <row r="1150" spans="2:13" x14ac:dyDescent="0.2">
      <c r="B1150" s="415">
        <f t="shared" si="106"/>
        <v>436</v>
      </c>
      <c r="C1150" s="415" t="s">
        <v>10546</v>
      </c>
      <c r="E1150" s="9"/>
      <c r="F1150" s="415" t="s">
        <v>5882</v>
      </c>
      <c r="G1150" s="9"/>
      <c r="H1150" s="1">
        <v>1.462962962962963E-2</v>
      </c>
      <c r="J1150" s="34">
        <v>43344</v>
      </c>
      <c r="L1150" s="9">
        <v>437</v>
      </c>
    </row>
    <row r="1151" spans="2:13" x14ac:dyDescent="0.2">
      <c r="B1151" s="415">
        <f t="shared" si="106"/>
        <v>437</v>
      </c>
      <c r="C1151" s="415" t="s">
        <v>10545</v>
      </c>
      <c r="E1151" s="9"/>
      <c r="F1151" s="415" t="s">
        <v>1062</v>
      </c>
      <c r="G1151" s="9"/>
      <c r="H1151" s="1">
        <v>2.1851851851851848E-2</v>
      </c>
      <c r="J1151" s="34">
        <v>43344</v>
      </c>
      <c r="L1151" s="9">
        <v>438</v>
      </c>
    </row>
    <row r="1152" spans="2:13" x14ac:dyDescent="0.2">
      <c r="B1152" s="415">
        <f t="shared" si="106"/>
        <v>438</v>
      </c>
      <c r="C1152" s="415" t="s">
        <v>10586</v>
      </c>
      <c r="E1152" s="9"/>
      <c r="F1152" s="415" t="s">
        <v>4239</v>
      </c>
      <c r="G1152" s="9"/>
      <c r="H1152" s="1">
        <v>2.1539351851851851E-2</v>
      </c>
      <c r="J1152" s="34">
        <v>43351</v>
      </c>
      <c r="L1152" s="9">
        <v>439</v>
      </c>
    </row>
    <row r="1153" spans="2:13" x14ac:dyDescent="0.2">
      <c r="B1153" s="415">
        <f t="shared" si="106"/>
        <v>439</v>
      </c>
      <c r="C1153" s="415" t="s">
        <v>10624</v>
      </c>
      <c r="E1153" s="9"/>
      <c r="F1153" s="415" t="s">
        <v>8441</v>
      </c>
      <c r="G1153" s="9"/>
      <c r="H1153" s="1">
        <v>2.2523148148148143E-2</v>
      </c>
      <c r="J1153" s="34">
        <v>43351</v>
      </c>
      <c r="L1153" s="9">
        <v>440</v>
      </c>
    </row>
    <row r="1154" spans="2:13" x14ac:dyDescent="0.2">
      <c r="B1154" s="415">
        <f t="shared" si="106"/>
        <v>440</v>
      </c>
      <c r="C1154" s="415" t="s">
        <v>1021</v>
      </c>
      <c r="D1154" s="80"/>
      <c r="E1154" s="9"/>
      <c r="F1154" s="415" t="s">
        <v>9840</v>
      </c>
      <c r="G1154" s="9"/>
      <c r="H1154" s="1"/>
      <c r="J1154" s="34">
        <v>43358</v>
      </c>
      <c r="L1154" s="9">
        <v>441</v>
      </c>
    </row>
    <row r="1155" spans="2:13" x14ac:dyDescent="0.2">
      <c r="B1155" s="415">
        <f t="shared" si="106"/>
        <v>441</v>
      </c>
      <c r="C1155" s="415" t="s">
        <v>10666</v>
      </c>
      <c r="E1155" s="9"/>
      <c r="F1155" s="415" t="s">
        <v>756</v>
      </c>
      <c r="G1155" s="9"/>
      <c r="H1155" s="334" t="s">
        <v>10712</v>
      </c>
      <c r="J1155" s="34">
        <v>43365</v>
      </c>
      <c r="L1155" s="9">
        <v>443</v>
      </c>
    </row>
    <row r="1156" spans="2:13" x14ac:dyDescent="0.2">
      <c r="B1156" s="415">
        <f t="shared" si="106"/>
        <v>442</v>
      </c>
      <c r="C1156" s="415" t="s">
        <v>10667</v>
      </c>
      <c r="E1156" s="9"/>
      <c r="F1156" s="415" t="s">
        <v>1000</v>
      </c>
      <c r="G1156" s="9"/>
      <c r="H1156" s="334" t="s">
        <v>10713</v>
      </c>
      <c r="J1156" s="34">
        <v>43365</v>
      </c>
      <c r="L1156" s="9">
        <v>442</v>
      </c>
    </row>
    <row r="1157" spans="2:13" x14ac:dyDescent="0.2">
      <c r="B1157" s="415">
        <f t="shared" si="106"/>
        <v>443</v>
      </c>
      <c r="C1157" s="415" t="s">
        <v>10738</v>
      </c>
      <c r="E1157" s="9"/>
      <c r="F1157" s="415" t="s">
        <v>756</v>
      </c>
      <c r="G1157" s="9"/>
      <c r="H1157" s="1"/>
      <c r="J1157" s="34">
        <v>43372</v>
      </c>
      <c r="L1157" s="9">
        <v>444</v>
      </c>
    </row>
    <row r="1158" spans="2:13" x14ac:dyDescent="0.2">
      <c r="B1158" s="415">
        <f t="shared" si="106"/>
        <v>444</v>
      </c>
      <c r="C1158" s="415" t="s">
        <v>10744</v>
      </c>
      <c r="E1158" s="9"/>
      <c r="F1158" s="415" t="s">
        <v>6180</v>
      </c>
      <c r="G1158" s="9"/>
      <c r="H1158" s="334" t="s">
        <v>10745</v>
      </c>
      <c r="J1158" s="34">
        <v>43379</v>
      </c>
      <c r="L1158" s="9">
        <v>445</v>
      </c>
    </row>
    <row r="1159" spans="2:13" x14ac:dyDescent="0.2">
      <c r="B1159" s="415">
        <f t="shared" si="106"/>
        <v>445</v>
      </c>
      <c r="C1159" s="415" t="s">
        <v>10775</v>
      </c>
      <c r="E1159" s="9"/>
      <c r="F1159" s="415" t="s">
        <v>5882</v>
      </c>
      <c r="G1159" s="9"/>
      <c r="H1159" s="334" t="s">
        <v>10713</v>
      </c>
      <c r="J1159" s="34">
        <v>43379</v>
      </c>
      <c r="L1159" s="9">
        <v>446</v>
      </c>
      <c r="M1159" s="547" t="s">
        <v>15186</v>
      </c>
    </row>
    <row r="1160" spans="2:13" x14ac:dyDescent="0.2">
      <c r="B1160" s="415">
        <f t="shared" si="106"/>
        <v>446</v>
      </c>
      <c r="C1160" s="415" t="s">
        <v>10479</v>
      </c>
      <c r="E1160" s="9"/>
      <c r="F1160" s="415" t="s">
        <v>1000</v>
      </c>
      <c r="G1160" s="9"/>
      <c r="H1160" s="334"/>
      <c r="J1160" s="34">
        <v>43393</v>
      </c>
      <c r="L1160" s="9">
        <v>448</v>
      </c>
    </row>
    <row r="1161" spans="2:13" x14ac:dyDescent="0.2">
      <c r="B1161" s="415">
        <f t="shared" si="106"/>
        <v>447</v>
      </c>
      <c r="C1161" s="532" t="s">
        <v>4148</v>
      </c>
      <c r="E1161" s="9"/>
      <c r="F1161" s="532" t="s">
        <v>9806</v>
      </c>
      <c r="G1161" s="9"/>
      <c r="H1161" s="334" t="s">
        <v>10897</v>
      </c>
      <c r="I1161" s="1">
        <v>1.8958333333333334E-2</v>
      </c>
      <c r="J1161" s="34">
        <v>43400</v>
      </c>
    </row>
    <row r="1162" spans="2:13" x14ac:dyDescent="0.2">
      <c r="B1162" s="415">
        <f t="shared" si="106"/>
        <v>448</v>
      </c>
      <c r="C1162" s="532" t="s">
        <v>10894</v>
      </c>
      <c r="E1162" s="9"/>
      <c r="F1162" s="532" t="s">
        <v>5882</v>
      </c>
      <c r="G1162" s="9"/>
      <c r="H1162" s="334" t="s">
        <v>10896</v>
      </c>
      <c r="I1162" s="1">
        <v>1.5983796296296295E-2</v>
      </c>
      <c r="J1162" s="34">
        <v>43400</v>
      </c>
    </row>
    <row r="1163" spans="2:13" x14ac:dyDescent="0.2">
      <c r="B1163" s="415">
        <f t="shared" si="106"/>
        <v>449</v>
      </c>
      <c r="C1163" s="532" t="s">
        <v>10880</v>
      </c>
      <c r="E1163" s="9"/>
      <c r="F1163" s="532" t="s">
        <v>10895</v>
      </c>
      <c r="G1163" s="9"/>
      <c r="H1163" s="334" t="s">
        <v>10896</v>
      </c>
      <c r="I1163" s="1">
        <v>2.1053240740740744E-2</v>
      </c>
      <c r="J1163" s="34">
        <v>43400</v>
      </c>
    </row>
    <row r="1164" spans="2:13" x14ac:dyDescent="0.2">
      <c r="B1164" s="415">
        <f t="shared" si="106"/>
        <v>450</v>
      </c>
      <c r="C1164" s="532" t="s">
        <v>10793</v>
      </c>
      <c r="E1164" s="9"/>
      <c r="F1164" s="532" t="s">
        <v>9179</v>
      </c>
      <c r="G1164" s="9"/>
      <c r="H1164" s="334"/>
      <c r="J1164" s="34">
        <v>43414</v>
      </c>
    </row>
    <row r="1165" spans="2:13" x14ac:dyDescent="0.2">
      <c r="B1165" s="415">
        <f t="shared" si="106"/>
        <v>451</v>
      </c>
      <c r="C1165" s="532" t="s">
        <v>11020</v>
      </c>
      <c r="E1165" s="9"/>
      <c r="F1165" s="532" t="s">
        <v>11021</v>
      </c>
      <c r="G1165" s="9"/>
      <c r="H1165" s="334" t="s">
        <v>11022</v>
      </c>
      <c r="I1165" s="1">
        <v>2.0405092592592593E-2</v>
      </c>
      <c r="J1165" s="34">
        <v>43421</v>
      </c>
    </row>
    <row r="1166" spans="2:13" x14ac:dyDescent="0.2">
      <c r="B1166" s="415">
        <f t="shared" si="106"/>
        <v>452</v>
      </c>
      <c r="C1166" s="532" t="s">
        <v>5942</v>
      </c>
      <c r="E1166" s="9"/>
      <c r="F1166" s="532" t="s">
        <v>1270</v>
      </c>
      <c r="G1166" s="9"/>
      <c r="H1166" s="334" t="s">
        <v>5307</v>
      </c>
      <c r="I1166" s="114">
        <v>1.6354166666666666E-2</v>
      </c>
      <c r="J1166" s="34">
        <v>43421</v>
      </c>
    </row>
    <row r="1167" spans="2:13" x14ac:dyDescent="0.2">
      <c r="B1167" s="415">
        <f t="shared" si="106"/>
        <v>453</v>
      </c>
      <c r="C1167" s="532" t="s">
        <v>10983</v>
      </c>
      <c r="E1167" s="9"/>
      <c r="F1167" s="532" t="s">
        <v>11062</v>
      </c>
      <c r="G1167" s="9"/>
      <c r="H1167" s="334" t="s">
        <v>5307</v>
      </c>
      <c r="I1167" s="1">
        <v>1.7037037037037038E-2</v>
      </c>
      <c r="J1167" s="34">
        <v>43421</v>
      </c>
    </row>
    <row r="1168" spans="2:13" x14ac:dyDescent="0.2">
      <c r="B1168" s="415">
        <f t="shared" si="106"/>
        <v>454</v>
      </c>
      <c r="C1168" s="532" t="s">
        <v>11079</v>
      </c>
      <c r="E1168" s="9"/>
      <c r="F1168" s="532" t="s">
        <v>1000</v>
      </c>
      <c r="G1168" s="9"/>
      <c r="H1168" s="334" t="s">
        <v>11080</v>
      </c>
      <c r="I1168" s="1">
        <v>2.0335648148148148E-2</v>
      </c>
      <c r="J1168" s="34">
        <v>43428</v>
      </c>
    </row>
    <row r="1169" spans="1:13" x14ac:dyDescent="0.2">
      <c r="B1169" s="415">
        <f t="shared" si="106"/>
        <v>455</v>
      </c>
      <c r="C1169" s="532" t="s">
        <v>11091</v>
      </c>
      <c r="E1169" s="9"/>
      <c r="F1169" s="532" t="s">
        <v>756</v>
      </c>
      <c r="G1169" s="9"/>
      <c r="H1169" s="334" t="s">
        <v>11092</v>
      </c>
      <c r="I1169" s="1">
        <v>1.9976851851851853E-2</v>
      </c>
      <c r="J1169" s="34">
        <v>43428</v>
      </c>
    </row>
    <row r="1170" spans="1:13" x14ac:dyDescent="0.2">
      <c r="B1170" s="415">
        <f t="shared" si="106"/>
        <v>456</v>
      </c>
      <c r="C1170" s="532" t="s">
        <v>11154</v>
      </c>
      <c r="E1170" s="9"/>
      <c r="F1170" s="532" t="s">
        <v>1000</v>
      </c>
      <c r="G1170" s="9"/>
      <c r="H1170" s="334"/>
      <c r="J1170" s="34">
        <v>43442</v>
      </c>
    </row>
    <row r="1171" spans="1:13" x14ac:dyDescent="0.2">
      <c r="B1171" s="415">
        <f t="shared" si="106"/>
        <v>457</v>
      </c>
      <c r="C1171" s="532" t="s">
        <v>10655</v>
      </c>
      <c r="E1171" s="9"/>
      <c r="F1171" s="532" t="s">
        <v>5573</v>
      </c>
      <c r="G1171" s="9"/>
      <c r="H1171" s="334"/>
      <c r="I1171" s="1">
        <v>1.8090277777777778E-2</v>
      </c>
      <c r="J1171" s="34">
        <v>43449</v>
      </c>
    </row>
    <row r="1172" spans="1:13" x14ac:dyDescent="0.2">
      <c r="B1172" s="415">
        <f t="shared" si="106"/>
        <v>458</v>
      </c>
      <c r="C1172" s="532" t="s">
        <v>4200</v>
      </c>
      <c r="E1172" s="9"/>
      <c r="F1172" s="532" t="s">
        <v>4637</v>
      </c>
      <c r="G1172" s="9"/>
      <c r="H1172" s="334"/>
      <c r="I1172" s="1">
        <v>1.8553240740740742E-2</v>
      </c>
      <c r="J1172" s="34">
        <v>43449</v>
      </c>
    </row>
    <row r="1173" spans="1:13" x14ac:dyDescent="0.2">
      <c r="B1173" s="415">
        <f t="shared" si="106"/>
        <v>459</v>
      </c>
      <c r="C1173" s="532" t="s">
        <v>11405</v>
      </c>
      <c r="E1173" s="9"/>
      <c r="F1173" s="532" t="s">
        <v>4637</v>
      </c>
      <c r="G1173" s="9"/>
      <c r="H1173" s="1"/>
      <c r="I1173" s="1">
        <v>1.9340277777777779E-2</v>
      </c>
      <c r="J1173" s="34">
        <v>43463</v>
      </c>
      <c r="L1173" s="9">
        <v>461</v>
      </c>
    </row>
    <row r="1174" spans="1:13" x14ac:dyDescent="0.2">
      <c r="B1174" s="415">
        <f t="shared" si="106"/>
        <v>460</v>
      </c>
      <c r="C1174" s="532" t="s">
        <v>9218</v>
      </c>
      <c r="E1174" s="9"/>
      <c r="F1174" s="532" t="s">
        <v>1000</v>
      </c>
      <c r="G1174" s="9"/>
      <c r="H1174" s="1"/>
      <c r="I1174" s="1">
        <v>2.1562499999999998E-2</v>
      </c>
      <c r="J1174" s="34">
        <v>43463</v>
      </c>
      <c r="L1174" s="9">
        <v>463</v>
      </c>
    </row>
    <row r="1175" spans="1:13" x14ac:dyDescent="0.2">
      <c r="A1175" s="115"/>
      <c r="B1175" s="1768">
        <f t="shared" si="106"/>
        <v>461</v>
      </c>
      <c r="C1175" s="1769" t="s">
        <v>11408</v>
      </c>
      <c r="D1175" s="115"/>
      <c r="E1175" s="1770"/>
      <c r="F1175" s="1769" t="s">
        <v>9805</v>
      </c>
      <c r="G1175" s="1770"/>
      <c r="H1175" s="168"/>
      <c r="I1175" s="168">
        <v>2.4305555555555556E-2</v>
      </c>
      <c r="J1175" s="141">
        <v>43463</v>
      </c>
      <c r="K1175" s="168"/>
      <c r="L1175" s="1770">
        <v>462</v>
      </c>
      <c r="M1175" s="1771"/>
    </row>
    <row r="1176" spans="1:13" x14ac:dyDescent="0.2">
      <c r="B1176" s="415">
        <f t="shared" si="106"/>
        <v>462</v>
      </c>
      <c r="C1176" s="532" t="s">
        <v>11552</v>
      </c>
      <c r="E1176" s="9"/>
      <c r="F1176" s="532" t="s">
        <v>1000</v>
      </c>
      <c r="G1176" s="9"/>
      <c r="H1176" s="1" t="s">
        <v>11592</v>
      </c>
      <c r="I1176" s="1">
        <v>2.0763888888888887E-2</v>
      </c>
      <c r="J1176" s="34">
        <v>43477</v>
      </c>
    </row>
    <row r="1177" spans="1:13" x14ac:dyDescent="0.2">
      <c r="B1177" s="415">
        <f t="shared" si="106"/>
        <v>463</v>
      </c>
      <c r="C1177" s="532" t="s">
        <v>11010</v>
      </c>
      <c r="E1177" s="9"/>
      <c r="F1177" s="532" t="s">
        <v>748</v>
      </c>
      <c r="G1177" s="9"/>
      <c r="H1177" s="1"/>
      <c r="I1177" s="1">
        <v>2.5694444444444447E-2</v>
      </c>
      <c r="J1177" s="34">
        <v>43477</v>
      </c>
    </row>
    <row r="1178" spans="1:13" x14ac:dyDescent="0.2">
      <c r="B1178" s="415">
        <f t="shared" si="106"/>
        <v>464</v>
      </c>
      <c r="C1178" s="532" t="s">
        <v>11561</v>
      </c>
      <c r="E1178" s="9"/>
      <c r="F1178" s="532" t="s">
        <v>8441</v>
      </c>
      <c r="G1178" s="9"/>
      <c r="H1178" s="1"/>
      <c r="J1178" s="34">
        <v>43484</v>
      </c>
      <c r="L1178" s="9">
        <v>466</v>
      </c>
    </row>
    <row r="1179" spans="1:13" x14ac:dyDescent="0.2">
      <c r="B1179" s="415">
        <f t="shared" si="106"/>
        <v>465</v>
      </c>
      <c r="C1179" s="532" t="s">
        <v>11734</v>
      </c>
      <c r="E1179" s="9"/>
      <c r="F1179" s="532" t="s">
        <v>756</v>
      </c>
      <c r="G1179" s="9">
        <v>1</v>
      </c>
      <c r="H1179" s="1" t="s">
        <v>11022</v>
      </c>
      <c r="I1179" s="1">
        <v>2.0474537037037038E-2</v>
      </c>
      <c r="J1179" s="34">
        <v>43498</v>
      </c>
    </row>
    <row r="1180" spans="1:13" x14ac:dyDescent="0.2">
      <c r="B1180" s="415">
        <f t="shared" si="106"/>
        <v>466</v>
      </c>
      <c r="C1180" s="532" t="s">
        <v>2960</v>
      </c>
      <c r="E1180" s="9"/>
      <c r="F1180" s="532" t="s">
        <v>5096</v>
      </c>
      <c r="G1180" s="9">
        <v>2</v>
      </c>
      <c r="H1180" s="1"/>
      <c r="I1180" s="1">
        <v>1.462962962962963E-2</v>
      </c>
      <c r="J1180" s="34">
        <v>43498</v>
      </c>
    </row>
    <row r="1181" spans="1:13" x14ac:dyDescent="0.2">
      <c r="B1181" s="415">
        <f t="shared" si="106"/>
        <v>467</v>
      </c>
      <c r="C1181" s="532" t="s">
        <v>4543</v>
      </c>
      <c r="E1181" s="9"/>
      <c r="F1181" s="532" t="s">
        <v>9179</v>
      </c>
      <c r="G1181" s="9">
        <v>3</v>
      </c>
      <c r="H1181" s="1"/>
      <c r="J1181" s="34">
        <v>43498</v>
      </c>
    </row>
    <row r="1182" spans="1:13" x14ac:dyDescent="0.2">
      <c r="B1182" s="415">
        <f t="shared" si="106"/>
        <v>468</v>
      </c>
      <c r="C1182" s="532" t="s">
        <v>11783</v>
      </c>
      <c r="E1182" s="9"/>
      <c r="F1182" s="532" t="s">
        <v>756</v>
      </c>
      <c r="G1182" s="9"/>
      <c r="H1182" s="1"/>
      <c r="J1182" s="34">
        <v>43505</v>
      </c>
    </row>
    <row r="1183" spans="1:13" ht="13.5" customHeight="1" x14ac:dyDescent="0.2">
      <c r="B1183" s="415"/>
      <c r="C1183" s="869" t="s">
        <v>11766</v>
      </c>
      <c r="D1183" s="627"/>
      <c r="E1183" s="1456"/>
      <c r="F1183" s="869" t="s">
        <v>11767</v>
      </c>
      <c r="G1183" s="1456"/>
      <c r="H1183" s="1459"/>
      <c r="I1183" s="1459"/>
      <c r="J1183" s="1460">
        <v>43505</v>
      </c>
      <c r="K1183" s="3" t="s">
        <v>12641</v>
      </c>
    </row>
    <row r="1184" spans="1:13" ht="13.5" customHeight="1" x14ac:dyDescent="0.2">
      <c r="B1184" s="415">
        <f>B1182+1</f>
        <v>469</v>
      </c>
      <c r="C1184" s="532" t="s">
        <v>11838</v>
      </c>
      <c r="E1184" s="9"/>
      <c r="F1184" s="532" t="s">
        <v>756</v>
      </c>
      <c r="G1184" s="9"/>
      <c r="H1184" s="334" t="s">
        <v>11022</v>
      </c>
      <c r="J1184" s="34">
        <v>43512</v>
      </c>
    </row>
    <row r="1185" spans="1:12" ht="13.5" customHeight="1" x14ac:dyDescent="0.2">
      <c r="B1185" s="415">
        <f>B1184+1</f>
        <v>470</v>
      </c>
      <c r="C1185" s="532" t="s">
        <v>11815</v>
      </c>
      <c r="E1185" s="9"/>
      <c r="F1185" s="532" t="s">
        <v>1000</v>
      </c>
      <c r="G1185" s="9"/>
      <c r="H1185" s="1"/>
      <c r="J1185" s="34">
        <v>43512</v>
      </c>
    </row>
    <row r="1186" spans="1:12" ht="13.5" customHeight="1" x14ac:dyDescent="0.2">
      <c r="B1186" s="415">
        <f t="shared" ref="B1186:B1211" si="107">B1185+1</f>
        <v>471</v>
      </c>
      <c r="C1186" s="532" t="s">
        <v>11869</v>
      </c>
      <c r="E1186" s="9"/>
      <c r="F1186" s="532" t="s">
        <v>1000</v>
      </c>
      <c r="G1186" s="9"/>
      <c r="H1186" s="1"/>
      <c r="J1186" s="34">
        <v>43519</v>
      </c>
    </row>
    <row r="1187" spans="1:12" ht="13.5" customHeight="1" x14ac:dyDescent="0.2">
      <c r="B1187" s="415">
        <f t="shared" si="107"/>
        <v>472</v>
      </c>
      <c r="C1187" s="532" t="s">
        <v>11865</v>
      </c>
      <c r="E1187" s="9"/>
      <c r="F1187" s="532" t="s">
        <v>756</v>
      </c>
      <c r="G1187" s="9"/>
      <c r="H1187" s="1"/>
      <c r="J1187" s="34">
        <v>43519</v>
      </c>
    </row>
    <row r="1188" spans="1:12" ht="13.5" customHeight="1" x14ac:dyDescent="0.2">
      <c r="B1188" s="415">
        <f t="shared" si="107"/>
        <v>473</v>
      </c>
      <c r="C1188" s="532" t="s">
        <v>11907</v>
      </c>
      <c r="E1188" s="9"/>
      <c r="F1188" s="532" t="s">
        <v>5881</v>
      </c>
      <c r="G1188" s="9"/>
      <c r="H1188" s="1"/>
      <c r="J1188" s="34">
        <v>43526</v>
      </c>
      <c r="L1188" s="9">
        <v>475</v>
      </c>
    </row>
    <row r="1189" spans="1:12" ht="13.5" customHeight="1" x14ac:dyDescent="0.2">
      <c r="A1189">
        <v>1669</v>
      </c>
      <c r="B1189" s="415">
        <f t="shared" si="107"/>
        <v>474</v>
      </c>
      <c r="C1189" s="532" t="s">
        <v>12007</v>
      </c>
      <c r="E1189" s="9"/>
      <c r="F1189" s="532" t="s">
        <v>1000</v>
      </c>
      <c r="G1189" s="9"/>
      <c r="H1189" s="334" t="s">
        <v>12012</v>
      </c>
      <c r="J1189" s="34">
        <v>43533</v>
      </c>
    </row>
    <row r="1190" spans="1:12" ht="13.5" customHeight="1" x14ac:dyDescent="0.2">
      <c r="A1190">
        <v>1802</v>
      </c>
      <c r="B1190" s="415">
        <f t="shared" si="107"/>
        <v>475</v>
      </c>
      <c r="C1190" s="532" t="s">
        <v>12011</v>
      </c>
      <c r="E1190" s="9"/>
      <c r="F1190" s="532" t="s">
        <v>3254</v>
      </c>
      <c r="G1190" s="9"/>
      <c r="H1190" s="1">
        <v>1.9155092592592592E-2</v>
      </c>
      <c r="J1190" s="34">
        <v>43533</v>
      </c>
    </row>
    <row r="1191" spans="1:12" ht="13.5" customHeight="1" x14ac:dyDescent="0.2">
      <c r="A1191">
        <v>467</v>
      </c>
      <c r="B1191" s="415">
        <f t="shared" si="107"/>
        <v>476</v>
      </c>
      <c r="C1191" s="532" t="s">
        <v>667</v>
      </c>
      <c r="E1191" s="9"/>
      <c r="F1191" s="532" t="s">
        <v>9840</v>
      </c>
      <c r="G1191" s="9"/>
      <c r="H1191" s="1">
        <v>2.6736111111111113E-2</v>
      </c>
      <c r="J1191" s="34">
        <v>43533</v>
      </c>
    </row>
    <row r="1192" spans="1:12" ht="13.5" customHeight="1" x14ac:dyDescent="0.2">
      <c r="A1192">
        <v>2079</v>
      </c>
      <c r="B1192" s="415">
        <f t="shared" si="107"/>
        <v>477</v>
      </c>
      <c r="C1192" s="532" t="s">
        <v>12015</v>
      </c>
      <c r="E1192" s="9"/>
      <c r="F1192" s="532" t="s">
        <v>12017</v>
      </c>
      <c r="G1192" s="9"/>
      <c r="H1192" s="334" t="s">
        <v>12018</v>
      </c>
      <c r="J1192" s="34">
        <v>43533</v>
      </c>
    </row>
    <row r="1193" spans="1:12" ht="13.5" customHeight="1" x14ac:dyDescent="0.2">
      <c r="B1193" s="415">
        <f t="shared" si="107"/>
        <v>478</v>
      </c>
      <c r="C1193" s="532" t="s">
        <v>12134</v>
      </c>
      <c r="E1193" s="9"/>
      <c r="F1193" s="532" t="s">
        <v>1000</v>
      </c>
      <c r="G1193" s="9"/>
      <c r="H1193" s="1"/>
      <c r="J1193" s="34">
        <v>43540</v>
      </c>
    </row>
    <row r="1194" spans="1:12" ht="13.5" customHeight="1" x14ac:dyDescent="0.2">
      <c r="A1194">
        <v>2189</v>
      </c>
      <c r="B1194" s="415">
        <f t="shared" si="107"/>
        <v>479</v>
      </c>
      <c r="C1194" s="532" t="s">
        <v>11276</v>
      </c>
      <c r="E1194" s="9"/>
      <c r="F1194" s="532" t="s">
        <v>9553</v>
      </c>
      <c r="G1194" s="9"/>
      <c r="H1194" s="1"/>
      <c r="J1194" s="34">
        <v>43540</v>
      </c>
    </row>
    <row r="1195" spans="1:12" ht="13.5" customHeight="1" x14ac:dyDescent="0.2">
      <c r="B1195" s="415">
        <f t="shared" si="107"/>
        <v>480</v>
      </c>
      <c r="C1195" s="532" t="s">
        <v>11912</v>
      </c>
      <c r="E1195" s="9"/>
      <c r="F1195" s="532" t="s">
        <v>1000</v>
      </c>
      <c r="G1195" s="9"/>
      <c r="H1195" s="1"/>
      <c r="J1195" s="34">
        <v>43547</v>
      </c>
    </row>
    <row r="1196" spans="1:12" ht="13.5" customHeight="1" x14ac:dyDescent="0.2">
      <c r="B1196" s="415">
        <f t="shared" si="107"/>
        <v>481</v>
      </c>
      <c r="C1196" s="532" t="s">
        <v>12246</v>
      </c>
      <c r="E1196" s="9"/>
      <c r="F1196" s="532" t="s">
        <v>1000</v>
      </c>
      <c r="G1196" s="9"/>
      <c r="H1196" s="1"/>
      <c r="J1196" s="34">
        <v>43554</v>
      </c>
    </row>
    <row r="1197" spans="1:12" ht="13.5" customHeight="1" x14ac:dyDescent="0.2">
      <c r="B1197" s="415">
        <f t="shared" si="107"/>
        <v>482</v>
      </c>
      <c r="C1197" s="532" t="s">
        <v>12244</v>
      </c>
      <c r="E1197" s="9"/>
      <c r="F1197" s="532" t="s">
        <v>748</v>
      </c>
      <c r="G1197" s="9"/>
      <c r="H1197" s="1">
        <v>2.4467592592592593E-2</v>
      </c>
      <c r="J1197" s="34">
        <v>43554</v>
      </c>
    </row>
    <row r="1198" spans="1:12" ht="13.5" customHeight="1" x14ac:dyDescent="0.2">
      <c r="B1198" s="415">
        <f t="shared" si="107"/>
        <v>483</v>
      </c>
      <c r="C1198" s="532" t="s">
        <v>12259</v>
      </c>
      <c r="E1198" s="9"/>
      <c r="F1198" s="532" t="s">
        <v>756</v>
      </c>
      <c r="G1198" s="9"/>
      <c r="H1198" s="1"/>
      <c r="J1198" s="34">
        <v>43554</v>
      </c>
    </row>
    <row r="1199" spans="1:12" ht="13.5" customHeight="1" x14ac:dyDescent="0.2">
      <c r="B1199" s="415">
        <f t="shared" si="107"/>
        <v>484</v>
      </c>
      <c r="C1199" s="532" t="s">
        <v>12299</v>
      </c>
      <c r="E1199" s="9"/>
      <c r="F1199" s="532" t="s">
        <v>3254</v>
      </c>
      <c r="G1199" s="9"/>
      <c r="H1199" s="334" t="s">
        <v>12301</v>
      </c>
      <c r="J1199" s="34">
        <v>43561</v>
      </c>
      <c r="L1199" s="9">
        <v>486</v>
      </c>
    </row>
    <row r="1200" spans="1:12" ht="13.5" customHeight="1" x14ac:dyDescent="0.2">
      <c r="B1200" s="415">
        <f t="shared" si="107"/>
        <v>485</v>
      </c>
      <c r="C1200" s="532" t="s">
        <v>12305</v>
      </c>
      <c r="E1200" s="9"/>
      <c r="F1200" s="532" t="s">
        <v>1000</v>
      </c>
      <c r="G1200" s="9"/>
      <c r="H1200" s="334" t="s">
        <v>12317</v>
      </c>
      <c r="J1200" s="34">
        <v>43561</v>
      </c>
      <c r="L1200" s="9">
        <v>487</v>
      </c>
    </row>
    <row r="1201" spans="2:12" ht="13.5" customHeight="1" x14ac:dyDescent="0.2">
      <c r="B1201" s="415">
        <f t="shared" si="107"/>
        <v>486</v>
      </c>
      <c r="C1201" s="532" t="s">
        <v>12216</v>
      </c>
      <c r="E1201" s="9"/>
      <c r="F1201" s="532" t="s">
        <v>4778</v>
      </c>
      <c r="G1201" s="9"/>
      <c r="H1201" s="334" t="s">
        <v>12318</v>
      </c>
      <c r="J1201" s="34">
        <v>43561</v>
      </c>
      <c r="L1201" s="9">
        <v>488</v>
      </c>
    </row>
    <row r="1202" spans="2:12" ht="13.5" customHeight="1" x14ac:dyDescent="0.2">
      <c r="B1202" s="869"/>
      <c r="C1202" s="869" t="s">
        <v>12377</v>
      </c>
      <c r="D1202" s="627"/>
      <c r="E1202" s="1456"/>
      <c r="F1202" s="869" t="s">
        <v>10350</v>
      </c>
      <c r="G1202" s="1456"/>
      <c r="H1202" s="903" t="s">
        <v>12378</v>
      </c>
      <c r="I1202" s="1459"/>
      <c r="J1202" s="1460">
        <v>43568</v>
      </c>
      <c r="K1202" s="334" t="s">
        <v>15184</v>
      </c>
    </row>
    <row r="1203" spans="2:12" ht="13.5" customHeight="1" x14ac:dyDescent="0.2">
      <c r="B1203" s="862">
        <v>487</v>
      </c>
      <c r="C1203" s="532" t="s">
        <v>12385</v>
      </c>
      <c r="E1203" s="9"/>
      <c r="F1203" s="532" t="s">
        <v>9806</v>
      </c>
      <c r="G1203" s="9"/>
      <c r="H1203" s="334" t="s">
        <v>12386</v>
      </c>
      <c r="J1203" s="34">
        <v>43568</v>
      </c>
      <c r="L1203" s="9">
        <v>489</v>
      </c>
    </row>
    <row r="1204" spans="2:12" ht="13.5" customHeight="1" x14ac:dyDescent="0.2">
      <c r="B1204" s="862">
        <f t="shared" si="107"/>
        <v>488</v>
      </c>
      <c r="C1204" s="532" t="s">
        <v>12429</v>
      </c>
      <c r="E1204" s="9"/>
      <c r="F1204" s="532" t="s">
        <v>1000</v>
      </c>
      <c r="G1204" s="9"/>
      <c r="H1204" s="334" t="s">
        <v>12428</v>
      </c>
      <c r="J1204" s="34">
        <v>43568</v>
      </c>
      <c r="L1204" s="9">
        <v>490</v>
      </c>
    </row>
    <row r="1205" spans="2:12" ht="13.5" customHeight="1" x14ac:dyDescent="0.2">
      <c r="B1205" s="862">
        <f t="shared" si="107"/>
        <v>489</v>
      </c>
      <c r="C1205" s="532" t="s">
        <v>10737</v>
      </c>
      <c r="E1205" s="9"/>
      <c r="F1205" s="532" t="s">
        <v>1000</v>
      </c>
      <c r="G1205" s="9"/>
      <c r="H1205" s="1"/>
      <c r="J1205" s="34">
        <v>43575</v>
      </c>
      <c r="L1205" s="1647">
        <v>401</v>
      </c>
    </row>
    <row r="1206" spans="2:12" ht="13.5" customHeight="1" x14ac:dyDescent="0.2">
      <c r="B1206" s="862">
        <f>B1205+1</f>
        <v>490</v>
      </c>
      <c r="C1206" s="532" t="s">
        <v>12577</v>
      </c>
      <c r="E1206" s="9"/>
      <c r="F1206" s="532" t="s">
        <v>756</v>
      </c>
      <c r="G1206" s="9">
        <v>1</v>
      </c>
      <c r="H1206" s="1"/>
      <c r="J1206" s="34">
        <v>43589</v>
      </c>
      <c r="L1206" s="9">
        <v>491</v>
      </c>
    </row>
    <row r="1207" spans="2:12" ht="13.5" customHeight="1" x14ac:dyDescent="0.2">
      <c r="B1207" s="862">
        <f>B1206+1</f>
        <v>491</v>
      </c>
      <c r="C1207" s="80" t="s">
        <v>10798</v>
      </c>
      <c r="E1207" s="9"/>
      <c r="F1207" s="532" t="s">
        <v>6180</v>
      </c>
      <c r="G1207" s="9">
        <v>2</v>
      </c>
      <c r="H1207" s="1"/>
      <c r="J1207" s="34">
        <v>43589</v>
      </c>
      <c r="L1207" s="9">
        <v>492</v>
      </c>
    </row>
    <row r="1208" spans="2:12" ht="13.5" customHeight="1" x14ac:dyDescent="0.2">
      <c r="B1208" s="862">
        <f>B1207+1</f>
        <v>492</v>
      </c>
      <c r="C1208" s="532" t="s">
        <v>12510</v>
      </c>
      <c r="E1208" s="9"/>
      <c r="F1208" s="532" t="s">
        <v>9806</v>
      </c>
      <c r="G1208" s="9">
        <v>3</v>
      </c>
      <c r="H1208" s="1"/>
      <c r="J1208" s="34">
        <v>43589</v>
      </c>
      <c r="L1208" s="9">
        <v>493</v>
      </c>
    </row>
    <row r="1209" spans="2:12" ht="13.5" customHeight="1" x14ac:dyDescent="0.2">
      <c r="B1209" s="862">
        <f>B1208+1</f>
        <v>493</v>
      </c>
      <c r="C1209" s="532" t="s">
        <v>12643</v>
      </c>
      <c r="E1209" s="9"/>
      <c r="F1209" s="532" t="s">
        <v>8441</v>
      </c>
      <c r="G1209" s="9">
        <v>4</v>
      </c>
      <c r="H1209" s="1"/>
      <c r="J1209" s="34">
        <v>43589</v>
      </c>
      <c r="L1209" s="9">
        <v>494</v>
      </c>
    </row>
    <row r="1210" spans="2:12" ht="13.5" customHeight="1" x14ac:dyDescent="0.2">
      <c r="B1210" s="862">
        <f t="shared" si="107"/>
        <v>494</v>
      </c>
      <c r="C1210" s="80" t="s">
        <v>4502</v>
      </c>
      <c r="E1210" s="9"/>
      <c r="F1210" s="532" t="s">
        <v>5097</v>
      </c>
      <c r="G1210" s="9"/>
      <c r="H1210" s="1"/>
      <c r="J1210" s="34">
        <v>43596</v>
      </c>
      <c r="L1210" s="9">
        <v>495</v>
      </c>
    </row>
    <row r="1211" spans="2:12" ht="13.5" customHeight="1" x14ac:dyDescent="0.2">
      <c r="B1211" s="862">
        <f t="shared" si="107"/>
        <v>495</v>
      </c>
      <c r="C1211" s="80" t="s">
        <v>12642</v>
      </c>
      <c r="E1211" s="9"/>
      <c r="F1211" s="532" t="s">
        <v>1000</v>
      </c>
      <c r="G1211" s="9"/>
      <c r="H1211" s="1"/>
      <c r="J1211" s="34">
        <v>43596</v>
      </c>
      <c r="L1211" s="9">
        <v>496</v>
      </c>
    </row>
    <row r="1212" spans="2:12" ht="13.5" customHeight="1" x14ac:dyDescent="0.2">
      <c r="B1212" s="1066">
        <f>B1211+1</f>
        <v>496</v>
      </c>
      <c r="C1212" s="80" t="s">
        <v>12698</v>
      </c>
      <c r="E1212" s="9"/>
      <c r="F1212" s="532" t="s">
        <v>5573</v>
      </c>
      <c r="G1212" s="9"/>
      <c r="H1212" s="1"/>
      <c r="J1212" s="34">
        <v>43610</v>
      </c>
      <c r="L1212" s="9">
        <v>497</v>
      </c>
    </row>
    <row r="1213" spans="2:12" ht="13.5" customHeight="1" x14ac:dyDescent="0.2">
      <c r="B1213" s="1066">
        <f t="shared" ref="B1213:B1231" si="108">B1212+1</f>
        <v>497</v>
      </c>
      <c r="C1213" s="80" t="s">
        <v>11855</v>
      </c>
      <c r="D1213" s="80"/>
      <c r="E1213" s="9"/>
      <c r="F1213" s="532" t="s">
        <v>5881</v>
      </c>
      <c r="G1213" s="9"/>
      <c r="H1213" s="1" t="s">
        <v>12916</v>
      </c>
      <c r="I1213" s="1">
        <v>1.6249999999999997E-2</v>
      </c>
      <c r="J1213" s="34">
        <v>43617</v>
      </c>
      <c r="L1213" s="9">
        <v>498</v>
      </c>
    </row>
    <row r="1214" spans="2:12" ht="13.5" customHeight="1" x14ac:dyDescent="0.2">
      <c r="B1214" s="1066">
        <f t="shared" si="108"/>
        <v>498</v>
      </c>
      <c r="C1214" s="80" t="s">
        <v>12775</v>
      </c>
      <c r="E1214" s="9"/>
      <c r="F1214" s="532" t="s">
        <v>1062</v>
      </c>
      <c r="G1214" s="9"/>
      <c r="H1214" s="1" t="s">
        <v>12916</v>
      </c>
      <c r="I1214" s="1">
        <v>2.3159722222222224E-2</v>
      </c>
      <c r="J1214" s="34">
        <v>43617</v>
      </c>
      <c r="L1214" s="9">
        <v>499</v>
      </c>
    </row>
    <row r="1215" spans="2:12" ht="13.5" customHeight="1" x14ac:dyDescent="0.2">
      <c r="B1215" s="1066">
        <f t="shared" si="108"/>
        <v>499</v>
      </c>
      <c r="C1215" s="80" t="s">
        <v>12711</v>
      </c>
      <c r="E1215" s="9"/>
      <c r="F1215" s="80" t="s">
        <v>4778</v>
      </c>
      <c r="G1215" s="9"/>
      <c r="H1215" s="1" t="s">
        <v>12916</v>
      </c>
      <c r="I1215" s="1">
        <v>2.7407407407407408E-2</v>
      </c>
      <c r="J1215" s="34">
        <v>43617</v>
      </c>
      <c r="L1215" s="9">
        <v>500</v>
      </c>
    </row>
    <row r="1216" spans="2:12" ht="13.5" customHeight="1" x14ac:dyDescent="0.2">
      <c r="B1216" s="1066">
        <f t="shared" si="108"/>
        <v>500</v>
      </c>
      <c r="C1216" s="80" t="s">
        <v>12937</v>
      </c>
      <c r="E1216" s="9"/>
      <c r="F1216" s="532" t="s">
        <v>4637</v>
      </c>
      <c r="G1216" s="9"/>
      <c r="H1216" s="1" t="s">
        <v>12936</v>
      </c>
      <c r="I1216" s="1">
        <v>2.0381944444444446E-2</v>
      </c>
      <c r="J1216" s="34">
        <v>43617</v>
      </c>
      <c r="L1216" s="9">
        <v>501</v>
      </c>
    </row>
    <row r="1217" spans="2:12" ht="12.75" customHeight="1" x14ac:dyDescent="0.2">
      <c r="B1217" s="1066">
        <f t="shared" si="108"/>
        <v>501</v>
      </c>
      <c r="C1217" s="80" t="s">
        <v>12935</v>
      </c>
      <c r="E1217" s="9"/>
      <c r="F1217" s="532" t="s">
        <v>1000</v>
      </c>
      <c r="G1217" s="9"/>
      <c r="H1217" s="1" t="s">
        <v>12936</v>
      </c>
      <c r="I1217" s="1">
        <v>2.3298611111111107E-2</v>
      </c>
      <c r="J1217" s="34">
        <v>43617</v>
      </c>
      <c r="L1217" s="9">
        <v>502</v>
      </c>
    </row>
    <row r="1218" spans="2:12" ht="13.5" customHeight="1" x14ac:dyDescent="0.2">
      <c r="B1218" s="1066">
        <f t="shared" si="108"/>
        <v>502</v>
      </c>
      <c r="C1218" s="80" t="s">
        <v>12900</v>
      </c>
      <c r="E1218" s="9"/>
      <c r="F1218" s="80" t="s">
        <v>8441</v>
      </c>
      <c r="G1218" s="9"/>
      <c r="H1218" s="334" t="s">
        <v>12902</v>
      </c>
      <c r="I1218" s="1">
        <v>2.3946759259259261E-2</v>
      </c>
      <c r="J1218" s="34">
        <v>43631</v>
      </c>
      <c r="L1218" s="9">
        <v>503</v>
      </c>
    </row>
    <row r="1219" spans="2:12" ht="13.5" customHeight="1" x14ac:dyDescent="0.2">
      <c r="B1219" s="1066">
        <f t="shared" si="108"/>
        <v>503</v>
      </c>
      <c r="C1219" s="80" t="s">
        <v>12914</v>
      </c>
      <c r="E1219" s="9"/>
      <c r="F1219" s="80" t="s">
        <v>2334</v>
      </c>
      <c r="G1219" s="9"/>
      <c r="H1219" s="1" t="s">
        <v>12916</v>
      </c>
      <c r="I1219" s="1">
        <v>1.3263888888888889E-2</v>
      </c>
      <c r="J1219" s="34">
        <v>43631</v>
      </c>
      <c r="L1219" s="9">
        <v>504</v>
      </c>
    </row>
    <row r="1220" spans="2:12" ht="13.5" customHeight="1" x14ac:dyDescent="0.2">
      <c r="B1220" s="1066">
        <f t="shared" si="108"/>
        <v>504</v>
      </c>
      <c r="C1220" s="80" t="s">
        <v>11991</v>
      </c>
      <c r="E1220" s="9"/>
      <c r="F1220" s="80" t="s">
        <v>5096</v>
      </c>
      <c r="G1220" s="9"/>
      <c r="H1220" s="1" t="s">
        <v>12916</v>
      </c>
      <c r="I1220" s="1">
        <v>1.4351851851851852E-2</v>
      </c>
      <c r="J1220" s="34">
        <v>43631</v>
      </c>
      <c r="L1220" s="9">
        <v>505</v>
      </c>
    </row>
    <row r="1221" spans="2:12" ht="13.5" customHeight="1" x14ac:dyDescent="0.2">
      <c r="B1221" s="1066">
        <f t="shared" si="108"/>
        <v>505</v>
      </c>
      <c r="C1221" s="80" t="s">
        <v>12915</v>
      </c>
      <c r="E1221" s="9"/>
      <c r="F1221" s="80" t="s">
        <v>1000</v>
      </c>
      <c r="G1221" s="9"/>
      <c r="H1221" s="1" t="s">
        <v>12916</v>
      </c>
      <c r="I1221" s="1">
        <v>1.9143518518518518E-2</v>
      </c>
      <c r="J1221" s="34">
        <v>43631</v>
      </c>
      <c r="L1221" s="9">
        <v>506</v>
      </c>
    </row>
    <row r="1222" spans="2:12" ht="13.5" customHeight="1" x14ac:dyDescent="0.2">
      <c r="B1222" s="1066">
        <f t="shared" si="108"/>
        <v>506</v>
      </c>
      <c r="C1222" s="80" t="s">
        <v>13031</v>
      </c>
      <c r="E1222" s="9"/>
      <c r="F1222" s="80" t="s">
        <v>4584</v>
      </c>
      <c r="G1222" s="9"/>
      <c r="H1222" s="1"/>
      <c r="J1222" s="34">
        <v>43645</v>
      </c>
      <c r="L1222" s="9">
        <v>507</v>
      </c>
    </row>
    <row r="1223" spans="2:12" ht="13.5" customHeight="1" x14ac:dyDescent="0.2">
      <c r="B1223" s="1066">
        <f t="shared" si="108"/>
        <v>507</v>
      </c>
      <c r="C1223" s="80" t="s">
        <v>13041</v>
      </c>
      <c r="E1223" s="9"/>
      <c r="F1223" s="80" t="s">
        <v>756</v>
      </c>
      <c r="G1223" s="9"/>
      <c r="H1223" s="1"/>
      <c r="J1223" s="34">
        <v>43645</v>
      </c>
      <c r="L1223" s="9">
        <v>508</v>
      </c>
    </row>
    <row r="1224" spans="2:12" ht="13.5" customHeight="1" x14ac:dyDescent="0.2">
      <c r="B1224" s="1066">
        <f t="shared" si="108"/>
        <v>508</v>
      </c>
      <c r="C1224" s="80" t="s">
        <v>13085</v>
      </c>
      <c r="E1224" s="9"/>
      <c r="F1224" s="80" t="s">
        <v>756</v>
      </c>
      <c r="G1224" s="9"/>
      <c r="H1224" s="1"/>
      <c r="J1224" s="34">
        <v>43652</v>
      </c>
      <c r="L1224" s="9">
        <v>509</v>
      </c>
    </row>
    <row r="1225" spans="2:12" ht="13.5" customHeight="1" x14ac:dyDescent="0.2">
      <c r="B1225" s="1066">
        <f t="shared" si="108"/>
        <v>509</v>
      </c>
      <c r="C1225" s="80" t="s">
        <v>13123</v>
      </c>
      <c r="E1225" s="9"/>
      <c r="F1225" s="80" t="s">
        <v>5881</v>
      </c>
      <c r="G1225" s="9"/>
      <c r="H1225" s="1"/>
      <c r="J1225" s="34">
        <v>43659</v>
      </c>
      <c r="L1225" s="9">
        <v>510</v>
      </c>
    </row>
    <row r="1226" spans="2:12" ht="13.5" customHeight="1" x14ac:dyDescent="0.2">
      <c r="B1226" s="1066">
        <f t="shared" si="108"/>
        <v>510</v>
      </c>
      <c r="C1226" s="80" t="s">
        <v>13182</v>
      </c>
      <c r="E1226" s="9"/>
      <c r="F1226" s="80" t="s">
        <v>5882</v>
      </c>
      <c r="G1226" s="9"/>
      <c r="H1226" s="1"/>
      <c r="J1226" s="34">
        <v>43666</v>
      </c>
      <c r="L1226" s="9">
        <v>511</v>
      </c>
    </row>
    <row r="1227" spans="2:12" ht="13.5" customHeight="1" x14ac:dyDescent="0.2">
      <c r="B1227" s="1066">
        <f t="shared" si="108"/>
        <v>511</v>
      </c>
      <c r="C1227" s="80" t="s">
        <v>13262</v>
      </c>
      <c r="E1227" s="9"/>
      <c r="F1227" s="80" t="s">
        <v>13267</v>
      </c>
      <c r="G1227" s="9"/>
      <c r="H1227" s="1"/>
      <c r="J1227" s="34">
        <v>43673</v>
      </c>
      <c r="L1227" s="9">
        <v>512</v>
      </c>
    </row>
    <row r="1228" spans="2:12" ht="13.5" customHeight="1" x14ac:dyDescent="0.2">
      <c r="B1228" s="1066">
        <f t="shared" si="108"/>
        <v>512</v>
      </c>
      <c r="C1228" s="80" t="s">
        <v>12938</v>
      </c>
      <c r="E1228" s="9"/>
      <c r="F1228" s="80" t="s">
        <v>1062</v>
      </c>
      <c r="G1228" s="9"/>
      <c r="H1228" s="1"/>
      <c r="J1228" s="34">
        <v>43680</v>
      </c>
      <c r="L1228" s="9">
        <v>513</v>
      </c>
    </row>
    <row r="1229" spans="2:12" ht="13.5" customHeight="1" x14ac:dyDescent="0.2">
      <c r="B1229" s="1066">
        <f t="shared" si="108"/>
        <v>513</v>
      </c>
      <c r="C1229" s="80" t="s">
        <v>693</v>
      </c>
      <c r="E1229" s="9"/>
      <c r="F1229" s="80" t="s">
        <v>13463</v>
      </c>
      <c r="G1229" s="9"/>
      <c r="H1229" s="1"/>
      <c r="J1229" s="34">
        <v>43687</v>
      </c>
      <c r="L1229" s="9">
        <v>515</v>
      </c>
    </row>
    <row r="1230" spans="2:12" ht="13.5" customHeight="1" x14ac:dyDescent="0.2">
      <c r="B1230" s="1066">
        <f t="shared" si="108"/>
        <v>514</v>
      </c>
      <c r="C1230" s="80" t="s">
        <v>13418</v>
      </c>
      <c r="E1230" s="9"/>
      <c r="F1230" s="80" t="s">
        <v>13419</v>
      </c>
      <c r="G1230" s="9"/>
      <c r="H1230" s="1"/>
      <c r="J1230" s="34">
        <v>43687</v>
      </c>
      <c r="L1230" s="9">
        <v>514</v>
      </c>
    </row>
    <row r="1231" spans="2:12" ht="13.5" customHeight="1" x14ac:dyDescent="0.2">
      <c r="B1231" s="1066">
        <f t="shared" si="108"/>
        <v>515</v>
      </c>
      <c r="C1231" s="80" t="s">
        <v>15183</v>
      </c>
      <c r="E1231" s="9"/>
      <c r="F1231" s="80" t="s">
        <v>1062</v>
      </c>
      <c r="G1231" s="9"/>
      <c r="H1231" s="1"/>
      <c r="J1231" s="34">
        <v>43694</v>
      </c>
      <c r="L1231" s="9">
        <v>516</v>
      </c>
    </row>
    <row r="1232" spans="2:12" ht="13.5" customHeight="1" x14ac:dyDescent="0.2">
      <c r="C1232" s="80"/>
      <c r="E1232" s="9"/>
      <c r="F1232" s="80"/>
      <c r="G1232" s="9"/>
      <c r="H1232" s="1"/>
      <c r="J1232" s="34"/>
    </row>
    <row r="1233" spans="1:10" ht="13.5" customHeight="1" x14ac:dyDescent="0.2">
      <c r="B1233">
        <v>517</v>
      </c>
      <c r="C1233" s="80" t="s">
        <v>15307</v>
      </c>
      <c r="E1233" s="9"/>
      <c r="F1233" s="80" t="s">
        <v>4584</v>
      </c>
      <c r="G1233" s="9"/>
      <c r="H1233" s="334" t="s">
        <v>15306</v>
      </c>
      <c r="I1233" s="1">
        <v>2.0335648148148148E-2</v>
      </c>
      <c r="J1233" s="34">
        <v>43701</v>
      </c>
    </row>
    <row r="1234" spans="1:10" ht="13.5" customHeight="1" x14ac:dyDescent="0.2">
      <c r="B1234">
        <v>518</v>
      </c>
      <c r="C1234" s="80" t="s">
        <v>1032</v>
      </c>
      <c r="E1234" s="9"/>
      <c r="F1234" s="80" t="s">
        <v>2725</v>
      </c>
      <c r="G1234" s="9"/>
      <c r="H1234" s="334" t="s">
        <v>15306</v>
      </c>
      <c r="I1234" s="1">
        <v>2.0775462962962964E-2</v>
      </c>
      <c r="J1234" s="34">
        <v>43701</v>
      </c>
    </row>
    <row r="1235" spans="1:10" ht="13.5" customHeight="1" x14ac:dyDescent="0.2">
      <c r="B1235">
        <v>519</v>
      </c>
      <c r="C1235" s="80" t="s">
        <v>15308</v>
      </c>
      <c r="E1235" s="9"/>
      <c r="F1235" s="80" t="s">
        <v>2628</v>
      </c>
      <c r="G1235" s="9"/>
      <c r="H1235" s="334" t="s">
        <v>15305</v>
      </c>
      <c r="I1235" s="1">
        <v>1.5706018518518518E-2</v>
      </c>
      <c r="J1235" s="34">
        <v>43701</v>
      </c>
    </row>
    <row r="1236" spans="1:10" ht="13.5" customHeight="1" x14ac:dyDescent="0.2">
      <c r="B1236">
        <v>520</v>
      </c>
      <c r="C1236" s="80" t="s">
        <v>15309</v>
      </c>
      <c r="E1236" s="9"/>
      <c r="F1236" s="80" t="s">
        <v>1440</v>
      </c>
      <c r="G1236" s="9"/>
      <c r="H1236" s="334" t="s">
        <v>15305</v>
      </c>
      <c r="I1236" s="1">
        <v>2.0081018518518519E-2</v>
      </c>
      <c r="J1236" s="34">
        <v>43701</v>
      </c>
    </row>
    <row r="1237" spans="1:10" ht="13.5" customHeight="1" x14ac:dyDescent="0.2">
      <c r="B1237">
        <v>521</v>
      </c>
      <c r="C1237" s="80" t="s">
        <v>15344</v>
      </c>
      <c r="E1237" s="9"/>
      <c r="F1237" s="80" t="s">
        <v>8462</v>
      </c>
      <c r="G1237" s="9"/>
      <c r="H1237" s="1" t="s">
        <v>8566</v>
      </c>
      <c r="I1237" s="1">
        <v>1.3287037037037036E-2</v>
      </c>
      <c r="J1237" s="34">
        <v>43701</v>
      </c>
    </row>
    <row r="1238" spans="1:10" ht="13.5" customHeight="1" x14ac:dyDescent="0.2">
      <c r="B1238">
        <v>522</v>
      </c>
      <c r="C1238" s="80" t="s">
        <v>15353</v>
      </c>
      <c r="E1238" s="9"/>
      <c r="F1238" s="80" t="s">
        <v>12017</v>
      </c>
      <c r="G1238" s="9"/>
      <c r="H1238" s="1"/>
      <c r="J1238" s="34">
        <v>43708</v>
      </c>
    </row>
    <row r="1239" spans="1:10" ht="13.5" customHeight="1" x14ac:dyDescent="0.2">
      <c r="B1239">
        <v>523</v>
      </c>
      <c r="C1239" s="80" t="s">
        <v>15415</v>
      </c>
      <c r="E1239" s="9"/>
      <c r="F1239" s="80" t="s">
        <v>12695</v>
      </c>
      <c r="G1239" s="9"/>
      <c r="H1239" s="1"/>
      <c r="J1239" s="34">
        <v>43715</v>
      </c>
    </row>
    <row r="1240" spans="1:10" ht="13.5" customHeight="1" x14ac:dyDescent="0.2">
      <c r="B1240">
        <v>524</v>
      </c>
      <c r="C1240" s="80" t="s">
        <v>15494</v>
      </c>
      <c r="E1240" s="9"/>
      <c r="F1240" s="80" t="s">
        <v>5573</v>
      </c>
      <c r="G1240" s="9"/>
      <c r="H1240" s="1"/>
      <c r="J1240" s="34">
        <v>43722</v>
      </c>
    </row>
    <row r="1241" spans="1:10" ht="13.5" customHeight="1" x14ac:dyDescent="0.2">
      <c r="B1241">
        <v>525</v>
      </c>
      <c r="C1241" s="80" t="s">
        <v>15492</v>
      </c>
      <c r="E1241" s="9"/>
      <c r="F1241" s="80" t="s">
        <v>9179</v>
      </c>
      <c r="G1241" s="9"/>
      <c r="H1241" s="1"/>
      <c r="J1241" s="34">
        <v>43722</v>
      </c>
    </row>
    <row r="1242" spans="1:10" ht="13.5" customHeight="1" x14ac:dyDescent="0.2">
      <c r="B1242">
        <v>526</v>
      </c>
      <c r="C1242" s="80" t="s">
        <v>15493</v>
      </c>
      <c r="E1242" s="9"/>
      <c r="F1242" s="80" t="s">
        <v>8360</v>
      </c>
      <c r="G1242" s="9"/>
      <c r="H1242" s="1"/>
      <c r="J1242" s="34">
        <v>43722</v>
      </c>
    </row>
    <row r="1243" spans="1:10" ht="13.5" customHeight="1" x14ac:dyDescent="0.2">
      <c r="B1243">
        <v>527</v>
      </c>
      <c r="C1243" s="80" t="s">
        <v>15623</v>
      </c>
      <c r="E1243" s="9"/>
      <c r="F1243" s="80" t="s">
        <v>5573</v>
      </c>
      <c r="G1243" s="9"/>
      <c r="H1243" s="1"/>
      <c r="J1243" s="34">
        <v>43729</v>
      </c>
    </row>
    <row r="1244" spans="1:10" ht="13.5" customHeight="1" x14ac:dyDescent="0.2">
      <c r="B1244">
        <v>528</v>
      </c>
      <c r="C1244" s="80" t="s">
        <v>15688</v>
      </c>
      <c r="E1244" s="9"/>
      <c r="F1244" s="80" t="s">
        <v>756</v>
      </c>
      <c r="G1244" s="9"/>
      <c r="H1244" s="1"/>
      <c r="J1244" s="34">
        <v>43736</v>
      </c>
    </row>
    <row r="1245" spans="1:10" ht="13.5" customHeight="1" x14ac:dyDescent="0.2">
      <c r="B1245">
        <v>529</v>
      </c>
      <c r="C1245" s="80" t="s">
        <v>15687</v>
      </c>
      <c r="E1245" s="9"/>
      <c r="F1245" s="80" t="s">
        <v>15683</v>
      </c>
      <c r="G1245" s="9"/>
      <c r="H1245" s="1"/>
      <c r="J1245" s="34">
        <v>43736</v>
      </c>
    </row>
    <row r="1246" spans="1:10" ht="13.5" customHeight="1" x14ac:dyDescent="0.2">
      <c r="A1246">
        <v>2283</v>
      </c>
      <c r="B1246">
        <v>530</v>
      </c>
      <c r="C1246" s="80" t="s">
        <v>15690</v>
      </c>
      <c r="E1246" s="9"/>
      <c r="F1246" s="80" t="s">
        <v>1000</v>
      </c>
      <c r="G1246" s="9"/>
      <c r="H1246" s="1"/>
      <c r="J1246" s="34">
        <v>43741</v>
      </c>
    </row>
    <row r="1247" spans="1:10" ht="13.5" customHeight="1" x14ac:dyDescent="0.2">
      <c r="A1247">
        <v>1801</v>
      </c>
      <c r="B1247">
        <v>531</v>
      </c>
      <c r="C1247" s="80" t="s">
        <v>15729</v>
      </c>
      <c r="E1247" s="9"/>
      <c r="F1247" s="80" t="s">
        <v>756</v>
      </c>
      <c r="G1247" s="9"/>
      <c r="H1247" s="334" t="s">
        <v>15732</v>
      </c>
      <c r="I1247" s="1">
        <v>2.0243055555555552E-2</v>
      </c>
      <c r="J1247" s="34">
        <v>43743</v>
      </c>
    </row>
    <row r="1248" spans="1:10" ht="13.5" customHeight="1" x14ac:dyDescent="0.2">
      <c r="A1248">
        <v>2421</v>
      </c>
      <c r="B1248">
        <v>532</v>
      </c>
      <c r="C1248" s="80" t="s">
        <v>15728</v>
      </c>
      <c r="E1248" s="9"/>
      <c r="F1248" s="80" t="s">
        <v>1000</v>
      </c>
      <c r="G1248" s="9"/>
      <c r="H1248" s="334" t="s">
        <v>15732</v>
      </c>
      <c r="I1248" s="1">
        <v>2.0555555555555556E-2</v>
      </c>
      <c r="J1248" s="34">
        <v>43743</v>
      </c>
    </row>
    <row r="1249" spans="1:10" ht="13.5" customHeight="1" x14ac:dyDescent="0.2">
      <c r="A1249">
        <v>2481</v>
      </c>
      <c r="B1249">
        <v>533</v>
      </c>
      <c r="C1249" s="80" t="s">
        <v>15699</v>
      </c>
      <c r="E1249" s="9"/>
      <c r="F1249" s="80" t="s">
        <v>334</v>
      </c>
      <c r="G1249" s="9"/>
      <c r="H1249" s="334" t="s">
        <v>15306</v>
      </c>
      <c r="J1249" s="34">
        <v>43743</v>
      </c>
    </row>
    <row r="1250" spans="1:10" ht="13.5" customHeight="1" x14ac:dyDescent="0.2">
      <c r="A1250">
        <v>267</v>
      </c>
      <c r="B1250">
        <v>534</v>
      </c>
      <c r="C1250" s="80" t="s">
        <v>15700</v>
      </c>
      <c r="E1250" s="9"/>
      <c r="F1250" s="80" t="s">
        <v>9805</v>
      </c>
      <c r="G1250" s="9"/>
      <c r="H1250" s="334" t="s">
        <v>15305</v>
      </c>
      <c r="J1250" s="34">
        <v>43743</v>
      </c>
    </row>
    <row r="1251" spans="1:10" ht="13.5" customHeight="1" x14ac:dyDescent="0.2">
      <c r="B1251">
        <v>535</v>
      </c>
      <c r="C1251" s="80" t="s">
        <v>15933</v>
      </c>
      <c r="E1251" s="9"/>
      <c r="F1251" s="80" t="s">
        <v>756</v>
      </c>
      <c r="G1251" s="9"/>
      <c r="H1251" s="1"/>
      <c r="J1251" s="34">
        <v>43771</v>
      </c>
    </row>
    <row r="1252" spans="1:10" ht="13.5" customHeight="1" x14ac:dyDescent="0.2">
      <c r="B1252">
        <v>536</v>
      </c>
      <c r="C1252" s="80" t="s">
        <v>15877</v>
      </c>
      <c r="E1252" s="9"/>
      <c r="F1252" s="80" t="s">
        <v>1270</v>
      </c>
      <c r="G1252" s="9"/>
      <c r="H1252" s="1"/>
      <c r="J1252" s="34">
        <v>43771</v>
      </c>
    </row>
    <row r="1253" spans="1:10" ht="13.5" customHeight="1" x14ac:dyDescent="0.2">
      <c r="B1253">
        <v>537</v>
      </c>
      <c r="C1253" s="80" t="s">
        <v>15934</v>
      </c>
      <c r="E1253" s="9"/>
      <c r="F1253" s="80" t="s">
        <v>1000</v>
      </c>
      <c r="G1253" s="9"/>
      <c r="H1253" s="1"/>
      <c r="J1253" s="34">
        <v>43771</v>
      </c>
    </row>
    <row r="1254" spans="1:10" ht="13.5" customHeight="1" x14ac:dyDescent="0.2">
      <c r="B1254">
        <v>538</v>
      </c>
      <c r="C1254" s="80" t="s">
        <v>694</v>
      </c>
      <c r="E1254" s="9"/>
      <c r="F1254" s="80" t="s">
        <v>12695</v>
      </c>
      <c r="G1254" s="9"/>
      <c r="H1254" s="1"/>
      <c r="J1254" s="34">
        <v>43778</v>
      </c>
    </row>
    <row r="1255" spans="1:10" ht="13.5" customHeight="1" x14ac:dyDescent="0.2">
      <c r="B1255">
        <v>539</v>
      </c>
      <c r="C1255" s="80" t="s">
        <v>15990</v>
      </c>
      <c r="E1255" s="9"/>
      <c r="F1255" s="80" t="s">
        <v>13419</v>
      </c>
      <c r="G1255" s="9"/>
      <c r="H1255" s="334" t="s">
        <v>15306</v>
      </c>
      <c r="I1255" s="1">
        <v>1.6354166666666666E-2</v>
      </c>
      <c r="J1255" s="34">
        <v>43785</v>
      </c>
    </row>
    <row r="1256" spans="1:10" ht="13.5" customHeight="1" x14ac:dyDescent="0.2">
      <c r="B1256">
        <v>540</v>
      </c>
      <c r="C1256" s="80" t="s">
        <v>16137</v>
      </c>
      <c r="E1256" s="9"/>
      <c r="F1256" s="80" t="s">
        <v>5573</v>
      </c>
      <c r="G1256" s="9"/>
      <c r="H1256" s="1"/>
      <c r="J1256" s="34">
        <v>43785</v>
      </c>
    </row>
    <row r="1257" spans="1:10" ht="13.5" customHeight="1" x14ac:dyDescent="0.2">
      <c r="B1257">
        <v>541</v>
      </c>
      <c r="C1257" s="80" t="s">
        <v>16136</v>
      </c>
      <c r="E1257" s="9"/>
      <c r="F1257" s="80" t="s">
        <v>1000</v>
      </c>
      <c r="G1257" s="9"/>
      <c r="H1257" s="1"/>
      <c r="J1257" s="34">
        <v>43785</v>
      </c>
    </row>
    <row r="1258" spans="1:10" ht="13.5" customHeight="1" x14ac:dyDescent="0.2">
      <c r="B1258">
        <v>542</v>
      </c>
      <c r="C1258" s="80" t="s">
        <v>15677</v>
      </c>
      <c r="E1258" s="9"/>
      <c r="F1258" s="80" t="s">
        <v>9179</v>
      </c>
      <c r="G1258" s="9"/>
      <c r="H1258" s="1"/>
      <c r="J1258" s="34">
        <v>43792</v>
      </c>
    </row>
    <row r="1259" spans="1:10" ht="13.5" customHeight="1" x14ac:dyDescent="0.2">
      <c r="B1259">
        <v>543</v>
      </c>
      <c r="C1259" s="80" t="s">
        <v>16236</v>
      </c>
      <c r="E1259" s="9"/>
      <c r="F1259" s="80" t="s">
        <v>9631</v>
      </c>
      <c r="G1259" s="9"/>
      <c r="H1259" s="1"/>
      <c r="J1259" s="34">
        <v>43806</v>
      </c>
    </row>
    <row r="1260" spans="1:10" ht="13.5" customHeight="1" x14ac:dyDescent="0.2">
      <c r="A1260">
        <v>711</v>
      </c>
      <c r="B1260">
        <v>544</v>
      </c>
      <c r="C1260" s="80" t="s">
        <v>16287</v>
      </c>
      <c r="E1260" s="9"/>
      <c r="F1260" s="80" t="s">
        <v>8462</v>
      </c>
      <c r="G1260" s="9"/>
      <c r="H1260" s="1" t="s">
        <v>16288</v>
      </c>
      <c r="J1260" s="34">
        <v>43813</v>
      </c>
    </row>
    <row r="1261" spans="1:10" ht="13.5" customHeight="1" x14ac:dyDescent="0.2">
      <c r="A1261">
        <v>2386</v>
      </c>
      <c r="B1261">
        <v>545</v>
      </c>
      <c r="C1261" s="80" t="s">
        <v>16250</v>
      </c>
      <c r="E1261" s="9"/>
      <c r="F1261" s="80" t="s">
        <v>9179</v>
      </c>
      <c r="G1261" s="9"/>
      <c r="H1261" s="1" t="s">
        <v>12318</v>
      </c>
      <c r="J1261" s="34">
        <v>43813</v>
      </c>
    </row>
    <row r="1262" spans="1:10" ht="13.5" customHeight="1" x14ac:dyDescent="0.2">
      <c r="A1262">
        <v>2446</v>
      </c>
      <c r="B1262">
        <v>546</v>
      </c>
      <c r="C1262" s="80" t="s">
        <v>15451</v>
      </c>
      <c r="E1262" s="9"/>
      <c r="F1262" s="80" t="s">
        <v>16252</v>
      </c>
      <c r="G1262" s="9"/>
      <c r="H1262" s="1" t="s">
        <v>16289</v>
      </c>
      <c r="J1262" s="34">
        <v>43813</v>
      </c>
    </row>
    <row r="1263" spans="1:10" ht="13.5" customHeight="1" x14ac:dyDescent="0.2">
      <c r="B1263">
        <v>547</v>
      </c>
      <c r="C1263" s="80" t="s">
        <v>16124</v>
      </c>
      <c r="E1263" s="9"/>
      <c r="F1263" s="80" t="s">
        <v>9797</v>
      </c>
      <c r="G1263" s="9"/>
      <c r="H1263" s="1"/>
      <c r="J1263" s="34">
        <v>43820</v>
      </c>
    </row>
    <row r="1264" spans="1:10" ht="13.5" customHeight="1" x14ac:dyDescent="0.2">
      <c r="B1264">
        <v>548</v>
      </c>
      <c r="C1264" s="80" t="s">
        <v>15828</v>
      </c>
      <c r="E1264" s="9"/>
      <c r="F1264" s="80" t="s">
        <v>4584</v>
      </c>
      <c r="G1264" s="9"/>
      <c r="H1264" s="334" t="s">
        <v>139</v>
      </c>
      <c r="J1264" s="34">
        <v>43827</v>
      </c>
    </row>
    <row r="1265" spans="2:11" ht="13.5" customHeight="1" x14ac:dyDescent="0.2">
      <c r="B1265">
        <v>549</v>
      </c>
      <c r="C1265" s="80" t="s">
        <v>16797</v>
      </c>
      <c r="E1265" s="9"/>
      <c r="F1265" s="80" t="s">
        <v>1440</v>
      </c>
      <c r="G1265" s="9"/>
      <c r="H1265" s="334" t="s">
        <v>10288</v>
      </c>
      <c r="J1265" s="34">
        <v>43827</v>
      </c>
    </row>
    <row r="1266" spans="2:11" ht="13.5" customHeight="1" x14ac:dyDescent="0.2">
      <c r="B1266">
        <v>550</v>
      </c>
      <c r="C1266" s="80" t="s">
        <v>16466</v>
      </c>
      <c r="E1266" s="9"/>
      <c r="F1266" s="80" t="s">
        <v>1000</v>
      </c>
      <c r="G1266" s="9"/>
      <c r="H1266" s="638">
        <v>33</v>
      </c>
      <c r="J1266" s="34">
        <v>43831</v>
      </c>
      <c r="K1266" s="334" t="s">
        <v>5168</v>
      </c>
    </row>
    <row r="1267" spans="2:11" ht="13.5" customHeight="1" x14ac:dyDescent="0.2">
      <c r="B1267">
        <v>551</v>
      </c>
      <c r="C1267" s="80" t="s">
        <v>16474</v>
      </c>
      <c r="E1267" s="9"/>
      <c r="F1267" s="80" t="s">
        <v>1000</v>
      </c>
      <c r="G1267" s="9"/>
      <c r="H1267" s="638">
        <v>33</v>
      </c>
      <c r="J1267" s="34">
        <v>43831</v>
      </c>
      <c r="K1267" s="334" t="s">
        <v>936</v>
      </c>
    </row>
    <row r="1268" spans="2:11" ht="13.5" customHeight="1" x14ac:dyDescent="0.2">
      <c r="B1268">
        <v>552</v>
      </c>
      <c r="C1268" s="80" t="s">
        <v>16480</v>
      </c>
      <c r="E1268" s="9"/>
      <c r="F1268" s="80" t="s">
        <v>16484</v>
      </c>
      <c r="G1268" s="9"/>
      <c r="H1268" s="638">
        <v>34</v>
      </c>
      <c r="J1268" s="34">
        <v>43831</v>
      </c>
    </row>
    <row r="1269" spans="2:11" ht="13.5" customHeight="1" x14ac:dyDescent="0.2">
      <c r="B1269">
        <v>553</v>
      </c>
      <c r="C1269" s="80" t="s">
        <v>12355</v>
      </c>
      <c r="E1269" s="9"/>
      <c r="F1269" s="80" t="s">
        <v>16475</v>
      </c>
      <c r="G1269" s="9"/>
      <c r="H1269" s="638">
        <v>35</v>
      </c>
      <c r="I1269" s="1">
        <v>1.6666666666666666E-2</v>
      </c>
      <c r="J1269" s="34">
        <v>43831</v>
      </c>
      <c r="K1269" s="334" t="s">
        <v>139</v>
      </c>
    </row>
    <row r="1270" spans="2:11" ht="13.5" customHeight="1" x14ac:dyDescent="0.2">
      <c r="B1270">
        <v>554</v>
      </c>
      <c r="C1270" s="80" t="s">
        <v>149</v>
      </c>
      <c r="E1270" s="9"/>
      <c r="F1270" s="80" t="s">
        <v>5573</v>
      </c>
      <c r="G1270" s="9"/>
      <c r="H1270" s="638">
        <v>35</v>
      </c>
      <c r="I1270" s="1">
        <v>1.7951388888888888E-2</v>
      </c>
      <c r="J1270" s="34">
        <v>43831</v>
      </c>
      <c r="K1270" s="334" t="s">
        <v>139</v>
      </c>
    </row>
    <row r="1271" spans="2:11" ht="13.5" customHeight="1" x14ac:dyDescent="0.2">
      <c r="B1271">
        <v>555</v>
      </c>
      <c r="C1271" s="80" t="s">
        <v>1697</v>
      </c>
      <c r="E1271" s="9"/>
      <c r="F1271" s="80" t="s">
        <v>756</v>
      </c>
      <c r="G1271" s="9"/>
      <c r="H1271" s="638">
        <v>35</v>
      </c>
      <c r="I1271" s="1">
        <v>1.9861111111111111E-2</v>
      </c>
      <c r="J1271" s="34">
        <v>43831</v>
      </c>
      <c r="K1271" s="334" t="s">
        <v>139</v>
      </c>
    </row>
    <row r="1272" spans="2:11" ht="13.5" customHeight="1" x14ac:dyDescent="0.2">
      <c r="B1272">
        <v>556</v>
      </c>
      <c r="C1272" s="80" t="s">
        <v>15411</v>
      </c>
      <c r="E1272" s="9"/>
      <c r="F1272" s="80" t="s">
        <v>5573</v>
      </c>
      <c r="G1272" s="9"/>
      <c r="H1272" s="638">
        <v>36.5</v>
      </c>
      <c r="I1272" s="1">
        <v>1.9282407407407408E-2</v>
      </c>
      <c r="J1272" s="34">
        <v>43831</v>
      </c>
      <c r="K1272" s="334" t="s">
        <v>138</v>
      </c>
    </row>
    <row r="1273" spans="2:11" ht="13.5" customHeight="1" x14ac:dyDescent="0.2">
      <c r="B1273">
        <v>557</v>
      </c>
      <c r="C1273" s="80" t="s">
        <v>8651</v>
      </c>
      <c r="E1273" s="9"/>
      <c r="F1273" s="80" t="s">
        <v>756</v>
      </c>
      <c r="G1273" s="9"/>
      <c r="H1273" s="638">
        <v>36.5</v>
      </c>
      <c r="I1273" s="1">
        <v>2.0706018518518519E-2</v>
      </c>
      <c r="J1273" s="34">
        <v>43831</v>
      </c>
      <c r="K1273" s="334" t="s">
        <v>138</v>
      </c>
    </row>
    <row r="1274" spans="2:11" ht="13.5" customHeight="1" x14ac:dyDescent="0.2">
      <c r="B1274">
        <v>558</v>
      </c>
      <c r="C1274" s="80" t="s">
        <v>9463</v>
      </c>
      <c r="E1274" s="9"/>
      <c r="F1274" s="80" t="s">
        <v>1062</v>
      </c>
      <c r="G1274" s="9"/>
      <c r="H1274" s="638">
        <v>36.5</v>
      </c>
      <c r="I1274" s="1">
        <v>2.8414351851851847E-2</v>
      </c>
      <c r="J1274" s="34">
        <v>43831</v>
      </c>
      <c r="K1274" s="334" t="s">
        <v>138</v>
      </c>
    </row>
    <row r="1275" spans="2:11" ht="13.5" customHeight="1" x14ac:dyDescent="0.2">
      <c r="B1275">
        <v>559</v>
      </c>
      <c r="C1275" s="80" t="s">
        <v>16646</v>
      </c>
      <c r="E1275" s="9"/>
      <c r="F1275" s="80" t="s">
        <v>1000</v>
      </c>
      <c r="G1275" s="9"/>
      <c r="H1275" s="638"/>
      <c r="J1275" s="34">
        <v>43834</v>
      </c>
      <c r="K1275" s="334"/>
    </row>
    <row r="1276" spans="2:11" ht="13.5" customHeight="1" x14ac:dyDescent="0.2">
      <c r="B1276">
        <v>560</v>
      </c>
      <c r="C1276" s="80" t="s">
        <v>16656</v>
      </c>
      <c r="E1276" s="9"/>
      <c r="F1276" s="80" t="s">
        <v>1000</v>
      </c>
      <c r="G1276" s="9"/>
      <c r="H1276" s="638" t="s">
        <v>215</v>
      </c>
      <c r="J1276" s="34">
        <v>43841</v>
      </c>
      <c r="K1276" s="334"/>
    </row>
    <row r="1277" spans="2:11" ht="13.5" customHeight="1" x14ac:dyDescent="0.2">
      <c r="B1277">
        <v>561</v>
      </c>
      <c r="C1277" s="80" t="s">
        <v>16710</v>
      </c>
      <c r="E1277" s="9"/>
      <c r="F1277" s="80" t="s">
        <v>1062</v>
      </c>
      <c r="G1277" s="9"/>
      <c r="H1277" s="638" t="s">
        <v>8362</v>
      </c>
      <c r="J1277" s="34">
        <v>43841</v>
      </c>
      <c r="K1277" s="334"/>
    </row>
    <row r="1278" spans="2:11" ht="13.5" customHeight="1" x14ac:dyDescent="0.2">
      <c r="B1278">
        <v>562</v>
      </c>
      <c r="C1278" s="80" t="s">
        <v>16766</v>
      </c>
      <c r="E1278" s="9"/>
      <c r="F1278" s="80" t="s">
        <v>1000</v>
      </c>
      <c r="G1278" s="9"/>
      <c r="H1278" s="638"/>
      <c r="J1278" s="34">
        <v>43848</v>
      </c>
      <c r="K1278" s="334"/>
    </row>
    <row r="1279" spans="2:11" ht="13.5" customHeight="1" x14ac:dyDescent="0.2">
      <c r="B1279">
        <v>563</v>
      </c>
      <c r="C1279" s="80" t="s">
        <v>16767</v>
      </c>
      <c r="E1279" s="9"/>
      <c r="F1279" s="80" t="s">
        <v>4584</v>
      </c>
      <c r="G1279" s="9"/>
      <c r="H1279" s="1"/>
      <c r="J1279" s="34">
        <v>43848</v>
      </c>
    </row>
    <row r="1280" spans="2:11" ht="13.5" customHeight="1" x14ac:dyDescent="0.2">
      <c r="B1280">
        <v>564</v>
      </c>
      <c r="C1280" s="80" t="s">
        <v>16769</v>
      </c>
      <c r="E1280" s="9"/>
      <c r="F1280" s="80" t="s">
        <v>334</v>
      </c>
      <c r="G1280" s="9"/>
      <c r="H1280" s="1"/>
      <c r="J1280" s="34">
        <v>43855</v>
      </c>
    </row>
    <row r="1281" spans="1:10" ht="13.5" customHeight="1" x14ac:dyDescent="0.2">
      <c r="B1281">
        <v>565</v>
      </c>
      <c r="C1281" s="80" t="s">
        <v>16858</v>
      </c>
      <c r="E1281" s="9"/>
      <c r="F1281" s="80" t="s">
        <v>1062</v>
      </c>
      <c r="G1281" s="9"/>
      <c r="H1281" s="1"/>
      <c r="J1281" s="34">
        <v>43862</v>
      </c>
    </row>
    <row r="1282" spans="1:10" ht="13.5" customHeight="1" x14ac:dyDescent="0.2">
      <c r="B1282">
        <v>566</v>
      </c>
      <c r="C1282" s="80" t="s">
        <v>16890</v>
      </c>
      <c r="E1282" s="9"/>
      <c r="F1282" s="80" t="s">
        <v>756</v>
      </c>
      <c r="G1282" s="9"/>
      <c r="H1282" s="1"/>
      <c r="J1282" s="523">
        <v>43869</v>
      </c>
    </row>
    <row r="1283" spans="1:10" ht="13.5" customHeight="1" x14ac:dyDescent="0.2">
      <c r="B1283">
        <v>567</v>
      </c>
      <c r="C1283" s="80" t="s">
        <v>17018</v>
      </c>
      <c r="E1283" s="9"/>
      <c r="F1283" s="80" t="s">
        <v>756</v>
      </c>
      <c r="G1283" s="9"/>
      <c r="H1283" s="1"/>
      <c r="J1283" s="34">
        <v>43876</v>
      </c>
    </row>
    <row r="1284" spans="1:10" ht="13.5" customHeight="1" x14ac:dyDescent="0.2">
      <c r="B1284">
        <v>568</v>
      </c>
      <c r="C1284" s="80" t="s">
        <v>17124</v>
      </c>
      <c r="E1284" s="9"/>
      <c r="F1284" s="80" t="s">
        <v>1000</v>
      </c>
      <c r="G1284" s="9"/>
      <c r="H1284" s="1"/>
      <c r="J1284" s="34">
        <v>43883</v>
      </c>
    </row>
    <row r="1285" spans="1:10" ht="13.5" customHeight="1" x14ac:dyDescent="0.2">
      <c r="B1285">
        <v>569</v>
      </c>
      <c r="C1285" s="80" t="s">
        <v>17163</v>
      </c>
      <c r="E1285" s="9"/>
      <c r="F1285" s="80" t="s">
        <v>1000</v>
      </c>
      <c r="G1285" s="9"/>
      <c r="H1285" s="1"/>
      <c r="J1285" s="34">
        <v>43890</v>
      </c>
    </row>
    <row r="1286" spans="1:10" ht="13.5" customHeight="1" x14ac:dyDescent="0.2">
      <c r="B1286">
        <v>570</v>
      </c>
      <c r="C1286" s="80" t="s">
        <v>17142</v>
      </c>
      <c r="E1286" s="9"/>
      <c r="F1286" s="80" t="s">
        <v>1440</v>
      </c>
      <c r="G1286" s="9"/>
      <c r="H1286" s="1"/>
      <c r="J1286" s="34">
        <v>43890</v>
      </c>
    </row>
    <row r="1287" spans="1:10" ht="13.5" customHeight="1" x14ac:dyDescent="0.2">
      <c r="B1287">
        <v>571</v>
      </c>
      <c r="C1287" s="80" t="s">
        <v>17206</v>
      </c>
      <c r="E1287" s="9"/>
      <c r="F1287" s="80" t="s">
        <v>9805</v>
      </c>
      <c r="G1287" s="9"/>
      <c r="H1287" s="1"/>
      <c r="J1287" s="34">
        <v>43897</v>
      </c>
    </row>
    <row r="1288" spans="1:10" ht="13.5" customHeight="1" x14ac:dyDescent="0.2">
      <c r="B1288">
        <v>572</v>
      </c>
      <c r="C1288" s="80" t="s">
        <v>3254</v>
      </c>
      <c r="E1288" s="9"/>
      <c r="F1288" s="80" t="s">
        <v>8252</v>
      </c>
      <c r="G1288" s="9"/>
      <c r="H1288" s="1"/>
      <c r="J1288" s="34">
        <v>43897</v>
      </c>
    </row>
    <row r="1289" spans="1:10" ht="13.5" customHeight="1" x14ac:dyDescent="0.2">
      <c r="C1289" s="80"/>
      <c r="E1289" s="9"/>
      <c r="F1289" s="80"/>
      <c r="G1289" s="9"/>
      <c r="H1289" s="1"/>
      <c r="J1289" s="34"/>
    </row>
    <row r="1290" spans="1:10" ht="13.5" customHeight="1" x14ac:dyDescent="0.2">
      <c r="C1290" s="80"/>
      <c r="E1290" s="9"/>
      <c r="F1290" s="80"/>
      <c r="G1290" s="9"/>
      <c r="H1290" s="1"/>
      <c r="J1290" s="34"/>
    </row>
    <row r="1291" spans="1:10" ht="13.5" customHeight="1" x14ac:dyDescent="0.2">
      <c r="C1291" s="80"/>
      <c r="E1291" s="9"/>
      <c r="F1291" s="80"/>
      <c r="G1291" s="9"/>
      <c r="H1291" s="1"/>
      <c r="J1291" s="34"/>
    </row>
    <row r="1292" spans="1:10" ht="13.5" customHeight="1" x14ac:dyDescent="0.2">
      <c r="C1292" s="80"/>
      <c r="E1292" s="9"/>
      <c r="F1292" s="80"/>
      <c r="G1292" s="9"/>
      <c r="H1292" s="1"/>
      <c r="J1292" s="34"/>
    </row>
    <row r="1293" spans="1:10" ht="13.5" customHeight="1" x14ac:dyDescent="0.2">
      <c r="C1293" s="80"/>
      <c r="E1293" s="9"/>
      <c r="F1293" s="80"/>
      <c r="G1293" s="9"/>
      <c r="H1293" s="1"/>
      <c r="J1293" s="34"/>
    </row>
    <row r="1294" spans="1:10" ht="13.5" customHeight="1" x14ac:dyDescent="0.2">
      <c r="C1294" s="80"/>
      <c r="E1294" s="9"/>
      <c r="F1294" s="80"/>
      <c r="G1294" s="9"/>
      <c r="H1294" s="1"/>
      <c r="J1294" s="34"/>
    </row>
    <row r="1295" spans="1:10" x14ac:dyDescent="0.2">
      <c r="A1295" t="s">
        <v>9961</v>
      </c>
      <c r="C1295" s="5"/>
      <c r="D1295" t="s">
        <v>7605</v>
      </c>
      <c r="E1295" s="9" t="s">
        <v>7602</v>
      </c>
      <c r="F1295" s="80" t="s">
        <v>9963</v>
      </c>
      <c r="G1295" s="9"/>
    </row>
    <row r="1296" spans="1:10" x14ac:dyDescent="0.2">
      <c r="B1296">
        <v>2</v>
      </c>
      <c r="C1296" s="80" t="s">
        <v>6274</v>
      </c>
      <c r="D1296">
        <v>2</v>
      </c>
      <c r="E1296" s="9">
        <v>0</v>
      </c>
      <c r="G1296" s="9"/>
    </row>
    <row r="1297" spans="1:18" x14ac:dyDescent="0.2">
      <c r="B1297">
        <v>48</v>
      </c>
      <c r="C1297" s="80" t="s">
        <v>1017</v>
      </c>
      <c r="E1297" s="9"/>
      <c r="G1297" s="9"/>
    </row>
    <row r="1298" spans="1:18" x14ac:dyDescent="0.2">
      <c r="B1298">
        <v>1</v>
      </c>
      <c r="C1298" s="80" t="s">
        <v>5154</v>
      </c>
      <c r="D1298" t="s">
        <v>10183</v>
      </c>
      <c r="E1298" s="9"/>
      <c r="G1298" s="9"/>
      <c r="R1298">
        <v>1</v>
      </c>
    </row>
    <row r="1299" spans="1:18" x14ac:dyDescent="0.2">
      <c r="B1299">
        <v>76</v>
      </c>
      <c r="C1299" s="80" t="s">
        <v>9962</v>
      </c>
      <c r="D1299">
        <v>53</v>
      </c>
      <c r="E1299" s="9">
        <v>24</v>
      </c>
      <c r="F1299" s="80" t="s">
        <v>9964</v>
      </c>
      <c r="G1299" s="9"/>
    </row>
    <row r="1300" spans="1:18" x14ac:dyDescent="0.2">
      <c r="B1300">
        <v>0</v>
      </c>
      <c r="C1300" s="5"/>
      <c r="E1300" s="9"/>
      <c r="F1300" s="80" t="s">
        <v>9965</v>
      </c>
      <c r="G1300" s="9"/>
    </row>
    <row r="1301" spans="1:18" x14ac:dyDescent="0.2">
      <c r="B1301">
        <v>32</v>
      </c>
      <c r="C1301" s="80" t="s">
        <v>9966</v>
      </c>
      <c r="D1301" t="s">
        <v>10182</v>
      </c>
      <c r="E1301" s="9"/>
      <c r="G1301" s="9"/>
    </row>
    <row r="1302" spans="1:18" x14ac:dyDescent="0.2">
      <c r="B1302">
        <v>81</v>
      </c>
      <c r="C1302" s="80" t="s">
        <v>9967</v>
      </c>
      <c r="D1302" t="s">
        <v>10180</v>
      </c>
      <c r="E1302" s="9"/>
      <c r="G1302" s="9"/>
    </row>
    <row r="1303" spans="1:18" x14ac:dyDescent="0.2">
      <c r="B1303">
        <v>39</v>
      </c>
      <c r="C1303" s="80" t="s">
        <v>9968</v>
      </c>
      <c r="E1303" s="9"/>
      <c r="G1303" s="9"/>
    </row>
    <row r="1304" spans="1:18" x14ac:dyDescent="0.2">
      <c r="B1304">
        <v>52</v>
      </c>
      <c r="C1304" s="80" t="s">
        <v>5075</v>
      </c>
      <c r="E1304" s="9"/>
      <c r="G1304" s="9"/>
    </row>
    <row r="1305" spans="1:18" x14ac:dyDescent="0.2">
      <c r="B1305">
        <v>128</v>
      </c>
      <c r="C1305" s="80" t="s">
        <v>9969</v>
      </c>
      <c r="D1305">
        <v>82</v>
      </c>
      <c r="E1305" s="9">
        <v>46</v>
      </c>
      <c r="G1305" s="9"/>
    </row>
    <row r="1306" spans="1:18" x14ac:dyDescent="0.2">
      <c r="B1306">
        <v>72</v>
      </c>
      <c r="C1306" s="80" t="s">
        <v>9970</v>
      </c>
      <c r="E1306" s="9"/>
      <c r="G1306" s="9"/>
    </row>
    <row r="1307" spans="1:18" x14ac:dyDescent="0.2">
      <c r="B1307">
        <v>41</v>
      </c>
      <c r="C1307" s="80" t="s">
        <v>5817</v>
      </c>
      <c r="D1307" t="s">
        <v>10184</v>
      </c>
      <c r="E1307" s="9"/>
      <c r="G1307" s="9"/>
    </row>
    <row r="1308" spans="1:18" x14ac:dyDescent="0.2">
      <c r="B1308">
        <v>32</v>
      </c>
      <c r="C1308" s="80" t="s">
        <v>4126</v>
      </c>
      <c r="E1308" s="9"/>
      <c r="G1308" s="9"/>
    </row>
    <row r="1309" spans="1:18" x14ac:dyDescent="0.2">
      <c r="B1309">
        <v>65</v>
      </c>
      <c r="C1309" s="80" t="s">
        <v>9971</v>
      </c>
      <c r="D1309" t="s">
        <v>10181</v>
      </c>
      <c r="E1309" s="9"/>
      <c r="G1309" s="9"/>
    </row>
    <row r="1310" spans="1:18" ht="13.5" thickBot="1" x14ac:dyDescent="0.25">
      <c r="B1310" s="64">
        <f>SUM(B1296:B1309)</f>
        <v>669</v>
      </c>
      <c r="C1310" s="5"/>
      <c r="E1310" s="9"/>
      <c r="G1310" s="9"/>
    </row>
    <row r="1311" spans="1:18" ht="13.5" thickTop="1" x14ac:dyDescent="0.2">
      <c r="C1311" s="2" t="s">
        <v>9969</v>
      </c>
      <c r="E1311" s="9"/>
      <c r="G1311" s="9"/>
    </row>
    <row r="1312" spans="1:18" x14ac:dyDescent="0.2">
      <c r="A1312">
        <v>1</v>
      </c>
      <c r="B1312" s="80" t="s">
        <v>7605</v>
      </c>
      <c r="C1312" t="s">
        <v>9972</v>
      </c>
      <c r="D1312">
        <f>D5</f>
        <v>3</v>
      </c>
      <c r="E1312">
        <f>E5</f>
        <v>3</v>
      </c>
      <c r="G1312"/>
      <c r="I1312"/>
      <c r="J1312" t="str">
        <f>J5</f>
        <v>Eddie Giles</v>
      </c>
      <c r="K1312" s="1067">
        <f>K5</f>
        <v>40761</v>
      </c>
    </row>
    <row r="1313" spans="1:11" x14ac:dyDescent="0.2">
      <c r="A1313">
        <f t="shared" ref="A1313:A1344" si="109">A1312+1</f>
        <v>2</v>
      </c>
      <c r="B1313" s="80" t="s">
        <v>7605</v>
      </c>
      <c r="C1313" t="s">
        <v>9973</v>
      </c>
      <c r="D1313">
        <f>D10</f>
        <v>12</v>
      </c>
      <c r="E1313">
        <f>E10</f>
        <v>17</v>
      </c>
      <c r="G1313"/>
      <c r="I1313"/>
      <c r="J1313" t="str">
        <f>J10</f>
        <v>Roderick Hoffman</v>
      </c>
      <c r="K1313" s="1067">
        <f>K10</f>
        <v>41314</v>
      </c>
    </row>
    <row r="1314" spans="1:11" x14ac:dyDescent="0.2">
      <c r="A1314">
        <f t="shared" si="109"/>
        <v>3</v>
      </c>
      <c r="B1314" s="80" t="s">
        <v>7605</v>
      </c>
      <c r="C1314" t="s">
        <v>9975</v>
      </c>
      <c r="D1314">
        <f>D14</f>
        <v>3</v>
      </c>
      <c r="E1314">
        <f>E14</f>
        <v>3</v>
      </c>
      <c r="G1314"/>
      <c r="I1314"/>
      <c r="J1314" t="str">
        <f>J14</f>
        <v>Roderick Hoffman</v>
      </c>
      <c r="K1314" s="1067">
        <f>K14</f>
        <v>41825</v>
      </c>
    </row>
    <row r="1315" spans="1:11" x14ac:dyDescent="0.2">
      <c r="A1315">
        <f t="shared" si="109"/>
        <v>4</v>
      </c>
      <c r="B1315" s="80" t="s">
        <v>7605</v>
      </c>
      <c r="C1315" t="s">
        <v>9977</v>
      </c>
      <c r="D1315" s="5">
        <f>D15</f>
        <v>1</v>
      </c>
      <c r="E1315" s="5">
        <f>E15</f>
        <v>1</v>
      </c>
      <c r="F1315" s="5"/>
      <c r="G1315" s="5"/>
      <c r="H1315" s="5"/>
      <c r="I1315" s="5"/>
      <c r="J1315" s="5" t="str">
        <f>J15</f>
        <v>Trish McCabe</v>
      </c>
      <c r="K1315" s="1068">
        <f>K15</f>
        <v>43288</v>
      </c>
    </row>
    <row r="1316" spans="1:11" x14ac:dyDescent="0.2">
      <c r="A1316">
        <f t="shared" si="109"/>
        <v>5</v>
      </c>
      <c r="B1316" s="80" t="s">
        <v>7605</v>
      </c>
      <c r="C1316" t="s">
        <v>9979</v>
      </c>
      <c r="D1316">
        <f>D18</f>
        <v>4</v>
      </c>
      <c r="E1316">
        <f>E18</f>
        <v>5</v>
      </c>
      <c r="G1316"/>
      <c r="I1316"/>
      <c r="J1316" t="str">
        <f>J18</f>
        <v>Richard Ruffell</v>
      </c>
      <c r="K1316" s="1067">
        <f>K18</f>
        <v>41580</v>
      </c>
    </row>
    <row r="1317" spans="1:11" x14ac:dyDescent="0.2">
      <c r="A1317">
        <f t="shared" si="109"/>
        <v>6</v>
      </c>
      <c r="B1317" s="80" t="s">
        <v>7605</v>
      </c>
      <c r="C1317" t="s">
        <v>9980</v>
      </c>
      <c r="D1317">
        <f>D24</f>
        <v>2</v>
      </c>
      <c r="E1317">
        <f>E24</f>
        <v>3</v>
      </c>
      <c r="G1317"/>
      <c r="I1317"/>
      <c r="J1317" t="str">
        <f>J24</f>
        <v>Roderick Hoffman</v>
      </c>
      <c r="K1317" s="1067">
        <f>K24</f>
        <v>42112</v>
      </c>
    </row>
    <row r="1318" spans="1:11" x14ac:dyDescent="0.2">
      <c r="A1318">
        <f t="shared" si="109"/>
        <v>7</v>
      </c>
      <c r="B1318" s="80" t="s">
        <v>7605</v>
      </c>
      <c r="C1318" t="s">
        <v>9981</v>
      </c>
      <c r="D1318">
        <f>D25</f>
        <v>13</v>
      </c>
      <c r="E1318">
        <f>E25</f>
        <v>60</v>
      </c>
      <c r="G1318"/>
      <c r="I1318"/>
      <c r="J1318" t="str">
        <f>J25</f>
        <v>Roderick Hoffman</v>
      </c>
      <c r="K1318" s="1067">
        <f>K25</f>
        <v>41818</v>
      </c>
    </row>
    <row r="1319" spans="1:11" x14ac:dyDescent="0.2">
      <c r="A1319">
        <f t="shared" si="109"/>
        <v>8</v>
      </c>
      <c r="B1319" s="80" t="s">
        <v>7605</v>
      </c>
      <c r="C1319" t="s">
        <v>9983</v>
      </c>
      <c r="D1319">
        <f>D32</f>
        <v>8</v>
      </c>
      <c r="E1319">
        <f>E32</f>
        <v>9</v>
      </c>
      <c r="G1319"/>
      <c r="I1319"/>
      <c r="J1319" t="str">
        <f>J32</f>
        <v>Roderick Hoffman</v>
      </c>
      <c r="K1319" s="1067">
        <f>K32</f>
        <v>41076</v>
      </c>
    </row>
    <row r="1320" spans="1:11" x14ac:dyDescent="0.2">
      <c r="A1320">
        <f t="shared" si="109"/>
        <v>9</v>
      </c>
      <c r="B1320" s="80" t="s">
        <v>7605</v>
      </c>
      <c r="C1320" t="s">
        <v>9984</v>
      </c>
      <c r="D1320">
        <f>D37</f>
        <v>2</v>
      </c>
      <c r="E1320">
        <f>E37</f>
        <v>2</v>
      </c>
      <c r="G1320"/>
      <c r="I1320"/>
      <c r="J1320" t="str">
        <f>J37</f>
        <v>Roderick Hoffman</v>
      </c>
      <c r="K1320" s="1067">
        <f>K37</f>
        <v>42700</v>
      </c>
    </row>
    <row r="1321" spans="1:11" x14ac:dyDescent="0.2">
      <c r="A1321">
        <f t="shared" si="109"/>
        <v>10</v>
      </c>
      <c r="B1321" s="80" t="s">
        <v>7605</v>
      </c>
      <c r="C1321" s="585" t="s">
        <v>9986</v>
      </c>
      <c r="D1321" s="585">
        <f>D50</f>
        <v>0</v>
      </c>
      <c r="E1321" s="585">
        <f>E50</f>
        <v>0</v>
      </c>
      <c r="G1321"/>
      <c r="I1321"/>
      <c r="J1321">
        <f>J50</f>
        <v>0</v>
      </c>
      <c r="K1321" s="1067">
        <f>K50</f>
        <v>0</v>
      </c>
    </row>
    <row r="1322" spans="1:11" x14ac:dyDescent="0.2">
      <c r="A1322">
        <f t="shared" si="109"/>
        <v>11</v>
      </c>
      <c r="B1322" s="80" t="s">
        <v>7605</v>
      </c>
      <c r="C1322" t="s">
        <v>9987</v>
      </c>
      <c r="D1322">
        <f>D52</f>
        <v>4</v>
      </c>
      <c r="E1322">
        <f>E52</f>
        <v>4</v>
      </c>
      <c r="G1322"/>
      <c r="I1322"/>
      <c r="J1322" t="str">
        <f>J52</f>
        <v>Chris Kelly</v>
      </c>
      <c r="K1322" s="1067">
        <f>K52</f>
        <v>42476</v>
      </c>
    </row>
    <row r="1323" spans="1:11" x14ac:dyDescent="0.2">
      <c r="A1323">
        <f t="shared" si="109"/>
        <v>12</v>
      </c>
      <c r="B1323" s="80" t="s">
        <v>7605</v>
      </c>
      <c r="C1323" t="s">
        <v>9988</v>
      </c>
      <c r="D1323">
        <f>D57</f>
        <v>44</v>
      </c>
      <c r="E1323">
        <f>E57</f>
        <v>683</v>
      </c>
      <c r="G1323"/>
      <c r="I1323"/>
      <c r="J1323" t="str">
        <f>J57</f>
        <v>Janet Smith</v>
      </c>
      <c r="K1323" s="1067">
        <f>K57</f>
        <v>40040</v>
      </c>
    </row>
    <row r="1324" spans="1:11" x14ac:dyDescent="0.2">
      <c r="A1324">
        <f t="shared" si="109"/>
        <v>13</v>
      </c>
      <c r="B1324" s="80" t="s">
        <v>7605</v>
      </c>
      <c r="C1324" t="s">
        <v>9990</v>
      </c>
      <c r="D1324">
        <f>D62</f>
        <v>11</v>
      </c>
      <c r="E1324">
        <f>E62</f>
        <v>15</v>
      </c>
      <c r="G1324"/>
      <c r="I1324"/>
      <c r="J1324" t="str">
        <f>J62</f>
        <v>Sr'ram Sethuraman</v>
      </c>
      <c r="K1324" s="1067">
        <f>K62</f>
        <v>42091</v>
      </c>
    </row>
    <row r="1325" spans="1:11" x14ac:dyDescent="0.2">
      <c r="A1325">
        <f t="shared" si="109"/>
        <v>14</v>
      </c>
      <c r="B1325" s="80" t="s">
        <v>7605</v>
      </c>
      <c r="C1325" t="s">
        <v>9992</v>
      </c>
      <c r="D1325">
        <f>D68</f>
        <v>20</v>
      </c>
      <c r="E1325">
        <f>E68</f>
        <v>37</v>
      </c>
      <c r="G1325"/>
      <c r="I1325"/>
      <c r="J1325" t="str">
        <f>J68</f>
        <v>Roderick Hoffman</v>
      </c>
      <c r="K1325" s="1067">
        <f>K68</f>
        <v>42154</v>
      </c>
    </row>
    <row r="1326" spans="1:11" x14ac:dyDescent="0.2">
      <c r="A1326">
        <f t="shared" si="109"/>
        <v>15</v>
      </c>
      <c r="B1326" s="80" t="s">
        <v>7605</v>
      </c>
      <c r="C1326" t="s">
        <v>9993</v>
      </c>
      <c r="D1326">
        <f>D75</f>
        <v>8</v>
      </c>
      <c r="E1326">
        <f>E75</f>
        <v>11</v>
      </c>
      <c r="G1326"/>
      <c r="I1326"/>
      <c r="J1326" t="str">
        <f>J75</f>
        <v>Roderick Hoffman</v>
      </c>
      <c r="K1326" s="1067">
        <f>K75</f>
        <v>41671</v>
      </c>
    </row>
    <row r="1327" spans="1:11" x14ac:dyDescent="0.2">
      <c r="A1327">
        <f t="shared" si="109"/>
        <v>16</v>
      </c>
      <c r="B1327" s="80" t="s">
        <v>7605</v>
      </c>
      <c r="C1327" t="s">
        <v>9994</v>
      </c>
      <c r="D1327">
        <f>D77</f>
        <v>3</v>
      </c>
      <c r="E1327">
        <f>E77</f>
        <v>8</v>
      </c>
      <c r="G1327"/>
      <c r="I1327"/>
      <c r="J1327" t="str">
        <f>J77</f>
        <v>Steve Taylor</v>
      </c>
      <c r="K1327" s="1067">
        <f>K77</f>
        <v>42308</v>
      </c>
    </row>
    <row r="1328" spans="1:11" x14ac:dyDescent="0.2">
      <c r="A1328">
        <f t="shared" si="109"/>
        <v>17</v>
      </c>
      <c r="B1328" s="80" t="s">
        <v>7605</v>
      </c>
      <c r="C1328" t="s">
        <v>9996</v>
      </c>
      <c r="D1328">
        <f>D84</f>
        <v>3</v>
      </c>
      <c r="E1328">
        <f>E84</f>
        <v>3</v>
      </c>
      <c r="G1328"/>
      <c r="I1328"/>
      <c r="J1328" t="str">
        <f>J84</f>
        <v>Richard Ruffell</v>
      </c>
      <c r="K1328" s="1067">
        <f>K84</f>
        <v>41790</v>
      </c>
    </row>
    <row r="1329" spans="1:11" x14ac:dyDescent="0.2">
      <c r="A1329">
        <f t="shared" si="109"/>
        <v>18</v>
      </c>
      <c r="B1329" s="80" t="s">
        <v>7605</v>
      </c>
      <c r="C1329" t="s">
        <v>9997</v>
      </c>
      <c r="D1329">
        <f>D96</f>
        <v>3</v>
      </c>
      <c r="E1329">
        <f>E96</f>
        <v>3</v>
      </c>
      <c r="G1329"/>
      <c r="I1329"/>
      <c r="J1329" t="str">
        <f>J96</f>
        <v>Ian Cunningham</v>
      </c>
      <c r="K1329" s="1067">
        <f>K96</f>
        <v>41741</v>
      </c>
    </row>
    <row r="1330" spans="1:11" x14ac:dyDescent="0.2">
      <c r="A1330">
        <f t="shared" si="109"/>
        <v>19</v>
      </c>
      <c r="B1330" s="80" t="s">
        <v>7605</v>
      </c>
      <c r="C1330" t="s">
        <v>9999</v>
      </c>
      <c r="D1330">
        <f>D110</f>
        <v>5</v>
      </c>
      <c r="E1330">
        <f>E110</f>
        <v>29</v>
      </c>
      <c r="G1330"/>
      <c r="I1330"/>
      <c r="J1330" t="str">
        <f>J110</f>
        <v>Chichester</v>
      </c>
      <c r="K1330" s="1067">
        <f>K110</f>
        <v>41902</v>
      </c>
    </row>
    <row r="1331" spans="1:11" x14ac:dyDescent="0.2">
      <c r="A1331">
        <f t="shared" si="109"/>
        <v>20</v>
      </c>
      <c r="B1331" s="80" t="s">
        <v>7605</v>
      </c>
      <c r="C1331" t="s">
        <v>10001</v>
      </c>
      <c r="D1331">
        <f>D116</f>
        <v>2</v>
      </c>
      <c r="E1331">
        <f>E116</f>
        <v>4</v>
      </c>
      <c r="G1331"/>
      <c r="I1331"/>
      <c r="J1331" t="str">
        <f>J116</f>
        <v>Roderick Hoffman</v>
      </c>
      <c r="K1331" s="1067">
        <f>K116</f>
        <v>41657</v>
      </c>
    </row>
    <row r="1332" spans="1:11" x14ac:dyDescent="0.2">
      <c r="A1332">
        <f t="shared" si="109"/>
        <v>21</v>
      </c>
      <c r="B1332" s="80" t="s">
        <v>7605</v>
      </c>
      <c r="C1332" t="s">
        <v>10003</v>
      </c>
      <c r="D1332">
        <f>D142</f>
        <v>11</v>
      </c>
      <c r="E1332">
        <f>E142</f>
        <v>11</v>
      </c>
      <c r="G1332"/>
      <c r="I1332"/>
      <c r="J1332" t="str">
        <f>J142</f>
        <v>Roderick Hoffman</v>
      </c>
      <c r="K1332" s="1067">
        <f>K142</f>
        <v>42119</v>
      </c>
    </row>
    <row r="1333" spans="1:11" x14ac:dyDescent="0.2">
      <c r="A1333">
        <f t="shared" si="109"/>
        <v>22</v>
      </c>
      <c r="B1333" s="80" t="s">
        <v>7605</v>
      </c>
      <c r="C1333" t="s">
        <v>10004</v>
      </c>
      <c r="D1333">
        <f>D153</f>
        <v>1</v>
      </c>
      <c r="E1333">
        <f>E153</f>
        <v>1</v>
      </c>
      <c r="G1333"/>
      <c r="I1333"/>
      <c r="J1333" t="str">
        <f>J153</f>
        <v>Steve Newell</v>
      </c>
      <c r="K1333" s="1067">
        <f>K153</f>
        <v>43295</v>
      </c>
    </row>
    <row r="1334" spans="1:11" x14ac:dyDescent="0.2">
      <c r="A1334">
        <f t="shared" si="109"/>
        <v>23</v>
      </c>
      <c r="B1334" s="80" t="s">
        <v>7605</v>
      </c>
      <c r="C1334" t="s">
        <v>10006</v>
      </c>
      <c r="D1334">
        <f>D152</f>
        <v>2</v>
      </c>
      <c r="E1334">
        <f>E152</f>
        <v>2</v>
      </c>
      <c r="G1334"/>
      <c r="I1334"/>
      <c r="J1334" t="str">
        <f>J152</f>
        <v>Roderick Hoffman</v>
      </c>
      <c r="K1334" s="1067">
        <f>K152</f>
        <v>42224</v>
      </c>
    </row>
    <row r="1335" spans="1:11" x14ac:dyDescent="0.2">
      <c r="A1335">
        <f t="shared" si="109"/>
        <v>24</v>
      </c>
      <c r="B1335" s="80" t="s">
        <v>7605</v>
      </c>
      <c r="C1335" t="s">
        <v>10007</v>
      </c>
      <c r="D1335">
        <f>D165</f>
        <v>3</v>
      </c>
      <c r="E1335">
        <f>E165</f>
        <v>3</v>
      </c>
      <c r="G1335"/>
      <c r="I1335"/>
      <c r="J1335" t="str">
        <f>J165</f>
        <v>Roderick Hoffman</v>
      </c>
      <c r="K1335" s="1067">
        <f>K165</f>
        <v>42182</v>
      </c>
    </row>
    <row r="1336" spans="1:11" x14ac:dyDescent="0.2">
      <c r="A1336">
        <f t="shared" si="109"/>
        <v>25</v>
      </c>
      <c r="B1336" s="80" t="s">
        <v>7605</v>
      </c>
      <c r="C1336" t="s">
        <v>10009</v>
      </c>
      <c r="D1336">
        <f>D188</f>
        <v>3</v>
      </c>
      <c r="E1336">
        <f>E188</f>
        <v>3</v>
      </c>
      <c r="G1336"/>
      <c r="I1336"/>
      <c r="J1336" t="str">
        <f>J188</f>
        <v>Steve Newell</v>
      </c>
      <c r="K1336" s="1067">
        <f>K188</f>
        <v>43008</v>
      </c>
    </row>
    <row r="1337" spans="1:11" x14ac:dyDescent="0.2">
      <c r="A1337">
        <f t="shared" si="109"/>
        <v>26</v>
      </c>
      <c r="B1337" s="80" t="s">
        <v>7605</v>
      </c>
      <c r="C1337" t="s">
        <v>10011</v>
      </c>
      <c r="D1337">
        <f>D190</f>
        <v>3</v>
      </c>
      <c r="E1337">
        <f>E190</f>
        <v>3</v>
      </c>
      <c r="G1337"/>
      <c r="I1337"/>
      <c r="J1337" t="str">
        <f>J190</f>
        <v>Neil Frediani</v>
      </c>
      <c r="K1337" s="1067">
        <f>K190</f>
        <v>42455</v>
      </c>
    </row>
    <row r="1338" spans="1:11" x14ac:dyDescent="0.2">
      <c r="A1338">
        <f t="shared" si="109"/>
        <v>27</v>
      </c>
      <c r="B1338" s="80" t="s">
        <v>7605</v>
      </c>
      <c r="C1338" t="s">
        <v>10012</v>
      </c>
      <c r="D1338">
        <f>D191</f>
        <v>3</v>
      </c>
      <c r="E1338">
        <f>E191</f>
        <v>3</v>
      </c>
      <c r="G1338"/>
      <c r="I1338"/>
      <c r="J1338" t="str">
        <f>J191</f>
        <v>Roderick Hoffman</v>
      </c>
      <c r="K1338" s="1067">
        <f>K191</f>
        <v>41064</v>
      </c>
    </row>
    <row r="1339" spans="1:11" x14ac:dyDescent="0.2">
      <c r="A1339">
        <f t="shared" si="109"/>
        <v>28</v>
      </c>
      <c r="B1339" s="80" t="s">
        <v>7605</v>
      </c>
      <c r="C1339" t="s">
        <v>10014</v>
      </c>
      <c r="D1339">
        <f>D204</f>
        <v>5</v>
      </c>
      <c r="E1339">
        <f>E204</f>
        <v>5</v>
      </c>
      <c r="G1339"/>
      <c r="I1339"/>
      <c r="J1339" t="str">
        <f>J204</f>
        <v>Sarah Gordon</v>
      </c>
      <c r="K1339" s="1067">
        <f>K204</f>
        <v>41843</v>
      </c>
    </row>
    <row r="1340" spans="1:11" x14ac:dyDescent="0.2">
      <c r="A1340">
        <f t="shared" si="109"/>
        <v>29</v>
      </c>
      <c r="B1340" s="80" t="s">
        <v>7605</v>
      </c>
      <c r="C1340" t="s">
        <v>10015</v>
      </c>
      <c r="D1340">
        <f>D212</f>
        <v>2</v>
      </c>
      <c r="E1340">
        <f>E212</f>
        <v>2</v>
      </c>
      <c r="G1340"/>
      <c r="I1340"/>
      <c r="J1340" t="str">
        <f>J212</f>
        <v>Trish McCabe</v>
      </c>
      <c r="K1340" s="1067">
        <f>K212</f>
        <v>42595</v>
      </c>
    </row>
    <row r="1341" spans="1:11" x14ac:dyDescent="0.2">
      <c r="A1341">
        <f t="shared" si="109"/>
        <v>30</v>
      </c>
      <c r="B1341" s="80" t="s">
        <v>7605</v>
      </c>
      <c r="C1341" t="s">
        <v>10016</v>
      </c>
      <c r="D1341">
        <f>D219</f>
        <v>31</v>
      </c>
      <c r="E1341">
        <f>E219</f>
        <v>123</v>
      </c>
      <c r="G1341"/>
      <c r="I1341"/>
      <c r="J1341" t="str">
        <f>J219</f>
        <v>Clara Halket</v>
      </c>
      <c r="K1341" s="1067">
        <f>K219</f>
        <v>40222</v>
      </c>
    </row>
    <row r="1342" spans="1:11" x14ac:dyDescent="0.2">
      <c r="A1342">
        <f t="shared" si="109"/>
        <v>31</v>
      </c>
      <c r="B1342" s="80" t="s">
        <v>7605</v>
      </c>
      <c r="C1342" t="s">
        <v>10019</v>
      </c>
      <c r="D1342">
        <f>D246</f>
        <v>2</v>
      </c>
      <c r="E1342">
        <f>E246</f>
        <v>2</v>
      </c>
      <c r="G1342"/>
      <c r="I1342"/>
      <c r="J1342" t="str">
        <f>J246</f>
        <v>Roderick Hoffman</v>
      </c>
      <c r="K1342" s="1067">
        <f>K246</f>
        <v>42756</v>
      </c>
    </row>
    <row r="1343" spans="1:11" x14ac:dyDescent="0.2">
      <c r="A1343">
        <f t="shared" si="109"/>
        <v>32</v>
      </c>
      <c r="B1343" s="80" t="s">
        <v>7605</v>
      </c>
      <c r="C1343" t="s">
        <v>10021</v>
      </c>
      <c r="D1343">
        <f>D253</f>
        <v>23</v>
      </c>
      <c r="E1343">
        <f>E253</f>
        <v>193</v>
      </c>
      <c r="G1343"/>
      <c r="I1343"/>
      <c r="J1343" t="str">
        <f>J253</f>
        <v>Ian Cunningham</v>
      </c>
      <c r="K1343" s="1067">
        <f>K253</f>
        <v>40978</v>
      </c>
    </row>
    <row r="1344" spans="1:11" x14ac:dyDescent="0.2">
      <c r="A1344">
        <f t="shared" si="109"/>
        <v>33</v>
      </c>
      <c r="B1344" s="80" t="s">
        <v>7605</v>
      </c>
      <c r="C1344" t="s">
        <v>10023</v>
      </c>
      <c r="D1344">
        <f>D266</f>
        <v>2</v>
      </c>
      <c r="E1344">
        <f>E266</f>
        <v>2</v>
      </c>
      <c r="G1344"/>
      <c r="I1344"/>
      <c r="J1344" t="str">
        <f>J266</f>
        <v>Roderick Hoffman</v>
      </c>
      <c r="K1344" s="1067">
        <f>K266</f>
        <v>41937</v>
      </c>
    </row>
    <row r="1345" spans="1:11" x14ac:dyDescent="0.2">
      <c r="A1345">
        <f t="shared" ref="A1345:A1376" si="110">A1344+1</f>
        <v>34</v>
      </c>
      <c r="B1345" s="80" t="s">
        <v>7605</v>
      </c>
      <c r="C1345" t="s">
        <v>10024</v>
      </c>
      <c r="D1345">
        <f>D273</f>
        <v>7</v>
      </c>
      <c r="E1345">
        <f>E273</f>
        <v>7</v>
      </c>
      <c r="G1345"/>
      <c r="I1345"/>
      <c r="J1345" t="str">
        <f>J273</f>
        <v>Julie Barclay</v>
      </c>
      <c r="K1345" s="1067">
        <f>K273</f>
        <v>43183</v>
      </c>
    </row>
    <row r="1346" spans="1:11" x14ac:dyDescent="0.2">
      <c r="A1346">
        <f t="shared" si="110"/>
        <v>35</v>
      </c>
      <c r="B1346" s="80" t="s">
        <v>7605</v>
      </c>
      <c r="C1346" t="s">
        <v>10025</v>
      </c>
      <c r="D1346">
        <f>D275</f>
        <v>4</v>
      </c>
      <c r="E1346">
        <f>E275</f>
        <v>7</v>
      </c>
      <c r="G1346"/>
      <c r="I1346"/>
      <c r="J1346" t="str">
        <f>J275</f>
        <v>Roderick Hoffman</v>
      </c>
      <c r="K1346" s="1067">
        <f>K275</f>
        <v>41251</v>
      </c>
    </row>
    <row r="1347" spans="1:11" x14ac:dyDescent="0.2">
      <c r="A1347">
        <f t="shared" si="110"/>
        <v>36</v>
      </c>
      <c r="B1347" s="80" t="s">
        <v>7605</v>
      </c>
      <c r="C1347" t="s">
        <v>10027</v>
      </c>
      <c r="D1347">
        <f>D276</f>
        <v>32</v>
      </c>
      <c r="E1347">
        <f>E276</f>
        <v>193</v>
      </c>
      <c r="G1347"/>
      <c r="I1347"/>
      <c r="J1347" t="str">
        <f>J276</f>
        <v>John Lennon</v>
      </c>
      <c r="K1347" s="1067">
        <f>K276</f>
        <v>43176</v>
      </c>
    </row>
    <row r="1348" spans="1:11" x14ac:dyDescent="0.2">
      <c r="A1348">
        <f t="shared" si="110"/>
        <v>37</v>
      </c>
      <c r="B1348" s="80" t="s">
        <v>7605</v>
      </c>
      <c r="C1348" t="s">
        <v>10028</v>
      </c>
      <c r="D1348">
        <f>D280</f>
        <v>9</v>
      </c>
      <c r="E1348">
        <f>E280</f>
        <v>19</v>
      </c>
      <c r="G1348"/>
      <c r="I1348"/>
      <c r="J1348" t="str">
        <f>J280</f>
        <v>Alice Banks</v>
      </c>
      <c r="K1348" s="1067">
        <f>K280</f>
        <v>42917</v>
      </c>
    </row>
    <row r="1349" spans="1:11" x14ac:dyDescent="0.2">
      <c r="A1349">
        <f t="shared" si="110"/>
        <v>38</v>
      </c>
      <c r="B1349" s="80" t="s">
        <v>7605</v>
      </c>
      <c r="C1349" t="s">
        <v>10029</v>
      </c>
      <c r="D1349" s="5">
        <f>D290</f>
        <v>6</v>
      </c>
      <c r="E1349" s="5">
        <f>E290</f>
        <v>6</v>
      </c>
      <c r="F1349" s="5"/>
      <c r="G1349" s="5"/>
      <c r="H1349" s="5"/>
      <c r="I1349" s="5"/>
      <c r="J1349" s="5" t="str">
        <f>J290</f>
        <v>Barclay/Watt</v>
      </c>
      <c r="K1349" s="1068">
        <f>K290</f>
        <v>43211</v>
      </c>
    </row>
    <row r="1350" spans="1:11" x14ac:dyDescent="0.2">
      <c r="A1350">
        <f t="shared" si="110"/>
        <v>39</v>
      </c>
      <c r="B1350" s="80" t="s">
        <v>7605</v>
      </c>
      <c r="C1350" t="s">
        <v>10030</v>
      </c>
      <c r="D1350">
        <f>D109</f>
        <v>38</v>
      </c>
      <c r="E1350">
        <f>E109</f>
        <v>119</v>
      </c>
      <c r="G1350"/>
      <c r="I1350"/>
      <c r="J1350" t="str">
        <f>J109</f>
        <v>John Coffey</v>
      </c>
      <c r="K1350" s="1067">
        <f>K109</f>
        <v>42658</v>
      </c>
    </row>
    <row r="1351" spans="1:11" x14ac:dyDescent="0.2">
      <c r="A1351">
        <f t="shared" si="110"/>
        <v>40</v>
      </c>
      <c r="B1351" s="80" t="s">
        <v>7605</v>
      </c>
      <c r="C1351" t="s">
        <v>10032</v>
      </c>
      <c r="D1351">
        <f>D293</f>
        <v>5</v>
      </c>
      <c r="E1351">
        <f>E293</f>
        <v>55</v>
      </c>
      <c r="G1351"/>
      <c r="I1351"/>
      <c r="J1351" t="str">
        <f>J293</f>
        <v>Roderick Hoffman</v>
      </c>
      <c r="K1351" s="1067">
        <f>K293</f>
        <v>41902</v>
      </c>
    </row>
    <row r="1352" spans="1:11" x14ac:dyDescent="0.2">
      <c r="A1352">
        <f t="shared" si="110"/>
        <v>41</v>
      </c>
      <c r="B1352" s="80" t="s">
        <v>7605</v>
      </c>
      <c r="C1352" t="s">
        <v>10033</v>
      </c>
      <c r="D1352">
        <f>D295</f>
        <v>9</v>
      </c>
      <c r="E1352">
        <f>E295</f>
        <v>9</v>
      </c>
      <c r="G1352"/>
      <c r="I1352"/>
      <c r="J1352" t="str">
        <f>J295</f>
        <v>Roderick Hoffman</v>
      </c>
      <c r="K1352" s="1067">
        <f>K295</f>
        <v>42777</v>
      </c>
    </row>
    <row r="1353" spans="1:11" x14ac:dyDescent="0.2">
      <c r="A1353">
        <f t="shared" si="110"/>
        <v>42</v>
      </c>
      <c r="B1353" s="80" t="s">
        <v>7605</v>
      </c>
      <c r="C1353" t="s">
        <v>10034</v>
      </c>
      <c r="D1353">
        <f>D329</f>
        <v>6</v>
      </c>
      <c r="E1353">
        <f>E329</f>
        <v>6</v>
      </c>
      <c r="G1353"/>
      <c r="I1353"/>
      <c r="J1353" t="str">
        <f>J329</f>
        <v>Roderick Hoffman</v>
      </c>
      <c r="K1353" s="1067">
        <f>K329</f>
        <v>42322</v>
      </c>
    </row>
    <row r="1354" spans="1:11" x14ac:dyDescent="0.2">
      <c r="A1354">
        <f t="shared" si="110"/>
        <v>43</v>
      </c>
      <c r="B1354" s="80" t="s">
        <v>7605</v>
      </c>
      <c r="C1354" t="s">
        <v>10035</v>
      </c>
      <c r="D1354">
        <f>D334</f>
        <v>6</v>
      </c>
      <c r="E1354">
        <f>E334</f>
        <v>6</v>
      </c>
      <c r="G1354"/>
      <c r="I1354"/>
      <c r="J1354" t="str">
        <f>J334</f>
        <v>Roderick Hoffman</v>
      </c>
      <c r="K1354" s="1067">
        <f>K334</f>
        <v>42574</v>
      </c>
    </row>
    <row r="1355" spans="1:11" x14ac:dyDescent="0.2">
      <c r="A1355">
        <f t="shared" si="110"/>
        <v>44</v>
      </c>
      <c r="B1355" s="80" t="s">
        <v>7605</v>
      </c>
      <c r="C1355" t="s">
        <v>10036</v>
      </c>
      <c r="D1355">
        <f>D345</f>
        <v>3</v>
      </c>
      <c r="E1355">
        <f>E345</f>
        <v>3</v>
      </c>
      <c r="G1355"/>
      <c r="I1355"/>
      <c r="J1355" t="str">
        <f>J345</f>
        <v>Roderick Hoffman</v>
      </c>
      <c r="K1355" s="1067">
        <f>K345</f>
        <v>42266</v>
      </c>
    </row>
    <row r="1356" spans="1:11" x14ac:dyDescent="0.2">
      <c r="A1356">
        <f t="shared" si="110"/>
        <v>45</v>
      </c>
      <c r="B1356" s="80" t="s">
        <v>7605</v>
      </c>
      <c r="C1356" t="s">
        <v>10037</v>
      </c>
      <c r="D1356">
        <f>D350</f>
        <v>2</v>
      </c>
      <c r="E1356">
        <f>E350</f>
        <v>3</v>
      </c>
      <c r="G1356"/>
      <c r="I1356"/>
      <c r="J1356" t="str">
        <f>J350</f>
        <v>Maria Jovani</v>
      </c>
      <c r="K1356" s="1067">
        <f>K350</f>
        <v>43400</v>
      </c>
    </row>
    <row r="1357" spans="1:11" x14ac:dyDescent="0.2">
      <c r="A1357">
        <f t="shared" si="110"/>
        <v>46</v>
      </c>
      <c r="B1357" s="80" t="s">
        <v>7605</v>
      </c>
      <c r="C1357" t="s">
        <v>10038</v>
      </c>
      <c r="D1357">
        <f>D352</f>
        <v>24</v>
      </c>
      <c r="E1357">
        <f>E352</f>
        <v>297</v>
      </c>
      <c r="G1357"/>
      <c r="I1357"/>
      <c r="J1357" t="str">
        <f>J352</f>
        <v>John Scaife</v>
      </c>
      <c r="K1357" s="1067">
        <f>K352</f>
        <v>42084</v>
      </c>
    </row>
    <row r="1358" spans="1:11" x14ac:dyDescent="0.2">
      <c r="A1358">
        <f t="shared" si="110"/>
        <v>47</v>
      </c>
      <c r="B1358" s="80" t="s">
        <v>7605</v>
      </c>
      <c r="C1358" t="s">
        <v>10039</v>
      </c>
      <c r="D1358">
        <f>D353</f>
        <v>2</v>
      </c>
      <c r="E1358">
        <f>E353</f>
        <v>3</v>
      </c>
      <c r="G1358"/>
      <c r="I1358"/>
      <c r="J1358" t="str">
        <f>J353</f>
        <v>Trish McCabe</v>
      </c>
      <c r="K1358" s="1067">
        <f>K353</f>
        <v>42651</v>
      </c>
    </row>
    <row r="1359" spans="1:11" x14ac:dyDescent="0.2">
      <c r="A1359">
        <f t="shared" si="110"/>
        <v>48</v>
      </c>
      <c r="B1359" s="80" t="s">
        <v>7605</v>
      </c>
      <c r="C1359" t="s">
        <v>10040</v>
      </c>
      <c r="D1359">
        <f>D355</f>
        <v>2</v>
      </c>
      <c r="E1359">
        <f>E355</f>
        <v>2</v>
      </c>
      <c r="G1359"/>
      <c r="I1359"/>
      <c r="J1359" t="str">
        <f>J355</f>
        <v>Roderick Hoffman</v>
      </c>
      <c r="K1359" s="1067">
        <f>K355</f>
        <v>42294</v>
      </c>
    </row>
    <row r="1360" spans="1:11" x14ac:dyDescent="0.2">
      <c r="A1360">
        <f t="shared" si="110"/>
        <v>49</v>
      </c>
      <c r="B1360" s="80" t="s">
        <v>7605</v>
      </c>
      <c r="C1360" t="s">
        <v>10043</v>
      </c>
      <c r="D1360">
        <f>D359</f>
        <v>4</v>
      </c>
      <c r="E1360">
        <f>E359</f>
        <v>4</v>
      </c>
      <c r="G1360"/>
      <c r="I1360"/>
      <c r="J1360" t="str">
        <f>J359</f>
        <v>Roderick Hoffman</v>
      </c>
      <c r="K1360" s="1067">
        <f>K359</f>
        <v>41727</v>
      </c>
    </row>
    <row r="1361" spans="1:11" x14ac:dyDescent="0.2">
      <c r="A1361">
        <f t="shared" si="110"/>
        <v>50</v>
      </c>
      <c r="B1361" s="80" t="s">
        <v>7605</v>
      </c>
      <c r="C1361" t="s">
        <v>10045</v>
      </c>
      <c r="D1361">
        <f>D304</f>
        <v>9</v>
      </c>
      <c r="E1361">
        <f>E304</f>
        <v>13</v>
      </c>
      <c r="G1361"/>
      <c r="I1361"/>
      <c r="J1361" t="str">
        <f>J304</f>
        <v>Janet Smith</v>
      </c>
      <c r="K1361" s="1067">
        <f>K304</f>
        <v>42532</v>
      </c>
    </row>
    <row r="1362" spans="1:11" x14ac:dyDescent="0.2">
      <c r="A1362">
        <f t="shared" si="110"/>
        <v>51</v>
      </c>
      <c r="B1362" s="80" t="s">
        <v>7605</v>
      </c>
      <c r="C1362" t="s">
        <v>10048</v>
      </c>
      <c r="D1362">
        <f>D375</f>
        <v>6</v>
      </c>
      <c r="E1362">
        <f>E375</f>
        <v>12</v>
      </c>
      <c r="G1362"/>
      <c r="I1362"/>
      <c r="J1362" t="str">
        <f>J375</f>
        <v>Roderick Hoffman</v>
      </c>
      <c r="K1362" s="1067">
        <f>K375</f>
        <v>40950</v>
      </c>
    </row>
    <row r="1363" spans="1:11" x14ac:dyDescent="0.2">
      <c r="A1363">
        <f t="shared" si="110"/>
        <v>52</v>
      </c>
      <c r="B1363" s="80" t="s">
        <v>7605</v>
      </c>
      <c r="C1363" t="s">
        <v>10049</v>
      </c>
      <c r="D1363">
        <f>D377</f>
        <v>17</v>
      </c>
      <c r="E1363">
        <f>E377</f>
        <v>22</v>
      </c>
      <c r="G1363"/>
      <c r="I1363"/>
      <c r="J1363" t="str">
        <f>J377</f>
        <v>Ben Chaytow</v>
      </c>
      <c r="K1363" s="1067">
        <f>K377</f>
        <v>42818</v>
      </c>
    </row>
    <row r="1364" spans="1:11" x14ac:dyDescent="0.2">
      <c r="A1364">
        <f t="shared" si="110"/>
        <v>53</v>
      </c>
      <c r="B1364" s="80" t="s">
        <v>7605</v>
      </c>
      <c r="C1364" t="s">
        <v>10051</v>
      </c>
      <c r="D1364">
        <f>D391</f>
        <v>2</v>
      </c>
      <c r="E1364">
        <f>E391</f>
        <v>2</v>
      </c>
      <c r="G1364"/>
      <c r="I1364"/>
      <c r="J1364" t="str">
        <f>J391</f>
        <v>Roderick Hoffman</v>
      </c>
      <c r="K1364" s="1067">
        <f>K391</f>
        <v>41888</v>
      </c>
    </row>
    <row r="1365" spans="1:11" x14ac:dyDescent="0.2">
      <c r="A1365">
        <f t="shared" si="110"/>
        <v>54</v>
      </c>
      <c r="B1365" s="80" t="s">
        <v>7605</v>
      </c>
      <c r="C1365" t="s">
        <v>10053</v>
      </c>
      <c r="D1365">
        <f>D393</f>
        <v>6</v>
      </c>
      <c r="E1365">
        <f>E393</f>
        <v>7</v>
      </c>
      <c r="G1365"/>
      <c r="I1365"/>
      <c r="J1365" t="str">
        <f>J393</f>
        <v>Roderick Hoffman</v>
      </c>
      <c r="K1365" s="1067">
        <f>K393</f>
        <v>41065</v>
      </c>
    </row>
    <row r="1366" spans="1:11" x14ac:dyDescent="0.2">
      <c r="A1366">
        <f t="shared" si="110"/>
        <v>55</v>
      </c>
      <c r="B1366" s="80" t="s">
        <v>7605</v>
      </c>
      <c r="C1366" t="s">
        <v>10055</v>
      </c>
      <c r="D1366">
        <f>D398</f>
        <v>22</v>
      </c>
      <c r="E1366">
        <f>E398</f>
        <v>44</v>
      </c>
      <c r="G1366"/>
      <c r="I1366"/>
      <c r="J1366" t="str">
        <f>J398</f>
        <v>Ian Cunningham</v>
      </c>
      <c r="K1366" s="1067">
        <f>K398</f>
        <v>40909</v>
      </c>
    </row>
    <row r="1367" spans="1:11" x14ac:dyDescent="0.2">
      <c r="A1367">
        <f t="shared" si="110"/>
        <v>56</v>
      </c>
      <c r="B1367" s="80" t="s">
        <v>7605</v>
      </c>
      <c r="C1367" t="s">
        <v>10057</v>
      </c>
      <c r="D1367">
        <f>D414</f>
        <v>6</v>
      </c>
      <c r="E1367">
        <f>E414</f>
        <v>7</v>
      </c>
      <c r="G1367"/>
      <c r="I1367"/>
      <c r="J1367" t="str">
        <f>J414</f>
        <v>Roderick Hoffman</v>
      </c>
      <c r="K1367" s="1067">
        <f>K414</f>
        <v>40957</v>
      </c>
    </row>
    <row r="1368" spans="1:11" x14ac:dyDescent="0.2">
      <c r="A1368">
        <f t="shared" si="110"/>
        <v>57</v>
      </c>
      <c r="B1368" s="80" t="s">
        <v>7605</v>
      </c>
      <c r="C1368" s="585" t="s">
        <v>10060</v>
      </c>
      <c r="D1368" s="585">
        <f>D419</f>
        <v>0</v>
      </c>
      <c r="E1368" s="585">
        <f>E419</f>
        <v>0</v>
      </c>
      <c r="G1368"/>
      <c r="I1368"/>
      <c r="J1368">
        <f>J419</f>
        <v>0</v>
      </c>
      <c r="K1368" s="1067">
        <f>K419</f>
        <v>0</v>
      </c>
    </row>
    <row r="1369" spans="1:11" x14ac:dyDescent="0.2">
      <c r="A1369">
        <f t="shared" si="110"/>
        <v>58</v>
      </c>
      <c r="B1369" s="80" t="s">
        <v>7605</v>
      </c>
      <c r="C1369" t="s">
        <v>10061</v>
      </c>
      <c r="D1369">
        <f>D421</f>
        <v>2</v>
      </c>
      <c r="E1369">
        <f>E421</f>
        <v>2</v>
      </c>
      <c r="G1369"/>
      <c r="I1369"/>
      <c r="J1369" t="str">
        <f>J421</f>
        <v>Trish McCabe</v>
      </c>
      <c r="K1369" s="1067">
        <f>K421</f>
        <v>43204</v>
      </c>
    </row>
    <row r="1370" spans="1:11" x14ac:dyDescent="0.2">
      <c r="A1370">
        <f t="shared" si="110"/>
        <v>59</v>
      </c>
      <c r="B1370" s="80" t="s">
        <v>7605</v>
      </c>
      <c r="C1370" t="s">
        <v>10062</v>
      </c>
      <c r="D1370">
        <f>D435</f>
        <v>4</v>
      </c>
      <c r="E1370">
        <f>E435</f>
        <v>4</v>
      </c>
      <c r="G1370"/>
      <c r="I1370"/>
      <c r="J1370" t="str">
        <f>J435</f>
        <v>Janet Smith</v>
      </c>
      <c r="K1370" s="1067">
        <f>K435</f>
        <v>42679</v>
      </c>
    </row>
    <row r="1371" spans="1:11" x14ac:dyDescent="0.2">
      <c r="A1371">
        <f t="shared" si="110"/>
        <v>60</v>
      </c>
      <c r="B1371" s="80" t="s">
        <v>7605</v>
      </c>
      <c r="C1371" t="s">
        <v>10064</v>
      </c>
      <c r="D1371">
        <f>D438</f>
        <v>6</v>
      </c>
      <c r="E1371">
        <f>E438</f>
        <v>7</v>
      </c>
      <c r="G1371"/>
      <c r="I1371"/>
      <c r="J1371"/>
      <c r="K1371" s="1067"/>
    </row>
    <row r="1372" spans="1:11" x14ac:dyDescent="0.2">
      <c r="A1372">
        <f t="shared" si="110"/>
        <v>61</v>
      </c>
      <c r="B1372" s="80" t="s">
        <v>7605</v>
      </c>
      <c r="C1372" t="s">
        <v>10065</v>
      </c>
      <c r="D1372">
        <f>D440</f>
        <v>9</v>
      </c>
      <c r="E1372">
        <f>E440</f>
        <v>7</v>
      </c>
      <c r="G1372"/>
      <c r="I1372"/>
      <c r="J1372" t="str">
        <f>J440</f>
        <v>Alice Banks</v>
      </c>
      <c r="K1372" s="1067">
        <f>K440</f>
        <v>43239</v>
      </c>
    </row>
    <row r="1373" spans="1:11" x14ac:dyDescent="0.2">
      <c r="A1373">
        <f t="shared" si="110"/>
        <v>62</v>
      </c>
      <c r="B1373" s="80" t="s">
        <v>7605</v>
      </c>
      <c r="C1373" t="s">
        <v>10066</v>
      </c>
      <c r="D1373" s="5">
        <f>D442</f>
        <v>8</v>
      </c>
      <c r="E1373" s="5">
        <f>E442</f>
        <v>8</v>
      </c>
      <c r="F1373" s="5"/>
      <c r="G1373" s="5"/>
      <c r="H1373" s="5"/>
      <c r="I1373" s="5"/>
      <c r="J1373" s="5" t="str">
        <f>J442</f>
        <v>Roderick Hoffman</v>
      </c>
      <c r="K1373" s="1068">
        <f>K442</f>
        <v>41412</v>
      </c>
    </row>
    <row r="1374" spans="1:11" x14ac:dyDescent="0.2">
      <c r="A1374">
        <f t="shared" si="110"/>
        <v>63</v>
      </c>
      <c r="B1374" s="80" t="s">
        <v>7605</v>
      </c>
      <c r="C1374" t="s">
        <v>10067</v>
      </c>
      <c r="D1374">
        <f>D446</f>
        <v>21</v>
      </c>
      <c r="E1374">
        <f>E446</f>
        <v>918</v>
      </c>
      <c r="G1374"/>
      <c r="I1374"/>
      <c r="J1374" t="str">
        <f>J446</f>
        <v>Chris Kelly</v>
      </c>
      <c r="K1374" s="1067">
        <f>K446</f>
        <v>40068</v>
      </c>
    </row>
    <row r="1375" spans="1:11" x14ac:dyDescent="0.2">
      <c r="A1375">
        <f t="shared" si="110"/>
        <v>64</v>
      </c>
      <c r="B1375" s="80" t="s">
        <v>7605</v>
      </c>
      <c r="C1375" t="s">
        <v>10070</v>
      </c>
      <c r="D1375">
        <f>D448</f>
        <v>12</v>
      </c>
      <c r="E1375">
        <f>E448</f>
        <v>17</v>
      </c>
      <c r="G1375"/>
      <c r="I1375"/>
      <c r="J1375" t="str">
        <f>J448</f>
        <v>Roderick Hoffman</v>
      </c>
      <c r="K1375" s="1067">
        <f>K448</f>
        <v>42210</v>
      </c>
    </row>
    <row r="1376" spans="1:11" x14ac:dyDescent="0.2">
      <c r="A1376">
        <f t="shared" si="110"/>
        <v>65</v>
      </c>
      <c r="B1376" s="80" t="s">
        <v>7605</v>
      </c>
      <c r="C1376" t="s">
        <v>10071</v>
      </c>
      <c r="D1376">
        <f>D472</f>
        <v>3</v>
      </c>
      <c r="E1376">
        <f>E472</f>
        <v>3</v>
      </c>
      <c r="G1376"/>
      <c r="I1376"/>
      <c r="J1376" t="str">
        <f>J472</f>
        <v>Steve Newell</v>
      </c>
      <c r="K1376" s="1067">
        <f>K472</f>
        <v>42532</v>
      </c>
    </row>
    <row r="1377" spans="1:11" x14ac:dyDescent="0.2">
      <c r="A1377">
        <f t="shared" ref="A1377:A1393" si="111">A1376+1</f>
        <v>66</v>
      </c>
      <c r="B1377" s="80" t="s">
        <v>7605</v>
      </c>
      <c r="C1377" t="s">
        <v>10072</v>
      </c>
      <c r="D1377">
        <f>D475</f>
        <v>3</v>
      </c>
      <c r="E1377">
        <f>E475</f>
        <v>3</v>
      </c>
      <c r="G1377"/>
      <c r="I1377"/>
      <c r="J1377" t="str">
        <f>J475</f>
        <v>Richard Ruffell</v>
      </c>
      <c r="K1377" s="1067">
        <f>K475</f>
        <v>42322</v>
      </c>
    </row>
    <row r="1378" spans="1:11" x14ac:dyDescent="0.2">
      <c r="A1378">
        <f t="shared" si="111"/>
        <v>67</v>
      </c>
      <c r="B1378" s="80" t="s">
        <v>7605</v>
      </c>
      <c r="C1378" t="s">
        <v>10073</v>
      </c>
      <c r="D1378">
        <f>D477</f>
        <v>20</v>
      </c>
      <c r="E1378">
        <f>E477</f>
        <v>134</v>
      </c>
      <c r="G1378"/>
      <c r="I1378"/>
      <c r="J1378" t="str">
        <f>J477</f>
        <v xml:space="preserve">Steve Newell </v>
      </c>
      <c r="K1378" s="1067">
        <f>K477</f>
        <v>41762</v>
      </c>
    </row>
    <row r="1379" spans="1:11" x14ac:dyDescent="0.2">
      <c r="A1379">
        <f t="shared" si="111"/>
        <v>68</v>
      </c>
      <c r="B1379" s="80" t="s">
        <v>7605</v>
      </c>
      <c r="C1379" t="s">
        <v>10075</v>
      </c>
      <c r="D1379">
        <f>D493</f>
        <v>2</v>
      </c>
      <c r="E1379">
        <f>E493</f>
        <v>2</v>
      </c>
      <c r="G1379"/>
      <c r="I1379"/>
      <c r="J1379" t="str">
        <f>J493</f>
        <v>Steve Newell</v>
      </c>
      <c r="K1379" s="1067">
        <f>K493</f>
        <v>42476</v>
      </c>
    </row>
    <row r="1380" spans="1:11" x14ac:dyDescent="0.2">
      <c r="A1380">
        <f t="shared" si="111"/>
        <v>69</v>
      </c>
      <c r="B1380" s="80" t="s">
        <v>7605</v>
      </c>
      <c r="C1380" t="s">
        <v>10076</v>
      </c>
      <c r="D1380">
        <f>D496</f>
        <v>4</v>
      </c>
      <c r="E1380">
        <f>E496</f>
        <v>15</v>
      </c>
      <c r="G1380"/>
      <c r="I1380"/>
      <c r="J1380" t="str">
        <f>J496</f>
        <v>Gary Rushmer</v>
      </c>
      <c r="K1380" s="1067">
        <f>K496</f>
        <v>42546</v>
      </c>
    </row>
    <row r="1381" spans="1:11" x14ac:dyDescent="0.2">
      <c r="A1381">
        <f t="shared" si="111"/>
        <v>70</v>
      </c>
      <c r="B1381" s="80" t="s">
        <v>7605</v>
      </c>
      <c r="C1381" t="s">
        <v>10078</v>
      </c>
      <c r="D1381">
        <f>D507</f>
        <v>6</v>
      </c>
      <c r="E1381">
        <f>E507</f>
        <v>9</v>
      </c>
      <c r="G1381"/>
      <c r="I1381"/>
      <c r="J1381" t="str">
        <f>J507</f>
        <v>Janet Smith</v>
      </c>
      <c r="K1381" s="1067">
        <f>K507</f>
        <v>42203</v>
      </c>
    </row>
    <row r="1382" spans="1:11" x14ac:dyDescent="0.2">
      <c r="A1382">
        <f t="shared" si="111"/>
        <v>71</v>
      </c>
      <c r="B1382" s="80" t="s">
        <v>7605</v>
      </c>
      <c r="C1382" t="s">
        <v>10079</v>
      </c>
      <c r="D1382">
        <f>D511</f>
        <v>8</v>
      </c>
      <c r="E1382">
        <f>E511</f>
        <v>10</v>
      </c>
      <c r="G1382"/>
      <c r="I1382"/>
      <c r="J1382" t="str">
        <f>J511</f>
        <v>Roderick Hoffman</v>
      </c>
      <c r="K1382" s="1067">
        <f>K511</f>
        <v>41615</v>
      </c>
    </row>
    <row r="1383" spans="1:11" x14ac:dyDescent="0.2">
      <c r="A1383">
        <f t="shared" si="111"/>
        <v>72</v>
      </c>
      <c r="B1383" s="80" t="s">
        <v>7605</v>
      </c>
      <c r="C1383" t="s">
        <v>10082</v>
      </c>
      <c r="D1383">
        <f>D545</f>
        <v>14</v>
      </c>
      <c r="E1383">
        <f>E545</f>
        <v>59</v>
      </c>
      <c r="G1383"/>
      <c r="I1383"/>
      <c r="J1383" t="str">
        <f>J545</f>
        <v>Roderick Hoffman</v>
      </c>
      <c r="K1383" s="1067">
        <f>K545</f>
        <v>41209</v>
      </c>
    </row>
    <row r="1384" spans="1:11" x14ac:dyDescent="0.2">
      <c r="A1384">
        <f t="shared" si="111"/>
        <v>73</v>
      </c>
      <c r="B1384" s="80" t="s">
        <v>7605</v>
      </c>
      <c r="C1384" t="s">
        <v>10084</v>
      </c>
      <c r="D1384">
        <f>D548</f>
        <v>3</v>
      </c>
      <c r="E1384">
        <f>E548</f>
        <v>3</v>
      </c>
      <c r="G1384"/>
      <c r="I1384"/>
      <c r="J1384" t="str">
        <f>J548</f>
        <v>Roderick Hoffman</v>
      </c>
      <c r="K1384" s="1067">
        <f>K548</f>
        <v>42308</v>
      </c>
    </row>
    <row r="1385" spans="1:11" x14ac:dyDescent="0.2">
      <c r="A1385">
        <f t="shared" si="111"/>
        <v>74</v>
      </c>
      <c r="B1385" s="80" t="s">
        <v>7605</v>
      </c>
      <c r="C1385" t="s">
        <v>10085</v>
      </c>
      <c r="D1385">
        <f>D558</f>
        <v>38</v>
      </c>
      <c r="E1385">
        <f>E558</f>
        <v>199</v>
      </c>
      <c r="G1385"/>
      <c r="I1385"/>
      <c r="J1385" t="str">
        <f>J558</f>
        <v>Simon Turton</v>
      </c>
      <c r="K1385" s="1067">
        <f>K558</f>
        <v>41237</v>
      </c>
    </row>
    <row r="1386" spans="1:11" x14ac:dyDescent="0.2">
      <c r="A1386">
        <f t="shared" si="111"/>
        <v>75</v>
      </c>
      <c r="B1386" s="80" t="s">
        <v>7605</v>
      </c>
      <c r="C1386" t="s">
        <v>10087</v>
      </c>
      <c r="D1386">
        <f>D582</f>
        <v>2</v>
      </c>
      <c r="E1386">
        <f>E582</f>
        <v>2</v>
      </c>
      <c r="G1386"/>
      <c r="I1386"/>
      <c r="J1386" t="str">
        <f>J582</f>
        <v>Janet Smith</v>
      </c>
      <c r="K1386" s="1067">
        <f>K582</f>
        <v>42875</v>
      </c>
    </row>
    <row r="1387" spans="1:11" x14ac:dyDescent="0.2">
      <c r="A1387">
        <f t="shared" si="111"/>
        <v>76</v>
      </c>
      <c r="B1387" s="80" t="s">
        <v>7605</v>
      </c>
      <c r="C1387" t="s">
        <v>10089</v>
      </c>
      <c r="D1387">
        <f>D584</f>
        <v>2</v>
      </c>
      <c r="E1387">
        <f>E583</f>
        <v>3</v>
      </c>
      <c r="G1387"/>
      <c r="I1387"/>
      <c r="J1387" t="str">
        <f>J583</f>
        <v>Barry Walters</v>
      </c>
      <c r="K1387" s="1067">
        <f>K583</f>
        <v>41832</v>
      </c>
    </row>
    <row r="1388" spans="1:11" x14ac:dyDescent="0.2">
      <c r="A1388">
        <f t="shared" si="111"/>
        <v>77</v>
      </c>
      <c r="B1388" s="80" t="s">
        <v>7605</v>
      </c>
      <c r="C1388" t="s">
        <v>10091</v>
      </c>
      <c r="D1388">
        <f>D589</f>
        <v>6</v>
      </c>
      <c r="E1388">
        <f>E589</f>
        <v>7</v>
      </c>
      <c r="G1388"/>
      <c r="I1388"/>
      <c r="J1388" t="str">
        <f>J589</f>
        <v>Roderick Hoffman</v>
      </c>
      <c r="K1388" s="1067">
        <f>K589</f>
        <v>41454</v>
      </c>
    </row>
    <row r="1389" spans="1:11" x14ac:dyDescent="0.2">
      <c r="A1389">
        <f t="shared" si="111"/>
        <v>78</v>
      </c>
      <c r="B1389" s="80" t="s">
        <v>7605</v>
      </c>
      <c r="C1389" s="585" t="s">
        <v>10092</v>
      </c>
      <c r="D1389" s="585"/>
      <c r="E1389" s="585"/>
      <c r="G1389"/>
      <c r="I1389"/>
      <c r="J1389"/>
      <c r="K1389" s="1067"/>
    </row>
    <row r="1390" spans="1:11" x14ac:dyDescent="0.2">
      <c r="A1390">
        <f t="shared" si="111"/>
        <v>79</v>
      </c>
      <c r="B1390" s="80" t="s">
        <v>7605</v>
      </c>
      <c r="C1390" t="s">
        <v>10094</v>
      </c>
      <c r="D1390">
        <f>D591</f>
        <v>36</v>
      </c>
      <c r="E1390">
        <f>E591</f>
        <v>469</v>
      </c>
      <c r="G1390"/>
      <c r="I1390"/>
      <c r="J1390" t="str">
        <f>J591</f>
        <v>Ian Cunningham</v>
      </c>
      <c r="K1390" s="1067">
        <f>K591</f>
        <v>41867</v>
      </c>
    </row>
    <row r="1391" spans="1:11" x14ac:dyDescent="0.2">
      <c r="A1391">
        <f t="shared" si="111"/>
        <v>80</v>
      </c>
      <c r="B1391" s="80" t="s">
        <v>7605</v>
      </c>
      <c r="C1391" t="s">
        <v>10096</v>
      </c>
      <c r="D1391">
        <f>D595</f>
        <v>21</v>
      </c>
      <c r="E1391">
        <f>E595</f>
        <v>158</v>
      </c>
      <c r="G1391"/>
      <c r="I1391"/>
      <c r="J1391" t="str">
        <f>J595</f>
        <v>Simon Turton</v>
      </c>
      <c r="K1391" s="1067">
        <f>K595</f>
        <v>41195</v>
      </c>
    </row>
    <row r="1392" spans="1:11" x14ac:dyDescent="0.2">
      <c r="A1392">
        <f t="shared" si="111"/>
        <v>81</v>
      </c>
      <c r="B1392" s="80" t="s">
        <v>7605</v>
      </c>
      <c r="C1392" t="s">
        <v>10097</v>
      </c>
      <c r="D1392">
        <f>D599</f>
        <v>2</v>
      </c>
      <c r="E1392">
        <f>E599</f>
        <v>2</v>
      </c>
      <c r="G1392"/>
      <c r="I1392"/>
      <c r="J1392" t="str">
        <f>J599</f>
        <v>Roderick Hoffman</v>
      </c>
      <c r="K1392" s="1067">
        <f>K599</f>
        <v>43197</v>
      </c>
    </row>
    <row r="1393" spans="1:11" x14ac:dyDescent="0.2">
      <c r="A1393">
        <f t="shared" si="111"/>
        <v>82</v>
      </c>
      <c r="B1393" s="80" t="s">
        <v>7605</v>
      </c>
      <c r="C1393" t="s">
        <v>10099</v>
      </c>
      <c r="D1393">
        <f>D600</f>
        <v>21</v>
      </c>
      <c r="E1393">
        <f>E600</f>
        <v>142</v>
      </c>
      <c r="G1393"/>
      <c r="I1393"/>
      <c r="J1393" t="str">
        <f>J600</f>
        <v>Roderick Hoffman</v>
      </c>
      <c r="K1393" s="1067">
        <f>K600</f>
        <v>41125</v>
      </c>
    </row>
    <row r="1394" spans="1:11" x14ac:dyDescent="0.2">
      <c r="A1394">
        <v>1</v>
      </c>
      <c r="B1394" s="862" t="s">
        <v>7602</v>
      </c>
      <c r="C1394" s="1066" t="s">
        <v>9974</v>
      </c>
      <c r="F1394" s="1065"/>
    </row>
    <row r="1395" spans="1:11" x14ac:dyDescent="0.2">
      <c r="A1395">
        <f t="shared" ref="A1395:A1439" si="112">A1394+1</f>
        <v>2</v>
      </c>
      <c r="B1395" s="862" t="s">
        <v>7602</v>
      </c>
      <c r="C1395" s="1066" t="s">
        <v>9976</v>
      </c>
      <c r="F1395" s="1065"/>
    </row>
    <row r="1396" spans="1:11" x14ac:dyDescent="0.2">
      <c r="A1396">
        <f t="shared" si="112"/>
        <v>3</v>
      </c>
      <c r="B1396" s="862" t="s">
        <v>7602</v>
      </c>
      <c r="C1396" s="1066" t="s">
        <v>9978</v>
      </c>
      <c r="F1396" s="1065"/>
    </row>
    <row r="1397" spans="1:11" x14ac:dyDescent="0.2">
      <c r="A1397">
        <f t="shared" si="112"/>
        <v>4</v>
      </c>
      <c r="B1397" s="862" t="s">
        <v>7602</v>
      </c>
      <c r="C1397" s="1066" t="s">
        <v>9982</v>
      </c>
      <c r="F1397" s="1065"/>
    </row>
    <row r="1398" spans="1:11" x14ac:dyDescent="0.2">
      <c r="A1398">
        <f t="shared" si="112"/>
        <v>5</v>
      </c>
      <c r="B1398" s="862" t="s">
        <v>7602</v>
      </c>
      <c r="C1398" s="1066" t="s">
        <v>9985</v>
      </c>
      <c r="F1398" s="1065"/>
    </row>
    <row r="1399" spans="1:11" x14ac:dyDescent="0.2">
      <c r="A1399">
        <f t="shared" si="112"/>
        <v>6</v>
      </c>
      <c r="B1399" s="862" t="s">
        <v>7602</v>
      </c>
      <c r="C1399" s="1066" t="s">
        <v>9989</v>
      </c>
      <c r="F1399" s="1065"/>
    </row>
    <row r="1400" spans="1:11" x14ac:dyDescent="0.2">
      <c r="A1400">
        <f t="shared" si="112"/>
        <v>7</v>
      </c>
      <c r="B1400" s="862" t="s">
        <v>7602</v>
      </c>
      <c r="C1400" s="1066" t="s">
        <v>9991</v>
      </c>
      <c r="F1400" s="1065"/>
    </row>
    <row r="1401" spans="1:11" x14ac:dyDescent="0.2">
      <c r="A1401">
        <f t="shared" si="112"/>
        <v>8</v>
      </c>
      <c r="B1401" s="862" t="s">
        <v>7602</v>
      </c>
      <c r="C1401" s="1066" t="s">
        <v>9995</v>
      </c>
      <c r="F1401" s="1065"/>
    </row>
    <row r="1402" spans="1:11" x14ac:dyDescent="0.2">
      <c r="A1402">
        <f t="shared" si="112"/>
        <v>9</v>
      </c>
      <c r="B1402" s="862" t="s">
        <v>7602</v>
      </c>
      <c r="C1402" s="1066" t="s">
        <v>9998</v>
      </c>
      <c r="F1402" s="1065"/>
    </row>
    <row r="1403" spans="1:11" x14ac:dyDescent="0.2">
      <c r="A1403">
        <f t="shared" si="112"/>
        <v>10</v>
      </c>
      <c r="B1403" s="862" t="s">
        <v>7602</v>
      </c>
      <c r="C1403" s="1066" t="s">
        <v>10000</v>
      </c>
      <c r="F1403" s="1065"/>
    </row>
    <row r="1404" spans="1:11" x14ac:dyDescent="0.2">
      <c r="A1404">
        <f t="shared" si="112"/>
        <v>11</v>
      </c>
      <c r="B1404" s="862" t="s">
        <v>7602</v>
      </c>
      <c r="C1404" s="1066" t="s">
        <v>10002</v>
      </c>
      <c r="F1404" s="1065"/>
    </row>
    <row r="1405" spans="1:11" x14ac:dyDescent="0.2">
      <c r="A1405">
        <f t="shared" si="112"/>
        <v>12</v>
      </c>
      <c r="B1405" s="862" t="s">
        <v>7602</v>
      </c>
      <c r="C1405" s="1066" t="s">
        <v>10005</v>
      </c>
      <c r="F1405" s="1065"/>
    </row>
    <row r="1406" spans="1:11" x14ac:dyDescent="0.2">
      <c r="A1406">
        <f t="shared" si="112"/>
        <v>13</v>
      </c>
      <c r="B1406" s="862" t="s">
        <v>7602</v>
      </c>
      <c r="C1406" s="1066" t="s">
        <v>10008</v>
      </c>
      <c r="F1406" s="1065"/>
    </row>
    <row r="1407" spans="1:11" x14ac:dyDescent="0.2">
      <c r="A1407">
        <f t="shared" si="112"/>
        <v>14</v>
      </c>
      <c r="B1407" s="862" t="s">
        <v>7602</v>
      </c>
      <c r="C1407" s="1066" t="s">
        <v>10010</v>
      </c>
      <c r="F1407" s="1065"/>
    </row>
    <row r="1408" spans="1:11" x14ac:dyDescent="0.2">
      <c r="A1408">
        <f t="shared" si="112"/>
        <v>15</v>
      </c>
      <c r="B1408" s="862" t="s">
        <v>7602</v>
      </c>
      <c r="C1408" s="1066" t="s">
        <v>10013</v>
      </c>
      <c r="F1408" s="1065"/>
    </row>
    <row r="1409" spans="1:6" x14ac:dyDescent="0.2">
      <c r="A1409">
        <f t="shared" si="112"/>
        <v>16</v>
      </c>
      <c r="B1409" s="862" t="s">
        <v>7602</v>
      </c>
      <c r="C1409" s="1066" t="s">
        <v>10017</v>
      </c>
      <c r="F1409" s="1065"/>
    </row>
    <row r="1410" spans="1:6" x14ac:dyDescent="0.2">
      <c r="A1410">
        <f t="shared" si="112"/>
        <v>17</v>
      </c>
      <c r="B1410" s="862" t="s">
        <v>7602</v>
      </c>
      <c r="C1410" s="1066" t="s">
        <v>10018</v>
      </c>
      <c r="F1410" s="1065"/>
    </row>
    <row r="1411" spans="1:6" x14ac:dyDescent="0.2">
      <c r="A1411">
        <f t="shared" si="112"/>
        <v>18</v>
      </c>
      <c r="B1411" s="862" t="s">
        <v>7602</v>
      </c>
      <c r="C1411" s="1066" t="s">
        <v>10020</v>
      </c>
      <c r="F1411" s="1065"/>
    </row>
    <row r="1412" spans="1:6" x14ac:dyDescent="0.2">
      <c r="A1412">
        <f t="shared" si="112"/>
        <v>19</v>
      </c>
      <c r="B1412" s="862" t="s">
        <v>7602</v>
      </c>
      <c r="C1412" s="1066" t="s">
        <v>10022</v>
      </c>
      <c r="F1412" s="1065"/>
    </row>
    <row r="1413" spans="1:6" x14ac:dyDescent="0.2">
      <c r="A1413">
        <f t="shared" si="112"/>
        <v>20</v>
      </c>
      <c r="B1413" s="862" t="s">
        <v>7602</v>
      </c>
      <c r="C1413" s="1066" t="s">
        <v>10026</v>
      </c>
      <c r="F1413" s="1065"/>
    </row>
    <row r="1414" spans="1:6" x14ac:dyDescent="0.2">
      <c r="A1414">
        <f t="shared" si="112"/>
        <v>21</v>
      </c>
      <c r="B1414" s="862" t="s">
        <v>7602</v>
      </c>
      <c r="C1414" s="1066" t="s">
        <v>10031</v>
      </c>
      <c r="F1414" s="1065"/>
    </row>
    <row r="1415" spans="1:6" x14ac:dyDescent="0.2">
      <c r="A1415">
        <f t="shared" si="112"/>
        <v>22</v>
      </c>
      <c r="B1415" s="862" t="s">
        <v>7602</v>
      </c>
      <c r="C1415" s="1066" t="s">
        <v>10041</v>
      </c>
      <c r="F1415" s="1065"/>
    </row>
    <row r="1416" spans="1:6" x14ac:dyDescent="0.2">
      <c r="A1416">
        <f t="shared" si="112"/>
        <v>23</v>
      </c>
      <c r="B1416" s="862" t="s">
        <v>7602</v>
      </c>
      <c r="C1416" s="1066" t="s">
        <v>10042</v>
      </c>
      <c r="F1416" s="1065"/>
    </row>
    <row r="1417" spans="1:6" x14ac:dyDescent="0.2">
      <c r="A1417">
        <f t="shared" si="112"/>
        <v>24</v>
      </c>
      <c r="B1417" s="862" t="s">
        <v>7602</v>
      </c>
      <c r="C1417" s="1066" t="s">
        <v>10044</v>
      </c>
      <c r="F1417" s="1065"/>
    </row>
    <row r="1418" spans="1:6" x14ac:dyDescent="0.2">
      <c r="A1418">
        <f t="shared" si="112"/>
        <v>25</v>
      </c>
      <c r="B1418" s="862" t="s">
        <v>7602</v>
      </c>
      <c r="C1418" s="1066" t="s">
        <v>10046</v>
      </c>
      <c r="F1418" s="1065"/>
    </row>
    <row r="1419" spans="1:6" x14ac:dyDescent="0.2">
      <c r="A1419">
        <f t="shared" si="112"/>
        <v>26</v>
      </c>
      <c r="B1419" s="862" t="s">
        <v>7602</v>
      </c>
      <c r="C1419" s="1066" t="s">
        <v>10047</v>
      </c>
      <c r="F1419" s="1065"/>
    </row>
    <row r="1420" spans="1:6" x14ac:dyDescent="0.2">
      <c r="A1420">
        <f t="shared" si="112"/>
        <v>27</v>
      </c>
      <c r="B1420" s="862" t="s">
        <v>7602</v>
      </c>
      <c r="C1420" s="1066" t="s">
        <v>10050</v>
      </c>
      <c r="F1420" s="1065"/>
    </row>
    <row r="1421" spans="1:6" x14ac:dyDescent="0.2">
      <c r="A1421">
        <f t="shared" si="112"/>
        <v>28</v>
      </c>
      <c r="B1421" s="862" t="s">
        <v>7602</v>
      </c>
      <c r="C1421" s="1066" t="s">
        <v>10052</v>
      </c>
      <c r="F1421" s="1065"/>
    </row>
    <row r="1422" spans="1:6" x14ac:dyDescent="0.2">
      <c r="A1422">
        <f t="shared" si="112"/>
        <v>29</v>
      </c>
      <c r="B1422" s="862" t="s">
        <v>7602</v>
      </c>
      <c r="C1422" s="1066" t="s">
        <v>10054</v>
      </c>
      <c r="F1422" s="1065"/>
    </row>
    <row r="1423" spans="1:6" x14ac:dyDescent="0.2">
      <c r="A1423">
        <f t="shared" si="112"/>
        <v>30</v>
      </c>
      <c r="B1423" s="862" t="s">
        <v>7602</v>
      </c>
      <c r="C1423" s="1066" t="s">
        <v>10056</v>
      </c>
      <c r="F1423" s="1065"/>
    </row>
    <row r="1424" spans="1:6" x14ac:dyDescent="0.2">
      <c r="A1424">
        <f t="shared" si="112"/>
        <v>31</v>
      </c>
      <c r="B1424" s="862" t="s">
        <v>7602</v>
      </c>
      <c r="C1424" s="1066" t="s">
        <v>10058</v>
      </c>
      <c r="F1424" s="1065"/>
    </row>
    <row r="1425" spans="1:11" x14ac:dyDescent="0.2">
      <c r="A1425">
        <f t="shared" si="112"/>
        <v>32</v>
      </c>
      <c r="B1425" s="862" t="s">
        <v>7602</v>
      </c>
      <c r="C1425" s="1066" t="s">
        <v>10059</v>
      </c>
      <c r="F1425" s="1065"/>
    </row>
    <row r="1426" spans="1:11" x14ac:dyDescent="0.2">
      <c r="A1426">
        <f t="shared" si="112"/>
        <v>33</v>
      </c>
      <c r="B1426" s="862" t="s">
        <v>7602</v>
      </c>
      <c r="C1426" s="1066" t="s">
        <v>10063</v>
      </c>
      <c r="F1426" s="1065"/>
    </row>
    <row r="1427" spans="1:11" x14ac:dyDescent="0.2">
      <c r="A1427">
        <f t="shared" si="112"/>
        <v>34</v>
      </c>
      <c r="B1427" s="862" t="s">
        <v>7602</v>
      </c>
      <c r="C1427" s="1066" t="s">
        <v>10068</v>
      </c>
      <c r="F1427" s="1065"/>
    </row>
    <row r="1428" spans="1:11" x14ac:dyDescent="0.2">
      <c r="A1428">
        <f t="shared" si="112"/>
        <v>35</v>
      </c>
      <c r="B1428" s="862" t="s">
        <v>7602</v>
      </c>
      <c r="C1428" s="1066" t="s">
        <v>10069</v>
      </c>
      <c r="F1428" s="1065"/>
    </row>
    <row r="1429" spans="1:11" x14ac:dyDescent="0.2">
      <c r="A1429">
        <f t="shared" si="112"/>
        <v>36</v>
      </c>
      <c r="B1429" s="862" t="s">
        <v>7602</v>
      </c>
      <c r="C1429" s="1066" t="s">
        <v>10074</v>
      </c>
      <c r="F1429" s="1065"/>
    </row>
    <row r="1430" spans="1:11" x14ac:dyDescent="0.2">
      <c r="A1430">
        <f t="shared" si="112"/>
        <v>37</v>
      </c>
      <c r="B1430" s="862" t="s">
        <v>7602</v>
      </c>
      <c r="C1430" s="1066" t="s">
        <v>10077</v>
      </c>
      <c r="G1430"/>
      <c r="I1430"/>
      <c r="J1430"/>
      <c r="K1430"/>
    </row>
    <row r="1431" spans="1:11" x14ac:dyDescent="0.2">
      <c r="A1431">
        <f t="shared" si="112"/>
        <v>38</v>
      </c>
      <c r="B1431" s="862" t="s">
        <v>7602</v>
      </c>
      <c r="C1431" s="1066" t="s">
        <v>10080</v>
      </c>
      <c r="F1431" s="1065"/>
    </row>
    <row r="1432" spans="1:11" x14ac:dyDescent="0.2">
      <c r="A1432">
        <f t="shared" si="112"/>
        <v>39</v>
      </c>
      <c r="B1432" s="862" t="s">
        <v>7602</v>
      </c>
      <c r="C1432" s="1066" t="s">
        <v>10081</v>
      </c>
      <c r="F1432" s="1065"/>
    </row>
    <row r="1433" spans="1:11" x14ac:dyDescent="0.2">
      <c r="A1433">
        <f t="shared" si="112"/>
        <v>40</v>
      </c>
      <c r="B1433" s="862" t="s">
        <v>7602</v>
      </c>
      <c r="C1433" s="1066" t="s">
        <v>10083</v>
      </c>
      <c r="F1433" s="1065"/>
    </row>
    <row r="1434" spans="1:11" x14ac:dyDescent="0.2">
      <c r="A1434">
        <f t="shared" si="112"/>
        <v>41</v>
      </c>
      <c r="B1434" s="862" t="s">
        <v>7602</v>
      </c>
      <c r="C1434" s="1066" t="s">
        <v>10086</v>
      </c>
      <c r="F1434" s="1065"/>
    </row>
    <row r="1435" spans="1:11" x14ac:dyDescent="0.2">
      <c r="A1435">
        <f t="shared" si="112"/>
        <v>42</v>
      </c>
      <c r="B1435" s="862" t="s">
        <v>7602</v>
      </c>
      <c r="C1435" s="1066" t="s">
        <v>10088</v>
      </c>
      <c r="F1435" s="1065"/>
    </row>
    <row r="1436" spans="1:11" x14ac:dyDescent="0.2">
      <c r="A1436">
        <f t="shared" si="112"/>
        <v>43</v>
      </c>
      <c r="B1436" s="862" t="s">
        <v>7602</v>
      </c>
      <c r="C1436" s="1066" t="s">
        <v>10090</v>
      </c>
      <c r="F1436" s="1065"/>
    </row>
    <row r="1437" spans="1:11" x14ac:dyDescent="0.2">
      <c r="A1437">
        <f t="shared" si="112"/>
        <v>44</v>
      </c>
      <c r="B1437" s="862" t="s">
        <v>7602</v>
      </c>
      <c r="C1437" s="1066" t="s">
        <v>10093</v>
      </c>
      <c r="F1437" s="1065"/>
    </row>
    <row r="1438" spans="1:11" x14ac:dyDescent="0.2">
      <c r="A1438">
        <f t="shared" si="112"/>
        <v>45</v>
      </c>
      <c r="B1438" s="862" t="s">
        <v>7602</v>
      </c>
      <c r="C1438" s="1066" t="s">
        <v>10095</v>
      </c>
      <c r="F1438" s="1065"/>
    </row>
    <row r="1439" spans="1:11" x14ac:dyDescent="0.2">
      <c r="A1439">
        <f t="shared" si="112"/>
        <v>46</v>
      </c>
      <c r="B1439" s="862" t="s">
        <v>7602</v>
      </c>
      <c r="C1439" s="1066" t="s">
        <v>10098</v>
      </c>
      <c r="F1439" s="1065"/>
    </row>
    <row r="1440" spans="1:11" x14ac:dyDescent="0.2">
      <c r="B1440" s="865">
        <f>COUNT(A1312:A1439)</f>
        <v>128</v>
      </c>
    </row>
    <row r="1445" spans="1:9" x14ac:dyDescent="0.2">
      <c r="A1445" s="2" t="s">
        <v>13484</v>
      </c>
      <c r="B1445" s="2"/>
    </row>
    <row r="1446" spans="1:9" ht="15" x14ac:dyDescent="0.25">
      <c r="C1446" s="1644" t="s">
        <v>13485</v>
      </c>
      <c r="E1446" s="6"/>
      <c r="F1446" t="s">
        <v>15087</v>
      </c>
    </row>
    <row r="1447" spans="1:9" ht="15" x14ac:dyDescent="0.25">
      <c r="C1447" s="1644" t="s">
        <v>13486</v>
      </c>
      <c r="E1447" s="6"/>
      <c r="F1447" t="s">
        <v>15087</v>
      </c>
    </row>
    <row r="1448" spans="1:9" ht="15" x14ac:dyDescent="0.25">
      <c r="C1448" s="1644" t="s">
        <v>13487</v>
      </c>
      <c r="E1448" s="6"/>
      <c r="F1448" t="s">
        <v>15087</v>
      </c>
    </row>
    <row r="1449" spans="1:9" ht="15" x14ac:dyDescent="0.25">
      <c r="C1449" s="1644" t="s">
        <v>13488</v>
      </c>
      <c r="E1449" s="6"/>
      <c r="F1449" t="s">
        <v>15087</v>
      </c>
    </row>
    <row r="1450" spans="1:9" ht="15" x14ac:dyDescent="0.25">
      <c r="C1450" s="1644" t="s">
        <v>13489</v>
      </c>
      <c r="E1450" s="6"/>
      <c r="F1450" t="s">
        <v>15087</v>
      </c>
    </row>
    <row r="1451" spans="1:9" ht="15" x14ac:dyDescent="0.25">
      <c r="C1451" s="1644" t="s">
        <v>13490</v>
      </c>
      <c r="E1451" s="6">
        <v>3</v>
      </c>
      <c r="F1451" t="s">
        <v>15088</v>
      </c>
      <c r="H1451" s="15" t="s">
        <v>4288</v>
      </c>
      <c r="I1451" s="24"/>
    </row>
    <row r="1452" spans="1:9" ht="15" x14ac:dyDescent="0.25">
      <c r="C1452" s="1644" t="s">
        <v>13491</v>
      </c>
      <c r="E1452" s="6"/>
      <c r="F1452" t="s">
        <v>15087</v>
      </c>
      <c r="H1452" s="15"/>
      <c r="I1452" s="24"/>
    </row>
    <row r="1453" spans="1:9" ht="15" x14ac:dyDescent="0.25">
      <c r="C1453" s="1644" t="s">
        <v>13492</v>
      </c>
      <c r="E1453" s="6"/>
      <c r="F1453" t="s">
        <v>15087</v>
      </c>
      <c r="H1453" s="15"/>
      <c r="I1453" s="24"/>
    </row>
    <row r="1454" spans="1:9" ht="15" x14ac:dyDescent="0.25">
      <c r="C1454" s="1644" t="s">
        <v>13493</v>
      </c>
      <c r="E1454" s="6"/>
      <c r="F1454" t="s">
        <v>15087</v>
      </c>
      <c r="H1454" s="15"/>
      <c r="I1454" s="24"/>
    </row>
    <row r="1455" spans="1:9" ht="15" x14ac:dyDescent="0.25">
      <c r="C1455" s="1644" t="s">
        <v>13494</v>
      </c>
      <c r="E1455" s="6">
        <v>2</v>
      </c>
      <c r="F1455" t="s">
        <v>15089</v>
      </c>
      <c r="H1455" s="532" t="s">
        <v>4203</v>
      </c>
      <c r="I1455" s="531"/>
    </row>
    <row r="1456" spans="1:9" ht="15" x14ac:dyDescent="0.25">
      <c r="C1456" s="1644" t="s">
        <v>13495</v>
      </c>
      <c r="E1456" s="6">
        <v>2</v>
      </c>
      <c r="F1456" t="s">
        <v>15090</v>
      </c>
      <c r="H1456" s="74" t="s">
        <v>391</v>
      </c>
      <c r="I1456" s="24"/>
    </row>
    <row r="1457" spans="3:9" ht="15" x14ac:dyDescent="0.25">
      <c r="C1457" s="1644" t="s">
        <v>13496</v>
      </c>
      <c r="E1457" s="6"/>
      <c r="F1457" t="s">
        <v>15087</v>
      </c>
      <c r="H1457" s="532"/>
      <c r="I1457" s="531"/>
    </row>
    <row r="1458" spans="3:9" ht="15" x14ac:dyDescent="0.25">
      <c r="C1458" s="1644" t="s">
        <v>13497</v>
      </c>
      <c r="E1458" s="6">
        <v>2</v>
      </c>
      <c r="F1458" t="s">
        <v>15091</v>
      </c>
      <c r="H1458" s="74" t="s">
        <v>3093</v>
      </c>
      <c r="I1458" s="24"/>
    </row>
    <row r="1459" spans="3:9" ht="15" x14ac:dyDescent="0.25">
      <c r="C1459" s="1644" t="s">
        <v>13498</v>
      </c>
      <c r="E1459" s="6">
        <v>5</v>
      </c>
      <c r="F1459" t="s">
        <v>15092</v>
      </c>
      <c r="H1459" s="74" t="s">
        <v>4090</v>
      </c>
      <c r="I1459" s="24"/>
    </row>
    <row r="1460" spans="3:9" ht="15" x14ac:dyDescent="0.25">
      <c r="C1460" s="1644" t="s">
        <v>13499</v>
      </c>
      <c r="E1460" s="6"/>
      <c r="F1460" t="s">
        <v>15087</v>
      </c>
      <c r="H1460" s="74"/>
      <c r="I1460" s="24"/>
    </row>
    <row r="1461" spans="3:9" ht="15" x14ac:dyDescent="0.25">
      <c r="C1461" s="1644" t="s">
        <v>13500</v>
      </c>
      <c r="E1461" s="6"/>
      <c r="F1461" t="s">
        <v>15087</v>
      </c>
      <c r="H1461" s="74"/>
      <c r="I1461" s="24"/>
    </row>
    <row r="1462" spans="3:9" ht="15" x14ac:dyDescent="0.25">
      <c r="C1462" s="1644" t="s">
        <v>13501</v>
      </c>
      <c r="E1462" s="6">
        <v>4</v>
      </c>
      <c r="F1462" t="s">
        <v>15090</v>
      </c>
      <c r="H1462" s="74" t="s">
        <v>3304</v>
      </c>
      <c r="I1462" s="24"/>
    </row>
    <row r="1463" spans="3:9" ht="15" x14ac:dyDescent="0.25">
      <c r="C1463" s="1644" t="s">
        <v>13502</v>
      </c>
      <c r="E1463" s="6"/>
      <c r="F1463" t="s">
        <v>15087</v>
      </c>
      <c r="H1463" s="74"/>
      <c r="I1463" s="24"/>
    </row>
    <row r="1464" spans="3:9" ht="15" x14ac:dyDescent="0.25">
      <c r="C1464" s="1644" t="s">
        <v>13503</v>
      </c>
      <c r="E1464" s="6">
        <v>3</v>
      </c>
      <c r="F1464" t="s">
        <v>15090</v>
      </c>
      <c r="H1464" s="74" t="s">
        <v>999</v>
      </c>
      <c r="I1464" s="24"/>
    </row>
    <row r="1465" spans="3:9" ht="15" x14ac:dyDescent="0.25">
      <c r="C1465" s="1644" t="s">
        <v>13504</v>
      </c>
      <c r="E1465" s="6"/>
      <c r="F1465" t="s">
        <v>15087</v>
      </c>
      <c r="H1465" s="74"/>
      <c r="I1465" s="531"/>
    </row>
    <row r="1466" spans="3:9" ht="15" x14ac:dyDescent="0.25">
      <c r="C1466" s="1644" t="s">
        <v>13505</v>
      </c>
      <c r="E1466" s="6">
        <v>1</v>
      </c>
      <c r="F1466" t="s">
        <v>15093</v>
      </c>
      <c r="H1466" s="415" t="s">
        <v>12900</v>
      </c>
      <c r="I1466" s="24"/>
    </row>
    <row r="1467" spans="3:9" ht="15" x14ac:dyDescent="0.25">
      <c r="C1467" s="1644" t="s">
        <v>13506</v>
      </c>
      <c r="E1467" s="6"/>
      <c r="F1467" t="s">
        <v>15087</v>
      </c>
      <c r="H1467" s="415"/>
      <c r="I1467" s="24"/>
    </row>
    <row r="1468" spans="3:9" ht="15" x14ac:dyDescent="0.25">
      <c r="C1468" s="1644" t="s">
        <v>13507</v>
      </c>
      <c r="E1468" s="6">
        <v>1</v>
      </c>
      <c r="F1468" t="s">
        <v>15094</v>
      </c>
      <c r="H1468" s="415" t="s">
        <v>12786</v>
      </c>
      <c r="I1468" s="24"/>
    </row>
    <row r="1469" spans="3:9" ht="15" x14ac:dyDescent="0.25">
      <c r="C1469" s="1644" t="s">
        <v>13508</v>
      </c>
      <c r="E1469" s="6">
        <v>1</v>
      </c>
      <c r="F1469" t="s">
        <v>15090</v>
      </c>
      <c r="H1469" s="415"/>
      <c r="I1469" s="585"/>
    </row>
    <row r="1470" spans="3:9" ht="15" x14ac:dyDescent="0.25">
      <c r="C1470" s="1644" t="s">
        <v>13509</v>
      </c>
      <c r="E1470" s="6">
        <v>3</v>
      </c>
      <c r="F1470" t="s">
        <v>15090</v>
      </c>
      <c r="H1470" s="415"/>
      <c r="I1470" s="24"/>
    </row>
    <row r="1471" spans="3:9" ht="15" x14ac:dyDescent="0.25">
      <c r="C1471" s="1644" t="s">
        <v>13510</v>
      </c>
      <c r="E1471" s="6"/>
      <c r="F1471" t="s">
        <v>15087</v>
      </c>
      <c r="H1471" s="415"/>
      <c r="I1471" s="24"/>
    </row>
    <row r="1472" spans="3:9" ht="15" x14ac:dyDescent="0.25">
      <c r="C1472" s="1644" t="s">
        <v>13511</v>
      </c>
      <c r="E1472" s="6"/>
      <c r="F1472" t="s">
        <v>15087</v>
      </c>
      <c r="H1472" s="415"/>
      <c r="I1472" s="24"/>
    </row>
    <row r="1473" spans="3:9" ht="15" x14ac:dyDescent="0.25">
      <c r="C1473" s="1644" t="s">
        <v>13512</v>
      </c>
      <c r="E1473" s="6"/>
      <c r="F1473" t="s">
        <v>15087</v>
      </c>
      <c r="H1473" s="415"/>
      <c r="I1473" s="947"/>
    </row>
    <row r="1474" spans="3:9" ht="15" x14ac:dyDescent="0.25">
      <c r="C1474" s="1644" t="s">
        <v>13513</v>
      </c>
      <c r="E1474" s="6">
        <v>2</v>
      </c>
      <c r="F1474" t="s">
        <v>15090</v>
      </c>
      <c r="H1474" s="74" t="s">
        <v>494</v>
      </c>
      <c r="I1474" s="24"/>
    </row>
    <row r="1475" spans="3:9" ht="15" x14ac:dyDescent="0.25">
      <c r="C1475" s="1644" t="s">
        <v>13514</v>
      </c>
      <c r="E1475" s="6"/>
      <c r="F1475" t="s">
        <v>15087</v>
      </c>
      <c r="H1475" s="74"/>
      <c r="I1475" s="24"/>
    </row>
    <row r="1476" spans="3:9" ht="15" x14ac:dyDescent="0.25">
      <c r="C1476" s="1644" t="s">
        <v>13515</v>
      </c>
      <c r="E1476" s="6"/>
      <c r="F1476" t="s">
        <v>15087</v>
      </c>
      <c r="H1476" s="74"/>
      <c r="I1476" s="531"/>
    </row>
    <row r="1477" spans="3:9" ht="15" x14ac:dyDescent="0.25">
      <c r="C1477" s="1644" t="s">
        <v>13516</v>
      </c>
      <c r="E1477" s="6"/>
      <c r="F1477" t="s">
        <v>15087</v>
      </c>
      <c r="H1477" s="74"/>
      <c r="I1477" s="530"/>
    </row>
    <row r="1478" spans="3:9" ht="15" x14ac:dyDescent="0.25">
      <c r="C1478" s="1644" t="s">
        <v>13517</v>
      </c>
      <c r="E1478" s="6"/>
      <c r="F1478" t="s">
        <v>15087</v>
      </c>
      <c r="H1478" s="74"/>
      <c r="I1478" s="24"/>
    </row>
    <row r="1479" spans="3:9" ht="15" x14ac:dyDescent="0.25">
      <c r="C1479" s="1644" t="s">
        <v>13518</v>
      </c>
      <c r="E1479" s="6"/>
      <c r="F1479" t="s">
        <v>15087</v>
      </c>
      <c r="H1479" s="74"/>
      <c r="I1479" s="24"/>
    </row>
    <row r="1480" spans="3:9" ht="15" x14ac:dyDescent="0.25">
      <c r="C1480" s="1644" t="s">
        <v>13519</v>
      </c>
      <c r="E1480" s="6"/>
      <c r="F1480" t="s">
        <v>15087</v>
      </c>
      <c r="H1480" s="74"/>
      <c r="I1480" s="24"/>
    </row>
    <row r="1481" spans="3:9" ht="15" x14ac:dyDescent="0.25">
      <c r="C1481" s="1644" t="s">
        <v>13520</v>
      </c>
      <c r="E1481" s="6"/>
      <c r="F1481" t="s">
        <v>15087</v>
      </c>
      <c r="H1481" s="74"/>
      <c r="I1481" s="24"/>
    </row>
    <row r="1482" spans="3:9" ht="15" x14ac:dyDescent="0.25">
      <c r="C1482" s="1644" t="s">
        <v>13521</v>
      </c>
      <c r="E1482" s="6"/>
      <c r="F1482" t="s">
        <v>15087</v>
      </c>
      <c r="H1482" s="74"/>
      <c r="I1482" s="24"/>
    </row>
    <row r="1483" spans="3:9" ht="15" x14ac:dyDescent="0.25">
      <c r="C1483" s="1644" t="s">
        <v>13522</v>
      </c>
      <c r="E1483" s="6"/>
      <c r="F1483" t="s">
        <v>15087</v>
      </c>
      <c r="H1483" s="74"/>
      <c r="I1483" s="531"/>
    </row>
    <row r="1484" spans="3:9" ht="15" x14ac:dyDescent="0.25">
      <c r="C1484" s="1644" t="s">
        <v>13523</v>
      </c>
      <c r="E1484" s="6">
        <v>1</v>
      </c>
      <c r="F1484" t="s">
        <v>15090</v>
      </c>
      <c r="H1484" s="74"/>
      <c r="I1484" s="24"/>
    </row>
    <row r="1485" spans="3:9" ht="15" x14ac:dyDescent="0.25">
      <c r="C1485" s="1644" t="s">
        <v>13524</v>
      </c>
      <c r="E1485" s="6"/>
      <c r="F1485" t="s">
        <v>15087</v>
      </c>
      <c r="H1485" s="74"/>
      <c r="I1485" s="531"/>
    </row>
    <row r="1486" spans="3:9" ht="15" x14ac:dyDescent="0.25">
      <c r="C1486" s="1644" t="s">
        <v>13525</v>
      </c>
      <c r="E1486" s="6">
        <v>1</v>
      </c>
      <c r="F1486" t="s">
        <v>15095</v>
      </c>
      <c r="H1486" s="532" t="s">
        <v>4575</v>
      </c>
      <c r="I1486" s="24"/>
    </row>
    <row r="1487" spans="3:9" ht="15" x14ac:dyDescent="0.25">
      <c r="C1487" s="1644" t="s">
        <v>13526</v>
      </c>
      <c r="E1487" s="6"/>
      <c r="F1487" t="s">
        <v>15087</v>
      </c>
      <c r="H1487" s="532"/>
      <c r="I1487" s="24"/>
    </row>
    <row r="1488" spans="3:9" ht="15" x14ac:dyDescent="0.25">
      <c r="C1488" s="1644" t="s">
        <v>13527</v>
      </c>
      <c r="E1488" s="6">
        <v>1</v>
      </c>
      <c r="F1488" t="s">
        <v>15090</v>
      </c>
      <c r="H1488" s="74" t="s">
        <v>1898</v>
      </c>
      <c r="I1488" s="24"/>
    </row>
    <row r="1489" spans="3:9" ht="15" x14ac:dyDescent="0.25">
      <c r="C1489" s="1644" t="s">
        <v>13528</v>
      </c>
      <c r="E1489" s="6"/>
      <c r="F1489" t="s">
        <v>15087</v>
      </c>
      <c r="H1489" s="74"/>
      <c r="I1489" s="24"/>
    </row>
    <row r="1490" spans="3:9" ht="15" x14ac:dyDescent="0.25">
      <c r="C1490" s="1644" t="s">
        <v>13529</v>
      </c>
      <c r="E1490" s="6"/>
      <c r="F1490" t="s">
        <v>15087</v>
      </c>
      <c r="H1490" s="74"/>
      <c r="I1490" s="24"/>
    </row>
    <row r="1491" spans="3:9" ht="15" x14ac:dyDescent="0.25">
      <c r="C1491" s="1644" t="s">
        <v>13530</v>
      </c>
      <c r="E1491" s="6"/>
      <c r="F1491" t="s">
        <v>15087</v>
      </c>
      <c r="H1491" s="74"/>
      <c r="I1491" s="531"/>
    </row>
    <row r="1492" spans="3:9" ht="15" x14ac:dyDescent="0.25">
      <c r="C1492" s="1644" t="s">
        <v>13531</v>
      </c>
      <c r="E1492" s="6"/>
      <c r="F1492" t="s">
        <v>15087</v>
      </c>
      <c r="H1492" s="74"/>
      <c r="I1492" s="531"/>
    </row>
    <row r="1493" spans="3:9" ht="15" x14ac:dyDescent="0.25">
      <c r="C1493" s="1644" t="s">
        <v>13532</v>
      </c>
      <c r="E1493" s="6"/>
      <c r="F1493" t="s">
        <v>15087</v>
      </c>
      <c r="H1493" s="74"/>
      <c r="I1493" s="585"/>
    </row>
    <row r="1494" spans="3:9" ht="15" x14ac:dyDescent="0.25">
      <c r="C1494" s="1644" t="s">
        <v>13533</v>
      </c>
      <c r="E1494" s="6"/>
      <c r="F1494" t="s">
        <v>15087</v>
      </c>
      <c r="H1494" s="74"/>
      <c r="I1494" s="24"/>
    </row>
    <row r="1495" spans="3:9" ht="15" x14ac:dyDescent="0.25">
      <c r="C1495" s="1644" t="s">
        <v>13534</v>
      </c>
      <c r="E1495" s="6"/>
      <c r="F1495" t="s">
        <v>15087</v>
      </c>
      <c r="H1495" s="74"/>
      <c r="I1495" s="24"/>
    </row>
    <row r="1496" spans="3:9" ht="15" x14ac:dyDescent="0.25">
      <c r="C1496" s="1644" t="s">
        <v>13535</v>
      </c>
      <c r="E1496" s="6"/>
      <c r="F1496" t="s">
        <v>15087</v>
      </c>
      <c r="H1496" s="74"/>
      <c r="I1496" s="24"/>
    </row>
    <row r="1497" spans="3:9" ht="15" x14ac:dyDescent="0.25">
      <c r="C1497" s="1644" t="s">
        <v>13536</v>
      </c>
      <c r="E1497" s="6"/>
      <c r="F1497" t="s">
        <v>15087</v>
      </c>
      <c r="H1497" s="74"/>
      <c r="I1497" s="531"/>
    </row>
    <row r="1498" spans="3:9" ht="15" x14ac:dyDescent="0.25">
      <c r="C1498" s="1644" t="s">
        <v>13537</v>
      </c>
      <c r="E1498" s="6"/>
      <c r="F1498" t="s">
        <v>15087</v>
      </c>
      <c r="H1498" s="74"/>
      <c r="I1498" s="585"/>
    </row>
    <row r="1499" spans="3:9" ht="15" x14ac:dyDescent="0.25">
      <c r="C1499" s="1644" t="s">
        <v>13538</v>
      </c>
      <c r="E1499" s="6"/>
      <c r="F1499" t="s">
        <v>15087</v>
      </c>
      <c r="H1499" s="74"/>
      <c r="I1499" s="24"/>
    </row>
    <row r="1500" spans="3:9" ht="15" x14ac:dyDescent="0.25">
      <c r="C1500" s="1644" t="s">
        <v>13539</v>
      </c>
      <c r="E1500" s="6">
        <v>4</v>
      </c>
      <c r="F1500" t="s">
        <v>15096</v>
      </c>
      <c r="H1500" s="74" t="s">
        <v>993</v>
      </c>
      <c r="I1500" s="24"/>
    </row>
    <row r="1501" spans="3:9" ht="15" x14ac:dyDescent="0.25">
      <c r="C1501" s="1644" t="s">
        <v>13540</v>
      </c>
      <c r="E1501" s="6">
        <v>1</v>
      </c>
      <c r="F1501" t="s">
        <v>15090</v>
      </c>
      <c r="H1501" s="74" t="s">
        <v>841</v>
      </c>
      <c r="I1501" s="24"/>
    </row>
    <row r="1502" spans="3:9" ht="15" x14ac:dyDescent="0.25">
      <c r="C1502" s="1644" t="s">
        <v>13541</v>
      </c>
      <c r="E1502" s="6"/>
      <c r="F1502" t="s">
        <v>15087</v>
      </c>
      <c r="H1502" s="74"/>
      <c r="I1502" s="531"/>
    </row>
    <row r="1503" spans="3:9" ht="15" x14ac:dyDescent="0.25">
      <c r="C1503" s="1644" t="s">
        <v>13542</v>
      </c>
      <c r="E1503" s="6"/>
      <c r="F1503" t="s">
        <v>15087</v>
      </c>
      <c r="H1503" s="74"/>
      <c r="I1503" s="24"/>
    </row>
    <row r="1504" spans="3:9" ht="15" x14ac:dyDescent="0.25">
      <c r="C1504" s="1644" t="s">
        <v>13543</v>
      </c>
      <c r="E1504" s="6"/>
      <c r="F1504" t="s">
        <v>15087</v>
      </c>
      <c r="H1504" s="74"/>
      <c r="I1504" s="24"/>
    </row>
    <row r="1505" spans="3:9" ht="15" x14ac:dyDescent="0.25">
      <c r="C1505" s="1644" t="s">
        <v>13544</v>
      </c>
      <c r="E1505" s="6"/>
      <c r="F1505" t="s">
        <v>15087</v>
      </c>
      <c r="H1505" s="568" t="s">
        <v>10400</v>
      </c>
      <c r="I1505" s="24"/>
    </row>
    <row r="1506" spans="3:9" ht="15" x14ac:dyDescent="0.25">
      <c r="C1506" s="1644" t="s">
        <v>13545</v>
      </c>
      <c r="E1506" s="6"/>
      <c r="F1506" t="s">
        <v>15087</v>
      </c>
      <c r="H1506" s="1370"/>
      <c r="I1506" s="531"/>
    </row>
    <row r="1507" spans="3:9" ht="15" x14ac:dyDescent="0.25">
      <c r="C1507" s="1644" t="s">
        <v>13546</v>
      </c>
      <c r="E1507" s="6"/>
      <c r="F1507" t="s">
        <v>15087</v>
      </c>
      <c r="H1507" s="1370"/>
      <c r="I1507" s="24"/>
    </row>
    <row r="1508" spans="3:9" ht="15" x14ac:dyDescent="0.25">
      <c r="C1508" s="1644" t="s">
        <v>13547</v>
      </c>
      <c r="E1508" s="6"/>
      <c r="F1508" t="s">
        <v>15087</v>
      </c>
      <c r="H1508" s="1370"/>
      <c r="I1508" s="24"/>
    </row>
    <row r="1509" spans="3:9" ht="15" x14ac:dyDescent="0.25">
      <c r="C1509" s="1644" t="s">
        <v>13548</v>
      </c>
      <c r="E1509" s="6"/>
      <c r="F1509" t="s">
        <v>15087</v>
      </c>
      <c r="H1509" s="1370"/>
      <c r="I1509" s="24"/>
    </row>
    <row r="1510" spans="3:9" ht="15" x14ac:dyDescent="0.25">
      <c r="C1510" s="1644" t="s">
        <v>13549</v>
      </c>
      <c r="E1510" s="6"/>
      <c r="F1510" t="s">
        <v>15087</v>
      </c>
      <c r="H1510" s="1370"/>
      <c r="I1510" s="24"/>
    </row>
    <row r="1511" spans="3:9" ht="15" x14ac:dyDescent="0.25">
      <c r="C1511" s="1644" t="s">
        <v>13550</v>
      </c>
      <c r="E1511" s="6"/>
      <c r="F1511" t="s">
        <v>15087</v>
      </c>
      <c r="H1511" s="1370"/>
      <c r="I1511" s="24"/>
    </row>
    <row r="1512" spans="3:9" ht="15" x14ac:dyDescent="0.25">
      <c r="C1512" s="1644" t="s">
        <v>13551</v>
      </c>
      <c r="E1512" s="6">
        <v>1</v>
      </c>
      <c r="F1512" t="s">
        <v>15097</v>
      </c>
      <c r="H1512" s="415" t="s">
        <v>9074</v>
      </c>
      <c r="I1512" s="24"/>
    </row>
    <row r="1513" spans="3:9" ht="15" x14ac:dyDescent="0.25">
      <c r="C1513" s="1644" t="s">
        <v>13552</v>
      </c>
      <c r="E1513" s="6">
        <v>1</v>
      </c>
      <c r="F1513" t="s">
        <v>15090</v>
      </c>
      <c r="H1513" s="15" t="s">
        <v>4289</v>
      </c>
      <c r="I1513" s="24"/>
    </row>
    <row r="1514" spans="3:9" ht="15" x14ac:dyDescent="0.25">
      <c r="C1514" s="1644" t="s">
        <v>13553</v>
      </c>
      <c r="E1514" s="6">
        <v>3</v>
      </c>
      <c r="F1514" t="s">
        <v>15090</v>
      </c>
      <c r="H1514" s="74" t="s">
        <v>4453</v>
      </c>
      <c r="I1514" s="24"/>
    </row>
    <row r="1515" spans="3:9" ht="15" x14ac:dyDescent="0.25">
      <c r="C1515" s="1644" t="s">
        <v>13554</v>
      </c>
      <c r="E1515" s="6"/>
      <c r="F1515" t="s">
        <v>15087</v>
      </c>
      <c r="H1515" s="74"/>
      <c r="I1515" s="1334"/>
    </row>
    <row r="1516" spans="3:9" ht="15" x14ac:dyDescent="0.25">
      <c r="C1516" s="1644" t="s">
        <v>13555</v>
      </c>
      <c r="E1516" s="6"/>
      <c r="F1516" t="s">
        <v>15087</v>
      </c>
      <c r="H1516" s="74"/>
      <c r="I1516" s="74"/>
    </row>
    <row r="1517" spans="3:9" ht="15" x14ac:dyDescent="0.25">
      <c r="C1517" s="1644" t="s">
        <v>13556</v>
      </c>
      <c r="E1517" s="6">
        <v>17</v>
      </c>
      <c r="F1517" t="s">
        <v>15090</v>
      </c>
      <c r="H1517" s="74" t="s">
        <v>527</v>
      </c>
      <c r="I1517" s="24"/>
    </row>
    <row r="1518" spans="3:9" ht="15" x14ac:dyDescent="0.25">
      <c r="C1518" s="1644" t="s">
        <v>13557</v>
      </c>
      <c r="E1518" s="6"/>
      <c r="F1518" t="s">
        <v>15087</v>
      </c>
      <c r="H1518" s="74"/>
      <c r="I1518" s="24"/>
    </row>
    <row r="1519" spans="3:9" ht="15" x14ac:dyDescent="0.25">
      <c r="C1519" s="1644" t="s">
        <v>13558</v>
      </c>
      <c r="E1519" s="6"/>
      <c r="F1519" t="s">
        <v>15087</v>
      </c>
      <c r="H1519" s="74"/>
      <c r="I1519" s="24"/>
    </row>
    <row r="1520" spans="3:9" ht="15" x14ac:dyDescent="0.25">
      <c r="C1520" s="1644" t="s">
        <v>13559</v>
      </c>
      <c r="E1520" s="6">
        <v>3</v>
      </c>
      <c r="F1520" t="s">
        <v>15090</v>
      </c>
      <c r="H1520" s="74" t="s">
        <v>2885</v>
      </c>
      <c r="I1520" s="24"/>
    </row>
    <row r="1521" spans="3:9" ht="15" x14ac:dyDescent="0.25">
      <c r="C1521" s="1644" t="s">
        <v>13560</v>
      </c>
      <c r="E1521" s="6"/>
      <c r="F1521" t="s">
        <v>15087</v>
      </c>
      <c r="H1521" s="74"/>
      <c r="I1521" s="24"/>
    </row>
    <row r="1522" spans="3:9" ht="15" x14ac:dyDescent="0.25">
      <c r="C1522" s="1644" t="s">
        <v>13561</v>
      </c>
      <c r="E1522" s="6"/>
      <c r="F1522" t="s">
        <v>15087</v>
      </c>
      <c r="H1522" s="74"/>
      <c r="I1522" s="24"/>
    </row>
    <row r="1523" spans="3:9" ht="15" x14ac:dyDescent="0.25">
      <c r="C1523" s="1644" t="s">
        <v>13562</v>
      </c>
      <c r="E1523" s="6">
        <v>2</v>
      </c>
      <c r="F1523" t="s">
        <v>15092</v>
      </c>
      <c r="H1523" s="74" t="s">
        <v>1783</v>
      </c>
      <c r="I1523" s="24"/>
    </row>
    <row r="1524" spans="3:9" ht="15" x14ac:dyDescent="0.25">
      <c r="C1524" s="1644" t="s">
        <v>13563</v>
      </c>
      <c r="E1524" s="6">
        <v>3</v>
      </c>
      <c r="F1524" t="s">
        <v>15098</v>
      </c>
      <c r="H1524" s="532" t="s">
        <v>10191</v>
      </c>
      <c r="I1524" s="24"/>
    </row>
    <row r="1525" spans="3:9" ht="15" x14ac:dyDescent="0.25">
      <c r="C1525" s="1644" t="s">
        <v>13564</v>
      </c>
      <c r="E1525" s="6"/>
      <c r="F1525" t="s">
        <v>15087</v>
      </c>
      <c r="H1525" s="581" t="s">
        <v>6390</v>
      </c>
      <c r="I1525" s="24"/>
    </row>
    <row r="1526" spans="3:9" ht="15" x14ac:dyDescent="0.25">
      <c r="C1526" s="1644" t="s">
        <v>13565</v>
      </c>
      <c r="E1526" s="6"/>
      <c r="F1526" t="s">
        <v>15087</v>
      </c>
      <c r="H1526" s="581"/>
      <c r="I1526" s="531"/>
    </row>
    <row r="1527" spans="3:9" ht="15" x14ac:dyDescent="0.25">
      <c r="C1527" s="1644" t="s">
        <v>13566</v>
      </c>
      <c r="E1527" s="6"/>
      <c r="F1527" t="s">
        <v>15087</v>
      </c>
      <c r="H1527" s="581"/>
      <c r="I1527" s="24"/>
    </row>
    <row r="1528" spans="3:9" ht="15" x14ac:dyDescent="0.25">
      <c r="C1528" s="1644" t="s">
        <v>13567</v>
      </c>
      <c r="E1528" s="6">
        <v>1</v>
      </c>
      <c r="F1528" t="s">
        <v>15099</v>
      </c>
      <c r="H1528" s="74" t="s">
        <v>1459</v>
      </c>
      <c r="I1528" s="24"/>
    </row>
    <row r="1529" spans="3:9" ht="15" x14ac:dyDescent="0.25">
      <c r="C1529" s="1644" t="s">
        <v>13568</v>
      </c>
      <c r="E1529" s="6">
        <v>1</v>
      </c>
      <c r="F1529" t="s">
        <v>15090</v>
      </c>
      <c r="H1529" s="74" t="s">
        <v>5153</v>
      </c>
      <c r="I1529" s="24"/>
    </row>
    <row r="1530" spans="3:9" ht="15" x14ac:dyDescent="0.25">
      <c r="C1530" s="1644" t="s">
        <v>13569</v>
      </c>
      <c r="E1530" s="6">
        <v>5</v>
      </c>
      <c r="F1530" t="s">
        <v>15090</v>
      </c>
      <c r="H1530" s="74" t="s">
        <v>1822</v>
      </c>
      <c r="I1530" s="24"/>
    </row>
    <row r="1531" spans="3:9" ht="15" x14ac:dyDescent="0.25">
      <c r="C1531" s="1644" t="s">
        <v>13570</v>
      </c>
      <c r="E1531" s="6"/>
      <c r="F1531" t="s">
        <v>15087</v>
      </c>
      <c r="H1531" s="74"/>
      <c r="I1531" s="24"/>
    </row>
    <row r="1532" spans="3:9" ht="15" x14ac:dyDescent="0.25">
      <c r="C1532" s="1644" t="s">
        <v>13571</v>
      </c>
      <c r="E1532" s="6">
        <v>2</v>
      </c>
      <c r="F1532" t="s">
        <v>15096</v>
      </c>
      <c r="H1532" s="74" t="s">
        <v>1964</v>
      </c>
      <c r="I1532" s="24"/>
    </row>
    <row r="1533" spans="3:9" ht="15" x14ac:dyDescent="0.25">
      <c r="C1533" s="1644" t="s">
        <v>13572</v>
      </c>
      <c r="E1533" s="6"/>
      <c r="F1533" t="s">
        <v>15087</v>
      </c>
      <c r="H1533" s="74"/>
      <c r="I1533" s="24"/>
    </row>
    <row r="1534" spans="3:9" ht="15" x14ac:dyDescent="0.25">
      <c r="C1534" s="1644" t="s">
        <v>13573</v>
      </c>
      <c r="E1534" s="6">
        <v>1</v>
      </c>
      <c r="F1534" t="s">
        <v>15090</v>
      </c>
      <c r="H1534" s="415" t="s">
        <v>12426</v>
      </c>
      <c r="I1534" s="24"/>
    </row>
    <row r="1535" spans="3:9" ht="15" x14ac:dyDescent="0.25">
      <c r="C1535" s="1644" t="s">
        <v>13574</v>
      </c>
      <c r="E1535" s="6">
        <v>6</v>
      </c>
      <c r="F1535" t="s">
        <v>15092</v>
      </c>
      <c r="H1535" s="511" t="s">
        <v>4379</v>
      </c>
      <c r="I1535" s="24"/>
    </row>
    <row r="1536" spans="3:9" ht="15" x14ac:dyDescent="0.25">
      <c r="C1536" s="1644" t="s">
        <v>13575</v>
      </c>
      <c r="E1536" s="6">
        <v>2</v>
      </c>
      <c r="F1536" t="s">
        <v>15092</v>
      </c>
      <c r="H1536" s="511" t="s">
        <v>6003</v>
      </c>
      <c r="I1536" s="541"/>
    </row>
    <row r="1537" spans="3:10" ht="15" x14ac:dyDescent="0.25">
      <c r="C1537" s="1644" t="s">
        <v>13576</v>
      </c>
      <c r="E1537" s="6">
        <v>1238</v>
      </c>
      <c r="F1537" t="s">
        <v>15100</v>
      </c>
      <c r="H1537" s="511" t="s">
        <v>5883</v>
      </c>
      <c r="I1537" s="24"/>
      <c r="J1537" s="9"/>
    </row>
    <row r="1538" spans="3:10" ht="15" x14ac:dyDescent="0.25">
      <c r="C1538" s="1644" t="s">
        <v>13577</v>
      </c>
      <c r="E1538" s="6">
        <v>4</v>
      </c>
      <c r="F1538" t="s">
        <v>15090</v>
      </c>
      <c r="H1538" s="74" t="s">
        <v>1821</v>
      </c>
      <c r="I1538" s="24"/>
      <c r="J1538" s="9"/>
    </row>
    <row r="1539" spans="3:10" ht="15" x14ac:dyDescent="0.25">
      <c r="C1539" s="1644" t="s">
        <v>13578</v>
      </c>
      <c r="E1539" s="6">
        <v>2</v>
      </c>
      <c r="F1539" t="s">
        <v>15090</v>
      </c>
      <c r="H1539" s="511" t="s">
        <v>3947</v>
      </c>
      <c r="I1539" s="24"/>
      <c r="J1539" s="9"/>
    </row>
    <row r="1540" spans="3:10" ht="15" x14ac:dyDescent="0.25">
      <c r="C1540" s="1644" t="s">
        <v>13579</v>
      </c>
      <c r="E1540" s="6">
        <v>2</v>
      </c>
      <c r="F1540" t="s">
        <v>15094</v>
      </c>
      <c r="H1540" s="415" t="s">
        <v>9142</v>
      </c>
      <c r="I1540" s="24"/>
    </row>
    <row r="1541" spans="3:10" ht="15" x14ac:dyDescent="0.25">
      <c r="C1541" s="1644" t="s">
        <v>13580</v>
      </c>
      <c r="E1541" s="6">
        <v>2</v>
      </c>
      <c r="F1541" t="s">
        <v>15090</v>
      </c>
      <c r="H1541" s="74" t="s">
        <v>1456</v>
      </c>
      <c r="I1541" s="24"/>
    </row>
    <row r="1542" spans="3:10" ht="15" x14ac:dyDescent="0.25">
      <c r="C1542" s="1644" t="s">
        <v>13581</v>
      </c>
      <c r="E1542" s="6"/>
      <c r="F1542" t="s">
        <v>15087</v>
      </c>
      <c r="H1542" s="532" t="s">
        <v>8086</v>
      </c>
      <c r="I1542" s="24"/>
    </row>
    <row r="1543" spans="3:10" ht="15" x14ac:dyDescent="0.25">
      <c r="C1543" s="1644" t="s">
        <v>13582</v>
      </c>
      <c r="E1543" s="6">
        <v>1</v>
      </c>
      <c r="F1543" t="s">
        <v>15090</v>
      </c>
      <c r="H1543" s="532" t="s">
        <v>2079</v>
      </c>
      <c r="I1543" s="24"/>
    </row>
    <row r="1544" spans="3:10" ht="15" x14ac:dyDescent="0.25">
      <c r="C1544" s="1644" t="s">
        <v>13583</v>
      </c>
      <c r="E1544" s="6"/>
      <c r="F1544" t="s">
        <v>15087</v>
      </c>
      <c r="H1544" s="568" t="s">
        <v>11787</v>
      </c>
      <c r="I1544" s="24"/>
    </row>
    <row r="1545" spans="3:10" ht="15" x14ac:dyDescent="0.25">
      <c r="C1545" s="1644" t="s">
        <v>13584</v>
      </c>
      <c r="E1545" s="6"/>
      <c r="F1545" t="s">
        <v>15087</v>
      </c>
      <c r="H1545" s="511" t="s">
        <v>355</v>
      </c>
      <c r="I1545" s="531"/>
    </row>
    <row r="1546" spans="3:10" ht="15" x14ac:dyDescent="0.25">
      <c r="C1546" s="1644" t="s">
        <v>13585</v>
      </c>
      <c r="E1546" s="6"/>
      <c r="F1546" t="s">
        <v>15087</v>
      </c>
      <c r="H1546" s="532" t="s">
        <v>8948</v>
      </c>
      <c r="I1546" s="531"/>
    </row>
    <row r="1547" spans="3:10" ht="15" x14ac:dyDescent="0.25">
      <c r="C1547" s="1644" t="s">
        <v>13586</v>
      </c>
      <c r="E1547" s="6"/>
      <c r="F1547" t="s">
        <v>15087</v>
      </c>
      <c r="H1547" s="532" t="s">
        <v>6399</v>
      </c>
      <c r="I1547" s="531"/>
    </row>
    <row r="1548" spans="3:10" ht="15" x14ac:dyDescent="0.25">
      <c r="C1548" s="1644" t="s">
        <v>13587</v>
      </c>
      <c r="E1548" s="6">
        <v>2</v>
      </c>
      <c r="F1548" t="s">
        <v>15094</v>
      </c>
      <c r="H1548" s="532" t="s">
        <v>12711</v>
      </c>
      <c r="I1548" s="24"/>
    </row>
    <row r="1549" spans="3:10" ht="15" x14ac:dyDescent="0.25">
      <c r="C1549" s="1644" t="s">
        <v>13588</v>
      </c>
      <c r="E1549" s="6">
        <v>1</v>
      </c>
      <c r="F1549" t="s">
        <v>15090</v>
      </c>
      <c r="H1549" s="568" t="s">
        <v>9691</v>
      </c>
      <c r="I1549" s="24"/>
    </row>
    <row r="1550" spans="3:10" ht="15" x14ac:dyDescent="0.25">
      <c r="C1550" s="1644" t="s">
        <v>13589</v>
      </c>
      <c r="E1550" s="6"/>
      <c r="F1550" t="s">
        <v>15087</v>
      </c>
      <c r="H1550" s="74" t="s">
        <v>4544</v>
      </c>
      <c r="I1550" s="24"/>
    </row>
    <row r="1551" spans="3:10" ht="15" x14ac:dyDescent="0.25">
      <c r="C1551" s="1644" t="s">
        <v>13590</v>
      </c>
      <c r="E1551" s="6"/>
      <c r="F1551" t="s">
        <v>15087</v>
      </c>
      <c r="H1551" s="74" t="s">
        <v>2711</v>
      </c>
      <c r="I1551" s="24"/>
    </row>
    <row r="1552" spans="3:10" ht="15" x14ac:dyDescent="0.25">
      <c r="C1552" s="1644" t="s">
        <v>13591</v>
      </c>
      <c r="E1552" s="6">
        <v>1</v>
      </c>
      <c r="F1552" t="s">
        <v>15094</v>
      </c>
      <c r="H1552" s="415" t="s">
        <v>7944</v>
      </c>
      <c r="I1552" s="24"/>
    </row>
    <row r="1553" spans="3:9" ht="15" x14ac:dyDescent="0.25">
      <c r="C1553" s="1644" t="s">
        <v>13592</v>
      </c>
      <c r="E1553" s="6"/>
      <c r="F1553" t="s">
        <v>15087</v>
      </c>
      <c r="H1553" s="532" t="s">
        <v>8015</v>
      </c>
      <c r="I1553" s="531"/>
    </row>
    <row r="1554" spans="3:9" ht="15" x14ac:dyDescent="0.25">
      <c r="C1554" s="1644" t="s">
        <v>13593</v>
      </c>
      <c r="E1554" s="6">
        <v>1</v>
      </c>
      <c r="F1554" t="s">
        <v>15092</v>
      </c>
      <c r="H1554" s="74" t="s">
        <v>3259</v>
      </c>
      <c r="I1554" s="948"/>
    </row>
    <row r="1555" spans="3:9" ht="15" x14ac:dyDescent="0.25">
      <c r="C1555" s="1644" t="s">
        <v>13594</v>
      </c>
      <c r="E1555" s="6"/>
      <c r="F1555" t="s">
        <v>15087</v>
      </c>
      <c r="H1555" s="74" t="s">
        <v>5704</v>
      </c>
      <c r="I1555" s="24"/>
    </row>
    <row r="1556" spans="3:9" ht="15" x14ac:dyDescent="0.25">
      <c r="C1556" s="1644" t="s">
        <v>13595</v>
      </c>
      <c r="E1556" s="6"/>
      <c r="F1556" t="s">
        <v>15087</v>
      </c>
      <c r="H1556" s="415" t="s">
        <v>10587</v>
      </c>
      <c r="I1556" s="24"/>
    </row>
    <row r="1557" spans="3:9" ht="15" x14ac:dyDescent="0.25">
      <c r="C1557" s="1644" t="s">
        <v>13596</v>
      </c>
      <c r="E1557" s="6"/>
      <c r="F1557" t="s">
        <v>15087</v>
      </c>
      <c r="H1557" s="532" t="s">
        <v>11807</v>
      </c>
      <c r="I1557" s="24"/>
    </row>
    <row r="1558" spans="3:9" ht="15" x14ac:dyDescent="0.25">
      <c r="C1558" s="1644" t="s">
        <v>13597</v>
      </c>
      <c r="E1558" s="6">
        <v>2</v>
      </c>
      <c r="F1558" t="s">
        <v>15092</v>
      </c>
      <c r="H1558" s="74" t="s">
        <v>2961</v>
      </c>
      <c r="I1558" s="585"/>
    </row>
    <row r="1559" spans="3:9" ht="15" x14ac:dyDescent="0.25">
      <c r="C1559" s="1644" t="s">
        <v>13598</v>
      </c>
      <c r="E1559" s="6"/>
      <c r="F1559" t="s">
        <v>15087</v>
      </c>
      <c r="H1559" s="415" t="s">
        <v>13123</v>
      </c>
      <c r="I1559" s="24"/>
    </row>
    <row r="1560" spans="3:9" ht="15" x14ac:dyDescent="0.25">
      <c r="C1560" s="1644" t="s">
        <v>13599</v>
      </c>
      <c r="E1560" s="6"/>
      <c r="F1560" t="s">
        <v>15087</v>
      </c>
      <c r="H1560" s="74" t="s">
        <v>802</v>
      </c>
      <c r="I1560" s="531"/>
    </row>
    <row r="1561" spans="3:9" ht="15" x14ac:dyDescent="0.25">
      <c r="C1561" s="1644" t="s">
        <v>13600</v>
      </c>
      <c r="E1561" s="6"/>
      <c r="F1561" t="s">
        <v>15087</v>
      </c>
      <c r="H1561" s="74" t="s">
        <v>4845</v>
      </c>
      <c r="I1561" s="24"/>
    </row>
    <row r="1562" spans="3:9" ht="15" x14ac:dyDescent="0.25">
      <c r="C1562" s="1644" t="s">
        <v>13601</v>
      </c>
      <c r="E1562" s="6">
        <v>4</v>
      </c>
      <c r="F1562" t="s">
        <v>15101</v>
      </c>
      <c r="H1562" s="894" t="s">
        <v>10193</v>
      </c>
      <c r="I1562" s="24"/>
    </row>
    <row r="1563" spans="3:9" ht="15" x14ac:dyDescent="0.25">
      <c r="C1563" s="1644" t="s">
        <v>13602</v>
      </c>
      <c r="E1563" s="6">
        <v>3</v>
      </c>
      <c r="F1563" t="s">
        <v>15102</v>
      </c>
      <c r="H1563" s="74" t="s">
        <v>2867</v>
      </c>
      <c r="I1563" s="24"/>
    </row>
    <row r="1564" spans="3:9" ht="15" x14ac:dyDescent="0.25">
      <c r="C1564" s="1644" t="s">
        <v>13603</v>
      </c>
      <c r="E1564" s="6"/>
      <c r="F1564" t="s">
        <v>15087</v>
      </c>
      <c r="H1564" s="74" t="s">
        <v>692</v>
      </c>
      <c r="I1564" s="531"/>
    </row>
    <row r="1565" spans="3:9" ht="15" x14ac:dyDescent="0.25">
      <c r="C1565" s="1644" t="s">
        <v>13604</v>
      </c>
      <c r="E1565" s="6">
        <v>2</v>
      </c>
      <c r="F1565" t="s">
        <v>15092</v>
      </c>
      <c r="H1565" s="74" t="s">
        <v>2544</v>
      </c>
      <c r="I1565" s="24"/>
    </row>
    <row r="1566" spans="3:9" ht="15" x14ac:dyDescent="0.25">
      <c r="C1566" s="1644" t="s">
        <v>13605</v>
      </c>
      <c r="E1566" s="6"/>
      <c r="F1566" t="s">
        <v>15087</v>
      </c>
      <c r="H1566" s="74" t="s">
        <v>4936</v>
      </c>
      <c r="I1566" s="24"/>
    </row>
    <row r="1567" spans="3:9" ht="15" x14ac:dyDescent="0.25">
      <c r="C1567" s="1644" t="s">
        <v>13606</v>
      </c>
      <c r="E1567" s="6"/>
      <c r="F1567" t="s">
        <v>15087</v>
      </c>
      <c r="H1567" s="74" t="s">
        <v>5471</v>
      </c>
      <c r="I1567" s="531"/>
    </row>
    <row r="1568" spans="3:9" ht="15" x14ac:dyDescent="0.25">
      <c r="C1568" s="1644" t="s">
        <v>13607</v>
      </c>
      <c r="E1568" s="6">
        <v>2</v>
      </c>
      <c r="F1568" t="s">
        <v>15103</v>
      </c>
      <c r="H1568" s="74" t="s">
        <v>2526</v>
      </c>
      <c r="I1568" s="585"/>
    </row>
    <row r="1569" spans="3:9" ht="15" x14ac:dyDescent="0.25">
      <c r="C1569" s="1644" t="s">
        <v>13608</v>
      </c>
      <c r="E1569" s="6"/>
      <c r="F1569" t="s">
        <v>15087</v>
      </c>
      <c r="H1569" s="74" t="s">
        <v>5632</v>
      </c>
      <c r="I1569" s="24"/>
    </row>
    <row r="1570" spans="3:9" ht="15" x14ac:dyDescent="0.25">
      <c r="C1570" s="1644" t="s">
        <v>13609</v>
      </c>
      <c r="E1570" s="6"/>
      <c r="F1570" t="s">
        <v>15087</v>
      </c>
      <c r="H1570" s="74" t="s">
        <v>5656</v>
      </c>
      <c r="I1570" s="24"/>
    </row>
    <row r="1571" spans="3:9" ht="15" x14ac:dyDescent="0.25">
      <c r="C1571" s="1644" t="s">
        <v>13610</v>
      </c>
      <c r="E1571" s="6"/>
      <c r="F1571" t="s">
        <v>15087</v>
      </c>
      <c r="H1571" s="74" t="s">
        <v>4510</v>
      </c>
      <c r="I1571" s="24"/>
    </row>
    <row r="1572" spans="3:9" ht="15" x14ac:dyDescent="0.25">
      <c r="C1572" s="1644" t="s">
        <v>13611</v>
      </c>
      <c r="E1572" s="6">
        <v>1</v>
      </c>
      <c r="F1572" t="s">
        <v>15104</v>
      </c>
      <c r="H1572" s="74" t="s">
        <v>2295</v>
      </c>
      <c r="I1572" s="24"/>
    </row>
    <row r="1573" spans="3:9" ht="15" x14ac:dyDescent="0.25">
      <c r="C1573" s="1644" t="s">
        <v>13612</v>
      </c>
      <c r="E1573" s="6">
        <v>485</v>
      </c>
      <c r="F1573" t="s">
        <v>15105</v>
      </c>
      <c r="H1573" s="74" t="s">
        <v>2251</v>
      </c>
      <c r="I1573" s="24"/>
    </row>
    <row r="1574" spans="3:9" ht="15" x14ac:dyDescent="0.25">
      <c r="C1574" s="1644" t="s">
        <v>13613</v>
      </c>
      <c r="E1574" s="6"/>
      <c r="F1574" t="s">
        <v>15087</v>
      </c>
      <c r="H1574" s="74" t="s">
        <v>5983</v>
      </c>
      <c r="I1574" s="24"/>
    </row>
    <row r="1575" spans="3:9" ht="15" x14ac:dyDescent="0.25">
      <c r="C1575" s="1644" t="s">
        <v>13614</v>
      </c>
      <c r="E1575" s="6">
        <v>1</v>
      </c>
      <c r="F1575" t="s">
        <v>15088</v>
      </c>
      <c r="H1575" s="74" t="s">
        <v>182</v>
      </c>
      <c r="I1575" s="531"/>
    </row>
    <row r="1576" spans="3:9" ht="15" x14ac:dyDescent="0.25">
      <c r="C1576" s="1644" t="s">
        <v>13615</v>
      </c>
      <c r="E1576" s="6"/>
      <c r="F1576" t="s">
        <v>15087</v>
      </c>
      <c r="H1576" s="74" t="s">
        <v>2830</v>
      </c>
      <c r="I1576" s="24"/>
    </row>
    <row r="1577" spans="3:9" ht="15" x14ac:dyDescent="0.25">
      <c r="C1577" s="1644" t="s">
        <v>13616</v>
      </c>
      <c r="E1577" s="6">
        <v>1</v>
      </c>
      <c r="F1577" t="s">
        <v>15106</v>
      </c>
      <c r="H1577" s="532" t="s">
        <v>10983</v>
      </c>
      <c r="I1577" s="24"/>
    </row>
    <row r="1578" spans="3:9" ht="15" x14ac:dyDescent="0.25">
      <c r="C1578" s="1644" t="s">
        <v>13617</v>
      </c>
      <c r="E1578" s="6"/>
      <c r="F1578" t="s">
        <v>15087</v>
      </c>
      <c r="H1578" s="74" t="s">
        <v>6005</v>
      </c>
      <c r="I1578" s="24"/>
    </row>
    <row r="1579" spans="3:9" ht="15" x14ac:dyDescent="0.25">
      <c r="C1579" s="1644" t="s">
        <v>13618</v>
      </c>
      <c r="E1579" s="6"/>
      <c r="F1579" t="s">
        <v>15087</v>
      </c>
      <c r="H1579" s="74" t="s">
        <v>1030</v>
      </c>
      <c r="I1579" s="531"/>
    </row>
    <row r="1580" spans="3:9" ht="15" x14ac:dyDescent="0.25">
      <c r="C1580" s="1644" t="s">
        <v>13619</v>
      </c>
      <c r="E1580" s="6"/>
      <c r="F1580" t="s">
        <v>15087</v>
      </c>
      <c r="H1580" s="74" t="s">
        <v>373</v>
      </c>
      <c r="I1580" s="24"/>
    </row>
    <row r="1581" spans="3:9" ht="15" x14ac:dyDescent="0.25">
      <c r="C1581" s="1644" t="s">
        <v>13620</v>
      </c>
      <c r="E1581" s="6">
        <v>1</v>
      </c>
      <c r="F1581" t="s">
        <v>15107</v>
      </c>
      <c r="H1581" s="74" t="s">
        <v>5430</v>
      </c>
      <c r="I1581" s="585"/>
    </row>
    <row r="1582" spans="3:9" ht="15" x14ac:dyDescent="0.25">
      <c r="C1582" s="1644" t="s">
        <v>13621</v>
      </c>
      <c r="E1582" s="6">
        <v>7</v>
      </c>
      <c r="F1582" t="s">
        <v>15108</v>
      </c>
      <c r="H1582" s="74" t="s">
        <v>2727</v>
      </c>
      <c r="I1582" s="24"/>
    </row>
    <row r="1583" spans="3:9" ht="15" x14ac:dyDescent="0.25">
      <c r="C1583" s="1644" t="s">
        <v>13622</v>
      </c>
      <c r="E1583" s="6">
        <v>2</v>
      </c>
      <c r="F1583" t="s">
        <v>15090</v>
      </c>
      <c r="H1583" s="74" t="s">
        <v>5633</v>
      </c>
      <c r="I1583" s="183"/>
    </row>
    <row r="1584" spans="3:9" ht="15" x14ac:dyDescent="0.25">
      <c r="C1584" s="1644" t="s">
        <v>13623</v>
      </c>
      <c r="E1584" s="6"/>
      <c r="F1584" t="s">
        <v>15087</v>
      </c>
      <c r="H1584" s="74" t="s">
        <v>5885</v>
      </c>
      <c r="I1584" s="24"/>
    </row>
    <row r="1585" spans="3:9" ht="15" x14ac:dyDescent="0.25">
      <c r="C1585" s="1644" t="s">
        <v>13624</v>
      </c>
      <c r="E1585" s="6"/>
      <c r="F1585" t="s">
        <v>15087</v>
      </c>
      <c r="H1585" s="74" t="s">
        <v>5351</v>
      </c>
      <c r="I1585" s="24"/>
    </row>
    <row r="1586" spans="3:9" ht="15" x14ac:dyDescent="0.25">
      <c r="C1586" s="1644" t="s">
        <v>13625</v>
      </c>
      <c r="E1586" s="6"/>
      <c r="F1586" t="s">
        <v>15087</v>
      </c>
      <c r="H1586" s="74" t="s">
        <v>2906</v>
      </c>
      <c r="I1586" s="24"/>
    </row>
    <row r="1587" spans="3:9" ht="15" x14ac:dyDescent="0.25">
      <c r="C1587" s="1644" t="s">
        <v>13626</v>
      </c>
      <c r="E1587" s="6"/>
      <c r="F1587" t="s">
        <v>15087</v>
      </c>
      <c r="H1587" s="532" t="s">
        <v>11837</v>
      </c>
      <c r="I1587" s="24"/>
    </row>
    <row r="1588" spans="3:9" ht="15" x14ac:dyDescent="0.25">
      <c r="C1588" s="1644" t="s">
        <v>13627</v>
      </c>
      <c r="E1588" s="6"/>
      <c r="F1588" t="s">
        <v>15087</v>
      </c>
      <c r="H1588" s="15" t="s">
        <v>3520</v>
      </c>
      <c r="I1588" s="24"/>
    </row>
    <row r="1589" spans="3:9" ht="15" x14ac:dyDescent="0.25">
      <c r="C1589" s="1644" t="s">
        <v>13628</v>
      </c>
      <c r="E1589" s="6"/>
      <c r="F1589" t="s">
        <v>15087</v>
      </c>
      <c r="H1589" s="415" t="s">
        <v>3157</v>
      </c>
      <c r="I1589" s="24"/>
    </row>
    <row r="1590" spans="3:9" ht="15" x14ac:dyDescent="0.25">
      <c r="C1590" s="1644" t="s">
        <v>13629</v>
      </c>
      <c r="E1590" s="6">
        <v>4</v>
      </c>
      <c r="F1590" t="s">
        <v>15109</v>
      </c>
      <c r="H1590" s="74" t="s">
        <v>2913</v>
      </c>
      <c r="I1590" s="24"/>
    </row>
    <row r="1591" spans="3:9" ht="15" x14ac:dyDescent="0.25">
      <c r="C1591" s="1644" t="s">
        <v>13630</v>
      </c>
      <c r="E1591" s="6"/>
      <c r="F1591" t="s">
        <v>15087</v>
      </c>
      <c r="H1591" s="74" t="s">
        <v>799</v>
      </c>
      <c r="I1591" s="530"/>
    </row>
    <row r="1592" spans="3:9" ht="15" x14ac:dyDescent="0.25">
      <c r="C1592" s="1644" t="s">
        <v>13631</v>
      </c>
      <c r="E1592" s="6">
        <v>2</v>
      </c>
      <c r="F1592" t="s">
        <v>15091</v>
      </c>
      <c r="H1592" s="74" t="s">
        <v>4901</v>
      </c>
      <c r="I1592" s="24"/>
    </row>
    <row r="1593" spans="3:9" ht="15" x14ac:dyDescent="0.25">
      <c r="C1593" s="1644" t="s">
        <v>13632</v>
      </c>
      <c r="E1593" s="6"/>
      <c r="F1593" t="s">
        <v>15087</v>
      </c>
      <c r="H1593" s="74" t="s">
        <v>5188</v>
      </c>
      <c r="I1593" s="531"/>
    </row>
    <row r="1594" spans="3:9" ht="15" x14ac:dyDescent="0.25">
      <c r="C1594" s="1644" t="s">
        <v>13633</v>
      </c>
      <c r="E1594" s="6">
        <v>19</v>
      </c>
      <c r="F1594" t="s">
        <v>15090</v>
      </c>
      <c r="H1594" s="415" t="s">
        <v>11759</v>
      </c>
      <c r="I1594" s="24"/>
    </row>
    <row r="1595" spans="3:9" ht="15" x14ac:dyDescent="0.25">
      <c r="C1595" s="1644" t="s">
        <v>13634</v>
      </c>
      <c r="E1595" s="6">
        <v>1</v>
      </c>
      <c r="F1595" t="s">
        <v>15110</v>
      </c>
      <c r="H1595" s="74" t="s">
        <v>972</v>
      </c>
      <c r="I1595" s="24"/>
    </row>
    <row r="1596" spans="3:9" ht="15" x14ac:dyDescent="0.25">
      <c r="C1596" s="1644" t="s">
        <v>13635</v>
      </c>
      <c r="E1596" s="6"/>
      <c r="F1596" t="s">
        <v>15087</v>
      </c>
      <c r="H1596" s="74" t="s">
        <v>1985</v>
      </c>
      <c r="I1596" s="585"/>
    </row>
    <row r="1597" spans="3:9" ht="15" x14ac:dyDescent="0.25">
      <c r="C1597" s="1644" t="s">
        <v>13636</v>
      </c>
      <c r="E1597" s="6"/>
      <c r="F1597" t="s">
        <v>15087</v>
      </c>
      <c r="H1597" s="415" t="s">
        <v>8514</v>
      </c>
      <c r="I1597" s="24"/>
    </row>
    <row r="1598" spans="3:9" ht="15" x14ac:dyDescent="0.25">
      <c r="C1598" s="1644" t="s">
        <v>13637</v>
      </c>
      <c r="E1598" s="6">
        <v>3</v>
      </c>
      <c r="F1598" t="s">
        <v>15111</v>
      </c>
      <c r="H1598" s="532" t="s">
        <v>9580</v>
      </c>
      <c r="I1598" s="24"/>
    </row>
    <row r="1599" spans="3:9" ht="15" x14ac:dyDescent="0.25">
      <c r="C1599" s="1644" t="s">
        <v>13638</v>
      </c>
      <c r="E1599" s="6"/>
      <c r="F1599" t="s">
        <v>15087</v>
      </c>
      <c r="H1599" s="74" t="s">
        <v>3403</v>
      </c>
      <c r="I1599" s="24"/>
    </row>
    <row r="1600" spans="3:9" ht="15" x14ac:dyDescent="0.25">
      <c r="C1600" s="1644" t="s">
        <v>13639</v>
      </c>
      <c r="E1600" s="6">
        <v>3</v>
      </c>
      <c r="F1600" t="s">
        <v>15096</v>
      </c>
      <c r="H1600" s="415" t="s">
        <v>13416</v>
      </c>
      <c r="I1600" s="24"/>
    </row>
    <row r="1601" spans="3:9" ht="15" x14ac:dyDescent="0.25">
      <c r="C1601" s="1644" t="s">
        <v>13640</v>
      </c>
      <c r="E1601" s="6">
        <v>47</v>
      </c>
      <c r="F1601" t="s">
        <v>15090</v>
      </c>
      <c r="H1601" s="415" t="s">
        <v>8177</v>
      </c>
      <c r="I1601" s="24"/>
    </row>
    <row r="1602" spans="3:9" ht="15" x14ac:dyDescent="0.25">
      <c r="C1602" s="1644" t="s">
        <v>13641</v>
      </c>
      <c r="E1602" s="6"/>
      <c r="F1602" t="s">
        <v>15087</v>
      </c>
      <c r="H1602" s="74" t="s">
        <v>2521</v>
      </c>
      <c r="I1602" s="24"/>
    </row>
    <row r="1603" spans="3:9" ht="15" x14ac:dyDescent="0.25">
      <c r="C1603" s="1644" t="s">
        <v>13642</v>
      </c>
      <c r="E1603" s="6"/>
      <c r="F1603" t="s">
        <v>15087</v>
      </c>
      <c r="H1603" s="74" t="s">
        <v>5145</v>
      </c>
      <c r="I1603" s="1333"/>
    </row>
    <row r="1604" spans="3:9" ht="15" x14ac:dyDescent="0.25">
      <c r="C1604" s="1644" t="s">
        <v>13643</v>
      </c>
      <c r="E1604" s="6"/>
      <c r="F1604" t="s">
        <v>15087</v>
      </c>
      <c r="H1604" s="532" t="s">
        <v>693</v>
      </c>
      <c r="I1604" s="511"/>
    </row>
    <row r="1605" spans="3:9" ht="15" x14ac:dyDescent="0.25">
      <c r="C1605" s="1644" t="s">
        <v>13644</v>
      </c>
      <c r="E1605" s="6">
        <v>2</v>
      </c>
      <c r="F1605" t="s">
        <v>15090</v>
      </c>
      <c r="H1605" s="74" t="s">
        <v>798</v>
      </c>
      <c r="I1605" s="518"/>
    </row>
    <row r="1606" spans="3:9" ht="15" x14ac:dyDescent="0.25">
      <c r="C1606" s="1644" t="s">
        <v>13645</v>
      </c>
      <c r="E1606" s="6"/>
      <c r="F1606" t="s">
        <v>15087</v>
      </c>
      <c r="H1606" s="74" t="s">
        <v>1410</v>
      </c>
      <c r="I1606" s="24"/>
    </row>
    <row r="1607" spans="3:9" ht="15" x14ac:dyDescent="0.25">
      <c r="C1607" s="1644" t="s">
        <v>13646</v>
      </c>
      <c r="E1607" s="6"/>
      <c r="F1607" t="s">
        <v>15087</v>
      </c>
      <c r="H1607" s="74" t="s">
        <v>5973</v>
      </c>
      <c r="I1607" s="24"/>
    </row>
    <row r="1608" spans="3:9" ht="15" x14ac:dyDescent="0.25">
      <c r="C1608" s="1644" t="s">
        <v>13647</v>
      </c>
      <c r="E1608" s="6"/>
      <c r="F1608" t="s">
        <v>15087</v>
      </c>
      <c r="H1608" s="415" t="s">
        <v>9760</v>
      </c>
      <c r="I1608" s="24"/>
    </row>
    <row r="1609" spans="3:9" ht="15" x14ac:dyDescent="0.25">
      <c r="C1609" s="1644" t="s">
        <v>13648</v>
      </c>
      <c r="E1609" s="6">
        <v>2</v>
      </c>
      <c r="F1609" t="s">
        <v>15090</v>
      </c>
      <c r="H1609" s="568" t="s">
        <v>8651</v>
      </c>
      <c r="I1609" s="531"/>
    </row>
    <row r="1610" spans="3:9" ht="15" x14ac:dyDescent="0.25">
      <c r="C1610" s="1644" t="s">
        <v>13649</v>
      </c>
      <c r="E1610" s="6"/>
      <c r="F1610" t="s">
        <v>15087</v>
      </c>
      <c r="H1610" s="74" t="s">
        <v>1126</v>
      </c>
      <c r="I1610" s="531"/>
    </row>
    <row r="1611" spans="3:9" ht="15" x14ac:dyDescent="0.25">
      <c r="C1611" s="1644" t="s">
        <v>13650</v>
      </c>
      <c r="E1611" s="6"/>
      <c r="F1611" t="s">
        <v>15087</v>
      </c>
      <c r="H1611" s="532" t="s">
        <v>9407</v>
      </c>
      <c r="I1611" s="531"/>
    </row>
    <row r="1612" spans="3:9" ht="15" x14ac:dyDescent="0.25">
      <c r="C1612" s="1644" t="s">
        <v>13651</v>
      </c>
      <c r="E1612" s="6">
        <v>9</v>
      </c>
      <c r="F1612" t="s">
        <v>15112</v>
      </c>
      <c r="H1612" s="74" t="s">
        <v>3311</v>
      </c>
      <c r="I1612" s="531"/>
    </row>
    <row r="1613" spans="3:9" ht="15" x14ac:dyDescent="0.25">
      <c r="C1613" s="1644" t="s">
        <v>13652</v>
      </c>
      <c r="E1613" s="6"/>
      <c r="F1613" t="s">
        <v>15087</v>
      </c>
      <c r="H1613" s="415" t="s">
        <v>9689</v>
      </c>
      <c r="I1613" s="531"/>
    </row>
    <row r="1614" spans="3:9" ht="15" x14ac:dyDescent="0.25">
      <c r="C1614" s="1644" t="s">
        <v>13653</v>
      </c>
      <c r="E1614" s="6"/>
      <c r="F1614" t="s">
        <v>15087</v>
      </c>
      <c r="H1614" s="415" t="s">
        <v>8407</v>
      </c>
      <c r="I1614" s="531"/>
    </row>
    <row r="1615" spans="3:9" ht="15" x14ac:dyDescent="0.25">
      <c r="C1615" s="1644" t="s">
        <v>13654</v>
      </c>
      <c r="E1615" s="6"/>
      <c r="F1615" t="s">
        <v>15087</v>
      </c>
      <c r="H1615" s="532" t="s">
        <v>5359</v>
      </c>
      <c r="I1615" s="24"/>
    </row>
    <row r="1616" spans="3:9" ht="15" x14ac:dyDescent="0.25">
      <c r="C1616" s="1644" t="s">
        <v>13655</v>
      </c>
      <c r="E1616" s="6">
        <v>1</v>
      </c>
      <c r="F1616" t="s">
        <v>15113</v>
      </c>
      <c r="H1616" s="532" t="s">
        <v>8386</v>
      </c>
      <c r="I1616" s="24"/>
    </row>
    <row r="1617" spans="3:9" ht="15" x14ac:dyDescent="0.25">
      <c r="C1617" s="1644" t="s">
        <v>13656</v>
      </c>
      <c r="E1617" s="6">
        <v>6</v>
      </c>
      <c r="F1617" t="s">
        <v>15096</v>
      </c>
      <c r="H1617" s="74" t="s">
        <v>5431</v>
      </c>
      <c r="I1617" s="531"/>
    </row>
    <row r="1618" spans="3:9" ht="15" x14ac:dyDescent="0.25">
      <c r="C1618" s="1644" t="s">
        <v>13657</v>
      </c>
      <c r="E1618" s="6"/>
      <c r="F1618" t="s">
        <v>15087</v>
      </c>
      <c r="H1618" s="532" t="s">
        <v>10792</v>
      </c>
      <c r="I1618" s="24"/>
    </row>
    <row r="1619" spans="3:9" ht="15" x14ac:dyDescent="0.25">
      <c r="C1619" s="1644" t="s">
        <v>13658</v>
      </c>
      <c r="E1619" s="6">
        <v>4</v>
      </c>
      <c r="F1619" t="s">
        <v>15092</v>
      </c>
      <c r="H1619" s="568" t="s">
        <v>9140</v>
      </c>
      <c r="I1619" s="585"/>
    </row>
    <row r="1620" spans="3:9" ht="15" x14ac:dyDescent="0.25">
      <c r="C1620" s="1644" t="s">
        <v>13659</v>
      </c>
      <c r="E1620" s="6"/>
      <c r="F1620" t="s">
        <v>15087</v>
      </c>
      <c r="H1620" s="74" t="s">
        <v>226</v>
      </c>
      <c r="I1620" s="24"/>
    </row>
    <row r="1621" spans="3:9" ht="15" x14ac:dyDescent="0.25">
      <c r="C1621" s="1644" t="s">
        <v>13660</v>
      </c>
      <c r="E1621" s="6"/>
      <c r="F1621" t="s">
        <v>15087</v>
      </c>
      <c r="H1621" s="74" t="s">
        <v>1660</v>
      </c>
      <c r="I1621" s="531"/>
    </row>
    <row r="1622" spans="3:9" ht="15" x14ac:dyDescent="0.25">
      <c r="C1622" s="1644" t="s">
        <v>13661</v>
      </c>
      <c r="E1622" s="6">
        <v>58</v>
      </c>
      <c r="F1622" t="s">
        <v>15114</v>
      </c>
      <c r="H1622" s="74" t="s">
        <v>1452</v>
      </c>
      <c r="I1622" s="24"/>
    </row>
    <row r="1623" spans="3:9" ht="15" x14ac:dyDescent="0.25">
      <c r="C1623" s="1644" t="s">
        <v>13662</v>
      </c>
      <c r="E1623" s="6">
        <v>5</v>
      </c>
      <c r="F1623" t="s">
        <v>15101</v>
      </c>
      <c r="H1623" s="74" t="s">
        <v>456</v>
      </c>
      <c r="I1623" s="24"/>
    </row>
    <row r="1624" spans="3:9" ht="15" x14ac:dyDescent="0.25">
      <c r="C1624" s="1644" t="s">
        <v>13663</v>
      </c>
      <c r="E1624" s="6">
        <v>1</v>
      </c>
      <c r="F1624" t="s">
        <v>15106</v>
      </c>
      <c r="H1624" s="415" t="s">
        <v>10419</v>
      </c>
      <c r="I1624" s="24"/>
    </row>
    <row r="1625" spans="3:9" ht="15" x14ac:dyDescent="0.25">
      <c r="C1625" s="1644" t="s">
        <v>13664</v>
      </c>
      <c r="E1625" s="6"/>
      <c r="F1625" t="s">
        <v>15087</v>
      </c>
      <c r="H1625" s="74" t="s">
        <v>319</v>
      </c>
      <c r="I1625" s="24"/>
    </row>
    <row r="1626" spans="3:9" ht="15" x14ac:dyDescent="0.25">
      <c r="C1626" s="1644" t="s">
        <v>13665</v>
      </c>
      <c r="E1626" s="6"/>
      <c r="F1626" t="s">
        <v>15087</v>
      </c>
      <c r="H1626" s="511" t="s">
        <v>2041</v>
      </c>
      <c r="I1626" s="24"/>
    </row>
    <row r="1627" spans="3:9" ht="15" x14ac:dyDescent="0.25">
      <c r="C1627" s="1644" t="s">
        <v>13666</v>
      </c>
      <c r="E1627" s="6">
        <v>3</v>
      </c>
      <c r="F1627" t="s">
        <v>15090</v>
      </c>
      <c r="H1627" s="74" t="s">
        <v>353</v>
      </c>
      <c r="I1627" s="531"/>
    </row>
    <row r="1628" spans="3:9" ht="15" x14ac:dyDescent="0.25">
      <c r="C1628" s="1644" t="s">
        <v>13667</v>
      </c>
      <c r="E1628" s="6"/>
      <c r="F1628" t="s">
        <v>15087</v>
      </c>
      <c r="H1628" s="74" t="s">
        <v>4140</v>
      </c>
      <c r="I1628" s="24"/>
    </row>
    <row r="1629" spans="3:9" ht="15" x14ac:dyDescent="0.25">
      <c r="C1629" s="1644" t="s">
        <v>13668</v>
      </c>
      <c r="E1629" s="6"/>
      <c r="F1629" t="s">
        <v>15087</v>
      </c>
      <c r="H1629" s="74" t="s">
        <v>4281</v>
      </c>
      <c r="I1629" s="24"/>
    </row>
    <row r="1630" spans="3:9" ht="15" x14ac:dyDescent="0.25">
      <c r="C1630" s="1644" t="s">
        <v>13669</v>
      </c>
      <c r="E1630" s="6"/>
      <c r="F1630" t="s">
        <v>15087</v>
      </c>
      <c r="H1630" s="532" t="s">
        <v>11802</v>
      </c>
      <c r="I1630" s="24"/>
    </row>
    <row r="1631" spans="3:9" ht="15" x14ac:dyDescent="0.25">
      <c r="C1631" s="1644" t="s">
        <v>13670</v>
      </c>
      <c r="E1631" s="6"/>
      <c r="F1631" t="s">
        <v>15087</v>
      </c>
      <c r="H1631" s="74" t="s">
        <v>2285</v>
      </c>
      <c r="I1631" s="24"/>
    </row>
    <row r="1632" spans="3:9" ht="15" x14ac:dyDescent="0.25">
      <c r="C1632" s="1644" t="s">
        <v>13671</v>
      </c>
      <c r="E1632" s="6"/>
      <c r="F1632" t="s">
        <v>15087</v>
      </c>
      <c r="H1632" s="568" t="s">
        <v>11835</v>
      </c>
      <c r="I1632" s="24"/>
    </row>
    <row r="1633" spans="3:9" ht="15" x14ac:dyDescent="0.25">
      <c r="C1633" s="1644" t="s">
        <v>13672</v>
      </c>
      <c r="E1633" s="6"/>
      <c r="F1633" t="s">
        <v>15087</v>
      </c>
      <c r="H1633" s="74" t="s">
        <v>129</v>
      </c>
      <c r="I1633" s="24"/>
    </row>
    <row r="1634" spans="3:9" ht="15" x14ac:dyDescent="0.25">
      <c r="C1634" s="1644" t="s">
        <v>13673</v>
      </c>
      <c r="E1634" s="6">
        <v>8</v>
      </c>
      <c r="F1634" t="s">
        <v>15092</v>
      </c>
      <c r="H1634" s="74" t="s">
        <v>843</v>
      </c>
      <c r="I1634" s="24"/>
    </row>
    <row r="1635" spans="3:9" ht="15" x14ac:dyDescent="0.25">
      <c r="C1635" s="1644" t="s">
        <v>13674</v>
      </c>
      <c r="E1635" s="6"/>
      <c r="F1635" t="s">
        <v>15087</v>
      </c>
      <c r="H1635" s="415" t="s">
        <v>9144</v>
      </c>
      <c r="I1635" s="24"/>
    </row>
    <row r="1636" spans="3:9" ht="15" x14ac:dyDescent="0.25">
      <c r="C1636" s="1644" t="s">
        <v>13675</v>
      </c>
      <c r="E1636" s="6">
        <v>1</v>
      </c>
      <c r="F1636" t="s">
        <v>15101</v>
      </c>
      <c r="H1636" s="74" t="s">
        <v>1261</v>
      </c>
      <c r="I1636" s="24"/>
    </row>
    <row r="1637" spans="3:9" ht="15" x14ac:dyDescent="0.25">
      <c r="C1637" s="1644" t="s">
        <v>13676</v>
      </c>
      <c r="E1637" s="6">
        <v>2</v>
      </c>
      <c r="F1637" t="s">
        <v>15111</v>
      </c>
      <c r="H1637" s="74" t="s">
        <v>3857</v>
      </c>
      <c r="I1637" s="24"/>
    </row>
    <row r="1638" spans="3:9" ht="15" x14ac:dyDescent="0.25">
      <c r="C1638" s="1644" t="s">
        <v>13677</v>
      </c>
      <c r="E1638" s="6"/>
      <c r="F1638" t="s">
        <v>15087</v>
      </c>
      <c r="H1638" s="74" t="s">
        <v>4397</v>
      </c>
      <c r="I1638" s="24"/>
    </row>
    <row r="1639" spans="3:9" ht="15" x14ac:dyDescent="0.25">
      <c r="C1639" s="1644" t="s">
        <v>13678</v>
      </c>
      <c r="E1639" s="6"/>
      <c r="F1639" t="s">
        <v>15087</v>
      </c>
      <c r="H1639" s="415" t="s">
        <v>9178</v>
      </c>
      <c r="I1639" s="24"/>
    </row>
    <row r="1640" spans="3:9" ht="15" x14ac:dyDescent="0.25">
      <c r="C1640" s="1644" t="s">
        <v>13679</v>
      </c>
      <c r="E1640" s="6"/>
      <c r="F1640" t="s">
        <v>15087</v>
      </c>
      <c r="H1640" s="74" t="s">
        <v>2109</v>
      </c>
      <c r="I1640" s="24"/>
    </row>
    <row r="1641" spans="3:9" ht="15" x14ac:dyDescent="0.25">
      <c r="C1641" s="1644" t="s">
        <v>13680</v>
      </c>
      <c r="E1641" s="6"/>
      <c r="F1641" t="s">
        <v>15087</v>
      </c>
      <c r="H1641" s="415" t="s">
        <v>13418</v>
      </c>
      <c r="I1641" s="24"/>
    </row>
    <row r="1642" spans="3:9" ht="15" x14ac:dyDescent="0.25">
      <c r="C1642" s="1644" t="s">
        <v>13681</v>
      </c>
      <c r="E1642" s="6">
        <v>1</v>
      </c>
      <c r="F1642" t="s">
        <v>15100</v>
      </c>
      <c r="H1642" s="581" t="s">
        <v>4833</v>
      </c>
      <c r="I1642" s="24"/>
    </row>
    <row r="1643" spans="3:9" ht="15" x14ac:dyDescent="0.25">
      <c r="C1643" s="1644" t="s">
        <v>13682</v>
      </c>
      <c r="E1643" s="6">
        <v>1276</v>
      </c>
      <c r="F1643" t="s">
        <v>15102</v>
      </c>
      <c r="H1643" s="15" t="s">
        <v>2541</v>
      </c>
      <c r="I1643" s="24"/>
    </row>
    <row r="1644" spans="3:9" ht="15" x14ac:dyDescent="0.25">
      <c r="C1644" s="1644" t="s">
        <v>13683</v>
      </c>
      <c r="E1644" s="6">
        <v>2</v>
      </c>
      <c r="F1644" t="s">
        <v>15115</v>
      </c>
      <c r="H1644" s="532" t="s">
        <v>9738</v>
      </c>
      <c r="I1644" s="531"/>
    </row>
    <row r="1645" spans="3:9" ht="15" x14ac:dyDescent="0.25">
      <c r="C1645" s="1644" t="s">
        <v>13684</v>
      </c>
      <c r="E1645" s="6"/>
      <c r="F1645" t="s">
        <v>15087</v>
      </c>
      <c r="H1645" s="415" t="s">
        <v>8690</v>
      </c>
      <c r="I1645" s="24"/>
    </row>
    <row r="1646" spans="3:9" ht="15" x14ac:dyDescent="0.25">
      <c r="C1646" s="1644" t="s">
        <v>13685</v>
      </c>
      <c r="E1646" s="6"/>
      <c r="F1646" t="s">
        <v>15087</v>
      </c>
      <c r="H1646" s="74" t="s">
        <v>2045</v>
      </c>
      <c r="I1646" s="24"/>
    </row>
    <row r="1647" spans="3:9" ht="15" x14ac:dyDescent="0.25">
      <c r="C1647" s="1644" t="s">
        <v>13686</v>
      </c>
      <c r="E1647" s="6"/>
      <c r="F1647" t="s">
        <v>15087</v>
      </c>
      <c r="H1647" s="568" t="s">
        <v>5910</v>
      </c>
      <c r="I1647" s="24"/>
    </row>
    <row r="1648" spans="3:9" ht="15" x14ac:dyDescent="0.25">
      <c r="C1648" s="1644" t="s">
        <v>13687</v>
      </c>
      <c r="E1648" s="6">
        <v>1</v>
      </c>
      <c r="F1648" t="s">
        <v>15116</v>
      </c>
      <c r="H1648" s="74" t="s">
        <v>2662</v>
      </c>
      <c r="I1648" s="24"/>
    </row>
    <row r="1649" spans="3:9" ht="15" x14ac:dyDescent="0.25">
      <c r="C1649" s="1644" t="s">
        <v>13688</v>
      </c>
      <c r="E1649" s="6">
        <v>1</v>
      </c>
      <c r="F1649" t="s">
        <v>15117</v>
      </c>
      <c r="H1649" s="415" t="s">
        <v>12070</v>
      </c>
      <c r="I1649" s="183"/>
    </row>
    <row r="1650" spans="3:9" ht="15" x14ac:dyDescent="0.25">
      <c r="C1650" s="1644" t="s">
        <v>13689</v>
      </c>
      <c r="E1650" s="6"/>
      <c r="F1650" t="s">
        <v>15087</v>
      </c>
      <c r="H1650" s="415" t="s">
        <v>11096</v>
      </c>
      <c r="I1650" s="24"/>
    </row>
    <row r="1651" spans="3:9" ht="15" x14ac:dyDescent="0.25">
      <c r="C1651" s="1644" t="s">
        <v>13690</v>
      </c>
      <c r="E1651" s="6">
        <v>6</v>
      </c>
      <c r="F1651" t="s">
        <v>15107</v>
      </c>
      <c r="H1651" s="415" t="s">
        <v>10431</v>
      </c>
      <c r="I1651" s="24"/>
    </row>
    <row r="1652" spans="3:9" ht="15" x14ac:dyDescent="0.25">
      <c r="C1652" s="1644" t="s">
        <v>13691</v>
      </c>
      <c r="E1652" s="6"/>
      <c r="F1652" t="s">
        <v>15087</v>
      </c>
      <c r="H1652" s="74" t="s">
        <v>4421</v>
      </c>
      <c r="I1652" s="24"/>
    </row>
    <row r="1653" spans="3:9" ht="15" x14ac:dyDescent="0.25">
      <c r="C1653" s="1644" t="s">
        <v>13692</v>
      </c>
      <c r="E1653" s="6"/>
      <c r="F1653" t="s">
        <v>15087</v>
      </c>
      <c r="H1653" s="74" t="s">
        <v>2542</v>
      </c>
      <c r="I1653" s="24"/>
    </row>
    <row r="1654" spans="3:9" ht="15" x14ac:dyDescent="0.25">
      <c r="C1654" s="1644" t="s">
        <v>13693</v>
      </c>
      <c r="E1654" s="6">
        <v>1</v>
      </c>
      <c r="F1654" t="s">
        <v>15090</v>
      </c>
      <c r="H1654" s="531" t="s">
        <v>10192</v>
      </c>
      <c r="I1654" s="585"/>
    </row>
    <row r="1655" spans="3:9" ht="15" x14ac:dyDescent="0.25">
      <c r="C1655" s="1644" t="s">
        <v>13694</v>
      </c>
      <c r="E1655" s="6"/>
      <c r="F1655" t="s">
        <v>15087</v>
      </c>
      <c r="H1655" s="531" t="s">
        <v>10542</v>
      </c>
      <c r="I1655" s="24"/>
    </row>
    <row r="1656" spans="3:9" ht="15" x14ac:dyDescent="0.25">
      <c r="C1656" s="1644" t="s">
        <v>13695</v>
      </c>
      <c r="E1656" s="6"/>
      <c r="F1656" t="s">
        <v>15087</v>
      </c>
      <c r="H1656" s="568" t="s">
        <v>12660</v>
      </c>
      <c r="I1656" s="24"/>
    </row>
    <row r="1657" spans="3:9" ht="15" x14ac:dyDescent="0.25">
      <c r="C1657" s="1644" t="s">
        <v>13696</v>
      </c>
      <c r="E1657" s="6"/>
      <c r="F1657" t="s">
        <v>15087</v>
      </c>
      <c r="H1657" s="415" t="s">
        <v>8290</v>
      </c>
      <c r="I1657" s="24"/>
    </row>
    <row r="1658" spans="3:9" ht="15" x14ac:dyDescent="0.25">
      <c r="C1658" s="1644" t="s">
        <v>13697</v>
      </c>
      <c r="E1658" s="6"/>
      <c r="F1658" t="s">
        <v>15087</v>
      </c>
      <c r="H1658" s="415" t="s">
        <v>11561</v>
      </c>
      <c r="I1658" s="24"/>
    </row>
    <row r="1659" spans="3:9" ht="15" x14ac:dyDescent="0.25">
      <c r="C1659" s="1644" t="s">
        <v>13698</v>
      </c>
      <c r="E1659" s="6"/>
      <c r="F1659" t="s">
        <v>15087</v>
      </c>
      <c r="H1659" s="415" t="s">
        <v>6136</v>
      </c>
      <c r="I1659" s="24"/>
    </row>
    <row r="1660" spans="3:9" ht="15" x14ac:dyDescent="0.25">
      <c r="C1660" s="1644" t="s">
        <v>13699</v>
      </c>
      <c r="E1660" s="6">
        <v>3</v>
      </c>
      <c r="F1660" t="s">
        <v>15094</v>
      </c>
      <c r="H1660" s="532" t="s">
        <v>10893</v>
      </c>
      <c r="I1660" s="24"/>
    </row>
    <row r="1661" spans="3:9" ht="15" x14ac:dyDescent="0.25">
      <c r="C1661" s="1644" t="s">
        <v>13700</v>
      </c>
      <c r="E1661" s="6">
        <v>3</v>
      </c>
      <c r="F1661" t="s">
        <v>15118</v>
      </c>
      <c r="H1661" s="415" t="s">
        <v>8821</v>
      </c>
      <c r="I1661" s="585"/>
    </row>
    <row r="1662" spans="3:9" ht="15" x14ac:dyDescent="0.25">
      <c r="C1662" s="1644" t="s">
        <v>13701</v>
      </c>
      <c r="E1662" s="6">
        <v>5</v>
      </c>
      <c r="F1662" t="s">
        <v>15092</v>
      </c>
      <c r="H1662" s="74" t="s">
        <v>1947</v>
      </c>
      <c r="I1662" s="183"/>
    </row>
    <row r="1663" spans="3:9" ht="15" x14ac:dyDescent="0.25">
      <c r="C1663" s="1644" t="s">
        <v>13702</v>
      </c>
      <c r="E1663" s="6">
        <v>3</v>
      </c>
      <c r="F1663" t="s">
        <v>15115</v>
      </c>
      <c r="H1663" s="74" t="s">
        <v>4460</v>
      </c>
      <c r="I1663" s="24"/>
    </row>
    <row r="1664" spans="3:9" ht="15" x14ac:dyDescent="0.25">
      <c r="C1664" s="1644" t="s">
        <v>13703</v>
      </c>
      <c r="E1664" s="6"/>
      <c r="F1664" t="s">
        <v>15087</v>
      </c>
      <c r="H1664" s="74" t="s">
        <v>3458</v>
      </c>
      <c r="I1664" s="24"/>
    </row>
    <row r="1665" spans="3:9" ht="15" x14ac:dyDescent="0.25">
      <c r="C1665" s="1644" t="s">
        <v>13704</v>
      </c>
      <c r="E1665" s="6">
        <v>19</v>
      </c>
      <c r="F1665" t="s">
        <v>15099</v>
      </c>
      <c r="H1665" s="415" t="s">
        <v>9750</v>
      </c>
      <c r="I1665" s="24"/>
    </row>
    <row r="1666" spans="3:9" ht="15" x14ac:dyDescent="0.25">
      <c r="C1666" s="1644" t="s">
        <v>13705</v>
      </c>
      <c r="E1666" s="6"/>
      <c r="F1666" t="s">
        <v>15087</v>
      </c>
      <c r="H1666" s="74" t="s">
        <v>209</v>
      </c>
      <c r="I1666" s="531"/>
    </row>
    <row r="1667" spans="3:9" ht="15" x14ac:dyDescent="0.25">
      <c r="C1667" s="1644" t="s">
        <v>13706</v>
      </c>
      <c r="E1667" s="6"/>
      <c r="F1667" t="s">
        <v>15087</v>
      </c>
      <c r="H1667" s="376" t="s">
        <v>5374</v>
      </c>
      <c r="I1667"/>
    </row>
    <row r="1668" spans="3:9" ht="15" x14ac:dyDescent="0.25">
      <c r="C1668" s="1644" t="s">
        <v>13707</v>
      </c>
      <c r="E1668" s="6">
        <v>1</v>
      </c>
      <c r="F1668" t="s">
        <v>15119</v>
      </c>
      <c r="H1668" s="1497" t="s">
        <v>11856</v>
      </c>
      <c r="I1668" s="531"/>
    </row>
    <row r="1669" spans="3:9" ht="15" x14ac:dyDescent="0.25">
      <c r="C1669" s="1644" t="s">
        <v>13708</v>
      </c>
      <c r="E1669" s="6">
        <v>3</v>
      </c>
      <c r="F1669" t="s">
        <v>15120</v>
      </c>
      <c r="H1669" s="376" t="s">
        <v>1550</v>
      </c>
      <c r="I1669" s="24"/>
    </row>
    <row r="1670" spans="3:9" ht="15" x14ac:dyDescent="0.25">
      <c r="C1670" s="1644" t="s">
        <v>13709</v>
      </c>
      <c r="E1670" s="6"/>
      <c r="F1670" t="s">
        <v>15087</v>
      </c>
      <c r="H1670" s="1190" t="s">
        <v>11190</v>
      </c>
      <c r="I1670" s="24"/>
    </row>
    <row r="1671" spans="3:9" ht="15" x14ac:dyDescent="0.25">
      <c r="C1671" s="1644" t="s">
        <v>13710</v>
      </c>
      <c r="E1671" s="6"/>
      <c r="F1671" t="s">
        <v>15087</v>
      </c>
      <c r="H1671" s="74" t="s">
        <v>1578</v>
      </c>
      <c r="I1671"/>
    </row>
    <row r="1672" spans="3:9" ht="15" x14ac:dyDescent="0.25">
      <c r="C1672" s="1644" t="s">
        <v>13711</v>
      </c>
      <c r="E1672" s="6">
        <v>27</v>
      </c>
      <c r="F1672" t="s">
        <v>15096</v>
      </c>
      <c r="H1672" s="532" t="s">
        <v>8373</v>
      </c>
      <c r="I1672" s="531"/>
    </row>
    <row r="1673" spans="3:9" ht="15" x14ac:dyDescent="0.25">
      <c r="C1673" s="1644" t="s">
        <v>13712</v>
      </c>
      <c r="E1673" s="6"/>
      <c r="F1673" t="s">
        <v>15087</v>
      </c>
      <c r="H1673" s="74" t="s">
        <v>1419</v>
      </c>
      <c r="I1673"/>
    </row>
    <row r="1674" spans="3:9" ht="15" x14ac:dyDescent="0.25">
      <c r="C1674" s="1644" t="s">
        <v>13713</v>
      </c>
      <c r="E1674" s="6"/>
      <c r="F1674" t="s">
        <v>15087</v>
      </c>
      <c r="H1674" s="15" t="s">
        <v>2235</v>
      </c>
      <c r="I1674" s="24"/>
    </row>
    <row r="1675" spans="3:9" ht="15" x14ac:dyDescent="0.25">
      <c r="C1675" s="1644" t="s">
        <v>13714</v>
      </c>
      <c r="E1675" s="6">
        <v>1</v>
      </c>
      <c r="F1675" t="s">
        <v>15121</v>
      </c>
      <c r="H1675" s="74" t="s">
        <v>2865</v>
      </c>
      <c r="I1675" s="24"/>
    </row>
    <row r="1676" spans="3:9" ht="15" x14ac:dyDescent="0.25">
      <c r="C1676" s="1644" t="s">
        <v>13715</v>
      </c>
      <c r="E1676" s="6"/>
      <c r="F1676" t="s">
        <v>15087</v>
      </c>
      <c r="H1676" s="415" t="s">
        <v>9582</v>
      </c>
      <c r="I1676" s="24"/>
    </row>
    <row r="1677" spans="3:9" ht="15" x14ac:dyDescent="0.25">
      <c r="C1677" s="1644" t="s">
        <v>13716</v>
      </c>
      <c r="E1677" s="6"/>
      <c r="F1677" t="s">
        <v>15087</v>
      </c>
      <c r="H1677" s="74" t="s">
        <v>3684</v>
      </c>
      <c r="I1677" s="183"/>
    </row>
    <row r="1678" spans="3:9" ht="15" x14ac:dyDescent="0.25">
      <c r="C1678" s="1644" t="s">
        <v>13717</v>
      </c>
      <c r="E1678" s="6">
        <v>1</v>
      </c>
      <c r="F1678" t="s">
        <v>15090</v>
      </c>
      <c r="H1678" s="532" t="s">
        <v>12769</v>
      </c>
      <c r="I1678" s="183"/>
    </row>
    <row r="1679" spans="3:9" ht="15" x14ac:dyDescent="0.25">
      <c r="C1679" s="1644" t="s">
        <v>13718</v>
      </c>
      <c r="E1679" s="6"/>
      <c r="F1679" t="s">
        <v>15087</v>
      </c>
      <c r="H1679" s="74" t="s">
        <v>4416</v>
      </c>
      <c r="I1679" s="183"/>
    </row>
    <row r="1680" spans="3:9" ht="15" x14ac:dyDescent="0.25">
      <c r="C1680" s="1644" t="s">
        <v>13719</v>
      </c>
      <c r="E1680" s="6"/>
      <c r="F1680" t="s">
        <v>15087</v>
      </c>
      <c r="H1680" s="74" t="s">
        <v>1929</v>
      </c>
      <c r="I1680" s="183"/>
    </row>
    <row r="1681" spans="3:9" ht="15" x14ac:dyDescent="0.25">
      <c r="C1681" s="1644" t="s">
        <v>13720</v>
      </c>
      <c r="E1681" s="6"/>
      <c r="F1681" t="s">
        <v>15087</v>
      </c>
      <c r="H1681" s="74" t="s">
        <v>4245</v>
      </c>
      <c r="I1681" s="183"/>
    </row>
    <row r="1682" spans="3:9" ht="15" x14ac:dyDescent="0.25">
      <c r="C1682" s="1644" t="s">
        <v>13721</v>
      </c>
      <c r="E1682" s="6">
        <v>3</v>
      </c>
      <c r="F1682" t="s">
        <v>15092</v>
      </c>
      <c r="H1682" s="415" t="s">
        <v>8552</v>
      </c>
      <c r="I1682" s="24"/>
    </row>
    <row r="1683" spans="3:9" ht="15" x14ac:dyDescent="0.25">
      <c r="C1683" s="1644" t="s">
        <v>13722</v>
      </c>
      <c r="E1683" s="6"/>
      <c r="F1683" t="s">
        <v>15087</v>
      </c>
      <c r="H1683" s="74" t="s">
        <v>1183</v>
      </c>
      <c r="I1683" s="24"/>
    </row>
    <row r="1684" spans="3:9" ht="15" x14ac:dyDescent="0.25">
      <c r="C1684" s="1644" t="s">
        <v>13723</v>
      </c>
      <c r="E1684" s="6">
        <v>7</v>
      </c>
      <c r="F1684" t="s">
        <v>15106</v>
      </c>
      <c r="H1684" s="74" t="s">
        <v>4529</v>
      </c>
      <c r="I1684" s="24"/>
    </row>
    <row r="1685" spans="3:9" ht="15" x14ac:dyDescent="0.25">
      <c r="C1685" s="1644" t="s">
        <v>13724</v>
      </c>
      <c r="E1685" s="6"/>
      <c r="F1685" t="s">
        <v>15087</v>
      </c>
      <c r="H1685" s="415" t="s">
        <v>12011</v>
      </c>
      <c r="I1685" s="531"/>
    </row>
    <row r="1686" spans="3:9" ht="15" x14ac:dyDescent="0.25">
      <c r="C1686" s="1644" t="s">
        <v>13725</v>
      </c>
      <c r="E1686" s="6"/>
      <c r="F1686" t="s">
        <v>15087</v>
      </c>
      <c r="H1686" s="15" t="s">
        <v>4820</v>
      </c>
      <c r="I1686" s="531"/>
    </row>
    <row r="1687" spans="3:9" ht="15" x14ac:dyDescent="0.25">
      <c r="C1687" s="1644" t="s">
        <v>13726</v>
      </c>
      <c r="E1687" s="6"/>
      <c r="F1687" t="s">
        <v>15087</v>
      </c>
      <c r="H1687" s="74" t="s">
        <v>2192</v>
      </c>
      <c r="I1687" s="531"/>
    </row>
    <row r="1688" spans="3:9" ht="15" x14ac:dyDescent="0.25">
      <c r="C1688" s="1644" t="s">
        <v>13727</v>
      </c>
      <c r="E1688" s="6"/>
      <c r="F1688" t="s">
        <v>15087</v>
      </c>
      <c r="H1688" s="74" t="s">
        <v>3324</v>
      </c>
      <c r="I1688" s="24"/>
    </row>
    <row r="1689" spans="3:9" ht="15" x14ac:dyDescent="0.25">
      <c r="C1689" s="1644" t="s">
        <v>13728</v>
      </c>
      <c r="E1689" s="6"/>
      <c r="F1689" t="s">
        <v>15087</v>
      </c>
      <c r="H1689" s="415" t="s">
        <v>11874</v>
      </c>
      <c r="I1689" s="24"/>
    </row>
    <row r="1690" spans="3:9" ht="15" x14ac:dyDescent="0.25">
      <c r="C1690" s="1644" t="s">
        <v>13729</v>
      </c>
      <c r="E1690" s="6"/>
      <c r="F1690" t="s">
        <v>15087</v>
      </c>
      <c r="H1690" s="74" t="s">
        <v>861</v>
      </c>
      <c r="I1690" s="24"/>
    </row>
    <row r="1691" spans="3:9" ht="15" x14ac:dyDescent="0.25">
      <c r="C1691" s="1644" t="s">
        <v>13730</v>
      </c>
      <c r="E1691" s="6"/>
      <c r="F1691" t="s">
        <v>15087</v>
      </c>
      <c r="H1691" s="415" t="s">
        <v>11405</v>
      </c>
      <c r="I1691" s="24"/>
    </row>
    <row r="1692" spans="3:9" ht="15" x14ac:dyDescent="0.25">
      <c r="C1692" s="1644" t="s">
        <v>13731</v>
      </c>
      <c r="E1692" s="6"/>
      <c r="F1692" t="s">
        <v>15087</v>
      </c>
      <c r="H1692" s="415" t="s">
        <v>10111</v>
      </c>
      <c r="I1692" s="24"/>
    </row>
    <row r="1693" spans="3:9" ht="15" x14ac:dyDescent="0.25">
      <c r="C1693" s="1644" t="s">
        <v>13732</v>
      </c>
      <c r="E1693" s="6"/>
      <c r="F1693" t="s">
        <v>15087</v>
      </c>
      <c r="H1693" s="415" t="s">
        <v>3640</v>
      </c>
      <c r="I1693" s="24"/>
    </row>
    <row r="1694" spans="3:9" ht="15" x14ac:dyDescent="0.25">
      <c r="C1694" s="1644" t="s">
        <v>13733</v>
      </c>
      <c r="E1694" s="6"/>
      <c r="F1694" t="s">
        <v>15087</v>
      </c>
      <c r="H1694" s="415" t="s">
        <v>769</v>
      </c>
      <c r="I1694" s="24"/>
    </row>
    <row r="1695" spans="3:9" ht="15" x14ac:dyDescent="0.25">
      <c r="C1695" s="1644" t="s">
        <v>13734</v>
      </c>
      <c r="E1695" s="6"/>
      <c r="F1695" t="s">
        <v>15087</v>
      </c>
      <c r="H1695" s="532" t="s">
        <v>10439</v>
      </c>
      <c r="I1695" s="24"/>
    </row>
    <row r="1696" spans="3:9" ht="15" x14ac:dyDescent="0.25">
      <c r="C1696" s="1644" t="s">
        <v>13735</v>
      </c>
      <c r="E1696" s="6"/>
      <c r="F1696" t="s">
        <v>15087</v>
      </c>
      <c r="H1696" s="415" t="s">
        <v>4530</v>
      </c>
      <c r="I1696" s="24"/>
    </row>
    <row r="1697" spans="3:9" ht="15" x14ac:dyDescent="0.25">
      <c r="C1697" s="1644" t="s">
        <v>13736</v>
      </c>
      <c r="E1697" s="6"/>
      <c r="F1697" t="s">
        <v>15087</v>
      </c>
      <c r="H1697" s="74" t="s">
        <v>933</v>
      </c>
      <c r="I1697" s="519"/>
    </row>
    <row r="1698" spans="3:9" ht="15" x14ac:dyDescent="0.25">
      <c r="C1698" s="1644" t="s">
        <v>13737</v>
      </c>
      <c r="E1698" s="6">
        <v>1</v>
      </c>
      <c r="F1698" t="s">
        <v>15094</v>
      </c>
      <c r="H1698" s="415" t="s">
        <v>12577</v>
      </c>
      <c r="I1698" s="24"/>
    </row>
    <row r="1699" spans="3:9" ht="15" x14ac:dyDescent="0.25">
      <c r="C1699" s="1644" t="s">
        <v>13738</v>
      </c>
      <c r="E1699" s="6">
        <v>6</v>
      </c>
      <c r="F1699" t="s">
        <v>15122</v>
      </c>
      <c r="H1699" s="415" t="s">
        <v>9344</v>
      </c>
      <c r="I1699" s="24"/>
    </row>
    <row r="1700" spans="3:9" ht="15" x14ac:dyDescent="0.25">
      <c r="C1700" s="1644" t="s">
        <v>13739</v>
      </c>
      <c r="E1700" s="6">
        <v>2</v>
      </c>
      <c r="F1700" t="s">
        <v>15111</v>
      </c>
      <c r="H1700" s="74" t="s">
        <v>5948</v>
      </c>
      <c r="I1700" s="531"/>
    </row>
    <row r="1701" spans="3:9" ht="15" x14ac:dyDescent="0.25">
      <c r="C1701" s="1644" t="s">
        <v>13740</v>
      </c>
      <c r="E1701" s="6"/>
      <c r="F1701" t="s">
        <v>15087</v>
      </c>
      <c r="H1701" s="74" t="s">
        <v>1535</v>
      </c>
      <c r="I1701" s="24"/>
    </row>
    <row r="1702" spans="3:9" ht="15" x14ac:dyDescent="0.25">
      <c r="C1702" s="1644" t="s">
        <v>13741</v>
      </c>
      <c r="E1702" s="6"/>
      <c r="F1702" t="s">
        <v>15087</v>
      </c>
      <c r="H1702" s="74" t="s">
        <v>4004</v>
      </c>
      <c r="I1702" s="24"/>
    </row>
    <row r="1703" spans="3:9" ht="15" x14ac:dyDescent="0.25">
      <c r="C1703" s="1644" t="s">
        <v>13742</v>
      </c>
      <c r="E1703" s="6">
        <v>1</v>
      </c>
      <c r="F1703" t="s">
        <v>15090</v>
      </c>
      <c r="H1703" s="415" t="s">
        <v>12768</v>
      </c>
      <c r="I1703" s="531"/>
    </row>
    <row r="1704" spans="3:9" ht="15" x14ac:dyDescent="0.25">
      <c r="C1704" s="1644" t="s">
        <v>13743</v>
      </c>
      <c r="E1704" s="6"/>
      <c r="F1704" t="s">
        <v>15087</v>
      </c>
      <c r="H1704" s="15" t="s">
        <v>3858</v>
      </c>
      <c r="I1704" s="531"/>
    </row>
    <row r="1705" spans="3:9" ht="15" x14ac:dyDescent="0.25">
      <c r="C1705" s="1644" t="s">
        <v>13744</v>
      </c>
      <c r="E1705" s="6">
        <v>5</v>
      </c>
      <c r="F1705" t="s">
        <v>15123</v>
      </c>
      <c r="H1705" s="568" t="s">
        <v>10401</v>
      </c>
      <c r="I1705" s="531"/>
    </row>
    <row r="1706" spans="3:9" ht="15" x14ac:dyDescent="0.25">
      <c r="C1706" s="1644" t="s">
        <v>13745</v>
      </c>
      <c r="E1706" s="6"/>
      <c r="F1706" t="s">
        <v>15087</v>
      </c>
      <c r="H1706" s="74" t="s">
        <v>3735</v>
      </c>
      <c r="I1706" s="1088"/>
    </row>
    <row r="1707" spans="3:9" ht="15" x14ac:dyDescent="0.25">
      <c r="C1707" s="1644" t="s">
        <v>13746</v>
      </c>
      <c r="E1707" s="6"/>
      <c r="F1707" t="s">
        <v>15087</v>
      </c>
      <c r="H1707" s="415" t="s">
        <v>9165</v>
      </c>
      <c r="I1707" s="24"/>
    </row>
    <row r="1708" spans="3:9" ht="15" x14ac:dyDescent="0.25">
      <c r="C1708" s="1644" t="s">
        <v>13747</v>
      </c>
      <c r="E1708" s="6"/>
      <c r="F1708" t="s">
        <v>15087</v>
      </c>
      <c r="H1708" s="74" t="s">
        <v>4835</v>
      </c>
      <c r="I1708" s="24"/>
    </row>
    <row r="1709" spans="3:9" ht="15" x14ac:dyDescent="0.25">
      <c r="C1709" s="1644" t="s">
        <v>13748</v>
      </c>
      <c r="E1709" s="6"/>
      <c r="F1709" t="s">
        <v>15087</v>
      </c>
      <c r="H1709" s="74" t="s">
        <v>4839</v>
      </c>
      <c r="I1709" s="24"/>
    </row>
    <row r="1710" spans="3:9" ht="15" x14ac:dyDescent="0.25">
      <c r="C1710" s="1644" t="s">
        <v>13749</v>
      </c>
      <c r="E1710" s="6"/>
      <c r="F1710" t="s">
        <v>15087</v>
      </c>
      <c r="H1710" s="74" t="s">
        <v>4981</v>
      </c>
      <c r="I1710" s="531"/>
    </row>
    <row r="1711" spans="3:9" ht="15" x14ac:dyDescent="0.25">
      <c r="C1711" s="1644" t="s">
        <v>13750</v>
      </c>
      <c r="E1711" s="6">
        <v>28</v>
      </c>
      <c r="F1711" t="s">
        <v>15124</v>
      </c>
      <c r="H1711" s="74" t="s">
        <v>3309</v>
      </c>
      <c r="I1711" s="24"/>
    </row>
    <row r="1712" spans="3:9" ht="15" x14ac:dyDescent="0.25">
      <c r="C1712" s="1644" t="s">
        <v>13751</v>
      </c>
      <c r="E1712" s="6"/>
      <c r="F1712" t="s">
        <v>15087</v>
      </c>
      <c r="H1712" s="568" t="s">
        <v>12653</v>
      </c>
      <c r="I1712" s="24"/>
    </row>
    <row r="1713" spans="3:9" ht="15" x14ac:dyDescent="0.25">
      <c r="C1713" s="1644" t="s">
        <v>13752</v>
      </c>
      <c r="E1713" s="6"/>
      <c r="F1713" t="s">
        <v>15087</v>
      </c>
      <c r="H1713" s="74" t="s">
        <v>5062</v>
      </c>
      <c r="I1713" s="24"/>
    </row>
    <row r="1714" spans="3:9" ht="15" x14ac:dyDescent="0.25">
      <c r="C1714" s="1644" t="s">
        <v>13753</v>
      </c>
      <c r="E1714" s="6"/>
      <c r="F1714" t="s">
        <v>15087</v>
      </c>
      <c r="H1714" s="74" t="s">
        <v>746</v>
      </c>
      <c r="I1714" s="24"/>
    </row>
    <row r="1715" spans="3:9" ht="15" x14ac:dyDescent="0.25">
      <c r="C1715" s="1644" t="s">
        <v>13754</v>
      </c>
      <c r="E1715" s="6"/>
      <c r="F1715" t="s">
        <v>15087</v>
      </c>
      <c r="H1715" s="74" t="s">
        <v>4664</v>
      </c>
      <c r="I1715" s="531"/>
    </row>
    <row r="1716" spans="3:9" ht="15" x14ac:dyDescent="0.25">
      <c r="C1716" s="1644" t="s">
        <v>13755</v>
      </c>
      <c r="E1716" s="6"/>
      <c r="F1716" t="s">
        <v>15087</v>
      </c>
      <c r="H1716" s="415" t="s">
        <v>12789</v>
      </c>
      <c r="I1716" s="531"/>
    </row>
    <row r="1717" spans="3:9" ht="15" x14ac:dyDescent="0.25">
      <c r="C1717" s="1644" t="s">
        <v>13756</v>
      </c>
      <c r="E1717" s="6"/>
      <c r="F1717" t="s">
        <v>15087</v>
      </c>
      <c r="H1717" s="532" t="s">
        <v>6284</v>
      </c>
      <c r="I1717" s="531"/>
    </row>
    <row r="1718" spans="3:9" ht="15" x14ac:dyDescent="0.25">
      <c r="C1718" s="1644" t="s">
        <v>13757</v>
      </c>
      <c r="E1718" s="6"/>
      <c r="F1718" t="s">
        <v>15087</v>
      </c>
      <c r="H1718" s="581" t="s">
        <v>5897</v>
      </c>
      <c r="I1718" s="24"/>
    </row>
    <row r="1719" spans="3:9" ht="15" x14ac:dyDescent="0.25">
      <c r="C1719" s="1644" t="s">
        <v>13758</v>
      </c>
      <c r="E1719" s="6"/>
      <c r="F1719" t="s">
        <v>15087</v>
      </c>
      <c r="H1719" s="532" t="s">
        <v>8000</v>
      </c>
      <c r="I1719"/>
    </row>
    <row r="1720" spans="3:9" ht="15" x14ac:dyDescent="0.25">
      <c r="C1720" s="1644" t="s">
        <v>13759</v>
      </c>
      <c r="E1720" s="6"/>
      <c r="F1720" t="s">
        <v>15087</v>
      </c>
      <c r="H1720" s="74" t="s">
        <v>1078</v>
      </c>
      <c r="I1720" s="24"/>
    </row>
    <row r="1721" spans="3:9" ht="15" x14ac:dyDescent="0.25">
      <c r="C1721" s="1644" t="s">
        <v>13760</v>
      </c>
      <c r="E1721" s="6">
        <v>2</v>
      </c>
      <c r="F1721" t="s">
        <v>15117</v>
      </c>
      <c r="H1721" s="415" t="s">
        <v>8793</v>
      </c>
      <c r="I1721" s="24"/>
    </row>
    <row r="1722" spans="3:9" ht="15" x14ac:dyDescent="0.25">
      <c r="C1722" s="1644" t="s">
        <v>13761</v>
      </c>
      <c r="E1722" s="6">
        <v>17</v>
      </c>
      <c r="F1722" t="s">
        <v>15125</v>
      </c>
      <c r="H1722" s="568" t="s">
        <v>10525</v>
      </c>
      <c r="I1722" s="531"/>
    </row>
    <row r="1723" spans="3:9" ht="15" x14ac:dyDescent="0.25">
      <c r="C1723" s="1644" t="s">
        <v>13762</v>
      </c>
      <c r="E1723" s="6"/>
      <c r="F1723" t="s">
        <v>15087</v>
      </c>
      <c r="H1723" s="532" t="s">
        <v>9469</v>
      </c>
      <c r="I1723" s="531"/>
    </row>
    <row r="1724" spans="3:9" ht="15" x14ac:dyDescent="0.25">
      <c r="C1724" s="1644" t="s">
        <v>13763</v>
      </c>
      <c r="E1724" s="6"/>
      <c r="F1724" t="s">
        <v>15087</v>
      </c>
      <c r="H1724" s="568" t="s">
        <v>10523</v>
      </c>
      <c r="I1724" s="24"/>
    </row>
    <row r="1725" spans="3:9" ht="15" x14ac:dyDescent="0.25">
      <c r="C1725" s="1644" t="s">
        <v>13764</v>
      </c>
      <c r="E1725" s="6">
        <v>4</v>
      </c>
      <c r="F1725" t="s">
        <v>15090</v>
      </c>
      <c r="H1725" s="415" t="s">
        <v>6348</v>
      </c>
      <c r="I1725" s="531"/>
    </row>
    <row r="1726" spans="3:9" ht="15" x14ac:dyDescent="0.25">
      <c r="C1726" s="1644" t="s">
        <v>13765</v>
      </c>
      <c r="E1726" s="6"/>
      <c r="F1726" t="s">
        <v>15087</v>
      </c>
      <c r="H1726" s="74" t="s">
        <v>1353</v>
      </c>
      <c r="I1726" s="24"/>
    </row>
    <row r="1727" spans="3:9" ht="15" x14ac:dyDescent="0.25">
      <c r="C1727" s="1644" t="s">
        <v>13766</v>
      </c>
      <c r="E1727" s="6">
        <v>9</v>
      </c>
      <c r="F1727" t="s">
        <v>15126</v>
      </c>
      <c r="H1727" s="74" t="s">
        <v>114</v>
      </c>
      <c r="I1727" s="24"/>
    </row>
    <row r="1728" spans="3:9" ht="15" x14ac:dyDescent="0.25">
      <c r="C1728" s="1644" t="s">
        <v>13767</v>
      </c>
      <c r="E1728" s="6"/>
      <c r="F1728" t="s">
        <v>15087</v>
      </c>
      <c r="H1728" s="74" t="s">
        <v>5922</v>
      </c>
      <c r="I1728" s="24"/>
    </row>
    <row r="1729" spans="3:9" ht="15" x14ac:dyDescent="0.25">
      <c r="C1729" s="1644" t="s">
        <v>13768</v>
      </c>
      <c r="E1729" s="6"/>
      <c r="F1729" t="s">
        <v>15087</v>
      </c>
      <c r="H1729" s="415" t="s">
        <v>12913</v>
      </c>
      <c r="I1729" s="24"/>
    </row>
    <row r="1730" spans="3:9" ht="15" x14ac:dyDescent="0.25">
      <c r="C1730" s="1644" t="s">
        <v>13769</v>
      </c>
      <c r="E1730" s="6"/>
      <c r="F1730" t="s">
        <v>15087</v>
      </c>
      <c r="H1730" s="74" t="s">
        <v>4280</v>
      </c>
      <c r="I1730" s="24"/>
    </row>
    <row r="1731" spans="3:9" ht="15" x14ac:dyDescent="0.25">
      <c r="C1731" s="1644" t="s">
        <v>13770</v>
      </c>
      <c r="E1731" s="6"/>
      <c r="F1731" t="s">
        <v>15087</v>
      </c>
      <c r="H1731" s="74" t="s">
        <v>4137</v>
      </c>
      <c r="I1731" s="531"/>
    </row>
    <row r="1732" spans="3:9" ht="15" x14ac:dyDescent="0.25">
      <c r="C1732" s="1644" t="s">
        <v>13771</v>
      </c>
      <c r="E1732" s="6"/>
      <c r="F1732" t="s">
        <v>15087</v>
      </c>
      <c r="H1732" s="74" t="s">
        <v>5036</v>
      </c>
      <c r="I1732" s="531"/>
    </row>
    <row r="1733" spans="3:9" ht="15" x14ac:dyDescent="0.25">
      <c r="C1733" s="1644" t="s">
        <v>13772</v>
      </c>
      <c r="E1733" s="6"/>
      <c r="F1733" t="s">
        <v>15087</v>
      </c>
      <c r="H1733" s="74" t="s">
        <v>1123</v>
      </c>
      <c r="I1733" s="24"/>
    </row>
    <row r="1734" spans="3:9" ht="15" x14ac:dyDescent="0.25">
      <c r="C1734" s="1644" t="s">
        <v>13773</v>
      </c>
      <c r="E1734" s="6"/>
      <c r="F1734" t="s">
        <v>15087</v>
      </c>
      <c r="H1734" s="74" t="s">
        <v>1560</v>
      </c>
      <c r="I1734" s="531"/>
    </row>
    <row r="1735" spans="3:9" ht="15" x14ac:dyDescent="0.25">
      <c r="C1735" s="1644" t="s">
        <v>13774</v>
      </c>
      <c r="E1735" s="6">
        <v>3</v>
      </c>
      <c r="F1735" t="s">
        <v>15127</v>
      </c>
      <c r="H1735" s="15" t="s">
        <v>2236</v>
      </c>
      <c r="I1735" s="24"/>
    </row>
    <row r="1736" spans="3:9" ht="15" x14ac:dyDescent="0.25">
      <c r="C1736" s="1644" t="s">
        <v>13775</v>
      </c>
      <c r="E1736" s="6"/>
      <c r="F1736" t="s">
        <v>15087</v>
      </c>
      <c r="H1736" s="532" t="s">
        <v>3814</v>
      </c>
      <c r="I1736" s="24"/>
    </row>
    <row r="1737" spans="3:9" ht="15" x14ac:dyDescent="0.25">
      <c r="C1737" s="1644" t="s">
        <v>13776</v>
      </c>
      <c r="E1737" s="6"/>
      <c r="F1737" t="s">
        <v>15087</v>
      </c>
      <c r="H1737" s="532" t="s">
        <v>12261</v>
      </c>
      <c r="I1737" s="24"/>
    </row>
    <row r="1738" spans="3:9" ht="15" x14ac:dyDescent="0.25">
      <c r="C1738" s="1644" t="s">
        <v>13777</v>
      </c>
      <c r="E1738" s="6">
        <v>1</v>
      </c>
      <c r="F1738" t="s">
        <v>15096</v>
      </c>
      <c r="H1738" s="532" t="s">
        <v>6260</v>
      </c>
      <c r="I1738" s="24"/>
    </row>
    <row r="1739" spans="3:9" ht="15" x14ac:dyDescent="0.25">
      <c r="C1739" s="1644" t="s">
        <v>13778</v>
      </c>
      <c r="E1739" s="6"/>
      <c r="F1739" t="s">
        <v>15087</v>
      </c>
      <c r="H1739" s="74" t="s">
        <v>3965</v>
      </c>
      <c r="I1739" s="24"/>
    </row>
    <row r="1740" spans="3:9" ht="15" x14ac:dyDescent="0.25">
      <c r="C1740" s="1644" t="s">
        <v>13779</v>
      </c>
      <c r="E1740" s="6"/>
      <c r="F1740" t="s">
        <v>15087</v>
      </c>
      <c r="H1740" s="74" t="s">
        <v>1380</v>
      </c>
      <c r="I1740" s="24"/>
    </row>
    <row r="1741" spans="3:9" ht="15" x14ac:dyDescent="0.25">
      <c r="C1741" s="1644" t="s">
        <v>13780</v>
      </c>
      <c r="E1741" s="6"/>
      <c r="F1741" t="s">
        <v>15087</v>
      </c>
      <c r="H1741" s="74" t="s">
        <v>5959</v>
      </c>
      <c r="I1741" s="24"/>
    </row>
    <row r="1742" spans="3:9" ht="15" x14ac:dyDescent="0.25">
      <c r="C1742" s="1644" t="s">
        <v>13781</v>
      </c>
      <c r="E1742" s="6"/>
      <c r="F1742" t="s">
        <v>15087</v>
      </c>
      <c r="H1742" s="74" t="s">
        <v>3333</v>
      </c>
      <c r="I1742" s="24"/>
    </row>
    <row r="1743" spans="3:9" ht="15" x14ac:dyDescent="0.25">
      <c r="C1743" s="1644" t="s">
        <v>13782</v>
      </c>
      <c r="E1743" s="6"/>
      <c r="F1743" t="s">
        <v>15087</v>
      </c>
      <c r="H1743" s="415" t="s">
        <v>8859</v>
      </c>
      <c r="I1743" s="531"/>
    </row>
    <row r="1744" spans="3:9" ht="15" x14ac:dyDescent="0.25">
      <c r="C1744" s="1644" t="s">
        <v>13783</v>
      </c>
      <c r="E1744" s="6">
        <v>10</v>
      </c>
      <c r="F1744" t="s">
        <v>15128</v>
      </c>
      <c r="H1744" s="415" t="s">
        <v>12510</v>
      </c>
      <c r="I1744" s="24"/>
    </row>
    <row r="1745" spans="3:9" ht="15" x14ac:dyDescent="0.25">
      <c r="C1745" s="1644" t="s">
        <v>13784</v>
      </c>
      <c r="E1745" s="6">
        <v>2</v>
      </c>
      <c r="F1745" t="s">
        <v>15090</v>
      </c>
      <c r="H1745" s="74" t="s">
        <v>1328</v>
      </c>
      <c r="I1745" s="24"/>
    </row>
    <row r="1746" spans="3:9" ht="15" x14ac:dyDescent="0.25">
      <c r="C1746" s="1644" t="s">
        <v>13785</v>
      </c>
      <c r="E1746" s="6"/>
      <c r="F1746" t="s">
        <v>15087</v>
      </c>
      <c r="H1746" s="74" t="s">
        <v>2805</v>
      </c>
      <c r="I1746" s="24"/>
    </row>
    <row r="1747" spans="3:9" ht="15" x14ac:dyDescent="0.25">
      <c r="C1747" s="1644" t="s">
        <v>13786</v>
      </c>
      <c r="E1747" s="6"/>
      <c r="F1747" t="s">
        <v>15087</v>
      </c>
      <c r="H1747" s="74" t="s">
        <v>4731</v>
      </c>
      <c r="I1747" s="24"/>
    </row>
    <row r="1748" spans="3:9" ht="15" x14ac:dyDescent="0.25">
      <c r="C1748" s="1644" t="s">
        <v>13787</v>
      </c>
      <c r="E1748" s="6"/>
      <c r="F1748" t="s">
        <v>15087</v>
      </c>
      <c r="H1748" s="74" t="s">
        <v>1967</v>
      </c>
      <c r="I1748" s="24"/>
    </row>
    <row r="1749" spans="3:9" ht="15" x14ac:dyDescent="0.25">
      <c r="C1749" s="1644" t="s">
        <v>13788</v>
      </c>
      <c r="E1749" s="6"/>
      <c r="F1749" t="s">
        <v>15087</v>
      </c>
      <c r="H1749" s="74" t="s">
        <v>4967</v>
      </c>
      <c r="I1749" s="24"/>
    </row>
    <row r="1750" spans="3:9" ht="15" x14ac:dyDescent="0.25">
      <c r="C1750" s="1644" t="s">
        <v>13789</v>
      </c>
      <c r="E1750" s="6"/>
      <c r="F1750" t="s">
        <v>15087</v>
      </c>
      <c r="H1750" s="74" t="s">
        <v>4836</v>
      </c>
      <c r="I1750" s="24"/>
    </row>
    <row r="1751" spans="3:9" ht="15" x14ac:dyDescent="0.25">
      <c r="C1751" s="1644" t="s">
        <v>13790</v>
      </c>
      <c r="E1751" s="6">
        <v>1</v>
      </c>
      <c r="F1751" t="s">
        <v>15110</v>
      </c>
      <c r="H1751" s="511" t="s">
        <v>475</v>
      </c>
      <c r="I1751" s="24"/>
    </row>
    <row r="1752" spans="3:9" ht="15" x14ac:dyDescent="0.25">
      <c r="C1752" s="1644" t="s">
        <v>13791</v>
      </c>
      <c r="E1752" s="6">
        <v>2</v>
      </c>
      <c r="F1752" t="s">
        <v>15100</v>
      </c>
      <c r="H1752" s="894" t="s">
        <v>1509</v>
      </c>
      <c r="I1752" s="24"/>
    </row>
    <row r="1753" spans="3:9" ht="15" x14ac:dyDescent="0.25">
      <c r="C1753" s="1644" t="s">
        <v>13792</v>
      </c>
      <c r="E1753" s="6">
        <v>2</v>
      </c>
      <c r="F1753" t="s">
        <v>15122</v>
      </c>
      <c r="H1753" s="74" t="s">
        <v>891</v>
      </c>
      <c r="I1753" s="531"/>
    </row>
    <row r="1754" spans="3:9" ht="15" x14ac:dyDescent="0.25">
      <c r="C1754" s="1644" t="s">
        <v>13793</v>
      </c>
      <c r="E1754" s="6"/>
      <c r="F1754" t="s">
        <v>15087</v>
      </c>
      <c r="H1754" s="532" t="s">
        <v>9308</v>
      </c>
      <c r="I1754" s="531"/>
    </row>
    <row r="1755" spans="3:9" ht="15" x14ac:dyDescent="0.25">
      <c r="C1755" s="1644" t="s">
        <v>13794</v>
      </c>
      <c r="E1755" s="6"/>
      <c r="F1755" t="s">
        <v>15087</v>
      </c>
      <c r="H1755" s="532" t="s">
        <v>12377</v>
      </c>
      <c r="I1755" s="531"/>
    </row>
    <row r="1756" spans="3:9" ht="15" x14ac:dyDescent="0.25">
      <c r="C1756" s="1644" t="s">
        <v>13795</v>
      </c>
      <c r="E1756" s="6"/>
      <c r="F1756" t="s">
        <v>15087</v>
      </c>
      <c r="H1756" s="532" t="s">
        <v>10229</v>
      </c>
      <c r="I1756" s="24"/>
    </row>
    <row r="1757" spans="3:9" ht="15" x14ac:dyDescent="0.25">
      <c r="C1757" s="1644" t="s">
        <v>13796</v>
      </c>
      <c r="E1757" s="6"/>
      <c r="F1757" t="s">
        <v>15087</v>
      </c>
      <c r="H1757" s="1088" t="s">
        <v>8154</v>
      </c>
      <c r="I1757" s="531"/>
    </row>
    <row r="1758" spans="3:9" ht="15" x14ac:dyDescent="0.25">
      <c r="C1758" s="1644" t="s">
        <v>13797</v>
      </c>
      <c r="E1758" s="6">
        <v>2</v>
      </c>
      <c r="F1758" t="s">
        <v>15115</v>
      </c>
      <c r="H1758" s="415" t="s">
        <v>8116</v>
      </c>
      <c r="I1758" s="24"/>
    </row>
    <row r="1759" spans="3:9" ht="15" x14ac:dyDescent="0.25">
      <c r="C1759" s="1644" t="s">
        <v>13798</v>
      </c>
      <c r="E1759" s="6"/>
      <c r="F1759" t="s">
        <v>15087</v>
      </c>
      <c r="H1759" s="415" t="s">
        <v>8454</v>
      </c>
      <c r="I1759" s="24"/>
    </row>
    <row r="1760" spans="3:9" ht="15" x14ac:dyDescent="0.25">
      <c r="C1760" s="1644" t="s">
        <v>13799</v>
      </c>
      <c r="E1760" s="6">
        <v>1</v>
      </c>
      <c r="F1760" t="s">
        <v>15090</v>
      </c>
      <c r="H1760" s="415" t="s">
        <v>8720</v>
      </c>
      <c r="I1760" s="24"/>
    </row>
    <row r="1761" spans="3:9" ht="15" x14ac:dyDescent="0.25">
      <c r="C1761" s="1644" t="s">
        <v>13800</v>
      </c>
      <c r="E1761" s="6">
        <v>2</v>
      </c>
      <c r="F1761" t="s">
        <v>15101</v>
      </c>
      <c r="H1761" s="532" t="s">
        <v>10433</v>
      </c>
      <c r="I1761" s="24"/>
    </row>
    <row r="1762" spans="3:9" ht="15" x14ac:dyDescent="0.25">
      <c r="C1762" s="1644" t="s">
        <v>13801</v>
      </c>
      <c r="E1762" s="6">
        <v>2</v>
      </c>
      <c r="F1762" t="s">
        <v>15090</v>
      </c>
      <c r="H1762" s="74" t="s">
        <v>5654</v>
      </c>
      <c r="I1762" s="24"/>
    </row>
    <row r="1763" spans="3:9" ht="15" x14ac:dyDescent="0.25">
      <c r="C1763" s="1644" t="s">
        <v>13802</v>
      </c>
      <c r="E1763" s="6"/>
      <c r="F1763" t="s">
        <v>15087</v>
      </c>
      <c r="H1763" s="74" t="s">
        <v>1693</v>
      </c>
      <c r="I1763" s="24"/>
    </row>
    <row r="1764" spans="3:9" ht="15" x14ac:dyDescent="0.25">
      <c r="C1764" s="1644" t="s">
        <v>13803</v>
      </c>
      <c r="E1764" s="6">
        <v>1</v>
      </c>
      <c r="F1764" t="s">
        <v>15111</v>
      </c>
      <c r="H1764" s="74" t="s">
        <v>1531</v>
      </c>
      <c r="I1764" s="24"/>
    </row>
    <row r="1765" spans="3:9" ht="15" x14ac:dyDescent="0.25">
      <c r="C1765" s="1644" t="s">
        <v>13804</v>
      </c>
      <c r="E1765" s="6"/>
      <c r="F1765" t="s">
        <v>15087</v>
      </c>
      <c r="H1765" s="74" t="s">
        <v>2869</v>
      </c>
      <c r="I1765" s="531"/>
    </row>
    <row r="1766" spans="3:9" ht="15" x14ac:dyDescent="0.25">
      <c r="C1766" s="1644" t="s">
        <v>13805</v>
      </c>
      <c r="E1766" s="6">
        <v>2</v>
      </c>
      <c r="F1766" t="s">
        <v>15091</v>
      </c>
      <c r="H1766" s="532" t="s">
        <v>8111</v>
      </c>
      <c r="I1766" s="24"/>
    </row>
    <row r="1767" spans="3:9" ht="15" x14ac:dyDescent="0.25">
      <c r="C1767" s="1644" t="s">
        <v>13806</v>
      </c>
      <c r="E1767" s="6"/>
      <c r="F1767" t="s">
        <v>15087</v>
      </c>
      <c r="H1767" s="532" t="s">
        <v>5230</v>
      </c>
      <c r="I1767" s="24"/>
    </row>
    <row r="1768" spans="3:9" ht="15" x14ac:dyDescent="0.25">
      <c r="C1768" s="1644" t="s">
        <v>13807</v>
      </c>
      <c r="E1768" s="6"/>
      <c r="F1768" t="s">
        <v>15087</v>
      </c>
      <c r="H1768" s="532" t="s">
        <v>9578</v>
      </c>
      <c r="I1768" s="24"/>
    </row>
    <row r="1769" spans="3:9" ht="15" x14ac:dyDescent="0.25">
      <c r="C1769" s="1644" t="s">
        <v>13808</v>
      </c>
      <c r="E1769" s="6"/>
      <c r="F1769" t="s">
        <v>15087</v>
      </c>
      <c r="H1769" s="74" t="s">
        <v>4377</v>
      </c>
      <c r="I1769" s="531"/>
    </row>
    <row r="1770" spans="3:9" ht="15" x14ac:dyDescent="0.25">
      <c r="C1770" s="1644" t="s">
        <v>13809</v>
      </c>
      <c r="E1770" s="6">
        <v>1</v>
      </c>
      <c r="F1770" t="s">
        <v>15090</v>
      </c>
      <c r="H1770" s="415" t="s">
        <v>8329</v>
      </c>
      <c r="I1770" s="531"/>
    </row>
    <row r="1771" spans="3:9" ht="15" x14ac:dyDescent="0.25">
      <c r="C1771" s="1644" t="s">
        <v>13810</v>
      </c>
      <c r="E1771" s="6"/>
      <c r="F1771" t="s">
        <v>15087</v>
      </c>
      <c r="H1771" s="74" t="s">
        <v>840</v>
      </c>
      <c r="I1771" s="183"/>
    </row>
    <row r="1772" spans="3:9" ht="15" x14ac:dyDescent="0.25">
      <c r="C1772" s="1644" t="s">
        <v>13811</v>
      </c>
      <c r="E1772" s="6"/>
      <c r="F1772" t="s">
        <v>15087</v>
      </c>
      <c r="H1772" s="415" t="s">
        <v>8996</v>
      </c>
      <c r="I1772" s="24"/>
    </row>
    <row r="1773" spans="3:9" ht="15" x14ac:dyDescent="0.25">
      <c r="C1773" s="1644" t="s">
        <v>13812</v>
      </c>
      <c r="E1773" s="6">
        <v>1</v>
      </c>
      <c r="F1773" t="s">
        <v>15090</v>
      </c>
      <c r="H1773" s="511" t="s">
        <v>2783</v>
      </c>
      <c r="I1773" s="24"/>
    </row>
    <row r="1774" spans="3:9" ht="15" x14ac:dyDescent="0.25">
      <c r="C1774" s="1644" t="s">
        <v>13813</v>
      </c>
      <c r="E1774" s="6"/>
      <c r="F1774" t="s">
        <v>15087</v>
      </c>
      <c r="H1774" s="532" t="s">
        <v>5836</v>
      </c>
      <c r="I1774" s="24"/>
    </row>
    <row r="1775" spans="3:9" ht="15" x14ac:dyDescent="0.25">
      <c r="C1775" s="1644" t="s">
        <v>13814</v>
      </c>
      <c r="E1775" s="6"/>
      <c r="F1775" t="s">
        <v>15087</v>
      </c>
      <c r="H1775" s="74" t="s">
        <v>3226</v>
      </c>
      <c r="I1775" s="24"/>
    </row>
    <row r="1776" spans="3:9" ht="15" x14ac:dyDescent="0.25">
      <c r="C1776" s="1644" t="s">
        <v>13815</v>
      </c>
      <c r="E1776" s="6">
        <v>3</v>
      </c>
      <c r="F1776" t="s">
        <v>15090</v>
      </c>
      <c r="H1776" s="532" t="s">
        <v>3227</v>
      </c>
      <c r="I1776" s="24"/>
    </row>
    <row r="1777" spans="3:9" ht="15" x14ac:dyDescent="0.25">
      <c r="C1777" s="1644" t="s">
        <v>13816</v>
      </c>
      <c r="E1777" s="6"/>
      <c r="F1777" t="s">
        <v>15087</v>
      </c>
      <c r="H1777" s="511" t="s">
        <v>2732</v>
      </c>
      <c r="I1777" s="24"/>
    </row>
    <row r="1778" spans="3:9" ht="15" x14ac:dyDescent="0.25">
      <c r="C1778" s="1644" t="s">
        <v>13817</v>
      </c>
      <c r="E1778" s="6"/>
      <c r="F1778" t="s">
        <v>15087</v>
      </c>
      <c r="H1778" s="532" t="s">
        <v>11408</v>
      </c>
      <c r="I1778" s="24"/>
    </row>
    <row r="1779" spans="3:9" ht="15" x14ac:dyDescent="0.25">
      <c r="C1779" s="1644" t="s">
        <v>13818</v>
      </c>
      <c r="E1779" s="6"/>
      <c r="F1779" t="s">
        <v>15087</v>
      </c>
      <c r="H1779" s="532" t="s">
        <v>11991</v>
      </c>
      <c r="I1779" s="24"/>
    </row>
    <row r="1780" spans="3:9" ht="15" x14ac:dyDescent="0.25">
      <c r="C1780" s="1644" t="s">
        <v>13819</v>
      </c>
      <c r="E1780" s="6">
        <v>327</v>
      </c>
      <c r="F1780" t="s">
        <v>15102</v>
      </c>
      <c r="H1780" s="15" t="s">
        <v>3574</v>
      </c>
      <c r="I1780" s="585"/>
    </row>
    <row r="1781" spans="3:9" ht="15" x14ac:dyDescent="0.25">
      <c r="C1781" s="1644" t="s">
        <v>13820</v>
      </c>
      <c r="E1781" s="6">
        <v>7</v>
      </c>
      <c r="F1781" t="s">
        <v>15090</v>
      </c>
      <c r="H1781" s="74" t="s">
        <v>2655</v>
      </c>
      <c r="I1781" s="531"/>
    </row>
    <row r="1782" spans="3:9" ht="15" x14ac:dyDescent="0.25">
      <c r="C1782" s="1644" t="s">
        <v>13821</v>
      </c>
      <c r="E1782" s="6"/>
      <c r="F1782" t="s">
        <v>15087</v>
      </c>
      <c r="H1782" s="532" t="s">
        <v>9436</v>
      </c>
      <c r="I1782" s="24"/>
    </row>
    <row r="1783" spans="3:9" ht="15" x14ac:dyDescent="0.25">
      <c r="C1783" s="1644" t="s">
        <v>13822</v>
      </c>
      <c r="E1783" s="6">
        <v>1</v>
      </c>
      <c r="F1783" t="s">
        <v>15090</v>
      </c>
      <c r="H1783" s="532" t="s">
        <v>11154</v>
      </c>
      <c r="I1783" s="24"/>
    </row>
    <row r="1784" spans="3:9" ht="15" x14ac:dyDescent="0.25">
      <c r="C1784" s="1644" t="s">
        <v>13823</v>
      </c>
      <c r="E1784" s="6"/>
      <c r="F1784" t="s">
        <v>15087</v>
      </c>
      <c r="H1784" s="15" t="s">
        <v>4296</v>
      </c>
      <c r="I1784" s="24"/>
    </row>
    <row r="1785" spans="3:9" ht="15" x14ac:dyDescent="0.25">
      <c r="C1785" s="1644" t="s">
        <v>13824</v>
      </c>
      <c r="E1785" s="6">
        <v>13</v>
      </c>
      <c r="F1785" t="s">
        <v>15127</v>
      </c>
      <c r="H1785" s="532" t="s">
        <v>11010</v>
      </c>
      <c r="I1785" s="24"/>
    </row>
    <row r="1786" spans="3:9" ht="15" x14ac:dyDescent="0.25">
      <c r="C1786" s="1644" t="s">
        <v>13825</v>
      </c>
      <c r="E1786" s="6"/>
      <c r="F1786" t="s">
        <v>15087</v>
      </c>
      <c r="H1786" s="15" t="s">
        <v>9226</v>
      </c>
      <c r="I1786" s="24"/>
    </row>
    <row r="1787" spans="3:9" ht="15" x14ac:dyDescent="0.25">
      <c r="C1787" s="1644" t="s">
        <v>13826</v>
      </c>
      <c r="E1787" s="6">
        <v>3</v>
      </c>
      <c r="F1787" t="s">
        <v>15129</v>
      </c>
      <c r="H1787" s="415" t="s">
        <v>842</v>
      </c>
      <c r="I1787" s="24"/>
    </row>
    <row r="1788" spans="3:9" ht="15" x14ac:dyDescent="0.25">
      <c r="C1788" s="1644" t="s">
        <v>13827</v>
      </c>
      <c r="E1788" s="6"/>
      <c r="F1788" t="s">
        <v>15087</v>
      </c>
      <c r="H1788" s="415" t="s">
        <v>1299</v>
      </c>
      <c r="I1788" s="585"/>
    </row>
    <row r="1789" spans="3:9" ht="15" x14ac:dyDescent="0.25">
      <c r="C1789" s="1644" t="s">
        <v>13828</v>
      </c>
      <c r="E1789" s="6">
        <v>1</v>
      </c>
      <c r="F1789" t="s">
        <v>15103</v>
      </c>
      <c r="H1789" s="74" t="s">
        <v>5283</v>
      </c>
      <c r="I1789" s="24"/>
    </row>
    <row r="1790" spans="3:9" ht="15" x14ac:dyDescent="0.25">
      <c r="C1790" s="1644" t="s">
        <v>13829</v>
      </c>
      <c r="E1790" s="6">
        <v>2</v>
      </c>
      <c r="F1790" t="s">
        <v>15090</v>
      </c>
      <c r="H1790" s="74" t="s">
        <v>1347</v>
      </c>
      <c r="I1790" s="24"/>
    </row>
    <row r="1791" spans="3:9" ht="15" x14ac:dyDescent="0.25">
      <c r="C1791" s="1644" t="s">
        <v>13830</v>
      </c>
      <c r="E1791" s="6">
        <v>1</v>
      </c>
      <c r="F1791" t="s">
        <v>15100</v>
      </c>
      <c r="H1791" s="74" t="s">
        <v>707</v>
      </c>
      <c r="I1791" s="24"/>
    </row>
    <row r="1792" spans="3:9" ht="15" x14ac:dyDescent="0.25">
      <c r="C1792" s="1644" t="s">
        <v>13831</v>
      </c>
      <c r="E1792" s="6">
        <v>2</v>
      </c>
      <c r="F1792" t="s">
        <v>15106</v>
      </c>
      <c r="H1792" s="74" t="s">
        <v>1812</v>
      </c>
      <c r="I1792" s="24"/>
    </row>
    <row r="1793" spans="3:9" ht="15" x14ac:dyDescent="0.25">
      <c r="C1793" s="1644" t="s">
        <v>13832</v>
      </c>
      <c r="E1793" s="6"/>
      <c r="F1793" t="s">
        <v>15087</v>
      </c>
      <c r="H1793" s="74" t="s">
        <v>2147</v>
      </c>
      <c r="I1793" s="24"/>
    </row>
    <row r="1794" spans="3:9" ht="15" x14ac:dyDescent="0.25">
      <c r="C1794" s="1644" t="s">
        <v>13833</v>
      </c>
      <c r="E1794" s="6">
        <v>1</v>
      </c>
      <c r="F1794" t="s">
        <v>13419</v>
      </c>
      <c r="H1794" s="415" t="s">
        <v>8571</v>
      </c>
      <c r="I1794" s="541"/>
    </row>
    <row r="1795" spans="3:9" ht="15" x14ac:dyDescent="0.25">
      <c r="C1795" s="1644" t="s">
        <v>13834</v>
      </c>
      <c r="E1795" s="6"/>
      <c r="F1795" t="s">
        <v>15087</v>
      </c>
      <c r="H1795" s="415" t="s">
        <v>7880</v>
      </c>
      <c r="I1795" s="24"/>
    </row>
    <row r="1796" spans="3:9" ht="15" x14ac:dyDescent="0.25">
      <c r="C1796" s="1644" t="s">
        <v>13835</v>
      </c>
      <c r="E1796" s="6"/>
      <c r="F1796" t="s">
        <v>15087</v>
      </c>
      <c r="H1796" s="74" t="s">
        <v>1678</v>
      </c>
      <c r="I1796" s="24"/>
    </row>
    <row r="1797" spans="3:9" ht="15" x14ac:dyDescent="0.25">
      <c r="C1797" s="1644" t="s">
        <v>13836</v>
      </c>
      <c r="E1797" s="6"/>
      <c r="F1797" t="s">
        <v>15087</v>
      </c>
      <c r="H1797" s="415" t="s">
        <v>12007</v>
      </c>
      <c r="I1797" s="24"/>
    </row>
    <row r="1798" spans="3:9" ht="15" x14ac:dyDescent="0.25">
      <c r="C1798" s="1644" t="s">
        <v>13837</v>
      </c>
      <c r="E1798" s="6"/>
      <c r="F1798" t="s">
        <v>15087</v>
      </c>
      <c r="H1798" s="415" t="s">
        <v>10546</v>
      </c>
      <c r="I1798" s="24"/>
    </row>
    <row r="1799" spans="3:9" ht="15" x14ac:dyDescent="0.25">
      <c r="C1799" s="1644" t="s">
        <v>13838</v>
      </c>
      <c r="E1799" s="6"/>
      <c r="F1799" t="s">
        <v>15087</v>
      </c>
      <c r="H1799" s="415" t="s">
        <v>6197</v>
      </c>
      <c r="I1799" s="24"/>
    </row>
    <row r="1800" spans="3:9" ht="15" x14ac:dyDescent="0.25">
      <c r="C1800" s="1644" t="s">
        <v>13839</v>
      </c>
      <c r="E1800" s="6"/>
      <c r="F1800" t="s">
        <v>15087</v>
      </c>
      <c r="H1800" s="74" t="s">
        <v>5911</v>
      </c>
      <c r="I1800" s="24"/>
    </row>
    <row r="1801" spans="3:9" ht="15" x14ac:dyDescent="0.25">
      <c r="C1801" s="1644" t="s">
        <v>13840</v>
      </c>
      <c r="E1801" s="6">
        <v>2</v>
      </c>
      <c r="F1801" t="s">
        <v>15090</v>
      </c>
      <c r="H1801" s="415" t="s">
        <v>1211</v>
      </c>
      <c r="I1801" s="24"/>
    </row>
    <row r="1802" spans="3:9" ht="15" x14ac:dyDescent="0.25">
      <c r="C1802" s="1644" t="s">
        <v>13841</v>
      </c>
      <c r="E1802" s="6">
        <v>1</v>
      </c>
      <c r="F1802" t="s">
        <v>15092</v>
      </c>
      <c r="H1802" s="74" t="s">
        <v>3871</v>
      </c>
      <c r="I1802" s="531"/>
    </row>
    <row r="1803" spans="3:9" ht="15" x14ac:dyDescent="0.25">
      <c r="C1803" s="1644" t="s">
        <v>13842</v>
      </c>
      <c r="E1803" s="6">
        <v>2</v>
      </c>
      <c r="F1803" t="s">
        <v>15091</v>
      </c>
      <c r="H1803" s="74" t="s">
        <v>358</v>
      </c>
      <c r="I1803" s="531"/>
    </row>
    <row r="1804" spans="3:9" ht="15" x14ac:dyDescent="0.25">
      <c r="C1804" s="1644" t="s">
        <v>13843</v>
      </c>
      <c r="E1804" s="6">
        <v>6</v>
      </c>
      <c r="F1804" t="s">
        <v>15090</v>
      </c>
      <c r="H1804" s="532" t="s">
        <v>9134</v>
      </c>
      <c r="I1804" s="24"/>
    </row>
    <row r="1805" spans="3:9" ht="15" x14ac:dyDescent="0.25">
      <c r="C1805" s="1644" t="s">
        <v>13844</v>
      </c>
      <c r="E1805" s="6"/>
      <c r="F1805" t="s">
        <v>15087</v>
      </c>
      <c r="H1805" s="532" t="s">
        <v>3878</v>
      </c>
      <c r="I1805" s="24"/>
    </row>
    <row r="1806" spans="3:9" ht="15" x14ac:dyDescent="0.25">
      <c r="C1806" s="1644" t="s">
        <v>13845</v>
      </c>
      <c r="E1806" s="6"/>
      <c r="F1806" t="s">
        <v>15087</v>
      </c>
      <c r="H1806" s="532" t="s">
        <v>1021</v>
      </c>
      <c r="I1806" s="24"/>
    </row>
    <row r="1807" spans="3:9" ht="15" x14ac:dyDescent="0.25">
      <c r="C1807" s="1644" t="s">
        <v>13846</v>
      </c>
      <c r="E1807" s="6"/>
      <c r="F1807" t="s">
        <v>15087</v>
      </c>
      <c r="H1807" s="74" t="s">
        <v>1013</v>
      </c>
      <c r="I1807" s="24"/>
    </row>
    <row r="1808" spans="3:9" ht="15" x14ac:dyDescent="0.25">
      <c r="C1808" s="1644" t="s">
        <v>13847</v>
      </c>
      <c r="E1808" s="6"/>
      <c r="F1808" t="s">
        <v>15087</v>
      </c>
      <c r="H1808" s="532" t="s">
        <v>10128</v>
      </c>
      <c r="I1808" s="183"/>
    </row>
    <row r="1809" spans="3:9" ht="15" x14ac:dyDescent="0.25">
      <c r="C1809" s="1644" t="s">
        <v>13848</v>
      </c>
      <c r="E1809" s="6">
        <v>1</v>
      </c>
      <c r="F1809" t="s">
        <v>15111</v>
      </c>
      <c r="H1809" s="894" t="s">
        <v>4532</v>
      </c>
      <c r="I1809" s="24"/>
    </row>
    <row r="1810" spans="3:9" ht="15" x14ac:dyDescent="0.25">
      <c r="C1810" s="1644" t="s">
        <v>13849</v>
      </c>
      <c r="E1810" s="6">
        <v>2</v>
      </c>
      <c r="F1810" t="s">
        <v>15091</v>
      </c>
      <c r="H1810" s="74" t="s">
        <v>2992</v>
      </c>
      <c r="I1810" s="531"/>
    </row>
    <row r="1811" spans="3:9" ht="15" x14ac:dyDescent="0.25">
      <c r="C1811" s="1644" t="s">
        <v>13850</v>
      </c>
      <c r="E1811" s="6"/>
      <c r="F1811" t="s">
        <v>15087</v>
      </c>
      <c r="H1811" s="74" t="s">
        <v>1432</v>
      </c>
      <c r="I1811" s="531"/>
    </row>
    <row r="1812" spans="3:9" ht="15" x14ac:dyDescent="0.25">
      <c r="C1812" s="1644" t="s">
        <v>13851</v>
      </c>
      <c r="E1812" s="6">
        <v>1</v>
      </c>
      <c r="F1812" t="s">
        <v>15119</v>
      </c>
      <c r="H1812" s="74" t="s">
        <v>5748</v>
      </c>
      <c r="I1812" s="531"/>
    </row>
    <row r="1813" spans="3:9" ht="15" x14ac:dyDescent="0.25">
      <c r="C1813" s="1644" t="s">
        <v>13852</v>
      </c>
      <c r="E1813" s="6"/>
      <c r="F1813" t="s">
        <v>15087</v>
      </c>
      <c r="H1813" s="415" t="s">
        <v>8490</v>
      </c>
      <c r="I1813" s="531"/>
    </row>
    <row r="1814" spans="3:9" ht="15" x14ac:dyDescent="0.25">
      <c r="C1814" s="1644" t="s">
        <v>13853</v>
      </c>
      <c r="E1814" s="6">
        <v>1</v>
      </c>
      <c r="F1814" t="s">
        <v>15090</v>
      </c>
      <c r="H1814" s="74" t="s">
        <v>1684</v>
      </c>
      <c r="I1814" s="24"/>
    </row>
    <row r="1815" spans="3:9" ht="15" x14ac:dyDescent="0.25">
      <c r="C1815" s="1644" t="s">
        <v>13854</v>
      </c>
      <c r="E1815" s="6"/>
      <c r="F1815" t="s">
        <v>15087</v>
      </c>
      <c r="H1815" s="74" t="s">
        <v>2965</v>
      </c>
      <c r="I1815" s="24"/>
    </row>
    <row r="1816" spans="3:9" ht="15" x14ac:dyDescent="0.25">
      <c r="C1816" s="1644" t="s">
        <v>13855</v>
      </c>
      <c r="E1816" s="6"/>
      <c r="F1816" t="s">
        <v>15087</v>
      </c>
      <c r="H1816" s="532" t="s">
        <v>762</v>
      </c>
      <c r="I1816" s="24"/>
    </row>
    <row r="1817" spans="3:9" ht="15" x14ac:dyDescent="0.25">
      <c r="C1817" s="1644" t="s">
        <v>13856</v>
      </c>
      <c r="E1817" s="6">
        <v>1</v>
      </c>
      <c r="F1817" t="s">
        <v>15090</v>
      </c>
      <c r="H1817" s="74" t="s">
        <v>3669</v>
      </c>
      <c r="I1817" s="24"/>
    </row>
    <row r="1818" spans="3:9" ht="15" x14ac:dyDescent="0.25">
      <c r="C1818" s="1644" t="s">
        <v>13857</v>
      </c>
      <c r="E1818" s="6">
        <v>3</v>
      </c>
      <c r="F1818" t="s">
        <v>15090</v>
      </c>
      <c r="H1818" s="74" t="s">
        <v>721</v>
      </c>
      <c r="I1818" s="24"/>
    </row>
    <row r="1819" spans="3:9" ht="15" x14ac:dyDescent="0.25">
      <c r="C1819" s="1644" t="s">
        <v>13858</v>
      </c>
      <c r="E1819" s="6">
        <v>16</v>
      </c>
      <c r="F1819" t="s">
        <v>15101</v>
      </c>
      <c r="H1819" s="74" t="s">
        <v>2815</v>
      </c>
      <c r="I1819" s="24"/>
    </row>
    <row r="1820" spans="3:9" ht="15" x14ac:dyDescent="0.25">
      <c r="C1820" s="1644" t="s">
        <v>13859</v>
      </c>
      <c r="E1820" s="6">
        <v>2</v>
      </c>
      <c r="F1820" t="s">
        <v>15094</v>
      </c>
      <c r="H1820" s="532" t="s">
        <v>4148</v>
      </c>
      <c r="I1820" s="531"/>
    </row>
    <row r="1821" spans="3:9" ht="15" x14ac:dyDescent="0.25">
      <c r="C1821" s="1644" t="s">
        <v>13860</v>
      </c>
      <c r="E1821" s="6"/>
      <c r="F1821" t="s">
        <v>15087</v>
      </c>
      <c r="H1821" s="532" t="s">
        <v>13212</v>
      </c>
      <c r="I1821" s="24"/>
    </row>
    <row r="1822" spans="3:9" ht="15" x14ac:dyDescent="0.25">
      <c r="C1822" s="1644" t="s">
        <v>13861</v>
      </c>
      <c r="E1822" s="6"/>
      <c r="F1822" t="s">
        <v>15087</v>
      </c>
      <c r="H1822" s="415" t="s">
        <v>4727</v>
      </c>
      <c r="I1822" s="24"/>
    </row>
    <row r="1823" spans="3:9" ht="15" x14ac:dyDescent="0.25">
      <c r="C1823" s="1644" t="s">
        <v>13862</v>
      </c>
      <c r="E1823" s="6">
        <v>2</v>
      </c>
      <c r="F1823" t="s">
        <v>15091</v>
      </c>
      <c r="H1823" s="74" t="s">
        <v>4496</v>
      </c>
      <c r="I1823" s="24"/>
    </row>
    <row r="1824" spans="3:9" ht="15" x14ac:dyDescent="0.25">
      <c r="C1824" s="1644" t="s">
        <v>13863</v>
      </c>
      <c r="E1824" s="6"/>
      <c r="F1824" t="s">
        <v>15087</v>
      </c>
      <c r="H1824" s="415" t="s">
        <v>2040</v>
      </c>
      <c r="I1824" s="24"/>
    </row>
    <row r="1825" spans="3:9" ht="15" x14ac:dyDescent="0.25">
      <c r="C1825" s="1644" t="s">
        <v>13864</v>
      </c>
      <c r="E1825" s="6"/>
      <c r="F1825" t="s">
        <v>15087</v>
      </c>
      <c r="H1825" s="74" t="s">
        <v>2599</v>
      </c>
      <c r="I1825" s="24"/>
    </row>
    <row r="1826" spans="3:9" ht="15" x14ac:dyDescent="0.25">
      <c r="C1826" s="1644" t="s">
        <v>13865</v>
      </c>
      <c r="E1826" s="6">
        <v>1</v>
      </c>
      <c r="F1826" t="s">
        <v>15093</v>
      </c>
      <c r="H1826" s="415" t="s">
        <v>10624</v>
      </c>
      <c r="I1826" s="24"/>
    </row>
    <row r="1827" spans="3:9" ht="15" x14ac:dyDescent="0.25">
      <c r="C1827" s="1644" t="s">
        <v>13866</v>
      </c>
      <c r="E1827" s="6"/>
      <c r="F1827" t="s">
        <v>15087</v>
      </c>
      <c r="H1827" s="74" t="s">
        <v>2464</v>
      </c>
      <c r="I1827" s="24"/>
    </row>
    <row r="1828" spans="3:9" ht="15" x14ac:dyDescent="0.25">
      <c r="C1828" s="1644" t="s">
        <v>13867</v>
      </c>
      <c r="E1828" s="6"/>
      <c r="F1828" t="s">
        <v>15087</v>
      </c>
      <c r="H1828" s="74" t="s">
        <v>1483</v>
      </c>
      <c r="I1828" s="24"/>
    </row>
    <row r="1829" spans="3:9" ht="15" x14ac:dyDescent="0.25">
      <c r="C1829" s="1644" t="s">
        <v>13868</v>
      </c>
      <c r="E1829" s="6"/>
      <c r="F1829" t="s">
        <v>15087</v>
      </c>
      <c r="H1829" s="74" t="s">
        <v>1914</v>
      </c>
      <c r="I1829" s="24"/>
    </row>
    <row r="1830" spans="3:9" ht="15" x14ac:dyDescent="0.25">
      <c r="C1830" s="1644" t="s">
        <v>13869</v>
      </c>
      <c r="E1830" s="6"/>
      <c r="F1830" t="s">
        <v>15087</v>
      </c>
      <c r="H1830" s="74" t="s">
        <v>284</v>
      </c>
      <c r="I1830" s="24"/>
    </row>
    <row r="1831" spans="3:9" ht="15" x14ac:dyDescent="0.25">
      <c r="C1831" s="1644" t="s">
        <v>13870</v>
      </c>
      <c r="E1831" s="6">
        <v>4</v>
      </c>
      <c r="F1831" t="s">
        <v>15089</v>
      </c>
      <c r="H1831" s="568" t="s">
        <v>10978</v>
      </c>
      <c r="I1831" s="24"/>
    </row>
    <row r="1832" spans="3:9" ht="15" x14ac:dyDescent="0.25">
      <c r="C1832" s="1644" t="s">
        <v>13871</v>
      </c>
      <c r="E1832" s="6"/>
      <c r="F1832" t="s">
        <v>15087</v>
      </c>
      <c r="H1832" s="532" t="s">
        <v>10655</v>
      </c>
      <c r="I1832" s="24"/>
    </row>
    <row r="1833" spans="3:9" ht="15" x14ac:dyDescent="0.25">
      <c r="C1833" s="1644" t="s">
        <v>13872</v>
      </c>
      <c r="E1833" s="6">
        <v>1</v>
      </c>
      <c r="F1833" t="s">
        <v>15094</v>
      </c>
      <c r="H1833" s="74" t="s">
        <v>4962</v>
      </c>
      <c r="I1833" s="585"/>
    </row>
    <row r="1834" spans="3:9" ht="15" x14ac:dyDescent="0.25">
      <c r="C1834" s="1644" t="s">
        <v>13873</v>
      </c>
      <c r="E1834" s="6"/>
      <c r="F1834" t="s">
        <v>15087</v>
      </c>
      <c r="H1834" s="415" t="s">
        <v>13041</v>
      </c>
      <c r="I1834" s="24"/>
    </row>
    <row r="1835" spans="3:9" ht="15" x14ac:dyDescent="0.25">
      <c r="C1835" s="1644" t="s">
        <v>13874</v>
      </c>
      <c r="E1835" s="6"/>
      <c r="F1835" t="s">
        <v>15087</v>
      </c>
      <c r="H1835" s="415" t="s">
        <v>9527</v>
      </c>
      <c r="I1835" s="531"/>
    </row>
    <row r="1836" spans="3:9" ht="15" x14ac:dyDescent="0.25">
      <c r="C1836" s="1644" t="s">
        <v>13875</v>
      </c>
      <c r="E1836" s="6"/>
      <c r="F1836" t="s">
        <v>15087</v>
      </c>
      <c r="H1836" s="74" t="s">
        <v>282</v>
      </c>
      <c r="I1836" s="24"/>
    </row>
    <row r="1837" spans="3:9" ht="15" x14ac:dyDescent="0.25">
      <c r="C1837" s="1644" t="s">
        <v>13876</v>
      </c>
      <c r="E1837" s="6">
        <v>6</v>
      </c>
      <c r="F1837" t="s">
        <v>15090</v>
      </c>
      <c r="H1837" s="415" t="s">
        <v>8379</v>
      </c>
      <c r="I1837" s="24"/>
    </row>
    <row r="1838" spans="3:9" ht="15" x14ac:dyDescent="0.25">
      <c r="C1838" s="1644" t="s">
        <v>13877</v>
      </c>
      <c r="E1838" s="6"/>
      <c r="F1838" t="s">
        <v>15087</v>
      </c>
      <c r="H1838" s="415" t="s">
        <v>11019</v>
      </c>
      <c r="I1838" s="531"/>
    </row>
    <row r="1839" spans="3:9" ht="15" x14ac:dyDescent="0.25">
      <c r="C1839" s="1644" t="s">
        <v>13878</v>
      </c>
      <c r="E1839" s="6"/>
      <c r="F1839" t="s">
        <v>15087</v>
      </c>
      <c r="H1839" s="568" t="s">
        <v>6102</v>
      </c>
      <c r="I1839" s="24"/>
    </row>
    <row r="1840" spans="3:9" ht="15" x14ac:dyDescent="0.25">
      <c r="C1840" s="1644" t="s">
        <v>13879</v>
      </c>
      <c r="E1840" s="6">
        <v>1</v>
      </c>
      <c r="F1840" t="s">
        <v>15090</v>
      </c>
      <c r="H1840" s="74" t="s">
        <v>3738</v>
      </c>
      <c r="I1840" s="531"/>
    </row>
    <row r="1841" spans="3:9" ht="15" x14ac:dyDescent="0.25">
      <c r="C1841" s="1644" t="s">
        <v>13880</v>
      </c>
      <c r="E1841" s="6"/>
      <c r="F1841" t="s">
        <v>15087</v>
      </c>
      <c r="H1841" s="415" t="s">
        <v>12512</v>
      </c>
      <c r="I1841" s="24"/>
    </row>
    <row r="1842" spans="3:9" ht="15" x14ac:dyDescent="0.25">
      <c r="C1842" s="1644" t="s">
        <v>13881</v>
      </c>
      <c r="E1842" s="6"/>
      <c r="F1842" t="s">
        <v>15087</v>
      </c>
      <c r="H1842" s="74" t="s">
        <v>449</v>
      </c>
      <c r="I1842" s="24"/>
    </row>
    <row r="1843" spans="3:9" ht="15" x14ac:dyDescent="0.25">
      <c r="C1843" s="1644" t="s">
        <v>13882</v>
      </c>
      <c r="E1843" s="6">
        <v>1</v>
      </c>
      <c r="F1843" t="s">
        <v>15107</v>
      </c>
      <c r="H1843" s="74" t="s">
        <v>5950</v>
      </c>
      <c r="I1843" s="24"/>
    </row>
    <row r="1844" spans="3:9" ht="15" x14ac:dyDescent="0.25">
      <c r="C1844" s="1644" t="s">
        <v>13883</v>
      </c>
      <c r="E1844" s="6"/>
      <c r="F1844" t="s">
        <v>15087</v>
      </c>
      <c r="H1844" s="415" t="s">
        <v>4120</v>
      </c>
      <c r="I1844" s="24"/>
    </row>
    <row r="1845" spans="3:9" ht="15" x14ac:dyDescent="0.25">
      <c r="C1845" s="1644" t="s">
        <v>13884</v>
      </c>
      <c r="E1845" s="6"/>
      <c r="F1845" t="s">
        <v>15087</v>
      </c>
      <c r="H1845" s="532" t="s">
        <v>8248</v>
      </c>
      <c r="I1845" s="24"/>
    </row>
    <row r="1846" spans="3:9" ht="15" x14ac:dyDescent="0.25">
      <c r="C1846" s="1644" t="s">
        <v>13885</v>
      </c>
      <c r="E1846" s="6">
        <v>3</v>
      </c>
      <c r="F1846" t="s">
        <v>15130</v>
      </c>
      <c r="H1846" s="74" t="s">
        <v>1476</v>
      </c>
      <c r="I1846" s="24"/>
    </row>
    <row r="1847" spans="3:9" ht="15" x14ac:dyDescent="0.25">
      <c r="C1847" s="1644" t="s">
        <v>13886</v>
      </c>
      <c r="E1847" s="6"/>
      <c r="F1847" t="s">
        <v>15087</v>
      </c>
      <c r="H1847" s="74" t="s">
        <v>4314</v>
      </c>
      <c r="I1847" s="24"/>
    </row>
    <row r="1848" spans="3:9" ht="15" x14ac:dyDescent="0.25">
      <c r="C1848" s="1644" t="s">
        <v>13887</v>
      </c>
      <c r="E1848" s="6"/>
      <c r="F1848" t="s">
        <v>15087</v>
      </c>
      <c r="H1848" s="74" t="s">
        <v>2082</v>
      </c>
      <c r="I1848" s="24"/>
    </row>
    <row r="1849" spans="3:9" ht="15" x14ac:dyDescent="0.25">
      <c r="C1849" s="1644" t="s">
        <v>13888</v>
      </c>
      <c r="E1849" s="6"/>
      <c r="F1849" t="s">
        <v>15087</v>
      </c>
      <c r="H1849" s="415" t="s">
        <v>5942</v>
      </c>
      <c r="I1849" s="24"/>
    </row>
    <row r="1850" spans="3:9" ht="15" x14ac:dyDescent="0.25">
      <c r="C1850" s="1644" t="s">
        <v>13889</v>
      </c>
      <c r="E1850" s="6"/>
      <c r="F1850" t="s">
        <v>15087</v>
      </c>
      <c r="H1850" s="74" t="s">
        <v>912</v>
      </c>
      <c r="I1850" s="24"/>
    </row>
    <row r="1851" spans="3:9" ht="15" x14ac:dyDescent="0.25">
      <c r="C1851" s="1644" t="s">
        <v>13890</v>
      </c>
      <c r="E1851" s="6"/>
      <c r="F1851" t="s">
        <v>15087</v>
      </c>
      <c r="H1851" s="415" t="s">
        <v>13262</v>
      </c>
      <c r="I1851" s="24"/>
    </row>
    <row r="1852" spans="3:9" ht="15" x14ac:dyDescent="0.25">
      <c r="C1852" s="1644" t="s">
        <v>13891</v>
      </c>
      <c r="E1852" s="6">
        <v>1</v>
      </c>
      <c r="F1852" t="s">
        <v>15100</v>
      </c>
      <c r="H1852" s="74" t="s">
        <v>2634</v>
      </c>
      <c r="I1852" s="541"/>
    </row>
    <row r="1853" spans="3:9" ht="15" x14ac:dyDescent="0.25">
      <c r="C1853" s="1644" t="s">
        <v>13892</v>
      </c>
      <c r="E1853" s="6"/>
      <c r="F1853" t="s">
        <v>15087</v>
      </c>
      <c r="H1853" s="532" t="s">
        <v>12079</v>
      </c>
      <c r="I1853" s="24"/>
    </row>
    <row r="1854" spans="3:9" ht="15" x14ac:dyDescent="0.25">
      <c r="C1854" s="1644" t="s">
        <v>13893</v>
      </c>
      <c r="E1854" s="6">
        <v>11</v>
      </c>
      <c r="F1854" t="s">
        <v>15090</v>
      </c>
      <c r="H1854" s="532" t="s">
        <v>11914</v>
      </c>
      <c r="I1854" s="24"/>
    </row>
    <row r="1855" spans="3:9" ht="15" x14ac:dyDescent="0.25">
      <c r="C1855" s="1644" t="s">
        <v>13894</v>
      </c>
      <c r="E1855" s="6"/>
      <c r="F1855" t="s">
        <v>15087</v>
      </c>
      <c r="H1855" s="415" t="s">
        <v>9187</v>
      </c>
      <c r="I1855" s="24"/>
    </row>
    <row r="1856" spans="3:9" ht="15" x14ac:dyDescent="0.25">
      <c r="C1856" s="1644" t="s">
        <v>13895</v>
      </c>
      <c r="E1856" s="6"/>
      <c r="F1856" t="s">
        <v>15087</v>
      </c>
      <c r="H1856" s="415" t="s">
        <v>10292</v>
      </c>
      <c r="I1856" s="24"/>
    </row>
    <row r="1857" spans="3:9" ht="15" x14ac:dyDescent="0.25">
      <c r="C1857" s="1644" t="s">
        <v>13896</v>
      </c>
      <c r="E1857" s="6">
        <v>3</v>
      </c>
      <c r="F1857" t="s">
        <v>15092</v>
      </c>
      <c r="H1857" s="415" t="s">
        <v>4497</v>
      </c>
      <c r="I1857" s="183"/>
    </row>
    <row r="1858" spans="3:9" ht="15" x14ac:dyDescent="0.25">
      <c r="C1858" s="1644" t="s">
        <v>13897</v>
      </c>
      <c r="E1858" s="6">
        <v>2</v>
      </c>
      <c r="F1858" t="s">
        <v>15090</v>
      </c>
      <c r="H1858" s="415" t="s">
        <v>10246</v>
      </c>
      <c r="I1858" s="24"/>
    </row>
    <row r="1859" spans="3:9" ht="15" x14ac:dyDescent="0.25">
      <c r="C1859" s="1644" t="s">
        <v>13898</v>
      </c>
      <c r="E1859" s="6"/>
      <c r="F1859" t="s">
        <v>15087</v>
      </c>
      <c r="H1859" s="74" t="s">
        <v>5960</v>
      </c>
      <c r="I1859" s="183"/>
    </row>
    <row r="1860" spans="3:9" ht="15" x14ac:dyDescent="0.25">
      <c r="C1860" s="1644" t="s">
        <v>13899</v>
      </c>
      <c r="E1860" s="6"/>
      <c r="F1860" t="s">
        <v>15087</v>
      </c>
      <c r="H1860" s="74" t="s">
        <v>4837</v>
      </c>
      <c r="I1860" s="24"/>
    </row>
    <row r="1861" spans="3:9" ht="15" x14ac:dyDescent="0.25">
      <c r="C1861" s="1644" t="s">
        <v>13900</v>
      </c>
      <c r="E1861" s="6"/>
      <c r="F1861" t="s">
        <v>15087</v>
      </c>
      <c r="H1861" s="532" t="s">
        <v>4585</v>
      </c>
      <c r="I1861" s="24"/>
    </row>
    <row r="1862" spans="3:9" ht="15" x14ac:dyDescent="0.25">
      <c r="C1862" s="1644" t="s">
        <v>13901</v>
      </c>
      <c r="E1862" s="6"/>
      <c r="F1862" t="s">
        <v>15087</v>
      </c>
      <c r="H1862" s="532" t="s">
        <v>11552</v>
      </c>
      <c r="I1862" s="24"/>
    </row>
    <row r="1863" spans="3:9" ht="15" x14ac:dyDescent="0.25">
      <c r="C1863" s="1644" t="s">
        <v>13902</v>
      </c>
      <c r="E1863" s="6">
        <v>1</v>
      </c>
      <c r="F1863" t="s">
        <v>15090</v>
      </c>
      <c r="H1863" s="74" t="s">
        <v>1003</v>
      </c>
      <c r="I1863" s="24"/>
    </row>
    <row r="1864" spans="3:9" ht="15" x14ac:dyDescent="0.25">
      <c r="C1864" s="1644" t="s">
        <v>13903</v>
      </c>
      <c r="E1864" s="6">
        <v>1</v>
      </c>
      <c r="F1864" t="s">
        <v>15090</v>
      </c>
      <c r="H1864" s="415" t="s">
        <v>9152</v>
      </c>
      <c r="I1864" s="947"/>
    </row>
    <row r="1865" spans="3:9" ht="15" x14ac:dyDescent="0.25">
      <c r="C1865" s="1644" t="s">
        <v>13904</v>
      </c>
      <c r="E1865" s="6"/>
      <c r="F1865" t="s">
        <v>15087</v>
      </c>
      <c r="H1865" s="74" t="s">
        <v>3404</v>
      </c>
      <c r="I1865" s="947"/>
    </row>
    <row r="1866" spans="3:9" ht="15" x14ac:dyDescent="0.25">
      <c r="C1866" s="1644" t="s">
        <v>13905</v>
      </c>
      <c r="E1866" s="6">
        <v>9</v>
      </c>
      <c r="F1866" t="s">
        <v>15092</v>
      </c>
      <c r="H1866" s="74" t="s">
        <v>1403</v>
      </c>
      <c r="I1866" s="24"/>
    </row>
    <row r="1867" spans="3:9" ht="15" x14ac:dyDescent="0.25">
      <c r="C1867" s="1644" t="s">
        <v>13906</v>
      </c>
      <c r="E1867" s="6"/>
      <c r="F1867" t="s">
        <v>15087</v>
      </c>
      <c r="H1867" s="74" t="s">
        <v>2326</v>
      </c>
      <c r="I1867" s="531"/>
    </row>
    <row r="1868" spans="3:9" ht="15" x14ac:dyDescent="0.25">
      <c r="C1868" s="1644" t="s">
        <v>13907</v>
      </c>
      <c r="E1868" s="6">
        <v>1</v>
      </c>
      <c r="F1868" t="s">
        <v>15090</v>
      </c>
      <c r="H1868" s="74" t="s">
        <v>2588</v>
      </c>
      <c r="I1868" s="531"/>
    </row>
    <row r="1869" spans="3:9" ht="15" x14ac:dyDescent="0.25">
      <c r="C1869" s="1644" t="s">
        <v>13908</v>
      </c>
      <c r="E1869" s="6"/>
      <c r="F1869" t="s">
        <v>15087</v>
      </c>
      <c r="H1869" s="74" t="s">
        <v>3502</v>
      </c>
      <c r="I1869" s="24"/>
    </row>
    <row r="1870" spans="3:9" ht="15" x14ac:dyDescent="0.25">
      <c r="C1870" s="1644" t="s">
        <v>13909</v>
      </c>
      <c r="E1870" s="6">
        <v>1</v>
      </c>
      <c r="F1870" t="s">
        <v>15117</v>
      </c>
      <c r="H1870" s="74" t="s">
        <v>4916</v>
      </c>
      <c r="I1870" s="531"/>
    </row>
    <row r="1871" spans="3:9" ht="15" x14ac:dyDescent="0.25">
      <c r="C1871" s="1644" t="s">
        <v>13910</v>
      </c>
      <c r="E1871" s="6"/>
      <c r="F1871" t="s">
        <v>15087</v>
      </c>
      <c r="H1871" s="532" t="s">
        <v>7940</v>
      </c>
      <c r="I1871" s="531"/>
    </row>
    <row r="1872" spans="3:9" ht="15" x14ac:dyDescent="0.25">
      <c r="C1872" s="1644" t="s">
        <v>13911</v>
      </c>
      <c r="E1872" s="6"/>
      <c r="F1872" t="s">
        <v>15087</v>
      </c>
      <c r="H1872" s="15" t="s">
        <v>2691</v>
      </c>
      <c r="I1872" s="531"/>
    </row>
    <row r="1873" spans="3:9" ht="15" x14ac:dyDescent="0.25">
      <c r="C1873" s="1644" t="s">
        <v>13912</v>
      </c>
      <c r="E1873" s="6">
        <v>6</v>
      </c>
      <c r="F1873" t="s">
        <v>15092</v>
      </c>
      <c r="H1873" s="74" t="s">
        <v>4513</v>
      </c>
      <c r="I1873" s="531"/>
    </row>
    <row r="1874" spans="3:9" ht="15" x14ac:dyDescent="0.25">
      <c r="C1874" s="1644" t="s">
        <v>13913</v>
      </c>
      <c r="E1874" s="6">
        <v>1</v>
      </c>
      <c r="F1874" t="s">
        <v>15096</v>
      </c>
      <c r="H1874" s="74" t="s">
        <v>800</v>
      </c>
      <c r="I1874" s="24"/>
    </row>
    <row r="1875" spans="3:9" ht="15" x14ac:dyDescent="0.25">
      <c r="C1875" s="1644" t="s">
        <v>13914</v>
      </c>
      <c r="E1875" s="6"/>
      <c r="F1875" t="s">
        <v>15087</v>
      </c>
      <c r="H1875" s="74" t="s">
        <v>5642</v>
      </c>
      <c r="I1875" s="24"/>
    </row>
    <row r="1876" spans="3:9" ht="15" x14ac:dyDescent="0.25">
      <c r="C1876" s="1644" t="s">
        <v>13915</v>
      </c>
      <c r="E1876" s="6"/>
      <c r="F1876" t="s">
        <v>15087</v>
      </c>
      <c r="H1876" s="415" t="s">
        <v>10735</v>
      </c>
      <c r="I1876" s="24"/>
    </row>
    <row r="1877" spans="3:9" ht="15" x14ac:dyDescent="0.25">
      <c r="C1877" s="1644" t="s">
        <v>13916</v>
      </c>
      <c r="E1877" s="6"/>
      <c r="F1877" t="s">
        <v>15087</v>
      </c>
      <c r="H1877" s="74" t="s">
        <v>1805</v>
      </c>
      <c r="I1877" s="24"/>
    </row>
    <row r="1878" spans="3:9" ht="15" x14ac:dyDescent="0.25">
      <c r="C1878" s="1644" t="s">
        <v>13917</v>
      </c>
      <c r="E1878" s="6"/>
      <c r="F1878" t="s">
        <v>15087</v>
      </c>
      <c r="H1878" s="74" t="s">
        <v>5453</v>
      </c>
      <c r="I1878" s="24"/>
    </row>
    <row r="1879" spans="3:9" ht="15" x14ac:dyDescent="0.25">
      <c r="C1879" s="1644" t="s">
        <v>13918</v>
      </c>
      <c r="E1879" s="6"/>
      <c r="F1879" t="s">
        <v>15087</v>
      </c>
      <c r="H1879" s="74" t="s">
        <v>5963</v>
      </c>
      <c r="I1879" s="24"/>
    </row>
    <row r="1880" spans="3:9" ht="15" x14ac:dyDescent="0.25">
      <c r="C1880" s="1644" t="s">
        <v>13919</v>
      </c>
      <c r="E1880" s="6">
        <v>1</v>
      </c>
      <c r="F1880" t="s">
        <v>15096</v>
      </c>
      <c r="H1880" s="15" t="s">
        <v>5526</v>
      </c>
      <c r="I1880" s="24"/>
    </row>
    <row r="1881" spans="3:9" ht="15" x14ac:dyDescent="0.25">
      <c r="C1881" s="1644" t="s">
        <v>13920</v>
      </c>
      <c r="E1881" s="6"/>
      <c r="F1881" t="s">
        <v>15087</v>
      </c>
      <c r="H1881" s="74" t="s">
        <v>778</v>
      </c>
      <c r="I1881" s="24"/>
    </row>
    <row r="1882" spans="3:9" ht="15" x14ac:dyDescent="0.25">
      <c r="C1882" s="1644" t="s">
        <v>13921</v>
      </c>
      <c r="E1882" s="6"/>
      <c r="F1882" t="s">
        <v>15087</v>
      </c>
      <c r="H1882" s="415" t="s">
        <v>2966</v>
      </c>
      <c r="I1882" s="24"/>
    </row>
    <row r="1883" spans="3:9" ht="15" x14ac:dyDescent="0.25">
      <c r="C1883" s="1644" t="s">
        <v>13922</v>
      </c>
      <c r="E1883" s="6"/>
      <c r="F1883" t="s">
        <v>15087</v>
      </c>
      <c r="H1883" s="74" t="s">
        <v>3620</v>
      </c>
      <c r="I1883" s="24"/>
    </row>
    <row r="1884" spans="3:9" ht="15" x14ac:dyDescent="0.25">
      <c r="C1884" s="1644" t="s">
        <v>13923</v>
      </c>
      <c r="E1884" s="6"/>
      <c r="F1884" t="s">
        <v>15087</v>
      </c>
      <c r="H1884" s="568" t="s">
        <v>7861</v>
      </c>
      <c r="I1884" s="24"/>
    </row>
    <row r="1885" spans="3:9" ht="15" x14ac:dyDescent="0.25">
      <c r="C1885" s="1644" t="s">
        <v>13924</v>
      </c>
      <c r="E1885" s="6"/>
      <c r="F1885" t="s">
        <v>15087</v>
      </c>
      <c r="H1885" s="74" t="s">
        <v>1405</v>
      </c>
      <c r="I1885" s="947"/>
    </row>
    <row r="1886" spans="3:9" ht="15" x14ac:dyDescent="0.25">
      <c r="C1886" s="1644" t="s">
        <v>13925</v>
      </c>
      <c r="E1886" s="6">
        <v>10</v>
      </c>
      <c r="F1886" t="s">
        <v>15129</v>
      </c>
      <c r="H1886" s="532" t="s">
        <v>4498</v>
      </c>
      <c r="I1886" s="531"/>
    </row>
    <row r="1887" spans="3:9" ht="15" x14ac:dyDescent="0.25">
      <c r="C1887" s="1644" t="s">
        <v>13926</v>
      </c>
      <c r="E1887" s="6">
        <v>3</v>
      </c>
      <c r="F1887" t="s">
        <v>15122</v>
      </c>
      <c r="H1887" s="74" t="s">
        <v>819</v>
      </c>
      <c r="I1887" s="531"/>
    </row>
    <row r="1888" spans="3:9" ht="15" x14ac:dyDescent="0.25">
      <c r="C1888" s="1644" t="s">
        <v>13927</v>
      </c>
      <c r="E1888" s="6">
        <v>3</v>
      </c>
      <c r="F1888" t="s">
        <v>15110</v>
      </c>
      <c r="H1888" s="74" t="s">
        <v>3706</v>
      </c>
      <c r="I1888" s="531"/>
    </row>
    <row r="1889" spans="3:9" ht="15" x14ac:dyDescent="0.25">
      <c r="C1889" s="1644" t="s">
        <v>13928</v>
      </c>
      <c r="E1889" s="6"/>
      <c r="F1889" t="s">
        <v>15087</v>
      </c>
      <c r="H1889" s="532" t="s">
        <v>8221</v>
      </c>
      <c r="I1889" s="531"/>
    </row>
    <row r="1890" spans="3:9" ht="15" x14ac:dyDescent="0.25">
      <c r="C1890" s="1644" t="s">
        <v>13929</v>
      </c>
      <c r="E1890" s="6"/>
      <c r="F1890" t="s">
        <v>15087</v>
      </c>
      <c r="H1890" s="74" t="s">
        <v>2560</v>
      </c>
      <c r="I1890" s="531"/>
    </row>
    <row r="1891" spans="3:9" ht="15" x14ac:dyDescent="0.25">
      <c r="C1891" s="1644" t="s">
        <v>13930</v>
      </c>
      <c r="E1891" s="6"/>
      <c r="F1891" t="s">
        <v>15087</v>
      </c>
      <c r="H1891" s="532" t="s">
        <v>4632</v>
      </c>
      <c r="I1891" s="531"/>
    </row>
    <row r="1892" spans="3:9" ht="15" x14ac:dyDescent="0.25">
      <c r="C1892" s="1644" t="s">
        <v>13931</v>
      </c>
      <c r="E1892" s="6">
        <v>1</v>
      </c>
      <c r="F1892" t="s">
        <v>15090</v>
      </c>
      <c r="H1892" s="74" t="s">
        <v>2636</v>
      </c>
      <c r="I1892" s="585"/>
    </row>
    <row r="1893" spans="3:9" ht="15" x14ac:dyDescent="0.25">
      <c r="C1893" s="1644" t="s">
        <v>13932</v>
      </c>
      <c r="E1893" s="6"/>
      <c r="F1893" t="s">
        <v>15087</v>
      </c>
      <c r="H1893" s="74" t="s">
        <v>5591</v>
      </c>
      <c r="I1893" s="531"/>
    </row>
    <row r="1894" spans="3:9" ht="15" x14ac:dyDescent="0.25">
      <c r="C1894" s="1644" t="s">
        <v>13933</v>
      </c>
      <c r="E1894" s="6">
        <v>5</v>
      </c>
      <c r="F1894" t="s">
        <v>15094</v>
      </c>
      <c r="H1894" s="415" t="s">
        <v>4633</v>
      </c>
      <c r="I1894" s="531"/>
    </row>
    <row r="1895" spans="3:9" ht="15" x14ac:dyDescent="0.25">
      <c r="C1895" s="1644" t="s">
        <v>13934</v>
      </c>
      <c r="E1895" s="6"/>
      <c r="F1895" t="s">
        <v>15087</v>
      </c>
      <c r="H1895" s="74" t="s">
        <v>1788</v>
      </c>
      <c r="I1895" s="24"/>
    </row>
    <row r="1896" spans="3:9" ht="15" x14ac:dyDescent="0.25">
      <c r="C1896" s="1644" t="s">
        <v>13935</v>
      </c>
      <c r="E1896" s="6">
        <v>2</v>
      </c>
      <c r="F1896" t="s">
        <v>15090</v>
      </c>
      <c r="H1896" s="74" t="s">
        <v>5402</v>
      </c>
      <c r="I1896" s="24"/>
    </row>
    <row r="1897" spans="3:9" ht="15" x14ac:dyDescent="0.25">
      <c r="C1897" s="1644" t="s">
        <v>13936</v>
      </c>
      <c r="E1897" s="6"/>
      <c r="F1897" t="s">
        <v>15087</v>
      </c>
      <c r="H1897" s="74" t="s">
        <v>4286</v>
      </c>
      <c r="I1897" s="24"/>
    </row>
    <row r="1898" spans="3:9" ht="15" x14ac:dyDescent="0.25">
      <c r="C1898" s="1644" t="s">
        <v>13937</v>
      </c>
      <c r="E1898" s="6"/>
      <c r="F1898" t="s">
        <v>15087</v>
      </c>
      <c r="H1898" s="74" t="s">
        <v>2963</v>
      </c>
      <c r="I1898" s="24"/>
    </row>
    <row r="1899" spans="3:9" ht="15" x14ac:dyDescent="0.25">
      <c r="C1899" s="1644" t="s">
        <v>13938</v>
      </c>
      <c r="E1899" s="6">
        <v>5</v>
      </c>
      <c r="F1899" t="s">
        <v>15106</v>
      </c>
      <c r="H1899" s="74" t="s">
        <v>1433</v>
      </c>
      <c r="I1899" s="24"/>
    </row>
    <row r="1900" spans="3:9" ht="15" x14ac:dyDescent="0.25">
      <c r="C1900" s="1644" t="s">
        <v>13939</v>
      </c>
      <c r="E1900" s="6"/>
      <c r="F1900" t="s">
        <v>15087</v>
      </c>
      <c r="H1900" s="74" t="s">
        <v>1302</v>
      </c>
      <c r="I1900" s="24"/>
    </row>
    <row r="1901" spans="3:9" ht="15" x14ac:dyDescent="0.25">
      <c r="C1901" s="1644" t="s">
        <v>13940</v>
      </c>
      <c r="E1901" s="6"/>
      <c r="F1901" t="s">
        <v>15087</v>
      </c>
      <c r="H1901" s="415" t="s">
        <v>539</v>
      </c>
      <c r="I1901" s="24"/>
    </row>
    <row r="1902" spans="3:9" ht="15" x14ac:dyDescent="0.25">
      <c r="C1902" s="1644" t="s">
        <v>13941</v>
      </c>
      <c r="E1902" s="6"/>
      <c r="F1902" t="s">
        <v>15087</v>
      </c>
      <c r="H1902" s="74" t="s">
        <v>5965</v>
      </c>
      <c r="I1902" s="585"/>
    </row>
    <row r="1903" spans="3:9" ht="15" x14ac:dyDescent="0.25">
      <c r="C1903" s="1644" t="s">
        <v>13942</v>
      </c>
      <c r="E1903" s="6"/>
      <c r="F1903" t="s">
        <v>15087</v>
      </c>
      <c r="H1903" s="532" t="s">
        <v>9734</v>
      </c>
      <c r="I1903" s="531"/>
    </row>
    <row r="1904" spans="3:9" ht="15" x14ac:dyDescent="0.25">
      <c r="C1904" s="1644" t="s">
        <v>13943</v>
      </c>
      <c r="E1904" s="6">
        <v>9</v>
      </c>
      <c r="F1904" t="s">
        <v>15121</v>
      </c>
      <c r="H1904" s="74" t="s">
        <v>371</v>
      </c>
      <c r="I1904" s="585"/>
    </row>
    <row r="1905" spans="3:9" ht="15" x14ac:dyDescent="0.25">
      <c r="C1905" s="1644" t="s">
        <v>13944</v>
      </c>
      <c r="E1905" s="6">
        <v>5</v>
      </c>
      <c r="F1905" t="s">
        <v>15126</v>
      </c>
      <c r="H1905" s="15" t="s">
        <v>5990</v>
      </c>
      <c r="I1905" s="24"/>
    </row>
    <row r="1906" spans="3:9" ht="15" x14ac:dyDescent="0.25">
      <c r="C1906" s="1644" t="s">
        <v>13945</v>
      </c>
      <c r="E1906" s="6">
        <v>5</v>
      </c>
      <c r="F1906" t="s">
        <v>15131</v>
      </c>
      <c r="H1906" s="415" t="s">
        <v>11077</v>
      </c>
      <c r="I1906" s="531"/>
    </row>
    <row r="1907" spans="3:9" ht="15" x14ac:dyDescent="0.25">
      <c r="C1907" s="1644" t="s">
        <v>13946</v>
      </c>
      <c r="E1907" s="6"/>
      <c r="F1907" t="s">
        <v>15087</v>
      </c>
      <c r="H1907" s="15" t="s">
        <v>3380</v>
      </c>
      <c r="I1907" s="24"/>
    </row>
    <row r="1908" spans="3:9" ht="15" x14ac:dyDescent="0.25">
      <c r="C1908" s="1644" t="s">
        <v>13947</v>
      </c>
      <c r="E1908" s="6"/>
      <c r="F1908" t="s">
        <v>15087</v>
      </c>
      <c r="H1908" s="74" t="s">
        <v>3167</v>
      </c>
      <c r="I1908" s="24"/>
    </row>
    <row r="1909" spans="3:9" ht="15" x14ac:dyDescent="0.25">
      <c r="C1909" s="1644" t="s">
        <v>13948</v>
      </c>
      <c r="E1909" s="6"/>
      <c r="F1909" t="s">
        <v>15087</v>
      </c>
      <c r="H1909" s="24" t="s">
        <v>1263</v>
      </c>
      <c r="I1909" s="24"/>
    </row>
    <row r="1910" spans="3:9" ht="15" x14ac:dyDescent="0.25">
      <c r="C1910" s="1644" t="s">
        <v>13949</v>
      </c>
      <c r="E1910" s="6"/>
      <c r="F1910" t="s">
        <v>15087</v>
      </c>
      <c r="H1910" s="24" t="s">
        <v>161</v>
      </c>
      <c r="I1910" s="24"/>
    </row>
    <row r="1911" spans="3:9" ht="15" x14ac:dyDescent="0.25">
      <c r="C1911" s="1644" t="s">
        <v>13950</v>
      </c>
      <c r="E1911" s="6"/>
      <c r="F1911" t="s">
        <v>15087</v>
      </c>
      <c r="H1911" s="415" t="s">
        <v>9494</v>
      </c>
      <c r="I1911" s="531"/>
    </row>
    <row r="1912" spans="3:9" ht="15" x14ac:dyDescent="0.25">
      <c r="C1912" s="1644" t="s">
        <v>13951</v>
      </c>
      <c r="E1912" s="6">
        <v>2</v>
      </c>
      <c r="F1912" t="s">
        <v>15090</v>
      </c>
      <c r="H1912" s="24" t="s">
        <v>5664</v>
      </c>
      <c r="I1912" s="24"/>
    </row>
    <row r="1913" spans="3:9" ht="15" x14ac:dyDescent="0.25">
      <c r="C1913" s="1644" t="s">
        <v>13952</v>
      </c>
      <c r="E1913" s="6">
        <v>1</v>
      </c>
      <c r="F1913" t="s">
        <v>15095</v>
      </c>
      <c r="H1913" s="415" t="s">
        <v>8580</v>
      </c>
      <c r="I1913" s="24"/>
    </row>
    <row r="1914" spans="3:9" ht="15" x14ac:dyDescent="0.25">
      <c r="C1914" s="1644" t="s">
        <v>13953</v>
      </c>
      <c r="E1914" s="6"/>
      <c r="F1914" t="s">
        <v>15087</v>
      </c>
      <c r="H1914" s="24" t="s">
        <v>2818</v>
      </c>
      <c r="I1914" s="24"/>
    </row>
    <row r="1915" spans="3:9" ht="15" x14ac:dyDescent="0.25">
      <c r="C1915" s="1644" t="s">
        <v>13954</v>
      </c>
      <c r="E1915" s="6">
        <v>3</v>
      </c>
      <c r="F1915" t="s">
        <v>15092</v>
      </c>
      <c r="H1915" s="532" t="s">
        <v>6393</v>
      </c>
      <c r="I1915" s="24"/>
    </row>
    <row r="1916" spans="3:9" ht="15" x14ac:dyDescent="0.25">
      <c r="C1916" s="1644" t="s">
        <v>13955</v>
      </c>
      <c r="E1916" s="6"/>
      <c r="F1916" t="s">
        <v>15087</v>
      </c>
      <c r="H1916" s="24" t="s">
        <v>6021</v>
      </c>
      <c r="I1916" s="24"/>
    </row>
    <row r="1917" spans="3:9" ht="15" x14ac:dyDescent="0.25">
      <c r="C1917" s="1644" t="s">
        <v>13956</v>
      </c>
      <c r="E1917" s="6"/>
      <c r="F1917" t="s">
        <v>15087</v>
      </c>
      <c r="H1917" s="24" t="s">
        <v>5666</v>
      </c>
      <c r="I1917" s="531"/>
    </row>
    <row r="1918" spans="3:9" ht="15" x14ac:dyDescent="0.25">
      <c r="C1918" s="1644" t="s">
        <v>13957</v>
      </c>
      <c r="E1918" s="6">
        <v>4</v>
      </c>
      <c r="F1918" t="s">
        <v>15096</v>
      </c>
      <c r="H1918" s="531" t="s">
        <v>2245</v>
      </c>
      <c r="I1918" s="947"/>
    </row>
    <row r="1919" spans="3:9" ht="15" x14ac:dyDescent="0.25">
      <c r="C1919" s="1644" t="s">
        <v>13958</v>
      </c>
      <c r="E1919" s="6">
        <v>1</v>
      </c>
      <c r="F1919" t="s">
        <v>15096</v>
      </c>
      <c r="H1919" s="532" t="s">
        <v>10115</v>
      </c>
      <c r="I1919" s="531"/>
    </row>
    <row r="1920" spans="3:9" ht="15" x14ac:dyDescent="0.25">
      <c r="C1920" s="1644" t="s">
        <v>13959</v>
      </c>
      <c r="E1920" s="6">
        <v>1</v>
      </c>
      <c r="F1920" t="s">
        <v>15119</v>
      </c>
      <c r="H1920" s="24" t="s">
        <v>5774</v>
      </c>
      <c r="I1920" s="24"/>
    </row>
    <row r="1921" spans="3:9" ht="15" x14ac:dyDescent="0.25">
      <c r="C1921" s="1644" t="s">
        <v>13960</v>
      </c>
      <c r="E1921" s="6"/>
      <c r="F1921" t="s">
        <v>15087</v>
      </c>
      <c r="H1921" s="532" t="s">
        <v>6159</v>
      </c>
      <c r="I1921" s="585"/>
    </row>
    <row r="1922" spans="3:9" ht="15" x14ac:dyDescent="0.25">
      <c r="C1922" s="1644" t="s">
        <v>13961</v>
      </c>
      <c r="E1922" s="6"/>
      <c r="F1922" t="s">
        <v>15087</v>
      </c>
      <c r="H1922" s="532" t="s">
        <v>12383</v>
      </c>
      <c r="I1922" s="24"/>
    </row>
    <row r="1923" spans="3:9" ht="15" x14ac:dyDescent="0.25">
      <c r="C1923" s="1644" t="s">
        <v>13962</v>
      </c>
      <c r="E1923" s="6"/>
      <c r="F1923" t="s">
        <v>15087</v>
      </c>
      <c r="H1923" s="532" t="s">
        <v>9873</v>
      </c>
      <c r="I1923" s="24"/>
    </row>
    <row r="1924" spans="3:9" ht="15" x14ac:dyDescent="0.25">
      <c r="C1924" s="1644" t="s">
        <v>13963</v>
      </c>
      <c r="E1924" s="6">
        <v>4</v>
      </c>
      <c r="F1924" t="s">
        <v>15089</v>
      </c>
      <c r="H1924" s="532" t="s">
        <v>7754</v>
      </c>
      <c r="I1924" s="24"/>
    </row>
    <row r="1925" spans="3:9" ht="15" x14ac:dyDescent="0.25">
      <c r="C1925" s="1644" t="s">
        <v>13964</v>
      </c>
      <c r="E1925" s="6">
        <v>1</v>
      </c>
      <c r="F1925" t="s">
        <v>15115</v>
      </c>
      <c r="H1925" s="74" t="s">
        <v>3381</v>
      </c>
      <c r="I1925" s="24"/>
    </row>
    <row r="1926" spans="3:9" ht="15" x14ac:dyDescent="0.25">
      <c r="C1926" s="1644" t="s">
        <v>13965</v>
      </c>
      <c r="E1926" s="6"/>
      <c r="F1926" t="s">
        <v>15087</v>
      </c>
      <c r="H1926" s="415" t="s">
        <v>8335</v>
      </c>
      <c r="I1926" s="24"/>
    </row>
    <row r="1927" spans="3:9" ht="15" x14ac:dyDescent="0.25">
      <c r="C1927" s="1644" t="s">
        <v>13966</v>
      </c>
      <c r="E1927" s="6"/>
      <c r="F1927" t="s">
        <v>15087</v>
      </c>
      <c r="H1927" s="74" t="s">
        <v>4220</v>
      </c>
      <c r="I1927" s="24"/>
    </row>
    <row r="1928" spans="3:9" ht="15" x14ac:dyDescent="0.25">
      <c r="C1928" s="1644" t="s">
        <v>13967</v>
      </c>
      <c r="E1928" s="6">
        <v>100</v>
      </c>
      <c r="F1928" t="s">
        <v>15132</v>
      </c>
      <c r="H1928" s="415" t="s">
        <v>4634</v>
      </c>
      <c r="I1928" s="24"/>
    </row>
    <row r="1929" spans="3:9" ht="15" x14ac:dyDescent="0.25">
      <c r="C1929" s="1644" t="s">
        <v>13968</v>
      </c>
      <c r="E1929" s="6">
        <v>1</v>
      </c>
      <c r="F1929" t="s">
        <v>15106</v>
      </c>
      <c r="H1929" s="415" t="s">
        <v>10744</v>
      </c>
      <c r="I1929" s="531"/>
    </row>
    <row r="1930" spans="3:9" ht="15" x14ac:dyDescent="0.25">
      <c r="C1930" s="1644" t="s">
        <v>13969</v>
      </c>
      <c r="E1930" s="6"/>
      <c r="F1930" t="s">
        <v>15087</v>
      </c>
      <c r="H1930" s="415" t="s">
        <v>3856</v>
      </c>
      <c r="I1930" s="24"/>
    </row>
    <row r="1931" spans="3:9" ht="15" x14ac:dyDescent="0.25">
      <c r="C1931" s="1644" t="s">
        <v>13970</v>
      </c>
      <c r="E1931" s="6"/>
      <c r="F1931" t="s">
        <v>15087</v>
      </c>
      <c r="H1931" s="24" t="s">
        <v>6018</v>
      </c>
      <c r="I1931" s="24"/>
    </row>
    <row r="1932" spans="3:9" ht="15" x14ac:dyDescent="0.25">
      <c r="C1932" s="1644" t="s">
        <v>13971</v>
      </c>
      <c r="E1932" s="6">
        <v>48</v>
      </c>
      <c r="F1932" t="s">
        <v>15092</v>
      </c>
      <c r="H1932" s="24" t="s">
        <v>3383</v>
      </c>
      <c r="I1932" s="531"/>
    </row>
    <row r="1933" spans="3:9" ht="15" x14ac:dyDescent="0.25">
      <c r="C1933" s="1644" t="s">
        <v>13972</v>
      </c>
      <c r="E1933" s="6">
        <v>1</v>
      </c>
      <c r="F1933" t="s">
        <v>15110</v>
      </c>
      <c r="H1933" s="74" t="s">
        <v>6075</v>
      </c>
      <c r="I1933" s="531"/>
    </row>
    <row r="1934" spans="3:9" ht="15" x14ac:dyDescent="0.25">
      <c r="C1934" s="1644" t="s">
        <v>13973</v>
      </c>
      <c r="E1934" s="6">
        <v>7</v>
      </c>
      <c r="F1934" t="s">
        <v>15096</v>
      </c>
      <c r="H1934" s="415" t="s">
        <v>11730</v>
      </c>
      <c r="I1934" s="24"/>
    </row>
    <row r="1935" spans="3:9" ht="15" x14ac:dyDescent="0.25">
      <c r="C1935" s="1644" t="s">
        <v>13974</v>
      </c>
      <c r="E1935" s="6"/>
      <c r="F1935" t="s">
        <v>15087</v>
      </c>
      <c r="H1935" s="24" t="s">
        <v>1009</v>
      </c>
      <c r="I1935" s="24"/>
    </row>
    <row r="1936" spans="3:9" ht="15" x14ac:dyDescent="0.25">
      <c r="C1936" s="1644" t="s">
        <v>13975</v>
      </c>
      <c r="E1936" s="6"/>
      <c r="F1936" t="s">
        <v>15087</v>
      </c>
      <c r="H1936" s="24" t="s">
        <v>1060</v>
      </c>
      <c r="I1936" s="24"/>
    </row>
    <row r="1937" spans="3:9" ht="15" x14ac:dyDescent="0.25">
      <c r="C1937" s="1644" t="s">
        <v>13976</v>
      </c>
      <c r="E1937" s="6"/>
      <c r="F1937" t="s">
        <v>15087</v>
      </c>
      <c r="H1937" s="532" t="s">
        <v>3595</v>
      </c>
      <c r="I1937" s="24"/>
    </row>
    <row r="1938" spans="3:9" ht="15" x14ac:dyDescent="0.25">
      <c r="C1938" s="1644" t="s">
        <v>13977</v>
      </c>
      <c r="E1938" s="6">
        <v>2</v>
      </c>
      <c r="F1938" t="s">
        <v>15091</v>
      </c>
      <c r="H1938" s="531" t="s">
        <v>2627</v>
      </c>
      <c r="I1938" s="24"/>
    </row>
    <row r="1939" spans="3:9" ht="15" x14ac:dyDescent="0.25">
      <c r="C1939" s="1644" t="s">
        <v>13978</v>
      </c>
      <c r="E1939" s="6"/>
      <c r="F1939" t="s">
        <v>15087</v>
      </c>
      <c r="H1939" s="532" t="s">
        <v>8964</v>
      </c>
      <c r="I1939" s="24"/>
    </row>
    <row r="1940" spans="3:9" ht="15" x14ac:dyDescent="0.25">
      <c r="C1940" s="1644" t="s">
        <v>13979</v>
      </c>
      <c r="E1940" s="6">
        <v>1</v>
      </c>
      <c r="F1940" t="s">
        <v>15119</v>
      </c>
      <c r="H1940" s="531" t="s">
        <v>7794</v>
      </c>
      <c r="I1940" s="24"/>
    </row>
    <row r="1941" spans="3:9" ht="15" x14ac:dyDescent="0.25">
      <c r="C1941" s="1644" t="s">
        <v>13980</v>
      </c>
      <c r="E1941" s="6">
        <v>6</v>
      </c>
      <c r="F1941" t="s">
        <v>15089</v>
      </c>
      <c r="H1941" s="531" t="s">
        <v>5565</v>
      </c>
      <c r="I1941" s="24"/>
    </row>
    <row r="1942" spans="3:9" ht="15" x14ac:dyDescent="0.25">
      <c r="C1942" s="1644" t="s">
        <v>13981</v>
      </c>
      <c r="E1942" s="6"/>
      <c r="F1942" t="s">
        <v>15087</v>
      </c>
      <c r="H1942" s="532" t="s">
        <v>10793</v>
      </c>
      <c r="I1942" s="24"/>
    </row>
    <row r="1943" spans="3:9" ht="15" x14ac:dyDescent="0.25">
      <c r="C1943" s="1644" t="s">
        <v>13982</v>
      </c>
      <c r="E1943" s="6"/>
      <c r="F1943" t="s">
        <v>15087</v>
      </c>
      <c r="H1943" s="585" t="s">
        <v>4806</v>
      </c>
      <c r="I1943" s="24"/>
    </row>
    <row r="1944" spans="3:9" ht="15" x14ac:dyDescent="0.25">
      <c r="C1944" s="1644" t="s">
        <v>13983</v>
      </c>
      <c r="E1944" s="6">
        <v>1</v>
      </c>
      <c r="F1944" t="s">
        <v>15090</v>
      </c>
      <c r="H1944" s="531" t="s">
        <v>11734</v>
      </c>
      <c r="I1944" s="24"/>
    </row>
    <row r="1945" spans="3:9" ht="15" x14ac:dyDescent="0.25">
      <c r="C1945" s="1644" t="s">
        <v>13984</v>
      </c>
      <c r="E1945" s="6"/>
      <c r="F1945" t="s">
        <v>15087</v>
      </c>
      <c r="H1945" s="511" t="s">
        <v>2637</v>
      </c>
      <c r="I1945" s="24"/>
    </row>
    <row r="1946" spans="3:9" ht="15" x14ac:dyDescent="0.25">
      <c r="C1946" s="1644" t="s">
        <v>13985</v>
      </c>
      <c r="E1946" s="6">
        <v>1</v>
      </c>
      <c r="F1946" t="s">
        <v>15090</v>
      </c>
      <c r="H1946" s="15" t="s">
        <v>459</v>
      </c>
      <c r="I1946" s="24"/>
    </row>
    <row r="1947" spans="3:9" ht="15" x14ac:dyDescent="0.25">
      <c r="C1947" s="1644" t="s">
        <v>13986</v>
      </c>
      <c r="E1947" s="6">
        <v>3</v>
      </c>
      <c r="F1947" t="s">
        <v>15090</v>
      </c>
      <c r="H1947" s="415" t="s">
        <v>7851</v>
      </c>
      <c r="I1947" s="24"/>
    </row>
    <row r="1948" spans="3:9" ht="15" x14ac:dyDescent="0.25">
      <c r="C1948" s="1644" t="s">
        <v>13987</v>
      </c>
      <c r="E1948" s="6"/>
      <c r="F1948" t="s">
        <v>15087</v>
      </c>
      <c r="H1948" s="74" t="s">
        <v>5525</v>
      </c>
      <c r="I1948" s="24"/>
    </row>
    <row r="1949" spans="3:9" ht="15" x14ac:dyDescent="0.25">
      <c r="C1949" s="1644" t="s">
        <v>13988</v>
      </c>
      <c r="E1949" s="6"/>
      <c r="F1949" t="s">
        <v>15087</v>
      </c>
      <c r="H1949" s="74" t="s">
        <v>4179</v>
      </c>
      <c r="I1949" s="24"/>
    </row>
    <row r="1950" spans="3:9" ht="15" x14ac:dyDescent="0.25">
      <c r="C1950" s="1644" t="s">
        <v>13989</v>
      </c>
      <c r="E1950" s="6"/>
      <c r="F1950" t="s">
        <v>15087</v>
      </c>
      <c r="H1950" s="415" t="s">
        <v>13085</v>
      </c>
      <c r="I1950" s="24"/>
    </row>
    <row r="1951" spans="3:9" ht="15" x14ac:dyDescent="0.25">
      <c r="C1951" s="1644" t="s">
        <v>13990</v>
      </c>
      <c r="E1951" s="6">
        <v>2</v>
      </c>
      <c r="F1951" t="s">
        <v>15090</v>
      </c>
      <c r="H1951" s="74" t="s">
        <v>1696</v>
      </c>
      <c r="I1951" s="531"/>
    </row>
    <row r="1952" spans="3:9" ht="15" x14ac:dyDescent="0.25">
      <c r="C1952" s="1644" t="s">
        <v>13991</v>
      </c>
      <c r="E1952" s="6"/>
      <c r="F1952" t="s">
        <v>15087</v>
      </c>
      <c r="H1952" s="415" t="s">
        <v>9719</v>
      </c>
      <c r="I1952" s="24"/>
    </row>
    <row r="1953" spans="3:9" ht="15" x14ac:dyDescent="0.25">
      <c r="C1953" s="1644" t="s">
        <v>13992</v>
      </c>
      <c r="E1953" s="6"/>
      <c r="F1953" t="s">
        <v>15087</v>
      </c>
      <c r="H1953" s="568" t="s">
        <v>10519</v>
      </c>
      <c r="I1953" s="24"/>
    </row>
    <row r="1954" spans="3:9" ht="15" x14ac:dyDescent="0.25">
      <c r="C1954" s="1644" t="s">
        <v>13993</v>
      </c>
      <c r="E1954" s="6"/>
      <c r="F1954" t="s">
        <v>15087</v>
      </c>
      <c r="H1954" s="532" t="s">
        <v>12637</v>
      </c>
      <c r="I1954" s="24"/>
    </row>
    <row r="1955" spans="3:9" ht="15" x14ac:dyDescent="0.25">
      <c r="C1955" s="1644" t="s">
        <v>13994</v>
      </c>
      <c r="E1955" s="6"/>
      <c r="F1955" t="s">
        <v>15087</v>
      </c>
      <c r="H1955" s="568" t="s">
        <v>11067</v>
      </c>
      <c r="I1955" s="24"/>
    </row>
    <row r="1956" spans="3:9" ht="15" x14ac:dyDescent="0.25">
      <c r="C1956" s="1644" t="s">
        <v>13995</v>
      </c>
      <c r="E1956" s="6"/>
      <c r="F1956" t="s">
        <v>15087</v>
      </c>
      <c r="H1956" s="415" t="s">
        <v>10199</v>
      </c>
      <c r="I1956" s="24"/>
    </row>
    <row r="1957" spans="3:9" ht="15" x14ac:dyDescent="0.25">
      <c r="C1957" s="1644" t="s">
        <v>13996</v>
      </c>
      <c r="E1957" s="6"/>
      <c r="F1957" t="s">
        <v>15087</v>
      </c>
      <c r="H1957" s="532" t="s">
        <v>9309</v>
      </c>
      <c r="I1957" s="24"/>
    </row>
    <row r="1958" spans="3:9" ht="15" x14ac:dyDescent="0.25">
      <c r="C1958" s="1644" t="s">
        <v>13997</v>
      </c>
      <c r="E1958" s="6"/>
      <c r="F1958" t="s">
        <v>15087</v>
      </c>
      <c r="H1958" s="74" t="s">
        <v>5527</v>
      </c>
      <c r="I1958" s="531"/>
    </row>
    <row r="1959" spans="3:9" ht="15" x14ac:dyDescent="0.25">
      <c r="C1959" s="1644" t="s">
        <v>13998</v>
      </c>
      <c r="E1959" s="6">
        <v>21</v>
      </c>
      <c r="F1959" t="s">
        <v>15090</v>
      </c>
      <c r="H1959" s="74" t="s">
        <v>1569</v>
      </c>
      <c r="I1959" s="531"/>
    </row>
    <row r="1960" spans="3:9" ht="15" x14ac:dyDescent="0.25">
      <c r="C1960" s="1644" t="s">
        <v>13999</v>
      </c>
      <c r="E1960" s="6"/>
      <c r="F1960" t="s">
        <v>15087</v>
      </c>
      <c r="H1960" s="74" t="s">
        <v>4500</v>
      </c>
      <c r="I1960" s="585"/>
    </row>
    <row r="1961" spans="3:9" ht="15" x14ac:dyDescent="0.25">
      <c r="C1961" s="1644" t="s">
        <v>14000</v>
      </c>
      <c r="E1961" s="6"/>
      <c r="F1961" t="s">
        <v>15087</v>
      </c>
      <c r="H1961" s="74" t="s">
        <v>2792</v>
      </c>
      <c r="I1961" s="24"/>
    </row>
    <row r="1962" spans="3:9" ht="15" x14ac:dyDescent="0.25">
      <c r="C1962" s="1644" t="s">
        <v>14001</v>
      </c>
      <c r="E1962" s="6"/>
      <c r="F1962" t="s">
        <v>15087</v>
      </c>
      <c r="H1962" s="532" t="s">
        <v>8009</v>
      </c>
      <c r="I1962" s="24"/>
    </row>
    <row r="1963" spans="3:9" ht="15" x14ac:dyDescent="0.25">
      <c r="C1963" s="1644" t="s">
        <v>14002</v>
      </c>
      <c r="E1963" s="6">
        <v>1</v>
      </c>
      <c r="F1963" t="s">
        <v>15131</v>
      </c>
      <c r="H1963" s="74" t="s">
        <v>5846</v>
      </c>
      <c r="I1963" s="531"/>
    </row>
    <row r="1964" spans="3:9" ht="15" x14ac:dyDescent="0.25">
      <c r="C1964" s="1644" t="s">
        <v>14003</v>
      </c>
      <c r="E1964" s="6"/>
      <c r="F1964" t="s">
        <v>15087</v>
      </c>
      <c r="H1964" s="74" t="s">
        <v>217</v>
      </c>
      <c r="I1964" s="531"/>
    </row>
    <row r="1965" spans="3:9" ht="15" x14ac:dyDescent="0.25">
      <c r="C1965" s="1644" t="s">
        <v>14004</v>
      </c>
      <c r="E1965" s="6">
        <v>2</v>
      </c>
      <c r="F1965" t="s">
        <v>15131</v>
      </c>
      <c r="H1965" s="74" t="s">
        <v>3110</v>
      </c>
      <c r="I1965" s="531"/>
    </row>
    <row r="1966" spans="3:9" ht="15" x14ac:dyDescent="0.25">
      <c r="C1966" s="1644" t="s">
        <v>14005</v>
      </c>
      <c r="E1966" s="6"/>
      <c r="F1966" t="s">
        <v>15087</v>
      </c>
      <c r="H1966" s="74" t="s">
        <v>2532</v>
      </c>
      <c r="I1966" s="531"/>
    </row>
    <row r="1967" spans="3:9" ht="15" x14ac:dyDescent="0.25">
      <c r="C1967" s="1644" t="s">
        <v>14006</v>
      </c>
      <c r="E1967" s="6"/>
      <c r="F1967" t="s">
        <v>15087</v>
      </c>
      <c r="H1967" s="74" t="s">
        <v>4243</v>
      </c>
      <c r="I1967" s="531"/>
    </row>
    <row r="1968" spans="3:9" ht="15" x14ac:dyDescent="0.25">
      <c r="C1968" s="1644" t="s">
        <v>14007</v>
      </c>
      <c r="E1968" s="6"/>
      <c r="F1968" t="s">
        <v>15087</v>
      </c>
      <c r="H1968" s="532" t="s">
        <v>9216</v>
      </c>
      <c r="I1968" s="531"/>
    </row>
    <row r="1969" spans="3:9" ht="15" x14ac:dyDescent="0.25">
      <c r="C1969" s="1644" t="s">
        <v>14008</v>
      </c>
      <c r="E1969" s="6"/>
      <c r="F1969" t="s">
        <v>15087</v>
      </c>
      <c r="H1969" s="74" t="s">
        <v>4452</v>
      </c>
      <c r="I1969" s="531"/>
    </row>
    <row r="1970" spans="3:9" ht="15" x14ac:dyDescent="0.25">
      <c r="C1970" s="1644" t="s">
        <v>14009</v>
      </c>
      <c r="E1970" s="6"/>
      <c r="F1970" t="s">
        <v>15087</v>
      </c>
      <c r="H1970" s="415" t="s">
        <v>10323</v>
      </c>
      <c r="I1970" s="24"/>
    </row>
    <row r="1971" spans="3:9" ht="15" x14ac:dyDescent="0.25">
      <c r="C1971" s="1644" t="s">
        <v>14010</v>
      </c>
      <c r="E1971" s="6"/>
      <c r="F1971" t="s">
        <v>15087</v>
      </c>
      <c r="H1971" s="74" t="s">
        <v>5987</v>
      </c>
      <c r="I1971" s="24"/>
    </row>
    <row r="1972" spans="3:9" ht="15" x14ac:dyDescent="0.25">
      <c r="C1972" s="1644" t="s">
        <v>14011</v>
      </c>
      <c r="E1972" s="6"/>
      <c r="F1972" t="s">
        <v>15087</v>
      </c>
      <c r="H1972" s="568" t="s">
        <v>9615</v>
      </c>
      <c r="I1972" s="531"/>
    </row>
    <row r="1973" spans="3:9" ht="15" x14ac:dyDescent="0.25">
      <c r="C1973" s="1644" t="s">
        <v>14012</v>
      </c>
      <c r="E1973" s="6"/>
      <c r="F1973" t="s">
        <v>15087</v>
      </c>
      <c r="H1973" s="74" t="s">
        <v>203</v>
      </c>
      <c r="I1973" s="24"/>
    </row>
    <row r="1974" spans="3:9" ht="15" x14ac:dyDescent="0.25">
      <c r="C1974" s="1644" t="s">
        <v>14013</v>
      </c>
      <c r="E1974" s="6"/>
      <c r="F1974" t="s">
        <v>15087</v>
      </c>
      <c r="H1974" s="74" t="s">
        <v>2204</v>
      </c>
      <c r="I1974" s="24"/>
    </row>
    <row r="1975" spans="3:9" ht="15" x14ac:dyDescent="0.25">
      <c r="C1975" s="1644" t="s">
        <v>14014</v>
      </c>
      <c r="E1975" s="6"/>
      <c r="F1975" t="s">
        <v>15087</v>
      </c>
      <c r="H1975" s="415" t="s">
        <v>10282</v>
      </c>
      <c r="I1975" s="24"/>
    </row>
    <row r="1976" spans="3:9" ht="15" x14ac:dyDescent="0.25">
      <c r="C1976" s="1644" t="s">
        <v>14015</v>
      </c>
      <c r="E1976" s="6">
        <v>1</v>
      </c>
      <c r="F1976" t="s">
        <v>15099</v>
      </c>
      <c r="H1976" s="74" t="s">
        <v>1503</v>
      </c>
      <c r="I1976" s="531"/>
    </row>
    <row r="1977" spans="3:9" ht="15" x14ac:dyDescent="0.25">
      <c r="C1977" s="1644" t="s">
        <v>14016</v>
      </c>
      <c r="E1977" s="6">
        <v>1</v>
      </c>
      <c r="F1977" t="s">
        <v>15115</v>
      </c>
      <c r="H1977" s="415" t="s">
        <v>9160</v>
      </c>
      <c r="I1977" s="24"/>
    </row>
    <row r="1978" spans="3:9" ht="15" x14ac:dyDescent="0.25">
      <c r="C1978" s="1644" t="s">
        <v>14017</v>
      </c>
      <c r="E1978" s="6"/>
      <c r="F1978" t="s">
        <v>15087</v>
      </c>
      <c r="H1978" s="74" t="s">
        <v>4202</v>
      </c>
      <c r="I1978" s="24"/>
    </row>
    <row r="1979" spans="3:9" ht="15" x14ac:dyDescent="0.25">
      <c r="C1979" s="1644" t="s">
        <v>14018</v>
      </c>
      <c r="E1979" s="6"/>
      <c r="F1979" t="s">
        <v>15087</v>
      </c>
      <c r="H1979" s="415" t="s">
        <v>12216</v>
      </c>
      <c r="I1979" s="24"/>
    </row>
    <row r="1980" spans="3:9" ht="15" x14ac:dyDescent="0.25">
      <c r="C1980" s="1644" t="s">
        <v>14019</v>
      </c>
      <c r="E1980" s="6"/>
      <c r="F1980" t="s">
        <v>15087</v>
      </c>
      <c r="H1980" s="532" t="s">
        <v>11670</v>
      </c>
      <c r="I1980" s="24"/>
    </row>
    <row r="1981" spans="3:9" ht="15" x14ac:dyDescent="0.25">
      <c r="C1981" s="1644" t="s">
        <v>14020</v>
      </c>
      <c r="E1981" s="6"/>
      <c r="F1981" t="s">
        <v>15087</v>
      </c>
      <c r="H1981" s="74" t="s">
        <v>4535</v>
      </c>
      <c r="I1981" s="531"/>
    </row>
    <row r="1982" spans="3:9" ht="15" x14ac:dyDescent="0.25">
      <c r="C1982" s="1644" t="s">
        <v>14021</v>
      </c>
      <c r="E1982" s="6"/>
      <c r="F1982" t="s">
        <v>15087</v>
      </c>
      <c r="H1982" s="74" t="s">
        <v>5652</v>
      </c>
      <c r="I1982" s="183"/>
    </row>
    <row r="1983" spans="3:9" ht="15" x14ac:dyDescent="0.25">
      <c r="C1983" s="1644" t="s">
        <v>14022</v>
      </c>
      <c r="E1983" s="6"/>
      <c r="F1983" t="s">
        <v>15087</v>
      </c>
      <c r="H1983" s="532" t="s">
        <v>2311</v>
      </c>
      <c r="I1983" s="24"/>
    </row>
    <row r="1984" spans="3:9" ht="15" x14ac:dyDescent="0.25">
      <c r="C1984" s="1644" t="s">
        <v>14023</v>
      </c>
      <c r="E1984" s="6"/>
      <c r="F1984" t="s">
        <v>15087</v>
      </c>
      <c r="H1984" s="532" t="s">
        <v>8704</v>
      </c>
      <c r="I1984" s="24"/>
    </row>
    <row r="1985" spans="3:9" ht="15" x14ac:dyDescent="0.25">
      <c r="C1985" s="1644" t="s">
        <v>14024</v>
      </c>
      <c r="E1985" s="6"/>
      <c r="F1985" t="s">
        <v>15087</v>
      </c>
      <c r="H1985" s="15" t="s">
        <v>1659</v>
      </c>
      <c r="I1985" s="24"/>
    </row>
    <row r="1986" spans="3:9" ht="15" x14ac:dyDescent="0.25">
      <c r="C1986" s="1644" t="s">
        <v>14025</v>
      </c>
      <c r="E1986" s="6"/>
      <c r="F1986" t="s">
        <v>15087</v>
      </c>
      <c r="H1986" s="74" t="s">
        <v>4443</v>
      </c>
      <c r="I1986" s="183"/>
    </row>
    <row r="1987" spans="3:9" ht="15" x14ac:dyDescent="0.25">
      <c r="C1987" s="1644" t="s">
        <v>14026</v>
      </c>
      <c r="E1987" s="6"/>
      <c r="F1987" t="s">
        <v>15087</v>
      </c>
      <c r="H1987" s="415" t="s">
        <v>667</v>
      </c>
      <c r="I1987" s="183"/>
    </row>
    <row r="1988" spans="3:9" ht="15" x14ac:dyDescent="0.25">
      <c r="C1988" s="1644" t="s">
        <v>14027</v>
      </c>
      <c r="E1988" s="6"/>
      <c r="F1988" t="s">
        <v>15087</v>
      </c>
      <c r="H1988" s="415" t="s">
        <v>12698</v>
      </c>
      <c r="I1988" s="947"/>
    </row>
    <row r="1989" spans="3:9" ht="15" x14ac:dyDescent="0.25">
      <c r="C1989" s="1644" t="s">
        <v>14028</v>
      </c>
      <c r="E1989" s="6">
        <v>2</v>
      </c>
      <c r="F1989" t="s">
        <v>15090</v>
      </c>
      <c r="H1989" s="74" t="s">
        <v>1434</v>
      </c>
      <c r="I1989" s="531"/>
    </row>
    <row r="1990" spans="3:9" ht="15" x14ac:dyDescent="0.25">
      <c r="C1990" s="1644" t="s">
        <v>14029</v>
      </c>
      <c r="E1990" s="6"/>
      <c r="F1990" t="s">
        <v>15087</v>
      </c>
      <c r="H1990" s="74" t="s">
        <v>2395</v>
      </c>
      <c r="I1990" s="531"/>
    </row>
    <row r="1991" spans="3:9" ht="15" x14ac:dyDescent="0.25">
      <c r="C1991" s="1644" t="s">
        <v>14030</v>
      </c>
      <c r="E1991" s="6">
        <v>2</v>
      </c>
      <c r="F1991" t="s">
        <v>15090</v>
      </c>
      <c r="H1991" s="74" t="s">
        <v>5624</v>
      </c>
      <c r="I1991" s="24"/>
    </row>
    <row r="1992" spans="3:9" ht="15" x14ac:dyDescent="0.25">
      <c r="C1992" s="1644" t="s">
        <v>14031</v>
      </c>
      <c r="E1992" s="6">
        <v>2</v>
      </c>
      <c r="F1992" t="s">
        <v>15096</v>
      </c>
      <c r="H1992" s="74" t="s">
        <v>1366</v>
      </c>
      <c r="I1992" s="24"/>
    </row>
    <row r="1993" spans="3:9" ht="15" x14ac:dyDescent="0.25">
      <c r="C1993" s="1644" t="s">
        <v>14032</v>
      </c>
      <c r="E1993" s="6"/>
      <c r="F1993" t="s">
        <v>15087</v>
      </c>
      <c r="H1993" s="74" t="s">
        <v>451</v>
      </c>
      <c r="I1993" s="24"/>
    </row>
    <row r="1994" spans="3:9" ht="15" x14ac:dyDescent="0.25">
      <c r="C1994" s="1644" t="s">
        <v>14033</v>
      </c>
      <c r="E1994" s="6"/>
      <c r="F1994" t="s">
        <v>15087</v>
      </c>
      <c r="H1994" s="415" t="s">
        <v>12305</v>
      </c>
      <c r="I1994" s="24"/>
    </row>
    <row r="1995" spans="3:9" ht="15" x14ac:dyDescent="0.25">
      <c r="C1995" s="1644" t="s">
        <v>14034</v>
      </c>
      <c r="E1995" s="6">
        <v>1</v>
      </c>
      <c r="F1995" t="s">
        <v>15090</v>
      </c>
      <c r="H1995" s="74" t="s">
        <v>1554</v>
      </c>
      <c r="I1995" s="24"/>
    </row>
    <row r="1996" spans="3:9" ht="15" x14ac:dyDescent="0.25">
      <c r="C1996" s="1644" t="s">
        <v>14035</v>
      </c>
      <c r="E1996" s="6"/>
      <c r="F1996" t="s">
        <v>15087</v>
      </c>
      <c r="H1996" s="74" t="s">
        <v>5267</v>
      </c>
      <c r="I1996" s="24"/>
    </row>
    <row r="1997" spans="3:9" ht="15" x14ac:dyDescent="0.25">
      <c r="C1997" s="1644" t="s">
        <v>14036</v>
      </c>
      <c r="E1997" s="6">
        <v>4</v>
      </c>
      <c r="F1997" t="s">
        <v>15092</v>
      </c>
      <c r="H1997" s="74" t="s">
        <v>2376</v>
      </c>
    </row>
    <row r="1998" spans="3:9" ht="15" x14ac:dyDescent="0.25">
      <c r="C1998" s="1644" t="s">
        <v>14037</v>
      </c>
      <c r="E1998" s="6"/>
      <c r="F1998" t="s">
        <v>15087</v>
      </c>
      <c r="H1998" s="74" t="s">
        <v>4739</v>
      </c>
    </row>
    <row r="1999" spans="3:9" ht="15" x14ac:dyDescent="0.25">
      <c r="C1999" s="1644" t="s">
        <v>14038</v>
      </c>
      <c r="E1999" s="6"/>
      <c r="F1999" t="s">
        <v>15087</v>
      </c>
      <c r="H1999" s="415" t="s">
        <v>9630</v>
      </c>
    </row>
    <row r="2000" spans="3:9" ht="15" x14ac:dyDescent="0.25">
      <c r="C2000" s="1644" t="s">
        <v>14039</v>
      </c>
      <c r="E2000" s="6"/>
      <c r="F2000" t="s">
        <v>15087</v>
      </c>
      <c r="H2000" s="415" t="s">
        <v>5759</v>
      </c>
    </row>
    <row r="2001" spans="3:8" ht="15" x14ac:dyDescent="0.25">
      <c r="C2001" s="1644" t="s">
        <v>14040</v>
      </c>
      <c r="E2001" s="6"/>
      <c r="F2001" t="s">
        <v>15087</v>
      </c>
      <c r="H2001" s="511" t="s">
        <v>1324</v>
      </c>
    </row>
    <row r="2002" spans="3:8" ht="15" x14ac:dyDescent="0.25">
      <c r="C2002" s="1644" t="s">
        <v>14041</v>
      </c>
      <c r="E2002" s="6">
        <v>1</v>
      </c>
      <c r="F2002" t="s">
        <v>15121</v>
      </c>
      <c r="H2002" s="532" t="s">
        <v>10878</v>
      </c>
    </row>
    <row r="2003" spans="3:8" ht="15" x14ac:dyDescent="0.25">
      <c r="C2003" s="1644" t="s">
        <v>14042</v>
      </c>
      <c r="E2003" s="6">
        <v>6</v>
      </c>
      <c r="F2003" t="s">
        <v>15092</v>
      </c>
      <c r="H2003" s="532" t="s">
        <v>9904</v>
      </c>
    </row>
    <row r="2004" spans="3:8" ht="15" x14ac:dyDescent="0.25">
      <c r="C2004" s="1644" t="s">
        <v>14043</v>
      </c>
      <c r="E2004" s="6"/>
      <c r="F2004" t="s">
        <v>15087</v>
      </c>
      <c r="H2004" s="15" t="s">
        <v>5991</v>
      </c>
    </row>
    <row r="2005" spans="3:8" ht="15" x14ac:dyDescent="0.25">
      <c r="C2005" s="1644" t="s">
        <v>14044</v>
      </c>
      <c r="E2005" s="6">
        <v>3</v>
      </c>
      <c r="F2005" t="s">
        <v>15088</v>
      </c>
      <c r="H2005" s="415" t="s">
        <v>8254</v>
      </c>
    </row>
    <row r="2006" spans="3:8" ht="15" x14ac:dyDescent="0.25">
      <c r="C2006" s="1644" t="s">
        <v>14045</v>
      </c>
      <c r="E2006" s="6">
        <v>138</v>
      </c>
      <c r="F2006" t="s">
        <v>15115</v>
      </c>
      <c r="H2006" s="15" t="s">
        <v>5146</v>
      </c>
    </row>
    <row r="2007" spans="3:8" ht="15" x14ac:dyDescent="0.25">
      <c r="C2007" s="1644" t="s">
        <v>14046</v>
      </c>
      <c r="E2007" s="6"/>
      <c r="F2007" t="s">
        <v>15087</v>
      </c>
      <c r="H2007" s="74" t="s">
        <v>5549</v>
      </c>
    </row>
    <row r="2008" spans="3:8" ht="15" x14ac:dyDescent="0.25">
      <c r="C2008" s="1644" t="s">
        <v>14047</v>
      </c>
      <c r="E2008" s="6">
        <v>744</v>
      </c>
      <c r="F2008" t="s">
        <v>15088</v>
      </c>
      <c r="H2008" s="74" t="s">
        <v>4734</v>
      </c>
    </row>
    <row r="2009" spans="3:8" ht="15" x14ac:dyDescent="0.25">
      <c r="C2009" s="1644" t="s">
        <v>14048</v>
      </c>
      <c r="E2009" s="6">
        <v>81</v>
      </c>
      <c r="F2009" t="s">
        <v>15090</v>
      </c>
      <c r="H2009" s="532" t="s">
        <v>9355</v>
      </c>
    </row>
    <row r="2010" spans="3:8" ht="15" x14ac:dyDescent="0.25">
      <c r="C2010" s="1644" t="s">
        <v>14049</v>
      </c>
      <c r="E2010" s="6">
        <v>21</v>
      </c>
      <c r="F2010" t="s">
        <v>15090</v>
      </c>
      <c r="H2010" s="532" t="s">
        <v>10666</v>
      </c>
    </row>
    <row r="2011" spans="3:8" ht="15" x14ac:dyDescent="0.25">
      <c r="C2011" s="1644" t="s">
        <v>14050</v>
      </c>
      <c r="E2011" s="6"/>
      <c r="F2011" t="s">
        <v>15087</v>
      </c>
      <c r="H2011" s="568" t="s">
        <v>10627</v>
      </c>
    </row>
    <row r="2012" spans="3:8" ht="15" x14ac:dyDescent="0.25">
      <c r="C2012" s="1644" t="s">
        <v>14051</v>
      </c>
      <c r="E2012" s="6">
        <v>1</v>
      </c>
      <c r="F2012" t="s">
        <v>15090</v>
      </c>
      <c r="H2012" s="15" t="s">
        <v>3382</v>
      </c>
    </row>
    <row r="2013" spans="3:8" ht="15" x14ac:dyDescent="0.25">
      <c r="C2013" s="1644" t="s">
        <v>14052</v>
      </c>
      <c r="E2013" s="6"/>
      <c r="F2013" t="s">
        <v>15087</v>
      </c>
      <c r="H2013" s="74" t="s">
        <v>3532</v>
      </c>
    </row>
    <row r="2014" spans="3:8" ht="15" x14ac:dyDescent="0.25">
      <c r="C2014" s="1644" t="s">
        <v>14053</v>
      </c>
      <c r="E2014" s="6">
        <v>1</v>
      </c>
      <c r="F2014" t="s">
        <v>15090</v>
      </c>
      <c r="H2014" s="511" t="s">
        <v>1780</v>
      </c>
    </row>
    <row r="2015" spans="3:8" ht="15" x14ac:dyDescent="0.25">
      <c r="C2015" s="1644" t="s">
        <v>14054</v>
      </c>
      <c r="E2015" s="6">
        <v>1</v>
      </c>
      <c r="F2015" t="s">
        <v>15103</v>
      </c>
      <c r="H2015" s="532" t="s">
        <v>12244</v>
      </c>
    </row>
    <row r="2016" spans="3:8" ht="15" x14ac:dyDescent="0.25">
      <c r="C2016" s="1644" t="s">
        <v>14055</v>
      </c>
      <c r="E2016" s="6"/>
      <c r="F2016" t="s">
        <v>15087</v>
      </c>
      <c r="H2016" s="532" t="s">
        <v>11851</v>
      </c>
    </row>
    <row r="2017" spans="3:8" ht="15" x14ac:dyDescent="0.25">
      <c r="C2017" s="1644" t="s">
        <v>14056</v>
      </c>
      <c r="E2017" s="6"/>
      <c r="F2017" t="s">
        <v>15087</v>
      </c>
      <c r="H2017" s="511" t="s">
        <v>3728</v>
      </c>
    </row>
    <row r="2018" spans="3:8" ht="15" x14ac:dyDescent="0.25">
      <c r="C2018" s="1644" t="s">
        <v>14057</v>
      </c>
      <c r="E2018" s="6"/>
      <c r="F2018" t="s">
        <v>15087</v>
      </c>
      <c r="H2018" s="532" t="s">
        <v>10479</v>
      </c>
    </row>
    <row r="2019" spans="3:8" ht="15" x14ac:dyDescent="0.25">
      <c r="C2019" s="1644" t="s">
        <v>14058</v>
      </c>
      <c r="E2019" s="6"/>
      <c r="F2019" t="s">
        <v>15087</v>
      </c>
      <c r="H2019" s="532" t="s">
        <v>7937</v>
      </c>
    </row>
    <row r="2020" spans="3:8" ht="15" x14ac:dyDescent="0.25">
      <c r="C2020" s="1644" t="s">
        <v>14059</v>
      </c>
      <c r="E2020" s="6">
        <v>1</v>
      </c>
      <c r="F2020" t="s">
        <v>15117</v>
      </c>
      <c r="H2020" s="532" t="s">
        <v>8334</v>
      </c>
    </row>
    <row r="2021" spans="3:8" ht="15" x14ac:dyDescent="0.25">
      <c r="C2021" s="1644" t="s">
        <v>14060</v>
      </c>
      <c r="E2021" s="6"/>
      <c r="F2021" t="s">
        <v>15087</v>
      </c>
      <c r="H2021" s="74" t="s">
        <v>5332</v>
      </c>
    </row>
    <row r="2022" spans="3:8" ht="15" x14ac:dyDescent="0.25">
      <c r="C2022" s="1644" t="s">
        <v>14061</v>
      </c>
      <c r="E2022" s="6">
        <v>1</v>
      </c>
      <c r="F2022" t="s">
        <v>15090</v>
      </c>
      <c r="H2022" s="415" t="s">
        <v>9816</v>
      </c>
    </row>
    <row r="2023" spans="3:8" ht="15" x14ac:dyDescent="0.25">
      <c r="C2023" s="1644" t="s">
        <v>14062</v>
      </c>
      <c r="E2023" s="6">
        <v>11</v>
      </c>
      <c r="F2023" t="s">
        <v>15090</v>
      </c>
      <c r="H2023" s="532" t="s">
        <v>10775</v>
      </c>
    </row>
    <row r="2024" spans="3:8" ht="15" x14ac:dyDescent="0.25">
      <c r="C2024" s="1644" t="s">
        <v>14063</v>
      </c>
      <c r="E2024" s="6">
        <v>2</v>
      </c>
      <c r="F2024" t="s">
        <v>15096</v>
      </c>
      <c r="H2024" s="415" t="s">
        <v>7932</v>
      </c>
    </row>
    <row r="2025" spans="3:8" ht="15" x14ac:dyDescent="0.25">
      <c r="C2025" s="1644" t="s">
        <v>14064</v>
      </c>
      <c r="E2025" s="6">
        <v>40</v>
      </c>
      <c r="F2025" t="s">
        <v>15133</v>
      </c>
      <c r="H2025" s="74" t="s">
        <v>2840</v>
      </c>
    </row>
    <row r="2026" spans="3:8" ht="15" x14ac:dyDescent="0.25">
      <c r="C2026" s="1644" t="s">
        <v>14065</v>
      </c>
      <c r="E2026" s="6">
        <v>2</v>
      </c>
      <c r="F2026" t="s">
        <v>15090</v>
      </c>
      <c r="H2026" s="415" t="s">
        <v>4501</v>
      </c>
    </row>
    <row r="2027" spans="3:8" ht="15" x14ac:dyDescent="0.25">
      <c r="C2027" s="1644" t="s">
        <v>14066</v>
      </c>
      <c r="E2027" s="6"/>
      <c r="F2027" t="s">
        <v>15087</v>
      </c>
      <c r="H2027" s="532" t="s">
        <v>8260</v>
      </c>
    </row>
    <row r="2028" spans="3:8" ht="15" x14ac:dyDescent="0.25">
      <c r="C2028" s="1644" t="s">
        <v>14067</v>
      </c>
      <c r="E2028" s="6">
        <v>3</v>
      </c>
      <c r="F2028" t="s">
        <v>15090</v>
      </c>
      <c r="H2028" s="74" t="s">
        <v>472</v>
      </c>
    </row>
    <row r="2029" spans="3:8" ht="15" x14ac:dyDescent="0.25">
      <c r="C2029" s="1644" t="s">
        <v>14068</v>
      </c>
      <c r="E2029" s="6"/>
      <c r="F2029" t="s">
        <v>15087</v>
      </c>
      <c r="H2029" s="74" t="s">
        <v>4451</v>
      </c>
    </row>
    <row r="2030" spans="3:8" ht="15" x14ac:dyDescent="0.25">
      <c r="C2030" s="1644" t="s">
        <v>14069</v>
      </c>
      <c r="E2030" s="6"/>
      <c r="F2030" t="s">
        <v>15087</v>
      </c>
      <c r="H2030" s="74" t="s">
        <v>1187</v>
      </c>
    </row>
    <row r="2031" spans="3:8" ht="15" x14ac:dyDescent="0.25">
      <c r="C2031" s="1644" t="s">
        <v>14070</v>
      </c>
      <c r="E2031" s="6">
        <v>25</v>
      </c>
      <c r="F2031" t="s">
        <v>15089</v>
      </c>
      <c r="H2031" s="74" t="s">
        <v>1939</v>
      </c>
    </row>
    <row r="2032" spans="3:8" ht="15" x14ac:dyDescent="0.25">
      <c r="C2032" s="1644" t="s">
        <v>14071</v>
      </c>
      <c r="E2032" s="6">
        <v>155</v>
      </c>
      <c r="F2032" t="s">
        <v>15120</v>
      </c>
      <c r="H2032" s="532" t="s">
        <v>9218</v>
      </c>
    </row>
    <row r="2033" spans="3:8" ht="15" x14ac:dyDescent="0.25">
      <c r="C2033" s="1644" t="s">
        <v>14072</v>
      </c>
      <c r="E2033" s="6">
        <v>3</v>
      </c>
      <c r="F2033" t="s">
        <v>15096</v>
      </c>
      <c r="H2033" s="74" t="s">
        <v>5198</v>
      </c>
    </row>
    <row r="2034" spans="3:8" ht="15" x14ac:dyDescent="0.25">
      <c r="C2034" s="1644" t="s">
        <v>14073</v>
      </c>
      <c r="E2034" s="6"/>
      <c r="F2034" t="s">
        <v>15087</v>
      </c>
      <c r="H2034" s="74" t="s">
        <v>5087</v>
      </c>
    </row>
    <row r="2035" spans="3:8" ht="15" x14ac:dyDescent="0.25">
      <c r="C2035" s="1644" t="s">
        <v>14074</v>
      </c>
      <c r="E2035" s="6"/>
      <c r="F2035" t="s">
        <v>15087</v>
      </c>
      <c r="H2035" s="74" t="s">
        <v>5964</v>
      </c>
    </row>
    <row r="2036" spans="3:8" ht="15" x14ac:dyDescent="0.25">
      <c r="C2036" s="1644" t="s">
        <v>14075</v>
      </c>
      <c r="E2036" s="6">
        <v>2</v>
      </c>
      <c r="F2036" t="s">
        <v>15089</v>
      </c>
      <c r="H2036" s="74" t="s">
        <v>1417</v>
      </c>
    </row>
    <row r="2037" spans="3:8" ht="15" x14ac:dyDescent="0.25">
      <c r="C2037" s="1644" t="s">
        <v>14076</v>
      </c>
      <c r="E2037" s="6"/>
      <c r="F2037" t="s">
        <v>15087</v>
      </c>
      <c r="H2037" s="74" t="s">
        <v>1214</v>
      </c>
    </row>
    <row r="2038" spans="3:8" ht="15" x14ac:dyDescent="0.25">
      <c r="C2038" s="1644" t="s">
        <v>14077</v>
      </c>
      <c r="E2038" s="6"/>
      <c r="F2038" t="s">
        <v>15087</v>
      </c>
      <c r="H2038" s="415" t="s">
        <v>11276</v>
      </c>
    </row>
    <row r="2039" spans="3:8" ht="15" x14ac:dyDescent="0.25">
      <c r="C2039" s="1644" t="s">
        <v>14078</v>
      </c>
      <c r="E2039" s="6">
        <v>7</v>
      </c>
      <c r="F2039" t="s">
        <v>15090</v>
      </c>
      <c r="H2039" s="74" t="s">
        <v>1002</v>
      </c>
    </row>
    <row r="2040" spans="3:8" ht="15" x14ac:dyDescent="0.25">
      <c r="C2040" s="1644" t="s">
        <v>14079</v>
      </c>
      <c r="E2040" s="6">
        <v>4</v>
      </c>
      <c r="F2040" t="s">
        <v>15134</v>
      </c>
      <c r="H2040" s="532" t="s">
        <v>2674</v>
      </c>
    </row>
    <row r="2041" spans="3:8" ht="15" x14ac:dyDescent="0.25">
      <c r="C2041" s="1644" t="s">
        <v>14080</v>
      </c>
      <c r="E2041" s="6"/>
      <c r="F2041" t="s">
        <v>15087</v>
      </c>
      <c r="H2041" s="532" t="s">
        <v>4368</v>
      </c>
    </row>
    <row r="2042" spans="3:8" ht="15" x14ac:dyDescent="0.25">
      <c r="C2042" s="1644" t="s">
        <v>14081</v>
      </c>
      <c r="E2042" s="6">
        <v>6</v>
      </c>
      <c r="F2042" t="s">
        <v>15090</v>
      </c>
      <c r="H2042" s="74" t="s">
        <v>5653</v>
      </c>
    </row>
    <row r="2043" spans="3:8" ht="15" x14ac:dyDescent="0.25">
      <c r="C2043" s="1644" t="s">
        <v>14082</v>
      </c>
      <c r="E2043" s="6"/>
      <c r="F2043" t="s">
        <v>15087</v>
      </c>
      <c r="H2043" s="74" t="s">
        <v>4263</v>
      </c>
    </row>
    <row r="2044" spans="3:8" ht="15" x14ac:dyDescent="0.25">
      <c r="C2044" s="1644" t="s">
        <v>14083</v>
      </c>
      <c r="E2044" s="6"/>
      <c r="F2044" t="s">
        <v>15087</v>
      </c>
      <c r="H2044" s="15" t="s">
        <v>1057</v>
      </c>
    </row>
    <row r="2045" spans="3:8" ht="15" x14ac:dyDescent="0.25">
      <c r="C2045" s="1644" t="s">
        <v>14084</v>
      </c>
      <c r="E2045" s="6"/>
      <c r="F2045" t="s">
        <v>15087</v>
      </c>
      <c r="H2045" s="74" t="s">
        <v>668</v>
      </c>
    </row>
    <row r="2046" spans="3:8" ht="15" x14ac:dyDescent="0.25">
      <c r="C2046" s="1644" t="s">
        <v>14085</v>
      </c>
      <c r="E2046" s="6"/>
      <c r="F2046" t="s">
        <v>15087</v>
      </c>
      <c r="H2046" s="415" t="s">
        <v>9272</v>
      </c>
    </row>
    <row r="2047" spans="3:8" ht="15" x14ac:dyDescent="0.25">
      <c r="C2047" s="1644" t="s">
        <v>14086</v>
      </c>
      <c r="E2047" s="6">
        <v>111</v>
      </c>
      <c r="F2047" t="s">
        <v>15104</v>
      </c>
      <c r="H2047" s="415" t="s">
        <v>11869</v>
      </c>
    </row>
    <row r="2048" spans="3:8" ht="15" x14ac:dyDescent="0.25">
      <c r="C2048" s="1644" t="s">
        <v>14087</v>
      </c>
      <c r="E2048" s="6"/>
      <c r="F2048" t="s">
        <v>15087</v>
      </c>
    </row>
    <row r="2049" spans="3:6" ht="15" x14ac:dyDescent="0.25">
      <c r="C2049" s="1644" t="s">
        <v>14088</v>
      </c>
      <c r="E2049" s="6"/>
      <c r="F2049" t="s">
        <v>15087</v>
      </c>
    </row>
    <row r="2050" spans="3:6" ht="15" x14ac:dyDescent="0.25">
      <c r="C2050" s="1644" t="s">
        <v>14089</v>
      </c>
      <c r="E2050" s="6">
        <v>1</v>
      </c>
      <c r="F2050" t="s">
        <v>15111</v>
      </c>
    </row>
    <row r="2051" spans="3:6" ht="15" x14ac:dyDescent="0.25">
      <c r="C2051" s="1644" t="s">
        <v>14090</v>
      </c>
      <c r="E2051" s="6"/>
      <c r="F2051" t="s">
        <v>15087</v>
      </c>
    </row>
    <row r="2052" spans="3:6" ht="15" x14ac:dyDescent="0.25">
      <c r="C2052" s="1644" t="s">
        <v>14091</v>
      </c>
      <c r="E2052" s="6"/>
      <c r="F2052" t="s">
        <v>15087</v>
      </c>
    </row>
    <row r="2053" spans="3:6" ht="15" x14ac:dyDescent="0.25">
      <c r="C2053" s="1644" t="s">
        <v>14092</v>
      </c>
      <c r="E2053" s="6"/>
      <c r="F2053" t="s">
        <v>15087</v>
      </c>
    </row>
    <row r="2054" spans="3:6" ht="15" x14ac:dyDescent="0.25">
      <c r="C2054" s="1644" t="s">
        <v>14093</v>
      </c>
      <c r="E2054" s="6">
        <v>16</v>
      </c>
      <c r="F2054" t="s">
        <v>15110</v>
      </c>
    </row>
    <row r="2055" spans="3:6" ht="15" x14ac:dyDescent="0.25">
      <c r="C2055" s="1644" t="s">
        <v>14094</v>
      </c>
      <c r="E2055" s="6"/>
      <c r="F2055" t="s">
        <v>15087</v>
      </c>
    </row>
    <row r="2056" spans="3:6" ht="15" x14ac:dyDescent="0.25">
      <c r="C2056" s="1644" t="s">
        <v>14095</v>
      </c>
      <c r="E2056" s="6"/>
      <c r="F2056" t="s">
        <v>15087</v>
      </c>
    </row>
    <row r="2057" spans="3:6" ht="15" x14ac:dyDescent="0.25">
      <c r="C2057" s="1644" t="s">
        <v>14096</v>
      </c>
      <c r="E2057" s="6"/>
      <c r="F2057" t="s">
        <v>15087</v>
      </c>
    </row>
    <row r="2058" spans="3:6" ht="15" x14ac:dyDescent="0.25">
      <c r="C2058" s="1644" t="s">
        <v>14097</v>
      </c>
      <c r="E2058" s="6">
        <v>4</v>
      </c>
      <c r="F2058" t="s">
        <v>15106</v>
      </c>
    </row>
    <row r="2059" spans="3:6" ht="15" x14ac:dyDescent="0.25">
      <c r="C2059" s="1644" t="s">
        <v>14098</v>
      </c>
      <c r="E2059" s="6">
        <v>1</v>
      </c>
      <c r="F2059" t="s">
        <v>15100</v>
      </c>
    </row>
    <row r="2060" spans="3:6" ht="15" x14ac:dyDescent="0.25">
      <c r="C2060" s="1644" t="s">
        <v>14099</v>
      </c>
      <c r="E2060" s="6"/>
      <c r="F2060" t="s">
        <v>15087</v>
      </c>
    </row>
    <row r="2061" spans="3:6" ht="15" x14ac:dyDescent="0.25">
      <c r="C2061" s="1644" t="s">
        <v>14100</v>
      </c>
      <c r="E2061" s="6"/>
      <c r="F2061" t="s">
        <v>15087</v>
      </c>
    </row>
    <row r="2062" spans="3:6" ht="15" x14ac:dyDescent="0.25">
      <c r="C2062" s="1644" t="s">
        <v>14101</v>
      </c>
      <c r="E2062" s="6"/>
      <c r="F2062" t="s">
        <v>15087</v>
      </c>
    </row>
    <row r="2063" spans="3:6" ht="15" x14ac:dyDescent="0.25">
      <c r="C2063" s="1644" t="s">
        <v>14102</v>
      </c>
      <c r="E2063" s="6"/>
      <c r="F2063" t="s">
        <v>15087</v>
      </c>
    </row>
    <row r="2064" spans="3:6" ht="15" x14ac:dyDescent="0.25">
      <c r="C2064" s="1644" t="s">
        <v>14103</v>
      </c>
      <c r="E2064" s="6">
        <v>32</v>
      </c>
      <c r="F2064" t="s">
        <v>15106</v>
      </c>
    </row>
    <row r="2065" spans="3:6" ht="15" x14ac:dyDescent="0.25">
      <c r="C2065" s="1644" t="s">
        <v>14104</v>
      </c>
      <c r="E2065" s="6">
        <v>8</v>
      </c>
      <c r="F2065" t="s">
        <v>15090</v>
      </c>
    </row>
    <row r="2066" spans="3:6" ht="15" x14ac:dyDescent="0.25">
      <c r="C2066" s="1644" t="s">
        <v>14105</v>
      </c>
      <c r="E2066" s="6"/>
      <c r="F2066" t="s">
        <v>15087</v>
      </c>
    </row>
    <row r="2067" spans="3:6" ht="15" x14ac:dyDescent="0.25">
      <c r="C2067" s="1644" t="s">
        <v>14106</v>
      </c>
      <c r="E2067" s="6">
        <v>1</v>
      </c>
      <c r="F2067" t="s">
        <v>15090</v>
      </c>
    </row>
    <row r="2068" spans="3:6" ht="15" x14ac:dyDescent="0.25">
      <c r="C2068" s="1644" t="s">
        <v>14107</v>
      </c>
      <c r="E2068" s="6"/>
      <c r="F2068" t="s">
        <v>15087</v>
      </c>
    </row>
    <row r="2069" spans="3:6" ht="15" x14ac:dyDescent="0.25">
      <c r="C2069" s="1644" t="s">
        <v>14108</v>
      </c>
      <c r="E2069" s="6"/>
      <c r="F2069" t="s">
        <v>15087</v>
      </c>
    </row>
    <row r="2070" spans="3:6" ht="15" x14ac:dyDescent="0.25">
      <c r="C2070" s="1644" t="s">
        <v>14109</v>
      </c>
      <c r="E2070" s="6"/>
      <c r="F2070" t="s">
        <v>15087</v>
      </c>
    </row>
    <row r="2071" spans="3:6" ht="15" x14ac:dyDescent="0.25">
      <c r="C2071" s="1644" t="s">
        <v>14110</v>
      </c>
      <c r="E2071" s="6">
        <v>4</v>
      </c>
      <c r="F2071" t="s">
        <v>15092</v>
      </c>
    </row>
    <row r="2072" spans="3:6" ht="15" x14ac:dyDescent="0.25">
      <c r="C2072" s="1644" t="s">
        <v>14111</v>
      </c>
      <c r="E2072" s="6"/>
      <c r="F2072" t="s">
        <v>15087</v>
      </c>
    </row>
    <row r="2073" spans="3:6" ht="15" x14ac:dyDescent="0.25">
      <c r="C2073" s="1644" t="s">
        <v>14112</v>
      </c>
      <c r="E2073" s="6"/>
      <c r="F2073" t="s">
        <v>15087</v>
      </c>
    </row>
    <row r="2074" spans="3:6" ht="15" x14ac:dyDescent="0.25">
      <c r="C2074" s="1644" t="s">
        <v>14113</v>
      </c>
      <c r="E2074" s="6">
        <v>2</v>
      </c>
      <c r="F2074" t="s">
        <v>15131</v>
      </c>
    </row>
    <row r="2075" spans="3:6" ht="15" x14ac:dyDescent="0.25">
      <c r="C2075" s="1644" t="s">
        <v>14114</v>
      </c>
      <c r="E2075" s="6">
        <v>4</v>
      </c>
      <c r="F2075" t="s">
        <v>15092</v>
      </c>
    </row>
    <row r="2076" spans="3:6" ht="15" x14ac:dyDescent="0.25">
      <c r="C2076" s="1644" t="s">
        <v>14115</v>
      </c>
      <c r="E2076" s="6"/>
      <c r="F2076" t="s">
        <v>15087</v>
      </c>
    </row>
    <row r="2077" spans="3:6" ht="15" x14ac:dyDescent="0.25">
      <c r="C2077" s="1644" t="s">
        <v>14116</v>
      </c>
      <c r="E2077" s="6">
        <v>1</v>
      </c>
      <c r="F2077" t="s">
        <v>15092</v>
      </c>
    </row>
    <row r="2078" spans="3:6" ht="15" x14ac:dyDescent="0.25">
      <c r="C2078" s="1644" t="s">
        <v>14117</v>
      </c>
      <c r="E2078" s="6"/>
      <c r="F2078" t="s">
        <v>15087</v>
      </c>
    </row>
    <row r="2079" spans="3:6" ht="15" x14ac:dyDescent="0.25">
      <c r="C2079" s="1644" t="s">
        <v>14118</v>
      </c>
      <c r="E2079" s="6">
        <v>6</v>
      </c>
      <c r="F2079" t="s">
        <v>15135</v>
      </c>
    </row>
    <row r="2080" spans="3:6" ht="15" x14ac:dyDescent="0.25">
      <c r="C2080" s="1644" t="s">
        <v>14119</v>
      </c>
      <c r="E2080" s="6"/>
      <c r="F2080" t="s">
        <v>15087</v>
      </c>
    </row>
    <row r="2081" spans="3:6" ht="15" x14ac:dyDescent="0.25">
      <c r="C2081" s="1644" t="s">
        <v>14120</v>
      </c>
      <c r="E2081" s="6">
        <v>3</v>
      </c>
      <c r="F2081" t="s">
        <v>15131</v>
      </c>
    </row>
    <row r="2082" spans="3:6" ht="15" x14ac:dyDescent="0.25">
      <c r="C2082" s="1644" t="s">
        <v>14121</v>
      </c>
      <c r="E2082" s="6"/>
      <c r="F2082" t="s">
        <v>15087</v>
      </c>
    </row>
    <row r="2083" spans="3:6" ht="15" x14ac:dyDescent="0.25">
      <c r="C2083" s="1644" t="s">
        <v>14122</v>
      </c>
      <c r="E2083" s="6"/>
      <c r="F2083" t="s">
        <v>15087</v>
      </c>
    </row>
    <row r="2084" spans="3:6" ht="15" x14ac:dyDescent="0.25">
      <c r="C2084" s="1644" t="s">
        <v>14123</v>
      </c>
      <c r="E2084" s="6">
        <v>75</v>
      </c>
      <c r="F2084" t="s">
        <v>15102</v>
      </c>
    </row>
    <row r="2085" spans="3:6" ht="15" x14ac:dyDescent="0.25">
      <c r="C2085" s="1644" t="s">
        <v>14124</v>
      </c>
      <c r="E2085" s="6"/>
      <c r="F2085" t="s">
        <v>15087</v>
      </c>
    </row>
    <row r="2086" spans="3:6" ht="15" x14ac:dyDescent="0.25">
      <c r="C2086" s="1644" t="s">
        <v>14125</v>
      </c>
      <c r="E2086" s="6"/>
      <c r="F2086" t="s">
        <v>15087</v>
      </c>
    </row>
    <row r="2087" spans="3:6" ht="15" x14ac:dyDescent="0.25">
      <c r="C2087" s="1644" t="s">
        <v>14126</v>
      </c>
      <c r="E2087" s="6">
        <v>11</v>
      </c>
      <c r="F2087" t="s">
        <v>15090</v>
      </c>
    </row>
    <row r="2088" spans="3:6" ht="15" x14ac:dyDescent="0.25">
      <c r="C2088" s="1644" t="s">
        <v>14127</v>
      </c>
      <c r="E2088" s="6"/>
      <c r="F2088" t="s">
        <v>15087</v>
      </c>
    </row>
    <row r="2089" spans="3:6" ht="15" x14ac:dyDescent="0.25">
      <c r="C2089" s="1644" t="s">
        <v>14128</v>
      </c>
      <c r="E2089" s="6">
        <v>4</v>
      </c>
      <c r="F2089" t="s">
        <v>15105</v>
      </c>
    </row>
    <row r="2090" spans="3:6" ht="15" x14ac:dyDescent="0.25">
      <c r="C2090" s="1644" t="s">
        <v>14129</v>
      </c>
      <c r="E2090" s="6"/>
      <c r="F2090" t="s">
        <v>15087</v>
      </c>
    </row>
    <row r="2091" spans="3:6" ht="15" x14ac:dyDescent="0.25">
      <c r="C2091" s="1644" t="s">
        <v>14130</v>
      </c>
      <c r="E2091" s="6">
        <v>8</v>
      </c>
      <c r="F2091" t="s">
        <v>15090</v>
      </c>
    </row>
    <row r="2092" spans="3:6" ht="15" x14ac:dyDescent="0.25">
      <c r="C2092" s="1644" t="s">
        <v>14131</v>
      </c>
      <c r="E2092" s="6"/>
      <c r="F2092" t="s">
        <v>15087</v>
      </c>
    </row>
    <row r="2093" spans="3:6" ht="15" x14ac:dyDescent="0.25">
      <c r="C2093" s="1644" t="s">
        <v>14132</v>
      </c>
      <c r="E2093" s="6">
        <v>1</v>
      </c>
      <c r="F2093" t="s">
        <v>15100</v>
      </c>
    </row>
    <row r="2094" spans="3:6" ht="15" x14ac:dyDescent="0.25">
      <c r="C2094" s="1644" t="s">
        <v>14133</v>
      </c>
      <c r="E2094" s="6"/>
      <c r="F2094" t="s">
        <v>15087</v>
      </c>
    </row>
    <row r="2095" spans="3:6" ht="15" x14ac:dyDescent="0.25">
      <c r="C2095" s="1644" t="s">
        <v>14134</v>
      </c>
      <c r="E2095" s="6">
        <v>2</v>
      </c>
      <c r="F2095" t="s">
        <v>15136</v>
      </c>
    </row>
    <row r="2096" spans="3:6" ht="15" x14ac:dyDescent="0.25">
      <c r="C2096" s="1644" t="s">
        <v>14135</v>
      </c>
      <c r="E2096" s="6">
        <v>1</v>
      </c>
      <c r="F2096" t="s">
        <v>15094</v>
      </c>
    </row>
    <row r="2097" spans="3:6" ht="15" x14ac:dyDescent="0.25">
      <c r="C2097" s="1644" t="s">
        <v>14136</v>
      </c>
      <c r="E2097" s="6">
        <v>2</v>
      </c>
      <c r="F2097" t="s">
        <v>15090</v>
      </c>
    </row>
    <row r="2098" spans="3:6" ht="15" x14ac:dyDescent="0.25">
      <c r="C2098" s="1644" t="s">
        <v>14137</v>
      </c>
      <c r="E2098" s="6"/>
      <c r="F2098" t="s">
        <v>15087</v>
      </c>
    </row>
    <row r="2099" spans="3:6" ht="15" x14ac:dyDescent="0.25">
      <c r="C2099" s="1644" t="s">
        <v>14138</v>
      </c>
      <c r="E2099" s="6">
        <v>1</v>
      </c>
      <c r="F2099" t="s">
        <v>15137</v>
      </c>
    </row>
    <row r="2100" spans="3:6" ht="15" x14ac:dyDescent="0.25">
      <c r="C2100" s="1644" t="s">
        <v>14139</v>
      </c>
      <c r="E2100" s="6"/>
      <c r="F2100" t="s">
        <v>15087</v>
      </c>
    </row>
    <row r="2101" spans="3:6" ht="15" x14ac:dyDescent="0.25">
      <c r="C2101" s="1644" t="s">
        <v>14140</v>
      </c>
      <c r="E2101" s="6"/>
      <c r="F2101" t="s">
        <v>15087</v>
      </c>
    </row>
    <row r="2102" spans="3:6" ht="15" x14ac:dyDescent="0.25">
      <c r="C2102" s="1644" t="s">
        <v>14141</v>
      </c>
      <c r="E2102" s="6"/>
      <c r="F2102" t="s">
        <v>15087</v>
      </c>
    </row>
    <row r="2103" spans="3:6" ht="15" x14ac:dyDescent="0.25">
      <c r="C2103" s="1644" t="s">
        <v>14142</v>
      </c>
      <c r="E2103" s="6"/>
      <c r="F2103" t="s">
        <v>15087</v>
      </c>
    </row>
    <row r="2104" spans="3:6" ht="15" x14ac:dyDescent="0.25">
      <c r="C2104" s="1644" t="s">
        <v>14143</v>
      </c>
      <c r="E2104" s="6"/>
      <c r="F2104" t="s">
        <v>15087</v>
      </c>
    </row>
    <row r="2105" spans="3:6" ht="15" x14ac:dyDescent="0.25">
      <c r="C2105" s="1644" t="s">
        <v>14144</v>
      </c>
      <c r="E2105" s="6"/>
      <c r="F2105" t="s">
        <v>15087</v>
      </c>
    </row>
    <row r="2106" spans="3:6" ht="15" x14ac:dyDescent="0.25">
      <c r="C2106" s="1644" t="s">
        <v>14145</v>
      </c>
      <c r="E2106" s="6"/>
      <c r="F2106" t="s">
        <v>15087</v>
      </c>
    </row>
    <row r="2107" spans="3:6" ht="15" x14ac:dyDescent="0.25">
      <c r="C2107" s="1644" t="s">
        <v>14146</v>
      </c>
      <c r="E2107" s="6">
        <v>2</v>
      </c>
      <c r="F2107" t="s">
        <v>15090</v>
      </c>
    </row>
    <row r="2108" spans="3:6" ht="15" x14ac:dyDescent="0.25">
      <c r="C2108" s="1644" t="s">
        <v>14147</v>
      </c>
      <c r="E2108" s="6"/>
      <c r="F2108" t="s">
        <v>15087</v>
      </c>
    </row>
    <row r="2109" spans="3:6" ht="15" x14ac:dyDescent="0.25">
      <c r="C2109" s="1644" t="s">
        <v>14148</v>
      </c>
      <c r="E2109" s="6">
        <v>1</v>
      </c>
      <c r="F2109" t="s">
        <v>15096</v>
      </c>
    </row>
    <row r="2110" spans="3:6" ht="15" x14ac:dyDescent="0.25">
      <c r="C2110" s="1644" t="s">
        <v>14149</v>
      </c>
      <c r="E2110" s="6"/>
      <c r="F2110" t="s">
        <v>15087</v>
      </c>
    </row>
    <row r="2111" spans="3:6" ht="15" x14ac:dyDescent="0.25">
      <c r="C2111" s="1644" t="s">
        <v>14150</v>
      </c>
      <c r="E2111" s="6"/>
      <c r="F2111" t="s">
        <v>15087</v>
      </c>
    </row>
    <row r="2112" spans="3:6" ht="15" x14ac:dyDescent="0.25">
      <c r="C2112" s="1644" t="s">
        <v>14151</v>
      </c>
      <c r="E2112" s="6"/>
      <c r="F2112" t="s">
        <v>15087</v>
      </c>
    </row>
    <row r="2113" spans="3:6" ht="15" x14ac:dyDescent="0.25">
      <c r="C2113" s="1644" t="s">
        <v>14152</v>
      </c>
      <c r="E2113" s="6">
        <v>2</v>
      </c>
      <c r="F2113" t="s">
        <v>15131</v>
      </c>
    </row>
    <row r="2114" spans="3:6" ht="15" x14ac:dyDescent="0.25">
      <c r="C2114" s="1644" t="s">
        <v>14153</v>
      </c>
      <c r="E2114" s="6"/>
      <c r="F2114" t="s">
        <v>15087</v>
      </c>
    </row>
    <row r="2115" spans="3:6" ht="15" x14ac:dyDescent="0.25">
      <c r="C2115" s="1644" t="s">
        <v>14154</v>
      </c>
      <c r="E2115" s="6"/>
      <c r="F2115" t="s">
        <v>15087</v>
      </c>
    </row>
    <row r="2116" spans="3:6" ht="15" x14ac:dyDescent="0.25">
      <c r="C2116" s="1644" t="s">
        <v>14155</v>
      </c>
      <c r="E2116" s="6">
        <v>1</v>
      </c>
      <c r="F2116" t="s">
        <v>15090</v>
      </c>
    </row>
    <row r="2117" spans="3:6" ht="15" x14ac:dyDescent="0.25">
      <c r="C2117" s="1644" t="s">
        <v>14156</v>
      </c>
      <c r="E2117" s="6">
        <v>14</v>
      </c>
      <c r="F2117" t="s">
        <v>15088</v>
      </c>
    </row>
    <row r="2118" spans="3:6" ht="15" x14ac:dyDescent="0.25">
      <c r="C2118" s="1644" t="s">
        <v>14157</v>
      </c>
      <c r="E2118" s="6">
        <v>2</v>
      </c>
      <c r="F2118" t="s">
        <v>15138</v>
      </c>
    </row>
    <row r="2119" spans="3:6" ht="15" x14ac:dyDescent="0.25">
      <c r="C2119" s="1644" t="s">
        <v>14158</v>
      </c>
      <c r="E2119" s="6"/>
      <c r="F2119" t="s">
        <v>15087</v>
      </c>
    </row>
    <row r="2120" spans="3:6" ht="15" x14ac:dyDescent="0.25">
      <c r="C2120" s="1644" t="s">
        <v>14159</v>
      </c>
      <c r="E2120" s="6"/>
      <c r="F2120" t="s">
        <v>15087</v>
      </c>
    </row>
    <row r="2121" spans="3:6" ht="15" x14ac:dyDescent="0.25">
      <c r="C2121" s="1644" t="s">
        <v>14160</v>
      </c>
      <c r="E2121" s="6"/>
      <c r="F2121" t="s">
        <v>15087</v>
      </c>
    </row>
    <row r="2122" spans="3:6" ht="15" x14ac:dyDescent="0.25">
      <c r="C2122" s="1644" t="s">
        <v>14161</v>
      </c>
      <c r="E2122" s="6"/>
      <c r="F2122" t="s">
        <v>15087</v>
      </c>
    </row>
    <row r="2123" spans="3:6" ht="15" x14ac:dyDescent="0.25">
      <c r="C2123" s="1644" t="s">
        <v>14162</v>
      </c>
      <c r="E2123" s="6"/>
      <c r="F2123" t="s">
        <v>15087</v>
      </c>
    </row>
    <row r="2124" spans="3:6" ht="15" x14ac:dyDescent="0.25">
      <c r="C2124" s="1644" t="s">
        <v>14163</v>
      </c>
      <c r="E2124" s="6"/>
      <c r="F2124" t="s">
        <v>15087</v>
      </c>
    </row>
    <row r="2125" spans="3:6" ht="15" x14ac:dyDescent="0.25">
      <c r="C2125" s="1644" t="s">
        <v>14164</v>
      </c>
      <c r="E2125" s="6"/>
      <c r="F2125" t="s">
        <v>15087</v>
      </c>
    </row>
    <row r="2126" spans="3:6" ht="15" x14ac:dyDescent="0.25">
      <c r="C2126" s="1644" t="s">
        <v>14165</v>
      </c>
      <c r="E2126" s="6"/>
      <c r="F2126" t="s">
        <v>15087</v>
      </c>
    </row>
    <row r="2127" spans="3:6" ht="15" x14ac:dyDescent="0.25">
      <c r="C2127" s="1644" t="s">
        <v>14166</v>
      </c>
      <c r="E2127" s="6"/>
      <c r="F2127" t="s">
        <v>15087</v>
      </c>
    </row>
    <row r="2128" spans="3:6" ht="15" x14ac:dyDescent="0.25">
      <c r="C2128" s="1644" t="s">
        <v>14167</v>
      </c>
      <c r="E2128" s="6"/>
      <c r="F2128" t="s">
        <v>15087</v>
      </c>
    </row>
    <row r="2129" spans="3:6" ht="15" x14ac:dyDescent="0.25">
      <c r="C2129" s="1644" t="s">
        <v>14168</v>
      </c>
      <c r="E2129" s="6"/>
      <c r="F2129" t="s">
        <v>15087</v>
      </c>
    </row>
    <row r="2130" spans="3:6" ht="15" x14ac:dyDescent="0.25">
      <c r="C2130" s="1644" t="s">
        <v>14169</v>
      </c>
      <c r="E2130" s="6">
        <v>1</v>
      </c>
      <c r="F2130" t="s">
        <v>15119</v>
      </c>
    </row>
    <row r="2131" spans="3:6" ht="15" x14ac:dyDescent="0.25">
      <c r="C2131" s="1644" t="s">
        <v>14170</v>
      </c>
      <c r="E2131" s="6"/>
      <c r="F2131" t="s">
        <v>15087</v>
      </c>
    </row>
    <row r="2132" spans="3:6" ht="15" x14ac:dyDescent="0.25">
      <c r="C2132" s="1644" t="s">
        <v>14171</v>
      </c>
      <c r="E2132" s="6"/>
      <c r="F2132" t="s">
        <v>15087</v>
      </c>
    </row>
    <row r="2133" spans="3:6" ht="15" x14ac:dyDescent="0.25">
      <c r="C2133" s="1644" t="s">
        <v>14172</v>
      </c>
      <c r="E2133" s="6"/>
      <c r="F2133" t="s">
        <v>15087</v>
      </c>
    </row>
    <row r="2134" spans="3:6" ht="15" x14ac:dyDescent="0.25">
      <c r="C2134" s="1644" t="s">
        <v>14173</v>
      </c>
      <c r="E2134" s="6"/>
      <c r="F2134" t="s">
        <v>15087</v>
      </c>
    </row>
    <row r="2135" spans="3:6" ht="15" x14ac:dyDescent="0.25">
      <c r="C2135" s="1644" t="s">
        <v>14174</v>
      </c>
      <c r="E2135" s="6"/>
      <c r="F2135" t="s">
        <v>15087</v>
      </c>
    </row>
    <row r="2136" spans="3:6" ht="15" x14ac:dyDescent="0.25">
      <c r="C2136" s="1644" t="s">
        <v>14175</v>
      </c>
      <c r="E2136" s="6"/>
      <c r="F2136" t="s">
        <v>15087</v>
      </c>
    </row>
    <row r="2137" spans="3:6" ht="15" x14ac:dyDescent="0.25">
      <c r="C2137" s="1644" t="s">
        <v>14176</v>
      </c>
      <c r="E2137" s="6"/>
      <c r="F2137" t="s">
        <v>15087</v>
      </c>
    </row>
    <row r="2138" spans="3:6" ht="15" x14ac:dyDescent="0.25">
      <c r="C2138" s="1644" t="s">
        <v>14177</v>
      </c>
      <c r="E2138" s="6"/>
      <c r="F2138" t="s">
        <v>15087</v>
      </c>
    </row>
    <row r="2139" spans="3:6" ht="15" x14ac:dyDescent="0.25">
      <c r="C2139" s="1644" t="s">
        <v>14178</v>
      </c>
      <c r="E2139" s="6"/>
      <c r="F2139" t="s">
        <v>15087</v>
      </c>
    </row>
    <row r="2140" spans="3:6" ht="15" x14ac:dyDescent="0.25">
      <c r="C2140" s="1644" t="s">
        <v>14179</v>
      </c>
      <c r="E2140" s="6"/>
      <c r="F2140" t="s">
        <v>15087</v>
      </c>
    </row>
    <row r="2141" spans="3:6" ht="15" x14ac:dyDescent="0.25">
      <c r="C2141" s="1644" t="s">
        <v>14180</v>
      </c>
      <c r="E2141" s="6"/>
      <c r="F2141" t="s">
        <v>15087</v>
      </c>
    </row>
    <row r="2142" spans="3:6" ht="15" x14ac:dyDescent="0.25">
      <c r="C2142" s="1644" t="s">
        <v>14181</v>
      </c>
      <c r="E2142" s="6"/>
      <c r="F2142" t="s">
        <v>15087</v>
      </c>
    </row>
    <row r="2143" spans="3:6" ht="15" x14ac:dyDescent="0.25">
      <c r="C2143" s="1644" t="s">
        <v>14182</v>
      </c>
      <c r="E2143" s="6"/>
      <c r="F2143" t="s">
        <v>15087</v>
      </c>
    </row>
    <row r="2144" spans="3:6" ht="15" x14ac:dyDescent="0.25">
      <c r="C2144" s="1644" t="s">
        <v>14183</v>
      </c>
      <c r="E2144" s="6"/>
      <c r="F2144" t="s">
        <v>15087</v>
      </c>
    </row>
    <row r="2145" spans="3:6" ht="15" x14ac:dyDescent="0.25">
      <c r="C2145" s="1644" t="s">
        <v>14184</v>
      </c>
      <c r="E2145" s="6">
        <v>1</v>
      </c>
      <c r="F2145" t="s">
        <v>15130</v>
      </c>
    </row>
    <row r="2146" spans="3:6" ht="15" x14ac:dyDescent="0.25">
      <c r="C2146" s="1644" t="s">
        <v>14185</v>
      </c>
      <c r="E2146" s="6">
        <v>2</v>
      </c>
      <c r="F2146" t="s">
        <v>15089</v>
      </c>
    </row>
    <row r="2147" spans="3:6" ht="15" x14ac:dyDescent="0.25">
      <c r="C2147" s="1644" t="s">
        <v>14186</v>
      </c>
      <c r="E2147" s="6">
        <v>2</v>
      </c>
      <c r="F2147" t="s">
        <v>15094</v>
      </c>
    </row>
    <row r="2148" spans="3:6" ht="15" x14ac:dyDescent="0.25">
      <c r="C2148" s="1644" t="s">
        <v>14187</v>
      </c>
      <c r="E2148" s="6"/>
      <c r="F2148" t="s">
        <v>15087</v>
      </c>
    </row>
    <row r="2149" spans="3:6" ht="15" x14ac:dyDescent="0.25">
      <c r="C2149" s="1644" t="s">
        <v>14188</v>
      </c>
      <c r="E2149" s="6"/>
      <c r="F2149" t="s">
        <v>15087</v>
      </c>
    </row>
    <row r="2150" spans="3:6" ht="15" x14ac:dyDescent="0.25">
      <c r="C2150" s="1644" t="s">
        <v>14189</v>
      </c>
      <c r="E2150" s="6"/>
      <c r="F2150" t="s">
        <v>15087</v>
      </c>
    </row>
    <row r="2151" spans="3:6" ht="15" x14ac:dyDescent="0.25">
      <c r="C2151" s="1644" t="s">
        <v>14190</v>
      </c>
      <c r="E2151" s="6"/>
      <c r="F2151" t="s">
        <v>15087</v>
      </c>
    </row>
    <row r="2152" spans="3:6" ht="15" x14ac:dyDescent="0.25">
      <c r="C2152" s="1644" t="s">
        <v>14191</v>
      </c>
      <c r="E2152" s="6"/>
      <c r="F2152" t="s">
        <v>15087</v>
      </c>
    </row>
    <row r="2153" spans="3:6" ht="15" x14ac:dyDescent="0.25">
      <c r="C2153" s="1644" t="s">
        <v>14192</v>
      </c>
      <c r="E2153" s="6"/>
      <c r="F2153" t="s">
        <v>15087</v>
      </c>
    </row>
    <row r="2154" spans="3:6" ht="15" x14ac:dyDescent="0.25">
      <c r="C2154" s="1644" t="s">
        <v>14193</v>
      </c>
      <c r="E2154" s="6">
        <v>4</v>
      </c>
      <c r="F2154" t="s">
        <v>15139</v>
      </c>
    </row>
    <row r="2155" spans="3:6" ht="15" x14ac:dyDescent="0.25">
      <c r="C2155" s="1644" t="s">
        <v>14194</v>
      </c>
      <c r="E2155" s="6"/>
      <c r="F2155" t="s">
        <v>15087</v>
      </c>
    </row>
    <row r="2156" spans="3:6" ht="15" x14ac:dyDescent="0.25">
      <c r="C2156" s="1644" t="s">
        <v>14195</v>
      </c>
      <c r="E2156" s="6"/>
      <c r="F2156" t="s">
        <v>15087</v>
      </c>
    </row>
    <row r="2157" spans="3:6" ht="15" x14ac:dyDescent="0.25">
      <c r="C2157" s="1644" t="s">
        <v>14196</v>
      </c>
      <c r="E2157" s="6"/>
      <c r="F2157" t="s">
        <v>15087</v>
      </c>
    </row>
    <row r="2158" spans="3:6" ht="15" x14ac:dyDescent="0.25">
      <c r="C2158" s="1644" t="s">
        <v>14197</v>
      </c>
      <c r="E2158" s="6">
        <v>3</v>
      </c>
      <c r="F2158" t="s">
        <v>15090</v>
      </c>
    </row>
    <row r="2159" spans="3:6" ht="15" x14ac:dyDescent="0.25">
      <c r="C2159" s="1644" t="s">
        <v>14198</v>
      </c>
      <c r="E2159" s="6"/>
      <c r="F2159" t="s">
        <v>15087</v>
      </c>
    </row>
    <row r="2160" spans="3:6" ht="15" x14ac:dyDescent="0.25">
      <c r="C2160" s="1644" t="s">
        <v>14199</v>
      </c>
      <c r="E2160" s="6">
        <v>1</v>
      </c>
      <c r="F2160" t="s">
        <v>15096</v>
      </c>
    </row>
    <row r="2161" spans="3:6" ht="15" x14ac:dyDescent="0.25">
      <c r="C2161" s="1644" t="s">
        <v>14200</v>
      </c>
      <c r="E2161" s="6">
        <v>35</v>
      </c>
      <c r="F2161" t="s">
        <v>15139</v>
      </c>
    </row>
    <row r="2162" spans="3:6" ht="15" x14ac:dyDescent="0.25">
      <c r="C2162" s="1644" t="s">
        <v>14201</v>
      </c>
      <c r="E2162" s="6"/>
      <c r="F2162" t="s">
        <v>15087</v>
      </c>
    </row>
    <row r="2163" spans="3:6" ht="15" x14ac:dyDescent="0.25">
      <c r="C2163" s="1644" t="s">
        <v>14202</v>
      </c>
      <c r="E2163" s="6"/>
      <c r="F2163" t="s">
        <v>15087</v>
      </c>
    </row>
    <row r="2164" spans="3:6" ht="15" x14ac:dyDescent="0.25">
      <c r="C2164" s="1644" t="s">
        <v>14203</v>
      </c>
      <c r="E2164" s="6"/>
      <c r="F2164" t="s">
        <v>15087</v>
      </c>
    </row>
    <row r="2165" spans="3:6" ht="15" x14ac:dyDescent="0.25">
      <c r="C2165" s="1644" t="s">
        <v>14204</v>
      </c>
      <c r="E2165" s="6"/>
      <c r="F2165" t="s">
        <v>15087</v>
      </c>
    </row>
    <row r="2166" spans="3:6" ht="15" x14ac:dyDescent="0.25">
      <c r="C2166" s="1644" t="s">
        <v>14205</v>
      </c>
      <c r="E2166" s="6"/>
      <c r="F2166" t="s">
        <v>15087</v>
      </c>
    </row>
    <row r="2167" spans="3:6" ht="15" x14ac:dyDescent="0.25">
      <c r="C2167" s="1644" t="s">
        <v>14206</v>
      </c>
      <c r="E2167" s="6"/>
      <c r="F2167" t="s">
        <v>15087</v>
      </c>
    </row>
    <row r="2168" spans="3:6" ht="15" x14ac:dyDescent="0.25">
      <c r="C2168" s="1644" t="s">
        <v>14207</v>
      </c>
      <c r="E2168" s="6"/>
      <c r="F2168" t="s">
        <v>15087</v>
      </c>
    </row>
    <row r="2169" spans="3:6" ht="15" x14ac:dyDescent="0.25">
      <c r="C2169" s="1644" t="s">
        <v>14208</v>
      </c>
      <c r="E2169" s="6"/>
      <c r="F2169" t="s">
        <v>15087</v>
      </c>
    </row>
    <row r="2170" spans="3:6" ht="15" x14ac:dyDescent="0.25">
      <c r="C2170" s="1644" t="s">
        <v>14209</v>
      </c>
      <c r="E2170" s="6"/>
      <c r="F2170" t="s">
        <v>15087</v>
      </c>
    </row>
    <row r="2171" spans="3:6" ht="15" x14ac:dyDescent="0.25">
      <c r="C2171" s="1644" t="s">
        <v>14210</v>
      </c>
      <c r="E2171" s="6">
        <v>2</v>
      </c>
      <c r="F2171" t="s">
        <v>15091</v>
      </c>
    </row>
    <row r="2172" spans="3:6" ht="15" x14ac:dyDescent="0.25">
      <c r="C2172" s="1644" t="s">
        <v>14211</v>
      </c>
      <c r="E2172" s="6">
        <v>1</v>
      </c>
      <c r="F2172" t="s">
        <v>15096</v>
      </c>
    </row>
    <row r="2173" spans="3:6" ht="15" x14ac:dyDescent="0.25">
      <c r="C2173" s="1644" t="s">
        <v>14212</v>
      </c>
      <c r="E2173" s="6"/>
      <c r="F2173" t="s">
        <v>15087</v>
      </c>
    </row>
    <row r="2174" spans="3:6" ht="15" x14ac:dyDescent="0.25">
      <c r="C2174" s="1644" t="s">
        <v>14213</v>
      </c>
      <c r="E2174" s="6"/>
      <c r="F2174" t="s">
        <v>15087</v>
      </c>
    </row>
    <row r="2175" spans="3:6" ht="15" x14ac:dyDescent="0.25">
      <c r="C2175" s="1644" t="s">
        <v>14214</v>
      </c>
      <c r="E2175" s="6"/>
      <c r="F2175" t="s">
        <v>15087</v>
      </c>
    </row>
    <row r="2176" spans="3:6" ht="15" x14ac:dyDescent="0.25">
      <c r="C2176" s="1644" t="s">
        <v>14215</v>
      </c>
      <c r="E2176" s="6"/>
      <c r="F2176" t="s">
        <v>15087</v>
      </c>
    </row>
    <row r="2177" spans="3:6" ht="15" x14ac:dyDescent="0.25">
      <c r="C2177" s="1644" t="s">
        <v>14216</v>
      </c>
      <c r="E2177" s="6"/>
      <c r="F2177" t="s">
        <v>15087</v>
      </c>
    </row>
    <row r="2178" spans="3:6" ht="15" x14ac:dyDescent="0.25">
      <c r="C2178" s="1644" t="s">
        <v>14217</v>
      </c>
      <c r="E2178" s="6"/>
      <c r="F2178" t="s">
        <v>15087</v>
      </c>
    </row>
    <row r="2179" spans="3:6" ht="15" x14ac:dyDescent="0.25">
      <c r="C2179" s="1644" t="s">
        <v>14218</v>
      </c>
      <c r="E2179" s="6"/>
      <c r="F2179" t="s">
        <v>15087</v>
      </c>
    </row>
    <row r="2180" spans="3:6" ht="15" x14ac:dyDescent="0.25">
      <c r="C2180" s="1644" t="s">
        <v>14219</v>
      </c>
      <c r="E2180" s="6"/>
      <c r="F2180" t="s">
        <v>15087</v>
      </c>
    </row>
    <row r="2181" spans="3:6" ht="15" x14ac:dyDescent="0.25">
      <c r="C2181" s="1644" t="s">
        <v>14220</v>
      </c>
      <c r="E2181" s="6"/>
      <c r="F2181" t="s">
        <v>15087</v>
      </c>
    </row>
    <row r="2182" spans="3:6" ht="15" x14ac:dyDescent="0.25">
      <c r="C2182" s="1644" t="s">
        <v>14221</v>
      </c>
      <c r="E2182" s="6"/>
      <c r="F2182" t="s">
        <v>15087</v>
      </c>
    </row>
    <row r="2183" spans="3:6" ht="15" x14ac:dyDescent="0.25">
      <c r="C2183" s="1644" t="s">
        <v>14222</v>
      </c>
      <c r="E2183" s="6"/>
      <c r="F2183" t="s">
        <v>15087</v>
      </c>
    </row>
    <row r="2184" spans="3:6" ht="15" x14ac:dyDescent="0.25">
      <c r="C2184" s="1644" t="s">
        <v>14223</v>
      </c>
      <c r="E2184" s="6"/>
      <c r="F2184" t="s">
        <v>15087</v>
      </c>
    </row>
    <row r="2185" spans="3:6" ht="15" x14ac:dyDescent="0.25">
      <c r="C2185" s="1644" t="s">
        <v>14224</v>
      </c>
      <c r="E2185" s="6"/>
      <c r="F2185" t="s">
        <v>15087</v>
      </c>
    </row>
    <row r="2186" spans="3:6" ht="15" x14ac:dyDescent="0.25">
      <c r="C2186" s="1644" t="s">
        <v>14225</v>
      </c>
      <c r="E2186" s="6"/>
      <c r="F2186" t="s">
        <v>15087</v>
      </c>
    </row>
    <row r="2187" spans="3:6" ht="15" x14ac:dyDescent="0.25">
      <c r="C2187" s="1644" t="s">
        <v>14226</v>
      </c>
      <c r="E2187" s="6">
        <v>5</v>
      </c>
      <c r="F2187" t="s">
        <v>15106</v>
      </c>
    </row>
    <row r="2188" spans="3:6" ht="15" x14ac:dyDescent="0.25">
      <c r="C2188" s="1644" t="s">
        <v>14227</v>
      </c>
      <c r="E2188" s="6"/>
      <c r="F2188" t="s">
        <v>15087</v>
      </c>
    </row>
    <row r="2189" spans="3:6" ht="15" x14ac:dyDescent="0.25">
      <c r="C2189" s="1644" t="s">
        <v>14228</v>
      </c>
      <c r="E2189" s="6"/>
      <c r="F2189" t="s">
        <v>15087</v>
      </c>
    </row>
    <row r="2190" spans="3:6" ht="15" x14ac:dyDescent="0.25">
      <c r="C2190" s="1644" t="s">
        <v>14229</v>
      </c>
      <c r="E2190" s="6"/>
      <c r="F2190" t="s">
        <v>15087</v>
      </c>
    </row>
    <row r="2191" spans="3:6" ht="15" x14ac:dyDescent="0.25">
      <c r="C2191" s="1644" t="s">
        <v>14230</v>
      </c>
      <c r="E2191" s="6"/>
      <c r="F2191" t="s">
        <v>15087</v>
      </c>
    </row>
    <row r="2192" spans="3:6" ht="15" x14ac:dyDescent="0.25">
      <c r="C2192" s="1644" t="s">
        <v>14231</v>
      </c>
      <c r="E2192" s="6"/>
      <c r="F2192" t="s">
        <v>15087</v>
      </c>
    </row>
    <row r="2193" spans="3:6" ht="15" x14ac:dyDescent="0.25">
      <c r="C2193" s="1644" t="s">
        <v>14232</v>
      </c>
      <c r="E2193" s="6"/>
      <c r="F2193" t="s">
        <v>15087</v>
      </c>
    </row>
    <row r="2194" spans="3:6" ht="15" x14ac:dyDescent="0.25">
      <c r="C2194" s="1644" t="s">
        <v>14233</v>
      </c>
      <c r="E2194" s="6"/>
      <c r="F2194" t="s">
        <v>15087</v>
      </c>
    </row>
    <row r="2195" spans="3:6" ht="15" x14ac:dyDescent="0.25">
      <c r="C2195" s="1644" t="s">
        <v>14234</v>
      </c>
      <c r="E2195" s="6"/>
      <c r="F2195" t="s">
        <v>15087</v>
      </c>
    </row>
    <row r="2196" spans="3:6" ht="15" x14ac:dyDescent="0.25">
      <c r="C2196" s="1644" t="s">
        <v>14235</v>
      </c>
      <c r="E2196" s="6"/>
      <c r="F2196" t="s">
        <v>15087</v>
      </c>
    </row>
    <row r="2197" spans="3:6" ht="15" x14ac:dyDescent="0.25">
      <c r="C2197" s="1644" t="s">
        <v>14236</v>
      </c>
      <c r="E2197" s="6"/>
      <c r="F2197" t="s">
        <v>15087</v>
      </c>
    </row>
    <row r="2198" spans="3:6" ht="15" x14ac:dyDescent="0.25">
      <c r="C2198" s="1644" t="s">
        <v>14237</v>
      </c>
      <c r="E2198" s="6"/>
      <c r="F2198" t="s">
        <v>15087</v>
      </c>
    </row>
    <row r="2199" spans="3:6" ht="15" x14ac:dyDescent="0.25">
      <c r="C2199" s="1644" t="s">
        <v>14238</v>
      </c>
      <c r="E2199" s="6">
        <v>3</v>
      </c>
      <c r="F2199" t="s">
        <v>15090</v>
      </c>
    </row>
    <row r="2200" spans="3:6" ht="15" x14ac:dyDescent="0.25">
      <c r="C2200" s="1644" t="s">
        <v>14239</v>
      </c>
      <c r="E2200" s="6"/>
      <c r="F2200" t="s">
        <v>15087</v>
      </c>
    </row>
    <row r="2201" spans="3:6" ht="15" x14ac:dyDescent="0.25">
      <c r="C2201" s="1644" t="s">
        <v>14240</v>
      </c>
      <c r="E2201" s="6"/>
      <c r="F2201" t="s">
        <v>15087</v>
      </c>
    </row>
    <row r="2202" spans="3:6" ht="15" x14ac:dyDescent="0.25">
      <c r="C2202" s="1644" t="s">
        <v>14241</v>
      </c>
      <c r="E2202" s="6"/>
      <c r="F2202" t="s">
        <v>15087</v>
      </c>
    </row>
    <row r="2203" spans="3:6" ht="15" x14ac:dyDescent="0.25">
      <c r="C2203" s="1644" t="s">
        <v>14242</v>
      </c>
      <c r="E2203" s="6"/>
      <c r="F2203" t="s">
        <v>15087</v>
      </c>
    </row>
    <row r="2204" spans="3:6" ht="15" x14ac:dyDescent="0.25">
      <c r="C2204" s="1644" t="s">
        <v>14243</v>
      </c>
      <c r="E2204" s="6"/>
      <c r="F2204" t="s">
        <v>15087</v>
      </c>
    </row>
    <row r="2205" spans="3:6" ht="15" x14ac:dyDescent="0.25">
      <c r="C2205" s="1644" t="s">
        <v>14244</v>
      </c>
      <c r="E2205" s="6"/>
      <c r="F2205" t="s">
        <v>15087</v>
      </c>
    </row>
    <row r="2206" spans="3:6" ht="15" x14ac:dyDescent="0.25">
      <c r="C2206" s="1644" t="s">
        <v>14245</v>
      </c>
      <c r="E2206" s="6"/>
      <c r="F2206" t="s">
        <v>15087</v>
      </c>
    </row>
    <row r="2207" spans="3:6" ht="15" x14ac:dyDescent="0.25">
      <c r="C2207" s="1644" t="s">
        <v>14246</v>
      </c>
      <c r="E2207" s="6"/>
      <c r="F2207" t="s">
        <v>15087</v>
      </c>
    </row>
    <row r="2208" spans="3:6" ht="15" x14ac:dyDescent="0.25">
      <c r="C2208" s="1644" t="s">
        <v>14247</v>
      </c>
      <c r="E2208" s="6"/>
      <c r="F2208" t="s">
        <v>15087</v>
      </c>
    </row>
    <row r="2209" spans="3:6" ht="15" x14ac:dyDescent="0.25">
      <c r="C2209" s="1644" t="s">
        <v>14248</v>
      </c>
      <c r="E2209" s="6"/>
      <c r="F2209" t="s">
        <v>15087</v>
      </c>
    </row>
    <row r="2210" spans="3:6" ht="15" x14ac:dyDescent="0.25">
      <c r="C2210" s="1644" t="s">
        <v>14249</v>
      </c>
      <c r="E2210" s="6"/>
      <c r="F2210" t="s">
        <v>15087</v>
      </c>
    </row>
    <row r="2211" spans="3:6" ht="15" x14ac:dyDescent="0.25">
      <c r="C2211" s="1644" t="s">
        <v>14250</v>
      </c>
      <c r="E2211" s="6">
        <v>1</v>
      </c>
      <c r="F2211" t="s">
        <v>15115</v>
      </c>
    </row>
    <row r="2212" spans="3:6" ht="15" x14ac:dyDescent="0.25">
      <c r="C2212" s="1644" t="s">
        <v>14251</v>
      </c>
      <c r="E2212" s="6"/>
      <c r="F2212" t="s">
        <v>15087</v>
      </c>
    </row>
    <row r="2213" spans="3:6" ht="15" x14ac:dyDescent="0.25">
      <c r="C2213" s="1644" t="s">
        <v>14252</v>
      </c>
      <c r="E2213" s="6"/>
      <c r="F2213" t="s">
        <v>15087</v>
      </c>
    </row>
    <row r="2214" spans="3:6" ht="15" x14ac:dyDescent="0.25">
      <c r="C2214" s="1644" t="s">
        <v>14253</v>
      </c>
      <c r="E2214" s="6">
        <v>2</v>
      </c>
      <c r="F2214" t="s">
        <v>15122</v>
      </c>
    </row>
    <row r="2215" spans="3:6" ht="15" x14ac:dyDescent="0.25">
      <c r="C2215" s="1644" t="s">
        <v>14254</v>
      </c>
      <c r="E2215" s="6"/>
      <c r="F2215" t="s">
        <v>15087</v>
      </c>
    </row>
    <row r="2216" spans="3:6" ht="15" x14ac:dyDescent="0.25">
      <c r="C2216" s="1644" t="s">
        <v>14255</v>
      </c>
      <c r="E2216" s="6">
        <v>3</v>
      </c>
      <c r="F2216" t="s">
        <v>15090</v>
      </c>
    </row>
    <row r="2217" spans="3:6" ht="15" x14ac:dyDescent="0.25">
      <c r="C2217" s="1644" t="s">
        <v>14256</v>
      </c>
      <c r="E2217" s="6"/>
      <c r="F2217" t="s">
        <v>15087</v>
      </c>
    </row>
    <row r="2218" spans="3:6" ht="15" x14ac:dyDescent="0.25">
      <c r="C2218" s="1644" t="s">
        <v>14257</v>
      </c>
      <c r="E2218" s="6">
        <v>1</v>
      </c>
      <c r="F2218" t="s">
        <v>15140</v>
      </c>
    </row>
    <row r="2219" spans="3:6" ht="15" x14ac:dyDescent="0.25">
      <c r="C2219" s="1644" t="s">
        <v>14258</v>
      </c>
      <c r="E2219" s="6"/>
      <c r="F2219" t="s">
        <v>15087</v>
      </c>
    </row>
    <row r="2220" spans="3:6" ht="15" x14ac:dyDescent="0.25">
      <c r="C2220" s="1644" t="s">
        <v>14259</v>
      </c>
      <c r="E2220" s="6"/>
      <c r="F2220" t="s">
        <v>15087</v>
      </c>
    </row>
    <row r="2221" spans="3:6" ht="15" x14ac:dyDescent="0.25">
      <c r="C2221" s="1644" t="s">
        <v>14260</v>
      </c>
      <c r="E2221" s="6"/>
      <c r="F2221" t="s">
        <v>15087</v>
      </c>
    </row>
    <row r="2222" spans="3:6" ht="15" x14ac:dyDescent="0.25">
      <c r="C2222" s="1644" t="s">
        <v>14261</v>
      </c>
      <c r="E2222" s="6"/>
      <c r="F2222" t="s">
        <v>15087</v>
      </c>
    </row>
    <row r="2223" spans="3:6" ht="15" x14ac:dyDescent="0.25">
      <c r="C2223" s="1644" t="s">
        <v>14262</v>
      </c>
      <c r="E2223" s="6"/>
      <c r="F2223" t="s">
        <v>15087</v>
      </c>
    </row>
    <row r="2224" spans="3:6" ht="15" x14ac:dyDescent="0.25">
      <c r="C2224" s="1644" t="s">
        <v>14263</v>
      </c>
      <c r="E2224" s="6">
        <v>7</v>
      </c>
      <c r="F2224" t="s">
        <v>15101</v>
      </c>
    </row>
    <row r="2225" spans="3:6" ht="15" x14ac:dyDescent="0.25">
      <c r="C2225" s="1644" t="s">
        <v>14264</v>
      </c>
      <c r="E2225" s="6"/>
      <c r="F2225" t="s">
        <v>15087</v>
      </c>
    </row>
    <row r="2226" spans="3:6" ht="15" x14ac:dyDescent="0.25">
      <c r="C2226" s="1644" t="s">
        <v>14265</v>
      </c>
      <c r="E2226" s="6">
        <v>4</v>
      </c>
      <c r="F2226" t="s">
        <v>15090</v>
      </c>
    </row>
    <row r="2227" spans="3:6" ht="15" x14ac:dyDescent="0.25">
      <c r="C2227" s="1644" t="s">
        <v>14266</v>
      </c>
      <c r="E2227" s="6"/>
      <c r="F2227" t="s">
        <v>15087</v>
      </c>
    </row>
    <row r="2228" spans="3:6" ht="15" x14ac:dyDescent="0.25">
      <c r="C2228" s="1644" t="s">
        <v>14267</v>
      </c>
      <c r="E2228" s="6"/>
      <c r="F2228" t="s">
        <v>15087</v>
      </c>
    </row>
    <row r="2229" spans="3:6" ht="15" x14ac:dyDescent="0.25">
      <c r="C2229" s="1644" t="s">
        <v>14268</v>
      </c>
      <c r="E2229" s="6">
        <v>26</v>
      </c>
      <c r="F2229" t="s">
        <v>15090</v>
      </c>
    </row>
    <row r="2230" spans="3:6" ht="15" x14ac:dyDescent="0.25">
      <c r="C2230" s="1644" t="s">
        <v>14269</v>
      </c>
      <c r="E2230" s="6"/>
      <c r="F2230" t="s">
        <v>15087</v>
      </c>
    </row>
    <row r="2231" spans="3:6" ht="15" x14ac:dyDescent="0.25">
      <c r="C2231" s="1644" t="s">
        <v>14270</v>
      </c>
      <c r="E2231" s="6">
        <v>2</v>
      </c>
      <c r="F2231" t="s">
        <v>15090</v>
      </c>
    </row>
    <row r="2232" spans="3:6" ht="15" x14ac:dyDescent="0.25">
      <c r="C2232" s="1644" t="s">
        <v>14271</v>
      </c>
      <c r="E2232" s="6"/>
      <c r="F2232" t="s">
        <v>15087</v>
      </c>
    </row>
    <row r="2233" spans="3:6" ht="15" x14ac:dyDescent="0.25">
      <c r="C2233" s="1644" t="s">
        <v>14272</v>
      </c>
      <c r="E2233" s="6">
        <v>1</v>
      </c>
      <c r="F2233" t="s">
        <v>15090</v>
      </c>
    </row>
    <row r="2234" spans="3:6" ht="15" x14ac:dyDescent="0.25">
      <c r="C2234" s="1644" t="s">
        <v>14273</v>
      </c>
      <c r="E2234" s="6"/>
      <c r="F2234" t="s">
        <v>15087</v>
      </c>
    </row>
    <row r="2235" spans="3:6" ht="15" x14ac:dyDescent="0.25">
      <c r="C2235" s="1644" t="s">
        <v>14274</v>
      </c>
      <c r="E2235" s="6"/>
      <c r="F2235" t="s">
        <v>15087</v>
      </c>
    </row>
    <row r="2236" spans="3:6" ht="15" x14ac:dyDescent="0.25">
      <c r="C2236" s="1644" t="s">
        <v>14275</v>
      </c>
      <c r="E2236" s="6">
        <v>1</v>
      </c>
      <c r="F2236" t="s">
        <v>15090</v>
      </c>
    </row>
    <row r="2237" spans="3:6" ht="15" x14ac:dyDescent="0.25">
      <c r="C2237" s="1644" t="s">
        <v>14276</v>
      </c>
      <c r="E2237" s="6"/>
      <c r="F2237" t="s">
        <v>15087</v>
      </c>
    </row>
    <row r="2238" spans="3:6" ht="15" x14ac:dyDescent="0.25">
      <c r="C2238" s="1644" t="s">
        <v>14277</v>
      </c>
      <c r="E2238" s="6"/>
      <c r="F2238" t="s">
        <v>15087</v>
      </c>
    </row>
    <row r="2239" spans="3:6" ht="15" x14ac:dyDescent="0.25">
      <c r="C2239" s="1644" t="s">
        <v>14278</v>
      </c>
      <c r="E2239" s="6">
        <v>1</v>
      </c>
      <c r="F2239" t="s">
        <v>15141</v>
      </c>
    </row>
    <row r="2240" spans="3:6" ht="15" x14ac:dyDescent="0.25">
      <c r="C2240" s="1644" t="s">
        <v>14279</v>
      </c>
      <c r="E2240" s="6">
        <v>4</v>
      </c>
      <c r="F2240" t="s">
        <v>15090</v>
      </c>
    </row>
    <row r="2241" spans="3:6" ht="15" x14ac:dyDescent="0.25">
      <c r="C2241" s="1644" t="s">
        <v>14280</v>
      </c>
      <c r="E2241" s="6"/>
      <c r="F2241" t="s">
        <v>15087</v>
      </c>
    </row>
    <row r="2242" spans="3:6" ht="15" x14ac:dyDescent="0.25">
      <c r="C2242" s="1644" t="s">
        <v>14281</v>
      </c>
      <c r="E2242" s="6"/>
      <c r="F2242" t="s">
        <v>15087</v>
      </c>
    </row>
    <row r="2243" spans="3:6" ht="15" x14ac:dyDescent="0.25">
      <c r="C2243" s="1644" t="s">
        <v>14282</v>
      </c>
      <c r="E2243" s="6"/>
      <c r="F2243" t="s">
        <v>15087</v>
      </c>
    </row>
    <row r="2244" spans="3:6" ht="15" x14ac:dyDescent="0.25">
      <c r="C2244" s="1644" t="s">
        <v>14283</v>
      </c>
      <c r="E2244" s="6"/>
      <c r="F2244" t="s">
        <v>15087</v>
      </c>
    </row>
    <row r="2245" spans="3:6" ht="15" x14ac:dyDescent="0.25">
      <c r="C2245" s="1644" t="s">
        <v>14284</v>
      </c>
      <c r="E2245" s="6"/>
      <c r="F2245" t="s">
        <v>15087</v>
      </c>
    </row>
    <row r="2246" spans="3:6" ht="15" x14ac:dyDescent="0.25">
      <c r="C2246" s="1644" t="s">
        <v>14285</v>
      </c>
      <c r="E2246" s="6"/>
      <c r="F2246" t="s">
        <v>15087</v>
      </c>
    </row>
    <row r="2247" spans="3:6" ht="15" x14ac:dyDescent="0.25">
      <c r="C2247" s="1644" t="s">
        <v>14286</v>
      </c>
      <c r="E2247" s="6">
        <v>2</v>
      </c>
      <c r="F2247" t="s">
        <v>15093</v>
      </c>
    </row>
    <row r="2248" spans="3:6" ht="15" x14ac:dyDescent="0.25">
      <c r="C2248" s="1644" t="s">
        <v>14287</v>
      </c>
      <c r="E2248" s="6"/>
      <c r="F2248" t="s">
        <v>15087</v>
      </c>
    </row>
    <row r="2249" spans="3:6" ht="15" x14ac:dyDescent="0.25">
      <c r="C2249" s="1644" t="s">
        <v>14288</v>
      </c>
      <c r="E2249" s="6">
        <v>3</v>
      </c>
      <c r="F2249" t="s">
        <v>15090</v>
      </c>
    </row>
    <row r="2250" spans="3:6" ht="15" x14ac:dyDescent="0.25">
      <c r="C2250" s="1644" t="s">
        <v>14289</v>
      </c>
      <c r="E2250" s="6"/>
      <c r="F2250" t="s">
        <v>15087</v>
      </c>
    </row>
    <row r="2251" spans="3:6" ht="15" x14ac:dyDescent="0.25">
      <c r="C2251" s="1644" t="s">
        <v>14290</v>
      </c>
      <c r="E2251" s="6"/>
      <c r="F2251" t="s">
        <v>15087</v>
      </c>
    </row>
    <row r="2252" spans="3:6" ht="15" x14ac:dyDescent="0.25">
      <c r="C2252" s="1644" t="s">
        <v>14291</v>
      </c>
      <c r="E2252" s="6">
        <v>6</v>
      </c>
      <c r="F2252" t="s">
        <v>15092</v>
      </c>
    </row>
    <row r="2253" spans="3:6" ht="15" x14ac:dyDescent="0.25">
      <c r="C2253" s="1644" t="s">
        <v>14292</v>
      </c>
      <c r="E2253" s="6">
        <v>1</v>
      </c>
      <c r="F2253" t="s">
        <v>15142</v>
      </c>
    </row>
    <row r="2254" spans="3:6" ht="15" x14ac:dyDescent="0.25">
      <c r="C2254" s="1644" t="s">
        <v>14293</v>
      </c>
      <c r="E2254" s="6"/>
      <c r="F2254" t="s">
        <v>15087</v>
      </c>
    </row>
    <row r="2255" spans="3:6" ht="15" x14ac:dyDescent="0.25">
      <c r="C2255" s="1644" t="s">
        <v>14294</v>
      </c>
      <c r="E2255" s="6"/>
      <c r="F2255" t="s">
        <v>15087</v>
      </c>
    </row>
    <row r="2256" spans="3:6" ht="15" x14ac:dyDescent="0.25">
      <c r="C2256" s="1644" t="s">
        <v>14295</v>
      </c>
      <c r="E2256" s="6"/>
      <c r="F2256" t="s">
        <v>15087</v>
      </c>
    </row>
    <row r="2257" spans="3:6" ht="15" x14ac:dyDescent="0.25">
      <c r="C2257" s="1644" t="s">
        <v>14296</v>
      </c>
      <c r="E2257" s="6"/>
      <c r="F2257" t="s">
        <v>15087</v>
      </c>
    </row>
    <row r="2258" spans="3:6" ht="15" x14ac:dyDescent="0.25">
      <c r="C2258" s="1644" t="s">
        <v>14297</v>
      </c>
      <c r="E2258" s="6"/>
      <c r="F2258" t="s">
        <v>15087</v>
      </c>
    </row>
    <row r="2259" spans="3:6" ht="15" x14ac:dyDescent="0.25">
      <c r="C2259" s="1644" t="s">
        <v>14298</v>
      </c>
      <c r="E2259" s="6"/>
      <c r="F2259" t="s">
        <v>15087</v>
      </c>
    </row>
    <row r="2260" spans="3:6" ht="15" x14ac:dyDescent="0.25">
      <c r="C2260" s="1644" t="s">
        <v>14299</v>
      </c>
      <c r="E2260" s="6"/>
      <c r="F2260" t="s">
        <v>15087</v>
      </c>
    </row>
    <row r="2261" spans="3:6" ht="15" x14ac:dyDescent="0.25">
      <c r="C2261" s="1644" t="s">
        <v>14300</v>
      </c>
      <c r="E2261" s="6">
        <v>1</v>
      </c>
      <c r="F2261" t="s">
        <v>15143</v>
      </c>
    </row>
    <row r="2262" spans="3:6" ht="15" x14ac:dyDescent="0.25">
      <c r="C2262" s="1644" t="s">
        <v>14301</v>
      </c>
      <c r="E2262" s="6">
        <v>3</v>
      </c>
      <c r="F2262" t="s">
        <v>15096</v>
      </c>
    </row>
    <row r="2263" spans="3:6" ht="15" x14ac:dyDescent="0.25">
      <c r="C2263" s="1644" t="s">
        <v>14302</v>
      </c>
      <c r="E2263" s="6"/>
      <c r="F2263" t="s">
        <v>15087</v>
      </c>
    </row>
    <row r="2264" spans="3:6" ht="15" x14ac:dyDescent="0.25">
      <c r="C2264" s="1644" t="s">
        <v>14303</v>
      </c>
      <c r="E2264" s="6">
        <v>1</v>
      </c>
      <c r="F2264" t="s">
        <v>15122</v>
      </c>
    </row>
    <row r="2265" spans="3:6" ht="15" x14ac:dyDescent="0.25">
      <c r="C2265" s="1644" t="s">
        <v>14304</v>
      </c>
      <c r="E2265" s="6"/>
      <c r="F2265" t="s">
        <v>15087</v>
      </c>
    </row>
    <row r="2266" spans="3:6" ht="15" x14ac:dyDescent="0.25">
      <c r="C2266" s="1644" t="s">
        <v>14305</v>
      </c>
      <c r="E2266" s="6"/>
      <c r="F2266" t="s">
        <v>15087</v>
      </c>
    </row>
    <row r="2267" spans="3:6" ht="15" x14ac:dyDescent="0.25">
      <c r="C2267" s="1644" t="s">
        <v>14306</v>
      </c>
      <c r="E2267" s="6"/>
      <c r="F2267" t="s">
        <v>15087</v>
      </c>
    </row>
    <row r="2268" spans="3:6" ht="15" x14ac:dyDescent="0.25">
      <c r="C2268" s="1644" t="s">
        <v>14307</v>
      </c>
      <c r="E2268" s="6"/>
      <c r="F2268" t="s">
        <v>15087</v>
      </c>
    </row>
    <row r="2269" spans="3:6" ht="15" x14ac:dyDescent="0.25">
      <c r="C2269" s="1644" t="s">
        <v>14308</v>
      </c>
      <c r="E2269" s="6"/>
      <c r="F2269" t="s">
        <v>15087</v>
      </c>
    </row>
    <row r="2270" spans="3:6" ht="15" x14ac:dyDescent="0.25">
      <c r="C2270" s="1644" t="s">
        <v>14309</v>
      </c>
      <c r="E2270" s="6"/>
      <c r="F2270" t="s">
        <v>15087</v>
      </c>
    </row>
    <row r="2271" spans="3:6" ht="15" x14ac:dyDescent="0.25">
      <c r="C2271" s="1644" t="s">
        <v>14310</v>
      </c>
      <c r="E2271" s="6">
        <v>2</v>
      </c>
      <c r="F2271" t="s">
        <v>15090</v>
      </c>
    </row>
    <row r="2272" spans="3:6" ht="15" x14ac:dyDescent="0.25">
      <c r="C2272" s="1644" t="s">
        <v>14311</v>
      </c>
      <c r="E2272" s="6"/>
      <c r="F2272" t="s">
        <v>15087</v>
      </c>
    </row>
    <row r="2273" spans="3:6" ht="15" x14ac:dyDescent="0.25">
      <c r="C2273" s="1644" t="s">
        <v>14312</v>
      </c>
      <c r="E2273" s="6"/>
      <c r="F2273" t="s">
        <v>15087</v>
      </c>
    </row>
    <row r="2274" spans="3:6" ht="15" x14ac:dyDescent="0.25">
      <c r="C2274" s="1644" t="s">
        <v>14313</v>
      </c>
      <c r="E2274" s="6"/>
      <c r="F2274" t="s">
        <v>15087</v>
      </c>
    </row>
    <row r="2275" spans="3:6" ht="15" x14ac:dyDescent="0.25">
      <c r="C2275" s="1644" t="s">
        <v>14314</v>
      </c>
      <c r="E2275" s="6"/>
      <c r="F2275" t="s">
        <v>15087</v>
      </c>
    </row>
    <row r="2276" spans="3:6" ht="15" x14ac:dyDescent="0.25">
      <c r="C2276" s="1644" t="s">
        <v>14315</v>
      </c>
      <c r="E2276" s="6">
        <v>2</v>
      </c>
      <c r="F2276" t="s">
        <v>15090</v>
      </c>
    </row>
    <row r="2277" spans="3:6" ht="15" x14ac:dyDescent="0.25">
      <c r="C2277" s="1644" t="s">
        <v>14316</v>
      </c>
      <c r="E2277" s="6"/>
      <c r="F2277" t="s">
        <v>15087</v>
      </c>
    </row>
    <row r="2278" spans="3:6" ht="15" x14ac:dyDescent="0.25">
      <c r="C2278" s="1644" t="s">
        <v>14317</v>
      </c>
      <c r="E2278" s="6">
        <v>3</v>
      </c>
      <c r="F2278" t="s">
        <v>15090</v>
      </c>
    </row>
    <row r="2279" spans="3:6" ht="15" x14ac:dyDescent="0.25">
      <c r="C2279" s="1644" t="s">
        <v>14318</v>
      </c>
      <c r="E2279" s="6"/>
      <c r="F2279" t="s">
        <v>15087</v>
      </c>
    </row>
    <row r="2280" spans="3:6" ht="15" x14ac:dyDescent="0.25">
      <c r="C2280" s="1644" t="s">
        <v>14319</v>
      </c>
      <c r="E2280" s="6">
        <v>3</v>
      </c>
      <c r="F2280" t="s">
        <v>15111</v>
      </c>
    </row>
    <row r="2281" spans="3:6" ht="15" x14ac:dyDescent="0.25">
      <c r="C2281" s="1644" t="s">
        <v>14320</v>
      </c>
      <c r="E2281" s="6">
        <v>2</v>
      </c>
      <c r="F2281" t="s">
        <v>15116</v>
      </c>
    </row>
    <row r="2282" spans="3:6" ht="15" x14ac:dyDescent="0.25">
      <c r="C2282" s="1644" t="s">
        <v>14321</v>
      </c>
      <c r="E2282" s="6"/>
      <c r="F2282" t="s">
        <v>15087</v>
      </c>
    </row>
    <row r="2283" spans="3:6" ht="15" x14ac:dyDescent="0.25">
      <c r="C2283" s="1644" t="s">
        <v>14322</v>
      </c>
      <c r="E2283" s="6">
        <v>1</v>
      </c>
      <c r="F2283" t="s">
        <v>15115</v>
      </c>
    </row>
    <row r="2284" spans="3:6" ht="15" x14ac:dyDescent="0.25">
      <c r="C2284" s="1644" t="s">
        <v>14323</v>
      </c>
      <c r="E2284" s="6"/>
      <c r="F2284" t="s">
        <v>15087</v>
      </c>
    </row>
    <row r="2285" spans="3:6" ht="15" x14ac:dyDescent="0.25">
      <c r="C2285" s="1644" t="s">
        <v>14324</v>
      </c>
      <c r="E2285" s="6"/>
      <c r="F2285" t="s">
        <v>15087</v>
      </c>
    </row>
    <row r="2286" spans="3:6" ht="15" x14ac:dyDescent="0.25">
      <c r="C2286" s="1644" t="s">
        <v>14325</v>
      </c>
      <c r="E2286" s="6">
        <v>254</v>
      </c>
      <c r="F2286" t="s">
        <v>15106</v>
      </c>
    </row>
    <row r="2287" spans="3:6" ht="15" x14ac:dyDescent="0.25">
      <c r="C2287" s="1644" t="s">
        <v>14326</v>
      </c>
      <c r="E2287" s="6">
        <v>2</v>
      </c>
      <c r="F2287" t="s">
        <v>15095</v>
      </c>
    </row>
    <row r="2288" spans="3:6" ht="15" x14ac:dyDescent="0.25">
      <c r="C2288" s="1644" t="s">
        <v>14327</v>
      </c>
      <c r="E2288" s="6"/>
      <c r="F2288" t="s">
        <v>15087</v>
      </c>
    </row>
    <row r="2289" spans="3:6" ht="15" x14ac:dyDescent="0.25">
      <c r="C2289" s="1644" t="s">
        <v>14328</v>
      </c>
      <c r="E2289" s="6"/>
      <c r="F2289" t="s">
        <v>15087</v>
      </c>
    </row>
    <row r="2290" spans="3:6" ht="15" x14ac:dyDescent="0.25">
      <c r="C2290" s="1644" t="s">
        <v>14329</v>
      </c>
      <c r="E2290" s="6">
        <v>4</v>
      </c>
      <c r="F2290" t="s">
        <v>15090</v>
      </c>
    </row>
    <row r="2291" spans="3:6" ht="15" x14ac:dyDescent="0.25">
      <c r="C2291" s="1644" t="s">
        <v>14330</v>
      </c>
      <c r="E2291" s="6">
        <v>1</v>
      </c>
      <c r="F2291" t="s">
        <v>15090</v>
      </c>
    </row>
    <row r="2292" spans="3:6" ht="15" x14ac:dyDescent="0.25">
      <c r="C2292" s="1644" t="s">
        <v>14331</v>
      </c>
      <c r="E2292" s="6">
        <v>2</v>
      </c>
      <c r="F2292" t="s">
        <v>15090</v>
      </c>
    </row>
    <row r="2293" spans="3:6" ht="15" x14ac:dyDescent="0.25">
      <c r="C2293" s="1644" t="s">
        <v>14332</v>
      </c>
      <c r="E2293" s="6"/>
      <c r="F2293" t="s">
        <v>15087</v>
      </c>
    </row>
    <row r="2294" spans="3:6" ht="15" x14ac:dyDescent="0.25">
      <c r="C2294" s="1644" t="s">
        <v>14333</v>
      </c>
      <c r="E2294" s="6"/>
      <c r="F2294" t="s">
        <v>15087</v>
      </c>
    </row>
    <row r="2295" spans="3:6" ht="15" x14ac:dyDescent="0.25">
      <c r="C2295" s="1644" t="s">
        <v>14334</v>
      </c>
      <c r="E2295" s="6"/>
      <c r="F2295" t="s">
        <v>15087</v>
      </c>
    </row>
    <row r="2296" spans="3:6" ht="15" x14ac:dyDescent="0.25">
      <c r="C2296" s="1644" t="s">
        <v>14335</v>
      </c>
      <c r="E2296" s="6"/>
      <c r="F2296" t="s">
        <v>15087</v>
      </c>
    </row>
    <row r="2297" spans="3:6" ht="15" x14ac:dyDescent="0.25">
      <c r="C2297" s="1644" t="s">
        <v>14336</v>
      </c>
      <c r="E2297" s="6">
        <v>18</v>
      </c>
      <c r="F2297" t="s">
        <v>15093</v>
      </c>
    </row>
    <row r="2298" spans="3:6" ht="15" x14ac:dyDescent="0.25">
      <c r="C2298" s="1644" t="s">
        <v>14337</v>
      </c>
      <c r="E2298" s="6"/>
      <c r="F2298" t="s">
        <v>15087</v>
      </c>
    </row>
    <row r="2299" spans="3:6" ht="15" x14ac:dyDescent="0.25">
      <c r="C2299" s="1644" t="s">
        <v>14338</v>
      </c>
      <c r="E2299" s="6"/>
      <c r="F2299" t="s">
        <v>15087</v>
      </c>
    </row>
    <row r="2300" spans="3:6" ht="15" x14ac:dyDescent="0.25">
      <c r="C2300" s="1644" t="s">
        <v>14339</v>
      </c>
      <c r="E2300" s="6"/>
      <c r="F2300" t="s">
        <v>15087</v>
      </c>
    </row>
    <row r="2301" spans="3:6" ht="15" x14ac:dyDescent="0.25">
      <c r="C2301" s="1644" t="s">
        <v>14340</v>
      </c>
      <c r="E2301" s="6"/>
      <c r="F2301" t="s">
        <v>15087</v>
      </c>
    </row>
    <row r="2302" spans="3:6" ht="15" x14ac:dyDescent="0.25">
      <c r="C2302" s="1644" t="s">
        <v>14341</v>
      </c>
      <c r="E2302" s="6"/>
      <c r="F2302" t="s">
        <v>15087</v>
      </c>
    </row>
    <row r="2303" spans="3:6" ht="15" x14ac:dyDescent="0.25">
      <c r="C2303" s="1644" t="s">
        <v>14342</v>
      </c>
      <c r="E2303" s="6">
        <v>47</v>
      </c>
      <c r="F2303" t="s">
        <v>15090</v>
      </c>
    </row>
    <row r="2304" spans="3:6" ht="15" x14ac:dyDescent="0.25">
      <c r="C2304" s="1644" t="s">
        <v>14343</v>
      </c>
      <c r="E2304" s="6"/>
      <c r="F2304" t="s">
        <v>15087</v>
      </c>
    </row>
    <row r="2305" spans="3:6" ht="15" x14ac:dyDescent="0.25">
      <c r="C2305" s="1644" t="s">
        <v>14344</v>
      </c>
      <c r="E2305" s="6"/>
      <c r="F2305" t="s">
        <v>15087</v>
      </c>
    </row>
    <row r="2306" spans="3:6" ht="15" x14ac:dyDescent="0.25">
      <c r="C2306" s="1644" t="s">
        <v>14345</v>
      </c>
      <c r="E2306" s="6">
        <v>3</v>
      </c>
      <c r="F2306" t="s">
        <v>15090</v>
      </c>
    </row>
    <row r="2307" spans="3:6" ht="15" x14ac:dyDescent="0.25">
      <c r="C2307" s="1644" t="s">
        <v>14346</v>
      </c>
      <c r="E2307" s="6"/>
      <c r="F2307" t="s">
        <v>15087</v>
      </c>
    </row>
    <row r="2308" spans="3:6" ht="15" x14ac:dyDescent="0.25">
      <c r="C2308" s="1644" t="s">
        <v>14347</v>
      </c>
      <c r="E2308" s="6">
        <v>1</v>
      </c>
      <c r="F2308" t="s">
        <v>15094</v>
      </c>
    </row>
    <row r="2309" spans="3:6" ht="15" x14ac:dyDescent="0.25">
      <c r="C2309" s="1644" t="s">
        <v>14348</v>
      </c>
      <c r="E2309" s="6">
        <v>2</v>
      </c>
      <c r="F2309" t="s">
        <v>15090</v>
      </c>
    </row>
    <row r="2310" spans="3:6" ht="15" x14ac:dyDescent="0.25">
      <c r="C2310" s="1644" t="s">
        <v>14349</v>
      </c>
      <c r="E2310" s="6"/>
      <c r="F2310" t="s">
        <v>15087</v>
      </c>
    </row>
    <row r="2311" spans="3:6" ht="15" x14ac:dyDescent="0.25">
      <c r="C2311" s="1644" t="s">
        <v>14350</v>
      </c>
      <c r="E2311" s="6">
        <v>1</v>
      </c>
      <c r="F2311" t="s">
        <v>15120</v>
      </c>
    </row>
    <row r="2312" spans="3:6" ht="15" x14ac:dyDescent="0.25">
      <c r="C2312" s="1644" t="s">
        <v>14351</v>
      </c>
      <c r="E2312" s="6">
        <v>3</v>
      </c>
      <c r="F2312" t="s">
        <v>15125</v>
      </c>
    </row>
    <row r="2313" spans="3:6" ht="15" x14ac:dyDescent="0.25">
      <c r="C2313" s="1644" t="s">
        <v>14352</v>
      </c>
      <c r="E2313" s="6">
        <v>1</v>
      </c>
      <c r="F2313" t="s">
        <v>15100</v>
      </c>
    </row>
    <row r="2314" spans="3:6" ht="15" x14ac:dyDescent="0.25">
      <c r="C2314" s="1644" t="s">
        <v>14353</v>
      </c>
      <c r="E2314" s="6"/>
      <c r="F2314" t="s">
        <v>15087</v>
      </c>
    </row>
    <row r="2315" spans="3:6" ht="15" x14ac:dyDescent="0.25">
      <c r="C2315" s="1644" t="s">
        <v>14354</v>
      </c>
      <c r="E2315" s="6"/>
      <c r="F2315" t="s">
        <v>15087</v>
      </c>
    </row>
    <row r="2316" spans="3:6" ht="15" x14ac:dyDescent="0.25">
      <c r="C2316" s="1644" t="s">
        <v>14355</v>
      </c>
      <c r="E2316" s="6"/>
      <c r="F2316" t="s">
        <v>15087</v>
      </c>
    </row>
    <row r="2317" spans="3:6" ht="15" x14ac:dyDescent="0.25">
      <c r="C2317" s="1644" t="s">
        <v>14356</v>
      </c>
      <c r="E2317" s="6"/>
      <c r="F2317" t="s">
        <v>15087</v>
      </c>
    </row>
    <row r="2318" spans="3:6" ht="15" x14ac:dyDescent="0.25">
      <c r="C2318" s="1644" t="s">
        <v>14357</v>
      </c>
      <c r="E2318" s="6"/>
      <c r="F2318" t="s">
        <v>15087</v>
      </c>
    </row>
    <row r="2319" spans="3:6" ht="15" x14ac:dyDescent="0.25">
      <c r="C2319" s="1644" t="s">
        <v>14358</v>
      </c>
      <c r="E2319" s="6"/>
      <c r="F2319" t="s">
        <v>15087</v>
      </c>
    </row>
    <row r="2320" spans="3:6" ht="15" x14ac:dyDescent="0.25">
      <c r="C2320" s="1644" t="s">
        <v>14359</v>
      </c>
      <c r="E2320" s="6"/>
      <c r="F2320" t="s">
        <v>15087</v>
      </c>
    </row>
    <row r="2321" spans="3:6" ht="15" x14ac:dyDescent="0.25">
      <c r="C2321" s="1644" t="s">
        <v>14360</v>
      </c>
      <c r="E2321" s="6"/>
      <c r="F2321" t="s">
        <v>15087</v>
      </c>
    </row>
    <row r="2322" spans="3:6" ht="15" x14ac:dyDescent="0.25">
      <c r="C2322" s="1644" t="s">
        <v>14361</v>
      </c>
      <c r="E2322" s="6">
        <v>1</v>
      </c>
      <c r="F2322" t="s">
        <v>15119</v>
      </c>
    </row>
    <row r="2323" spans="3:6" ht="15" x14ac:dyDescent="0.25">
      <c r="C2323" s="1644" t="s">
        <v>14362</v>
      </c>
      <c r="E2323" s="6"/>
      <c r="F2323" t="s">
        <v>15087</v>
      </c>
    </row>
    <row r="2324" spans="3:6" ht="15" x14ac:dyDescent="0.25">
      <c r="C2324" s="1644" t="s">
        <v>14363</v>
      </c>
      <c r="E2324" s="6"/>
      <c r="F2324" t="s">
        <v>15087</v>
      </c>
    </row>
    <row r="2325" spans="3:6" ht="15" x14ac:dyDescent="0.25">
      <c r="C2325" s="1644" t="s">
        <v>14364</v>
      </c>
      <c r="E2325" s="6"/>
      <c r="F2325" t="s">
        <v>15087</v>
      </c>
    </row>
    <row r="2326" spans="3:6" ht="15" x14ac:dyDescent="0.25">
      <c r="C2326" s="1644" t="s">
        <v>14365</v>
      </c>
      <c r="E2326" s="6">
        <v>6</v>
      </c>
      <c r="F2326" t="s">
        <v>15138</v>
      </c>
    </row>
    <row r="2327" spans="3:6" ht="15" x14ac:dyDescent="0.25">
      <c r="C2327" s="1644" t="s">
        <v>14366</v>
      </c>
      <c r="E2327" s="6"/>
      <c r="F2327" t="s">
        <v>15087</v>
      </c>
    </row>
    <row r="2328" spans="3:6" ht="15" x14ac:dyDescent="0.25">
      <c r="C2328" s="1644" t="s">
        <v>14367</v>
      </c>
      <c r="E2328" s="6"/>
      <c r="F2328" t="s">
        <v>15087</v>
      </c>
    </row>
    <row r="2329" spans="3:6" ht="15" x14ac:dyDescent="0.25">
      <c r="C2329" s="1644" t="s">
        <v>14368</v>
      </c>
      <c r="E2329" s="6">
        <v>1</v>
      </c>
      <c r="F2329" t="s">
        <v>15096</v>
      </c>
    </row>
    <row r="2330" spans="3:6" ht="15" x14ac:dyDescent="0.25">
      <c r="C2330" s="1644" t="s">
        <v>14369</v>
      </c>
      <c r="E2330" s="6">
        <v>4</v>
      </c>
      <c r="F2330" t="s">
        <v>15094</v>
      </c>
    </row>
    <row r="2331" spans="3:6" ht="15" x14ac:dyDescent="0.25">
      <c r="C2331" s="1644" t="s">
        <v>14370</v>
      </c>
      <c r="E2331" s="6">
        <v>2</v>
      </c>
      <c r="F2331" t="s">
        <v>15091</v>
      </c>
    </row>
    <row r="2332" spans="3:6" ht="15" x14ac:dyDescent="0.25">
      <c r="C2332" s="1644" t="s">
        <v>14371</v>
      </c>
      <c r="E2332" s="6"/>
      <c r="F2332" t="s">
        <v>15087</v>
      </c>
    </row>
    <row r="2333" spans="3:6" ht="15" x14ac:dyDescent="0.25">
      <c r="C2333" s="1644" t="s">
        <v>14372</v>
      </c>
      <c r="E2333" s="6"/>
      <c r="F2333" t="s">
        <v>15087</v>
      </c>
    </row>
    <row r="2334" spans="3:6" ht="15" x14ac:dyDescent="0.25">
      <c r="C2334" s="1644" t="s">
        <v>14373</v>
      </c>
      <c r="E2334" s="6">
        <v>1</v>
      </c>
      <c r="F2334" t="s">
        <v>15090</v>
      </c>
    </row>
    <row r="2335" spans="3:6" ht="15" x14ac:dyDescent="0.25">
      <c r="C2335" s="1644" t="s">
        <v>14374</v>
      </c>
      <c r="E2335" s="6"/>
      <c r="F2335" t="s">
        <v>15087</v>
      </c>
    </row>
    <row r="2336" spans="3:6" ht="15" x14ac:dyDescent="0.25">
      <c r="C2336" s="1644" t="s">
        <v>14375</v>
      </c>
      <c r="E2336" s="6"/>
      <c r="F2336" t="s">
        <v>15087</v>
      </c>
    </row>
    <row r="2337" spans="3:6" ht="15" x14ac:dyDescent="0.25">
      <c r="C2337" s="1644" t="s">
        <v>14376</v>
      </c>
      <c r="E2337" s="6"/>
      <c r="F2337" t="s">
        <v>15087</v>
      </c>
    </row>
    <row r="2338" spans="3:6" ht="15" x14ac:dyDescent="0.25">
      <c r="C2338" s="1644" t="s">
        <v>14377</v>
      </c>
      <c r="E2338" s="6"/>
      <c r="F2338" t="s">
        <v>15087</v>
      </c>
    </row>
    <row r="2339" spans="3:6" ht="15" x14ac:dyDescent="0.25">
      <c r="C2339" s="1644" t="s">
        <v>14378</v>
      </c>
      <c r="E2339" s="6"/>
      <c r="F2339" t="s">
        <v>15087</v>
      </c>
    </row>
    <row r="2340" spans="3:6" ht="15" x14ac:dyDescent="0.25">
      <c r="C2340" s="1644" t="s">
        <v>14379</v>
      </c>
      <c r="E2340" s="6"/>
      <c r="F2340" t="s">
        <v>15087</v>
      </c>
    </row>
    <row r="2341" spans="3:6" ht="15" x14ac:dyDescent="0.25">
      <c r="C2341" s="1644" t="s">
        <v>14380</v>
      </c>
      <c r="E2341" s="6"/>
      <c r="F2341" t="s">
        <v>15087</v>
      </c>
    </row>
    <row r="2342" spans="3:6" ht="15" x14ac:dyDescent="0.25">
      <c r="C2342" s="1644" t="s">
        <v>14381</v>
      </c>
      <c r="E2342" s="6"/>
      <c r="F2342" t="s">
        <v>15087</v>
      </c>
    </row>
    <row r="2343" spans="3:6" ht="15" x14ac:dyDescent="0.25">
      <c r="C2343" s="1644" t="s">
        <v>14382</v>
      </c>
      <c r="E2343" s="6"/>
      <c r="F2343" t="s">
        <v>15087</v>
      </c>
    </row>
    <row r="2344" spans="3:6" ht="15" x14ac:dyDescent="0.25">
      <c r="C2344" s="1644" t="s">
        <v>14383</v>
      </c>
      <c r="E2344" s="6">
        <v>3</v>
      </c>
      <c r="F2344" t="s">
        <v>15090</v>
      </c>
    </row>
    <row r="2345" spans="3:6" ht="15" x14ac:dyDescent="0.25">
      <c r="C2345" s="1644" t="s">
        <v>14384</v>
      </c>
      <c r="E2345" s="6"/>
      <c r="F2345" t="s">
        <v>15087</v>
      </c>
    </row>
    <row r="2346" spans="3:6" ht="15" x14ac:dyDescent="0.25">
      <c r="C2346" s="1644" t="s">
        <v>14385</v>
      </c>
      <c r="E2346" s="6">
        <v>5</v>
      </c>
      <c r="F2346" t="s">
        <v>15092</v>
      </c>
    </row>
    <row r="2347" spans="3:6" ht="15" x14ac:dyDescent="0.25">
      <c r="C2347" s="1644" t="s">
        <v>5872</v>
      </c>
      <c r="E2347" s="6"/>
      <c r="F2347" t="s">
        <v>15087</v>
      </c>
    </row>
    <row r="2348" spans="3:6" ht="15" x14ac:dyDescent="0.25">
      <c r="C2348" s="1644" t="s">
        <v>14386</v>
      </c>
      <c r="E2348" s="6">
        <v>1</v>
      </c>
      <c r="F2348" t="s">
        <v>15090</v>
      </c>
    </row>
    <row r="2349" spans="3:6" ht="15" x14ac:dyDescent="0.25">
      <c r="C2349" s="1644" t="s">
        <v>14387</v>
      </c>
      <c r="E2349" s="6"/>
      <c r="F2349" t="s">
        <v>15087</v>
      </c>
    </row>
    <row r="2350" spans="3:6" ht="15" x14ac:dyDescent="0.25">
      <c r="C2350" s="1644" t="s">
        <v>14388</v>
      </c>
      <c r="E2350" s="6"/>
      <c r="F2350" t="s">
        <v>15087</v>
      </c>
    </row>
    <row r="2351" spans="3:6" ht="15" x14ac:dyDescent="0.25">
      <c r="C2351" s="1644" t="s">
        <v>14389</v>
      </c>
      <c r="E2351" s="6"/>
      <c r="F2351" t="s">
        <v>15087</v>
      </c>
    </row>
    <row r="2352" spans="3:6" ht="15" x14ac:dyDescent="0.25">
      <c r="C2352" s="1644" t="s">
        <v>14390</v>
      </c>
      <c r="E2352" s="6">
        <v>3</v>
      </c>
      <c r="F2352" t="s">
        <v>15090</v>
      </c>
    </row>
    <row r="2353" spans="3:6" ht="15" x14ac:dyDescent="0.25">
      <c r="C2353" s="1644" t="s">
        <v>14391</v>
      </c>
      <c r="E2353" s="6">
        <v>1</v>
      </c>
      <c r="F2353" t="s">
        <v>15142</v>
      </c>
    </row>
    <row r="2354" spans="3:6" ht="15" x14ac:dyDescent="0.25">
      <c r="C2354" s="1644" t="s">
        <v>14392</v>
      </c>
      <c r="E2354" s="6"/>
      <c r="F2354" t="s">
        <v>15087</v>
      </c>
    </row>
    <row r="2355" spans="3:6" ht="15" x14ac:dyDescent="0.25">
      <c r="C2355" s="1644" t="s">
        <v>14393</v>
      </c>
      <c r="E2355" s="6"/>
      <c r="F2355" t="s">
        <v>15087</v>
      </c>
    </row>
    <row r="2356" spans="3:6" ht="15" x14ac:dyDescent="0.25">
      <c r="C2356" s="1644" t="s">
        <v>14394</v>
      </c>
      <c r="E2356" s="6"/>
      <c r="F2356" t="s">
        <v>15087</v>
      </c>
    </row>
    <row r="2357" spans="3:6" ht="15" x14ac:dyDescent="0.25">
      <c r="C2357" s="1644" t="s">
        <v>14395</v>
      </c>
      <c r="E2357" s="6"/>
      <c r="F2357" t="s">
        <v>15087</v>
      </c>
    </row>
    <row r="2358" spans="3:6" ht="15" x14ac:dyDescent="0.25">
      <c r="C2358" s="1644" t="s">
        <v>14396</v>
      </c>
      <c r="E2358" s="6"/>
      <c r="F2358" t="s">
        <v>15087</v>
      </c>
    </row>
    <row r="2359" spans="3:6" ht="15" x14ac:dyDescent="0.25">
      <c r="C2359" s="1644" t="s">
        <v>14397</v>
      </c>
      <c r="E2359" s="6"/>
      <c r="F2359" t="s">
        <v>15087</v>
      </c>
    </row>
    <row r="2360" spans="3:6" ht="15" x14ac:dyDescent="0.25">
      <c r="C2360" s="1644" t="s">
        <v>14398</v>
      </c>
      <c r="E2360" s="6"/>
      <c r="F2360" t="s">
        <v>15087</v>
      </c>
    </row>
    <row r="2361" spans="3:6" ht="15" x14ac:dyDescent="0.25">
      <c r="C2361" s="1644" t="s">
        <v>14399</v>
      </c>
      <c r="E2361" s="6"/>
      <c r="F2361" t="s">
        <v>15087</v>
      </c>
    </row>
    <row r="2362" spans="3:6" ht="15" x14ac:dyDescent="0.25">
      <c r="C2362" s="1644" t="s">
        <v>14400</v>
      </c>
      <c r="E2362" s="6"/>
      <c r="F2362" t="s">
        <v>15087</v>
      </c>
    </row>
    <row r="2363" spans="3:6" ht="15" x14ac:dyDescent="0.25">
      <c r="C2363" s="1644" t="s">
        <v>14401</v>
      </c>
      <c r="E2363" s="6"/>
      <c r="F2363" t="s">
        <v>15087</v>
      </c>
    </row>
    <row r="2364" spans="3:6" ht="15" x14ac:dyDescent="0.25">
      <c r="C2364" s="1644" t="s">
        <v>14402</v>
      </c>
      <c r="E2364" s="6">
        <v>17</v>
      </c>
      <c r="F2364" t="s">
        <v>15142</v>
      </c>
    </row>
    <row r="2365" spans="3:6" ht="15" x14ac:dyDescent="0.25">
      <c r="C2365" s="1644" t="s">
        <v>14403</v>
      </c>
      <c r="E2365" s="6"/>
      <c r="F2365" t="s">
        <v>15087</v>
      </c>
    </row>
    <row r="2366" spans="3:6" ht="15" x14ac:dyDescent="0.25">
      <c r="C2366" s="1644" t="s">
        <v>14404</v>
      </c>
      <c r="E2366" s="6"/>
      <c r="F2366" t="s">
        <v>15087</v>
      </c>
    </row>
    <row r="2367" spans="3:6" ht="15" x14ac:dyDescent="0.25">
      <c r="C2367" s="1644" t="s">
        <v>14405</v>
      </c>
      <c r="E2367" s="6"/>
      <c r="F2367" t="s">
        <v>15087</v>
      </c>
    </row>
    <row r="2368" spans="3:6" ht="15" x14ac:dyDescent="0.25">
      <c r="C2368" s="1644" t="s">
        <v>14406</v>
      </c>
      <c r="E2368" s="6"/>
      <c r="F2368" t="s">
        <v>15087</v>
      </c>
    </row>
    <row r="2369" spans="3:6" ht="15" x14ac:dyDescent="0.25">
      <c r="C2369" s="1644" t="s">
        <v>14407</v>
      </c>
      <c r="E2369" s="6"/>
      <c r="F2369" t="s">
        <v>15087</v>
      </c>
    </row>
    <row r="2370" spans="3:6" ht="15" x14ac:dyDescent="0.25">
      <c r="C2370" s="1644" t="s">
        <v>14408</v>
      </c>
      <c r="E2370" s="6">
        <v>1</v>
      </c>
      <c r="F2370" t="s">
        <v>15090</v>
      </c>
    </row>
    <row r="2371" spans="3:6" ht="15" x14ac:dyDescent="0.25">
      <c r="C2371" s="1644" t="s">
        <v>14409</v>
      </c>
      <c r="E2371" s="6"/>
      <c r="F2371" t="s">
        <v>15087</v>
      </c>
    </row>
    <row r="2372" spans="3:6" ht="15" x14ac:dyDescent="0.25">
      <c r="C2372" s="1644" t="s">
        <v>14410</v>
      </c>
      <c r="E2372" s="6">
        <v>3</v>
      </c>
      <c r="F2372" t="s">
        <v>15101</v>
      </c>
    </row>
    <row r="2373" spans="3:6" ht="15" x14ac:dyDescent="0.25">
      <c r="C2373" s="1644" t="s">
        <v>14411</v>
      </c>
      <c r="E2373" s="6"/>
      <c r="F2373" t="s">
        <v>15087</v>
      </c>
    </row>
    <row r="2374" spans="3:6" ht="15" x14ac:dyDescent="0.25">
      <c r="C2374" s="1644" t="s">
        <v>14412</v>
      </c>
      <c r="E2374" s="6"/>
      <c r="F2374" t="s">
        <v>15087</v>
      </c>
    </row>
    <row r="2375" spans="3:6" ht="15" x14ac:dyDescent="0.25">
      <c r="C2375" s="1644" t="s">
        <v>14413</v>
      </c>
      <c r="E2375" s="6"/>
      <c r="F2375" t="s">
        <v>15087</v>
      </c>
    </row>
    <row r="2376" spans="3:6" ht="15" x14ac:dyDescent="0.25">
      <c r="C2376" s="1644" t="s">
        <v>14414</v>
      </c>
      <c r="E2376" s="6">
        <v>2</v>
      </c>
      <c r="F2376" t="s">
        <v>15091</v>
      </c>
    </row>
    <row r="2377" spans="3:6" ht="15" x14ac:dyDescent="0.25">
      <c r="C2377" s="1644" t="s">
        <v>14415</v>
      </c>
      <c r="E2377" s="6"/>
      <c r="F2377" t="s">
        <v>15087</v>
      </c>
    </row>
    <row r="2378" spans="3:6" ht="15" x14ac:dyDescent="0.25">
      <c r="C2378" s="1644" t="s">
        <v>14416</v>
      </c>
      <c r="E2378" s="6"/>
      <c r="F2378" t="s">
        <v>15087</v>
      </c>
    </row>
    <row r="2379" spans="3:6" ht="15" x14ac:dyDescent="0.25">
      <c r="C2379" s="1644" t="s">
        <v>14417</v>
      </c>
      <c r="E2379" s="6"/>
      <c r="F2379" t="s">
        <v>15087</v>
      </c>
    </row>
    <row r="2380" spans="3:6" ht="15" x14ac:dyDescent="0.25">
      <c r="C2380" s="1644" t="s">
        <v>14418</v>
      </c>
      <c r="E2380" s="6"/>
      <c r="F2380" t="s">
        <v>15087</v>
      </c>
    </row>
    <row r="2381" spans="3:6" ht="15" x14ac:dyDescent="0.25">
      <c r="C2381" s="1644" t="s">
        <v>14419</v>
      </c>
      <c r="E2381" s="6">
        <v>2</v>
      </c>
      <c r="F2381" t="s">
        <v>15090</v>
      </c>
    </row>
    <row r="2382" spans="3:6" ht="15" x14ac:dyDescent="0.25">
      <c r="C2382" s="1644" t="s">
        <v>14420</v>
      </c>
      <c r="E2382" s="6"/>
      <c r="F2382" t="s">
        <v>15087</v>
      </c>
    </row>
    <row r="2383" spans="3:6" ht="15" x14ac:dyDescent="0.25">
      <c r="C2383" s="1644" t="s">
        <v>14421</v>
      </c>
      <c r="E2383" s="6">
        <v>1</v>
      </c>
      <c r="F2383" t="s">
        <v>15101</v>
      </c>
    </row>
    <row r="2384" spans="3:6" ht="15" x14ac:dyDescent="0.25">
      <c r="C2384" s="1644" t="s">
        <v>14422</v>
      </c>
      <c r="E2384" s="6"/>
      <c r="F2384" t="s">
        <v>15087</v>
      </c>
    </row>
    <row r="2385" spans="3:6" ht="15" x14ac:dyDescent="0.25">
      <c r="C2385" s="1644" t="s">
        <v>14423</v>
      </c>
      <c r="E2385" s="6"/>
      <c r="F2385" t="s">
        <v>15087</v>
      </c>
    </row>
    <row r="2386" spans="3:6" ht="15" x14ac:dyDescent="0.25">
      <c r="C2386" s="1644" t="s">
        <v>14424</v>
      </c>
      <c r="E2386" s="6"/>
      <c r="F2386" t="s">
        <v>15087</v>
      </c>
    </row>
    <row r="2387" spans="3:6" ht="15" x14ac:dyDescent="0.25">
      <c r="C2387" s="1644" t="s">
        <v>14425</v>
      </c>
      <c r="E2387" s="6"/>
      <c r="F2387" t="s">
        <v>15087</v>
      </c>
    </row>
    <row r="2388" spans="3:6" ht="15" x14ac:dyDescent="0.25">
      <c r="C2388" s="1644" t="s">
        <v>14426</v>
      </c>
      <c r="E2388" s="6"/>
      <c r="F2388" t="s">
        <v>15087</v>
      </c>
    </row>
    <row r="2389" spans="3:6" ht="15" x14ac:dyDescent="0.25">
      <c r="C2389" s="1644" t="s">
        <v>14427</v>
      </c>
      <c r="E2389" s="6"/>
      <c r="F2389" t="s">
        <v>15087</v>
      </c>
    </row>
    <row r="2390" spans="3:6" ht="15" x14ac:dyDescent="0.25">
      <c r="C2390" s="1644" t="s">
        <v>14428</v>
      </c>
      <c r="E2390" s="6">
        <v>1</v>
      </c>
      <c r="F2390" t="s">
        <v>15106</v>
      </c>
    </row>
    <row r="2391" spans="3:6" ht="15" x14ac:dyDescent="0.25">
      <c r="C2391" s="1644" t="s">
        <v>14429</v>
      </c>
      <c r="E2391" s="6"/>
      <c r="F2391" t="s">
        <v>15087</v>
      </c>
    </row>
    <row r="2392" spans="3:6" ht="15" x14ac:dyDescent="0.25">
      <c r="C2392" s="1644" t="s">
        <v>14430</v>
      </c>
      <c r="E2392" s="6"/>
      <c r="F2392" t="s">
        <v>15087</v>
      </c>
    </row>
    <row r="2393" spans="3:6" ht="15" x14ac:dyDescent="0.25">
      <c r="C2393" s="1644" t="s">
        <v>14431</v>
      </c>
      <c r="E2393" s="6"/>
      <c r="F2393" t="s">
        <v>15087</v>
      </c>
    </row>
    <row r="2394" spans="3:6" ht="15" x14ac:dyDescent="0.25">
      <c r="C2394" s="1644" t="s">
        <v>14432</v>
      </c>
      <c r="E2394" s="6">
        <v>1</v>
      </c>
      <c r="F2394" t="s">
        <v>15106</v>
      </c>
    </row>
    <row r="2395" spans="3:6" ht="15" x14ac:dyDescent="0.25">
      <c r="C2395" s="1644" t="s">
        <v>14433</v>
      </c>
      <c r="E2395" s="6"/>
      <c r="F2395" t="s">
        <v>15087</v>
      </c>
    </row>
    <row r="2396" spans="3:6" ht="15" x14ac:dyDescent="0.25">
      <c r="C2396" s="1644" t="s">
        <v>14434</v>
      </c>
      <c r="E2396" s="6"/>
      <c r="F2396" t="s">
        <v>15087</v>
      </c>
    </row>
    <row r="2397" spans="3:6" ht="15" x14ac:dyDescent="0.25">
      <c r="C2397" s="1644" t="s">
        <v>14435</v>
      </c>
      <c r="E2397" s="6"/>
      <c r="F2397" t="s">
        <v>15087</v>
      </c>
    </row>
    <row r="2398" spans="3:6" ht="15" x14ac:dyDescent="0.25">
      <c r="C2398" s="1644" t="s">
        <v>14436</v>
      </c>
      <c r="E2398" s="6"/>
      <c r="F2398" t="s">
        <v>15087</v>
      </c>
    </row>
    <row r="2399" spans="3:6" ht="15" x14ac:dyDescent="0.25">
      <c r="C2399" s="1644" t="s">
        <v>14437</v>
      </c>
      <c r="E2399" s="6">
        <v>1</v>
      </c>
      <c r="F2399" t="s">
        <v>15100</v>
      </c>
    </row>
    <row r="2400" spans="3:6" ht="15" x14ac:dyDescent="0.25">
      <c r="C2400" s="1644" t="s">
        <v>14438</v>
      </c>
      <c r="E2400" s="6">
        <v>1</v>
      </c>
      <c r="F2400" t="s">
        <v>15119</v>
      </c>
    </row>
    <row r="2401" spans="3:6" ht="15" x14ac:dyDescent="0.25">
      <c r="C2401" s="1644" t="s">
        <v>14439</v>
      </c>
      <c r="E2401" s="6"/>
      <c r="F2401" t="s">
        <v>15087</v>
      </c>
    </row>
    <row r="2402" spans="3:6" ht="15" x14ac:dyDescent="0.25">
      <c r="C2402" s="1644" t="s">
        <v>14440</v>
      </c>
      <c r="E2402" s="6"/>
      <c r="F2402" t="s">
        <v>15087</v>
      </c>
    </row>
    <row r="2403" spans="3:6" ht="15" x14ac:dyDescent="0.25">
      <c r="C2403" s="1644" t="s">
        <v>14441</v>
      </c>
      <c r="E2403" s="6"/>
      <c r="F2403" t="s">
        <v>15087</v>
      </c>
    </row>
    <row r="2404" spans="3:6" ht="15" x14ac:dyDescent="0.25">
      <c r="C2404" s="1644" t="s">
        <v>14442</v>
      </c>
      <c r="E2404" s="6"/>
      <c r="F2404" t="s">
        <v>15087</v>
      </c>
    </row>
    <row r="2405" spans="3:6" ht="15" x14ac:dyDescent="0.25">
      <c r="C2405" s="1644" t="s">
        <v>14443</v>
      </c>
      <c r="E2405" s="6"/>
      <c r="F2405" t="s">
        <v>15087</v>
      </c>
    </row>
    <row r="2406" spans="3:6" ht="15" x14ac:dyDescent="0.25">
      <c r="C2406" s="1644" t="s">
        <v>14444</v>
      </c>
      <c r="E2406" s="6"/>
      <c r="F2406" t="s">
        <v>15087</v>
      </c>
    </row>
    <row r="2407" spans="3:6" ht="15" x14ac:dyDescent="0.25">
      <c r="C2407" s="1644" t="s">
        <v>14445</v>
      </c>
      <c r="E2407" s="6"/>
      <c r="F2407" t="s">
        <v>15087</v>
      </c>
    </row>
    <row r="2408" spans="3:6" ht="15" x14ac:dyDescent="0.25">
      <c r="C2408" s="1644" t="s">
        <v>14446</v>
      </c>
      <c r="E2408" s="6"/>
      <c r="F2408" t="s">
        <v>15087</v>
      </c>
    </row>
    <row r="2409" spans="3:6" ht="15" x14ac:dyDescent="0.25">
      <c r="C2409" s="1644" t="s">
        <v>14447</v>
      </c>
      <c r="E2409" s="6"/>
      <c r="F2409" t="s">
        <v>15087</v>
      </c>
    </row>
    <row r="2410" spans="3:6" ht="15" x14ac:dyDescent="0.25">
      <c r="C2410" s="1644" t="s">
        <v>14448</v>
      </c>
      <c r="E2410" s="6"/>
      <c r="F2410" t="s">
        <v>15087</v>
      </c>
    </row>
    <row r="2411" spans="3:6" ht="15" x14ac:dyDescent="0.25">
      <c r="C2411" s="1644" t="s">
        <v>14449</v>
      </c>
      <c r="E2411" s="6"/>
      <c r="F2411" t="s">
        <v>15087</v>
      </c>
    </row>
    <row r="2412" spans="3:6" ht="15" x14ac:dyDescent="0.25">
      <c r="C2412" s="1644" t="s">
        <v>14450</v>
      </c>
      <c r="E2412" s="6"/>
      <c r="F2412" t="s">
        <v>15087</v>
      </c>
    </row>
    <row r="2413" spans="3:6" ht="15" x14ac:dyDescent="0.25">
      <c r="C2413" s="1644" t="s">
        <v>14451</v>
      </c>
      <c r="E2413" s="6"/>
      <c r="F2413" t="s">
        <v>15087</v>
      </c>
    </row>
    <row r="2414" spans="3:6" ht="15" x14ac:dyDescent="0.25">
      <c r="C2414" s="1644" t="s">
        <v>14452</v>
      </c>
      <c r="E2414" s="6">
        <v>1</v>
      </c>
      <c r="F2414" t="s">
        <v>15095</v>
      </c>
    </row>
    <row r="2415" spans="3:6" ht="15" x14ac:dyDescent="0.25">
      <c r="C2415" s="1644" t="s">
        <v>14453</v>
      </c>
      <c r="E2415" s="6"/>
      <c r="F2415" t="s">
        <v>15087</v>
      </c>
    </row>
    <row r="2416" spans="3:6" ht="15" x14ac:dyDescent="0.25">
      <c r="C2416" s="1644" t="s">
        <v>14454</v>
      </c>
      <c r="E2416" s="6"/>
      <c r="F2416" t="s">
        <v>15087</v>
      </c>
    </row>
    <row r="2417" spans="3:6" ht="15" x14ac:dyDescent="0.25">
      <c r="C2417" s="1644" t="s">
        <v>14455</v>
      </c>
      <c r="E2417" s="6"/>
      <c r="F2417" t="s">
        <v>15087</v>
      </c>
    </row>
    <row r="2418" spans="3:6" ht="15" x14ac:dyDescent="0.25">
      <c r="C2418" s="1644" t="s">
        <v>14456</v>
      </c>
      <c r="E2418" s="6">
        <v>1</v>
      </c>
      <c r="F2418" t="s">
        <v>15090</v>
      </c>
    </row>
    <row r="2419" spans="3:6" ht="15" x14ac:dyDescent="0.25">
      <c r="C2419" s="1644" t="s">
        <v>14457</v>
      </c>
      <c r="E2419" s="6"/>
      <c r="F2419" t="s">
        <v>15087</v>
      </c>
    </row>
    <row r="2420" spans="3:6" ht="15" x14ac:dyDescent="0.25">
      <c r="C2420" s="1644" t="s">
        <v>14458</v>
      </c>
      <c r="E2420" s="6"/>
      <c r="F2420" t="s">
        <v>15087</v>
      </c>
    </row>
    <row r="2421" spans="3:6" ht="15" x14ac:dyDescent="0.25">
      <c r="C2421" s="1644" t="s">
        <v>14459</v>
      </c>
      <c r="E2421" s="6"/>
      <c r="F2421" t="s">
        <v>15087</v>
      </c>
    </row>
    <row r="2422" spans="3:6" ht="15" x14ac:dyDescent="0.25">
      <c r="C2422" s="1644" t="s">
        <v>14460</v>
      </c>
      <c r="E2422" s="6">
        <v>1</v>
      </c>
      <c r="F2422" t="s">
        <v>15100</v>
      </c>
    </row>
    <row r="2423" spans="3:6" ht="15" x14ac:dyDescent="0.25">
      <c r="C2423" s="1644" t="s">
        <v>14461</v>
      </c>
      <c r="E2423" s="6">
        <v>7</v>
      </c>
      <c r="F2423" t="s">
        <v>15090</v>
      </c>
    </row>
    <row r="2424" spans="3:6" ht="15" x14ac:dyDescent="0.25">
      <c r="C2424" s="1644" t="s">
        <v>14462</v>
      </c>
      <c r="E2424" s="6">
        <v>4</v>
      </c>
      <c r="F2424" t="s">
        <v>15107</v>
      </c>
    </row>
    <row r="2425" spans="3:6" ht="15" x14ac:dyDescent="0.25">
      <c r="C2425" s="1644" t="s">
        <v>14463</v>
      </c>
      <c r="E2425" s="6"/>
      <c r="F2425" t="s">
        <v>15087</v>
      </c>
    </row>
    <row r="2426" spans="3:6" ht="15" x14ac:dyDescent="0.25">
      <c r="C2426" s="1644" t="s">
        <v>14464</v>
      </c>
      <c r="E2426" s="6"/>
      <c r="F2426" t="s">
        <v>15087</v>
      </c>
    </row>
    <row r="2427" spans="3:6" ht="15" x14ac:dyDescent="0.25">
      <c r="C2427" s="1644" t="s">
        <v>14465</v>
      </c>
      <c r="E2427" s="6"/>
      <c r="F2427" t="s">
        <v>15087</v>
      </c>
    </row>
    <row r="2428" spans="3:6" ht="15" x14ac:dyDescent="0.25">
      <c r="C2428" s="1644" t="s">
        <v>14466</v>
      </c>
      <c r="E2428" s="6"/>
      <c r="F2428" t="s">
        <v>15087</v>
      </c>
    </row>
    <row r="2429" spans="3:6" ht="15" x14ac:dyDescent="0.25">
      <c r="C2429" s="1644" t="s">
        <v>14467</v>
      </c>
      <c r="E2429" s="6">
        <v>2</v>
      </c>
      <c r="F2429" t="s">
        <v>15099</v>
      </c>
    </row>
    <row r="2430" spans="3:6" ht="15" x14ac:dyDescent="0.25">
      <c r="C2430" s="1644" t="s">
        <v>14468</v>
      </c>
      <c r="E2430" s="6"/>
      <c r="F2430" t="s">
        <v>15087</v>
      </c>
    </row>
    <row r="2431" spans="3:6" ht="15" x14ac:dyDescent="0.25">
      <c r="C2431" s="1644" t="s">
        <v>14469</v>
      </c>
      <c r="E2431" s="6"/>
      <c r="F2431" t="s">
        <v>15087</v>
      </c>
    </row>
    <row r="2432" spans="3:6" ht="15" x14ac:dyDescent="0.25">
      <c r="C2432" s="1644" t="s">
        <v>14470</v>
      </c>
      <c r="E2432" s="6"/>
      <c r="F2432" t="s">
        <v>15087</v>
      </c>
    </row>
    <row r="2433" spans="3:6" ht="15" x14ac:dyDescent="0.25">
      <c r="C2433" s="1644" t="s">
        <v>14471</v>
      </c>
      <c r="E2433" s="6"/>
      <c r="F2433" t="s">
        <v>15087</v>
      </c>
    </row>
    <row r="2434" spans="3:6" ht="15" x14ac:dyDescent="0.25">
      <c r="C2434" s="1644" t="s">
        <v>14472</v>
      </c>
      <c r="E2434" s="6"/>
      <c r="F2434" t="s">
        <v>15087</v>
      </c>
    </row>
    <row r="2435" spans="3:6" ht="15" x14ac:dyDescent="0.25">
      <c r="C2435" s="1644" t="s">
        <v>14473</v>
      </c>
      <c r="E2435" s="6"/>
      <c r="F2435" t="s">
        <v>15087</v>
      </c>
    </row>
    <row r="2436" spans="3:6" ht="15" x14ac:dyDescent="0.25">
      <c r="C2436" s="1644" t="s">
        <v>14474</v>
      </c>
      <c r="E2436" s="6"/>
      <c r="F2436" t="s">
        <v>15087</v>
      </c>
    </row>
    <row r="2437" spans="3:6" ht="15" x14ac:dyDescent="0.25">
      <c r="C2437" s="1644" t="s">
        <v>14475</v>
      </c>
      <c r="E2437" s="6"/>
      <c r="F2437" t="s">
        <v>15087</v>
      </c>
    </row>
    <row r="2438" spans="3:6" ht="15" x14ac:dyDescent="0.25">
      <c r="C2438" s="1644" t="s">
        <v>14476</v>
      </c>
      <c r="E2438" s="6"/>
      <c r="F2438" t="s">
        <v>15087</v>
      </c>
    </row>
    <row r="2439" spans="3:6" ht="15" x14ac:dyDescent="0.25">
      <c r="C2439" s="1644" t="s">
        <v>14477</v>
      </c>
      <c r="E2439" s="6"/>
      <c r="F2439" t="s">
        <v>15087</v>
      </c>
    </row>
    <row r="2440" spans="3:6" ht="15" x14ac:dyDescent="0.25">
      <c r="C2440" s="1644" t="s">
        <v>14478</v>
      </c>
      <c r="E2440" s="6">
        <v>1</v>
      </c>
      <c r="F2440" t="s">
        <v>15090</v>
      </c>
    </row>
    <row r="2441" spans="3:6" ht="15" x14ac:dyDescent="0.25">
      <c r="C2441" s="1644" t="s">
        <v>14479</v>
      </c>
      <c r="E2441" s="6"/>
      <c r="F2441" t="s">
        <v>15087</v>
      </c>
    </row>
    <row r="2442" spans="3:6" ht="15" x14ac:dyDescent="0.25">
      <c r="C2442" s="1644" t="s">
        <v>14480</v>
      </c>
      <c r="E2442" s="6">
        <v>33</v>
      </c>
      <c r="F2442" t="s">
        <v>15115</v>
      </c>
    </row>
    <row r="2443" spans="3:6" ht="15" x14ac:dyDescent="0.25">
      <c r="C2443" s="1644" t="s">
        <v>14481</v>
      </c>
      <c r="E2443" s="6">
        <v>2</v>
      </c>
      <c r="F2443" t="s">
        <v>15144</v>
      </c>
    </row>
    <row r="2444" spans="3:6" ht="15" x14ac:dyDescent="0.25">
      <c r="C2444" s="1644" t="s">
        <v>14482</v>
      </c>
      <c r="E2444" s="6"/>
      <c r="F2444" t="s">
        <v>15087</v>
      </c>
    </row>
    <row r="2445" spans="3:6" ht="15" x14ac:dyDescent="0.25">
      <c r="C2445" s="1644" t="s">
        <v>14483</v>
      </c>
      <c r="E2445" s="6"/>
      <c r="F2445" t="s">
        <v>15087</v>
      </c>
    </row>
    <row r="2446" spans="3:6" ht="15" x14ac:dyDescent="0.25">
      <c r="C2446" s="1644" t="s">
        <v>14484</v>
      </c>
      <c r="E2446" s="6">
        <v>152</v>
      </c>
      <c r="F2446" t="s">
        <v>15145</v>
      </c>
    </row>
    <row r="2447" spans="3:6" ht="15" x14ac:dyDescent="0.25">
      <c r="C2447" s="1644" t="s">
        <v>14485</v>
      </c>
      <c r="E2447" s="6">
        <v>1</v>
      </c>
      <c r="F2447" t="s">
        <v>15131</v>
      </c>
    </row>
    <row r="2448" spans="3:6" ht="15" x14ac:dyDescent="0.25">
      <c r="C2448" s="1644" t="s">
        <v>14486</v>
      </c>
      <c r="E2448" s="6">
        <v>3</v>
      </c>
      <c r="F2448" t="s">
        <v>15090</v>
      </c>
    </row>
    <row r="2449" spans="3:6" ht="15" x14ac:dyDescent="0.25">
      <c r="C2449" s="1644" t="s">
        <v>14487</v>
      </c>
      <c r="E2449" s="6"/>
      <c r="F2449" t="s">
        <v>15087</v>
      </c>
    </row>
    <row r="2450" spans="3:6" ht="15" x14ac:dyDescent="0.25">
      <c r="C2450" s="1644" t="s">
        <v>14488</v>
      </c>
      <c r="E2450" s="6">
        <v>6</v>
      </c>
      <c r="F2450" t="s">
        <v>15131</v>
      </c>
    </row>
    <row r="2451" spans="3:6" ht="15" x14ac:dyDescent="0.25">
      <c r="C2451" s="1644" t="s">
        <v>14489</v>
      </c>
      <c r="E2451" s="6"/>
      <c r="F2451" t="s">
        <v>15087</v>
      </c>
    </row>
    <row r="2452" spans="3:6" ht="15" x14ac:dyDescent="0.25">
      <c r="C2452" s="1644" t="s">
        <v>14490</v>
      </c>
      <c r="E2452" s="6"/>
      <c r="F2452" t="s">
        <v>15087</v>
      </c>
    </row>
    <row r="2453" spans="3:6" ht="15" x14ac:dyDescent="0.25">
      <c r="C2453" s="1644" t="s">
        <v>14491</v>
      </c>
      <c r="E2453" s="6"/>
      <c r="F2453" t="s">
        <v>15087</v>
      </c>
    </row>
    <row r="2454" spans="3:6" ht="15" x14ac:dyDescent="0.25">
      <c r="C2454" s="1644" t="s">
        <v>14492</v>
      </c>
      <c r="E2454" s="6"/>
      <c r="F2454" t="s">
        <v>15087</v>
      </c>
    </row>
    <row r="2455" spans="3:6" ht="15" x14ac:dyDescent="0.25">
      <c r="C2455" s="1644" t="s">
        <v>14493</v>
      </c>
      <c r="E2455" s="6"/>
      <c r="F2455" t="s">
        <v>15087</v>
      </c>
    </row>
    <row r="2456" spans="3:6" ht="15" x14ac:dyDescent="0.25">
      <c r="C2456" s="1644" t="s">
        <v>14494</v>
      </c>
      <c r="E2456" s="6"/>
      <c r="F2456" t="s">
        <v>15087</v>
      </c>
    </row>
    <row r="2457" spans="3:6" ht="15" x14ac:dyDescent="0.25">
      <c r="C2457" s="1644" t="s">
        <v>14495</v>
      </c>
      <c r="E2457" s="6">
        <v>4</v>
      </c>
      <c r="F2457" t="s">
        <v>15106</v>
      </c>
    </row>
    <row r="2458" spans="3:6" ht="15" x14ac:dyDescent="0.25">
      <c r="C2458" s="1644" t="s">
        <v>14496</v>
      </c>
      <c r="E2458" s="6">
        <v>2</v>
      </c>
      <c r="F2458" t="s">
        <v>15090</v>
      </c>
    </row>
    <row r="2459" spans="3:6" ht="15" x14ac:dyDescent="0.25">
      <c r="C2459" s="1644" t="s">
        <v>14497</v>
      </c>
      <c r="E2459" s="6">
        <v>2</v>
      </c>
      <c r="F2459" t="s">
        <v>15090</v>
      </c>
    </row>
    <row r="2460" spans="3:6" ht="15" x14ac:dyDescent="0.25">
      <c r="C2460" s="1644" t="s">
        <v>14498</v>
      </c>
      <c r="E2460" s="6"/>
      <c r="F2460" t="s">
        <v>15087</v>
      </c>
    </row>
    <row r="2461" spans="3:6" ht="15" x14ac:dyDescent="0.25">
      <c r="C2461" s="1644" t="s">
        <v>14499</v>
      </c>
      <c r="E2461" s="6"/>
      <c r="F2461" t="s">
        <v>15087</v>
      </c>
    </row>
    <row r="2462" spans="3:6" ht="15" x14ac:dyDescent="0.25">
      <c r="C2462" s="1644" t="s">
        <v>14500</v>
      </c>
      <c r="E2462" s="6"/>
      <c r="F2462" t="s">
        <v>15087</v>
      </c>
    </row>
    <row r="2463" spans="3:6" ht="15" x14ac:dyDescent="0.25">
      <c r="C2463" s="1644" t="s">
        <v>14501</v>
      </c>
      <c r="E2463" s="6"/>
      <c r="F2463" t="s">
        <v>15087</v>
      </c>
    </row>
    <row r="2464" spans="3:6" ht="15" x14ac:dyDescent="0.25">
      <c r="C2464" s="1644" t="s">
        <v>14502</v>
      </c>
      <c r="E2464" s="6"/>
      <c r="F2464" t="s">
        <v>15087</v>
      </c>
    </row>
    <row r="2465" spans="3:6" ht="15" x14ac:dyDescent="0.25">
      <c r="C2465" s="1644" t="s">
        <v>14503</v>
      </c>
      <c r="E2465" s="6"/>
      <c r="F2465" t="s">
        <v>15087</v>
      </c>
    </row>
    <row r="2466" spans="3:6" ht="15" x14ac:dyDescent="0.25">
      <c r="C2466" s="1644" t="s">
        <v>14504</v>
      </c>
      <c r="E2466" s="6">
        <v>48</v>
      </c>
      <c r="F2466" t="s">
        <v>15090</v>
      </c>
    </row>
    <row r="2467" spans="3:6" ht="15" x14ac:dyDescent="0.25">
      <c r="C2467" s="1644" t="s">
        <v>14505</v>
      </c>
      <c r="E2467" s="6"/>
      <c r="F2467" t="s">
        <v>15087</v>
      </c>
    </row>
    <row r="2468" spans="3:6" ht="15" x14ac:dyDescent="0.25">
      <c r="C2468" s="1644" t="s">
        <v>14506</v>
      </c>
      <c r="E2468" s="6"/>
      <c r="F2468" t="s">
        <v>15087</v>
      </c>
    </row>
    <row r="2469" spans="3:6" ht="15" x14ac:dyDescent="0.25">
      <c r="C2469" s="1644" t="s">
        <v>14507</v>
      </c>
      <c r="E2469" s="6"/>
      <c r="F2469" t="s">
        <v>15087</v>
      </c>
    </row>
    <row r="2470" spans="3:6" ht="15" x14ac:dyDescent="0.25">
      <c r="C2470" s="1644" t="s">
        <v>14508</v>
      </c>
      <c r="E2470" s="6"/>
      <c r="F2470" t="s">
        <v>15087</v>
      </c>
    </row>
    <row r="2471" spans="3:6" ht="15" x14ac:dyDescent="0.25">
      <c r="C2471" s="1644" t="s">
        <v>14509</v>
      </c>
      <c r="E2471" s="6"/>
      <c r="F2471" t="s">
        <v>15087</v>
      </c>
    </row>
    <row r="2472" spans="3:6" ht="15" x14ac:dyDescent="0.25">
      <c r="C2472" s="1644" t="s">
        <v>14510</v>
      </c>
      <c r="E2472" s="6"/>
      <c r="F2472" t="s">
        <v>15087</v>
      </c>
    </row>
    <row r="2473" spans="3:6" ht="15" x14ac:dyDescent="0.25">
      <c r="C2473" s="1644" t="s">
        <v>14511</v>
      </c>
      <c r="E2473" s="6"/>
      <c r="F2473" t="s">
        <v>15087</v>
      </c>
    </row>
    <row r="2474" spans="3:6" ht="15" x14ac:dyDescent="0.25">
      <c r="C2474" s="1644" t="s">
        <v>14512</v>
      </c>
      <c r="E2474" s="6">
        <v>61</v>
      </c>
      <c r="F2474" t="s">
        <v>15092</v>
      </c>
    </row>
    <row r="2475" spans="3:6" ht="15" x14ac:dyDescent="0.25">
      <c r="C2475" s="1644" t="s">
        <v>14513</v>
      </c>
      <c r="E2475" s="6">
        <v>1</v>
      </c>
      <c r="F2475" t="s">
        <v>15100</v>
      </c>
    </row>
    <row r="2476" spans="3:6" ht="15" x14ac:dyDescent="0.25">
      <c r="C2476" s="1644" t="s">
        <v>14514</v>
      </c>
      <c r="E2476" s="6"/>
      <c r="F2476" t="s">
        <v>15087</v>
      </c>
    </row>
    <row r="2477" spans="3:6" ht="15" x14ac:dyDescent="0.25">
      <c r="C2477" s="1644" t="s">
        <v>14515</v>
      </c>
      <c r="E2477" s="6"/>
      <c r="F2477" t="s">
        <v>15087</v>
      </c>
    </row>
    <row r="2478" spans="3:6" ht="15" x14ac:dyDescent="0.25">
      <c r="C2478" s="1644" t="s">
        <v>14516</v>
      </c>
      <c r="E2478" s="6"/>
      <c r="F2478" t="s">
        <v>15087</v>
      </c>
    </row>
    <row r="2479" spans="3:6" ht="15" x14ac:dyDescent="0.25">
      <c r="C2479" s="1644" t="s">
        <v>14517</v>
      </c>
      <c r="E2479" s="6"/>
      <c r="F2479" t="s">
        <v>15087</v>
      </c>
    </row>
    <row r="2480" spans="3:6" ht="15" x14ac:dyDescent="0.25">
      <c r="C2480" s="1644" t="s">
        <v>14518</v>
      </c>
      <c r="E2480" s="6"/>
      <c r="F2480" t="s">
        <v>15087</v>
      </c>
    </row>
    <row r="2481" spans="3:6" ht="15" x14ac:dyDescent="0.25">
      <c r="C2481" s="1644" t="s">
        <v>14519</v>
      </c>
      <c r="E2481" s="6"/>
      <c r="F2481" t="s">
        <v>15087</v>
      </c>
    </row>
    <row r="2482" spans="3:6" ht="15" x14ac:dyDescent="0.25">
      <c r="C2482" s="1644" t="s">
        <v>14520</v>
      </c>
      <c r="E2482" s="6"/>
      <c r="F2482" t="s">
        <v>15087</v>
      </c>
    </row>
    <row r="2483" spans="3:6" ht="15" x14ac:dyDescent="0.25">
      <c r="C2483" s="1644" t="s">
        <v>14521</v>
      </c>
      <c r="E2483" s="6"/>
      <c r="F2483" t="s">
        <v>15087</v>
      </c>
    </row>
    <row r="2484" spans="3:6" ht="15" x14ac:dyDescent="0.25">
      <c r="C2484" s="1644" t="s">
        <v>14522</v>
      </c>
      <c r="E2484" s="6">
        <v>1</v>
      </c>
      <c r="F2484" t="s">
        <v>15119</v>
      </c>
    </row>
    <row r="2485" spans="3:6" ht="15" x14ac:dyDescent="0.25">
      <c r="C2485" s="1644" t="s">
        <v>14523</v>
      </c>
      <c r="E2485" s="6">
        <v>3</v>
      </c>
      <c r="F2485" t="s">
        <v>15140</v>
      </c>
    </row>
    <row r="2486" spans="3:6" ht="15" x14ac:dyDescent="0.25">
      <c r="C2486" s="1644" t="s">
        <v>14524</v>
      </c>
      <c r="E2486" s="6"/>
      <c r="F2486" t="s">
        <v>15087</v>
      </c>
    </row>
    <row r="2487" spans="3:6" ht="15" x14ac:dyDescent="0.25">
      <c r="C2487" s="1644" t="s">
        <v>14525</v>
      </c>
      <c r="E2487" s="6">
        <v>4</v>
      </c>
      <c r="F2487" t="s">
        <v>15092</v>
      </c>
    </row>
    <row r="2488" spans="3:6" ht="15" x14ac:dyDescent="0.25">
      <c r="C2488" s="1644" t="s">
        <v>14526</v>
      </c>
      <c r="E2488" s="6"/>
      <c r="F2488" t="s">
        <v>15087</v>
      </c>
    </row>
    <row r="2489" spans="3:6" ht="15" x14ac:dyDescent="0.25">
      <c r="C2489" s="1644" t="s">
        <v>14527</v>
      </c>
      <c r="E2489" s="6">
        <v>132</v>
      </c>
      <c r="F2489" t="s">
        <v>15145</v>
      </c>
    </row>
    <row r="2490" spans="3:6" ht="15" x14ac:dyDescent="0.25">
      <c r="C2490" s="1644" t="s">
        <v>14528</v>
      </c>
      <c r="E2490" s="6"/>
      <c r="F2490" t="s">
        <v>15087</v>
      </c>
    </row>
    <row r="2491" spans="3:6" ht="15" x14ac:dyDescent="0.25">
      <c r="C2491" s="1644" t="s">
        <v>14529</v>
      </c>
      <c r="E2491" s="6"/>
      <c r="F2491" t="s">
        <v>15087</v>
      </c>
    </row>
    <row r="2492" spans="3:6" ht="15" x14ac:dyDescent="0.25">
      <c r="C2492" s="1644" t="s">
        <v>14530</v>
      </c>
      <c r="E2492" s="6">
        <v>7</v>
      </c>
      <c r="F2492" t="s">
        <v>15090</v>
      </c>
    </row>
    <row r="2493" spans="3:6" ht="15" x14ac:dyDescent="0.25">
      <c r="C2493" s="1644" t="s">
        <v>14531</v>
      </c>
      <c r="E2493" s="6"/>
      <c r="F2493" t="s">
        <v>15087</v>
      </c>
    </row>
    <row r="2494" spans="3:6" ht="15" x14ac:dyDescent="0.25">
      <c r="C2494" s="1644" t="s">
        <v>14532</v>
      </c>
      <c r="E2494" s="6"/>
      <c r="F2494" t="s">
        <v>15087</v>
      </c>
    </row>
    <row r="2495" spans="3:6" ht="15" x14ac:dyDescent="0.25">
      <c r="C2495" s="1644" t="s">
        <v>14533</v>
      </c>
      <c r="E2495" s="6"/>
      <c r="F2495" t="s">
        <v>15087</v>
      </c>
    </row>
    <row r="2496" spans="3:6" ht="15" x14ac:dyDescent="0.25">
      <c r="C2496" s="1644" t="s">
        <v>14534</v>
      </c>
      <c r="E2496" s="6"/>
      <c r="F2496" t="s">
        <v>15087</v>
      </c>
    </row>
    <row r="2497" spans="3:6" ht="15" x14ac:dyDescent="0.25">
      <c r="C2497" s="1644" t="s">
        <v>14535</v>
      </c>
      <c r="E2497" s="6"/>
      <c r="F2497" t="s">
        <v>15087</v>
      </c>
    </row>
    <row r="2498" spans="3:6" ht="15" x14ac:dyDescent="0.25">
      <c r="C2498" s="1644" t="s">
        <v>14536</v>
      </c>
      <c r="E2498" s="6"/>
      <c r="F2498" t="s">
        <v>15087</v>
      </c>
    </row>
    <row r="2499" spans="3:6" ht="15" x14ac:dyDescent="0.25">
      <c r="C2499" s="1644" t="s">
        <v>14537</v>
      </c>
      <c r="E2499" s="6"/>
      <c r="F2499" t="s">
        <v>15087</v>
      </c>
    </row>
    <row r="2500" spans="3:6" ht="15" x14ac:dyDescent="0.25">
      <c r="C2500" s="1644" t="s">
        <v>14538</v>
      </c>
      <c r="E2500" s="6">
        <v>2</v>
      </c>
      <c r="F2500" t="s">
        <v>15091</v>
      </c>
    </row>
    <row r="2501" spans="3:6" ht="15" x14ac:dyDescent="0.25">
      <c r="C2501" s="1644" t="s">
        <v>14539</v>
      </c>
      <c r="E2501" s="6">
        <v>5</v>
      </c>
      <c r="F2501" t="s">
        <v>15096</v>
      </c>
    </row>
    <row r="2502" spans="3:6" ht="15" x14ac:dyDescent="0.25">
      <c r="C2502" s="1644" t="s">
        <v>14540</v>
      </c>
      <c r="E2502" s="6"/>
      <c r="F2502" t="s">
        <v>15087</v>
      </c>
    </row>
    <row r="2503" spans="3:6" ht="15" x14ac:dyDescent="0.25">
      <c r="C2503" s="1644" t="s">
        <v>14541</v>
      </c>
      <c r="E2503" s="6">
        <v>2</v>
      </c>
      <c r="F2503" t="s">
        <v>15090</v>
      </c>
    </row>
    <row r="2504" spans="3:6" ht="15" x14ac:dyDescent="0.25">
      <c r="C2504" s="1644" t="s">
        <v>14542</v>
      </c>
      <c r="E2504" s="6"/>
      <c r="F2504" t="s">
        <v>15087</v>
      </c>
    </row>
    <row r="2505" spans="3:6" ht="15" x14ac:dyDescent="0.25">
      <c r="C2505" s="1644" t="s">
        <v>14543</v>
      </c>
      <c r="E2505" s="6"/>
      <c r="F2505" t="s">
        <v>15087</v>
      </c>
    </row>
    <row r="2506" spans="3:6" ht="15" x14ac:dyDescent="0.25">
      <c r="C2506" s="1644" t="s">
        <v>14544</v>
      </c>
      <c r="E2506" s="6"/>
      <c r="F2506" t="s">
        <v>15087</v>
      </c>
    </row>
    <row r="2507" spans="3:6" ht="15" x14ac:dyDescent="0.25">
      <c r="C2507" s="1644" t="s">
        <v>14545</v>
      </c>
      <c r="E2507" s="6"/>
      <c r="F2507" t="s">
        <v>15087</v>
      </c>
    </row>
    <row r="2508" spans="3:6" ht="15" x14ac:dyDescent="0.25">
      <c r="C2508" s="1644" t="s">
        <v>14546</v>
      </c>
      <c r="E2508" s="6"/>
      <c r="F2508" t="s">
        <v>15087</v>
      </c>
    </row>
    <row r="2509" spans="3:6" ht="15" x14ac:dyDescent="0.25">
      <c r="C2509" s="1644" t="s">
        <v>14547</v>
      </c>
      <c r="E2509" s="6">
        <v>2</v>
      </c>
      <c r="F2509" t="s">
        <v>15091</v>
      </c>
    </row>
    <row r="2510" spans="3:6" ht="15" x14ac:dyDescent="0.25">
      <c r="C2510" s="1644" t="s">
        <v>14548</v>
      </c>
      <c r="E2510" s="6"/>
      <c r="F2510" t="s">
        <v>15087</v>
      </c>
    </row>
    <row r="2511" spans="3:6" ht="15" x14ac:dyDescent="0.25">
      <c r="C2511" s="1644" t="s">
        <v>14549</v>
      </c>
      <c r="E2511" s="6"/>
      <c r="F2511" t="s">
        <v>15087</v>
      </c>
    </row>
    <row r="2512" spans="3:6" ht="15" x14ac:dyDescent="0.25">
      <c r="C2512" s="1644" t="s">
        <v>14550</v>
      </c>
      <c r="E2512" s="6"/>
      <c r="F2512" t="s">
        <v>15087</v>
      </c>
    </row>
    <row r="2513" spans="3:6" ht="15" x14ac:dyDescent="0.25">
      <c r="C2513" s="1644" t="s">
        <v>14551</v>
      </c>
      <c r="E2513" s="6">
        <v>19</v>
      </c>
      <c r="F2513" t="s">
        <v>15092</v>
      </c>
    </row>
    <row r="2514" spans="3:6" ht="15" x14ac:dyDescent="0.25">
      <c r="C2514" s="1644" t="s">
        <v>14552</v>
      </c>
      <c r="E2514" s="6"/>
      <c r="F2514" t="s">
        <v>15087</v>
      </c>
    </row>
    <row r="2515" spans="3:6" ht="15" x14ac:dyDescent="0.25">
      <c r="C2515" s="1644" t="s">
        <v>14553</v>
      </c>
      <c r="E2515" s="6">
        <v>1</v>
      </c>
      <c r="F2515" t="s">
        <v>15095</v>
      </c>
    </row>
    <row r="2516" spans="3:6" ht="15" x14ac:dyDescent="0.25">
      <c r="C2516" s="1644" t="s">
        <v>14554</v>
      </c>
      <c r="E2516" s="6"/>
      <c r="F2516" t="s">
        <v>15087</v>
      </c>
    </row>
    <row r="2517" spans="3:6" ht="15" x14ac:dyDescent="0.25">
      <c r="C2517" s="1644" t="s">
        <v>14555</v>
      </c>
      <c r="E2517" s="6">
        <v>1</v>
      </c>
      <c r="F2517" t="s">
        <v>15099</v>
      </c>
    </row>
    <row r="2518" spans="3:6" ht="15" x14ac:dyDescent="0.25">
      <c r="C2518" s="1644" t="s">
        <v>14556</v>
      </c>
      <c r="E2518" s="6"/>
      <c r="F2518" t="s">
        <v>15087</v>
      </c>
    </row>
    <row r="2519" spans="3:6" ht="15" x14ac:dyDescent="0.25">
      <c r="C2519" s="1644" t="s">
        <v>14557</v>
      </c>
      <c r="E2519" s="6"/>
      <c r="F2519" t="s">
        <v>15087</v>
      </c>
    </row>
    <row r="2520" spans="3:6" ht="15" x14ac:dyDescent="0.25">
      <c r="C2520" s="1644" t="s">
        <v>14558</v>
      </c>
      <c r="E2520" s="6"/>
      <c r="F2520" t="s">
        <v>15087</v>
      </c>
    </row>
    <row r="2521" spans="3:6" ht="15" x14ac:dyDescent="0.25">
      <c r="C2521" s="1644" t="s">
        <v>14559</v>
      </c>
      <c r="E2521" s="6">
        <v>3</v>
      </c>
      <c r="F2521" t="s">
        <v>15131</v>
      </c>
    </row>
    <row r="2522" spans="3:6" ht="15" x14ac:dyDescent="0.25">
      <c r="C2522" s="1644" t="s">
        <v>14560</v>
      </c>
      <c r="E2522" s="6"/>
      <c r="F2522" t="s">
        <v>15087</v>
      </c>
    </row>
    <row r="2523" spans="3:6" ht="15" x14ac:dyDescent="0.25">
      <c r="C2523" s="1644" t="s">
        <v>14561</v>
      </c>
      <c r="E2523" s="6"/>
      <c r="F2523" t="s">
        <v>15087</v>
      </c>
    </row>
    <row r="2524" spans="3:6" ht="15" x14ac:dyDescent="0.25">
      <c r="C2524" s="1644" t="s">
        <v>14562</v>
      </c>
      <c r="E2524" s="6">
        <v>1</v>
      </c>
      <c r="F2524" t="s">
        <v>15111</v>
      </c>
    </row>
    <row r="2525" spans="3:6" ht="15" x14ac:dyDescent="0.25">
      <c r="C2525" s="1644" t="s">
        <v>14563</v>
      </c>
      <c r="E2525" s="6"/>
      <c r="F2525" t="s">
        <v>15087</v>
      </c>
    </row>
    <row r="2526" spans="3:6" ht="15" x14ac:dyDescent="0.25">
      <c r="C2526" s="1644" t="s">
        <v>14564</v>
      </c>
      <c r="E2526" s="6"/>
      <c r="F2526" t="s">
        <v>15087</v>
      </c>
    </row>
    <row r="2527" spans="3:6" ht="15" x14ac:dyDescent="0.25">
      <c r="C2527" s="1644" t="s">
        <v>14565</v>
      </c>
      <c r="E2527" s="6"/>
      <c r="F2527" t="s">
        <v>15087</v>
      </c>
    </row>
    <row r="2528" spans="3:6" ht="15" x14ac:dyDescent="0.25">
      <c r="C2528" s="1644" t="s">
        <v>14566</v>
      </c>
      <c r="E2528" s="6">
        <v>2</v>
      </c>
      <c r="F2528" t="s">
        <v>15096</v>
      </c>
    </row>
    <row r="2529" spans="3:6" ht="15" x14ac:dyDescent="0.25">
      <c r="C2529" s="1644" t="s">
        <v>14567</v>
      </c>
      <c r="E2529" s="6"/>
      <c r="F2529" t="s">
        <v>15087</v>
      </c>
    </row>
    <row r="2530" spans="3:6" ht="15" x14ac:dyDescent="0.25">
      <c r="C2530" s="1644" t="s">
        <v>14568</v>
      </c>
      <c r="E2530" s="6"/>
      <c r="F2530" t="s">
        <v>15087</v>
      </c>
    </row>
    <row r="2531" spans="3:6" ht="15" x14ac:dyDescent="0.25">
      <c r="C2531" s="1644" t="s">
        <v>14569</v>
      </c>
      <c r="E2531" s="6">
        <v>7</v>
      </c>
      <c r="F2531" t="s">
        <v>15138</v>
      </c>
    </row>
    <row r="2532" spans="3:6" ht="15" x14ac:dyDescent="0.25">
      <c r="C2532" s="1644" t="s">
        <v>14570</v>
      </c>
      <c r="E2532" s="6"/>
      <c r="F2532" t="s">
        <v>15087</v>
      </c>
    </row>
    <row r="2533" spans="3:6" ht="15" x14ac:dyDescent="0.25">
      <c r="C2533" s="1644" t="s">
        <v>14571</v>
      </c>
      <c r="E2533" s="6">
        <v>1</v>
      </c>
      <c r="F2533" t="s">
        <v>15094</v>
      </c>
    </row>
    <row r="2534" spans="3:6" ht="15" x14ac:dyDescent="0.25">
      <c r="C2534" s="1644" t="s">
        <v>14572</v>
      </c>
      <c r="E2534" s="6"/>
      <c r="F2534" t="s">
        <v>15087</v>
      </c>
    </row>
    <row r="2535" spans="3:6" ht="15" x14ac:dyDescent="0.25">
      <c r="C2535" s="1644" t="s">
        <v>14573</v>
      </c>
      <c r="E2535" s="6"/>
      <c r="F2535" t="s">
        <v>15087</v>
      </c>
    </row>
    <row r="2536" spans="3:6" ht="15" x14ac:dyDescent="0.25">
      <c r="C2536" s="1644" t="s">
        <v>14574</v>
      </c>
      <c r="E2536" s="6"/>
      <c r="F2536" t="s">
        <v>15087</v>
      </c>
    </row>
    <row r="2537" spans="3:6" ht="15" x14ac:dyDescent="0.25">
      <c r="C2537" s="1644" t="s">
        <v>14575</v>
      </c>
      <c r="E2537" s="6"/>
      <c r="F2537" t="s">
        <v>15087</v>
      </c>
    </row>
    <row r="2538" spans="3:6" ht="15" x14ac:dyDescent="0.25">
      <c r="C2538" s="1644" t="s">
        <v>14576</v>
      </c>
      <c r="E2538" s="6"/>
      <c r="F2538" t="s">
        <v>15087</v>
      </c>
    </row>
    <row r="2539" spans="3:6" ht="15" x14ac:dyDescent="0.25">
      <c r="C2539" s="1644" t="s">
        <v>14577</v>
      </c>
      <c r="E2539" s="6"/>
      <c r="F2539" t="s">
        <v>15087</v>
      </c>
    </row>
    <row r="2540" spans="3:6" ht="15" x14ac:dyDescent="0.25">
      <c r="C2540" s="1644" t="s">
        <v>14578</v>
      </c>
      <c r="E2540" s="6"/>
      <c r="F2540" t="s">
        <v>15087</v>
      </c>
    </row>
    <row r="2541" spans="3:6" ht="15" x14ac:dyDescent="0.25">
      <c r="C2541" s="1644" t="s">
        <v>14579</v>
      </c>
      <c r="E2541" s="6"/>
      <c r="F2541" t="s">
        <v>15087</v>
      </c>
    </row>
    <row r="2542" spans="3:6" ht="15" x14ac:dyDescent="0.25">
      <c r="C2542" s="1644" t="s">
        <v>14580</v>
      </c>
      <c r="E2542" s="6"/>
      <c r="F2542" t="s">
        <v>15087</v>
      </c>
    </row>
    <row r="2543" spans="3:6" ht="15" x14ac:dyDescent="0.25">
      <c r="C2543" s="1644" t="s">
        <v>14581</v>
      </c>
      <c r="E2543" s="6"/>
      <c r="F2543" t="s">
        <v>15087</v>
      </c>
    </row>
    <row r="2544" spans="3:6" ht="15" x14ac:dyDescent="0.25">
      <c r="C2544" s="1644" t="s">
        <v>14582</v>
      </c>
      <c r="E2544" s="6"/>
      <c r="F2544" t="s">
        <v>15087</v>
      </c>
    </row>
    <row r="2545" spans="3:6" ht="15" x14ac:dyDescent="0.25">
      <c r="C2545" s="1644" t="s">
        <v>14583</v>
      </c>
      <c r="E2545" s="6"/>
      <c r="F2545" t="s">
        <v>15087</v>
      </c>
    </row>
    <row r="2546" spans="3:6" ht="15" x14ac:dyDescent="0.25">
      <c r="C2546" s="1644" t="s">
        <v>14584</v>
      </c>
      <c r="E2546" s="6"/>
      <c r="F2546" t="s">
        <v>15087</v>
      </c>
    </row>
    <row r="2547" spans="3:6" ht="15" x14ac:dyDescent="0.25">
      <c r="C2547" s="1644" t="s">
        <v>14585</v>
      </c>
      <c r="E2547" s="6"/>
      <c r="F2547" t="s">
        <v>15087</v>
      </c>
    </row>
    <row r="2548" spans="3:6" ht="15" x14ac:dyDescent="0.25">
      <c r="C2548" s="1644" t="s">
        <v>14586</v>
      </c>
      <c r="E2548" s="6"/>
      <c r="F2548" t="s">
        <v>15087</v>
      </c>
    </row>
    <row r="2549" spans="3:6" ht="15" x14ac:dyDescent="0.25">
      <c r="C2549" s="1644" t="s">
        <v>14587</v>
      </c>
      <c r="E2549" s="6"/>
      <c r="F2549" t="s">
        <v>15087</v>
      </c>
    </row>
    <row r="2550" spans="3:6" ht="15" x14ac:dyDescent="0.25">
      <c r="C2550" s="1644" t="s">
        <v>14588</v>
      </c>
      <c r="E2550" s="6"/>
      <c r="F2550" t="s">
        <v>15087</v>
      </c>
    </row>
    <row r="2551" spans="3:6" ht="15" x14ac:dyDescent="0.25">
      <c r="C2551" s="1644" t="s">
        <v>14589</v>
      </c>
      <c r="E2551" s="6"/>
      <c r="F2551" t="s">
        <v>15087</v>
      </c>
    </row>
    <row r="2552" spans="3:6" ht="15" x14ac:dyDescent="0.25">
      <c r="C2552" s="1644" t="s">
        <v>14590</v>
      </c>
      <c r="E2552" s="6">
        <v>1</v>
      </c>
      <c r="F2552" t="s">
        <v>15090</v>
      </c>
    </row>
    <row r="2553" spans="3:6" ht="15" x14ac:dyDescent="0.25">
      <c r="C2553" s="1644" t="s">
        <v>14591</v>
      </c>
      <c r="E2553" s="6"/>
      <c r="F2553" t="s">
        <v>15087</v>
      </c>
    </row>
    <row r="2554" spans="3:6" ht="15" x14ac:dyDescent="0.25">
      <c r="C2554" s="1644" t="s">
        <v>14592</v>
      </c>
      <c r="E2554" s="6">
        <v>3</v>
      </c>
      <c r="F2554" t="s">
        <v>15096</v>
      </c>
    </row>
    <row r="2555" spans="3:6" ht="15" x14ac:dyDescent="0.25">
      <c r="C2555" s="1644" t="s">
        <v>14593</v>
      </c>
      <c r="E2555" s="6"/>
      <c r="F2555" t="s">
        <v>15087</v>
      </c>
    </row>
    <row r="2556" spans="3:6" ht="15" x14ac:dyDescent="0.25">
      <c r="C2556" s="1644" t="s">
        <v>14594</v>
      </c>
      <c r="E2556" s="6">
        <v>1</v>
      </c>
      <c r="F2556" t="s">
        <v>15094</v>
      </c>
    </row>
    <row r="2557" spans="3:6" ht="15" x14ac:dyDescent="0.25">
      <c r="C2557" s="1644" t="s">
        <v>14595</v>
      </c>
      <c r="E2557" s="6"/>
      <c r="F2557" t="s">
        <v>15087</v>
      </c>
    </row>
    <row r="2558" spans="3:6" ht="15" x14ac:dyDescent="0.25">
      <c r="C2558" s="1644" t="s">
        <v>14596</v>
      </c>
      <c r="E2558" s="6"/>
      <c r="F2558" t="s">
        <v>15087</v>
      </c>
    </row>
    <row r="2559" spans="3:6" ht="15" x14ac:dyDescent="0.25">
      <c r="C2559" s="1644" t="s">
        <v>14597</v>
      </c>
      <c r="E2559" s="6"/>
      <c r="F2559" t="s">
        <v>15087</v>
      </c>
    </row>
    <row r="2560" spans="3:6" ht="15" x14ac:dyDescent="0.25">
      <c r="C2560" s="1644" t="s">
        <v>14598</v>
      </c>
      <c r="E2560" s="6"/>
      <c r="F2560" t="s">
        <v>15087</v>
      </c>
    </row>
    <row r="2561" spans="3:6" ht="15" x14ac:dyDescent="0.25">
      <c r="C2561" s="1644" t="s">
        <v>14599</v>
      </c>
      <c r="E2561" s="6">
        <v>27</v>
      </c>
      <c r="F2561" t="s">
        <v>15102</v>
      </c>
    </row>
    <row r="2562" spans="3:6" ht="15" x14ac:dyDescent="0.25">
      <c r="C2562" s="1644" t="s">
        <v>14600</v>
      </c>
      <c r="E2562" s="6">
        <v>1</v>
      </c>
      <c r="F2562" t="s">
        <v>15094</v>
      </c>
    </row>
    <row r="2563" spans="3:6" ht="15" x14ac:dyDescent="0.25">
      <c r="C2563" s="1644" t="s">
        <v>14601</v>
      </c>
      <c r="E2563" s="6"/>
      <c r="F2563" t="s">
        <v>15087</v>
      </c>
    </row>
    <row r="2564" spans="3:6" ht="15" x14ac:dyDescent="0.25">
      <c r="C2564" s="1644" t="s">
        <v>14602</v>
      </c>
      <c r="E2564" s="6"/>
      <c r="F2564" t="s">
        <v>15087</v>
      </c>
    </row>
    <row r="2565" spans="3:6" ht="15" x14ac:dyDescent="0.25">
      <c r="C2565" s="1644" t="s">
        <v>14603</v>
      </c>
      <c r="E2565" s="6"/>
      <c r="F2565" t="s">
        <v>15087</v>
      </c>
    </row>
    <row r="2566" spans="3:6" ht="15" x14ac:dyDescent="0.25">
      <c r="C2566" s="1644" t="s">
        <v>14604</v>
      </c>
      <c r="E2566" s="6"/>
      <c r="F2566" t="s">
        <v>15087</v>
      </c>
    </row>
    <row r="2567" spans="3:6" ht="15" x14ac:dyDescent="0.25">
      <c r="C2567" s="1644" t="s">
        <v>14605</v>
      </c>
      <c r="E2567" s="6"/>
      <c r="F2567" t="s">
        <v>15087</v>
      </c>
    </row>
    <row r="2568" spans="3:6" ht="15" x14ac:dyDescent="0.25">
      <c r="C2568" s="1644" t="s">
        <v>14606</v>
      </c>
      <c r="E2568" s="6"/>
      <c r="F2568" t="s">
        <v>15087</v>
      </c>
    </row>
    <row r="2569" spans="3:6" ht="15" x14ac:dyDescent="0.25">
      <c r="C2569" s="1644" t="s">
        <v>14607</v>
      </c>
      <c r="E2569" s="6"/>
      <c r="F2569" t="s">
        <v>15087</v>
      </c>
    </row>
    <row r="2570" spans="3:6" ht="15" x14ac:dyDescent="0.25">
      <c r="C2570" s="1644" t="s">
        <v>14608</v>
      </c>
      <c r="E2570" s="6"/>
      <c r="F2570" t="s">
        <v>15087</v>
      </c>
    </row>
    <row r="2571" spans="3:6" ht="15" x14ac:dyDescent="0.25">
      <c r="C2571" s="1644" t="s">
        <v>14609</v>
      </c>
      <c r="E2571" s="6"/>
      <c r="F2571" t="s">
        <v>15087</v>
      </c>
    </row>
    <row r="2572" spans="3:6" ht="15" x14ac:dyDescent="0.25">
      <c r="C2572" s="1644" t="s">
        <v>14610</v>
      </c>
      <c r="E2572" s="6">
        <v>1</v>
      </c>
      <c r="F2572" t="s">
        <v>15099</v>
      </c>
    </row>
    <row r="2573" spans="3:6" ht="15" x14ac:dyDescent="0.25">
      <c r="C2573" s="1644" t="s">
        <v>14611</v>
      </c>
      <c r="E2573" s="6"/>
      <c r="F2573" t="s">
        <v>15087</v>
      </c>
    </row>
    <row r="2574" spans="3:6" ht="15" x14ac:dyDescent="0.25">
      <c r="C2574" s="1644" t="s">
        <v>14612</v>
      </c>
      <c r="E2574" s="6"/>
      <c r="F2574" t="s">
        <v>15087</v>
      </c>
    </row>
    <row r="2575" spans="3:6" ht="15" x14ac:dyDescent="0.25">
      <c r="C2575" s="1644" t="s">
        <v>14613</v>
      </c>
      <c r="E2575" s="6"/>
      <c r="F2575" t="s">
        <v>15087</v>
      </c>
    </row>
    <row r="2576" spans="3:6" ht="15" x14ac:dyDescent="0.25">
      <c r="C2576" s="1644" t="s">
        <v>14614</v>
      </c>
      <c r="E2576" s="6"/>
      <c r="F2576" t="s">
        <v>15087</v>
      </c>
    </row>
    <row r="2577" spans="3:6" ht="15" x14ac:dyDescent="0.25">
      <c r="C2577" s="1644" t="s">
        <v>14615</v>
      </c>
      <c r="E2577" s="6"/>
      <c r="F2577" t="s">
        <v>15087</v>
      </c>
    </row>
    <row r="2578" spans="3:6" ht="15" x14ac:dyDescent="0.25">
      <c r="C2578" s="1644" t="s">
        <v>14616</v>
      </c>
      <c r="E2578" s="6">
        <v>1</v>
      </c>
      <c r="F2578" t="s">
        <v>15090</v>
      </c>
    </row>
    <row r="2579" spans="3:6" ht="15" x14ac:dyDescent="0.25">
      <c r="C2579" s="1644" t="s">
        <v>14617</v>
      </c>
      <c r="E2579" s="6">
        <v>1</v>
      </c>
      <c r="F2579" t="s">
        <v>15138</v>
      </c>
    </row>
    <row r="2580" spans="3:6" ht="15" x14ac:dyDescent="0.25">
      <c r="C2580" s="1644" t="s">
        <v>14618</v>
      </c>
      <c r="E2580" s="6"/>
      <c r="F2580" t="s">
        <v>15087</v>
      </c>
    </row>
    <row r="2581" spans="3:6" ht="15" x14ac:dyDescent="0.25">
      <c r="C2581" s="1644" t="s">
        <v>14619</v>
      </c>
      <c r="E2581" s="6"/>
      <c r="F2581" t="s">
        <v>15087</v>
      </c>
    </row>
    <row r="2582" spans="3:6" ht="15" x14ac:dyDescent="0.25">
      <c r="C2582" s="1644" t="s">
        <v>14620</v>
      </c>
      <c r="E2582" s="6"/>
      <c r="F2582" t="s">
        <v>15087</v>
      </c>
    </row>
    <row r="2583" spans="3:6" ht="15" x14ac:dyDescent="0.25">
      <c r="C2583" s="1644" t="s">
        <v>14621</v>
      </c>
      <c r="E2583" s="6"/>
      <c r="F2583" t="s">
        <v>15087</v>
      </c>
    </row>
    <row r="2584" spans="3:6" ht="15" x14ac:dyDescent="0.25">
      <c r="C2584" s="1644" t="s">
        <v>14622</v>
      </c>
      <c r="E2584" s="6"/>
      <c r="F2584" t="s">
        <v>15087</v>
      </c>
    </row>
    <row r="2585" spans="3:6" ht="15" x14ac:dyDescent="0.25">
      <c r="C2585" s="1644" t="s">
        <v>14623</v>
      </c>
      <c r="E2585" s="6"/>
      <c r="F2585" t="s">
        <v>15087</v>
      </c>
    </row>
    <row r="2586" spans="3:6" ht="15" x14ac:dyDescent="0.25">
      <c r="C2586" s="1644" t="s">
        <v>14624</v>
      </c>
      <c r="E2586" s="6">
        <v>4</v>
      </c>
      <c r="F2586" t="s">
        <v>15089</v>
      </c>
    </row>
    <row r="2587" spans="3:6" ht="15" x14ac:dyDescent="0.25">
      <c r="C2587" s="1644" t="s">
        <v>14625</v>
      </c>
      <c r="E2587" s="6">
        <v>1</v>
      </c>
      <c r="F2587" t="s">
        <v>15146</v>
      </c>
    </row>
    <row r="2588" spans="3:6" ht="15" x14ac:dyDescent="0.25">
      <c r="C2588" s="1644" t="s">
        <v>14626</v>
      </c>
      <c r="E2588" s="6"/>
      <c r="F2588" t="s">
        <v>15087</v>
      </c>
    </row>
    <row r="2589" spans="3:6" ht="15" x14ac:dyDescent="0.25">
      <c r="C2589" s="1644" t="s">
        <v>14627</v>
      </c>
      <c r="E2589" s="6"/>
      <c r="F2589" t="s">
        <v>15087</v>
      </c>
    </row>
    <row r="2590" spans="3:6" ht="15" x14ac:dyDescent="0.25">
      <c r="C2590" s="1644" t="s">
        <v>14628</v>
      </c>
      <c r="E2590" s="6">
        <v>5</v>
      </c>
      <c r="F2590" t="s">
        <v>15096</v>
      </c>
    </row>
    <row r="2591" spans="3:6" ht="15" x14ac:dyDescent="0.25">
      <c r="C2591" s="1644" t="s">
        <v>14629</v>
      </c>
      <c r="E2591" s="6">
        <v>7</v>
      </c>
      <c r="F2591" t="s">
        <v>15110</v>
      </c>
    </row>
    <row r="2592" spans="3:6" ht="15" x14ac:dyDescent="0.25">
      <c r="C2592" s="1644" t="s">
        <v>14630</v>
      </c>
      <c r="E2592" s="6"/>
      <c r="F2592" t="s">
        <v>15087</v>
      </c>
    </row>
    <row r="2593" spans="3:6" ht="15" x14ac:dyDescent="0.25">
      <c r="C2593" s="1644" t="s">
        <v>14631</v>
      </c>
      <c r="E2593" s="6"/>
      <c r="F2593" t="s">
        <v>15087</v>
      </c>
    </row>
    <row r="2594" spans="3:6" ht="15" x14ac:dyDescent="0.25">
      <c r="C2594" s="1644" t="s">
        <v>14632</v>
      </c>
      <c r="E2594" s="6"/>
      <c r="F2594" t="s">
        <v>15087</v>
      </c>
    </row>
    <row r="2595" spans="3:6" ht="15" x14ac:dyDescent="0.25">
      <c r="C2595" s="1644" t="s">
        <v>14633</v>
      </c>
      <c r="E2595" s="6"/>
      <c r="F2595" t="s">
        <v>15087</v>
      </c>
    </row>
    <row r="2596" spans="3:6" ht="15" x14ac:dyDescent="0.25">
      <c r="C2596" s="1644" t="s">
        <v>14634</v>
      </c>
      <c r="E2596" s="6">
        <v>11</v>
      </c>
      <c r="F2596" t="s">
        <v>15090</v>
      </c>
    </row>
    <row r="2597" spans="3:6" ht="15" x14ac:dyDescent="0.25">
      <c r="C2597" s="1644" t="s">
        <v>14635</v>
      </c>
      <c r="E2597" s="6"/>
      <c r="F2597" t="s">
        <v>15087</v>
      </c>
    </row>
    <row r="2598" spans="3:6" ht="15" x14ac:dyDescent="0.25">
      <c r="C2598" s="1644" t="s">
        <v>14636</v>
      </c>
      <c r="E2598" s="6"/>
      <c r="F2598" t="s">
        <v>15087</v>
      </c>
    </row>
    <row r="2599" spans="3:6" ht="15" x14ac:dyDescent="0.25">
      <c r="C2599" s="1644" t="s">
        <v>14637</v>
      </c>
      <c r="E2599" s="6">
        <v>4</v>
      </c>
      <c r="F2599" t="s">
        <v>15092</v>
      </c>
    </row>
    <row r="2600" spans="3:6" ht="15" x14ac:dyDescent="0.25">
      <c r="C2600" s="1644" t="s">
        <v>14638</v>
      </c>
      <c r="E2600" s="6"/>
      <c r="F2600" t="s">
        <v>15087</v>
      </c>
    </row>
    <row r="2601" spans="3:6" ht="15" x14ac:dyDescent="0.25">
      <c r="C2601" s="1644" t="s">
        <v>14639</v>
      </c>
      <c r="E2601" s="6"/>
      <c r="F2601" t="s">
        <v>15087</v>
      </c>
    </row>
    <row r="2602" spans="3:6" ht="15" x14ac:dyDescent="0.25">
      <c r="C2602" s="1644" t="s">
        <v>14640</v>
      </c>
      <c r="E2602" s="6">
        <v>1</v>
      </c>
      <c r="F2602" t="s">
        <v>15090</v>
      </c>
    </row>
    <row r="2603" spans="3:6" ht="15" x14ac:dyDescent="0.25">
      <c r="C2603" s="1644" t="s">
        <v>14641</v>
      </c>
      <c r="E2603" s="6"/>
      <c r="F2603" t="s">
        <v>15087</v>
      </c>
    </row>
    <row r="2604" spans="3:6" ht="15" x14ac:dyDescent="0.25">
      <c r="C2604" s="1644" t="s">
        <v>14642</v>
      </c>
      <c r="E2604" s="6"/>
      <c r="F2604" t="s">
        <v>15087</v>
      </c>
    </row>
    <row r="2605" spans="3:6" ht="15" x14ac:dyDescent="0.25">
      <c r="C2605" s="1644" t="s">
        <v>14643</v>
      </c>
      <c r="E2605" s="6"/>
      <c r="F2605" t="s">
        <v>15087</v>
      </c>
    </row>
    <row r="2606" spans="3:6" ht="15" x14ac:dyDescent="0.25">
      <c r="C2606" s="1644" t="s">
        <v>14644</v>
      </c>
      <c r="E2606" s="6">
        <v>2</v>
      </c>
      <c r="F2606" t="s">
        <v>15092</v>
      </c>
    </row>
    <row r="2607" spans="3:6" ht="15" x14ac:dyDescent="0.25">
      <c r="C2607" s="1644" t="s">
        <v>14645</v>
      </c>
      <c r="E2607" s="6">
        <v>590</v>
      </c>
      <c r="F2607" t="s">
        <v>15101</v>
      </c>
    </row>
    <row r="2608" spans="3:6" ht="15" x14ac:dyDescent="0.25">
      <c r="C2608" s="1644" t="s">
        <v>14646</v>
      </c>
      <c r="E2608" s="6"/>
      <c r="F2608" t="s">
        <v>15087</v>
      </c>
    </row>
    <row r="2609" spans="3:6" ht="15" x14ac:dyDescent="0.25">
      <c r="C2609" s="1644" t="s">
        <v>14647</v>
      </c>
      <c r="E2609" s="6"/>
      <c r="F2609" t="s">
        <v>15087</v>
      </c>
    </row>
    <row r="2610" spans="3:6" ht="15" x14ac:dyDescent="0.25">
      <c r="C2610" s="1644" t="s">
        <v>14648</v>
      </c>
      <c r="E2610" s="6"/>
      <c r="F2610" t="s">
        <v>15087</v>
      </c>
    </row>
    <row r="2611" spans="3:6" ht="15" x14ac:dyDescent="0.25">
      <c r="C2611" s="1644" t="s">
        <v>14649</v>
      </c>
      <c r="E2611" s="6"/>
      <c r="F2611" t="s">
        <v>15087</v>
      </c>
    </row>
    <row r="2612" spans="3:6" ht="15" x14ac:dyDescent="0.25">
      <c r="C2612" s="1644" t="s">
        <v>14650</v>
      </c>
      <c r="E2612" s="6"/>
      <c r="F2612" t="s">
        <v>15087</v>
      </c>
    </row>
    <row r="2613" spans="3:6" ht="15" x14ac:dyDescent="0.25">
      <c r="C2613" s="1644" t="s">
        <v>14651</v>
      </c>
      <c r="E2613" s="6"/>
      <c r="F2613" t="s">
        <v>15087</v>
      </c>
    </row>
    <row r="2614" spans="3:6" ht="15" x14ac:dyDescent="0.25">
      <c r="C2614" s="1644" t="s">
        <v>14652</v>
      </c>
      <c r="E2614" s="6">
        <v>8</v>
      </c>
      <c r="F2614" t="s">
        <v>15090</v>
      </c>
    </row>
    <row r="2615" spans="3:6" ht="15" x14ac:dyDescent="0.25">
      <c r="C2615" s="1644" t="s">
        <v>14653</v>
      </c>
      <c r="E2615" s="6"/>
      <c r="F2615" t="s">
        <v>15087</v>
      </c>
    </row>
    <row r="2616" spans="3:6" ht="15" x14ac:dyDescent="0.25">
      <c r="C2616" s="1644" t="s">
        <v>14654</v>
      </c>
      <c r="E2616" s="6">
        <v>1</v>
      </c>
      <c r="F2616" t="s">
        <v>15110</v>
      </c>
    </row>
    <row r="2617" spans="3:6" ht="15" x14ac:dyDescent="0.25">
      <c r="C2617" s="1644" t="s">
        <v>14655</v>
      </c>
      <c r="E2617" s="6"/>
      <c r="F2617" t="s">
        <v>15087</v>
      </c>
    </row>
    <row r="2618" spans="3:6" ht="15" x14ac:dyDescent="0.25">
      <c r="C2618" s="1644" t="s">
        <v>14656</v>
      </c>
      <c r="E2618" s="6"/>
      <c r="F2618" t="s">
        <v>15087</v>
      </c>
    </row>
    <row r="2619" spans="3:6" ht="15" x14ac:dyDescent="0.25">
      <c r="C2619" s="1644" t="s">
        <v>14657</v>
      </c>
      <c r="E2619" s="6">
        <v>2</v>
      </c>
      <c r="F2619" t="s">
        <v>15091</v>
      </c>
    </row>
    <row r="2620" spans="3:6" ht="15" x14ac:dyDescent="0.25">
      <c r="C2620" s="1644" t="s">
        <v>14658</v>
      </c>
      <c r="E2620" s="6"/>
      <c r="F2620" t="s">
        <v>15087</v>
      </c>
    </row>
    <row r="2621" spans="3:6" ht="15" x14ac:dyDescent="0.25">
      <c r="C2621" s="1644" t="s">
        <v>14659</v>
      </c>
      <c r="E2621" s="6">
        <v>73</v>
      </c>
      <c r="F2621" t="s">
        <v>15092</v>
      </c>
    </row>
    <row r="2622" spans="3:6" ht="15" x14ac:dyDescent="0.25">
      <c r="C2622" s="1644" t="s">
        <v>14660</v>
      </c>
      <c r="E2622" s="6"/>
      <c r="F2622" t="s">
        <v>15087</v>
      </c>
    </row>
    <row r="2623" spans="3:6" ht="15" x14ac:dyDescent="0.25">
      <c r="C2623" s="1644" t="s">
        <v>14661</v>
      </c>
      <c r="E2623" s="6">
        <v>71</v>
      </c>
      <c r="F2623" t="s">
        <v>15138</v>
      </c>
    </row>
    <row r="2624" spans="3:6" ht="15" x14ac:dyDescent="0.25">
      <c r="C2624" s="1644" t="s">
        <v>14662</v>
      </c>
      <c r="E2624" s="6">
        <v>8</v>
      </c>
      <c r="F2624" t="s">
        <v>15092</v>
      </c>
    </row>
    <row r="2625" spans="3:6" ht="15" x14ac:dyDescent="0.25">
      <c r="C2625" s="1644" t="s">
        <v>14663</v>
      </c>
      <c r="E2625" s="6"/>
      <c r="F2625" t="s">
        <v>15087</v>
      </c>
    </row>
    <row r="2626" spans="3:6" ht="15" x14ac:dyDescent="0.25">
      <c r="C2626" s="1644" t="s">
        <v>14664</v>
      </c>
      <c r="E2626" s="6"/>
      <c r="F2626" t="s">
        <v>15087</v>
      </c>
    </row>
    <row r="2627" spans="3:6" ht="15" x14ac:dyDescent="0.25">
      <c r="C2627" s="1644" t="s">
        <v>14665</v>
      </c>
      <c r="E2627" s="6">
        <v>4</v>
      </c>
      <c r="F2627" t="s">
        <v>15107</v>
      </c>
    </row>
    <row r="2628" spans="3:6" ht="15" x14ac:dyDescent="0.25">
      <c r="C2628" s="1644" t="s">
        <v>14666</v>
      </c>
      <c r="E2628" s="6"/>
      <c r="F2628" t="s">
        <v>15087</v>
      </c>
    </row>
    <row r="2629" spans="3:6" ht="15" x14ac:dyDescent="0.25">
      <c r="C2629" s="1644" t="s">
        <v>14667</v>
      </c>
      <c r="E2629" s="6">
        <v>2</v>
      </c>
      <c r="F2629" t="s">
        <v>15146</v>
      </c>
    </row>
    <row r="2630" spans="3:6" ht="15" x14ac:dyDescent="0.25">
      <c r="C2630" s="1644" t="s">
        <v>14668</v>
      </c>
      <c r="E2630" s="6">
        <v>2</v>
      </c>
      <c r="F2630" t="s">
        <v>15089</v>
      </c>
    </row>
    <row r="2631" spans="3:6" ht="15" x14ac:dyDescent="0.25">
      <c r="C2631" s="1644" t="s">
        <v>14669</v>
      </c>
      <c r="E2631" s="6"/>
      <c r="F2631" t="s">
        <v>15087</v>
      </c>
    </row>
    <row r="2632" spans="3:6" ht="15" x14ac:dyDescent="0.25">
      <c r="C2632" s="1644" t="s">
        <v>14670</v>
      </c>
      <c r="E2632" s="6"/>
      <c r="F2632" t="s">
        <v>15087</v>
      </c>
    </row>
    <row r="2633" spans="3:6" ht="15" x14ac:dyDescent="0.25">
      <c r="C2633" s="1644" t="s">
        <v>14671</v>
      </c>
      <c r="E2633" s="6"/>
      <c r="F2633" t="s">
        <v>15087</v>
      </c>
    </row>
    <row r="2634" spans="3:6" ht="15" x14ac:dyDescent="0.25">
      <c r="C2634" s="1644" t="s">
        <v>14672</v>
      </c>
      <c r="E2634" s="6"/>
      <c r="F2634" t="s">
        <v>15087</v>
      </c>
    </row>
    <row r="2635" spans="3:6" ht="15" x14ac:dyDescent="0.25">
      <c r="C2635" s="1644" t="s">
        <v>14673</v>
      </c>
      <c r="E2635" s="6"/>
      <c r="F2635" t="s">
        <v>15087</v>
      </c>
    </row>
    <row r="2636" spans="3:6" ht="15" x14ac:dyDescent="0.25">
      <c r="C2636" s="1644" t="s">
        <v>14674</v>
      </c>
      <c r="E2636" s="6"/>
      <c r="F2636" t="s">
        <v>15087</v>
      </c>
    </row>
    <row r="2637" spans="3:6" ht="15" x14ac:dyDescent="0.25">
      <c r="C2637" s="1644" t="s">
        <v>14675</v>
      </c>
      <c r="E2637" s="6"/>
      <c r="F2637" t="s">
        <v>15087</v>
      </c>
    </row>
    <row r="2638" spans="3:6" ht="15" x14ac:dyDescent="0.25">
      <c r="C2638" s="1644" t="s">
        <v>14676</v>
      </c>
      <c r="E2638" s="6"/>
      <c r="F2638" t="s">
        <v>15087</v>
      </c>
    </row>
    <row r="2639" spans="3:6" ht="15" x14ac:dyDescent="0.25">
      <c r="C2639" s="1644" t="s">
        <v>14677</v>
      </c>
      <c r="E2639" s="6">
        <v>3</v>
      </c>
      <c r="F2639" t="s">
        <v>15094</v>
      </c>
    </row>
    <row r="2640" spans="3:6" ht="15" x14ac:dyDescent="0.25">
      <c r="C2640" s="1644" t="s">
        <v>14678</v>
      </c>
      <c r="E2640" s="6"/>
      <c r="F2640" t="s">
        <v>15087</v>
      </c>
    </row>
    <row r="2641" spans="3:6" ht="15" x14ac:dyDescent="0.25">
      <c r="C2641" s="1644" t="s">
        <v>14679</v>
      </c>
      <c r="E2641" s="6"/>
      <c r="F2641" t="s">
        <v>15087</v>
      </c>
    </row>
    <row r="2642" spans="3:6" ht="15" x14ac:dyDescent="0.25">
      <c r="C2642" s="1644" t="s">
        <v>14680</v>
      </c>
      <c r="E2642" s="6">
        <v>2</v>
      </c>
      <c r="F2642" t="s">
        <v>15116</v>
      </c>
    </row>
    <row r="2643" spans="3:6" ht="15" x14ac:dyDescent="0.25">
      <c r="C2643" s="1644" t="s">
        <v>14681</v>
      </c>
      <c r="E2643" s="6"/>
      <c r="F2643" t="s">
        <v>15087</v>
      </c>
    </row>
    <row r="2644" spans="3:6" ht="15" x14ac:dyDescent="0.25">
      <c r="C2644" s="1644" t="s">
        <v>14682</v>
      </c>
      <c r="E2644" s="6"/>
      <c r="F2644" t="s">
        <v>15087</v>
      </c>
    </row>
    <row r="2645" spans="3:6" ht="15" x14ac:dyDescent="0.25">
      <c r="C2645" s="1644" t="s">
        <v>14683</v>
      </c>
      <c r="E2645" s="6"/>
      <c r="F2645" t="s">
        <v>15087</v>
      </c>
    </row>
    <row r="2646" spans="3:6" ht="15" x14ac:dyDescent="0.25">
      <c r="C2646" s="1644" t="s">
        <v>14684</v>
      </c>
      <c r="E2646" s="6">
        <v>1</v>
      </c>
      <c r="F2646" t="s">
        <v>15119</v>
      </c>
    </row>
    <row r="2647" spans="3:6" ht="15" x14ac:dyDescent="0.25">
      <c r="C2647" s="1644" t="s">
        <v>14685</v>
      </c>
      <c r="E2647" s="6">
        <v>7</v>
      </c>
      <c r="F2647" t="s">
        <v>15147</v>
      </c>
    </row>
    <row r="2648" spans="3:6" ht="15" x14ac:dyDescent="0.25">
      <c r="C2648" s="1644" t="s">
        <v>14686</v>
      </c>
      <c r="E2648" s="6">
        <v>2</v>
      </c>
      <c r="F2648" t="s">
        <v>15091</v>
      </c>
    </row>
    <row r="2649" spans="3:6" ht="15" x14ac:dyDescent="0.25">
      <c r="C2649" s="1644" t="s">
        <v>14687</v>
      </c>
      <c r="E2649" s="6"/>
      <c r="F2649" t="s">
        <v>15087</v>
      </c>
    </row>
    <row r="2650" spans="3:6" ht="15" x14ac:dyDescent="0.25">
      <c r="C2650" s="1644" t="s">
        <v>14688</v>
      </c>
      <c r="E2650" s="6"/>
      <c r="F2650" t="s">
        <v>15087</v>
      </c>
    </row>
    <row r="2651" spans="3:6" ht="15" x14ac:dyDescent="0.25">
      <c r="C2651" s="1644" t="s">
        <v>14689</v>
      </c>
      <c r="E2651" s="6"/>
      <c r="F2651" t="s">
        <v>15087</v>
      </c>
    </row>
    <row r="2652" spans="3:6" ht="15" x14ac:dyDescent="0.25">
      <c r="C2652" s="1644" t="s">
        <v>14690</v>
      </c>
      <c r="E2652" s="6">
        <v>1</v>
      </c>
      <c r="F2652" t="s">
        <v>15094</v>
      </c>
    </row>
    <row r="2653" spans="3:6" ht="15" x14ac:dyDescent="0.25">
      <c r="C2653" s="1644" t="s">
        <v>14691</v>
      </c>
      <c r="E2653" s="6"/>
      <c r="F2653" t="s">
        <v>15087</v>
      </c>
    </row>
    <row r="2654" spans="3:6" ht="15" x14ac:dyDescent="0.25">
      <c r="C2654" s="1644" t="s">
        <v>14692</v>
      </c>
      <c r="E2654" s="6"/>
      <c r="F2654" t="s">
        <v>15087</v>
      </c>
    </row>
    <row r="2655" spans="3:6" ht="15" x14ac:dyDescent="0.25">
      <c r="C2655" s="1644" t="s">
        <v>14693</v>
      </c>
      <c r="E2655" s="6"/>
      <c r="F2655" t="s">
        <v>15087</v>
      </c>
    </row>
    <row r="2656" spans="3:6" ht="15" x14ac:dyDescent="0.25">
      <c r="C2656" s="1644" t="s">
        <v>14694</v>
      </c>
      <c r="E2656" s="6"/>
      <c r="F2656" t="s">
        <v>15087</v>
      </c>
    </row>
    <row r="2657" spans="3:6" ht="15" x14ac:dyDescent="0.25">
      <c r="C2657" s="1644" t="s">
        <v>14695</v>
      </c>
      <c r="E2657" s="6">
        <v>1</v>
      </c>
      <c r="F2657" t="s">
        <v>15138</v>
      </c>
    </row>
    <row r="2658" spans="3:6" ht="15" x14ac:dyDescent="0.25">
      <c r="C2658" s="1644" t="s">
        <v>14696</v>
      </c>
      <c r="E2658" s="6"/>
      <c r="F2658" t="s">
        <v>15087</v>
      </c>
    </row>
    <row r="2659" spans="3:6" ht="15" x14ac:dyDescent="0.25">
      <c r="C2659" s="1644" t="s">
        <v>14697</v>
      </c>
      <c r="E2659" s="6">
        <v>2</v>
      </c>
      <c r="F2659" t="s">
        <v>15122</v>
      </c>
    </row>
    <row r="2660" spans="3:6" ht="15" x14ac:dyDescent="0.25">
      <c r="C2660" s="1644" t="s">
        <v>14698</v>
      </c>
      <c r="E2660" s="6">
        <v>2</v>
      </c>
      <c r="F2660" t="s">
        <v>15089</v>
      </c>
    </row>
    <row r="2661" spans="3:6" ht="15" x14ac:dyDescent="0.25">
      <c r="C2661" s="1644" t="s">
        <v>14699</v>
      </c>
      <c r="E2661" s="6">
        <v>5</v>
      </c>
      <c r="F2661" t="s">
        <v>15096</v>
      </c>
    </row>
    <row r="2662" spans="3:6" ht="15" x14ac:dyDescent="0.25">
      <c r="C2662" s="1644" t="s">
        <v>14700</v>
      </c>
      <c r="E2662" s="6"/>
      <c r="F2662" t="s">
        <v>15087</v>
      </c>
    </row>
    <row r="2663" spans="3:6" ht="15" x14ac:dyDescent="0.25">
      <c r="C2663" s="1644" t="s">
        <v>14701</v>
      </c>
      <c r="E2663" s="6"/>
      <c r="F2663" t="s">
        <v>15087</v>
      </c>
    </row>
    <row r="2664" spans="3:6" ht="15" x14ac:dyDescent="0.25">
      <c r="C2664" s="1644" t="s">
        <v>14702</v>
      </c>
      <c r="E2664" s="6">
        <v>3</v>
      </c>
      <c r="F2664" t="s">
        <v>15092</v>
      </c>
    </row>
    <row r="2665" spans="3:6" ht="15" x14ac:dyDescent="0.25">
      <c r="C2665" s="1644" t="s">
        <v>14703</v>
      </c>
      <c r="E2665" s="6"/>
      <c r="F2665" t="s">
        <v>15087</v>
      </c>
    </row>
    <row r="2666" spans="3:6" ht="15" x14ac:dyDescent="0.25">
      <c r="C2666" s="1644" t="s">
        <v>14704</v>
      </c>
      <c r="E2666" s="6"/>
      <c r="F2666" t="s">
        <v>15087</v>
      </c>
    </row>
    <row r="2667" spans="3:6" ht="15" x14ac:dyDescent="0.25">
      <c r="C2667" s="1644" t="s">
        <v>14705</v>
      </c>
      <c r="E2667" s="6">
        <v>3</v>
      </c>
      <c r="F2667" t="s">
        <v>15094</v>
      </c>
    </row>
    <row r="2668" spans="3:6" ht="15" x14ac:dyDescent="0.25">
      <c r="C2668" s="1644" t="s">
        <v>14706</v>
      </c>
      <c r="E2668" s="6"/>
      <c r="F2668" t="s">
        <v>15087</v>
      </c>
    </row>
    <row r="2669" spans="3:6" ht="15" x14ac:dyDescent="0.25">
      <c r="C2669" s="1644" t="s">
        <v>14707</v>
      </c>
      <c r="E2669" s="6"/>
      <c r="F2669" t="s">
        <v>15087</v>
      </c>
    </row>
    <row r="2670" spans="3:6" ht="15" x14ac:dyDescent="0.25">
      <c r="C2670" s="1644" t="s">
        <v>14708</v>
      </c>
      <c r="E2670" s="6">
        <v>1</v>
      </c>
      <c r="F2670" t="s">
        <v>15096</v>
      </c>
    </row>
    <row r="2671" spans="3:6" ht="15" x14ac:dyDescent="0.25">
      <c r="C2671" s="1644" t="s">
        <v>14709</v>
      </c>
      <c r="E2671" s="6">
        <v>5</v>
      </c>
      <c r="F2671" t="s">
        <v>15096</v>
      </c>
    </row>
    <row r="2672" spans="3:6" ht="15" x14ac:dyDescent="0.25">
      <c r="C2672" s="1644" t="s">
        <v>14710</v>
      </c>
      <c r="E2672" s="6">
        <v>106</v>
      </c>
      <c r="F2672" t="s">
        <v>15092</v>
      </c>
    </row>
    <row r="2673" spans="3:6" ht="15" x14ac:dyDescent="0.25">
      <c r="C2673" s="1644" t="s">
        <v>14711</v>
      </c>
      <c r="E2673" s="6"/>
      <c r="F2673" t="s">
        <v>15087</v>
      </c>
    </row>
    <row r="2674" spans="3:6" ht="15" x14ac:dyDescent="0.25">
      <c r="C2674" s="1644" t="s">
        <v>14712</v>
      </c>
      <c r="E2674" s="6">
        <v>6</v>
      </c>
      <c r="F2674" t="s">
        <v>15094</v>
      </c>
    </row>
    <row r="2675" spans="3:6" ht="15" x14ac:dyDescent="0.25">
      <c r="C2675" s="1644" t="s">
        <v>14713</v>
      </c>
      <c r="E2675" s="6"/>
      <c r="F2675" t="s">
        <v>15087</v>
      </c>
    </row>
    <row r="2676" spans="3:6" ht="15" x14ac:dyDescent="0.25">
      <c r="C2676" s="1644" t="s">
        <v>14714</v>
      </c>
      <c r="E2676" s="6"/>
      <c r="F2676" t="s">
        <v>15087</v>
      </c>
    </row>
    <row r="2677" spans="3:6" ht="15" x14ac:dyDescent="0.25">
      <c r="C2677" s="1644" t="s">
        <v>14715</v>
      </c>
      <c r="E2677" s="6"/>
      <c r="F2677" t="s">
        <v>15087</v>
      </c>
    </row>
    <row r="2678" spans="3:6" ht="15" x14ac:dyDescent="0.25">
      <c r="C2678" s="1644" t="s">
        <v>14716</v>
      </c>
      <c r="E2678" s="6"/>
      <c r="F2678" t="s">
        <v>15087</v>
      </c>
    </row>
    <row r="2679" spans="3:6" ht="15" x14ac:dyDescent="0.25">
      <c r="C2679" s="1644" t="s">
        <v>14717</v>
      </c>
      <c r="E2679" s="6"/>
      <c r="F2679" t="s">
        <v>15087</v>
      </c>
    </row>
    <row r="2680" spans="3:6" ht="15" x14ac:dyDescent="0.25">
      <c r="C2680" s="1644" t="s">
        <v>14718</v>
      </c>
      <c r="E2680" s="6"/>
      <c r="F2680" t="s">
        <v>15087</v>
      </c>
    </row>
    <row r="2681" spans="3:6" ht="15" x14ac:dyDescent="0.25">
      <c r="C2681" s="1644" t="s">
        <v>14719</v>
      </c>
      <c r="E2681" s="6"/>
      <c r="F2681" t="s">
        <v>15087</v>
      </c>
    </row>
    <row r="2682" spans="3:6" ht="15" x14ac:dyDescent="0.25">
      <c r="C2682" s="1644" t="s">
        <v>14720</v>
      </c>
      <c r="E2682" s="6">
        <v>46</v>
      </c>
      <c r="F2682" t="s">
        <v>15088</v>
      </c>
    </row>
    <row r="2683" spans="3:6" ht="15" x14ac:dyDescent="0.25">
      <c r="C2683" s="1644" t="s">
        <v>14721</v>
      </c>
      <c r="E2683" s="6"/>
      <c r="F2683" t="s">
        <v>15087</v>
      </c>
    </row>
    <row r="2684" spans="3:6" ht="15" x14ac:dyDescent="0.25">
      <c r="C2684" s="1644" t="s">
        <v>14722</v>
      </c>
      <c r="E2684" s="6"/>
      <c r="F2684" t="s">
        <v>15087</v>
      </c>
    </row>
    <row r="2685" spans="3:6" ht="15" x14ac:dyDescent="0.25">
      <c r="C2685" s="1644" t="s">
        <v>14723</v>
      </c>
      <c r="E2685" s="6"/>
      <c r="F2685" t="s">
        <v>15087</v>
      </c>
    </row>
    <row r="2686" spans="3:6" ht="15" x14ac:dyDescent="0.25">
      <c r="C2686" s="1644" t="s">
        <v>14724</v>
      </c>
      <c r="E2686" s="6"/>
      <c r="F2686" t="s">
        <v>15087</v>
      </c>
    </row>
    <row r="2687" spans="3:6" ht="15" x14ac:dyDescent="0.25">
      <c r="C2687" s="1644" t="s">
        <v>14725</v>
      </c>
      <c r="E2687" s="6">
        <v>1</v>
      </c>
      <c r="F2687" t="s">
        <v>15094</v>
      </c>
    </row>
    <row r="2688" spans="3:6" ht="15" x14ac:dyDescent="0.25">
      <c r="C2688" s="1644" t="s">
        <v>14726</v>
      </c>
      <c r="E2688" s="6"/>
      <c r="F2688" t="s">
        <v>15087</v>
      </c>
    </row>
    <row r="2689" spans="3:6" ht="15" x14ac:dyDescent="0.25">
      <c r="C2689" s="1644" t="s">
        <v>14727</v>
      </c>
      <c r="E2689" s="6"/>
      <c r="F2689" t="s">
        <v>15087</v>
      </c>
    </row>
    <row r="2690" spans="3:6" ht="15" x14ac:dyDescent="0.25">
      <c r="C2690" s="1644" t="s">
        <v>14728</v>
      </c>
      <c r="E2690" s="6"/>
      <c r="F2690" t="s">
        <v>15087</v>
      </c>
    </row>
    <row r="2691" spans="3:6" ht="15" x14ac:dyDescent="0.25">
      <c r="C2691" s="1644" t="s">
        <v>14729</v>
      </c>
      <c r="E2691" s="6"/>
      <c r="F2691" t="s">
        <v>15087</v>
      </c>
    </row>
    <row r="2692" spans="3:6" ht="15" x14ac:dyDescent="0.25">
      <c r="C2692" s="1644" t="s">
        <v>14730</v>
      </c>
      <c r="E2692" s="6"/>
      <c r="F2692" t="s">
        <v>15087</v>
      </c>
    </row>
    <row r="2693" spans="3:6" ht="15" x14ac:dyDescent="0.25">
      <c r="C2693" s="1644" t="s">
        <v>14731</v>
      </c>
      <c r="E2693" s="6"/>
      <c r="F2693" t="s">
        <v>15087</v>
      </c>
    </row>
    <row r="2694" spans="3:6" ht="15" x14ac:dyDescent="0.25">
      <c r="C2694" s="1644" t="s">
        <v>14732</v>
      </c>
      <c r="E2694" s="6"/>
      <c r="F2694" t="s">
        <v>15087</v>
      </c>
    </row>
    <row r="2695" spans="3:6" ht="15" x14ac:dyDescent="0.25">
      <c r="C2695" s="1644" t="s">
        <v>14733</v>
      </c>
      <c r="E2695" s="6">
        <v>1</v>
      </c>
      <c r="F2695" t="s">
        <v>15110</v>
      </c>
    </row>
    <row r="2696" spans="3:6" ht="15" x14ac:dyDescent="0.25">
      <c r="C2696" s="1644" t="s">
        <v>14734</v>
      </c>
      <c r="E2696" s="6">
        <v>1</v>
      </c>
      <c r="F2696" t="s">
        <v>15131</v>
      </c>
    </row>
    <row r="2697" spans="3:6" ht="15" x14ac:dyDescent="0.25">
      <c r="C2697" s="1644" t="s">
        <v>14735</v>
      </c>
      <c r="E2697" s="6"/>
      <c r="F2697" t="s">
        <v>15087</v>
      </c>
    </row>
    <row r="2698" spans="3:6" ht="15" x14ac:dyDescent="0.25">
      <c r="C2698" s="1644" t="s">
        <v>14736</v>
      </c>
      <c r="E2698" s="6"/>
      <c r="F2698" t="s">
        <v>15087</v>
      </c>
    </row>
    <row r="2699" spans="3:6" ht="15" x14ac:dyDescent="0.25">
      <c r="C2699" s="1644" t="s">
        <v>14737</v>
      </c>
      <c r="E2699" s="6"/>
      <c r="F2699" t="s">
        <v>15087</v>
      </c>
    </row>
    <row r="2700" spans="3:6" ht="15" x14ac:dyDescent="0.25">
      <c r="C2700" s="1644" t="s">
        <v>14738</v>
      </c>
      <c r="E2700" s="6"/>
      <c r="F2700" t="s">
        <v>15087</v>
      </c>
    </row>
    <row r="2701" spans="3:6" ht="15" x14ac:dyDescent="0.25">
      <c r="C2701" s="1644" t="s">
        <v>14739</v>
      </c>
      <c r="E2701" s="6">
        <v>3</v>
      </c>
      <c r="F2701" t="s">
        <v>15090</v>
      </c>
    </row>
    <row r="2702" spans="3:6" ht="15" x14ac:dyDescent="0.25">
      <c r="C2702" s="1644" t="s">
        <v>14740</v>
      </c>
      <c r="E2702" s="6"/>
      <c r="F2702" t="s">
        <v>15087</v>
      </c>
    </row>
    <row r="2703" spans="3:6" ht="15" x14ac:dyDescent="0.25">
      <c r="C2703" s="1644" t="s">
        <v>14741</v>
      </c>
      <c r="E2703" s="6"/>
      <c r="F2703" t="s">
        <v>15087</v>
      </c>
    </row>
    <row r="2704" spans="3:6" ht="15" x14ac:dyDescent="0.25">
      <c r="C2704" s="1644" t="s">
        <v>14742</v>
      </c>
      <c r="E2704" s="6"/>
      <c r="F2704" t="s">
        <v>15087</v>
      </c>
    </row>
    <row r="2705" spans="3:6" ht="15" x14ac:dyDescent="0.25">
      <c r="C2705" s="1644" t="s">
        <v>14743</v>
      </c>
      <c r="E2705" s="6"/>
      <c r="F2705" t="s">
        <v>15087</v>
      </c>
    </row>
    <row r="2706" spans="3:6" ht="15" x14ac:dyDescent="0.25">
      <c r="C2706" s="1644" t="s">
        <v>14744</v>
      </c>
      <c r="E2706" s="6"/>
      <c r="F2706" t="s">
        <v>15087</v>
      </c>
    </row>
    <row r="2707" spans="3:6" ht="15" x14ac:dyDescent="0.25">
      <c r="C2707" s="1644" t="s">
        <v>14745</v>
      </c>
      <c r="E2707" s="6"/>
      <c r="F2707" t="s">
        <v>15087</v>
      </c>
    </row>
    <row r="2708" spans="3:6" ht="15" x14ac:dyDescent="0.25">
      <c r="C2708" s="1644" t="s">
        <v>14746</v>
      </c>
      <c r="E2708" s="6"/>
      <c r="F2708" t="s">
        <v>15087</v>
      </c>
    </row>
    <row r="2709" spans="3:6" ht="15" x14ac:dyDescent="0.25">
      <c r="C2709" s="1644" t="s">
        <v>14747</v>
      </c>
      <c r="E2709" s="6"/>
      <c r="F2709" t="s">
        <v>15087</v>
      </c>
    </row>
    <row r="2710" spans="3:6" ht="15" x14ac:dyDescent="0.25">
      <c r="C2710" s="1644" t="s">
        <v>14748</v>
      </c>
      <c r="E2710" s="6"/>
      <c r="F2710" t="s">
        <v>15087</v>
      </c>
    </row>
    <row r="2711" spans="3:6" ht="15" x14ac:dyDescent="0.25">
      <c r="C2711" s="1644" t="s">
        <v>14749</v>
      </c>
      <c r="E2711" s="6">
        <v>1</v>
      </c>
      <c r="F2711" t="s">
        <v>15119</v>
      </c>
    </row>
    <row r="2712" spans="3:6" ht="15" x14ac:dyDescent="0.25">
      <c r="C2712" s="1644" t="s">
        <v>14750</v>
      </c>
      <c r="E2712" s="6"/>
      <c r="F2712" t="s">
        <v>15087</v>
      </c>
    </row>
    <row r="2713" spans="3:6" ht="15" x14ac:dyDescent="0.25">
      <c r="C2713" s="1644" t="s">
        <v>14751</v>
      </c>
      <c r="E2713" s="6">
        <v>1</v>
      </c>
      <c r="F2713" t="s">
        <v>15106</v>
      </c>
    </row>
    <row r="2714" spans="3:6" ht="15" x14ac:dyDescent="0.25">
      <c r="C2714" s="1644" t="s">
        <v>14752</v>
      </c>
      <c r="E2714" s="6">
        <v>1</v>
      </c>
      <c r="F2714" t="s">
        <v>15094</v>
      </c>
    </row>
    <row r="2715" spans="3:6" ht="15" x14ac:dyDescent="0.25">
      <c r="C2715" s="1644" t="s">
        <v>14753</v>
      </c>
      <c r="E2715" s="6">
        <v>1</v>
      </c>
      <c r="F2715" t="s">
        <v>15094</v>
      </c>
    </row>
    <row r="2716" spans="3:6" ht="15" x14ac:dyDescent="0.25">
      <c r="C2716" s="1644" t="s">
        <v>14754</v>
      </c>
      <c r="E2716" s="6"/>
      <c r="F2716" t="s">
        <v>15087</v>
      </c>
    </row>
    <row r="2717" spans="3:6" ht="15" x14ac:dyDescent="0.25">
      <c r="C2717" s="1644" t="s">
        <v>14755</v>
      </c>
      <c r="E2717" s="6"/>
      <c r="F2717" t="s">
        <v>15087</v>
      </c>
    </row>
    <row r="2718" spans="3:6" ht="15" x14ac:dyDescent="0.25">
      <c r="C2718" s="1644" t="s">
        <v>14756</v>
      </c>
      <c r="E2718" s="6"/>
      <c r="F2718" t="s">
        <v>15087</v>
      </c>
    </row>
    <row r="2719" spans="3:6" ht="15" x14ac:dyDescent="0.25">
      <c r="C2719" s="1644" t="s">
        <v>14757</v>
      </c>
      <c r="E2719" s="6">
        <v>2</v>
      </c>
      <c r="F2719" t="s">
        <v>15092</v>
      </c>
    </row>
    <row r="2720" spans="3:6" ht="15" x14ac:dyDescent="0.25">
      <c r="C2720" s="1644" t="s">
        <v>14758</v>
      </c>
      <c r="E2720" s="6">
        <v>3</v>
      </c>
      <c r="F2720" t="s">
        <v>15131</v>
      </c>
    </row>
    <row r="2721" spans="3:6" ht="15" x14ac:dyDescent="0.25">
      <c r="C2721" s="1644" t="s">
        <v>14759</v>
      </c>
      <c r="E2721" s="6"/>
      <c r="F2721" t="s">
        <v>15087</v>
      </c>
    </row>
    <row r="2722" spans="3:6" ht="15" x14ac:dyDescent="0.25">
      <c r="C2722" s="1644" t="s">
        <v>14760</v>
      </c>
      <c r="E2722" s="6"/>
      <c r="F2722" t="s">
        <v>15087</v>
      </c>
    </row>
    <row r="2723" spans="3:6" ht="15" x14ac:dyDescent="0.25">
      <c r="C2723" s="1644" t="s">
        <v>14761</v>
      </c>
      <c r="E2723" s="6"/>
      <c r="F2723" t="s">
        <v>15087</v>
      </c>
    </row>
    <row r="2724" spans="3:6" ht="15" x14ac:dyDescent="0.25">
      <c r="C2724" s="1644" t="s">
        <v>14762</v>
      </c>
      <c r="E2724" s="6">
        <v>1</v>
      </c>
      <c r="F2724" t="s">
        <v>15119</v>
      </c>
    </row>
    <row r="2725" spans="3:6" ht="15" x14ac:dyDescent="0.25">
      <c r="C2725" s="1644" t="s">
        <v>14763</v>
      </c>
      <c r="E2725" s="6"/>
      <c r="F2725" t="s">
        <v>15087</v>
      </c>
    </row>
    <row r="2726" spans="3:6" ht="15" x14ac:dyDescent="0.25">
      <c r="C2726" s="1644" t="s">
        <v>14764</v>
      </c>
      <c r="E2726" s="6">
        <v>2</v>
      </c>
      <c r="F2726" t="s">
        <v>15136</v>
      </c>
    </row>
    <row r="2727" spans="3:6" ht="15" x14ac:dyDescent="0.25">
      <c r="C2727" s="1644" t="s">
        <v>14765</v>
      </c>
      <c r="E2727" s="6">
        <v>3</v>
      </c>
      <c r="F2727" t="s">
        <v>15094</v>
      </c>
    </row>
    <row r="2728" spans="3:6" ht="15" x14ac:dyDescent="0.25">
      <c r="C2728" s="1644" t="s">
        <v>14766</v>
      </c>
      <c r="E2728" s="6"/>
      <c r="F2728" t="s">
        <v>15087</v>
      </c>
    </row>
    <row r="2729" spans="3:6" ht="15" x14ac:dyDescent="0.25">
      <c r="C2729" s="1644" t="s">
        <v>14767</v>
      </c>
      <c r="E2729" s="6"/>
      <c r="F2729" t="s">
        <v>15087</v>
      </c>
    </row>
    <row r="2730" spans="3:6" ht="15" x14ac:dyDescent="0.25">
      <c r="C2730" s="1644" t="s">
        <v>14768</v>
      </c>
      <c r="E2730" s="6">
        <v>2</v>
      </c>
      <c r="F2730" t="s">
        <v>15090</v>
      </c>
    </row>
    <row r="2731" spans="3:6" ht="15" x14ac:dyDescent="0.25">
      <c r="C2731" s="1644" t="s">
        <v>14769</v>
      </c>
      <c r="E2731" s="6"/>
      <c r="F2731" t="s">
        <v>15087</v>
      </c>
    </row>
    <row r="2732" spans="3:6" ht="15" x14ac:dyDescent="0.25">
      <c r="C2732" s="1644" t="s">
        <v>14770</v>
      </c>
      <c r="E2732" s="6"/>
      <c r="F2732" t="s">
        <v>15087</v>
      </c>
    </row>
    <row r="2733" spans="3:6" ht="15" x14ac:dyDescent="0.25">
      <c r="C2733" s="1644" t="s">
        <v>14771</v>
      </c>
      <c r="E2733" s="6"/>
      <c r="F2733" t="s">
        <v>15087</v>
      </c>
    </row>
    <row r="2734" spans="3:6" ht="15" x14ac:dyDescent="0.25">
      <c r="C2734" s="1644" t="s">
        <v>14772</v>
      </c>
      <c r="E2734" s="6"/>
      <c r="F2734" t="s">
        <v>15087</v>
      </c>
    </row>
    <row r="2735" spans="3:6" ht="15" x14ac:dyDescent="0.25">
      <c r="C2735" s="1644" t="s">
        <v>14773</v>
      </c>
      <c r="E2735" s="6"/>
      <c r="F2735" t="s">
        <v>15087</v>
      </c>
    </row>
    <row r="2736" spans="3:6" ht="15" x14ac:dyDescent="0.25">
      <c r="C2736" s="1644" t="s">
        <v>14774</v>
      </c>
      <c r="E2736" s="6"/>
      <c r="F2736" t="s">
        <v>15087</v>
      </c>
    </row>
    <row r="2737" spans="3:6" ht="15" x14ac:dyDescent="0.25">
      <c r="C2737" s="1644" t="s">
        <v>14775</v>
      </c>
      <c r="E2737" s="6">
        <v>2</v>
      </c>
      <c r="F2737" t="s">
        <v>15093</v>
      </c>
    </row>
    <row r="2738" spans="3:6" ht="15" x14ac:dyDescent="0.25">
      <c r="C2738" s="1644" t="s">
        <v>14776</v>
      </c>
      <c r="E2738" s="6"/>
      <c r="F2738" t="s">
        <v>15087</v>
      </c>
    </row>
    <row r="2739" spans="3:6" ht="15" x14ac:dyDescent="0.25">
      <c r="C2739" s="1644" t="s">
        <v>14777</v>
      </c>
      <c r="E2739" s="6"/>
      <c r="F2739" t="s">
        <v>15087</v>
      </c>
    </row>
    <row r="2740" spans="3:6" ht="15" x14ac:dyDescent="0.25">
      <c r="C2740" s="1644" t="s">
        <v>14778</v>
      </c>
      <c r="E2740" s="6"/>
      <c r="F2740" t="s">
        <v>15087</v>
      </c>
    </row>
    <row r="2741" spans="3:6" ht="15" x14ac:dyDescent="0.25">
      <c r="C2741" s="1644" t="s">
        <v>14779</v>
      </c>
      <c r="E2741" s="6"/>
      <c r="F2741" t="s">
        <v>15087</v>
      </c>
    </row>
    <row r="2742" spans="3:6" ht="15" x14ac:dyDescent="0.25">
      <c r="C2742" s="1644" t="s">
        <v>14780</v>
      </c>
      <c r="E2742" s="6"/>
      <c r="F2742" t="s">
        <v>15087</v>
      </c>
    </row>
    <row r="2743" spans="3:6" ht="15" x14ac:dyDescent="0.25">
      <c r="C2743" s="1644" t="s">
        <v>14781</v>
      </c>
      <c r="E2743" s="6">
        <v>4</v>
      </c>
      <c r="F2743" t="s">
        <v>15138</v>
      </c>
    </row>
    <row r="2744" spans="3:6" ht="15" x14ac:dyDescent="0.25">
      <c r="C2744" s="1644" t="s">
        <v>14782</v>
      </c>
      <c r="E2744" s="6">
        <v>1</v>
      </c>
      <c r="F2744" t="s">
        <v>15093</v>
      </c>
    </row>
    <row r="2745" spans="3:6" ht="15" x14ac:dyDescent="0.25">
      <c r="C2745" s="1644" t="s">
        <v>14783</v>
      </c>
      <c r="E2745" s="6">
        <v>1</v>
      </c>
      <c r="F2745" t="s">
        <v>15090</v>
      </c>
    </row>
    <row r="2746" spans="3:6" ht="15" x14ac:dyDescent="0.25">
      <c r="C2746" s="1644" t="s">
        <v>14784</v>
      </c>
      <c r="E2746" s="6">
        <v>1</v>
      </c>
      <c r="F2746" t="s">
        <v>15090</v>
      </c>
    </row>
    <row r="2747" spans="3:6" ht="15" x14ac:dyDescent="0.25">
      <c r="C2747" s="1644" t="s">
        <v>14785</v>
      </c>
      <c r="E2747" s="6">
        <v>6</v>
      </c>
      <c r="F2747" t="s">
        <v>15101</v>
      </c>
    </row>
    <row r="2748" spans="3:6" ht="15" x14ac:dyDescent="0.25">
      <c r="C2748" s="1644" t="s">
        <v>14786</v>
      </c>
      <c r="E2748" s="6">
        <v>3</v>
      </c>
      <c r="F2748" t="s">
        <v>15126</v>
      </c>
    </row>
    <row r="2749" spans="3:6" ht="15" x14ac:dyDescent="0.25">
      <c r="C2749" s="1644" t="s">
        <v>14787</v>
      </c>
      <c r="E2749" s="6">
        <v>7</v>
      </c>
      <c r="F2749" t="s">
        <v>15096</v>
      </c>
    </row>
    <row r="2750" spans="3:6" ht="15" x14ac:dyDescent="0.25">
      <c r="C2750" s="1644" t="s">
        <v>14788</v>
      </c>
      <c r="E2750" s="6">
        <v>2</v>
      </c>
      <c r="F2750" t="s">
        <v>15089</v>
      </c>
    </row>
    <row r="2751" spans="3:6" ht="15" x14ac:dyDescent="0.25">
      <c r="C2751" s="1644" t="s">
        <v>14789</v>
      </c>
      <c r="E2751" s="6">
        <v>9</v>
      </c>
      <c r="F2751" t="s">
        <v>15090</v>
      </c>
    </row>
    <row r="2752" spans="3:6" ht="15" x14ac:dyDescent="0.25">
      <c r="C2752" s="1644" t="s">
        <v>14790</v>
      </c>
      <c r="E2752" s="6">
        <v>4</v>
      </c>
      <c r="F2752" t="s">
        <v>15089</v>
      </c>
    </row>
    <row r="2753" spans="3:6" ht="15" x14ac:dyDescent="0.25">
      <c r="C2753" s="1644" t="s">
        <v>14791</v>
      </c>
      <c r="E2753" s="6"/>
      <c r="F2753" t="s">
        <v>15087</v>
      </c>
    </row>
    <row r="2754" spans="3:6" ht="15" x14ac:dyDescent="0.25">
      <c r="C2754" s="1644" t="s">
        <v>14792</v>
      </c>
      <c r="E2754" s="6">
        <v>3</v>
      </c>
      <c r="F2754" t="s">
        <v>15092</v>
      </c>
    </row>
    <row r="2755" spans="3:6" ht="15" x14ac:dyDescent="0.25">
      <c r="C2755" s="1644" t="s">
        <v>14793</v>
      </c>
      <c r="E2755" s="6">
        <v>1</v>
      </c>
      <c r="F2755" t="s">
        <v>15096</v>
      </c>
    </row>
    <row r="2756" spans="3:6" ht="15" x14ac:dyDescent="0.25">
      <c r="C2756" s="1644" t="s">
        <v>14794</v>
      </c>
      <c r="E2756" s="6">
        <v>2</v>
      </c>
      <c r="F2756" t="s">
        <v>15092</v>
      </c>
    </row>
    <row r="2757" spans="3:6" ht="15" x14ac:dyDescent="0.25">
      <c r="C2757" s="1644" t="s">
        <v>14795</v>
      </c>
      <c r="E2757" s="6"/>
      <c r="F2757" t="s">
        <v>15087</v>
      </c>
    </row>
    <row r="2758" spans="3:6" ht="15" x14ac:dyDescent="0.25">
      <c r="C2758" s="1644" t="s">
        <v>14796</v>
      </c>
      <c r="E2758" s="6"/>
      <c r="F2758" t="s">
        <v>15087</v>
      </c>
    </row>
    <row r="2759" spans="3:6" ht="15" x14ac:dyDescent="0.25">
      <c r="C2759" s="1644" t="s">
        <v>14797</v>
      </c>
      <c r="E2759" s="6"/>
      <c r="F2759" t="s">
        <v>15087</v>
      </c>
    </row>
    <row r="2760" spans="3:6" ht="15" x14ac:dyDescent="0.25">
      <c r="C2760" s="1644" t="s">
        <v>14798</v>
      </c>
      <c r="E2760" s="6">
        <v>30</v>
      </c>
      <c r="F2760" t="s">
        <v>15090</v>
      </c>
    </row>
    <row r="2761" spans="3:6" ht="15" x14ac:dyDescent="0.25">
      <c r="C2761" s="1644" t="s">
        <v>14799</v>
      </c>
      <c r="E2761" s="6"/>
      <c r="F2761" t="s">
        <v>15087</v>
      </c>
    </row>
    <row r="2762" spans="3:6" ht="15" x14ac:dyDescent="0.25">
      <c r="C2762" s="1644" t="s">
        <v>14800</v>
      </c>
      <c r="E2762" s="6"/>
      <c r="F2762" t="s">
        <v>15087</v>
      </c>
    </row>
    <row r="2763" spans="3:6" ht="15" x14ac:dyDescent="0.25">
      <c r="C2763" s="1644" t="s">
        <v>14801</v>
      </c>
      <c r="E2763" s="6">
        <v>1</v>
      </c>
      <c r="F2763" t="s">
        <v>15105</v>
      </c>
    </row>
    <row r="2764" spans="3:6" ht="15" x14ac:dyDescent="0.25">
      <c r="C2764" s="1644" t="s">
        <v>14802</v>
      </c>
      <c r="E2764" s="6">
        <v>4</v>
      </c>
      <c r="F2764" t="s">
        <v>15090</v>
      </c>
    </row>
    <row r="2765" spans="3:6" ht="15" x14ac:dyDescent="0.25">
      <c r="C2765" s="1644" t="s">
        <v>14803</v>
      </c>
      <c r="E2765" s="6"/>
      <c r="F2765" t="s">
        <v>15087</v>
      </c>
    </row>
    <row r="2766" spans="3:6" ht="15" x14ac:dyDescent="0.25">
      <c r="C2766" s="1644" t="s">
        <v>14804</v>
      </c>
      <c r="E2766" s="6"/>
      <c r="F2766" t="s">
        <v>15087</v>
      </c>
    </row>
    <row r="2767" spans="3:6" ht="15" x14ac:dyDescent="0.25">
      <c r="C2767" s="1644" t="s">
        <v>14805</v>
      </c>
      <c r="E2767" s="6"/>
      <c r="F2767" t="s">
        <v>15087</v>
      </c>
    </row>
    <row r="2768" spans="3:6" ht="15" x14ac:dyDescent="0.25">
      <c r="C2768" s="1644" t="s">
        <v>14806</v>
      </c>
      <c r="E2768" s="6"/>
      <c r="F2768" t="s">
        <v>15087</v>
      </c>
    </row>
    <row r="2769" spans="3:6" ht="15" x14ac:dyDescent="0.25">
      <c r="C2769" s="1644" t="s">
        <v>14807</v>
      </c>
      <c r="E2769" s="6"/>
      <c r="F2769" t="s">
        <v>15087</v>
      </c>
    </row>
    <row r="2770" spans="3:6" ht="15" x14ac:dyDescent="0.25">
      <c r="C2770" s="1644" t="s">
        <v>14808</v>
      </c>
      <c r="E2770" s="6">
        <v>8</v>
      </c>
      <c r="F2770" t="s">
        <v>15090</v>
      </c>
    </row>
    <row r="2771" spans="3:6" ht="15" x14ac:dyDescent="0.25">
      <c r="C2771" s="1644" t="s">
        <v>14809</v>
      </c>
      <c r="E2771" s="6"/>
      <c r="F2771" t="s">
        <v>15087</v>
      </c>
    </row>
    <row r="2772" spans="3:6" ht="15" x14ac:dyDescent="0.25">
      <c r="C2772" s="1644" t="s">
        <v>14810</v>
      </c>
      <c r="E2772" s="6"/>
      <c r="F2772" t="s">
        <v>15087</v>
      </c>
    </row>
    <row r="2773" spans="3:6" ht="15" x14ac:dyDescent="0.25">
      <c r="C2773" s="1644" t="s">
        <v>14811</v>
      </c>
      <c r="E2773" s="6"/>
      <c r="F2773" t="s">
        <v>15087</v>
      </c>
    </row>
    <row r="2774" spans="3:6" ht="15" x14ac:dyDescent="0.25">
      <c r="C2774" s="1644" t="s">
        <v>14812</v>
      </c>
      <c r="E2774" s="6"/>
      <c r="F2774" t="s">
        <v>15087</v>
      </c>
    </row>
    <row r="2775" spans="3:6" ht="15" x14ac:dyDescent="0.25">
      <c r="C2775" s="1644" t="s">
        <v>14813</v>
      </c>
      <c r="E2775" s="6"/>
      <c r="F2775" t="s">
        <v>15087</v>
      </c>
    </row>
    <row r="2776" spans="3:6" ht="15" x14ac:dyDescent="0.25">
      <c r="C2776" s="1644" t="s">
        <v>14814</v>
      </c>
      <c r="E2776" s="6"/>
      <c r="F2776" t="s">
        <v>15087</v>
      </c>
    </row>
    <row r="2777" spans="3:6" ht="15" x14ac:dyDescent="0.25">
      <c r="C2777" s="1644" t="s">
        <v>14815</v>
      </c>
      <c r="E2777" s="6"/>
      <c r="F2777" t="s">
        <v>15087</v>
      </c>
    </row>
    <row r="2778" spans="3:6" ht="15" x14ac:dyDescent="0.25">
      <c r="C2778" s="1644" t="s">
        <v>14816</v>
      </c>
      <c r="E2778" s="6"/>
      <c r="F2778" t="s">
        <v>15087</v>
      </c>
    </row>
    <row r="2779" spans="3:6" ht="15" x14ac:dyDescent="0.25">
      <c r="C2779" s="1644" t="s">
        <v>14817</v>
      </c>
      <c r="E2779" s="6"/>
      <c r="F2779" t="s">
        <v>15087</v>
      </c>
    </row>
    <row r="2780" spans="3:6" ht="15" x14ac:dyDescent="0.25">
      <c r="C2780" s="1644" t="s">
        <v>14818</v>
      </c>
      <c r="E2780" s="6"/>
      <c r="F2780" t="s">
        <v>15087</v>
      </c>
    </row>
    <row r="2781" spans="3:6" ht="15" x14ac:dyDescent="0.25">
      <c r="C2781" s="1644" t="s">
        <v>14819</v>
      </c>
      <c r="E2781" s="6"/>
      <c r="F2781" t="s">
        <v>15087</v>
      </c>
    </row>
    <row r="2782" spans="3:6" ht="15" x14ac:dyDescent="0.25">
      <c r="C2782" s="1644" t="s">
        <v>14820</v>
      </c>
      <c r="E2782" s="6"/>
      <c r="F2782" t="s">
        <v>15087</v>
      </c>
    </row>
    <row r="2783" spans="3:6" ht="15" x14ac:dyDescent="0.25">
      <c r="C2783" s="1644" t="s">
        <v>14821</v>
      </c>
      <c r="E2783" s="6">
        <v>6</v>
      </c>
      <c r="F2783" t="s">
        <v>15106</v>
      </c>
    </row>
    <row r="2784" spans="3:6" ht="15" x14ac:dyDescent="0.25">
      <c r="C2784" s="1644" t="s">
        <v>14822</v>
      </c>
      <c r="E2784" s="6"/>
      <c r="F2784" t="s">
        <v>15087</v>
      </c>
    </row>
    <row r="2785" spans="3:6" ht="15" x14ac:dyDescent="0.25">
      <c r="C2785" s="1644" t="s">
        <v>14823</v>
      </c>
      <c r="E2785" s="6">
        <v>5</v>
      </c>
      <c r="F2785" t="s">
        <v>15090</v>
      </c>
    </row>
    <row r="2786" spans="3:6" ht="15" x14ac:dyDescent="0.25">
      <c r="C2786" s="1644" t="s">
        <v>14824</v>
      </c>
      <c r="E2786" s="6"/>
      <c r="F2786" t="s">
        <v>15087</v>
      </c>
    </row>
    <row r="2787" spans="3:6" ht="15" x14ac:dyDescent="0.25">
      <c r="C2787" s="1644" t="s">
        <v>14825</v>
      </c>
      <c r="E2787" s="6"/>
      <c r="F2787" t="s">
        <v>15087</v>
      </c>
    </row>
    <row r="2788" spans="3:6" ht="15" x14ac:dyDescent="0.25">
      <c r="C2788" s="1644" t="s">
        <v>14826</v>
      </c>
      <c r="E2788" s="6"/>
      <c r="F2788" t="s">
        <v>15087</v>
      </c>
    </row>
    <row r="2789" spans="3:6" ht="15" x14ac:dyDescent="0.25">
      <c r="C2789" s="1644" t="s">
        <v>14827</v>
      </c>
      <c r="E2789" s="6">
        <v>1</v>
      </c>
      <c r="F2789" t="s">
        <v>15111</v>
      </c>
    </row>
    <row r="2790" spans="3:6" ht="15" x14ac:dyDescent="0.25">
      <c r="C2790" s="1644" t="s">
        <v>14828</v>
      </c>
      <c r="E2790" s="6">
        <v>1</v>
      </c>
      <c r="F2790" t="s">
        <v>15101</v>
      </c>
    </row>
    <row r="2791" spans="3:6" ht="15" x14ac:dyDescent="0.25">
      <c r="C2791" s="1644" t="s">
        <v>14829</v>
      </c>
      <c r="E2791" s="6"/>
      <c r="F2791" t="s">
        <v>15087</v>
      </c>
    </row>
    <row r="2792" spans="3:6" ht="15" x14ac:dyDescent="0.25">
      <c r="C2792" s="1644" t="s">
        <v>14830</v>
      </c>
      <c r="E2792" s="6"/>
      <c r="F2792" t="s">
        <v>15087</v>
      </c>
    </row>
    <row r="2793" spans="3:6" ht="15" x14ac:dyDescent="0.25">
      <c r="C2793" s="1644" t="s">
        <v>14831</v>
      </c>
      <c r="E2793" s="6"/>
      <c r="F2793" t="s">
        <v>15087</v>
      </c>
    </row>
    <row r="2794" spans="3:6" ht="15" x14ac:dyDescent="0.25">
      <c r="C2794" s="1644" t="s">
        <v>14832</v>
      </c>
      <c r="E2794" s="6">
        <v>2</v>
      </c>
      <c r="F2794" t="s">
        <v>15119</v>
      </c>
    </row>
    <row r="2795" spans="3:6" ht="15" x14ac:dyDescent="0.25">
      <c r="C2795" s="1644" t="s">
        <v>14833</v>
      </c>
      <c r="E2795" s="6">
        <v>38</v>
      </c>
      <c r="F2795" t="s">
        <v>15089</v>
      </c>
    </row>
    <row r="2796" spans="3:6" ht="15" x14ac:dyDescent="0.25">
      <c r="C2796" s="1644" t="s">
        <v>14834</v>
      </c>
      <c r="E2796" s="6"/>
      <c r="F2796" t="s">
        <v>15087</v>
      </c>
    </row>
    <row r="2797" spans="3:6" ht="15" x14ac:dyDescent="0.25">
      <c r="C2797" s="1644" t="s">
        <v>14835</v>
      </c>
      <c r="E2797" s="6">
        <v>1</v>
      </c>
      <c r="F2797" t="s">
        <v>15092</v>
      </c>
    </row>
    <row r="2798" spans="3:6" ht="15" x14ac:dyDescent="0.25">
      <c r="C2798" s="1644" t="s">
        <v>14836</v>
      </c>
      <c r="E2798" s="6"/>
      <c r="F2798" t="s">
        <v>15087</v>
      </c>
    </row>
    <row r="2799" spans="3:6" ht="15" x14ac:dyDescent="0.25">
      <c r="C2799" s="1644" t="s">
        <v>14837</v>
      </c>
      <c r="E2799" s="6"/>
      <c r="F2799" t="s">
        <v>15087</v>
      </c>
    </row>
    <row r="2800" spans="3:6" ht="15" x14ac:dyDescent="0.25">
      <c r="C2800" s="1644" t="s">
        <v>14838</v>
      </c>
      <c r="E2800" s="6"/>
      <c r="F2800" t="s">
        <v>15087</v>
      </c>
    </row>
    <row r="2801" spans="3:6" ht="15" x14ac:dyDescent="0.25">
      <c r="C2801" s="1644" t="s">
        <v>14839</v>
      </c>
      <c r="E2801" s="6">
        <v>2</v>
      </c>
      <c r="F2801" t="s">
        <v>15090</v>
      </c>
    </row>
    <row r="2802" spans="3:6" ht="15" x14ac:dyDescent="0.25">
      <c r="C2802" s="1644" t="s">
        <v>14840</v>
      </c>
      <c r="E2802" s="6"/>
      <c r="F2802" t="s">
        <v>15087</v>
      </c>
    </row>
    <row r="2803" spans="3:6" ht="15" x14ac:dyDescent="0.25">
      <c r="C2803" s="1644" t="s">
        <v>14841</v>
      </c>
      <c r="E2803" s="6"/>
      <c r="F2803" t="s">
        <v>15087</v>
      </c>
    </row>
    <row r="2804" spans="3:6" ht="15" x14ac:dyDescent="0.25">
      <c r="C2804" s="1644" t="s">
        <v>14842</v>
      </c>
      <c r="E2804" s="6">
        <v>3</v>
      </c>
      <c r="F2804" t="s">
        <v>15101</v>
      </c>
    </row>
    <row r="2805" spans="3:6" ht="15" x14ac:dyDescent="0.25">
      <c r="C2805" s="1644" t="s">
        <v>14843</v>
      </c>
      <c r="E2805" s="6"/>
      <c r="F2805" t="s">
        <v>15087</v>
      </c>
    </row>
    <row r="2806" spans="3:6" ht="15" x14ac:dyDescent="0.25">
      <c r="C2806" s="1644" t="s">
        <v>14844</v>
      </c>
      <c r="E2806" s="6"/>
      <c r="F2806" t="s">
        <v>15087</v>
      </c>
    </row>
    <row r="2807" spans="3:6" ht="15" x14ac:dyDescent="0.25">
      <c r="C2807" s="1644" t="s">
        <v>14845</v>
      </c>
      <c r="E2807" s="6">
        <v>2</v>
      </c>
      <c r="F2807" t="s">
        <v>15090</v>
      </c>
    </row>
    <row r="2808" spans="3:6" ht="15" x14ac:dyDescent="0.25">
      <c r="C2808" s="1644" t="s">
        <v>14846</v>
      </c>
      <c r="E2808" s="6"/>
      <c r="F2808" t="s">
        <v>15087</v>
      </c>
    </row>
    <row r="2809" spans="3:6" ht="15" x14ac:dyDescent="0.25">
      <c r="C2809" s="1644" t="s">
        <v>14847</v>
      </c>
      <c r="E2809" s="6"/>
      <c r="F2809" t="s">
        <v>15087</v>
      </c>
    </row>
    <row r="2810" spans="3:6" ht="15" x14ac:dyDescent="0.25">
      <c r="C2810" s="1644" t="s">
        <v>14848</v>
      </c>
      <c r="E2810" s="6"/>
      <c r="F2810" t="s">
        <v>15087</v>
      </c>
    </row>
    <row r="2811" spans="3:6" ht="15" x14ac:dyDescent="0.25">
      <c r="C2811" s="1644" t="s">
        <v>14849</v>
      </c>
      <c r="E2811" s="6"/>
      <c r="F2811" t="s">
        <v>15087</v>
      </c>
    </row>
    <row r="2812" spans="3:6" ht="15" x14ac:dyDescent="0.25">
      <c r="C2812" s="1644" t="s">
        <v>14850</v>
      </c>
      <c r="E2812" s="6">
        <v>3</v>
      </c>
      <c r="F2812" t="s">
        <v>15126</v>
      </c>
    </row>
    <row r="2813" spans="3:6" ht="15" x14ac:dyDescent="0.25">
      <c r="C2813" s="1644" t="s">
        <v>14851</v>
      </c>
      <c r="E2813" s="6"/>
      <c r="F2813" t="s">
        <v>15087</v>
      </c>
    </row>
    <row r="2814" spans="3:6" ht="15" x14ac:dyDescent="0.25">
      <c r="C2814" s="1644" t="s">
        <v>14852</v>
      </c>
      <c r="E2814" s="6"/>
      <c r="F2814" t="s">
        <v>15087</v>
      </c>
    </row>
    <row r="2815" spans="3:6" ht="15" x14ac:dyDescent="0.25">
      <c r="C2815" s="1644" t="s">
        <v>14853</v>
      </c>
      <c r="E2815" s="6"/>
      <c r="F2815" t="s">
        <v>15087</v>
      </c>
    </row>
    <row r="2816" spans="3:6" ht="15" x14ac:dyDescent="0.25">
      <c r="C2816" s="1644" t="s">
        <v>14854</v>
      </c>
      <c r="E2816" s="6"/>
      <c r="F2816" t="s">
        <v>15087</v>
      </c>
    </row>
    <row r="2817" spans="3:6" ht="15" x14ac:dyDescent="0.25">
      <c r="C2817" s="1644" t="s">
        <v>14855</v>
      </c>
      <c r="E2817" s="6"/>
      <c r="F2817" t="s">
        <v>15087</v>
      </c>
    </row>
    <row r="2818" spans="3:6" ht="15" x14ac:dyDescent="0.25">
      <c r="C2818" s="1644" t="s">
        <v>14856</v>
      </c>
      <c r="E2818" s="6"/>
      <c r="F2818" t="s">
        <v>15087</v>
      </c>
    </row>
    <row r="2819" spans="3:6" ht="15" x14ac:dyDescent="0.25">
      <c r="C2819" s="1644" t="s">
        <v>14857</v>
      </c>
      <c r="E2819" s="6">
        <v>1</v>
      </c>
      <c r="F2819" t="s">
        <v>15090</v>
      </c>
    </row>
    <row r="2820" spans="3:6" ht="15" x14ac:dyDescent="0.25">
      <c r="C2820" s="1644" t="s">
        <v>14858</v>
      </c>
      <c r="E2820" s="6"/>
      <c r="F2820" t="s">
        <v>15087</v>
      </c>
    </row>
    <row r="2821" spans="3:6" ht="15" x14ac:dyDescent="0.25">
      <c r="C2821" s="1644" t="s">
        <v>14859</v>
      </c>
      <c r="E2821" s="6"/>
      <c r="F2821" t="s">
        <v>15087</v>
      </c>
    </row>
    <row r="2822" spans="3:6" ht="15" x14ac:dyDescent="0.25">
      <c r="C2822" s="1644" t="s">
        <v>14860</v>
      </c>
      <c r="E2822" s="6"/>
      <c r="F2822" t="s">
        <v>15087</v>
      </c>
    </row>
    <row r="2823" spans="3:6" ht="15" x14ac:dyDescent="0.25">
      <c r="C2823" s="1644" t="s">
        <v>14861</v>
      </c>
      <c r="E2823" s="6"/>
      <c r="F2823" t="s">
        <v>15087</v>
      </c>
    </row>
    <row r="2824" spans="3:6" ht="15" x14ac:dyDescent="0.25">
      <c r="C2824" s="1644" t="s">
        <v>14862</v>
      </c>
      <c r="E2824" s="6"/>
      <c r="F2824" t="s">
        <v>15087</v>
      </c>
    </row>
    <row r="2825" spans="3:6" ht="15" x14ac:dyDescent="0.25">
      <c r="C2825" s="1644" t="s">
        <v>14863</v>
      </c>
      <c r="E2825" s="6">
        <v>2</v>
      </c>
      <c r="F2825" t="s">
        <v>15089</v>
      </c>
    </row>
    <row r="2826" spans="3:6" ht="15" x14ac:dyDescent="0.25">
      <c r="C2826" s="1644" t="s">
        <v>14864</v>
      </c>
      <c r="E2826" s="6"/>
      <c r="F2826" t="s">
        <v>15087</v>
      </c>
    </row>
    <row r="2827" spans="3:6" ht="15" x14ac:dyDescent="0.25">
      <c r="C2827" s="1644" t="s">
        <v>14865</v>
      </c>
      <c r="E2827" s="6">
        <v>2</v>
      </c>
      <c r="F2827" t="s">
        <v>15122</v>
      </c>
    </row>
    <row r="2828" spans="3:6" ht="15" x14ac:dyDescent="0.25">
      <c r="C2828" s="1644" t="s">
        <v>14866</v>
      </c>
      <c r="E2828" s="6"/>
      <c r="F2828" t="s">
        <v>15087</v>
      </c>
    </row>
    <row r="2829" spans="3:6" ht="15" x14ac:dyDescent="0.25">
      <c r="C2829" s="1644" t="s">
        <v>14867</v>
      </c>
      <c r="E2829" s="6">
        <v>1</v>
      </c>
      <c r="F2829" t="s">
        <v>15141</v>
      </c>
    </row>
    <row r="2830" spans="3:6" ht="15" x14ac:dyDescent="0.25">
      <c r="C2830" s="1644" t="s">
        <v>14868</v>
      </c>
      <c r="E2830" s="6"/>
      <c r="F2830" t="s">
        <v>15087</v>
      </c>
    </row>
    <row r="2831" spans="3:6" ht="15" x14ac:dyDescent="0.25">
      <c r="C2831" s="1644" t="s">
        <v>14869</v>
      </c>
      <c r="E2831" s="6"/>
      <c r="F2831" t="s">
        <v>15087</v>
      </c>
    </row>
    <row r="2832" spans="3:6" ht="15" x14ac:dyDescent="0.25">
      <c r="C2832" s="1644" t="s">
        <v>14870</v>
      </c>
      <c r="E2832" s="6">
        <v>1</v>
      </c>
      <c r="F2832" t="s">
        <v>15125</v>
      </c>
    </row>
    <row r="2833" spans="3:6" ht="15" x14ac:dyDescent="0.25">
      <c r="C2833" s="1644" t="s">
        <v>14871</v>
      </c>
      <c r="E2833" s="6">
        <v>1</v>
      </c>
      <c r="F2833" t="s">
        <v>15138</v>
      </c>
    </row>
    <row r="2834" spans="3:6" ht="15" x14ac:dyDescent="0.25">
      <c r="C2834" s="1644" t="s">
        <v>14872</v>
      </c>
      <c r="E2834" s="6"/>
      <c r="F2834" t="s">
        <v>15087</v>
      </c>
    </row>
    <row r="2835" spans="3:6" ht="15" x14ac:dyDescent="0.25">
      <c r="C2835" s="1644" t="s">
        <v>14873</v>
      </c>
      <c r="E2835" s="6"/>
      <c r="F2835" t="s">
        <v>15087</v>
      </c>
    </row>
    <row r="2836" spans="3:6" ht="15" x14ac:dyDescent="0.25">
      <c r="C2836" s="1644" t="s">
        <v>14874</v>
      </c>
      <c r="E2836" s="6"/>
      <c r="F2836" t="s">
        <v>15087</v>
      </c>
    </row>
    <row r="2837" spans="3:6" ht="15" x14ac:dyDescent="0.25">
      <c r="C2837" s="1644" t="s">
        <v>14875</v>
      </c>
      <c r="E2837" s="6"/>
      <c r="F2837" t="s">
        <v>15087</v>
      </c>
    </row>
    <row r="2838" spans="3:6" ht="15" x14ac:dyDescent="0.25">
      <c r="C2838" s="1644" t="s">
        <v>14876</v>
      </c>
      <c r="E2838" s="6">
        <v>2</v>
      </c>
      <c r="F2838" t="s">
        <v>15091</v>
      </c>
    </row>
    <row r="2839" spans="3:6" ht="15" x14ac:dyDescent="0.25">
      <c r="C2839" s="1644" t="s">
        <v>14877</v>
      </c>
      <c r="E2839" s="6"/>
      <c r="F2839" t="s">
        <v>15087</v>
      </c>
    </row>
    <row r="2840" spans="3:6" ht="15" x14ac:dyDescent="0.25">
      <c r="C2840" s="1644" t="s">
        <v>14878</v>
      </c>
      <c r="E2840" s="6">
        <v>1</v>
      </c>
      <c r="F2840" t="s">
        <v>15148</v>
      </c>
    </row>
    <row r="2841" spans="3:6" ht="15" x14ac:dyDescent="0.25">
      <c r="C2841" s="1644" t="s">
        <v>14879</v>
      </c>
      <c r="E2841" s="6"/>
      <c r="F2841" t="s">
        <v>15087</v>
      </c>
    </row>
    <row r="2842" spans="3:6" ht="15" x14ac:dyDescent="0.25">
      <c r="C2842" s="1644" t="s">
        <v>14880</v>
      </c>
      <c r="E2842" s="6"/>
      <c r="F2842" t="s">
        <v>15087</v>
      </c>
    </row>
    <row r="2843" spans="3:6" ht="15" x14ac:dyDescent="0.25">
      <c r="C2843" s="1644" t="s">
        <v>14881</v>
      </c>
      <c r="E2843" s="6"/>
      <c r="F2843" t="s">
        <v>15087</v>
      </c>
    </row>
    <row r="2844" spans="3:6" ht="15" x14ac:dyDescent="0.25">
      <c r="C2844" s="1644" t="s">
        <v>14882</v>
      </c>
      <c r="E2844" s="6"/>
      <c r="F2844" t="s">
        <v>15087</v>
      </c>
    </row>
    <row r="2845" spans="3:6" ht="15" x14ac:dyDescent="0.25">
      <c r="C2845" s="1644" t="s">
        <v>14883</v>
      </c>
      <c r="E2845" s="6"/>
      <c r="F2845" t="s">
        <v>15087</v>
      </c>
    </row>
    <row r="2846" spans="3:6" ht="15" x14ac:dyDescent="0.25">
      <c r="C2846" s="1644" t="s">
        <v>14884</v>
      </c>
      <c r="E2846" s="6">
        <v>2</v>
      </c>
      <c r="F2846" t="s">
        <v>15092</v>
      </c>
    </row>
    <row r="2847" spans="3:6" ht="15" x14ac:dyDescent="0.25">
      <c r="C2847" s="1644" t="s">
        <v>14885</v>
      </c>
      <c r="E2847" s="6"/>
      <c r="F2847" t="s">
        <v>15087</v>
      </c>
    </row>
    <row r="2848" spans="3:6" ht="15" x14ac:dyDescent="0.25">
      <c r="C2848" s="1644" t="s">
        <v>14886</v>
      </c>
      <c r="E2848" s="6">
        <v>41</v>
      </c>
      <c r="F2848" t="s">
        <v>15090</v>
      </c>
    </row>
    <row r="2849" spans="3:6" ht="15" x14ac:dyDescent="0.25">
      <c r="C2849" s="1644" t="s">
        <v>14887</v>
      </c>
      <c r="E2849" s="6"/>
      <c r="F2849" t="s">
        <v>15087</v>
      </c>
    </row>
    <row r="2850" spans="3:6" ht="15" x14ac:dyDescent="0.25">
      <c r="C2850" s="1644" t="s">
        <v>14888</v>
      </c>
      <c r="E2850" s="6"/>
      <c r="F2850" t="s">
        <v>15087</v>
      </c>
    </row>
    <row r="2851" spans="3:6" ht="15" x14ac:dyDescent="0.25">
      <c r="C2851" s="1644" t="s">
        <v>14889</v>
      </c>
      <c r="E2851" s="6"/>
      <c r="F2851" t="s">
        <v>15087</v>
      </c>
    </row>
    <row r="2852" spans="3:6" ht="15" x14ac:dyDescent="0.25">
      <c r="C2852" s="1644" t="s">
        <v>14890</v>
      </c>
      <c r="E2852" s="6">
        <v>1</v>
      </c>
      <c r="F2852" t="s">
        <v>15090</v>
      </c>
    </row>
    <row r="2853" spans="3:6" ht="15" x14ac:dyDescent="0.25">
      <c r="C2853" s="1644" t="s">
        <v>14891</v>
      </c>
      <c r="E2853" s="6"/>
      <c r="F2853" t="s">
        <v>15087</v>
      </c>
    </row>
    <row r="2854" spans="3:6" ht="15" x14ac:dyDescent="0.25">
      <c r="C2854" s="1644" t="s">
        <v>14892</v>
      </c>
      <c r="E2854" s="6">
        <v>1</v>
      </c>
      <c r="F2854" t="s">
        <v>15138</v>
      </c>
    </row>
    <row r="2855" spans="3:6" ht="15" x14ac:dyDescent="0.25">
      <c r="C2855" s="1644" t="s">
        <v>14893</v>
      </c>
      <c r="E2855" s="6">
        <v>2</v>
      </c>
      <c r="F2855" t="s">
        <v>15090</v>
      </c>
    </row>
    <row r="2856" spans="3:6" ht="15" x14ac:dyDescent="0.25">
      <c r="C2856" s="1644" t="s">
        <v>14894</v>
      </c>
      <c r="E2856" s="6"/>
      <c r="F2856" t="s">
        <v>15087</v>
      </c>
    </row>
    <row r="2857" spans="3:6" ht="15" x14ac:dyDescent="0.25">
      <c r="C2857" s="1644" t="s">
        <v>14895</v>
      </c>
      <c r="E2857" s="6">
        <v>14</v>
      </c>
      <c r="F2857" t="s">
        <v>15122</v>
      </c>
    </row>
    <row r="2858" spans="3:6" ht="15" x14ac:dyDescent="0.25">
      <c r="C2858" s="1644" t="s">
        <v>14896</v>
      </c>
      <c r="E2858" s="6"/>
      <c r="F2858" t="s">
        <v>15087</v>
      </c>
    </row>
    <row r="2859" spans="3:6" ht="15" x14ac:dyDescent="0.25">
      <c r="C2859" s="1644" t="s">
        <v>14897</v>
      </c>
      <c r="E2859" s="6">
        <v>1</v>
      </c>
      <c r="F2859" t="s">
        <v>15130</v>
      </c>
    </row>
    <row r="2860" spans="3:6" ht="15" x14ac:dyDescent="0.25">
      <c r="C2860" s="1644" t="s">
        <v>14898</v>
      </c>
      <c r="E2860" s="6"/>
      <c r="F2860" t="s">
        <v>15087</v>
      </c>
    </row>
    <row r="2861" spans="3:6" ht="15" x14ac:dyDescent="0.25">
      <c r="C2861" s="1644" t="s">
        <v>14899</v>
      </c>
      <c r="E2861" s="6">
        <v>2</v>
      </c>
      <c r="F2861" t="s">
        <v>15117</v>
      </c>
    </row>
    <row r="2862" spans="3:6" ht="15" x14ac:dyDescent="0.25">
      <c r="C2862" s="1644" t="s">
        <v>14900</v>
      </c>
      <c r="E2862" s="6"/>
      <c r="F2862" t="s">
        <v>15087</v>
      </c>
    </row>
    <row r="2863" spans="3:6" ht="15" x14ac:dyDescent="0.25">
      <c r="C2863" s="1644" t="s">
        <v>14901</v>
      </c>
      <c r="E2863" s="6">
        <v>2</v>
      </c>
      <c r="F2863" t="s">
        <v>15090</v>
      </c>
    </row>
    <row r="2864" spans="3:6" ht="15" x14ac:dyDescent="0.25">
      <c r="C2864" s="1644" t="s">
        <v>14902</v>
      </c>
      <c r="E2864" s="6"/>
      <c r="F2864" t="s">
        <v>15087</v>
      </c>
    </row>
    <row r="2865" spans="3:6" ht="15" x14ac:dyDescent="0.25">
      <c r="C2865" s="1644" t="s">
        <v>14903</v>
      </c>
      <c r="E2865" s="6"/>
      <c r="F2865" t="s">
        <v>15087</v>
      </c>
    </row>
    <row r="2866" spans="3:6" ht="15" x14ac:dyDescent="0.25">
      <c r="C2866" s="1644" t="s">
        <v>14904</v>
      </c>
      <c r="E2866" s="6"/>
      <c r="F2866" t="s">
        <v>15087</v>
      </c>
    </row>
    <row r="2867" spans="3:6" ht="15" x14ac:dyDescent="0.25">
      <c r="C2867" s="1644" t="s">
        <v>14905</v>
      </c>
      <c r="E2867" s="6">
        <v>1</v>
      </c>
      <c r="F2867" t="s">
        <v>15094</v>
      </c>
    </row>
    <row r="2868" spans="3:6" ht="15" x14ac:dyDescent="0.25">
      <c r="C2868" s="1644" t="s">
        <v>14906</v>
      </c>
      <c r="E2868" s="6"/>
      <c r="F2868" t="s">
        <v>15087</v>
      </c>
    </row>
    <row r="2869" spans="3:6" ht="15" x14ac:dyDescent="0.25">
      <c r="C2869" s="1644" t="s">
        <v>14907</v>
      </c>
      <c r="E2869" s="6">
        <v>22</v>
      </c>
      <c r="F2869" t="s">
        <v>15103</v>
      </c>
    </row>
    <row r="2870" spans="3:6" ht="15" x14ac:dyDescent="0.25">
      <c r="C2870" s="1644" t="s">
        <v>14908</v>
      </c>
      <c r="E2870" s="6">
        <v>1</v>
      </c>
      <c r="F2870" t="s">
        <v>15090</v>
      </c>
    </row>
    <row r="2871" spans="3:6" ht="15" x14ac:dyDescent="0.25">
      <c r="C2871" s="1644" t="s">
        <v>14909</v>
      </c>
      <c r="E2871" s="6"/>
      <c r="F2871" t="s">
        <v>15087</v>
      </c>
    </row>
    <row r="2872" spans="3:6" ht="15" x14ac:dyDescent="0.25">
      <c r="C2872" s="1644" t="s">
        <v>14910</v>
      </c>
      <c r="E2872" s="6"/>
      <c r="F2872" t="s">
        <v>15087</v>
      </c>
    </row>
    <row r="2873" spans="3:6" ht="15" x14ac:dyDescent="0.25">
      <c r="C2873" s="1644" t="s">
        <v>14911</v>
      </c>
      <c r="E2873" s="6"/>
      <c r="F2873" t="s">
        <v>15087</v>
      </c>
    </row>
    <row r="2874" spans="3:6" ht="15" x14ac:dyDescent="0.25">
      <c r="C2874" s="1644" t="s">
        <v>14912</v>
      </c>
      <c r="E2874" s="6"/>
      <c r="F2874" t="s">
        <v>15087</v>
      </c>
    </row>
    <row r="2875" spans="3:6" ht="15" x14ac:dyDescent="0.25">
      <c r="C2875" s="1644" t="s">
        <v>14913</v>
      </c>
      <c r="E2875" s="6"/>
      <c r="F2875" t="s">
        <v>15087</v>
      </c>
    </row>
    <row r="2876" spans="3:6" ht="15" x14ac:dyDescent="0.25">
      <c r="C2876" s="1644" t="s">
        <v>14914</v>
      </c>
      <c r="E2876" s="6"/>
      <c r="F2876" t="s">
        <v>15087</v>
      </c>
    </row>
    <row r="2877" spans="3:6" ht="15" x14ac:dyDescent="0.25">
      <c r="C2877" s="1644" t="s">
        <v>14915</v>
      </c>
      <c r="E2877" s="6"/>
      <c r="F2877" t="s">
        <v>15087</v>
      </c>
    </row>
    <row r="2878" spans="3:6" ht="15" x14ac:dyDescent="0.25">
      <c r="C2878" s="1644" t="s">
        <v>14916</v>
      </c>
      <c r="E2878" s="6"/>
      <c r="F2878" t="s">
        <v>15087</v>
      </c>
    </row>
    <row r="2879" spans="3:6" ht="15" x14ac:dyDescent="0.25">
      <c r="C2879" s="1644" t="s">
        <v>14917</v>
      </c>
      <c r="E2879" s="6"/>
      <c r="F2879" t="s">
        <v>15087</v>
      </c>
    </row>
    <row r="2880" spans="3:6" ht="15" x14ac:dyDescent="0.25">
      <c r="C2880" s="1644" t="s">
        <v>14918</v>
      </c>
      <c r="E2880" s="6"/>
      <c r="F2880" t="s">
        <v>15087</v>
      </c>
    </row>
    <row r="2881" spans="3:6" ht="15" x14ac:dyDescent="0.25">
      <c r="C2881" s="1644" t="s">
        <v>14919</v>
      </c>
      <c r="E2881" s="6"/>
      <c r="F2881" t="s">
        <v>15087</v>
      </c>
    </row>
    <row r="2882" spans="3:6" ht="15" x14ac:dyDescent="0.25">
      <c r="C2882" s="1644" t="s">
        <v>14920</v>
      </c>
      <c r="E2882" s="6"/>
      <c r="F2882" t="s">
        <v>15087</v>
      </c>
    </row>
    <row r="2883" spans="3:6" ht="15" x14ac:dyDescent="0.25">
      <c r="C2883" s="1644" t="s">
        <v>14921</v>
      </c>
      <c r="E2883" s="6"/>
      <c r="F2883" t="s">
        <v>15087</v>
      </c>
    </row>
    <row r="2884" spans="3:6" ht="15" x14ac:dyDescent="0.25">
      <c r="C2884" s="1644" t="s">
        <v>14922</v>
      </c>
      <c r="E2884" s="6"/>
      <c r="F2884" t="s">
        <v>15087</v>
      </c>
    </row>
    <row r="2885" spans="3:6" ht="15" x14ac:dyDescent="0.25">
      <c r="C2885" s="1644" t="s">
        <v>14923</v>
      </c>
      <c r="E2885" s="6"/>
      <c r="F2885" t="s">
        <v>15087</v>
      </c>
    </row>
    <row r="2886" spans="3:6" ht="15" x14ac:dyDescent="0.25">
      <c r="C2886" s="1644" t="s">
        <v>14924</v>
      </c>
      <c r="E2886" s="6">
        <v>1</v>
      </c>
      <c r="F2886" t="s">
        <v>15101</v>
      </c>
    </row>
    <row r="2887" spans="3:6" ht="15" x14ac:dyDescent="0.25">
      <c r="C2887" s="1644" t="s">
        <v>14925</v>
      </c>
      <c r="E2887" s="6"/>
      <c r="F2887" t="s">
        <v>15087</v>
      </c>
    </row>
    <row r="2888" spans="3:6" ht="15" x14ac:dyDescent="0.25">
      <c r="C2888" s="1644" t="s">
        <v>14926</v>
      </c>
      <c r="E2888" s="6"/>
      <c r="F2888" t="s">
        <v>15087</v>
      </c>
    </row>
    <row r="2889" spans="3:6" ht="15" x14ac:dyDescent="0.25">
      <c r="C2889" s="1644" t="s">
        <v>14927</v>
      </c>
      <c r="E2889" s="6"/>
      <c r="F2889" t="s">
        <v>15087</v>
      </c>
    </row>
    <row r="2890" spans="3:6" ht="15" x14ac:dyDescent="0.25">
      <c r="C2890" s="1644" t="s">
        <v>14928</v>
      </c>
      <c r="E2890" s="6"/>
      <c r="F2890" t="s">
        <v>15087</v>
      </c>
    </row>
    <row r="2891" spans="3:6" ht="15" x14ac:dyDescent="0.25">
      <c r="C2891" s="1644" t="s">
        <v>14929</v>
      </c>
      <c r="E2891" s="6">
        <v>160</v>
      </c>
      <c r="F2891" t="s">
        <v>15090</v>
      </c>
    </row>
    <row r="2892" spans="3:6" ht="15" x14ac:dyDescent="0.25">
      <c r="C2892" s="1644" t="s">
        <v>14930</v>
      </c>
      <c r="E2892" s="6">
        <v>5</v>
      </c>
      <c r="F2892" t="s">
        <v>15106</v>
      </c>
    </row>
    <row r="2893" spans="3:6" ht="15" x14ac:dyDescent="0.25">
      <c r="C2893" s="1644" t="s">
        <v>14931</v>
      </c>
      <c r="E2893" s="6"/>
      <c r="F2893" t="s">
        <v>15087</v>
      </c>
    </row>
    <row r="2894" spans="3:6" ht="15" x14ac:dyDescent="0.25">
      <c r="C2894" s="1644" t="s">
        <v>14932</v>
      </c>
      <c r="E2894" s="6"/>
      <c r="F2894" t="s">
        <v>15087</v>
      </c>
    </row>
    <row r="2895" spans="3:6" ht="15" x14ac:dyDescent="0.25">
      <c r="C2895" s="1644" t="s">
        <v>14933</v>
      </c>
      <c r="E2895" s="6"/>
      <c r="F2895" t="s">
        <v>15087</v>
      </c>
    </row>
    <row r="2896" spans="3:6" ht="15" x14ac:dyDescent="0.25">
      <c r="C2896" s="1644" t="s">
        <v>14934</v>
      </c>
      <c r="E2896" s="6"/>
      <c r="F2896" t="s">
        <v>15087</v>
      </c>
    </row>
    <row r="2897" spans="3:6" ht="15" x14ac:dyDescent="0.25">
      <c r="C2897" s="1644" t="s">
        <v>14935</v>
      </c>
      <c r="E2897" s="6">
        <v>4</v>
      </c>
      <c r="F2897" t="s">
        <v>15090</v>
      </c>
    </row>
    <row r="2898" spans="3:6" ht="15" x14ac:dyDescent="0.25">
      <c r="C2898" s="1644" t="s">
        <v>14936</v>
      </c>
      <c r="E2898" s="6"/>
      <c r="F2898" t="s">
        <v>15087</v>
      </c>
    </row>
    <row r="2899" spans="3:6" ht="15" x14ac:dyDescent="0.25">
      <c r="C2899" s="1644" t="s">
        <v>14937</v>
      </c>
      <c r="E2899" s="6"/>
      <c r="F2899" t="s">
        <v>15087</v>
      </c>
    </row>
    <row r="2900" spans="3:6" ht="15" x14ac:dyDescent="0.25">
      <c r="C2900" s="1644" t="s">
        <v>14938</v>
      </c>
      <c r="E2900" s="6">
        <v>1</v>
      </c>
      <c r="F2900" t="s">
        <v>15140</v>
      </c>
    </row>
    <row r="2901" spans="3:6" ht="15" x14ac:dyDescent="0.25">
      <c r="C2901" s="1644" t="s">
        <v>14939</v>
      </c>
      <c r="E2901" s="6"/>
      <c r="F2901" t="s">
        <v>15087</v>
      </c>
    </row>
    <row r="2902" spans="3:6" ht="15" x14ac:dyDescent="0.25">
      <c r="C2902" s="1644" t="s">
        <v>14940</v>
      </c>
      <c r="E2902" s="6"/>
      <c r="F2902" t="s">
        <v>15087</v>
      </c>
    </row>
    <row r="2903" spans="3:6" ht="15" x14ac:dyDescent="0.25">
      <c r="C2903" s="1644" t="s">
        <v>14941</v>
      </c>
      <c r="E2903" s="6"/>
      <c r="F2903" t="s">
        <v>15087</v>
      </c>
    </row>
    <row r="2904" spans="3:6" ht="15" x14ac:dyDescent="0.25">
      <c r="C2904" s="1644" t="s">
        <v>14942</v>
      </c>
      <c r="E2904" s="6"/>
      <c r="F2904" t="s">
        <v>15087</v>
      </c>
    </row>
    <row r="2905" spans="3:6" ht="15" x14ac:dyDescent="0.25">
      <c r="C2905" s="1644" t="s">
        <v>14943</v>
      </c>
      <c r="E2905" s="6"/>
      <c r="F2905" t="s">
        <v>15087</v>
      </c>
    </row>
    <row r="2906" spans="3:6" ht="15" x14ac:dyDescent="0.25">
      <c r="C2906" s="1644" t="s">
        <v>14944</v>
      </c>
      <c r="E2906" s="6"/>
      <c r="F2906" t="s">
        <v>15087</v>
      </c>
    </row>
    <row r="2907" spans="3:6" ht="15" x14ac:dyDescent="0.25">
      <c r="C2907" s="1644" t="s">
        <v>14945</v>
      </c>
      <c r="E2907" s="6"/>
      <c r="F2907" t="s">
        <v>15087</v>
      </c>
    </row>
    <row r="2908" spans="3:6" ht="15" x14ac:dyDescent="0.25">
      <c r="C2908" s="1644" t="s">
        <v>14946</v>
      </c>
      <c r="E2908" s="6">
        <v>1</v>
      </c>
      <c r="F2908" t="s">
        <v>15117</v>
      </c>
    </row>
    <row r="2909" spans="3:6" ht="15" x14ac:dyDescent="0.25">
      <c r="C2909" s="1644" t="s">
        <v>14947</v>
      </c>
      <c r="E2909" s="6"/>
      <c r="F2909" t="s">
        <v>15087</v>
      </c>
    </row>
    <row r="2910" spans="3:6" ht="15" x14ac:dyDescent="0.25">
      <c r="C2910" s="1644" t="s">
        <v>14948</v>
      </c>
      <c r="E2910" s="6">
        <v>5</v>
      </c>
      <c r="F2910" t="s">
        <v>15092</v>
      </c>
    </row>
    <row r="2911" spans="3:6" ht="15" x14ac:dyDescent="0.25">
      <c r="C2911" s="1644" t="s">
        <v>14949</v>
      </c>
      <c r="E2911" s="6">
        <v>1</v>
      </c>
      <c r="F2911" t="s">
        <v>15119</v>
      </c>
    </row>
    <row r="2912" spans="3:6" ht="15" x14ac:dyDescent="0.25">
      <c r="C2912" s="1644" t="s">
        <v>14950</v>
      </c>
      <c r="E2912" s="6"/>
      <c r="F2912" t="s">
        <v>15087</v>
      </c>
    </row>
    <row r="2913" spans="3:6" ht="15" x14ac:dyDescent="0.25">
      <c r="C2913" s="1644" t="s">
        <v>14951</v>
      </c>
      <c r="E2913" s="6"/>
      <c r="F2913" t="s">
        <v>15087</v>
      </c>
    </row>
    <row r="2914" spans="3:6" ht="15" x14ac:dyDescent="0.25">
      <c r="C2914" s="1644" t="s">
        <v>14952</v>
      </c>
      <c r="E2914" s="6"/>
      <c r="F2914" t="s">
        <v>15087</v>
      </c>
    </row>
    <row r="2915" spans="3:6" ht="15" x14ac:dyDescent="0.25">
      <c r="C2915" s="1644" t="s">
        <v>14953</v>
      </c>
      <c r="E2915" s="6"/>
      <c r="F2915" t="s">
        <v>15087</v>
      </c>
    </row>
    <row r="2916" spans="3:6" ht="15" x14ac:dyDescent="0.25">
      <c r="C2916" s="1644" t="s">
        <v>14954</v>
      </c>
      <c r="E2916" s="6"/>
      <c r="F2916" t="s">
        <v>15087</v>
      </c>
    </row>
    <row r="2917" spans="3:6" ht="15" x14ac:dyDescent="0.25">
      <c r="C2917" s="1644" t="s">
        <v>14955</v>
      </c>
      <c r="E2917" s="6"/>
      <c r="F2917" t="s">
        <v>15087</v>
      </c>
    </row>
    <row r="2918" spans="3:6" ht="15" x14ac:dyDescent="0.25">
      <c r="C2918" s="1644" t="s">
        <v>14956</v>
      </c>
      <c r="E2918" s="6"/>
      <c r="F2918" t="s">
        <v>15087</v>
      </c>
    </row>
    <row r="2919" spans="3:6" ht="15" x14ac:dyDescent="0.25">
      <c r="C2919" s="1644" t="s">
        <v>14957</v>
      </c>
      <c r="E2919" s="6"/>
      <c r="F2919" t="s">
        <v>15087</v>
      </c>
    </row>
    <row r="2920" spans="3:6" ht="15" x14ac:dyDescent="0.25">
      <c r="C2920" s="1644" t="s">
        <v>14958</v>
      </c>
      <c r="E2920" s="6"/>
      <c r="F2920" t="s">
        <v>15087</v>
      </c>
    </row>
    <row r="2921" spans="3:6" ht="15" x14ac:dyDescent="0.25">
      <c r="C2921" s="1644" t="s">
        <v>14959</v>
      </c>
      <c r="E2921" s="6"/>
      <c r="F2921" t="s">
        <v>15087</v>
      </c>
    </row>
    <row r="2922" spans="3:6" ht="15" x14ac:dyDescent="0.25">
      <c r="C2922" s="1644" t="s">
        <v>14960</v>
      </c>
      <c r="E2922" s="6"/>
      <c r="F2922" t="s">
        <v>15087</v>
      </c>
    </row>
    <row r="2923" spans="3:6" ht="15" x14ac:dyDescent="0.25">
      <c r="C2923" s="1644" t="s">
        <v>14961</v>
      </c>
      <c r="E2923" s="6"/>
      <c r="F2923" t="s">
        <v>15087</v>
      </c>
    </row>
    <row r="2924" spans="3:6" ht="15" x14ac:dyDescent="0.25">
      <c r="C2924" s="1644" t="s">
        <v>14962</v>
      </c>
      <c r="E2924" s="6"/>
      <c r="F2924" t="s">
        <v>15087</v>
      </c>
    </row>
    <row r="2925" spans="3:6" ht="15" x14ac:dyDescent="0.25">
      <c r="C2925" s="1644" t="s">
        <v>14963</v>
      </c>
      <c r="E2925" s="6"/>
      <c r="F2925" t="s">
        <v>15087</v>
      </c>
    </row>
    <row r="2926" spans="3:6" ht="15" x14ac:dyDescent="0.25">
      <c r="C2926" s="1644" t="s">
        <v>14964</v>
      </c>
      <c r="E2926" s="6"/>
      <c r="F2926" t="s">
        <v>15087</v>
      </c>
    </row>
    <row r="2927" spans="3:6" ht="15" x14ac:dyDescent="0.25">
      <c r="C2927" s="1644" t="s">
        <v>14965</v>
      </c>
      <c r="E2927" s="6"/>
      <c r="F2927" t="s">
        <v>15087</v>
      </c>
    </row>
    <row r="2928" spans="3:6" ht="15" x14ac:dyDescent="0.25">
      <c r="C2928" s="1644" t="s">
        <v>14966</v>
      </c>
      <c r="E2928" s="6">
        <v>7</v>
      </c>
      <c r="F2928" t="s">
        <v>15096</v>
      </c>
    </row>
    <row r="2929" spans="3:6" ht="15" x14ac:dyDescent="0.25">
      <c r="C2929" s="1644" t="s">
        <v>14967</v>
      </c>
      <c r="E2929" s="6">
        <v>3</v>
      </c>
      <c r="F2929" t="s">
        <v>15090</v>
      </c>
    </row>
    <row r="2930" spans="3:6" ht="15" x14ac:dyDescent="0.25">
      <c r="C2930" s="1644" t="s">
        <v>14968</v>
      </c>
      <c r="E2930" s="6"/>
      <c r="F2930" t="s">
        <v>15087</v>
      </c>
    </row>
    <row r="2931" spans="3:6" ht="15" x14ac:dyDescent="0.25">
      <c r="C2931" s="1644" t="s">
        <v>14969</v>
      </c>
      <c r="E2931" s="6"/>
      <c r="F2931" t="s">
        <v>15087</v>
      </c>
    </row>
    <row r="2932" spans="3:6" ht="15" x14ac:dyDescent="0.25">
      <c r="C2932" s="1644" t="s">
        <v>14970</v>
      </c>
      <c r="E2932" s="6"/>
      <c r="F2932" t="s">
        <v>15087</v>
      </c>
    </row>
    <row r="2933" spans="3:6" ht="15" x14ac:dyDescent="0.25">
      <c r="C2933" s="1644" t="s">
        <v>14971</v>
      </c>
      <c r="E2933" s="6"/>
      <c r="F2933" t="s">
        <v>15087</v>
      </c>
    </row>
    <row r="2934" spans="3:6" ht="15" x14ac:dyDescent="0.25">
      <c r="C2934" s="1644" t="s">
        <v>14972</v>
      </c>
      <c r="E2934" s="6">
        <v>3</v>
      </c>
      <c r="F2934" t="s">
        <v>15092</v>
      </c>
    </row>
    <row r="2935" spans="3:6" ht="15" x14ac:dyDescent="0.25">
      <c r="C2935" s="1644" t="s">
        <v>14973</v>
      </c>
      <c r="E2935" s="6"/>
      <c r="F2935" t="s">
        <v>15087</v>
      </c>
    </row>
    <row r="2936" spans="3:6" ht="15" x14ac:dyDescent="0.25">
      <c r="C2936" s="1644" t="s">
        <v>14974</v>
      </c>
      <c r="E2936" s="6"/>
      <c r="F2936" t="s">
        <v>15087</v>
      </c>
    </row>
    <row r="2937" spans="3:6" ht="15" x14ac:dyDescent="0.25">
      <c r="C2937" s="1644" t="s">
        <v>14975</v>
      </c>
      <c r="E2937" s="6"/>
      <c r="F2937" t="s">
        <v>15087</v>
      </c>
    </row>
    <row r="2938" spans="3:6" ht="15" x14ac:dyDescent="0.25">
      <c r="C2938" s="1644" t="s">
        <v>14976</v>
      </c>
      <c r="E2938" s="6"/>
      <c r="F2938" t="s">
        <v>15087</v>
      </c>
    </row>
    <row r="2939" spans="3:6" ht="15" x14ac:dyDescent="0.25">
      <c r="C2939" s="1644" t="s">
        <v>14977</v>
      </c>
      <c r="E2939" s="6"/>
      <c r="F2939" t="s">
        <v>15087</v>
      </c>
    </row>
    <row r="2940" spans="3:6" ht="15" x14ac:dyDescent="0.25">
      <c r="C2940" s="1644" t="s">
        <v>14978</v>
      </c>
      <c r="E2940" s="6">
        <v>1</v>
      </c>
      <c r="F2940" t="s">
        <v>15138</v>
      </c>
    </row>
    <row r="2941" spans="3:6" ht="15" x14ac:dyDescent="0.25">
      <c r="C2941" s="1644" t="s">
        <v>14979</v>
      </c>
      <c r="E2941" s="6"/>
      <c r="F2941" t="s">
        <v>15087</v>
      </c>
    </row>
    <row r="2942" spans="3:6" ht="15" x14ac:dyDescent="0.25">
      <c r="C2942" s="1644" t="s">
        <v>14980</v>
      </c>
      <c r="E2942" s="6"/>
      <c r="F2942" t="s">
        <v>15087</v>
      </c>
    </row>
    <row r="2943" spans="3:6" ht="15" x14ac:dyDescent="0.25">
      <c r="C2943" s="1644" t="s">
        <v>14981</v>
      </c>
      <c r="E2943" s="6"/>
      <c r="F2943" t="s">
        <v>15087</v>
      </c>
    </row>
    <row r="2944" spans="3:6" ht="15" x14ac:dyDescent="0.25">
      <c r="C2944" s="1644" t="s">
        <v>14982</v>
      </c>
      <c r="E2944" s="6"/>
      <c r="F2944" t="s">
        <v>15087</v>
      </c>
    </row>
    <row r="2945" spans="3:6" ht="15" x14ac:dyDescent="0.25">
      <c r="C2945" s="1644" t="s">
        <v>14983</v>
      </c>
      <c r="E2945" s="6"/>
      <c r="F2945" t="s">
        <v>15087</v>
      </c>
    </row>
    <row r="2946" spans="3:6" ht="15" x14ac:dyDescent="0.25">
      <c r="C2946" s="1644" t="s">
        <v>14984</v>
      </c>
      <c r="E2946" s="6"/>
      <c r="F2946" t="s">
        <v>15087</v>
      </c>
    </row>
    <row r="2947" spans="3:6" ht="15" x14ac:dyDescent="0.25">
      <c r="C2947" s="1644" t="s">
        <v>14985</v>
      </c>
      <c r="E2947" s="6"/>
      <c r="F2947" t="s">
        <v>15087</v>
      </c>
    </row>
    <row r="2948" spans="3:6" ht="15" x14ac:dyDescent="0.25">
      <c r="C2948" s="1644" t="s">
        <v>14986</v>
      </c>
      <c r="E2948" s="6">
        <v>1</v>
      </c>
      <c r="F2948" t="s">
        <v>15090</v>
      </c>
    </row>
    <row r="2949" spans="3:6" ht="15" x14ac:dyDescent="0.25">
      <c r="C2949" s="1644" t="s">
        <v>14987</v>
      </c>
      <c r="E2949" s="6"/>
      <c r="F2949" t="s">
        <v>15087</v>
      </c>
    </row>
    <row r="2950" spans="3:6" ht="15" x14ac:dyDescent="0.25">
      <c r="C2950" s="1644" t="s">
        <v>14988</v>
      </c>
      <c r="E2950" s="6"/>
      <c r="F2950" t="s">
        <v>15087</v>
      </c>
    </row>
    <row r="2951" spans="3:6" ht="15" x14ac:dyDescent="0.25">
      <c r="C2951" s="1644" t="s">
        <v>14989</v>
      </c>
      <c r="E2951" s="6"/>
      <c r="F2951" t="s">
        <v>15087</v>
      </c>
    </row>
    <row r="2952" spans="3:6" ht="15" x14ac:dyDescent="0.25">
      <c r="C2952" s="1644" t="s">
        <v>14990</v>
      </c>
      <c r="E2952" s="6"/>
      <c r="F2952" t="s">
        <v>15087</v>
      </c>
    </row>
    <row r="2953" spans="3:6" ht="15" x14ac:dyDescent="0.25">
      <c r="C2953" s="1644" t="s">
        <v>14991</v>
      </c>
      <c r="E2953" s="6"/>
      <c r="F2953" t="s">
        <v>15087</v>
      </c>
    </row>
    <row r="2954" spans="3:6" ht="15" x14ac:dyDescent="0.25">
      <c r="C2954" s="1644" t="s">
        <v>14992</v>
      </c>
      <c r="E2954" s="6"/>
      <c r="F2954" t="s">
        <v>15087</v>
      </c>
    </row>
    <row r="2955" spans="3:6" ht="15" x14ac:dyDescent="0.25">
      <c r="C2955" s="1644" t="s">
        <v>14993</v>
      </c>
      <c r="E2955" s="6"/>
      <c r="F2955" t="s">
        <v>15087</v>
      </c>
    </row>
    <row r="2956" spans="3:6" ht="15" x14ac:dyDescent="0.25">
      <c r="C2956" s="1644" t="s">
        <v>14994</v>
      </c>
      <c r="E2956" s="6"/>
      <c r="F2956" t="s">
        <v>15087</v>
      </c>
    </row>
    <row r="2957" spans="3:6" ht="15" x14ac:dyDescent="0.25">
      <c r="C2957" s="1644" t="s">
        <v>14995</v>
      </c>
      <c r="E2957" s="6">
        <v>4</v>
      </c>
      <c r="F2957" t="s">
        <v>15090</v>
      </c>
    </row>
    <row r="2958" spans="3:6" ht="15" x14ac:dyDescent="0.25">
      <c r="C2958" s="1644" t="s">
        <v>14996</v>
      </c>
      <c r="E2958" s="6">
        <v>1</v>
      </c>
      <c r="F2958" t="s">
        <v>15092</v>
      </c>
    </row>
    <row r="2959" spans="3:6" ht="15" x14ac:dyDescent="0.25">
      <c r="C2959" s="1644" t="s">
        <v>14997</v>
      </c>
      <c r="E2959" s="6"/>
      <c r="F2959" t="s">
        <v>15087</v>
      </c>
    </row>
    <row r="2960" spans="3:6" ht="15" x14ac:dyDescent="0.25">
      <c r="C2960" s="1644" t="s">
        <v>14998</v>
      </c>
      <c r="E2960" s="6"/>
      <c r="F2960" t="s">
        <v>15087</v>
      </c>
    </row>
    <row r="2961" spans="3:6" ht="15" x14ac:dyDescent="0.25">
      <c r="C2961" s="1644" t="s">
        <v>14999</v>
      </c>
      <c r="E2961" s="6"/>
      <c r="F2961" t="s">
        <v>15087</v>
      </c>
    </row>
    <row r="2962" spans="3:6" ht="15" x14ac:dyDescent="0.25">
      <c r="C2962" s="1644" t="s">
        <v>15000</v>
      </c>
      <c r="E2962" s="6">
        <v>1</v>
      </c>
      <c r="F2962" t="s">
        <v>15090</v>
      </c>
    </row>
    <row r="2963" spans="3:6" ht="15" x14ac:dyDescent="0.25">
      <c r="C2963" s="1644" t="s">
        <v>15001</v>
      </c>
      <c r="E2963" s="6"/>
      <c r="F2963" t="s">
        <v>15087</v>
      </c>
    </row>
    <row r="2964" spans="3:6" ht="15" x14ac:dyDescent="0.25">
      <c r="C2964" s="1644" t="s">
        <v>15002</v>
      </c>
      <c r="E2964" s="6">
        <v>1</v>
      </c>
      <c r="F2964" t="s">
        <v>15090</v>
      </c>
    </row>
    <row r="2965" spans="3:6" ht="15" x14ac:dyDescent="0.25">
      <c r="C2965" s="1644" t="s">
        <v>15003</v>
      </c>
      <c r="E2965" s="6"/>
      <c r="F2965" t="s">
        <v>15087</v>
      </c>
    </row>
    <row r="2966" spans="3:6" ht="15" x14ac:dyDescent="0.25">
      <c r="C2966" s="1644" t="s">
        <v>15004</v>
      </c>
      <c r="E2966" s="6">
        <v>2</v>
      </c>
      <c r="F2966" t="s">
        <v>15090</v>
      </c>
    </row>
    <row r="2967" spans="3:6" ht="15" x14ac:dyDescent="0.25">
      <c r="C2967" s="1644" t="s">
        <v>15005</v>
      </c>
      <c r="E2967" s="6"/>
      <c r="F2967" t="s">
        <v>15087</v>
      </c>
    </row>
    <row r="2968" spans="3:6" ht="15" x14ac:dyDescent="0.25">
      <c r="C2968" s="1644" t="s">
        <v>15006</v>
      </c>
      <c r="E2968" s="6"/>
      <c r="F2968" t="s">
        <v>15087</v>
      </c>
    </row>
    <row r="2969" spans="3:6" ht="15" x14ac:dyDescent="0.25">
      <c r="C2969" s="1644" t="s">
        <v>15007</v>
      </c>
      <c r="E2969" s="6">
        <v>1</v>
      </c>
      <c r="F2969" t="s">
        <v>15141</v>
      </c>
    </row>
    <row r="2970" spans="3:6" ht="15" x14ac:dyDescent="0.25">
      <c r="C2970" s="1644" t="s">
        <v>15008</v>
      </c>
      <c r="E2970" s="6"/>
      <c r="F2970" t="s">
        <v>15087</v>
      </c>
    </row>
    <row r="2971" spans="3:6" ht="15" x14ac:dyDescent="0.25">
      <c r="C2971" s="1644" t="s">
        <v>15009</v>
      </c>
      <c r="E2971" s="6"/>
      <c r="F2971" t="s">
        <v>15087</v>
      </c>
    </row>
    <row r="2972" spans="3:6" ht="15" x14ac:dyDescent="0.25">
      <c r="C2972" s="1644" t="s">
        <v>15010</v>
      </c>
      <c r="E2972" s="6"/>
      <c r="F2972" t="s">
        <v>15087</v>
      </c>
    </row>
    <row r="2973" spans="3:6" ht="15" x14ac:dyDescent="0.25">
      <c r="C2973" s="1644" t="s">
        <v>15011</v>
      </c>
      <c r="E2973" s="6"/>
      <c r="F2973" t="s">
        <v>15087</v>
      </c>
    </row>
    <row r="2974" spans="3:6" ht="15" x14ac:dyDescent="0.25">
      <c r="C2974" s="1644" t="s">
        <v>15012</v>
      </c>
      <c r="E2974" s="6">
        <v>1</v>
      </c>
      <c r="F2974" t="s">
        <v>15115</v>
      </c>
    </row>
    <row r="2975" spans="3:6" ht="15" x14ac:dyDescent="0.25">
      <c r="C2975" s="1644" t="s">
        <v>15013</v>
      </c>
      <c r="E2975" s="6"/>
      <c r="F2975" t="s">
        <v>15087</v>
      </c>
    </row>
    <row r="2976" spans="3:6" ht="15" x14ac:dyDescent="0.25">
      <c r="C2976" s="1644" t="s">
        <v>15014</v>
      </c>
      <c r="E2976" s="6"/>
      <c r="F2976" t="s">
        <v>15087</v>
      </c>
    </row>
    <row r="2977" spans="3:6" ht="15" x14ac:dyDescent="0.25">
      <c r="C2977" s="1644" t="s">
        <v>15015</v>
      </c>
      <c r="E2977" s="6">
        <v>2</v>
      </c>
      <c r="F2977" t="s">
        <v>15138</v>
      </c>
    </row>
    <row r="2978" spans="3:6" ht="15" x14ac:dyDescent="0.25">
      <c r="C2978" s="1644" t="s">
        <v>15016</v>
      </c>
      <c r="E2978" s="6"/>
      <c r="F2978" t="s">
        <v>15087</v>
      </c>
    </row>
    <row r="2979" spans="3:6" ht="15" x14ac:dyDescent="0.25">
      <c r="C2979" s="1644" t="s">
        <v>15017</v>
      </c>
      <c r="E2979" s="6"/>
      <c r="F2979" t="s">
        <v>15087</v>
      </c>
    </row>
    <row r="2980" spans="3:6" ht="15" x14ac:dyDescent="0.25">
      <c r="C2980" s="1644" t="s">
        <v>15018</v>
      </c>
      <c r="E2980" s="6"/>
      <c r="F2980" t="s">
        <v>15087</v>
      </c>
    </row>
    <row r="2981" spans="3:6" ht="15" x14ac:dyDescent="0.25">
      <c r="C2981" s="1644" t="s">
        <v>15019</v>
      </c>
      <c r="E2981" s="6"/>
      <c r="F2981" t="s">
        <v>15087</v>
      </c>
    </row>
    <row r="2982" spans="3:6" ht="15" x14ac:dyDescent="0.25">
      <c r="C2982" s="1644" t="s">
        <v>15020</v>
      </c>
      <c r="E2982" s="6">
        <v>2</v>
      </c>
      <c r="F2982" t="s">
        <v>15107</v>
      </c>
    </row>
    <row r="2983" spans="3:6" ht="15" x14ac:dyDescent="0.25">
      <c r="C2983" s="1644" t="s">
        <v>15021</v>
      </c>
      <c r="E2983" s="6">
        <v>1</v>
      </c>
      <c r="F2983" t="s">
        <v>15115</v>
      </c>
    </row>
    <row r="2984" spans="3:6" ht="15" x14ac:dyDescent="0.25">
      <c r="C2984" s="1644" t="s">
        <v>15022</v>
      </c>
      <c r="E2984" s="6"/>
      <c r="F2984" t="s">
        <v>15087</v>
      </c>
    </row>
    <row r="2985" spans="3:6" ht="15" x14ac:dyDescent="0.25">
      <c r="C2985" s="1644" t="s">
        <v>15023</v>
      </c>
      <c r="E2985" s="6"/>
      <c r="F2985" t="s">
        <v>15087</v>
      </c>
    </row>
    <row r="2986" spans="3:6" ht="15" x14ac:dyDescent="0.25">
      <c r="C2986" s="1644" t="s">
        <v>15024</v>
      </c>
      <c r="E2986" s="6">
        <v>3</v>
      </c>
      <c r="F2986" t="s">
        <v>15106</v>
      </c>
    </row>
    <row r="2987" spans="3:6" ht="15" x14ac:dyDescent="0.25">
      <c r="C2987" s="1644" t="s">
        <v>15025</v>
      </c>
      <c r="E2987" s="6"/>
      <c r="F2987" t="s">
        <v>15087</v>
      </c>
    </row>
    <row r="2988" spans="3:6" ht="15" x14ac:dyDescent="0.25">
      <c r="C2988" s="1644" t="s">
        <v>15026</v>
      </c>
      <c r="E2988" s="6">
        <v>1</v>
      </c>
      <c r="F2988" t="s">
        <v>15101</v>
      </c>
    </row>
    <row r="2989" spans="3:6" ht="15" x14ac:dyDescent="0.25">
      <c r="C2989" s="1644" t="s">
        <v>15027</v>
      </c>
      <c r="E2989" s="6"/>
      <c r="F2989" t="s">
        <v>15087</v>
      </c>
    </row>
    <row r="2990" spans="3:6" ht="15" x14ac:dyDescent="0.25">
      <c r="C2990" s="1644" t="s">
        <v>15028</v>
      </c>
      <c r="E2990" s="6">
        <v>11</v>
      </c>
      <c r="F2990" t="s">
        <v>15090</v>
      </c>
    </row>
    <row r="2991" spans="3:6" ht="15" x14ac:dyDescent="0.25">
      <c r="C2991" s="1644" t="s">
        <v>15029</v>
      </c>
      <c r="E2991" s="6"/>
      <c r="F2991" t="s">
        <v>15087</v>
      </c>
    </row>
    <row r="2992" spans="3:6" ht="15" x14ac:dyDescent="0.25">
      <c r="C2992" s="1644" t="s">
        <v>15030</v>
      </c>
      <c r="E2992" s="6">
        <v>3</v>
      </c>
      <c r="F2992" t="s">
        <v>15100</v>
      </c>
    </row>
    <row r="2993" spans="3:6" ht="15" x14ac:dyDescent="0.25">
      <c r="C2993" s="1644" t="s">
        <v>15031</v>
      </c>
      <c r="E2993" s="6">
        <v>3</v>
      </c>
      <c r="F2993" t="s">
        <v>15090</v>
      </c>
    </row>
    <row r="2994" spans="3:6" ht="15" x14ac:dyDescent="0.25">
      <c r="C2994" s="1644" t="s">
        <v>15032</v>
      </c>
      <c r="E2994" s="6"/>
      <c r="F2994" t="s">
        <v>15087</v>
      </c>
    </row>
    <row r="2995" spans="3:6" ht="15" x14ac:dyDescent="0.25">
      <c r="C2995" s="1644" t="s">
        <v>15033</v>
      </c>
      <c r="E2995" s="6"/>
      <c r="F2995" t="s">
        <v>15087</v>
      </c>
    </row>
    <row r="2996" spans="3:6" ht="15" x14ac:dyDescent="0.25">
      <c r="C2996" s="1644" t="s">
        <v>15034</v>
      </c>
      <c r="E2996" s="6"/>
      <c r="F2996" t="s">
        <v>15087</v>
      </c>
    </row>
    <row r="2997" spans="3:6" ht="15" x14ac:dyDescent="0.25">
      <c r="C2997" s="1644" t="s">
        <v>15035</v>
      </c>
      <c r="E2997" s="6"/>
      <c r="F2997" t="s">
        <v>15087</v>
      </c>
    </row>
    <row r="2998" spans="3:6" ht="15" x14ac:dyDescent="0.25">
      <c r="C2998" s="1644" t="s">
        <v>15036</v>
      </c>
      <c r="E2998" s="6"/>
      <c r="F2998" t="s">
        <v>15087</v>
      </c>
    </row>
    <row r="2999" spans="3:6" ht="15" x14ac:dyDescent="0.25">
      <c r="C2999" s="1644" t="s">
        <v>15037</v>
      </c>
      <c r="E2999" s="6"/>
      <c r="F2999" t="s">
        <v>15087</v>
      </c>
    </row>
    <row r="3000" spans="3:6" ht="15" x14ac:dyDescent="0.25">
      <c r="C3000" s="1644" t="s">
        <v>15038</v>
      </c>
      <c r="E3000" s="6">
        <v>1</v>
      </c>
      <c r="F3000" t="s">
        <v>15090</v>
      </c>
    </row>
    <row r="3001" spans="3:6" ht="15" x14ac:dyDescent="0.25">
      <c r="C3001" s="1644" t="s">
        <v>15039</v>
      </c>
      <c r="E3001" s="6"/>
      <c r="F3001" t="s">
        <v>15087</v>
      </c>
    </row>
    <row r="3002" spans="3:6" ht="15" x14ac:dyDescent="0.25">
      <c r="C3002" s="1644" t="s">
        <v>15040</v>
      </c>
      <c r="E3002" s="6"/>
      <c r="F3002" t="s">
        <v>15087</v>
      </c>
    </row>
    <row r="3003" spans="3:6" ht="15" x14ac:dyDescent="0.25">
      <c r="C3003" s="1644" t="s">
        <v>15041</v>
      </c>
      <c r="E3003" s="6"/>
      <c r="F3003" t="s">
        <v>15087</v>
      </c>
    </row>
    <row r="3004" spans="3:6" ht="15" x14ac:dyDescent="0.25">
      <c r="C3004" s="1644" t="s">
        <v>15042</v>
      </c>
      <c r="E3004" s="6">
        <v>175</v>
      </c>
      <c r="F3004" t="s">
        <v>15115</v>
      </c>
    </row>
    <row r="3005" spans="3:6" ht="15" x14ac:dyDescent="0.25">
      <c r="C3005" s="1644" t="s">
        <v>15043</v>
      </c>
      <c r="E3005" s="6"/>
      <c r="F3005" t="s">
        <v>15087</v>
      </c>
    </row>
    <row r="3006" spans="3:6" ht="15" x14ac:dyDescent="0.25">
      <c r="C3006" s="1644" t="s">
        <v>15044</v>
      </c>
      <c r="E3006" s="6"/>
      <c r="F3006" t="s">
        <v>15087</v>
      </c>
    </row>
    <row r="3007" spans="3:6" ht="15" x14ac:dyDescent="0.25">
      <c r="C3007" s="1644" t="s">
        <v>15045</v>
      </c>
      <c r="E3007" s="6">
        <v>1</v>
      </c>
      <c r="F3007" t="s">
        <v>15096</v>
      </c>
    </row>
    <row r="3008" spans="3:6" ht="15" x14ac:dyDescent="0.25">
      <c r="C3008" s="1644" t="s">
        <v>15046</v>
      </c>
      <c r="E3008" s="6"/>
      <c r="F3008" t="s">
        <v>15087</v>
      </c>
    </row>
    <row r="3009" spans="3:6" ht="15" x14ac:dyDescent="0.25">
      <c r="C3009" s="1644" t="s">
        <v>15047</v>
      </c>
      <c r="E3009" s="6">
        <v>9</v>
      </c>
      <c r="F3009" t="s">
        <v>15100</v>
      </c>
    </row>
    <row r="3010" spans="3:6" ht="15" x14ac:dyDescent="0.25">
      <c r="C3010" s="1644" t="s">
        <v>15048</v>
      </c>
      <c r="E3010" s="6"/>
      <c r="F3010" t="s">
        <v>15087</v>
      </c>
    </row>
    <row r="3011" spans="3:6" ht="15" x14ac:dyDescent="0.25">
      <c r="C3011" s="1644" t="s">
        <v>15049</v>
      </c>
      <c r="E3011" s="6">
        <v>2</v>
      </c>
      <c r="F3011" t="s">
        <v>15131</v>
      </c>
    </row>
    <row r="3012" spans="3:6" ht="15" x14ac:dyDescent="0.25">
      <c r="C3012" s="1644" t="s">
        <v>15050</v>
      </c>
      <c r="E3012" s="6"/>
      <c r="F3012" t="s">
        <v>15087</v>
      </c>
    </row>
    <row r="3013" spans="3:6" ht="15" x14ac:dyDescent="0.25">
      <c r="C3013" s="1644" t="s">
        <v>15051</v>
      </c>
      <c r="E3013" s="6">
        <v>145</v>
      </c>
      <c r="F3013" t="s">
        <v>15149</v>
      </c>
    </row>
    <row r="3014" spans="3:6" ht="15" x14ac:dyDescent="0.25">
      <c r="C3014" s="1644" t="s">
        <v>15052</v>
      </c>
      <c r="E3014" s="6">
        <v>1</v>
      </c>
      <c r="F3014" t="s">
        <v>15150</v>
      </c>
    </row>
    <row r="3015" spans="3:6" ht="15" x14ac:dyDescent="0.25">
      <c r="C3015" s="1644" t="s">
        <v>15053</v>
      </c>
      <c r="E3015" s="6"/>
      <c r="F3015" t="s">
        <v>15087</v>
      </c>
    </row>
    <row r="3016" spans="3:6" ht="15" x14ac:dyDescent="0.25">
      <c r="C3016" s="1644" t="s">
        <v>15054</v>
      </c>
      <c r="E3016" s="6"/>
      <c r="F3016" t="s">
        <v>15087</v>
      </c>
    </row>
    <row r="3017" spans="3:6" ht="15" x14ac:dyDescent="0.25">
      <c r="C3017" s="1644" t="s">
        <v>15055</v>
      </c>
      <c r="E3017" s="6"/>
      <c r="F3017" t="s">
        <v>15087</v>
      </c>
    </row>
    <row r="3018" spans="3:6" ht="15" x14ac:dyDescent="0.25">
      <c r="C3018" s="1644" t="s">
        <v>15056</v>
      </c>
      <c r="E3018" s="6">
        <v>19</v>
      </c>
      <c r="F3018" t="s">
        <v>15090</v>
      </c>
    </row>
    <row r="3019" spans="3:6" ht="15" x14ac:dyDescent="0.25">
      <c r="C3019" s="1644" t="s">
        <v>15057</v>
      </c>
      <c r="E3019" s="6">
        <v>2</v>
      </c>
      <c r="F3019" t="s">
        <v>15091</v>
      </c>
    </row>
    <row r="3020" spans="3:6" ht="15" x14ac:dyDescent="0.25">
      <c r="C3020" s="1644" t="s">
        <v>15058</v>
      </c>
      <c r="E3020" s="6">
        <v>2</v>
      </c>
      <c r="F3020" t="s">
        <v>15090</v>
      </c>
    </row>
    <row r="3021" spans="3:6" ht="15" x14ac:dyDescent="0.25">
      <c r="C3021" s="1644" t="s">
        <v>15059</v>
      </c>
      <c r="E3021" s="6"/>
      <c r="F3021" t="s">
        <v>15087</v>
      </c>
    </row>
    <row r="3022" spans="3:6" ht="15" x14ac:dyDescent="0.25">
      <c r="C3022" s="1644" t="s">
        <v>15060</v>
      </c>
      <c r="E3022" s="6"/>
      <c r="F3022" t="s">
        <v>15087</v>
      </c>
    </row>
    <row r="3023" spans="3:6" ht="15" x14ac:dyDescent="0.25">
      <c r="C3023" s="1644" t="s">
        <v>15061</v>
      </c>
      <c r="E3023" s="6"/>
      <c r="F3023" t="s">
        <v>15087</v>
      </c>
    </row>
    <row r="3024" spans="3:6" ht="15" x14ac:dyDescent="0.25">
      <c r="C3024" s="1644" t="s">
        <v>15062</v>
      </c>
      <c r="E3024" s="6">
        <v>124</v>
      </c>
      <c r="F3024" t="s">
        <v>15090</v>
      </c>
    </row>
    <row r="3025" spans="3:6" ht="15" x14ac:dyDescent="0.25">
      <c r="C3025" s="1644" t="s">
        <v>15063</v>
      </c>
      <c r="E3025" s="6"/>
      <c r="F3025" t="s">
        <v>15087</v>
      </c>
    </row>
    <row r="3026" spans="3:6" ht="15" x14ac:dyDescent="0.25">
      <c r="C3026" s="1644" t="s">
        <v>15064</v>
      </c>
      <c r="E3026" s="6"/>
      <c r="F3026" t="s">
        <v>15087</v>
      </c>
    </row>
    <row r="3027" spans="3:6" ht="15" x14ac:dyDescent="0.25">
      <c r="C3027" s="1644" t="s">
        <v>15065</v>
      </c>
      <c r="E3027" s="6"/>
      <c r="F3027" t="s">
        <v>15087</v>
      </c>
    </row>
    <row r="3028" spans="3:6" ht="15" x14ac:dyDescent="0.25">
      <c r="C3028" s="1644" t="s">
        <v>15066</v>
      </c>
      <c r="E3028" s="6"/>
      <c r="F3028" t="s">
        <v>15087</v>
      </c>
    </row>
    <row r="3029" spans="3:6" ht="15" x14ac:dyDescent="0.25">
      <c r="C3029" s="1644" t="s">
        <v>15067</v>
      </c>
      <c r="E3029" s="6">
        <v>2</v>
      </c>
      <c r="F3029" t="s">
        <v>15111</v>
      </c>
    </row>
    <row r="3030" spans="3:6" ht="15" x14ac:dyDescent="0.25">
      <c r="C3030" s="1644" t="s">
        <v>15068</v>
      </c>
      <c r="E3030" s="6"/>
      <c r="F3030" t="s">
        <v>15087</v>
      </c>
    </row>
    <row r="3031" spans="3:6" ht="15" x14ac:dyDescent="0.25">
      <c r="C3031" s="1644" t="s">
        <v>15069</v>
      </c>
      <c r="E3031" s="6"/>
      <c r="F3031" t="s">
        <v>15087</v>
      </c>
    </row>
    <row r="3032" spans="3:6" ht="15" x14ac:dyDescent="0.25">
      <c r="C3032" s="1644" t="s">
        <v>15070</v>
      </c>
      <c r="E3032" s="6"/>
      <c r="F3032" t="s">
        <v>15087</v>
      </c>
    </row>
    <row r="3033" spans="3:6" ht="15" x14ac:dyDescent="0.25">
      <c r="C3033" s="1644" t="s">
        <v>15071</v>
      </c>
      <c r="E3033" s="6"/>
      <c r="F3033" t="s">
        <v>15087</v>
      </c>
    </row>
    <row r="3034" spans="3:6" ht="15" x14ac:dyDescent="0.25">
      <c r="C3034" s="1644" t="s">
        <v>15072</v>
      </c>
      <c r="E3034" s="6">
        <v>7</v>
      </c>
      <c r="F3034" t="s">
        <v>15088</v>
      </c>
    </row>
    <row r="3035" spans="3:6" ht="15" x14ac:dyDescent="0.25">
      <c r="C3035" s="1644" t="s">
        <v>15073</v>
      </c>
      <c r="E3035" s="6"/>
      <c r="F3035" t="s">
        <v>15087</v>
      </c>
    </row>
    <row r="3036" spans="3:6" ht="15" x14ac:dyDescent="0.25">
      <c r="C3036" s="1644" t="s">
        <v>15074</v>
      </c>
      <c r="E3036" s="6"/>
      <c r="F3036" t="s">
        <v>15087</v>
      </c>
    </row>
    <row r="3037" spans="3:6" ht="15" x14ac:dyDescent="0.25">
      <c r="C3037" s="1644" t="s">
        <v>15075</v>
      </c>
      <c r="E3037" s="6">
        <v>3</v>
      </c>
      <c r="F3037" t="s">
        <v>15129</v>
      </c>
    </row>
    <row r="3038" spans="3:6" ht="15" x14ac:dyDescent="0.25">
      <c r="C3038" s="1644" t="s">
        <v>15076</v>
      </c>
      <c r="E3038" s="6">
        <v>1</v>
      </c>
      <c r="F3038" t="s">
        <v>15119</v>
      </c>
    </row>
    <row r="3039" spans="3:6" ht="15" x14ac:dyDescent="0.25">
      <c r="C3039" s="1644" t="s">
        <v>15077</v>
      </c>
      <c r="E3039" s="6"/>
      <c r="F3039" t="s">
        <v>15087</v>
      </c>
    </row>
    <row r="3040" spans="3:6" ht="15" x14ac:dyDescent="0.25">
      <c r="C3040" s="1644" t="s">
        <v>15078</v>
      </c>
      <c r="E3040" s="6"/>
      <c r="F3040" t="s">
        <v>15087</v>
      </c>
    </row>
    <row r="3041" spans="3:16" ht="15" x14ac:dyDescent="0.25">
      <c r="C3041" s="1644" t="s">
        <v>15079</v>
      </c>
      <c r="E3041" s="6"/>
      <c r="F3041" t="s">
        <v>15087</v>
      </c>
    </row>
    <row r="3042" spans="3:16" ht="15" x14ac:dyDescent="0.25">
      <c r="C3042" s="1644" t="s">
        <v>15080</v>
      </c>
      <c r="E3042" s="6"/>
      <c r="F3042" t="s">
        <v>15087</v>
      </c>
    </row>
    <row r="3043" spans="3:16" ht="15" x14ac:dyDescent="0.25">
      <c r="C3043" s="1644" t="s">
        <v>15081</v>
      </c>
      <c r="E3043" s="6"/>
      <c r="F3043" t="s">
        <v>15087</v>
      </c>
    </row>
    <row r="3044" spans="3:16" ht="15" x14ac:dyDescent="0.25">
      <c r="C3044" s="1644" t="s">
        <v>15082</v>
      </c>
      <c r="E3044" s="6"/>
      <c r="F3044" t="s">
        <v>15087</v>
      </c>
    </row>
    <row r="3045" spans="3:16" ht="15" x14ac:dyDescent="0.25">
      <c r="C3045" s="1644" t="s">
        <v>15083</v>
      </c>
      <c r="E3045" s="6"/>
      <c r="F3045" t="s">
        <v>15087</v>
      </c>
    </row>
    <row r="3046" spans="3:16" ht="15" x14ac:dyDescent="0.25">
      <c r="C3046" s="1644" t="s">
        <v>15084</v>
      </c>
      <c r="E3046" s="6"/>
      <c r="F3046" t="s">
        <v>15087</v>
      </c>
    </row>
    <row r="3047" spans="3:16" ht="15" x14ac:dyDescent="0.25">
      <c r="C3047" s="1644" t="s">
        <v>15085</v>
      </c>
      <c r="E3047" s="6">
        <v>1</v>
      </c>
      <c r="F3047" t="s">
        <v>15090</v>
      </c>
    </row>
    <row r="3048" spans="3:16" ht="15" x14ac:dyDescent="0.25">
      <c r="C3048" s="1644" t="s">
        <v>15086</v>
      </c>
      <c r="E3048" s="6"/>
      <c r="F3048" t="s">
        <v>15087</v>
      </c>
    </row>
    <row r="3051" spans="3:16" ht="15" x14ac:dyDescent="0.25">
      <c r="C3051" s="15" t="s">
        <v>4288</v>
      </c>
      <c r="D3051" s="24">
        <f>Runners!Q3457</f>
        <v>0</v>
      </c>
      <c r="E3051" s="183">
        <f>Runners!Q3456</f>
        <v>0</v>
      </c>
      <c r="F3051" s="6" t="s">
        <v>5097</v>
      </c>
      <c r="G3051" s="1">
        <v>1.6863425925925928E-2</v>
      </c>
      <c r="H3051" s="80" t="s">
        <v>3254</v>
      </c>
      <c r="I3051" s="1">
        <v>1.7974537037037035E-2</v>
      </c>
      <c r="J3051" s="1" t="s">
        <v>5097</v>
      </c>
      <c r="K3051" s="34">
        <v>40761</v>
      </c>
      <c r="L3051" s="9">
        <v>9</v>
      </c>
      <c r="N3051" s="1653"/>
      <c r="P3051" s="1654" t="s">
        <v>5958</v>
      </c>
    </row>
    <row r="3052" spans="3:16" ht="15" x14ac:dyDescent="0.25">
      <c r="C3052" s="74" t="s">
        <v>391</v>
      </c>
      <c r="D3052" s="24">
        <f>Runners!G4203</f>
        <v>0</v>
      </c>
      <c r="E3052" s="183">
        <f>Runners!G4202</f>
        <v>0</v>
      </c>
      <c r="F3052" s="6" t="s">
        <v>1000</v>
      </c>
      <c r="G3052" s="1">
        <v>2.0173611111111111E-2</v>
      </c>
      <c r="J3052" s="1" t="s">
        <v>1000</v>
      </c>
      <c r="K3052" s="34">
        <v>40908</v>
      </c>
      <c r="L3052" s="9">
        <v>13</v>
      </c>
      <c r="N3052" s="1653"/>
      <c r="P3052" s="1654" t="s">
        <v>15211</v>
      </c>
    </row>
    <row r="3053" spans="3:16" ht="15" x14ac:dyDescent="0.25">
      <c r="C3053" s="532" t="s">
        <v>4203</v>
      </c>
      <c r="D3053" s="531">
        <f>Runners!G3992</f>
        <v>0</v>
      </c>
      <c r="E3053" s="541">
        <f>Runners!G3991</f>
        <v>0</v>
      </c>
      <c r="F3053" s="79" t="s">
        <v>298</v>
      </c>
      <c r="G3053" s="334">
        <v>1.6354166666666666E-2</v>
      </c>
      <c r="H3053" s="80" t="s">
        <v>5903</v>
      </c>
      <c r="I3053" s="1">
        <v>1.9305555555555555E-2</v>
      </c>
      <c r="J3053" s="334" t="s">
        <v>6140</v>
      </c>
      <c r="K3053" s="34">
        <v>42736</v>
      </c>
      <c r="L3053" s="9">
        <v>311</v>
      </c>
      <c r="N3053" s="1653"/>
      <c r="P3053" s="1654" t="s">
        <v>3937</v>
      </c>
    </row>
    <row r="3054" spans="3:16" ht="15" x14ac:dyDescent="0.25">
      <c r="C3054" s="74" t="s">
        <v>3093</v>
      </c>
      <c r="D3054" s="24">
        <f>Runners!G4188</f>
        <v>0</v>
      </c>
      <c r="E3054" s="183">
        <f>Runners!G4187</f>
        <v>0</v>
      </c>
      <c r="F3054" s="6" t="s">
        <v>909</v>
      </c>
      <c r="G3054" s="1">
        <v>2.071759259259259E-2</v>
      </c>
      <c r="H3054" t="s">
        <v>5894</v>
      </c>
      <c r="I3054" s="1">
        <v>2.0706018518518519E-2</v>
      </c>
      <c r="J3054" s="1" t="s">
        <v>5061</v>
      </c>
      <c r="K3054" s="34">
        <v>42436</v>
      </c>
      <c r="L3054" s="9">
        <v>232</v>
      </c>
      <c r="N3054" s="1653"/>
      <c r="P3054" s="1654" t="s">
        <v>3093</v>
      </c>
    </row>
    <row r="3055" spans="3:16" ht="15" x14ac:dyDescent="0.25">
      <c r="C3055" s="74" t="s">
        <v>4090</v>
      </c>
      <c r="D3055" s="24">
        <f>Runners!G3311</f>
        <v>0</v>
      </c>
      <c r="E3055" s="183">
        <f>Runners!G3310</f>
        <v>0</v>
      </c>
      <c r="F3055" s="6" t="s">
        <v>5096</v>
      </c>
      <c r="G3055" s="1">
        <v>1.4791666666666668E-2</v>
      </c>
      <c r="J3055" s="1" t="s">
        <v>4778</v>
      </c>
      <c r="K3055" s="34">
        <v>42203</v>
      </c>
      <c r="L3055" s="9">
        <v>186</v>
      </c>
      <c r="N3055" s="1653"/>
      <c r="P3055" s="1654" t="s">
        <v>5821</v>
      </c>
    </row>
    <row r="3056" spans="3:16" ht="15" x14ac:dyDescent="0.25">
      <c r="C3056" s="74" t="s">
        <v>3304</v>
      </c>
      <c r="D3056" s="24">
        <f>Runners!G3498</f>
        <v>0</v>
      </c>
      <c r="E3056" s="183">
        <f>Runners!G3497</f>
        <v>0</v>
      </c>
      <c r="F3056" s="6" t="s">
        <v>5881</v>
      </c>
      <c r="G3056" s="1">
        <v>1.4826388888888889E-2</v>
      </c>
      <c r="J3056" s="1" t="s">
        <v>1000</v>
      </c>
      <c r="K3056" s="34">
        <v>41314</v>
      </c>
      <c r="L3056" s="9">
        <v>54</v>
      </c>
      <c r="N3056" s="1653"/>
      <c r="P3056" s="1654" t="s">
        <v>3299</v>
      </c>
    </row>
    <row r="3057" spans="3:16" ht="15" x14ac:dyDescent="0.25">
      <c r="C3057" s="74" t="s">
        <v>999</v>
      </c>
      <c r="D3057" s="24">
        <f>Runners!G3534</f>
        <v>0</v>
      </c>
      <c r="E3057" s="183">
        <f>Runners!G3533</f>
        <v>0</v>
      </c>
      <c r="F3057" s="6" t="s">
        <v>1000</v>
      </c>
      <c r="G3057" s="1">
        <v>1.9803240740740739E-2</v>
      </c>
      <c r="J3057" s="32" t="s">
        <v>1000</v>
      </c>
      <c r="K3057" s="34">
        <v>41132</v>
      </c>
      <c r="L3057" s="9">
        <v>36</v>
      </c>
      <c r="N3057" s="1653"/>
      <c r="P3057" s="1654" t="s">
        <v>999</v>
      </c>
    </row>
    <row r="3058" spans="3:16" ht="15" x14ac:dyDescent="0.25">
      <c r="C3058" s="415" t="s">
        <v>12900</v>
      </c>
      <c r="D3058" s="24">
        <f>Runners!O4109</f>
        <v>0</v>
      </c>
      <c r="E3058" s="183">
        <f>Runners!O4108</f>
        <v>0</v>
      </c>
      <c r="F3058" s="6"/>
      <c r="H3058" s="513" t="s">
        <v>8441</v>
      </c>
      <c r="I3058" s="512">
        <v>2.3946759259259261E-2</v>
      </c>
      <c r="J3058" s="512" t="s">
        <v>8441</v>
      </c>
      <c r="K3058" s="34">
        <v>43631</v>
      </c>
      <c r="L3058" s="9">
        <v>503</v>
      </c>
      <c r="N3058" s="1653"/>
      <c r="P3058" s="1654" t="s">
        <v>12898</v>
      </c>
    </row>
    <row r="3059" spans="3:16" ht="15" x14ac:dyDescent="0.25">
      <c r="C3059" s="415" t="s">
        <v>12786</v>
      </c>
      <c r="D3059" s="24">
        <f>Runners!G3881</f>
        <v>0</v>
      </c>
      <c r="E3059" s="183">
        <f>Runners!G3880</f>
        <v>0</v>
      </c>
      <c r="F3059" s="6"/>
      <c r="H3059" s="1374" t="s">
        <v>1062</v>
      </c>
      <c r="I3059" s="1412">
        <v>2.3159722222222224E-2</v>
      </c>
      <c r="J3059" s="512" t="s">
        <v>1062</v>
      </c>
      <c r="K3059" s="34">
        <v>43617</v>
      </c>
      <c r="L3059" s="173" t="s">
        <v>12783</v>
      </c>
      <c r="N3059" s="1653"/>
      <c r="P3059" s="1654" t="s">
        <v>12775</v>
      </c>
    </row>
    <row r="3060" spans="3:16" ht="15" x14ac:dyDescent="0.25">
      <c r="C3060" s="532" t="s">
        <v>11804</v>
      </c>
      <c r="D3060" s="531">
        <f>Runners!H4109</f>
        <v>0</v>
      </c>
      <c r="E3060" s="541">
        <f>Runners!H4108</f>
        <v>0</v>
      </c>
      <c r="F3060" s="6" t="s">
        <v>1000</v>
      </c>
      <c r="G3060" s="1">
        <v>1.9733796296296298E-2</v>
      </c>
      <c r="J3060" s="32" t="s">
        <v>1000</v>
      </c>
      <c r="K3060" s="34">
        <v>43512</v>
      </c>
      <c r="L3060" s="1398">
        <v>470</v>
      </c>
      <c r="N3060" s="1653"/>
      <c r="P3060" s="1654" t="s">
        <v>15212</v>
      </c>
    </row>
    <row r="3061" spans="3:16" ht="15" x14ac:dyDescent="0.25">
      <c r="C3061" s="415" t="s">
        <v>5655</v>
      </c>
      <c r="D3061" s="24">
        <f>Runners!G4109</f>
        <v>0</v>
      </c>
      <c r="E3061" s="183">
        <f>Runners!G4108</f>
        <v>0</v>
      </c>
      <c r="F3061" s="6" t="s">
        <v>1000</v>
      </c>
      <c r="G3061" s="32">
        <v>1.7430555555555557E-2</v>
      </c>
      <c r="H3061" s="319" t="s">
        <v>2670</v>
      </c>
      <c r="I3061" s="32">
        <v>1.3738425925925926E-2</v>
      </c>
      <c r="J3061" s="32" t="s">
        <v>1000</v>
      </c>
      <c r="K3061" s="33">
        <v>41972</v>
      </c>
      <c r="L3061" s="9">
        <v>145</v>
      </c>
      <c r="N3061" s="1653"/>
      <c r="P3061" s="1654" t="s">
        <v>5655</v>
      </c>
    </row>
    <row r="3062" spans="3:16" ht="15" x14ac:dyDescent="0.25">
      <c r="C3062" s="74" t="s">
        <v>494</v>
      </c>
      <c r="D3062" s="24">
        <f>Runners!H3498</f>
        <v>0</v>
      </c>
      <c r="E3062" s="183">
        <f>Runners!H3497</f>
        <v>0</v>
      </c>
      <c r="F3062" s="79" t="s">
        <v>1270</v>
      </c>
      <c r="G3062" s="1">
        <v>1.4305555555555557E-2</v>
      </c>
      <c r="J3062" s="32" t="s">
        <v>1000</v>
      </c>
      <c r="K3062" s="34">
        <v>41825</v>
      </c>
      <c r="L3062" s="9">
        <v>115</v>
      </c>
      <c r="N3062" s="1653"/>
      <c r="P3062" s="1654" t="s">
        <v>494</v>
      </c>
    </row>
    <row r="3063" spans="3:16" ht="15" x14ac:dyDescent="0.25">
      <c r="C3063" s="415" t="s">
        <v>15244</v>
      </c>
      <c r="D3063" s="24">
        <f>Runners!U3859</f>
        <v>0</v>
      </c>
      <c r="E3063" s="183">
        <f>Runners!U3858</f>
        <v>0</v>
      </c>
      <c r="F3063" s="6" t="s">
        <v>1000</v>
      </c>
      <c r="G3063" s="1">
        <v>1.7280092592592593E-2</v>
      </c>
      <c r="J3063" s="32" t="s">
        <v>1000</v>
      </c>
      <c r="K3063" s="34">
        <v>41650</v>
      </c>
      <c r="L3063" s="9">
        <v>87</v>
      </c>
      <c r="N3063" s="1653"/>
      <c r="P3063" s="1654" t="s">
        <v>1283</v>
      </c>
    </row>
    <row r="3064" spans="3:16" ht="15" x14ac:dyDescent="0.25">
      <c r="C3064" s="532" t="s">
        <v>4575</v>
      </c>
      <c r="D3064" s="531">
        <f>Runners!G3636</f>
        <v>0</v>
      </c>
      <c r="E3064" s="541">
        <f>Runners!G3635</f>
        <v>0</v>
      </c>
      <c r="F3064" s="6"/>
      <c r="H3064" s="513" t="s">
        <v>1440</v>
      </c>
      <c r="I3064" s="1">
        <v>1.9247685185185184E-2</v>
      </c>
      <c r="J3064" s="334" t="s">
        <v>1440</v>
      </c>
      <c r="K3064" s="34">
        <v>43288</v>
      </c>
      <c r="L3064" s="1398">
        <v>418</v>
      </c>
      <c r="N3064" s="1653"/>
      <c r="P3064" s="1654" t="s">
        <v>4575</v>
      </c>
    </row>
    <row r="3065" spans="3:16" ht="15" x14ac:dyDescent="0.25">
      <c r="C3065" s="74" t="s">
        <v>1898</v>
      </c>
      <c r="D3065" s="24">
        <f>Runners!G3748</f>
        <v>0</v>
      </c>
      <c r="E3065" s="183">
        <f>Runners!G3747</f>
        <v>0</v>
      </c>
      <c r="F3065" s="6" t="s">
        <v>1000</v>
      </c>
      <c r="G3065" s="1">
        <v>1.8912037037037036E-2</v>
      </c>
      <c r="H3065" s="197" t="s">
        <v>23</v>
      </c>
      <c r="I3065" s="32">
        <v>2.1099537037037038E-2</v>
      </c>
      <c r="J3065" s="32" t="s">
        <v>1000</v>
      </c>
      <c r="K3065" s="33">
        <v>42245</v>
      </c>
      <c r="L3065" s="9">
        <v>194</v>
      </c>
      <c r="N3065" s="1653"/>
      <c r="P3065" s="1654" t="s">
        <v>2430</v>
      </c>
    </row>
    <row r="3066" spans="3:16" ht="15" x14ac:dyDescent="0.25">
      <c r="C3066" s="74" t="s">
        <v>993</v>
      </c>
      <c r="D3066" s="24">
        <f>Runners!G3457</f>
        <v>0</v>
      </c>
      <c r="E3066" s="183">
        <f>Runners!G3456</f>
        <v>0</v>
      </c>
      <c r="F3066" s="6" t="s">
        <v>5096</v>
      </c>
      <c r="G3066" s="1">
        <v>1.4687499999999999E-2</v>
      </c>
      <c r="H3066" s="80" t="s">
        <v>3254</v>
      </c>
      <c r="I3066" s="1">
        <v>1.7708333333333333E-2</v>
      </c>
      <c r="J3066" s="1" t="s">
        <v>5096</v>
      </c>
      <c r="K3066" s="34">
        <v>41580</v>
      </c>
      <c r="L3066" s="9">
        <v>76</v>
      </c>
      <c r="N3066" s="1653"/>
      <c r="P3066" s="1654" t="s">
        <v>993</v>
      </c>
    </row>
    <row r="3067" spans="3:16" ht="15" x14ac:dyDescent="0.25">
      <c r="C3067" s="74" t="s">
        <v>841</v>
      </c>
      <c r="D3067" s="24">
        <f>Runners!G4054</f>
        <v>0</v>
      </c>
      <c r="E3067" s="183">
        <f>Runners!G4053</f>
        <v>0</v>
      </c>
      <c r="F3067" s="6" t="s">
        <v>1000</v>
      </c>
      <c r="G3067" s="1">
        <v>2.0046296296296295E-2</v>
      </c>
      <c r="H3067" s="53"/>
      <c r="J3067" s="32" t="s">
        <v>1000</v>
      </c>
      <c r="K3067" s="34">
        <v>41930</v>
      </c>
      <c r="L3067" s="9">
        <v>135</v>
      </c>
      <c r="N3067" s="1653"/>
      <c r="P3067" s="1654" t="s">
        <v>841</v>
      </c>
    </row>
    <row r="3068" spans="3:16" ht="15" x14ac:dyDescent="0.25">
      <c r="C3068" s="415" t="s">
        <v>9074</v>
      </c>
      <c r="D3068" s="24">
        <f>Runners!M4285</f>
        <v>0</v>
      </c>
      <c r="E3068" s="183">
        <f>Runners!M4284</f>
        <v>0</v>
      </c>
      <c r="F3068" s="79" t="s">
        <v>8360</v>
      </c>
      <c r="G3068" s="1">
        <v>1.6481481481481482E-2</v>
      </c>
      <c r="H3068" s="53"/>
      <c r="J3068" s="334" t="s">
        <v>8360</v>
      </c>
      <c r="K3068" s="34">
        <v>43106</v>
      </c>
      <c r="L3068" s="1398">
        <v>377</v>
      </c>
      <c r="N3068" s="1653"/>
      <c r="P3068" s="1654" t="s">
        <v>9056</v>
      </c>
    </row>
    <row r="3069" spans="3:16" ht="15" x14ac:dyDescent="0.25">
      <c r="C3069" s="15" t="s">
        <v>4289</v>
      </c>
      <c r="D3069" s="24">
        <f>Runners!H4203</f>
        <v>0</v>
      </c>
      <c r="E3069" s="183">
        <f>Runners!H4202</f>
        <v>0</v>
      </c>
      <c r="F3069" s="6" t="s">
        <v>1000</v>
      </c>
      <c r="G3069" s="1">
        <v>1.9571759259259257E-2</v>
      </c>
      <c r="J3069" s="32" t="s">
        <v>1000</v>
      </c>
      <c r="K3069" s="34">
        <v>41272</v>
      </c>
      <c r="L3069" s="9">
        <v>49</v>
      </c>
      <c r="N3069" s="1653"/>
      <c r="P3069" s="1654" t="s">
        <v>15213</v>
      </c>
    </row>
    <row r="3070" spans="3:16" ht="15" x14ac:dyDescent="0.25">
      <c r="C3070" s="74" t="s">
        <v>4453</v>
      </c>
      <c r="D3070" s="24">
        <f>Runners!R3457</f>
        <v>0</v>
      </c>
      <c r="E3070" s="183">
        <f>Runners!R3456</f>
        <v>0</v>
      </c>
      <c r="F3070" s="6" t="s">
        <v>5096</v>
      </c>
      <c r="G3070" s="1">
        <v>1.4953703703703705E-2</v>
      </c>
      <c r="J3070" s="1" t="s">
        <v>1000</v>
      </c>
      <c r="K3070" s="34">
        <v>42112</v>
      </c>
      <c r="L3070" s="9">
        <v>160</v>
      </c>
      <c r="N3070" s="1653"/>
      <c r="P3070" s="1654" t="s">
        <v>4974</v>
      </c>
    </row>
    <row r="3071" spans="3:16" ht="15" x14ac:dyDescent="0.25">
      <c r="C3071" s="74" t="s">
        <v>527</v>
      </c>
      <c r="D3071" s="947">
        <f>Runners!I3311</f>
        <v>0</v>
      </c>
      <c r="E3071" s="948">
        <f>Runners!I3310</f>
        <v>0</v>
      </c>
      <c r="F3071" s="6" t="s">
        <v>4407</v>
      </c>
      <c r="G3071" s="32">
        <v>1.5104166666666667E-2</v>
      </c>
      <c r="H3071" s="206" t="s">
        <v>5241</v>
      </c>
      <c r="I3071" s="32">
        <v>1.5162037037037036E-2</v>
      </c>
      <c r="J3071" s="32" t="s">
        <v>1000</v>
      </c>
      <c r="K3071" s="33">
        <v>41818</v>
      </c>
      <c r="L3071" s="9">
        <v>113</v>
      </c>
      <c r="N3071" s="1653"/>
      <c r="P3071" s="1654" t="s">
        <v>527</v>
      </c>
    </row>
    <row r="3072" spans="3:16" ht="15" x14ac:dyDescent="0.25">
      <c r="C3072" s="74" t="s">
        <v>2885</v>
      </c>
      <c r="D3072" s="24">
        <f>Runners!O3599</f>
        <v>0</v>
      </c>
      <c r="E3072" s="183">
        <f>Runners!O3598</f>
        <v>0</v>
      </c>
      <c r="F3072" s="6" t="s">
        <v>3884</v>
      </c>
      <c r="G3072" s="1">
        <v>1.9016203703703705E-2</v>
      </c>
      <c r="J3072" s="254" t="s">
        <v>3884</v>
      </c>
      <c r="K3072" s="34">
        <v>42259</v>
      </c>
      <c r="L3072" s="9">
        <v>196</v>
      </c>
      <c r="N3072" s="1653"/>
      <c r="P3072" s="1654" t="s">
        <v>5239</v>
      </c>
    </row>
    <row r="3073" spans="3:16" ht="15" x14ac:dyDescent="0.25">
      <c r="C3073" s="74" t="s">
        <v>1783</v>
      </c>
      <c r="D3073" s="24">
        <f>Runners!H3534</f>
        <v>0</v>
      </c>
      <c r="E3073" s="183">
        <f>Runners!H3533</f>
        <v>0</v>
      </c>
      <c r="F3073" s="6" t="s">
        <v>1000</v>
      </c>
      <c r="G3073" s="1">
        <v>1.7361111111111112E-2</v>
      </c>
      <c r="J3073" s="1" t="s">
        <v>4778</v>
      </c>
      <c r="K3073" s="34">
        <v>41874</v>
      </c>
      <c r="L3073" s="9">
        <v>125</v>
      </c>
      <c r="N3073" s="1653"/>
      <c r="P3073" s="1654" t="s">
        <v>1783</v>
      </c>
    </row>
    <row r="3074" spans="3:16" ht="15" x14ac:dyDescent="0.25">
      <c r="C3074" s="532" t="s">
        <v>10191</v>
      </c>
      <c r="D3074" s="531">
        <f>Runners!H3968</f>
        <v>0</v>
      </c>
      <c r="E3074" s="541">
        <f>Runners!H3967</f>
        <v>0</v>
      </c>
      <c r="F3074" s="6"/>
      <c r="H3074" s="1091" t="s">
        <v>10188</v>
      </c>
      <c r="I3074" s="1">
        <v>2.359953703703704E-2</v>
      </c>
      <c r="J3074" s="1" t="s">
        <v>10188</v>
      </c>
      <c r="K3074" s="34">
        <v>43337</v>
      </c>
      <c r="L3074" s="1398">
        <v>434</v>
      </c>
      <c r="N3074" s="1653"/>
      <c r="P3074" s="1654" t="s">
        <v>5834</v>
      </c>
    </row>
    <row r="3075" spans="3:16" ht="15" x14ac:dyDescent="0.25">
      <c r="C3075" s="74" t="s">
        <v>1459</v>
      </c>
      <c r="D3075" s="24">
        <f>Runners!G4033</f>
        <v>0</v>
      </c>
      <c r="E3075" s="183">
        <f>Runners!G4032</f>
        <v>0</v>
      </c>
      <c r="F3075" s="6" t="s">
        <v>627</v>
      </c>
      <c r="G3075" s="1">
        <v>1.6689814814814817E-2</v>
      </c>
      <c r="J3075" s="1" t="s">
        <v>627</v>
      </c>
      <c r="K3075" s="34">
        <v>42686</v>
      </c>
      <c r="L3075" s="9">
        <v>303</v>
      </c>
      <c r="N3075" s="1653"/>
      <c r="P3075" s="1654" t="s">
        <v>1459</v>
      </c>
    </row>
    <row r="3076" spans="3:16" ht="15" x14ac:dyDescent="0.25">
      <c r="C3076" s="74" t="s">
        <v>5153</v>
      </c>
      <c r="D3076" s="24">
        <f>Runners!G3613</f>
        <v>0</v>
      </c>
      <c r="E3076" s="183">
        <f>Runners!G3612</f>
        <v>0</v>
      </c>
      <c r="F3076" s="6" t="s">
        <v>1000</v>
      </c>
      <c r="G3076" s="1">
        <v>1.9108796296296294E-2</v>
      </c>
      <c r="J3076" s="1" t="s">
        <v>1000</v>
      </c>
      <c r="K3076" s="34">
        <v>42644</v>
      </c>
      <c r="L3076" s="9">
        <v>288</v>
      </c>
      <c r="N3076" s="1653"/>
      <c r="P3076" s="1654" t="s">
        <v>5153</v>
      </c>
    </row>
    <row r="3077" spans="3:16" ht="15" x14ac:dyDescent="0.25">
      <c r="C3077" s="74" t="s">
        <v>1822</v>
      </c>
      <c r="D3077" s="24">
        <f>Runners!I3498</f>
        <v>0</v>
      </c>
      <c r="E3077" s="183">
        <f>Runners!I3497</f>
        <v>0</v>
      </c>
      <c r="F3077" s="6" t="s">
        <v>1270</v>
      </c>
      <c r="G3077" s="1">
        <v>1.4560185185185183E-2</v>
      </c>
      <c r="H3077" s="206" t="s">
        <v>3168</v>
      </c>
      <c r="I3077" s="1">
        <v>1.9398148148148147E-2</v>
      </c>
      <c r="J3077" s="1" t="s">
        <v>1000</v>
      </c>
      <c r="K3077" s="34">
        <v>41076</v>
      </c>
      <c r="L3077" s="9">
        <v>26</v>
      </c>
      <c r="N3077" s="1653"/>
      <c r="P3077" s="1654" t="s">
        <v>1822</v>
      </c>
    </row>
    <row r="3078" spans="3:16" ht="15" x14ac:dyDescent="0.25">
      <c r="C3078" s="74" t="s">
        <v>1964</v>
      </c>
      <c r="D3078" s="24">
        <f>Runners!H3748</f>
        <v>0</v>
      </c>
      <c r="E3078" s="183">
        <f>Runners!H3747</f>
        <v>0</v>
      </c>
      <c r="F3078" s="6" t="s">
        <v>5096</v>
      </c>
      <c r="G3078" s="1">
        <v>1.5462962962962963E-2</v>
      </c>
      <c r="H3078" s="513" t="s">
        <v>10188</v>
      </c>
      <c r="I3078" s="1">
        <v>2.2997685185185187E-2</v>
      </c>
      <c r="J3078" s="1" t="s">
        <v>5096</v>
      </c>
      <c r="K3078" s="34">
        <v>41986</v>
      </c>
      <c r="L3078" s="9">
        <v>146</v>
      </c>
      <c r="N3078" s="1653"/>
      <c r="P3078" s="1654" t="s">
        <v>1964</v>
      </c>
    </row>
    <row r="3079" spans="3:16" ht="15" x14ac:dyDescent="0.25">
      <c r="C3079" s="415" t="s">
        <v>12426</v>
      </c>
      <c r="D3079" s="24">
        <f>Runners!K4258</f>
        <v>0</v>
      </c>
      <c r="E3079" s="183">
        <f>Runners!K4257</f>
        <v>0</v>
      </c>
      <c r="F3079" s="79" t="s">
        <v>1000</v>
      </c>
      <c r="G3079" s="1">
        <v>1.8865740740740742E-2</v>
      </c>
      <c r="H3079" s="513"/>
      <c r="J3079" s="1432" t="s">
        <v>1000</v>
      </c>
      <c r="K3079" s="1379">
        <v>43568</v>
      </c>
      <c r="L3079" s="1398">
        <v>489</v>
      </c>
      <c r="N3079" s="1653"/>
      <c r="P3079" s="1654" t="s">
        <v>12439</v>
      </c>
    </row>
    <row r="3080" spans="3:16" ht="15" x14ac:dyDescent="0.25">
      <c r="C3080" s="511" t="s">
        <v>4379</v>
      </c>
      <c r="D3080" s="531">
        <f>Runners!J3534</f>
        <v>0</v>
      </c>
      <c r="E3080" s="541">
        <f>Runners!J3533</f>
        <v>0</v>
      </c>
      <c r="F3080" s="1130" t="s">
        <v>3790</v>
      </c>
      <c r="G3080" s="1121">
        <v>1.5717592592592592E-2</v>
      </c>
      <c r="H3080" s="1091" t="s">
        <v>4596</v>
      </c>
      <c r="I3080" s="1121">
        <v>1.7743055555555557E-2</v>
      </c>
      <c r="J3080" s="334" t="s">
        <v>4778</v>
      </c>
      <c r="K3080" s="34">
        <v>42805</v>
      </c>
      <c r="L3080" s="9">
        <v>325</v>
      </c>
      <c r="N3080" s="1653"/>
      <c r="P3080" s="1654" t="s">
        <v>4379</v>
      </c>
    </row>
    <row r="3081" spans="3:16" ht="15" x14ac:dyDescent="0.25">
      <c r="C3081" s="511" t="s">
        <v>6003</v>
      </c>
      <c r="D3081" s="24">
        <f>Runners!H3636</f>
        <v>0</v>
      </c>
      <c r="E3081" s="183">
        <f>Runners!I3533</f>
        <v>0</v>
      </c>
      <c r="F3081" s="6" t="s">
        <v>1000</v>
      </c>
      <c r="G3081" s="1">
        <v>1.7708333333333333E-2</v>
      </c>
      <c r="J3081" s="1" t="s">
        <v>4778</v>
      </c>
      <c r="K3081" s="34">
        <v>41797</v>
      </c>
      <c r="L3081" s="9">
        <v>109</v>
      </c>
      <c r="N3081" s="1653"/>
      <c r="P3081" s="1654" t="s">
        <v>6003</v>
      </c>
    </row>
    <row r="3082" spans="3:16" ht="15" x14ac:dyDescent="0.25">
      <c r="C3082" s="511" t="s">
        <v>5883</v>
      </c>
      <c r="D3082" s="24">
        <f>Runners!G3248</f>
        <v>0</v>
      </c>
      <c r="E3082" s="183">
        <f>Runners!G3247</f>
        <v>0</v>
      </c>
      <c r="F3082" s="52" t="s">
        <v>5884</v>
      </c>
      <c r="G3082" s="1">
        <v>1.298611111111111E-2</v>
      </c>
      <c r="H3082" s="1375" t="s">
        <v>9797</v>
      </c>
      <c r="I3082" s="1412">
        <v>1.4247685185185184E-2</v>
      </c>
      <c r="J3082" s="1" t="s">
        <v>4584</v>
      </c>
      <c r="K3082" s="34">
        <v>39942</v>
      </c>
      <c r="L3082" s="9">
        <v>2</v>
      </c>
      <c r="N3082" s="1653"/>
      <c r="P3082" s="1654" t="s">
        <v>5883</v>
      </c>
    </row>
    <row r="3083" spans="3:16" ht="15" x14ac:dyDescent="0.25">
      <c r="C3083" s="74" t="s">
        <v>1821</v>
      </c>
      <c r="D3083" s="24">
        <f>Runners!G3599</f>
        <v>0</v>
      </c>
      <c r="E3083" s="183">
        <f>Runners!G3598</f>
        <v>0</v>
      </c>
      <c r="F3083" s="6" t="s">
        <v>1000</v>
      </c>
      <c r="G3083" s="1">
        <v>1.8078703703703704E-2</v>
      </c>
      <c r="H3083" s="513" t="s">
        <v>1062</v>
      </c>
      <c r="I3083" s="1">
        <v>2.326388888888889E-2</v>
      </c>
      <c r="J3083" s="32" t="s">
        <v>1000</v>
      </c>
      <c r="K3083" s="34">
        <v>40999</v>
      </c>
      <c r="L3083" s="9">
        <v>21</v>
      </c>
      <c r="N3083" s="1653"/>
      <c r="P3083" s="1654" t="s">
        <v>1821</v>
      </c>
    </row>
    <row r="3084" spans="3:16" ht="15" x14ac:dyDescent="0.25">
      <c r="C3084" s="511" t="s">
        <v>3947</v>
      </c>
      <c r="D3084" s="531">
        <f>Runners!H3636</f>
        <v>0</v>
      </c>
      <c r="E3084" s="541">
        <f>Runners!H3635</f>
        <v>0</v>
      </c>
      <c r="F3084" s="52" t="s">
        <v>1000</v>
      </c>
      <c r="G3084" s="32">
        <v>2.0532407407407405E-2</v>
      </c>
      <c r="J3084" s="32" t="s">
        <v>1000</v>
      </c>
      <c r="K3084" s="34">
        <v>42700</v>
      </c>
      <c r="L3084" s="9">
        <v>305</v>
      </c>
      <c r="N3084" s="1653"/>
      <c r="P3084" s="1654" t="s">
        <v>3947</v>
      </c>
    </row>
    <row r="3085" spans="3:16" ht="15" x14ac:dyDescent="0.25">
      <c r="C3085" s="415" t="s">
        <v>9142</v>
      </c>
      <c r="D3085" s="24">
        <f>Runners!G3859</f>
        <v>0</v>
      </c>
      <c r="E3085" s="183">
        <f>Runners!G3858</f>
        <v>0</v>
      </c>
      <c r="F3085" s="6" t="s">
        <v>1000</v>
      </c>
      <c r="G3085" s="1">
        <v>2.0127314814814817E-2</v>
      </c>
      <c r="H3085" s="513" t="s">
        <v>1062</v>
      </c>
      <c r="I3085" s="1">
        <v>2.4247685185185181E-2</v>
      </c>
      <c r="J3085" s="512" t="s">
        <v>1062</v>
      </c>
      <c r="K3085" s="34">
        <v>43176</v>
      </c>
      <c r="L3085" s="1398">
        <v>391</v>
      </c>
      <c r="N3085" s="1653"/>
      <c r="P3085" s="1654" t="s">
        <v>9142</v>
      </c>
    </row>
    <row r="3086" spans="3:16" ht="15" x14ac:dyDescent="0.25">
      <c r="C3086" s="74" t="s">
        <v>1456</v>
      </c>
      <c r="D3086" s="24">
        <f>Runners!H3881</f>
        <v>0</v>
      </c>
      <c r="E3086" s="183">
        <f>Runners!H3880</f>
        <v>0</v>
      </c>
      <c r="F3086" s="6" t="s">
        <v>5096</v>
      </c>
      <c r="G3086" s="1">
        <v>1.6342592592592593E-2</v>
      </c>
      <c r="J3086" s="1" t="s">
        <v>1000</v>
      </c>
      <c r="K3086" s="34">
        <v>42098</v>
      </c>
      <c r="L3086" s="9">
        <v>159</v>
      </c>
      <c r="N3086" s="1653"/>
      <c r="P3086" s="1654" t="s">
        <v>1018</v>
      </c>
    </row>
    <row r="3087" spans="3:16" ht="15" x14ac:dyDescent="0.25">
      <c r="C3087" s="532" t="s">
        <v>2079</v>
      </c>
      <c r="D3087" s="531">
        <f>Runners!G4005</f>
        <v>0</v>
      </c>
      <c r="E3087" s="541">
        <f>Runners!G4004</f>
        <v>0</v>
      </c>
      <c r="F3087" s="6" t="s">
        <v>1000</v>
      </c>
      <c r="G3087" s="1">
        <v>1.8530092592592595E-2</v>
      </c>
      <c r="J3087" s="1" t="s">
        <v>1000</v>
      </c>
      <c r="K3087" s="34">
        <v>42784</v>
      </c>
      <c r="L3087" s="9">
        <v>321</v>
      </c>
      <c r="N3087" s="1653"/>
      <c r="P3087" s="1654" t="s">
        <v>2079</v>
      </c>
    </row>
    <row r="3088" spans="3:16" ht="15" x14ac:dyDescent="0.25">
      <c r="C3088" s="511" t="s">
        <v>355</v>
      </c>
      <c r="D3088" s="24">
        <f>Runners!I3881</f>
        <v>0</v>
      </c>
      <c r="E3088" s="183">
        <f>Runners!I3880</f>
        <v>0</v>
      </c>
      <c r="F3088" s="6"/>
      <c r="H3088" s="319" t="s">
        <v>8441</v>
      </c>
      <c r="I3088" s="1">
        <v>2.2928240740740739E-2</v>
      </c>
      <c r="J3088" s="1" t="s">
        <v>1062</v>
      </c>
      <c r="K3088" s="34">
        <v>42511</v>
      </c>
      <c r="L3088" s="9">
        <v>257</v>
      </c>
      <c r="N3088" s="1653"/>
      <c r="P3088" s="1654" t="s">
        <v>355</v>
      </c>
    </row>
    <row r="3089" spans="3:16" ht="15" x14ac:dyDescent="0.25">
      <c r="C3089" s="532" t="s">
        <v>8086</v>
      </c>
      <c r="D3089" s="531">
        <f>Runners!G4079</f>
        <v>0</v>
      </c>
      <c r="E3089" s="541">
        <f>Runners!G4078</f>
        <v>0</v>
      </c>
      <c r="F3089" s="79" t="s">
        <v>1000</v>
      </c>
      <c r="G3089" s="1">
        <v>1.9942129629629629E-2</v>
      </c>
      <c r="J3089" s="334" t="s">
        <v>1000</v>
      </c>
      <c r="K3089" s="34">
        <v>42910</v>
      </c>
      <c r="L3089" s="9">
        <v>341</v>
      </c>
      <c r="N3089" s="1653"/>
      <c r="P3089" s="1654" t="s">
        <v>3701</v>
      </c>
    </row>
    <row r="3090" spans="3:16" ht="15" x14ac:dyDescent="0.25">
      <c r="C3090" s="532" t="s">
        <v>6399</v>
      </c>
      <c r="D3090" s="24">
        <f>Runners!J3881</f>
        <v>0</v>
      </c>
      <c r="E3090" s="183">
        <f>Runners!J3880</f>
        <v>0</v>
      </c>
      <c r="F3090" s="6"/>
      <c r="H3090" s="319" t="s">
        <v>1062</v>
      </c>
      <c r="I3090" s="1">
        <v>2.8715277777777781E-2</v>
      </c>
      <c r="J3090" s="334" t="s">
        <v>1062</v>
      </c>
      <c r="K3090" s="34">
        <v>42777</v>
      </c>
      <c r="L3090" s="9">
        <v>320</v>
      </c>
      <c r="N3090" s="1653"/>
      <c r="P3090" s="1654" t="s">
        <v>6283</v>
      </c>
    </row>
    <row r="3091" spans="3:16" ht="15" x14ac:dyDescent="0.25">
      <c r="C3091" s="532" t="s">
        <v>12711</v>
      </c>
      <c r="D3091" s="531">
        <f>Runners!K3534</f>
        <v>0</v>
      </c>
      <c r="E3091" s="541">
        <f>Runners!K3533</f>
        <v>0</v>
      </c>
      <c r="F3091" s="1411" t="s">
        <v>4778</v>
      </c>
      <c r="G3091" s="1412">
        <v>2.7418981481481485E-2</v>
      </c>
      <c r="H3091" s="319"/>
      <c r="J3091" s="334" t="s">
        <v>4778</v>
      </c>
      <c r="K3091" s="34">
        <v>43617</v>
      </c>
      <c r="L3091" s="9" t="s">
        <v>12783</v>
      </c>
      <c r="N3091" s="1653"/>
      <c r="P3091" s="1654" t="s">
        <v>12711</v>
      </c>
    </row>
    <row r="3092" spans="3:16" ht="15" x14ac:dyDescent="0.25">
      <c r="C3092" s="74" t="s">
        <v>4544</v>
      </c>
      <c r="D3092" s="24">
        <f>Runners!O3534</f>
        <v>0</v>
      </c>
      <c r="E3092" s="183">
        <f>Runners!O3533</f>
        <v>0</v>
      </c>
      <c r="F3092" s="6" t="s">
        <v>1000</v>
      </c>
      <c r="G3092" s="1">
        <v>1.9305555555555555E-2</v>
      </c>
      <c r="H3092" t="s">
        <v>4596</v>
      </c>
      <c r="I3092" s="1">
        <v>2.013888888888889E-2</v>
      </c>
      <c r="J3092" s="1" t="s">
        <v>4778</v>
      </c>
      <c r="K3092" s="34">
        <v>41839</v>
      </c>
      <c r="L3092" s="9">
        <v>118</v>
      </c>
      <c r="N3092" s="1653"/>
      <c r="P3092" s="1654" t="s">
        <v>4544</v>
      </c>
    </row>
    <row r="3093" spans="3:16" ht="15" x14ac:dyDescent="0.25">
      <c r="C3093" s="74" t="s">
        <v>2711</v>
      </c>
      <c r="D3093" s="24">
        <f>Runners!S3457</f>
        <v>0</v>
      </c>
      <c r="E3093" s="183">
        <f>Runners!S3456</f>
        <v>0</v>
      </c>
      <c r="F3093" s="6" t="s">
        <v>1270</v>
      </c>
      <c r="G3093" s="1">
        <v>1.4166666666666666E-2</v>
      </c>
      <c r="H3093" s="80" t="s">
        <v>3254</v>
      </c>
      <c r="I3093" s="1">
        <v>1.7650462962962962E-2</v>
      </c>
      <c r="J3093" s="1" t="s">
        <v>1270</v>
      </c>
      <c r="K3093" s="34">
        <v>42476</v>
      </c>
      <c r="L3093" s="9">
        <v>249</v>
      </c>
      <c r="N3093" s="1653"/>
      <c r="P3093" s="1654" t="s">
        <v>2711</v>
      </c>
    </row>
    <row r="3094" spans="3:16" ht="15" x14ac:dyDescent="0.25">
      <c r="C3094" s="415" t="s">
        <v>7944</v>
      </c>
      <c r="D3094" s="24">
        <f>Runners!Q3785</f>
        <v>0</v>
      </c>
      <c r="E3094" s="183">
        <f>Runners!Q3784</f>
        <v>0</v>
      </c>
      <c r="F3094" s="79" t="s">
        <v>4467</v>
      </c>
      <c r="G3094" s="334">
        <v>1.8472222222222223E-2</v>
      </c>
      <c r="H3094" s="80" t="s">
        <v>9553</v>
      </c>
      <c r="I3094" s="1">
        <v>1.6087962962962964E-2</v>
      </c>
      <c r="J3094" s="334" t="s">
        <v>4467</v>
      </c>
      <c r="K3094" s="523" t="s">
        <v>7963</v>
      </c>
      <c r="L3094" s="9">
        <v>337</v>
      </c>
      <c r="N3094" s="1653"/>
      <c r="P3094" s="1654" t="s">
        <v>7944</v>
      </c>
    </row>
    <row r="3095" spans="3:16" ht="15" x14ac:dyDescent="0.25">
      <c r="C3095" s="532" t="s">
        <v>8015</v>
      </c>
      <c r="D3095" s="531">
        <f>Runners!H3613</f>
        <v>0</v>
      </c>
      <c r="E3095" s="541">
        <f>Runners!H3612</f>
        <v>0</v>
      </c>
      <c r="F3095" s="79" t="s">
        <v>1000</v>
      </c>
      <c r="G3095" s="334">
        <v>2.0011574074074074E-2</v>
      </c>
      <c r="J3095" s="334" t="s">
        <v>4778</v>
      </c>
      <c r="K3095" s="523">
        <v>43197</v>
      </c>
      <c r="L3095" s="1398">
        <v>401</v>
      </c>
      <c r="N3095" s="1653"/>
      <c r="P3095" s="1654" t="s">
        <v>8015</v>
      </c>
    </row>
    <row r="3096" spans="3:16" ht="15" x14ac:dyDescent="0.25">
      <c r="C3096" s="74" t="s">
        <v>3259</v>
      </c>
      <c r="D3096" s="24">
        <f>Runners!G3922</f>
        <v>0</v>
      </c>
      <c r="E3096" s="183">
        <f>Runners!G3921</f>
        <v>0</v>
      </c>
      <c r="F3096" s="6" t="s">
        <v>5096</v>
      </c>
      <c r="G3096" s="1">
        <v>1.4571759259259258E-2</v>
      </c>
      <c r="H3096" s="319" t="s">
        <v>2670</v>
      </c>
      <c r="I3096" s="1">
        <v>1.4479166666666668E-2</v>
      </c>
      <c r="J3096" s="1" t="s">
        <v>2670</v>
      </c>
      <c r="K3096" s="34">
        <v>42448</v>
      </c>
      <c r="L3096" s="9">
        <v>240</v>
      </c>
      <c r="N3096" s="1653"/>
      <c r="P3096" s="1654" t="s">
        <v>3259</v>
      </c>
    </row>
    <row r="3097" spans="3:16" ht="15" x14ac:dyDescent="0.25">
      <c r="C3097" s="74" t="s">
        <v>5704</v>
      </c>
      <c r="D3097" s="24">
        <f>Runners!H3457</f>
        <v>0</v>
      </c>
      <c r="E3097" s="183">
        <f>Runners!H3456</f>
        <v>0</v>
      </c>
      <c r="F3097" s="79" t="s">
        <v>5886</v>
      </c>
      <c r="G3097" s="1">
        <v>1.2430555555555554E-2</v>
      </c>
      <c r="H3097" s="513" t="s">
        <v>9806</v>
      </c>
      <c r="I3097" s="1">
        <v>1.4490740740740742E-2</v>
      </c>
      <c r="J3097" s="254" t="s">
        <v>748</v>
      </c>
      <c r="K3097" s="34">
        <v>40040</v>
      </c>
      <c r="L3097" s="9">
        <v>3</v>
      </c>
      <c r="N3097" s="1653"/>
      <c r="P3097" s="1654" t="s">
        <v>5095</v>
      </c>
    </row>
    <row r="3098" spans="3:16" ht="15" x14ac:dyDescent="0.25">
      <c r="C3098" s="415" t="s">
        <v>10587</v>
      </c>
      <c r="D3098" s="24">
        <f>Runners!H3992</f>
        <v>0</v>
      </c>
      <c r="E3098" s="183">
        <f>Runners!H3991</f>
        <v>0</v>
      </c>
      <c r="F3098" s="1130" t="s">
        <v>4239</v>
      </c>
      <c r="G3098" s="1121">
        <v>2.1539351851851851E-2</v>
      </c>
      <c r="H3098" s="513"/>
      <c r="J3098" s="265" t="s">
        <v>4239</v>
      </c>
      <c r="K3098" s="34">
        <v>43351</v>
      </c>
      <c r="L3098" s="1453">
        <v>438</v>
      </c>
      <c r="N3098" s="1653"/>
      <c r="P3098" s="1654" t="s">
        <v>10585</v>
      </c>
    </row>
    <row r="3099" spans="3:16" ht="15" x14ac:dyDescent="0.25">
      <c r="C3099" s="532" t="s">
        <v>11807</v>
      </c>
      <c r="D3099" s="531">
        <f>Runners!Z3785</f>
        <v>0</v>
      </c>
      <c r="E3099" s="541">
        <f>Runners!Z3784</f>
        <v>0</v>
      </c>
      <c r="F3099" s="79" t="s">
        <v>5097</v>
      </c>
      <c r="G3099" s="334">
        <v>1.8020833333333333E-2</v>
      </c>
      <c r="H3099" s="80"/>
      <c r="I3099" s="334"/>
      <c r="J3099" s="334" t="s">
        <v>5097</v>
      </c>
      <c r="K3099" s="34">
        <v>43596</v>
      </c>
      <c r="L3099" s="1453">
        <v>495</v>
      </c>
      <c r="N3099" s="1653"/>
      <c r="P3099" s="1654" t="s">
        <v>4502</v>
      </c>
    </row>
    <row r="3100" spans="3:16" ht="15" x14ac:dyDescent="0.25">
      <c r="C3100" s="74" t="s">
        <v>2961</v>
      </c>
      <c r="D3100" s="24">
        <f>Runners!H3812</f>
        <v>0</v>
      </c>
      <c r="E3100" s="183">
        <f>Runners!H3811</f>
        <v>0</v>
      </c>
      <c r="F3100" s="6" t="s">
        <v>909</v>
      </c>
      <c r="G3100" s="1">
        <v>1.7210648148148149E-2</v>
      </c>
      <c r="J3100" s="254" t="s">
        <v>909</v>
      </c>
      <c r="K3100" s="34">
        <v>42560</v>
      </c>
      <c r="L3100" s="9">
        <v>269</v>
      </c>
      <c r="N3100" s="1653"/>
      <c r="P3100" s="1654" t="s">
        <v>2961</v>
      </c>
    </row>
    <row r="3101" spans="3:16" ht="15" x14ac:dyDescent="0.25">
      <c r="C3101" s="415" t="s">
        <v>13123</v>
      </c>
      <c r="D3101" s="24">
        <f>Runners!I3992</f>
        <v>0</v>
      </c>
      <c r="E3101" s="183">
        <f>Runners!I3991</f>
        <v>0</v>
      </c>
      <c r="F3101" s="79" t="s">
        <v>5881</v>
      </c>
      <c r="G3101" s="1">
        <v>1.53125E-2</v>
      </c>
      <c r="J3101" s="334" t="s">
        <v>5881</v>
      </c>
      <c r="K3101" s="34">
        <v>43659</v>
      </c>
      <c r="N3101" s="1653"/>
      <c r="P3101" s="1654" t="s">
        <v>13123</v>
      </c>
    </row>
    <row r="3102" spans="3:16" ht="15" x14ac:dyDescent="0.25">
      <c r="C3102" s="74" t="s">
        <v>802</v>
      </c>
      <c r="D3102" s="24">
        <f>Runners!H3683</f>
        <v>0</v>
      </c>
      <c r="E3102" s="183">
        <f>Runners!H3682</f>
        <v>0</v>
      </c>
      <c r="F3102" s="79" t="s">
        <v>127</v>
      </c>
      <c r="G3102" s="1">
        <v>1.4432870370370372E-2</v>
      </c>
      <c r="H3102" t="s">
        <v>944</v>
      </c>
      <c r="I3102" s="1">
        <v>1.7210648148148149E-2</v>
      </c>
      <c r="J3102" s="6" t="s">
        <v>4035</v>
      </c>
      <c r="K3102" s="34">
        <v>42091</v>
      </c>
      <c r="L3102" s="9">
        <v>158</v>
      </c>
      <c r="N3102" s="1653"/>
      <c r="P3102" s="1654" t="s">
        <v>802</v>
      </c>
    </row>
    <row r="3103" spans="3:16" ht="15" x14ac:dyDescent="0.25">
      <c r="C3103" s="74" t="s">
        <v>4845</v>
      </c>
      <c r="D3103" s="24">
        <f>Runners!T4109</f>
        <v>0</v>
      </c>
      <c r="E3103" s="183">
        <f>Runners!T4108</f>
        <v>0</v>
      </c>
      <c r="F3103" s="6" t="s">
        <v>1000</v>
      </c>
      <c r="G3103" s="1">
        <v>1.9155092592592592E-2</v>
      </c>
      <c r="H3103" s="319" t="s">
        <v>4596</v>
      </c>
      <c r="I3103" s="1">
        <v>1.7997685185185186E-2</v>
      </c>
      <c r="J3103" s="6" t="s">
        <v>1000</v>
      </c>
      <c r="K3103" s="34">
        <v>42406</v>
      </c>
      <c r="L3103" s="9">
        <v>226</v>
      </c>
      <c r="N3103" s="1653"/>
      <c r="P3103" s="1654" t="s">
        <v>4845</v>
      </c>
    </row>
    <row r="3104" spans="3:16" ht="15" x14ac:dyDescent="0.25">
      <c r="C3104" s="74" t="s">
        <v>692</v>
      </c>
      <c r="D3104" s="24">
        <f>Runners!V3785</f>
        <v>0</v>
      </c>
      <c r="E3104" s="183">
        <f>Runners!V3784</f>
        <v>0</v>
      </c>
      <c r="F3104" s="1415" t="s">
        <v>12794</v>
      </c>
      <c r="G3104" s="1412">
        <v>1.4537037037037038E-2</v>
      </c>
      <c r="J3104" s="32" t="s">
        <v>3345</v>
      </c>
      <c r="K3104" s="34">
        <v>42665</v>
      </c>
      <c r="L3104" s="9">
        <v>295</v>
      </c>
      <c r="N3104" s="1653"/>
      <c r="P3104" s="1654" t="s">
        <v>692</v>
      </c>
    </row>
    <row r="3105" spans="3:16" ht="15" x14ac:dyDescent="0.25">
      <c r="C3105" s="74" t="s">
        <v>2544</v>
      </c>
      <c r="D3105" s="24">
        <f>Runners!H4188</f>
        <v>0</v>
      </c>
      <c r="E3105" s="183">
        <f>Runners!H4187</f>
        <v>0</v>
      </c>
      <c r="F3105" s="363" t="s">
        <v>909</v>
      </c>
      <c r="G3105" s="1">
        <v>1.982638888888889E-2</v>
      </c>
      <c r="H3105" t="s">
        <v>5894</v>
      </c>
      <c r="I3105" s="1">
        <v>1.9814814814814816E-2</v>
      </c>
      <c r="J3105" s="1" t="s">
        <v>5061</v>
      </c>
      <c r="K3105" s="34">
        <v>42182</v>
      </c>
      <c r="L3105" s="9">
        <v>181</v>
      </c>
      <c r="N3105" s="1653"/>
      <c r="P3105" s="1654" t="s">
        <v>2544</v>
      </c>
    </row>
    <row r="3106" spans="3:16" ht="15" x14ac:dyDescent="0.25">
      <c r="C3106" s="74" t="s">
        <v>4936</v>
      </c>
      <c r="D3106" s="1334">
        <f>Runners!O3398</f>
        <v>0</v>
      </c>
      <c r="E3106" s="948">
        <f>Runners!O3397</f>
        <v>0</v>
      </c>
      <c r="F3106" s="6" t="s">
        <v>5881</v>
      </c>
      <c r="G3106" s="1">
        <v>1.3900462962962962E-2</v>
      </c>
      <c r="H3106" s="80" t="s">
        <v>3254</v>
      </c>
      <c r="I3106" s="1">
        <v>1.8912037037037036E-2</v>
      </c>
      <c r="J3106" s="1" t="s">
        <v>1000</v>
      </c>
      <c r="K3106" s="34">
        <v>42154</v>
      </c>
      <c r="L3106" s="9">
        <v>173</v>
      </c>
      <c r="N3106" s="1653"/>
      <c r="P3106" s="1654" t="s">
        <v>4936</v>
      </c>
    </row>
    <row r="3107" spans="3:16" ht="15" x14ac:dyDescent="0.25">
      <c r="C3107" s="74" t="s">
        <v>5471</v>
      </c>
      <c r="D3107" s="74">
        <f>Runners!G3968</f>
        <v>0</v>
      </c>
      <c r="E3107" s="183">
        <f>Runners!G3967</f>
        <v>0</v>
      </c>
      <c r="F3107" s="6"/>
      <c r="H3107" s="2" t="s">
        <v>3254</v>
      </c>
      <c r="I3107" s="1">
        <v>1.8298611111111113E-2</v>
      </c>
      <c r="J3107" s="1" t="s">
        <v>3254</v>
      </c>
      <c r="K3107" s="34">
        <v>42567</v>
      </c>
      <c r="L3107" s="9">
        <v>271</v>
      </c>
      <c r="N3107" s="1653"/>
      <c r="P3107" s="1654" t="s">
        <v>2529</v>
      </c>
    </row>
    <row r="3108" spans="3:16" ht="15" x14ac:dyDescent="0.25">
      <c r="C3108" s="74" t="s">
        <v>2526</v>
      </c>
      <c r="D3108" s="24">
        <f>Runners!H3922</f>
        <v>0</v>
      </c>
      <c r="E3108" s="183">
        <f>Runners!H3921</f>
        <v>0</v>
      </c>
      <c r="F3108" s="6" t="s">
        <v>1270</v>
      </c>
      <c r="G3108" s="1">
        <v>1.3854166666666666E-2</v>
      </c>
      <c r="J3108" s="1" t="s">
        <v>654</v>
      </c>
      <c r="K3108" s="34">
        <v>41601</v>
      </c>
      <c r="L3108" s="9">
        <v>78</v>
      </c>
      <c r="N3108" s="1653"/>
      <c r="P3108" s="1654" t="s">
        <v>15214</v>
      </c>
    </row>
    <row r="3109" spans="3:16" ht="15" x14ac:dyDescent="0.25">
      <c r="C3109" s="74" t="s">
        <v>5632</v>
      </c>
      <c r="D3109" s="24">
        <f>Runners!R3812</f>
        <v>0</v>
      </c>
      <c r="E3109" s="183">
        <f>Runners!R3811</f>
        <v>0</v>
      </c>
      <c r="F3109" s="6" t="s">
        <v>5096</v>
      </c>
      <c r="G3109" s="1">
        <v>1.4826388888888889E-2</v>
      </c>
      <c r="H3109" s="206" t="s">
        <v>2670</v>
      </c>
      <c r="I3109" s="1">
        <v>1.5127314814814816E-2</v>
      </c>
      <c r="J3109" s="1" t="s">
        <v>5096</v>
      </c>
      <c r="K3109" s="34">
        <v>42231</v>
      </c>
      <c r="L3109" s="9">
        <v>192</v>
      </c>
      <c r="N3109" s="1653"/>
      <c r="P3109" s="1654" t="s">
        <v>5632</v>
      </c>
    </row>
    <row r="3110" spans="3:16" ht="15" x14ac:dyDescent="0.25">
      <c r="C3110" s="74" t="s">
        <v>5656</v>
      </c>
      <c r="D3110" s="24">
        <f>Runners!M3881</f>
        <v>0</v>
      </c>
      <c r="E3110" s="183">
        <f>Runners!M3880</f>
        <v>0</v>
      </c>
      <c r="F3110" s="6" t="s">
        <v>1000</v>
      </c>
      <c r="G3110" s="1">
        <v>1.8148148148148146E-2</v>
      </c>
      <c r="H3110" s="2" t="s">
        <v>3254</v>
      </c>
      <c r="I3110" s="3">
        <v>1.7905092592592594E-2</v>
      </c>
      <c r="J3110" s="32" t="s">
        <v>1000</v>
      </c>
      <c r="K3110" s="34">
        <v>41111</v>
      </c>
      <c r="L3110" s="9">
        <v>32</v>
      </c>
      <c r="N3110" s="1653"/>
      <c r="P3110" s="1654" t="s">
        <v>5656</v>
      </c>
    </row>
    <row r="3111" spans="3:16" ht="15" x14ac:dyDescent="0.25">
      <c r="C3111" s="74" t="s">
        <v>4510</v>
      </c>
      <c r="D3111" s="24">
        <f>Runners!I3613</f>
        <v>0</v>
      </c>
      <c r="E3111" s="183">
        <f>Runners!I3612</f>
        <v>0</v>
      </c>
      <c r="F3111" s="6" t="s">
        <v>1000</v>
      </c>
      <c r="G3111" s="1">
        <v>2.1319444444444443E-2</v>
      </c>
      <c r="J3111" s="32" t="s">
        <v>1000</v>
      </c>
      <c r="K3111" s="34">
        <v>42315</v>
      </c>
      <c r="L3111" s="9">
        <v>206</v>
      </c>
      <c r="N3111" s="1653"/>
      <c r="P3111" s="1654" t="s">
        <v>4510</v>
      </c>
    </row>
    <row r="3112" spans="3:16" ht="15" x14ac:dyDescent="0.25">
      <c r="C3112" s="74" t="s">
        <v>2295</v>
      </c>
      <c r="D3112" s="24">
        <f>Runners!L3881</f>
        <v>0</v>
      </c>
      <c r="E3112" s="183">
        <f>Runners!L3880</f>
        <v>0</v>
      </c>
      <c r="F3112" s="6" t="s">
        <v>1000</v>
      </c>
      <c r="G3112" s="32">
        <v>1.8969907407407408E-2</v>
      </c>
      <c r="H3112" s="206" t="s">
        <v>1062</v>
      </c>
      <c r="I3112" s="1">
        <v>2.4930555555555553E-2</v>
      </c>
      <c r="J3112" s="1" t="s">
        <v>1000</v>
      </c>
      <c r="K3112" s="34">
        <v>42651</v>
      </c>
      <c r="L3112" s="9">
        <v>290</v>
      </c>
      <c r="N3112" s="1653"/>
      <c r="P3112" s="1654" t="s">
        <v>2295</v>
      </c>
    </row>
    <row r="3113" spans="3:16" ht="15" x14ac:dyDescent="0.25">
      <c r="C3113" s="74" t="s">
        <v>2251</v>
      </c>
      <c r="D3113" s="24">
        <f>Runners!G3683</f>
        <v>0</v>
      </c>
      <c r="E3113" s="183">
        <f>Runners!G3682</f>
        <v>0</v>
      </c>
      <c r="F3113" s="6" t="s">
        <v>1000</v>
      </c>
      <c r="G3113" s="32">
        <v>1.7141203703703704E-2</v>
      </c>
      <c r="H3113" s="80" t="s">
        <v>4596</v>
      </c>
      <c r="I3113" s="1">
        <v>1.7557870370370373E-2</v>
      </c>
      <c r="J3113" s="1" t="s">
        <v>1000</v>
      </c>
      <c r="K3113" s="34">
        <v>41671</v>
      </c>
      <c r="L3113" s="9">
        <v>90</v>
      </c>
      <c r="N3113" s="1653"/>
      <c r="P3113" s="1654" t="s">
        <v>2251</v>
      </c>
    </row>
    <row r="3114" spans="3:16" ht="15" x14ac:dyDescent="0.25">
      <c r="C3114" s="74" t="s">
        <v>5983</v>
      </c>
      <c r="D3114" s="24">
        <f>Runners!J3498</f>
        <v>0</v>
      </c>
      <c r="E3114" s="183">
        <f>Runners!J3497</f>
        <v>0</v>
      </c>
      <c r="F3114" s="6" t="s">
        <v>5951</v>
      </c>
      <c r="G3114" s="32">
        <v>2.1296296296296299E-2</v>
      </c>
      <c r="J3114" s="1" t="s">
        <v>5951</v>
      </c>
      <c r="K3114" s="34">
        <v>42308</v>
      </c>
      <c r="L3114" s="9">
        <v>205</v>
      </c>
      <c r="N3114" s="1653"/>
      <c r="P3114" s="1654" t="s">
        <v>5981</v>
      </c>
    </row>
    <row r="3115" spans="3:16" ht="15" x14ac:dyDescent="0.25">
      <c r="C3115" s="74" t="s">
        <v>182</v>
      </c>
      <c r="D3115" s="24">
        <f>Runners!M3534</f>
        <v>0</v>
      </c>
      <c r="E3115" s="183">
        <f>Runners!M3533</f>
        <v>0</v>
      </c>
      <c r="F3115" s="6" t="s">
        <v>5096</v>
      </c>
      <c r="G3115" s="1">
        <v>1.4259259259259261E-2</v>
      </c>
      <c r="H3115" s="206" t="s">
        <v>2670</v>
      </c>
      <c r="I3115" s="1">
        <v>1.4502314814814815E-2</v>
      </c>
      <c r="J3115" s="1" t="s">
        <v>5096</v>
      </c>
      <c r="K3115" s="34">
        <v>41594</v>
      </c>
      <c r="L3115" s="9">
        <v>77</v>
      </c>
      <c r="N3115" s="1653"/>
      <c r="P3115" s="1654" t="s">
        <v>1893</v>
      </c>
    </row>
    <row r="3116" spans="3:16" ht="15" x14ac:dyDescent="0.25">
      <c r="C3116" s="74" t="s">
        <v>2830</v>
      </c>
      <c r="D3116" s="24">
        <f>Runners!L3534</f>
        <v>0</v>
      </c>
      <c r="E3116" s="183">
        <f>Runners!L3533</f>
        <v>0</v>
      </c>
      <c r="F3116" s="534" t="s">
        <v>3790</v>
      </c>
      <c r="G3116" s="512">
        <v>1.6458333333333332E-2</v>
      </c>
      <c r="H3116" s="513" t="s">
        <v>4596</v>
      </c>
      <c r="I3116" s="512">
        <v>1.7800925925925925E-2</v>
      </c>
      <c r="J3116" s="1" t="s">
        <v>4778</v>
      </c>
      <c r="K3116" s="34">
        <v>41965</v>
      </c>
      <c r="L3116" s="9">
        <v>144</v>
      </c>
      <c r="N3116" s="1653"/>
      <c r="P3116" s="1654" t="s">
        <v>2830</v>
      </c>
    </row>
    <row r="3117" spans="3:16" ht="15" x14ac:dyDescent="0.25">
      <c r="C3117" s="532" t="s">
        <v>10983</v>
      </c>
      <c r="D3117" s="531">
        <f>Runners!H3311</f>
        <v>0</v>
      </c>
      <c r="E3117" s="541">
        <f>Runners!H3310</f>
        <v>0</v>
      </c>
      <c r="F3117" s="79" t="s">
        <v>5886</v>
      </c>
      <c r="G3117" s="334">
        <v>1.2372685185185186E-2</v>
      </c>
      <c r="H3117" s="513" t="s">
        <v>9797</v>
      </c>
      <c r="I3117" s="512">
        <v>1.4097222222222221E-2</v>
      </c>
      <c r="J3117" s="1121" t="s">
        <v>11062</v>
      </c>
      <c r="K3117" s="34">
        <v>43421</v>
      </c>
      <c r="L3117" s="1398">
        <v>453</v>
      </c>
      <c r="N3117" s="1653"/>
      <c r="P3117" s="1654" t="s">
        <v>10983</v>
      </c>
    </row>
    <row r="3118" spans="3:16" ht="15" x14ac:dyDescent="0.25">
      <c r="C3118" s="74" t="s">
        <v>6005</v>
      </c>
      <c r="D3118" s="24">
        <f>Runners!H3859</f>
        <v>0</v>
      </c>
      <c r="E3118" s="183">
        <f>Runners!H3858</f>
        <v>0</v>
      </c>
      <c r="F3118" s="6" t="s">
        <v>1270</v>
      </c>
      <c r="G3118" s="1">
        <v>1.3472222222222221E-2</v>
      </c>
      <c r="H3118" s="513" t="s">
        <v>5894</v>
      </c>
      <c r="I3118" s="1">
        <v>2.1377314814814818E-2</v>
      </c>
      <c r="J3118" s="1" t="s">
        <v>1270</v>
      </c>
      <c r="K3118" s="34">
        <v>41090</v>
      </c>
      <c r="L3118" s="9">
        <v>28</v>
      </c>
      <c r="N3118" s="1653"/>
      <c r="P3118" s="1654" t="s">
        <v>1810</v>
      </c>
    </row>
    <row r="3119" spans="3:16" ht="15" x14ac:dyDescent="0.25">
      <c r="C3119" s="74" t="s">
        <v>1030</v>
      </c>
      <c r="D3119" s="24">
        <f>Runners!G3812</f>
        <v>0</v>
      </c>
      <c r="E3119" s="183">
        <f>Runners!G3811</f>
        <v>0</v>
      </c>
      <c r="F3119" s="6" t="s">
        <v>909</v>
      </c>
      <c r="G3119" s="1">
        <v>1.7326388888888888E-2</v>
      </c>
      <c r="J3119" s="1" t="s">
        <v>909</v>
      </c>
      <c r="K3119" s="34">
        <v>42287</v>
      </c>
      <c r="L3119" s="9">
        <v>199</v>
      </c>
      <c r="N3119" s="1653"/>
      <c r="P3119" s="1654" t="s">
        <v>41</v>
      </c>
    </row>
    <row r="3120" spans="3:16" ht="15" x14ac:dyDescent="0.25">
      <c r="C3120" s="74" t="s">
        <v>373</v>
      </c>
      <c r="D3120" s="24">
        <f>Runners!I3457</f>
        <v>0</v>
      </c>
      <c r="E3120" s="183">
        <f>Runners!I3456</f>
        <v>0</v>
      </c>
      <c r="F3120" s="6" t="s">
        <v>5096</v>
      </c>
      <c r="G3120" s="1">
        <v>1.4363425925925925E-2</v>
      </c>
      <c r="H3120" s="206" t="s">
        <v>1062</v>
      </c>
      <c r="I3120" s="1">
        <v>2.4270833333333335E-2</v>
      </c>
      <c r="J3120" s="1" t="s">
        <v>5096</v>
      </c>
      <c r="K3120" s="34">
        <v>41790</v>
      </c>
      <c r="L3120" s="9">
        <v>106</v>
      </c>
      <c r="N3120" s="1653"/>
      <c r="P3120" s="1654" t="s">
        <v>373</v>
      </c>
    </row>
    <row r="3121" spans="3:16" ht="15" x14ac:dyDescent="0.25">
      <c r="C3121" s="74" t="s">
        <v>5430</v>
      </c>
      <c r="D3121" s="24">
        <f>Runners!N3534</f>
        <v>0</v>
      </c>
      <c r="E3121" s="183">
        <f>Runners!N3533</f>
        <v>0</v>
      </c>
      <c r="F3121" s="6" t="s">
        <v>5096</v>
      </c>
      <c r="G3121" s="1">
        <v>1.480324074074074E-2</v>
      </c>
      <c r="H3121" s="319" t="s">
        <v>2670</v>
      </c>
      <c r="I3121" s="1">
        <v>1.4120370370370368E-2</v>
      </c>
      <c r="J3121" s="1" t="s">
        <v>4778</v>
      </c>
      <c r="K3121" s="34">
        <v>41475</v>
      </c>
      <c r="L3121" s="9">
        <v>65</v>
      </c>
      <c r="N3121" s="1653"/>
      <c r="P3121" s="1654" t="s">
        <v>4625</v>
      </c>
    </row>
    <row r="3122" spans="3:16" ht="15" x14ac:dyDescent="0.25">
      <c r="C3122" s="74" t="s">
        <v>2727</v>
      </c>
      <c r="D3122" s="24">
        <f>Runners!I3922</f>
        <v>0</v>
      </c>
      <c r="E3122" s="183">
        <f>Runners!I3921</f>
        <v>0</v>
      </c>
      <c r="F3122" s="6" t="s">
        <v>1270</v>
      </c>
      <c r="G3122" s="1">
        <v>1.3692129629629629E-2</v>
      </c>
      <c r="J3122" s="1" t="s">
        <v>1270</v>
      </c>
      <c r="K3122" s="34">
        <v>41216</v>
      </c>
      <c r="L3122" s="9">
        <v>41</v>
      </c>
      <c r="N3122" s="1653"/>
      <c r="P3122" s="1654" t="s">
        <v>341</v>
      </c>
    </row>
    <row r="3123" spans="3:16" ht="15" x14ac:dyDescent="0.25">
      <c r="C3123" s="74" t="s">
        <v>5351</v>
      </c>
      <c r="D3123" s="24">
        <f>Runners!I3748</f>
        <v>0</v>
      </c>
      <c r="E3123" s="183">
        <f>Runners!I3747</f>
        <v>0</v>
      </c>
      <c r="F3123" s="6" t="s">
        <v>654</v>
      </c>
      <c r="G3123" s="32">
        <v>1.9490740740740743E-2</v>
      </c>
      <c r="H3123" s="513" t="s">
        <v>1062</v>
      </c>
      <c r="I3123" s="334">
        <v>2.3009259259259257E-2</v>
      </c>
      <c r="J3123" s="32" t="s">
        <v>654</v>
      </c>
      <c r="K3123" s="33">
        <v>42574</v>
      </c>
      <c r="L3123" s="104">
        <v>275</v>
      </c>
      <c r="N3123" s="1653"/>
      <c r="P3123" s="1654" t="s">
        <v>15215</v>
      </c>
    </row>
    <row r="3124" spans="3:16" ht="15" x14ac:dyDescent="0.25">
      <c r="C3124" s="74" t="s">
        <v>5633</v>
      </c>
      <c r="D3124" s="24">
        <f>Runners!S3812</f>
        <v>0</v>
      </c>
      <c r="E3124" s="183">
        <f>Runners!S3811</f>
        <v>0</v>
      </c>
      <c r="F3124" s="6" t="s">
        <v>4584</v>
      </c>
      <c r="G3124" s="1">
        <v>2.0636574074074075E-2</v>
      </c>
      <c r="J3124" s="1" t="s">
        <v>4584</v>
      </c>
      <c r="K3124" s="34">
        <v>42525</v>
      </c>
      <c r="L3124" s="9">
        <v>262</v>
      </c>
      <c r="N3124" s="1653"/>
      <c r="P3124" s="1654" t="s">
        <v>5633</v>
      </c>
    </row>
    <row r="3125" spans="3:16" ht="15" x14ac:dyDescent="0.25">
      <c r="C3125" s="74" t="s">
        <v>5885</v>
      </c>
      <c r="D3125" s="24">
        <f>Runners!H3248</f>
        <v>0</v>
      </c>
      <c r="E3125" s="183">
        <f>Runners!H3247</f>
        <v>0</v>
      </c>
      <c r="F3125" s="6" t="s">
        <v>5886</v>
      </c>
      <c r="G3125" s="51">
        <v>1.2013888888888888E-2</v>
      </c>
      <c r="H3125" t="s">
        <v>5887</v>
      </c>
      <c r="I3125" s="3">
        <v>1.3101851851851852E-2</v>
      </c>
      <c r="J3125" s="3" t="s">
        <v>4467</v>
      </c>
      <c r="K3125" s="332">
        <v>38710</v>
      </c>
      <c r="L3125" s="99">
        <v>1</v>
      </c>
      <c r="N3125" s="1653"/>
      <c r="P3125" s="1654" t="s">
        <v>5885</v>
      </c>
    </row>
    <row r="3126" spans="3:16" ht="15" x14ac:dyDescent="0.25">
      <c r="C3126" s="532" t="s">
        <v>15248</v>
      </c>
      <c r="D3126" s="531">
        <f>Runners!H4079</f>
        <v>0</v>
      </c>
      <c r="E3126" s="541">
        <f>Runners!H4078</f>
        <v>0</v>
      </c>
      <c r="F3126" s="79" t="s">
        <v>5882</v>
      </c>
      <c r="G3126" s="1">
        <v>1.5983796296296295E-2</v>
      </c>
      <c r="H3126" s="80"/>
      <c r="J3126" s="334" t="s">
        <v>5882</v>
      </c>
      <c r="K3126" s="34">
        <v>43400</v>
      </c>
      <c r="L3126" s="1398">
        <v>448</v>
      </c>
      <c r="N3126" s="1653"/>
      <c r="P3126" s="1654" t="s">
        <v>11769</v>
      </c>
    </row>
    <row r="3127" spans="3:16" ht="15" x14ac:dyDescent="0.25">
      <c r="C3127" s="532" t="s">
        <v>15247</v>
      </c>
      <c r="D3127" s="531">
        <f>Runners!K4125</f>
        <v>0</v>
      </c>
      <c r="E3127" s="541">
        <f>Runners!K4124</f>
        <v>0</v>
      </c>
      <c r="F3127" s="6"/>
      <c r="H3127" s="1374" t="s">
        <v>9806</v>
      </c>
      <c r="I3127" s="1412">
        <v>1.4791666666666668E-2</v>
      </c>
      <c r="J3127" s="334" t="s">
        <v>9806</v>
      </c>
      <c r="K3127" s="34">
        <v>43568</v>
      </c>
      <c r="L3127" s="1398">
        <v>488</v>
      </c>
      <c r="N3127" s="1653"/>
      <c r="P3127" s="1654" t="s">
        <v>12382</v>
      </c>
    </row>
    <row r="3128" spans="3:16" ht="15" x14ac:dyDescent="0.25">
      <c r="C3128" s="74" t="s">
        <v>2906</v>
      </c>
      <c r="D3128" s="24">
        <f>Runners!S4170</f>
        <v>0</v>
      </c>
      <c r="E3128" s="183">
        <f>Runners!S4169</f>
        <v>0</v>
      </c>
      <c r="F3128" s="6"/>
      <c r="H3128" s="206" t="s">
        <v>888</v>
      </c>
      <c r="I3128" s="1">
        <v>2.0694444444444446E-2</v>
      </c>
      <c r="J3128" s="254" t="s">
        <v>888</v>
      </c>
      <c r="K3128" s="34">
        <v>42385</v>
      </c>
      <c r="L3128" s="9">
        <v>222</v>
      </c>
      <c r="N3128" s="1653"/>
      <c r="P3128" s="1654" t="s">
        <v>2925</v>
      </c>
    </row>
    <row r="3129" spans="3:16" ht="15" x14ac:dyDescent="0.25">
      <c r="C3129" s="532" t="s">
        <v>11837</v>
      </c>
      <c r="D3129" s="541">
        <f>Runners!P3398</f>
        <v>0</v>
      </c>
      <c r="E3129" s="541">
        <f>Runners!P3397</f>
        <v>0</v>
      </c>
      <c r="F3129" s="79" t="s">
        <v>5881</v>
      </c>
      <c r="G3129" s="1">
        <v>1.6481481481481482E-2</v>
      </c>
      <c r="H3129" s="197" t="s">
        <v>9806</v>
      </c>
      <c r="I3129" s="1">
        <v>1.4722222222222222E-2</v>
      </c>
      <c r="J3129" s="1332" t="s">
        <v>5881</v>
      </c>
      <c r="K3129" s="34">
        <v>43526</v>
      </c>
      <c r="L3129" s="1398">
        <v>473</v>
      </c>
      <c r="N3129" s="1653"/>
      <c r="P3129" s="1654" t="s">
        <v>15216</v>
      </c>
    </row>
    <row r="3130" spans="3:16" ht="15" x14ac:dyDescent="0.25">
      <c r="C3130" s="15" t="s">
        <v>3520</v>
      </c>
      <c r="D3130" s="24">
        <f>Runners!G3829</f>
        <v>0</v>
      </c>
      <c r="E3130" s="183">
        <f>Runners!G3828</f>
        <v>0</v>
      </c>
      <c r="F3130" s="6" t="s">
        <v>1000</v>
      </c>
      <c r="G3130" s="32">
        <v>1.7314814814814814E-2</v>
      </c>
      <c r="I3130" s="3"/>
      <c r="J3130" s="32" t="s">
        <v>1000</v>
      </c>
      <c r="K3130" s="33">
        <v>41566</v>
      </c>
      <c r="L3130" s="9">
        <v>75</v>
      </c>
      <c r="N3130" s="1653"/>
      <c r="P3130" s="1654" t="s">
        <v>5674</v>
      </c>
    </row>
    <row r="3131" spans="3:16" ht="15" x14ac:dyDescent="0.25">
      <c r="C3131" s="415" t="s">
        <v>3157</v>
      </c>
      <c r="D3131" s="24">
        <f>Runners!I3859</f>
        <v>0</v>
      </c>
      <c r="E3131" s="183">
        <f>Runners!I3858</f>
        <v>0</v>
      </c>
      <c r="F3131" s="79" t="s">
        <v>5096</v>
      </c>
      <c r="G3131" s="32">
        <v>1.4351851851851852E-2</v>
      </c>
      <c r="H3131" s="513" t="s">
        <v>1062</v>
      </c>
      <c r="I3131" s="334">
        <v>2.6539351851851852E-2</v>
      </c>
      <c r="J3131" s="512" t="s">
        <v>1062</v>
      </c>
      <c r="K3131" s="33">
        <v>42749</v>
      </c>
      <c r="L3131" s="1398">
        <v>316</v>
      </c>
      <c r="N3131" s="1653"/>
      <c r="P3131" s="1654" t="s">
        <v>3157</v>
      </c>
    </row>
    <row r="3132" spans="3:16" ht="15" x14ac:dyDescent="0.25">
      <c r="C3132" s="74" t="s">
        <v>2913</v>
      </c>
      <c r="D3132" s="24">
        <f>Runners!L3859</f>
        <v>0</v>
      </c>
      <c r="E3132" s="183">
        <f>Runners!L3858</f>
        <v>0</v>
      </c>
      <c r="F3132" s="79" t="s">
        <v>8150</v>
      </c>
      <c r="G3132" s="1">
        <v>1.4340277777777776E-2</v>
      </c>
      <c r="J3132" s="334" t="s">
        <v>8150</v>
      </c>
      <c r="K3132" s="523">
        <v>40845</v>
      </c>
      <c r="L3132" s="9">
        <v>58</v>
      </c>
      <c r="N3132" s="1653"/>
      <c r="P3132" s="1654" t="s">
        <v>1811</v>
      </c>
    </row>
    <row r="3133" spans="3:16" ht="15" x14ac:dyDescent="0.25">
      <c r="C3133" s="74" t="s">
        <v>799</v>
      </c>
      <c r="D3133" s="24">
        <f>Runners!I3248</f>
        <v>0</v>
      </c>
      <c r="E3133" s="183">
        <f>Runners!I3247</f>
        <v>0</v>
      </c>
      <c r="F3133" s="6" t="s">
        <v>5096</v>
      </c>
      <c r="G3133" s="1">
        <v>1.7361111111111112E-2</v>
      </c>
      <c r="J3133" s="1" t="s">
        <v>4778</v>
      </c>
      <c r="K3133" s="34">
        <v>42665</v>
      </c>
      <c r="L3133" s="9">
        <v>296</v>
      </c>
      <c r="N3133" s="1653"/>
      <c r="P3133" s="1654" t="s">
        <v>74</v>
      </c>
    </row>
    <row r="3134" spans="3:16" ht="15" x14ac:dyDescent="0.25">
      <c r="C3134" s="74" t="s">
        <v>4901</v>
      </c>
      <c r="D3134" s="24">
        <f>Runners!I3636</f>
        <v>0</v>
      </c>
      <c r="E3134" s="183">
        <f>Runners!I3635</f>
        <v>0</v>
      </c>
      <c r="F3134" s="6" t="s">
        <v>5882</v>
      </c>
      <c r="G3134" s="32">
        <v>1.579861111111111E-2</v>
      </c>
      <c r="H3134" s="1091" t="s">
        <v>1440</v>
      </c>
      <c r="I3134" s="334">
        <v>2.0486111111111111E-2</v>
      </c>
      <c r="J3134" s="32" t="s">
        <v>5882</v>
      </c>
      <c r="K3134" s="33">
        <v>41741</v>
      </c>
      <c r="L3134" s="9">
        <v>97</v>
      </c>
      <c r="N3134" s="1653"/>
      <c r="P3134" s="1654" t="s">
        <v>4901</v>
      </c>
    </row>
    <row r="3135" spans="3:16" ht="15" x14ac:dyDescent="0.25">
      <c r="C3135" s="74" t="s">
        <v>5188</v>
      </c>
      <c r="D3135" s="24">
        <f>Runners!I4033</f>
        <v>0</v>
      </c>
      <c r="E3135" s="183">
        <f>Runners!I4032</f>
        <v>0</v>
      </c>
      <c r="F3135" s="6" t="s">
        <v>627</v>
      </c>
      <c r="G3135" s="1">
        <v>1.4583333333333332E-2</v>
      </c>
      <c r="H3135" s="80" t="s">
        <v>128</v>
      </c>
      <c r="I3135" s="1">
        <v>2.5231481481481483E-2</v>
      </c>
      <c r="J3135" s="1" t="s">
        <v>627</v>
      </c>
      <c r="K3135" s="34">
        <v>41405</v>
      </c>
      <c r="L3135" s="9">
        <v>60</v>
      </c>
      <c r="N3135" s="1653"/>
      <c r="P3135" s="1654" t="s">
        <v>5186</v>
      </c>
    </row>
    <row r="3136" spans="3:16" ht="15" x14ac:dyDescent="0.25">
      <c r="C3136" s="415" t="s">
        <v>11759</v>
      </c>
      <c r="D3136" s="24">
        <f>Runners!T4203</f>
        <v>0</v>
      </c>
      <c r="E3136" s="183">
        <f>Runners!T4202</f>
        <v>0</v>
      </c>
      <c r="F3136" s="6" t="s">
        <v>756</v>
      </c>
      <c r="G3136" s="1">
        <v>2.0370370370370369E-2</v>
      </c>
      <c r="J3136" s="1" t="s">
        <v>756</v>
      </c>
      <c r="K3136" s="34">
        <v>43140</v>
      </c>
      <c r="L3136" s="1398">
        <v>468</v>
      </c>
      <c r="N3136" s="1653"/>
      <c r="P3136" s="1654" t="s">
        <v>11786</v>
      </c>
    </row>
    <row r="3137" spans="3:16" ht="15" x14ac:dyDescent="0.25">
      <c r="C3137" s="74" t="s">
        <v>972</v>
      </c>
      <c r="D3137" s="24">
        <f>Runners!J3922</f>
        <v>0</v>
      </c>
      <c r="E3137" s="183">
        <f>Runners!J3921</f>
        <v>0</v>
      </c>
      <c r="F3137" s="6" t="s">
        <v>2725</v>
      </c>
      <c r="G3137" s="1">
        <v>1.7766203703703704E-2</v>
      </c>
      <c r="H3137" s="513" t="s">
        <v>1062</v>
      </c>
      <c r="I3137" s="1">
        <v>2.479166666666667E-2</v>
      </c>
      <c r="J3137" s="1" t="s">
        <v>2725</v>
      </c>
      <c r="K3137" s="34">
        <v>42301</v>
      </c>
      <c r="L3137" s="9">
        <v>201</v>
      </c>
      <c r="N3137" s="1653"/>
      <c r="P3137" s="1654" t="s">
        <v>972</v>
      </c>
    </row>
    <row r="3138" spans="3:16" ht="15" x14ac:dyDescent="0.25">
      <c r="C3138" s="532" t="s">
        <v>15253</v>
      </c>
      <c r="D3138" s="531">
        <f>Runners!R3311</f>
        <v>0</v>
      </c>
      <c r="E3138" s="541">
        <f>Runners!R3310</f>
        <v>0</v>
      </c>
      <c r="F3138" s="6" t="s">
        <v>127</v>
      </c>
      <c r="G3138" s="1">
        <v>1.3715277777777778E-2</v>
      </c>
      <c r="H3138" s="206" t="s">
        <v>2670</v>
      </c>
      <c r="I3138" s="1">
        <v>1.4363425925925925E-2</v>
      </c>
      <c r="J3138" s="1" t="s">
        <v>5096</v>
      </c>
      <c r="K3138" s="34">
        <v>42063</v>
      </c>
      <c r="L3138" s="1398">
        <v>155</v>
      </c>
      <c r="N3138" s="1653"/>
      <c r="P3138" s="1654" t="s">
        <v>2593</v>
      </c>
    </row>
    <row r="3139" spans="3:16" ht="15" x14ac:dyDescent="0.25">
      <c r="C3139" s="74" t="s">
        <v>1985</v>
      </c>
      <c r="D3139" s="531">
        <f>Runners!I4079</f>
        <v>0</v>
      </c>
      <c r="E3139" s="541">
        <f>Runners!I4078</f>
        <v>0</v>
      </c>
      <c r="F3139" s="6" t="s">
        <v>2334</v>
      </c>
      <c r="G3139" s="1">
        <v>1.292824074074074E-2</v>
      </c>
      <c r="J3139" s="1" t="s">
        <v>2334</v>
      </c>
      <c r="K3139" s="34">
        <v>42147</v>
      </c>
      <c r="L3139" s="9">
        <v>170</v>
      </c>
      <c r="N3139" s="1653"/>
      <c r="P3139" s="1654" t="s">
        <v>4849</v>
      </c>
    </row>
    <row r="3140" spans="3:16" ht="15" x14ac:dyDescent="0.25">
      <c r="C3140" s="415" t="s">
        <v>8514</v>
      </c>
      <c r="D3140" s="531">
        <f>Runners!P3599</f>
        <v>0</v>
      </c>
      <c r="E3140" s="541">
        <f>Runners!P3598</f>
        <v>0</v>
      </c>
      <c r="F3140" s="79" t="s">
        <v>1000</v>
      </c>
      <c r="G3140" s="1">
        <v>1.9652777777777779E-2</v>
      </c>
      <c r="J3140" s="334" t="s">
        <v>1000</v>
      </c>
      <c r="K3140" s="34">
        <v>43101</v>
      </c>
      <c r="L3140" s="1398">
        <v>375</v>
      </c>
      <c r="N3140" s="1653"/>
      <c r="P3140" s="1654" t="s">
        <v>8514</v>
      </c>
    </row>
    <row r="3141" spans="3:16" ht="15" x14ac:dyDescent="0.25">
      <c r="C3141" s="532" t="s">
        <v>9580</v>
      </c>
      <c r="D3141" s="531">
        <f>Runners!P3534</f>
        <v>0</v>
      </c>
      <c r="E3141" s="541">
        <f>Runners!P3533</f>
        <v>0</v>
      </c>
      <c r="F3141" s="79" t="s">
        <v>1000</v>
      </c>
      <c r="G3141" s="1">
        <v>1.9166666666666669E-2</v>
      </c>
      <c r="J3141" s="334" t="s">
        <v>4778</v>
      </c>
      <c r="K3141" s="34">
        <v>43218</v>
      </c>
      <c r="L3141" s="1398">
        <v>405</v>
      </c>
      <c r="N3141" s="1653"/>
      <c r="P3141" s="1654" t="s">
        <v>9620</v>
      </c>
    </row>
    <row r="3142" spans="3:16" ht="15" x14ac:dyDescent="0.25">
      <c r="C3142" s="74" t="s">
        <v>3403</v>
      </c>
      <c r="D3142" s="24">
        <f>Runners!I3812</f>
        <v>0</v>
      </c>
      <c r="E3142" s="183">
        <f>Runners!I3811</f>
        <v>0</v>
      </c>
      <c r="F3142" s="6" t="s">
        <v>909</v>
      </c>
      <c r="G3142" s="1">
        <v>1.650462962962963E-2</v>
      </c>
      <c r="H3142" t="s">
        <v>5894</v>
      </c>
      <c r="I3142" s="1">
        <v>2.0231481481481482E-2</v>
      </c>
      <c r="J3142" s="1" t="s">
        <v>909</v>
      </c>
      <c r="K3142" s="34">
        <v>42168</v>
      </c>
      <c r="L3142" s="9">
        <v>176</v>
      </c>
      <c r="N3142" s="1653"/>
      <c r="P3142" s="1654" t="s">
        <v>1534</v>
      </c>
    </row>
    <row r="3143" spans="3:16" ht="15" x14ac:dyDescent="0.25">
      <c r="C3143" s="415" t="s">
        <v>13416</v>
      </c>
      <c r="D3143" s="24">
        <f>Runners!K3859</f>
        <v>0</v>
      </c>
      <c r="E3143" s="183">
        <f>Runners!K3858</f>
        <v>0</v>
      </c>
      <c r="F3143" s="6"/>
      <c r="H3143" s="1374" t="s">
        <v>1062</v>
      </c>
      <c r="I3143" s="1">
        <v>2.34375E-2</v>
      </c>
      <c r="J3143" s="512" t="s">
        <v>1062</v>
      </c>
      <c r="K3143" s="34">
        <v>43680</v>
      </c>
      <c r="N3143" s="1653"/>
      <c r="P3143" s="1654" t="s">
        <v>12938</v>
      </c>
    </row>
    <row r="3144" spans="3:16" ht="15" x14ac:dyDescent="0.25">
      <c r="C3144" s="415" t="s">
        <v>8177</v>
      </c>
      <c r="D3144" s="24">
        <f>Runners!W4109</f>
        <v>0</v>
      </c>
      <c r="E3144" s="183">
        <f>Runners!W4108</f>
        <v>0</v>
      </c>
      <c r="F3144" s="1295" t="s">
        <v>3790</v>
      </c>
      <c r="G3144" s="1">
        <v>1.6759259259259258E-2</v>
      </c>
      <c r="H3144" s="513" t="s">
        <v>4596</v>
      </c>
      <c r="I3144" s="1">
        <v>1.8564814814814815E-2</v>
      </c>
      <c r="J3144" s="334" t="s">
        <v>6180</v>
      </c>
      <c r="K3144" s="34">
        <v>42924</v>
      </c>
      <c r="L3144" s="9">
        <v>344</v>
      </c>
      <c r="N3144" s="1653"/>
      <c r="P3144" s="1654" t="s">
        <v>15217</v>
      </c>
    </row>
    <row r="3145" spans="3:16" ht="15" x14ac:dyDescent="0.25">
      <c r="C3145" s="74" t="s">
        <v>2521</v>
      </c>
      <c r="D3145" s="24">
        <f>Runners!K3922</f>
        <v>0</v>
      </c>
      <c r="E3145" s="183">
        <f>Runners!K3921</f>
        <v>0</v>
      </c>
      <c r="F3145" s="6" t="s">
        <v>2628</v>
      </c>
      <c r="G3145" s="1">
        <v>1.7233796296296296E-2</v>
      </c>
      <c r="J3145" s="1" t="s">
        <v>654</v>
      </c>
      <c r="K3145" s="34">
        <v>41825</v>
      </c>
      <c r="L3145" s="9">
        <v>114</v>
      </c>
      <c r="N3145" s="1653"/>
      <c r="P3145" s="1654" t="s">
        <v>2521</v>
      </c>
    </row>
    <row r="3146" spans="3:16" ht="15" x14ac:dyDescent="0.25">
      <c r="C3146" s="74" t="s">
        <v>5145</v>
      </c>
      <c r="D3146" s="24">
        <f>Runners!K3613</f>
        <v>0</v>
      </c>
      <c r="E3146" s="183">
        <f>Runners!K3612</f>
        <v>0</v>
      </c>
      <c r="F3146" s="6" t="s">
        <v>1000</v>
      </c>
      <c r="G3146" s="1">
        <v>1.7488425925925925E-2</v>
      </c>
      <c r="J3146" s="32" t="s">
        <v>1000</v>
      </c>
      <c r="K3146" s="34">
        <v>41748</v>
      </c>
      <c r="L3146" s="9">
        <v>100</v>
      </c>
      <c r="N3146" s="1653"/>
      <c r="P3146" s="1654" t="s">
        <v>5145</v>
      </c>
    </row>
    <row r="3147" spans="3:16" ht="15" x14ac:dyDescent="0.25">
      <c r="C3147" s="532" t="s">
        <v>693</v>
      </c>
      <c r="D3147" s="531">
        <f>Runners!J3748</f>
        <v>0</v>
      </c>
      <c r="E3147" s="541">
        <f>Runners!J3747</f>
        <v>0</v>
      </c>
      <c r="F3147" s="79" t="s">
        <v>127</v>
      </c>
      <c r="G3147" s="1">
        <v>1.4664351851851852E-2</v>
      </c>
      <c r="H3147" s="80" t="s">
        <v>128</v>
      </c>
      <c r="I3147" s="1">
        <v>2.3645833333333335E-2</v>
      </c>
      <c r="J3147" s="334" t="s">
        <v>13475</v>
      </c>
      <c r="K3147" s="34">
        <v>43687</v>
      </c>
      <c r="N3147" s="1653"/>
      <c r="P3147" s="1654" t="s">
        <v>693</v>
      </c>
    </row>
    <row r="3148" spans="3:16" ht="15" x14ac:dyDescent="0.25">
      <c r="C3148" s="74" t="s">
        <v>1410</v>
      </c>
      <c r="D3148" s="24">
        <f>Runners!I3683</f>
        <v>0</v>
      </c>
      <c r="E3148" s="183">
        <f>Runners!I3682</f>
        <v>0</v>
      </c>
      <c r="F3148" s="6" t="s">
        <v>4897</v>
      </c>
      <c r="G3148" s="1">
        <v>1.6250000000000001E-2</v>
      </c>
      <c r="H3148" s="80" t="s">
        <v>944</v>
      </c>
      <c r="I3148" s="1">
        <v>1.7453703703703704E-2</v>
      </c>
      <c r="J3148" s="1" t="s">
        <v>803</v>
      </c>
      <c r="K3148" s="34">
        <v>41902</v>
      </c>
      <c r="L3148" s="9">
        <v>131</v>
      </c>
      <c r="N3148" s="1653"/>
      <c r="P3148" s="1654" t="s">
        <v>803</v>
      </c>
    </row>
    <row r="3149" spans="3:16" ht="15" x14ac:dyDescent="0.25">
      <c r="C3149" s="415" t="s">
        <v>15183</v>
      </c>
      <c r="D3149" s="24">
        <f>Runners!J3859</f>
        <v>0</v>
      </c>
      <c r="E3149" s="183">
        <f>Runners!J3858</f>
        <v>0</v>
      </c>
      <c r="F3149" s="6"/>
      <c r="H3149" s="1374" t="s">
        <v>1062</v>
      </c>
      <c r="I3149" s="1412">
        <v>3.0462962962962966E-2</v>
      </c>
      <c r="J3149" s="1414" t="s">
        <v>1062</v>
      </c>
      <c r="K3149" s="34">
        <v>43694</v>
      </c>
      <c r="N3149" s="1653"/>
      <c r="P3149" s="1654" t="s">
        <v>15218</v>
      </c>
    </row>
    <row r="3150" spans="3:16" ht="15" x14ac:dyDescent="0.25">
      <c r="C3150" s="74" t="s">
        <v>5973</v>
      </c>
      <c r="D3150" s="24">
        <f>Runners!G4144</f>
        <v>0</v>
      </c>
      <c r="E3150" s="183">
        <f>Runners!G4143</f>
        <v>0</v>
      </c>
      <c r="F3150" s="6" t="s">
        <v>1000</v>
      </c>
      <c r="G3150" s="1">
        <v>1.9143518518518518E-2</v>
      </c>
      <c r="H3150" s="206" t="s">
        <v>888</v>
      </c>
      <c r="I3150" s="1">
        <v>1.9930555555555556E-2</v>
      </c>
      <c r="J3150" s="206" t="s">
        <v>888</v>
      </c>
      <c r="K3150" s="34">
        <v>41965</v>
      </c>
      <c r="L3150" s="9">
        <v>143</v>
      </c>
      <c r="N3150" s="1653"/>
      <c r="P3150" s="1654" t="s">
        <v>5955</v>
      </c>
    </row>
    <row r="3151" spans="3:16" ht="15" x14ac:dyDescent="0.25">
      <c r="C3151" s="415" t="s">
        <v>9760</v>
      </c>
      <c r="D3151" s="24">
        <f>Runners!K3748</f>
        <v>0</v>
      </c>
      <c r="E3151" s="183">
        <f>Runners!K3747</f>
        <v>0</v>
      </c>
      <c r="F3151" s="79" t="s">
        <v>5573</v>
      </c>
      <c r="G3151" s="1">
        <v>1.6597222222222222E-2</v>
      </c>
      <c r="H3151" s="206"/>
      <c r="J3151" s="80" t="s">
        <v>5573</v>
      </c>
      <c r="K3151" s="34">
        <v>43232</v>
      </c>
      <c r="L3151" s="1398">
        <v>407</v>
      </c>
      <c r="N3151" s="1653"/>
      <c r="P3151" s="1654" t="s">
        <v>9760</v>
      </c>
    </row>
    <row r="3152" spans="3:16" ht="15" x14ac:dyDescent="0.25">
      <c r="C3152" s="74" t="s">
        <v>1126</v>
      </c>
      <c r="D3152" s="24">
        <f>Runners!M3683</f>
        <v>0</v>
      </c>
      <c r="E3152" s="183">
        <f>Runners!M3682</f>
        <v>0</v>
      </c>
      <c r="F3152" s="79" t="s">
        <v>11185</v>
      </c>
      <c r="G3152" s="1">
        <v>1.269675925925926E-2</v>
      </c>
      <c r="J3152" s="32" t="s">
        <v>1000</v>
      </c>
      <c r="K3152" s="34">
        <v>41657</v>
      </c>
      <c r="L3152" s="9">
        <v>88</v>
      </c>
      <c r="N3152" s="1653"/>
      <c r="P3152" s="1654" t="s">
        <v>1069</v>
      </c>
    </row>
    <row r="3153" spans="3:16" ht="15" x14ac:dyDescent="0.25">
      <c r="C3153" s="532" t="s">
        <v>9407</v>
      </c>
      <c r="D3153" s="531">
        <f>Runners!J3248</f>
        <v>0</v>
      </c>
      <c r="E3153" s="541">
        <f>Runners!J3247</f>
        <v>0</v>
      </c>
      <c r="F3153" s="534" t="s">
        <v>3790</v>
      </c>
      <c r="G3153" s="334">
        <v>1.7488425925925925E-2</v>
      </c>
      <c r="H3153" s="513" t="s">
        <v>4596</v>
      </c>
      <c r="I3153" s="334">
        <v>1.7719907407407406E-2</v>
      </c>
      <c r="J3153" s="512" t="s">
        <v>6180</v>
      </c>
      <c r="K3153" s="34">
        <v>43183</v>
      </c>
      <c r="L3153" s="1398">
        <v>393</v>
      </c>
      <c r="N3153" s="1653"/>
      <c r="P3153" s="1654" t="s">
        <v>9407</v>
      </c>
    </row>
    <row r="3154" spans="3:16" ht="15" x14ac:dyDescent="0.25">
      <c r="C3154" s="74" t="s">
        <v>3311</v>
      </c>
      <c r="D3154" s="24">
        <f>Runners!N4236</f>
        <v>0</v>
      </c>
      <c r="E3154" s="183">
        <f>Runners!N4235</f>
        <v>0</v>
      </c>
      <c r="F3154" s="630" t="s">
        <v>2821</v>
      </c>
      <c r="G3154" s="1">
        <v>1.4884259259259259E-2</v>
      </c>
      <c r="H3154" s="197" t="s">
        <v>5241</v>
      </c>
      <c r="I3154" s="1">
        <v>1.5405092592592593E-2</v>
      </c>
      <c r="J3154" s="265" t="s">
        <v>5241</v>
      </c>
      <c r="K3154" s="34">
        <v>42427</v>
      </c>
      <c r="L3154" s="9">
        <v>231</v>
      </c>
      <c r="N3154" s="1653"/>
      <c r="P3154" s="1654" t="s">
        <v>2068</v>
      </c>
    </row>
    <row r="3155" spans="3:16" ht="15" x14ac:dyDescent="0.25">
      <c r="C3155" s="415" t="s">
        <v>9689</v>
      </c>
      <c r="D3155" s="24">
        <f>Runners!N3881</f>
        <v>0</v>
      </c>
      <c r="E3155" s="183">
        <f>Runners!N3880</f>
        <v>0</v>
      </c>
      <c r="F3155" s="79" t="s">
        <v>5096</v>
      </c>
      <c r="G3155" s="334">
        <v>1.5949074074074074E-2</v>
      </c>
      <c r="H3155" s="197"/>
      <c r="J3155" s="334" t="s">
        <v>5096</v>
      </c>
      <c r="K3155" s="34">
        <v>43113</v>
      </c>
      <c r="L3155" s="1398">
        <v>379</v>
      </c>
      <c r="N3155" s="1653"/>
      <c r="P3155" s="1654" t="s">
        <v>9055</v>
      </c>
    </row>
    <row r="3156" spans="3:16" ht="15" x14ac:dyDescent="0.25">
      <c r="C3156" s="415" t="s">
        <v>8407</v>
      </c>
      <c r="D3156" s="24">
        <f>Runners!H4258</f>
        <v>0</v>
      </c>
      <c r="E3156" s="183">
        <f>Runners!H4257</f>
        <v>0</v>
      </c>
      <c r="F3156" s="79" t="s">
        <v>5882</v>
      </c>
      <c r="G3156" s="1">
        <v>1.6643518518518519E-2</v>
      </c>
      <c r="H3156" s="80" t="s">
        <v>944</v>
      </c>
      <c r="I3156" s="1">
        <v>1.8067129629629631E-2</v>
      </c>
      <c r="J3156" s="334" t="s">
        <v>944</v>
      </c>
      <c r="K3156" s="34">
        <v>42966</v>
      </c>
      <c r="L3156" s="9">
        <v>358</v>
      </c>
      <c r="N3156" s="1653"/>
      <c r="P3156" s="1654" t="s">
        <v>8407</v>
      </c>
    </row>
    <row r="3157" spans="3:16" ht="15" x14ac:dyDescent="0.25">
      <c r="C3157" s="532" t="s">
        <v>5359</v>
      </c>
      <c r="D3157" s="531">
        <f>Runners!O3881</f>
        <v>0</v>
      </c>
      <c r="E3157" s="541">
        <f>Runners!O3880</f>
        <v>0</v>
      </c>
      <c r="F3157" s="1415" t="s">
        <v>13164</v>
      </c>
      <c r="G3157" s="1412">
        <v>1.9872685185185184E-2</v>
      </c>
      <c r="H3157" s="513" t="s">
        <v>1062</v>
      </c>
      <c r="I3157" s="1">
        <v>2.5196759259259256E-2</v>
      </c>
      <c r="J3157" s="334" t="s">
        <v>1000</v>
      </c>
      <c r="K3157" s="34">
        <v>43309</v>
      </c>
      <c r="L3157" s="1398">
        <v>429</v>
      </c>
      <c r="N3157" s="1653"/>
      <c r="P3157" s="1654" t="s">
        <v>5359</v>
      </c>
    </row>
    <row r="3158" spans="3:16" ht="15" x14ac:dyDescent="0.25">
      <c r="C3158" s="532" t="s">
        <v>8386</v>
      </c>
      <c r="D3158" s="24">
        <f>Runners!H4033</f>
        <v>0</v>
      </c>
      <c r="E3158" s="183">
        <f>Runners!H4032</f>
        <v>0</v>
      </c>
      <c r="F3158" s="630"/>
      <c r="H3158" s="80" t="s">
        <v>3254</v>
      </c>
      <c r="I3158" s="334">
        <v>1.8229166666666668E-2</v>
      </c>
      <c r="J3158" s="334" t="s">
        <v>3254</v>
      </c>
      <c r="K3158" s="34">
        <v>42966</v>
      </c>
      <c r="L3158" s="9">
        <v>357</v>
      </c>
      <c r="N3158" s="1653"/>
      <c r="P3158" s="1654" t="s">
        <v>2825</v>
      </c>
    </row>
    <row r="3159" spans="3:16" ht="15" x14ac:dyDescent="0.25">
      <c r="C3159" s="74" t="s">
        <v>5431</v>
      </c>
      <c r="D3159" s="24">
        <f>Runners!T3812</f>
        <v>0</v>
      </c>
      <c r="E3159" s="183">
        <f>Runners!T3811</f>
        <v>0</v>
      </c>
      <c r="F3159" s="6" t="s">
        <v>1000</v>
      </c>
      <c r="G3159" s="1">
        <v>1.7824074074074076E-2</v>
      </c>
      <c r="J3159" s="1" t="s">
        <v>4584</v>
      </c>
      <c r="K3159" s="34">
        <v>41461</v>
      </c>
      <c r="L3159" s="9">
        <v>63</v>
      </c>
      <c r="N3159" s="1653"/>
      <c r="P3159" s="1654" t="s">
        <v>5431</v>
      </c>
    </row>
    <row r="3160" spans="3:16" ht="15" x14ac:dyDescent="0.25">
      <c r="C3160" s="532" t="s">
        <v>10792</v>
      </c>
      <c r="D3160" s="531">
        <f>Runners!H3829</f>
        <v>0</v>
      </c>
      <c r="E3160" s="541">
        <f>Runners!H3828</f>
        <v>0</v>
      </c>
      <c r="F3160" s="534" t="s">
        <v>3790</v>
      </c>
      <c r="G3160" s="334">
        <v>1.6527777777777777E-2</v>
      </c>
      <c r="H3160" s="513" t="s">
        <v>4596</v>
      </c>
      <c r="I3160" s="1">
        <v>1.741898148148148E-2</v>
      </c>
      <c r="J3160" s="512" t="s">
        <v>6180</v>
      </c>
      <c r="K3160" s="34">
        <v>43589</v>
      </c>
      <c r="L3160" s="1398">
        <v>493</v>
      </c>
      <c r="N3160" s="1653"/>
      <c r="P3160" s="1654" t="s">
        <v>15219</v>
      </c>
    </row>
    <row r="3161" spans="3:16" ht="15" x14ac:dyDescent="0.25">
      <c r="C3161" s="74" t="s">
        <v>226</v>
      </c>
      <c r="D3161" s="24">
        <f>Runners!R3881</f>
        <v>0</v>
      </c>
      <c r="E3161" s="183">
        <f>Runners!R3880</f>
        <v>0</v>
      </c>
      <c r="F3161" s="6" t="s">
        <v>5882</v>
      </c>
      <c r="G3161" s="1">
        <v>1.503472222222222E-2</v>
      </c>
      <c r="J3161" s="1" t="s">
        <v>5882</v>
      </c>
      <c r="K3161" s="34">
        <v>41510</v>
      </c>
      <c r="L3161" s="9">
        <v>67</v>
      </c>
      <c r="N3161" s="1653"/>
      <c r="P3161" s="1654" t="s">
        <v>1624</v>
      </c>
    </row>
    <row r="3162" spans="3:16" ht="15" x14ac:dyDescent="0.25">
      <c r="C3162" s="74" t="s">
        <v>1660</v>
      </c>
      <c r="D3162" s="24">
        <f>Runners!I3968</f>
        <v>0</v>
      </c>
      <c r="E3162" s="183">
        <f>Runners!I3967</f>
        <v>0</v>
      </c>
      <c r="F3162" s="6" t="s">
        <v>1000</v>
      </c>
      <c r="G3162" s="1">
        <v>1.9456018518518518E-2</v>
      </c>
      <c r="J3162" s="32" t="s">
        <v>1000</v>
      </c>
      <c r="K3162" s="34">
        <v>41335</v>
      </c>
      <c r="L3162" s="9">
        <v>57</v>
      </c>
      <c r="N3162" s="1653"/>
      <c r="P3162" s="1654" t="s">
        <v>1826</v>
      </c>
    </row>
    <row r="3163" spans="3:16" ht="15" x14ac:dyDescent="0.25">
      <c r="C3163" s="74" t="s">
        <v>1452</v>
      </c>
      <c r="D3163" s="24">
        <f>Runners!L3922</f>
        <v>0</v>
      </c>
      <c r="E3163" s="183">
        <f>Runners!L3921</f>
        <v>0</v>
      </c>
      <c r="F3163" s="6" t="s">
        <v>1270</v>
      </c>
      <c r="G3163" s="1">
        <v>1.3819444444444445E-2</v>
      </c>
      <c r="H3163" s="513" t="s">
        <v>1062</v>
      </c>
      <c r="I3163" s="334">
        <v>2.2083333333333333E-2</v>
      </c>
      <c r="J3163" s="1" t="s">
        <v>1270</v>
      </c>
      <c r="K3163" s="34">
        <v>41811</v>
      </c>
      <c r="L3163" s="9">
        <v>110</v>
      </c>
      <c r="N3163" s="1653"/>
      <c r="P3163" s="1654" t="s">
        <v>468</v>
      </c>
    </row>
    <row r="3164" spans="3:16" ht="15" x14ac:dyDescent="0.25">
      <c r="C3164" s="74" t="s">
        <v>456</v>
      </c>
      <c r="D3164" s="24">
        <f>Runners!Q3881</f>
        <v>0</v>
      </c>
      <c r="E3164" s="183">
        <f>Runners!Q3880</f>
        <v>0</v>
      </c>
      <c r="F3164" s="6" t="s">
        <v>1000</v>
      </c>
      <c r="G3164" s="1">
        <v>2.0648148148148148E-2</v>
      </c>
      <c r="H3164" s="513" t="s">
        <v>1062</v>
      </c>
      <c r="I3164" s="1">
        <v>2.2962962962962966E-2</v>
      </c>
      <c r="J3164" s="32" t="s">
        <v>1000</v>
      </c>
      <c r="K3164" s="34">
        <v>41321</v>
      </c>
      <c r="L3164" s="9">
        <v>55</v>
      </c>
      <c r="N3164" s="1653"/>
      <c r="P3164" s="1654" t="s">
        <v>4282</v>
      </c>
    </row>
    <row r="3165" spans="3:16" ht="15" x14ac:dyDescent="0.25">
      <c r="C3165" s="415" t="s">
        <v>10419</v>
      </c>
      <c r="D3165" s="24">
        <f>Runners!J4033</f>
        <v>0</v>
      </c>
      <c r="E3165" s="183">
        <f>Runners!J4032</f>
        <v>0</v>
      </c>
      <c r="F3165" s="79" t="s">
        <v>654</v>
      </c>
      <c r="G3165" s="1">
        <v>2.3692129629629629E-2</v>
      </c>
      <c r="H3165" s="513"/>
      <c r="J3165" s="334" t="s">
        <v>654</v>
      </c>
      <c r="K3165" s="34">
        <v>43323</v>
      </c>
      <c r="L3165" s="1398">
        <v>432</v>
      </c>
      <c r="N3165" s="1653"/>
      <c r="P3165" s="1654" t="s">
        <v>10419</v>
      </c>
    </row>
    <row r="3166" spans="3:16" ht="15" x14ac:dyDescent="0.25">
      <c r="C3166" s="74" t="s">
        <v>319</v>
      </c>
      <c r="D3166" s="24">
        <f>Runners!I4188</f>
        <v>0</v>
      </c>
      <c r="E3166" s="183">
        <f>Runners!I4187</f>
        <v>0</v>
      </c>
      <c r="F3166" s="6" t="s">
        <v>909</v>
      </c>
      <c r="G3166" s="1">
        <v>2.0057870370370368E-2</v>
      </c>
      <c r="H3166" t="s">
        <v>5894</v>
      </c>
      <c r="I3166" s="1">
        <v>2.0057870370370368E-2</v>
      </c>
      <c r="J3166" s="1" t="s">
        <v>5061</v>
      </c>
      <c r="K3166" s="34">
        <v>42189</v>
      </c>
      <c r="L3166" s="9">
        <v>184</v>
      </c>
      <c r="N3166" s="1653"/>
      <c r="P3166" s="1654" t="s">
        <v>3860</v>
      </c>
    </row>
    <row r="3167" spans="3:16" ht="15" x14ac:dyDescent="0.25">
      <c r="C3167" s="511" t="s">
        <v>2041</v>
      </c>
      <c r="D3167" s="531">
        <f>Runners!P3881</f>
        <v>0</v>
      </c>
      <c r="E3167" s="541">
        <f>Runners!P3880</f>
        <v>0</v>
      </c>
      <c r="F3167" s="79" t="s">
        <v>1000</v>
      </c>
      <c r="G3167" s="1">
        <v>1.9004629629629632E-2</v>
      </c>
      <c r="J3167" s="334" t="s">
        <v>1000</v>
      </c>
      <c r="K3167" s="34">
        <v>42959</v>
      </c>
      <c r="L3167" s="9">
        <v>353</v>
      </c>
      <c r="N3167" s="1653"/>
      <c r="P3167" s="1654" t="s">
        <v>2041</v>
      </c>
    </row>
    <row r="3168" spans="3:16" ht="15" x14ac:dyDescent="0.25">
      <c r="C3168" s="74" t="s">
        <v>4140</v>
      </c>
      <c r="D3168" s="24">
        <f>Runners!Y4188</f>
        <v>0</v>
      </c>
      <c r="E3168" s="183">
        <f>Runners!Y4187</f>
        <v>0</v>
      </c>
      <c r="F3168" s="6" t="s">
        <v>1000</v>
      </c>
      <c r="G3168" s="1">
        <v>1.8564814814814815E-2</v>
      </c>
      <c r="J3168" s="1" t="s">
        <v>1000</v>
      </c>
      <c r="K3168" s="34">
        <v>42357</v>
      </c>
      <c r="L3168" s="9">
        <v>216</v>
      </c>
      <c r="N3168" s="1653"/>
      <c r="P3168" s="1654" t="s">
        <v>2003</v>
      </c>
    </row>
    <row r="3169" spans="3:16" ht="15" x14ac:dyDescent="0.25">
      <c r="C3169" s="74" t="s">
        <v>4281</v>
      </c>
      <c r="D3169" s="24">
        <f>Runners!M3859</f>
        <v>0</v>
      </c>
      <c r="E3169" s="183">
        <f>Runners!M3858</f>
        <v>0</v>
      </c>
      <c r="F3169" s="6" t="s">
        <v>4035</v>
      </c>
      <c r="G3169" s="1">
        <v>1.8460648148148146E-2</v>
      </c>
      <c r="J3169" s="32" t="s">
        <v>1000</v>
      </c>
      <c r="K3169" s="34">
        <v>41328</v>
      </c>
      <c r="L3169" s="9">
        <v>56</v>
      </c>
      <c r="N3169" s="1653"/>
      <c r="P3169" s="1654" t="s">
        <v>4281</v>
      </c>
    </row>
    <row r="3170" spans="3:16" ht="15" x14ac:dyDescent="0.25">
      <c r="C3170" s="74" t="s">
        <v>129</v>
      </c>
      <c r="D3170" s="24">
        <f>Runners!K3248</f>
        <v>0</v>
      </c>
      <c r="E3170" s="183">
        <f>Runners!K3247</f>
        <v>0</v>
      </c>
      <c r="F3170" s="6" t="s">
        <v>127</v>
      </c>
      <c r="G3170" s="1">
        <v>1.3657407407407408E-2</v>
      </c>
      <c r="H3170" s="197" t="s">
        <v>9806</v>
      </c>
      <c r="I3170" s="1">
        <v>1.4988425925925926E-2</v>
      </c>
      <c r="J3170" s="1" t="s">
        <v>4467</v>
      </c>
      <c r="K3170" s="34">
        <v>41097</v>
      </c>
      <c r="L3170" s="9">
        <v>30</v>
      </c>
      <c r="N3170" s="1653"/>
      <c r="P3170" s="1654" t="s">
        <v>129</v>
      </c>
    </row>
    <row r="3171" spans="3:16" ht="15" x14ac:dyDescent="0.25">
      <c r="C3171" s="74" t="s">
        <v>843</v>
      </c>
      <c r="D3171" s="183">
        <f>Runners!G3398</f>
        <v>0</v>
      </c>
      <c r="E3171" s="183">
        <f>Runners!G3397</f>
        <v>0</v>
      </c>
      <c r="F3171" s="79" t="s">
        <v>5882</v>
      </c>
      <c r="G3171" s="1">
        <v>1.503472222222222E-2</v>
      </c>
      <c r="H3171" s="206" t="s">
        <v>4596</v>
      </c>
      <c r="I3171" s="1">
        <v>3.0902777777777779E-2</v>
      </c>
      <c r="J3171" s="32" t="s">
        <v>1000</v>
      </c>
      <c r="K3171" s="34">
        <v>42119</v>
      </c>
      <c r="L3171" s="9">
        <v>161</v>
      </c>
      <c r="N3171" s="1653"/>
      <c r="P3171" s="1654" t="s">
        <v>843</v>
      </c>
    </row>
    <row r="3172" spans="3:16" ht="15" x14ac:dyDescent="0.25">
      <c r="C3172" s="415" t="s">
        <v>9144</v>
      </c>
      <c r="D3172" s="24">
        <f>Runners!M3922</f>
        <v>0</v>
      </c>
      <c r="E3172" s="183">
        <f>Runners!M3921</f>
        <v>0</v>
      </c>
      <c r="F3172" s="79" t="s">
        <v>1000</v>
      </c>
      <c r="G3172" s="1">
        <v>2.1493055555555557E-2</v>
      </c>
      <c r="H3172" s="206"/>
      <c r="J3172" s="334" t="s">
        <v>1000</v>
      </c>
      <c r="K3172" s="34">
        <v>43183</v>
      </c>
      <c r="L3172" s="1398">
        <v>395</v>
      </c>
      <c r="N3172" s="1653"/>
      <c r="P3172" s="1654" t="s">
        <v>9144</v>
      </c>
    </row>
    <row r="3173" spans="3:16" ht="15" x14ac:dyDescent="0.25">
      <c r="C3173" s="74" t="s">
        <v>1261</v>
      </c>
      <c r="D3173" s="24">
        <f>Runners!G4236</f>
        <v>0</v>
      </c>
      <c r="E3173" s="183">
        <f>Runners!G4235</f>
        <v>0</v>
      </c>
      <c r="F3173" s="79" t="s">
        <v>5884</v>
      </c>
      <c r="G3173" s="1">
        <v>1.4479166666666668E-2</v>
      </c>
      <c r="H3173" s="197" t="s">
        <v>5241</v>
      </c>
      <c r="I3173" s="1">
        <v>1.5752314814814813E-2</v>
      </c>
      <c r="J3173" s="254" t="s">
        <v>5241</v>
      </c>
      <c r="K3173" s="34">
        <v>42168</v>
      </c>
      <c r="L3173" s="9">
        <v>177</v>
      </c>
      <c r="N3173" s="1653"/>
      <c r="P3173" s="1654" t="s">
        <v>1116</v>
      </c>
    </row>
    <row r="3174" spans="3:16" ht="15" x14ac:dyDescent="0.25">
      <c r="C3174" s="74" t="s">
        <v>353</v>
      </c>
      <c r="D3174" s="24">
        <f>Runners!N3922</f>
        <v>0</v>
      </c>
      <c r="E3174" s="183">
        <f>Runners!N3921</f>
        <v>0</v>
      </c>
      <c r="F3174" s="6" t="s">
        <v>298</v>
      </c>
      <c r="G3174" s="1">
        <v>1.650462962962963E-2</v>
      </c>
      <c r="H3174" t="s">
        <v>5903</v>
      </c>
      <c r="I3174" s="1">
        <v>2.028935185185185E-2</v>
      </c>
      <c r="J3174" s="1" t="s">
        <v>298</v>
      </c>
      <c r="K3174" s="34">
        <v>42672</v>
      </c>
      <c r="L3174" s="9">
        <v>298</v>
      </c>
      <c r="N3174" s="1653"/>
      <c r="P3174" s="1654" t="s">
        <v>353</v>
      </c>
    </row>
    <row r="3175" spans="3:16" ht="15" x14ac:dyDescent="0.25">
      <c r="C3175" s="74" t="s">
        <v>3857</v>
      </c>
      <c r="D3175" s="24">
        <f>Runners!O3922</f>
        <v>0</v>
      </c>
      <c r="E3175" s="183">
        <f>Runners!O3921</f>
        <v>0</v>
      </c>
      <c r="F3175" s="311"/>
      <c r="H3175" s="319" t="s">
        <v>2670</v>
      </c>
      <c r="I3175" s="1">
        <v>1.4305555555555557E-2</v>
      </c>
      <c r="J3175" s="254" t="s">
        <v>2670</v>
      </c>
      <c r="K3175" s="34">
        <v>42518</v>
      </c>
      <c r="L3175" s="9">
        <v>258</v>
      </c>
      <c r="N3175" s="1653"/>
      <c r="P3175" s="1654" t="s">
        <v>3857</v>
      </c>
    </row>
    <row r="3176" spans="3:16" ht="15" x14ac:dyDescent="0.25">
      <c r="C3176" s="74" t="s">
        <v>4397</v>
      </c>
      <c r="D3176" s="24">
        <f>Runners!Q3534</f>
        <v>0</v>
      </c>
      <c r="E3176" s="183">
        <f>Runners!Q3533</f>
        <v>0</v>
      </c>
      <c r="F3176" s="6" t="s">
        <v>1000</v>
      </c>
      <c r="G3176" s="1">
        <v>1.7777777777777778E-2</v>
      </c>
      <c r="J3176" s="1" t="s">
        <v>1000</v>
      </c>
      <c r="K3176" s="34">
        <v>41881</v>
      </c>
      <c r="L3176" s="9">
        <v>126</v>
      </c>
      <c r="N3176" s="1653"/>
      <c r="P3176" s="1654" t="s">
        <v>4397</v>
      </c>
    </row>
    <row r="3177" spans="3:16" ht="15" x14ac:dyDescent="0.25">
      <c r="C3177" s="415" t="s">
        <v>9178</v>
      </c>
      <c r="D3177" s="24">
        <f>Runners!P3922</f>
        <v>0</v>
      </c>
      <c r="E3177" s="183">
        <f>Runners!P3921</f>
        <v>0</v>
      </c>
      <c r="F3177" s="6" t="s">
        <v>4584</v>
      </c>
      <c r="G3177" s="1">
        <v>2.0416666666666666E-2</v>
      </c>
      <c r="J3177" s="1" t="s">
        <v>4584</v>
      </c>
      <c r="K3177" s="34">
        <v>43127</v>
      </c>
      <c r="L3177" s="1398">
        <v>383</v>
      </c>
      <c r="N3177" s="1653"/>
      <c r="P3177" s="1654" t="s">
        <v>5079</v>
      </c>
    </row>
    <row r="3178" spans="3:16" ht="15" x14ac:dyDescent="0.25">
      <c r="C3178" s="74" t="s">
        <v>2109</v>
      </c>
      <c r="D3178" s="24">
        <f>Runners!J4188</f>
        <v>0</v>
      </c>
      <c r="E3178" s="183">
        <f>Runners!J4187</f>
        <v>0</v>
      </c>
      <c r="F3178" s="79" t="s">
        <v>1000</v>
      </c>
      <c r="G3178" s="1">
        <v>1.9375E-2</v>
      </c>
      <c r="J3178" s="1" t="s">
        <v>5061</v>
      </c>
      <c r="K3178" s="34">
        <v>42028</v>
      </c>
      <c r="L3178" s="9">
        <v>151</v>
      </c>
      <c r="N3178" s="1653"/>
      <c r="P3178" s="1654" t="s">
        <v>444</v>
      </c>
    </row>
    <row r="3179" spans="3:16" ht="15" x14ac:dyDescent="0.25">
      <c r="C3179" s="415" t="s">
        <v>13418</v>
      </c>
      <c r="D3179" s="24">
        <f>Runners!J3636</f>
        <v>0</v>
      </c>
      <c r="E3179" s="183">
        <f>Runners!J3635</f>
        <v>0</v>
      </c>
      <c r="F3179" s="79" t="s">
        <v>13419</v>
      </c>
      <c r="G3179" s="1">
        <v>1.726851851851852E-2</v>
      </c>
      <c r="J3179" s="1432" t="s">
        <v>13419</v>
      </c>
      <c r="K3179" s="1379">
        <v>43687</v>
      </c>
      <c r="N3179" s="1653"/>
      <c r="P3179" s="1654" t="s">
        <v>13418</v>
      </c>
    </row>
    <row r="3180" spans="3:16" ht="15" x14ac:dyDescent="0.25">
      <c r="C3180" s="15" t="s">
        <v>2541</v>
      </c>
      <c r="D3180" s="24">
        <f>Runners!J3311</f>
        <v>0</v>
      </c>
      <c r="E3180" s="183">
        <f>Runners!J3310</f>
        <v>0</v>
      </c>
      <c r="F3180" s="6" t="s">
        <v>1000</v>
      </c>
      <c r="G3180" s="1">
        <v>1.7777777777777778E-2</v>
      </c>
      <c r="J3180" s="1" t="s">
        <v>1000</v>
      </c>
      <c r="K3180" s="34">
        <v>42224</v>
      </c>
      <c r="L3180" s="9">
        <v>191</v>
      </c>
      <c r="N3180" s="1653"/>
      <c r="P3180" s="1654" t="s">
        <v>4694</v>
      </c>
    </row>
    <row r="3181" spans="3:16" ht="15" x14ac:dyDescent="0.25">
      <c r="C3181" s="532" t="s">
        <v>9738</v>
      </c>
      <c r="D3181" s="531">
        <f>Runners!K3311</f>
        <v>0</v>
      </c>
      <c r="E3181" s="541">
        <f>Runners!K3310</f>
        <v>0</v>
      </c>
      <c r="F3181" s="79" t="s">
        <v>4778</v>
      </c>
      <c r="G3181" s="1">
        <v>2.6331018518518517E-2</v>
      </c>
      <c r="J3181" s="334" t="s">
        <v>4778</v>
      </c>
      <c r="K3181" s="34">
        <v>43295</v>
      </c>
      <c r="L3181" s="1398">
        <v>424</v>
      </c>
      <c r="N3181" s="1653"/>
      <c r="P3181" s="1654" t="s">
        <v>9738</v>
      </c>
    </row>
    <row r="3182" spans="3:16" ht="15" x14ac:dyDescent="0.25">
      <c r="C3182" s="415" t="s">
        <v>8690</v>
      </c>
      <c r="D3182" s="24">
        <f>Runners!P4170</f>
        <v>0</v>
      </c>
      <c r="E3182" s="183">
        <f>Runners!P4169</f>
        <v>0</v>
      </c>
      <c r="F3182" s="79" t="s">
        <v>909</v>
      </c>
      <c r="G3182" s="1">
        <v>2.1724537037037039E-2</v>
      </c>
      <c r="H3182" s="80" t="s">
        <v>5894</v>
      </c>
      <c r="I3182" s="1">
        <v>2.1712962962962962E-2</v>
      </c>
      <c r="J3182" s="334" t="s">
        <v>5061</v>
      </c>
      <c r="K3182" s="523">
        <v>43022</v>
      </c>
      <c r="L3182" s="1398">
        <v>367</v>
      </c>
      <c r="N3182" s="1653"/>
      <c r="P3182" s="1654" t="s">
        <v>4473</v>
      </c>
    </row>
    <row r="3183" spans="3:16" ht="15" x14ac:dyDescent="0.25">
      <c r="C3183" s="74" t="s">
        <v>2045</v>
      </c>
      <c r="D3183" s="24">
        <f>Runners!S3881</f>
        <v>0</v>
      </c>
      <c r="E3183" s="183">
        <f>Runners!S3880</f>
        <v>0</v>
      </c>
      <c r="F3183" s="6" t="s">
        <v>1000</v>
      </c>
      <c r="G3183" s="1">
        <v>1.8101851851851852E-2</v>
      </c>
      <c r="H3183" s="206" t="s">
        <v>1062</v>
      </c>
      <c r="I3183" s="1">
        <v>2.5057870370370373E-2</v>
      </c>
      <c r="J3183" s="32" t="s">
        <v>1000</v>
      </c>
      <c r="K3183" s="34">
        <v>42000</v>
      </c>
      <c r="L3183" s="9">
        <v>149</v>
      </c>
      <c r="N3183" s="1653"/>
      <c r="P3183" s="1654" t="s">
        <v>2312</v>
      </c>
    </row>
    <row r="3184" spans="3:16" ht="15" x14ac:dyDescent="0.25">
      <c r="C3184" s="74" t="s">
        <v>2662</v>
      </c>
      <c r="D3184" s="24">
        <f>Runners!Q3922</f>
        <v>0</v>
      </c>
      <c r="E3184" s="183">
        <f>Runners!Q3921</f>
        <v>0</v>
      </c>
      <c r="F3184" s="6" t="s">
        <v>654</v>
      </c>
      <c r="G3184" s="1">
        <v>1.9629629629629629E-2</v>
      </c>
      <c r="J3184" s="1" t="s">
        <v>654</v>
      </c>
      <c r="K3184" s="34">
        <v>41706</v>
      </c>
      <c r="L3184" s="9">
        <v>92</v>
      </c>
      <c r="N3184" s="1653"/>
      <c r="P3184" s="1654" t="s">
        <v>2662</v>
      </c>
    </row>
    <row r="3185" spans="3:16" ht="15" x14ac:dyDescent="0.25">
      <c r="C3185" s="415" t="s">
        <v>12070</v>
      </c>
      <c r="D3185" s="24">
        <f>Runners!P4236</f>
        <v>0</v>
      </c>
      <c r="E3185" s="183">
        <f>Runners!P4235</f>
        <v>0</v>
      </c>
      <c r="F3185" s="6" t="s">
        <v>909</v>
      </c>
      <c r="G3185" s="1" t="s">
        <v>1212</v>
      </c>
      <c r="H3185" t="s">
        <v>5894</v>
      </c>
      <c r="J3185" s="1" t="s">
        <v>5061</v>
      </c>
      <c r="K3185" s="34">
        <v>43533</v>
      </c>
      <c r="L3185" s="1398">
        <v>477</v>
      </c>
      <c r="N3185" s="1653"/>
      <c r="P3185" s="1654" t="s">
        <v>15220</v>
      </c>
    </row>
    <row r="3186" spans="3:16" ht="15" x14ac:dyDescent="0.25">
      <c r="C3186" s="415" t="s">
        <v>11096</v>
      </c>
      <c r="D3186" s="24">
        <f>Runners!O4236</f>
        <v>0</v>
      </c>
      <c r="E3186" s="183">
        <f>Runners!O4235</f>
        <v>0</v>
      </c>
      <c r="F3186" s="6" t="s">
        <v>756</v>
      </c>
      <c r="G3186" s="1">
        <v>1.9976851851851853E-2</v>
      </c>
      <c r="J3186" s="1" t="s">
        <v>756</v>
      </c>
      <c r="K3186" s="34">
        <v>43428</v>
      </c>
      <c r="L3186" s="1398">
        <v>455</v>
      </c>
      <c r="N3186" s="1653"/>
      <c r="P3186" s="1654" t="s">
        <v>15221</v>
      </c>
    </row>
    <row r="3187" spans="3:16" ht="15" x14ac:dyDescent="0.25">
      <c r="C3187" s="415" t="s">
        <v>10431</v>
      </c>
      <c r="D3187" s="24">
        <f>Runners!R4236</f>
        <v>0</v>
      </c>
      <c r="E3187" s="183">
        <f>Runners!R4235</f>
        <v>0</v>
      </c>
      <c r="F3187" s="79" t="s">
        <v>1000</v>
      </c>
      <c r="G3187" s="1">
        <v>2.0254629629629629E-2</v>
      </c>
      <c r="J3187" s="334" t="s">
        <v>1000</v>
      </c>
      <c r="K3187" s="34">
        <v>43365</v>
      </c>
      <c r="L3187" s="1398">
        <v>442</v>
      </c>
      <c r="N3187" s="1653"/>
      <c r="P3187" s="1654" t="s">
        <v>10668</v>
      </c>
    </row>
    <row r="3188" spans="3:16" ht="15" x14ac:dyDescent="0.25">
      <c r="C3188" s="74" t="s">
        <v>4421</v>
      </c>
      <c r="D3188" s="24">
        <f>Runners!I4203</f>
        <v>0</v>
      </c>
      <c r="E3188" s="183">
        <f>Runners!I4202</f>
        <v>0</v>
      </c>
      <c r="F3188" s="6" t="s">
        <v>1000</v>
      </c>
      <c r="G3188" s="1">
        <v>1.7245370370370369E-2</v>
      </c>
      <c r="J3188" s="32" t="s">
        <v>1000</v>
      </c>
      <c r="K3188" s="34">
        <v>41636</v>
      </c>
      <c r="L3188" s="9">
        <v>84</v>
      </c>
      <c r="N3188" s="1653"/>
      <c r="P3188" s="1654" t="s">
        <v>4422</v>
      </c>
    </row>
    <row r="3189" spans="3:16" ht="15" x14ac:dyDescent="0.25">
      <c r="C3189" s="74" t="s">
        <v>2542</v>
      </c>
      <c r="D3189" s="24">
        <f>Runners!T3457</f>
        <v>0</v>
      </c>
      <c r="E3189" s="183">
        <f>Runners!T3456</f>
        <v>0</v>
      </c>
      <c r="F3189" s="79" t="s">
        <v>5881</v>
      </c>
      <c r="G3189" s="1">
        <v>1.4606481481481482E-2</v>
      </c>
      <c r="J3189" s="32" t="s">
        <v>1000</v>
      </c>
      <c r="K3189" s="34">
        <v>42182</v>
      </c>
      <c r="L3189" s="9">
        <v>180</v>
      </c>
      <c r="N3189" s="1653"/>
      <c r="P3189" s="1654" t="s">
        <v>2542</v>
      </c>
    </row>
    <row r="3190" spans="3:16" ht="15" x14ac:dyDescent="0.25">
      <c r="C3190" s="531" t="s">
        <v>10192</v>
      </c>
      <c r="D3190" s="1333">
        <f>Runners!Q3398</f>
        <v>0</v>
      </c>
      <c r="E3190" s="541">
        <f>Runners!Q3397</f>
        <v>0</v>
      </c>
      <c r="F3190" s="79" t="s">
        <v>1270</v>
      </c>
      <c r="G3190" s="1">
        <v>1.4675925925925926E-2</v>
      </c>
      <c r="H3190" t="s">
        <v>3254</v>
      </c>
      <c r="I3190" s="1">
        <v>1.8483796296296297E-2</v>
      </c>
      <c r="J3190" s="334" t="s">
        <v>1270</v>
      </c>
      <c r="K3190" s="34">
        <v>43295</v>
      </c>
      <c r="L3190" s="1398">
        <v>419</v>
      </c>
      <c r="N3190" s="1653"/>
      <c r="P3190" s="1654" t="s">
        <v>10192</v>
      </c>
    </row>
    <row r="3191" spans="3:16" ht="15" x14ac:dyDescent="0.25">
      <c r="C3191" s="531" t="s">
        <v>10542</v>
      </c>
      <c r="D3191" s="511">
        <f>Runners!T3881</f>
        <v>0</v>
      </c>
      <c r="E3191" s="541">
        <f>Runners!T3880</f>
        <v>0</v>
      </c>
      <c r="F3191" s="79" t="s">
        <v>5096</v>
      </c>
      <c r="G3191" s="1">
        <v>1.4895833333333332E-2</v>
      </c>
      <c r="H3191" s="1118" t="s">
        <v>1062</v>
      </c>
      <c r="I3191" s="1">
        <v>2.1851851851851848E-2</v>
      </c>
      <c r="J3191" s="334" t="s">
        <v>1062</v>
      </c>
      <c r="K3191" s="34">
        <v>43344</v>
      </c>
      <c r="L3191" s="1398">
        <v>437</v>
      </c>
      <c r="N3191" s="1653"/>
      <c r="P3191" s="1654" t="s">
        <v>10556</v>
      </c>
    </row>
    <row r="3192" spans="3:16" ht="15" x14ac:dyDescent="0.25">
      <c r="C3192" s="415" t="s">
        <v>8290</v>
      </c>
      <c r="D3192" s="24">
        <f>Runners!K4188</f>
        <v>0</v>
      </c>
      <c r="E3192" s="183">
        <f>Runners!K4187</f>
        <v>0</v>
      </c>
      <c r="F3192" s="79" t="s">
        <v>909</v>
      </c>
      <c r="G3192" s="1">
        <v>2.0011574074074074E-2</v>
      </c>
      <c r="H3192" t="s">
        <v>5894</v>
      </c>
      <c r="I3192" s="1">
        <v>2.0011574074074074E-2</v>
      </c>
      <c r="J3192" s="334" t="s">
        <v>5061</v>
      </c>
      <c r="K3192" s="34">
        <v>42952</v>
      </c>
      <c r="L3192" s="9">
        <v>349</v>
      </c>
      <c r="N3192" s="1653"/>
      <c r="P3192" s="1654" t="s">
        <v>8290</v>
      </c>
    </row>
    <row r="3193" spans="3:16" ht="15" x14ac:dyDescent="0.25">
      <c r="C3193" s="415" t="s">
        <v>11561</v>
      </c>
      <c r="D3193" s="24">
        <f>Runners!J3968</f>
        <v>0</v>
      </c>
      <c r="E3193" s="183">
        <f>Runners!J3967</f>
        <v>0</v>
      </c>
      <c r="F3193" s="79"/>
      <c r="H3193" s="80" t="s">
        <v>8441</v>
      </c>
      <c r="I3193" s="1">
        <v>2.56712962962963E-2</v>
      </c>
      <c r="J3193" s="334" t="s">
        <v>8441</v>
      </c>
      <c r="K3193" s="34">
        <v>43484</v>
      </c>
      <c r="L3193" s="1398">
        <v>464</v>
      </c>
      <c r="N3193" s="1653"/>
      <c r="P3193" s="1654" t="s">
        <v>11561</v>
      </c>
    </row>
    <row r="3194" spans="3:16" ht="15" x14ac:dyDescent="0.25">
      <c r="C3194" s="415" t="s">
        <v>6136</v>
      </c>
      <c r="D3194" s="24">
        <f>Runners!J3992</f>
        <v>0</v>
      </c>
      <c r="E3194" s="183">
        <f>Runners!J3991</f>
        <v>0</v>
      </c>
      <c r="F3194" s="79" t="s">
        <v>298</v>
      </c>
      <c r="G3194" s="1">
        <v>1.6342592592592593E-2</v>
      </c>
      <c r="H3194" s="80" t="s">
        <v>5903</v>
      </c>
      <c r="I3194" s="1">
        <v>1.8668981481481481E-2</v>
      </c>
      <c r="J3194" s="334" t="s">
        <v>6140</v>
      </c>
      <c r="K3194" s="34">
        <v>42728</v>
      </c>
      <c r="L3194" s="9">
        <v>308</v>
      </c>
      <c r="N3194" s="1653"/>
      <c r="P3194" s="1654" t="s">
        <v>4834</v>
      </c>
    </row>
    <row r="3195" spans="3:16" ht="15" x14ac:dyDescent="0.25">
      <c r="C3195" s="415" t="s">
        <v>9750</v>
      </c>
      <c r="D3195" s="531">
        <f>Runners!N3859</f>
        <v>0</v>
      </c>
      <c r="E3195" s="541">
        <f>Runners!N3858</f>
        <v>0</v>
      </c>
      <c r="F3195" s="6"/>
      <c r="H3195" s="197" t="s">
        <v>1062</v>
      </c>
      <c r="J3195" s="334" t="s">
        <v>1062</v>
      </c>
      <c r="K3195" s="34">
        <v>43232</v>
      </c>
      <c r="L3195" s="1398">
        <v>408</v>
      </c>
      <c r="N3195" s="1653"/>
      <c r="P3195" s="1654" t="s">
        <v>9750</v>
      </c>
    </row>
    <row r="3196" spans="3:16" ht="15" x14ac:dyDescent="0.25">
      <c r="C3196" s="74" t="s">
        <v>209</v>
      </c>
      <c r="D3196" s="24">
        <f>Runners!R3534</f>
        <v>0</v>
      </c>
      <c r="E3196" s="183">
        <f>Runners!R3533</f>
        <v>0</v>
      </c>
      <c r="F3196" s="6" t="s">
        <v>5096</v>
      </c>
      <c r="G3196" s="1">
        <v>1.4699074074074074E-2</v>
      </c>
      <c r="H3196" s="206" t="s">
        <v>2670</v>
      </c>
      <c r="I3196" s="1">
        <v>1.4398148148148148E-2</v>
      </c>
      <c r="J3196" s="1" t="s">
        <v>1000</v>
      </c>
      <c r="K3196" s="34">
        <v>41275</v>
      </c>
      <c r="L3196" s="9">
        <v>50</v>
      </c>
      <c r="N3196" s="1653"/>
      <c r="P3196" s="1654" t="s">
        <v>209</v>
      </c>
    </row>
    <row r="3197" spans="3:16" ht="15" x14ac:dyDescent="0.25">
      <c r="C3197" s="376" t="s">
        <v>5374</v>
      </c>
      <c r="D3197" s="24">
        <f>Runners!H4054</f>
        <v>0</v>
      </c>
      <c r="E3197" s="183">
        <f>Runners!H4053</f>
        <v>0</v>
      </c>
      <c r="F3197" s="6" t="s">
        <v>1000</v>
      </c>
      <c r="G3197" s="1">
        <v>1.8796296296296297E-2</v>
      </c>
      <c r="H3197" s="206"/>
      <c r="J3197" s="1" t="s">
        <v>1000</v>
      </c>
      <c r="K3197" s="34">
        <v>42273</v>
      </c>
      <c r="L3197" s="9">
        <v>198</v>
      </c>
      <c r="N3197" s="1653"/>
      <c r="P3197" s="1654" t="s">
        <v>5092</v>
      </c>
    </row>
    <row r="3198" spans="3:16" ht="15" x14ac:dyDescent="0.25">
      <c r="C3198" s="1497" t="s">
        <v>11856</v>
      </c>
      <c r="D3198" s="531">
        <f>Runners!H3599</f>
        <v>0</v>
      </c>
      <c r="E3198" s="541">
        <f>Runners!H3598</f>
        <v>0</v>
      </c>
      <c r="F3198" s="1415" t="s">
        <v>5881</v>
      </c>
      <c r="G3198" s="1412">
        <v>1.6249999999999997E-2</v>
      </c>
      <c r="H3198" s="206"/>
      <c r="J3198" s="334" t="s">
        <v>5881</v>
      </c>
      <c r="K3198" s="34">
        <v>43617</v>
      </c>
      <c r="L3198" s="173" t="s">
        <v>12783</v>
      </c>
      <c r="N3198" s="1653"/>
      <c r="P3198" s="1654" t="s">
        <v>11855</v>
      </c>
    </row>
    <row r="3199" spans="3:16" ht="15" x14ac:dyDescent="0.25">
      <c r="C3199" s="376" t="s">
        <v>1550</v>
      </c>
      <c r="D3199" s="24">
        <f>Runners!K3992</f>
        <v>0</v>
      </c>
      <c r="E3199" s="183">
        <f>Runners!K3991</f>
        <v>0</v>
      </c>
      <c r="F3199" s="79" t="s">
        <v>127</v>
      </c>
      <c r="G3199" s="1">
        <v>1.4085648148148151E-2</v>
      </c>
      <c r="H3199" s="197" t="s">
        <v>4238</v>
      </c>
      <c r="I3199" s="1">
        <v>1.7986111111111109E-2</v>
      </c>
      <c r="J3199" s="1" t="s">
        <v>3199</v>
      </c>
      <c r="K3199" s="34">
        <v>42469</v>
      </c>
      <c r="L3199" s="9">
        <v>247</v>
      </c>
      <c r="N3199" s="1653"/>
      <c r="P3199" s="1654" t="s">
        <v>1042</v>
      </c>
    </row>
    <row r="3200" spans="3:16" ht="15" x14ac:dyDescent="0.25">
      <c r="C3200" s="74" t="s">
        <v>1578</v>
      </c>
      <c r="D3200" s="24">
        <f>Runners!G4170</f>
        <v>0</v>
      </c>
      <c r="E3200" s="183">
        <f>Runners!G4169</f>
        <v>0</v>
      </c>
      <c r="F3200" s="6" t="s">
        <v>5573</v>
      </c>
      <c r="G3200" s="1">
        <v>1.5636574074074074E-2</v>
      </c>
      <c r="H3200" s="206" t="s">
        <v>888</v>
      </c>
      <c r="I3200" s="1">
        <v>1.9259259259259261E-2</v>
      </c>
      <c r="J3200" s="1" t="s">
        <v>1000</v>
      </c>
      <c r="K3200" s="34">
        <v>41944</v>
      </c>
      <c r="L3200" s="9">
        <v>138</v>
      </c>
      <c r="N3200" s="1653"/>
      <c r="P3200" s="1654" t="s">
        <v>4817</v>
      </c>
    </row>
    <row r="3201" spans="3:16" ht="15" x14ac:dyDescent="0.25">
      <c r="C3201" s="532" t="s">
        <v>8373</v>
      </c>
      <c r="D3201" s="531">
        <f>Runners!K3683</f>
        <v>0</v>
      </c>
      <c r="E3201" s="541">
        <f>Runners!K3682</f>
        <v>0</v>
      </c>
      <c r="F3201" s="79" t="s">
        <v>8360</v>
      </c>
      <c r="G3201" s="334">
        <v>1.7476851851851851E-2</v>
      </c>
      <c r="H3201" s="206"/>
      <c r="J3201" s="334" t="s">
        <v>4778</v>
      </c>
      <c r="K3201" s="523">
        <v>43008</v>
      </c>
      <c r="L3201" s="1398">
        <v>365</v>
      </c>
      <c r="N3201" s="1653"/>
      <c r="P3201" s="1654" t="s">
        <v>8373</v>
      </c>
    </row>
    <row r="3202" spans="3:16" ht="15" x14ac:dyDescent="0.25">
      <c r="C3202" s="74" t="s">
        <v>1419</v>
      </c>
      <c r="D3202" s="24">
        <f>Runners!J3683</f>
        <v>0</v>
      </c>
      <c r="E3202" s="183">
        <f>Runners!J3682</f>
        <v>0</v>
      </c>
      <c r="F3202" s="1415" t="s">
        <v>4407</v>
      </c>
      <c r="G3202" s="1432">
        <v>1.5810185185185184E-2</v>
      </c>
      <c r="H3202" s="1370" t="s">
        <v>5241</v>
      </c>
      <c r="I3202" s="1412">
        <v>1.5416666666666667E-2</v>
      </c>
      <c r="J3202" s="1" t="s">
        <v>4584</v>
      </c>
      <c r="K3202" s="34">
        <v>42455</v>
      </c>
      <c r="L3202" s="1398">
        <v>245</v>
      </c>
      <c r="N3202" s="1653"/>
      <c r="P3202" s="1654" t="s">
        <v>768</v>
      </c>
    </row>
    <row r="3203" spans="3:16" ht="15" x14ac:dyDescent="0.25">
      <c r="C3203" s="15" t="s">
        <v>2235</v>
      </c>
      <c r="D3203" s="24">
        <f>Runners!K3498</f>
        <v>0</v>
      </c>
      <c r="E3203" s="183">
        <f>Runners!K3497</f>
        <v>0</v>
      </c>
      <c r="F3203" s="79" t="s">
        <v>1270</v>
      </c>
      <c r="G3203" s="1">
        <v>1.486111111111111E-2</v>
      </c>
      <c r="J3203" s="32" t="s">
        <v>1000</v>
      </c>
      <c r="K3203" s="34">
        <v>41064</v>
      </c>
      <c r="L3203" s="1398">
        <v>24</v>
      </c>
      <c r="N3203" s="1653"/>
      <c r="P3203" s="1654" t="s">
        <v>5962</v>
      </c>
    </row>
    <row r="3204" spans="3:16" ht="15" x14ac:dyDescent="0.25">
      <c r="C3204" s="74" t="s">
        <v>2865</v>
      </c>
      <c r="D3204" s="24">
        <f>Runners!I4005</f>
        <v>0</v>
      </c>
      <c r="E3204" s="183">
        <f>Runners!I4004</f>
        <v>0</v>
      </c>
      <c r="F3204" s="6" t="s">
        <v>1000</v>
      </c>
      <c r="G3204" s="1">
        <v>1.6574074074074074E-2</v>
      </c>
      <c r="J3204" s="1" t="s">
        <v>1000</v>
      </c>
      <c r="K3204" s="34">
        <v>41874</v>
      </c>
      <c r="L3204" s="1398">
        <v>124</v>
      </c>
      <c r="N3204" s="1653"/>
      <c r="P3204" s="1654" t="s">
        <v>3359</v>
      </c>
    </row>
    <row r="3205" spans="3:16" ht="15" x14ac:dyDescent="0.25">
      <c r="C3205" s="415" t="s">
        <v>9582</v>
      </c>
      <c r="D3205" s="24">
        <f>Runners!G3785</f>
        <v>0</v>
      </c>
      <c r="E3205" s="183">
        <f>Runners!G3784</f>
        <v>0</v>
      </c>
      <c r="F3205" s="79" t="s">
        <v>1000</v>
      </c>
      <c r="G3205" s="1">
        <v>2.0497685185185185E-2</v>
      </c>
      <c r="J3205" s="334" t="s">
        <v>1000</v>
      </c>
      <c r="K3205" s="34">
        <v>43204</v>
      </c>
      <c r="L3205" s="1398">
        <v>402</v>
      </c>
      <c r="N3205" s="1653"/>
      <c r="P3205" s="1654" t="s">
        <v>9582</v>
      </c>
    </row>
    <row r="3206" spans="3:16" ht="15" x14ac:dyDescent="0.25">
      <c r="C3206" s="74" t="s">
        <v>3684</v>
      </c>
      <c r="D3206" s="24">
        <f>Runners!I4054</f>
        <v>0</v>
      </c>
      <c r="E3206" s="183">
        <f>Runners!I4053</f>
        <v>0</v>
      </c>
      <c r="F3206" s="6" t="s">
        <v>1987</v>
      </c>
      <c r="G3206" s="1">
        <v>1.5289351851851851E-2</v>
      </c>
      <c r="H3206" s="319" t="s">
        <v>2670</v>
      </c>
      <c r="I3206" s="1">
        <v>1.4317129629629631E-2</v>
      </c>
      <c r="J3206" s="1" t="s">
        <v>4778</v>
      </c>
      <c r="K3206" s="34">
        <v>41678</v>
      </c>
      <c r="L3206" s="9">
        <v>91</v>
      </c>
      <c r="N3206" s="1653"/>
      <c r="P3206" s="1654" t="s">
        <v>5889</v>
      </c>
    </row>
    <row r="3207" spans="3:16" ht="15" x14ac:dyDescent="0.25">
      <c r="C3207" s="532" t="s">
        <v>12769</v>
      </c>
      <c r="D3207" s="531">
        <f>Runners!J4054</f>
        <v>0</v>
      </c>
      <c r="E3207" s="541">
        <f>Runners!J4053</f>
        <v>0</v>
      </c>
      <c r="F3207" s="1411" t="s">
        <v>1000</v>
      </c>
      <c r="G3207" s="1412">
        <v>2.3298611111111107E-2</v>
      </c>
      <c r="H3207" s="319"/>
      <c r="J3207" s="1" t="s">
        <v>1000</v>
      </c>
      <c r="K3207" s="34">
        <v>43617</v>
      </c>
      <c r="L3207" s="9" t="s">
        <v>12783</v>
      </c>
      <c r="N3207" s="1653"/>
      <c r="P3207" s="1654" t="s">
        <v>12935</v>
      </c>
    </row>
    <row r="3208" spans="3:16" ht="15" x14ac:dyDescent="0.25">
      <c r="C3208" s="74" t="s">
        <v>4416</v>
      </c>
      <c r="D3208" s="24">
        <f>Runners!R4144</f>
        <v>0</v>
      </c>
      <c r="E3208" s="183">
        <f>Runners!R4143</f>
        <v>0</v>
      </c>
      <c r="F3208" s="6"/>
      <c r="H3208" s="319" t="s">
        <v>888</v>
      </c>
      <c r="I3208" s="1">
        <v>2.011574074074074E-2</v>
      </c>
      <c r="J3208" s="1" t="s">
        <v>888</v>
      </c>
      <c r="K3208" s="34">
        <v>42511</v>
      </c>
      <c r="L3208" s="9">
        <v>256</v>
      </c>
      <c r="N3208" s="1653"/>
      <c r="P3208" s="1654" t="s">
        <v>2897</v>
      </c>
    </row>
    <row r="3209" spans="3:16" ht="15" x14ac:dyDescent="0.25">
      <c r="C3209" s="74" t="s">
        <v>1929</v>
      </c>
      <c r="D3209" s="24">
        <f>Runners!Q3599</f>
        <v>0</v>
      </c>
      <c r="E3209" s="183">
        <f>Runners!Q3598</f>
        <v>0</v>
      </c>
      <c r="F3209" s="6" t="s">
        <v>5096</v>
      </c>
      <c r="G3209" s="1">
        <v>1.4826388888888889E-2</v>
      </c>
      <c r="H3209" s="80" t="s">
        <v>5894</v>
      </c>
      <c r="I3209" s="1">
        <v>2.1597222222222223E-2</v>
      </c>
      <c r="J3209" s="1" t="s">
        <v>1000</v>
      </c>
      <c r="K3209" s="34">
        <v>42518</v>
      </c>
      <c r="L3209" s="9">
        <v>259</v>
      </c>
      <c r="N3209" s="1653"/>
      <c r="P3209" s="1654" t="s">
        <v>1929</v>
      </c>
    </row>
    <row r="3210" spans="3:16" ht="15" x14ac:dyDescent="0.25">
      <c r="C3210" s="74" t="s">
        <v>4245</v>
      </c>
      <c r="D3210" s="24">
        <f>Runners!R3922</f>
        <v>0</v>
      </c>
      <c r="E3210" s="183">
        <f>Runners!R3921</f>
        <v>0</v>
      </c>
      <c r="F3210" s="6" t="s">
        <v>5096</v>
      </c>
      <c r="G3210" s="1">
        <v>1.7245370370370369E-2</v>
      </c>
      <c r="J3210" s="1" t="s">
        <v>5096</v>
      </c>
      <c r="K3210" s="34">
        <v>42000</v>
      </c>
      <c r="L3210" s="9">
        <v>148</v>
      </c>
      <c r="N3210" s="1653"/>
      <c r="P3210" s="1654" t="s">
        <v>1563</v>
      </c>
    </row>
    <row r="3211" spans="3:16" ht="15" x14ac:dyDescent="0.25">
      <c r="C3211" s="415" t="s">
        <v>8552</v>
      </c>
      <c r="D3211" s="24">
        <f>Runners!K4033</f>
        <v>0</v>
      </c>
      <c r="E3211" s="183">
        <f>Runners!K4032</f>
        <v>0</v>
      </c>
      <c r="F3211" s="79" t="s">
        <v>5096</v>
      </c>
      <c r="G3211" s="1">
        <v>1.5046296296296295E-2</v>
      </c>
      <c r="J3211" s="334" t="s">
        <v>5096</v>
      </c>
      <c r="K3211" s="34">
        <v>43001</v>
      </c>
      <c r="L3211" s="9">
        <v>363</v>
      </c>
      <c r="N3211" s="1653"/>
      <c r="P3211" s="1654" t="s">
        <v>8553</v>
      </c>
    </row>
    <row r="3212" spans="3:16" ht="15" x14ac:dyDescent="0.25">
      <c r="C3212" s="74" t="s">
        <v>1183</v>
      </c>
      <c r="D3212" s="24">
        <f>Runners!O3859</f>
        <v>0</v>
      </c>
      <c r="E3212" s="183">
        <f>Runners!O3858</f>
        <v>0</v>
      </c>
      <c r="F3212" s="52" t="s">
        <v>4637</v>
      </c>
      <c r="G3212" s="1">
        <v>1.5844907407407408E-2</v>
      </c>
      <c r="H3212" t="s">
        <v>5903</v>
      </c>
      <c r="I3212" s="1">
        <v>1.8229166666666668E-2</v>
      </c>
      <c r="J3212" s="1" t="s">
        <v>298</v>
      </c>
      <c r="K3212" s="34">
        <v>42595</v>
      </c>
      <c r="L3212" s="9">
        <v>279</v>
      </c>
      <c r="N3212" s="1653"/>
      <c r="P3212" s="1654" t="s">
        <v>1183</v>
      </c>
    </row>
    <row r="3213" spans="3:16" ht="15" x14ac:dyDescent="0.25">
      <c r="C3213" s="74" t="s">
        <v>4529</v>
      </c>
      <c r="D3213" s="24">
        <f>Runners!O3785</f>
        <v>0</v>
      </c>
      <c r="E3213" s="183">
        <f>Runners!O3784</f>
        <v>0</v>
      </c>
      <c r="F3213" s="6" t="s">
        <v>5882</v>
      </c>
      <c r="G3213" s="1">
        <v>1.5717592592592592E-2</v>
      </c>
      <c r="H3213" s="197" t="s">
        <v>4596</v>
      </c>
      <c r="J3213" s="254" t="s">
        <v>4596</v>
      </c>
      <c r="K3213" s="34">
        <v>42363</v>
      </c>
      <c r="L3213" s="9">
        <v>219</v>
      </c>
      <c r="N3213" s="1653"/>
      <c r="P3213" s="1654" t="s">
        <v>4529</v>
      </c>
    </row>
    <row r="3214" spans="3:16" ht="15" x14ac:dyDescent="0.25">
      <c r="C3214" s="415" t="s">
        <v>12011</v>
      </c>
      <c r="D3214" s="24">
        <f>Runners!P3785</f>
        <v>0</v>
      </c>
      <c r="E3214" s="183">
        <f>Runners!P3784</f>
        <v>0</v>
      </c>
      <c r="F3214" s="1415" t="s">
        <v>8360</v>
      </c>
      <c r="G3214" s="1412">
        <v>1.503472222222222E-2</v>
      </c>
      <c r="H3214" s="1370" t="s">
        <v>3254</v>
      </c>
      <c r="I3214" s="1">
        <v>1.9155092592592592E-2</v>
      </c>
      <c r="J3214" s="334" t="s">
        <v>3254</v>
      </c>
      <c r="K3214" s="34">
        <v>43533</v>
      </c>
      <c r="L3214" s="1398">
        <v>475</v>
      </c>
      <c r="N3214" s="1653"/>
      <c r="P3214" s="1654" t="s">
        <v>12011</v>
      </c>
    </row>
    <row r="3215" spans="3:16" ht="15" x14ac:dyDescent="0.25">
      <c r="C3215" s="15" t="s">
        <v>4820</v>
      </c>
      <c r="D3215" s="24">
        <f>Runners!K4054</f>
        <v>0</v>
      </c>
      <c r="E3215" s="183">
        <f>Runners!K4053</f>
        <v>0</v>
      </c>
      <c r="F3215" s="1411" t="s">
        <v>1000</v>
      </c>
      <c r="G3215" s="1412">
        <v>1.8587962962962962E-2</v>
      </c>
      <c r="H3215" s="1371"/>
      <c r="J3215" s="32" t="s">
        <v>1000</v>
      </c>
      <c r="K3215" s="34">
        <v>41846</v>
      </c>
      <c r="L3215" s="9">
        <v>119</v>
      </c>
      <c r="N3215" s="1653"/>
      <c r="P3215" s="1654" t="s">
        <v>4491</v>
      </c>
    </row>
    <row r="3216" spans="3:16" ht="15" x14ac:dyDescent="0.25">
      <c r="C3216" s="74" t="s">
        <v>2192</v>
      </c>
      <c r="D3216" s="24">
        <f>Runners!L3498</f>
        <v>0</v>
      </c>
      <c r="E3216" s="183">
        <f>Runners!L3497</f>
        <v>0</v>
      </c>
      <c r="F3216" s="1413" t="s">
        <v>3790</v>
      </c>
      <c r="G3216" s="1414">
        <v>1.6284722222222221E-2</v>
      </c>
      <c r="H3216" s="1375" t="s">
        <v>4596</v>
      </c>
      <c r="I3216" s="1">
        <v>1.7662037037037035E-2</v>
      </c>
      <c r="J3216" s="32" t="s">
        <v>1062</v>
      </c>
      <c r="K3216" s="34">
        <v>41843</v>
      </c>
      <c r="L3216" s="9">
        <v>277</v>
      </c>
      <c r="N3216" s="1653"/>
      <c r="P3216" s="1654" t="s">
        <v>2192</v>
      </c>
    </row>
    <row r="3217" spans="3:16" ht="15" x14ac:dyDescent="0.25">
      <c r="C3217" s="415" t="s">
        <v>15249</v>
      </c>
      <c r="D3217" s="531">
        <f>Runners!J4079</f>
        <v>0</v>
      </c>
      <c r="E3217" s="541">
        <f>Runners!J4078</f>
        <v>0</v>
      </c>
      <c r="F3217" s="79" t="s">
        <v>8360</v>
      </c>
      <c r="G3217" s="1">
        <v>1.4965277777777779E-2</v>
      </c>
      <c r="H3217" s="80"/>
      <c r="J3217" s="334" t="s">
        <v>8360</v>
      </c>
      <c r="K3217" s="34">
        <v>43057</v>
      </c>
      <c r="L3217" s="1398">
        <v>371</v>
      </c>
      <c r="N3217" s="1653"/>
      <c r="P3217" s="1654" t="s">
        <v>8820</v>
      </c>
    </row>
    <row r="3218" spans="3:16" ht="15" x14ac:dyDescent="0.25">
      <c r="C3218" s="74" t="s">
        <v>3324</v>
      </c>
      <c r="D3218" s="24">
        <f>Runners!S3922</f>
        <v>0</v>
      </c>
      <c r="E3218" s="183">
        <f>Runners!S3921</f>
        <v>0</v>
      </c>
      <c r="F3218" s="1415" t="s">
        <v>5096</v>
      </c>
      <c r="G3218" s="1412">
        <v>1.4583333333333332E-2</v>
      </c>
      <c r="H3218" s="1416" t="s">
        <v>5903</v>
      </c>
      <c r="I3218" s="3">
        <v>2.074074074074074E-2</v>
      </c>
      <c r="J3218" s="1" t="s">
        <v>5895</v>
      </c>
      <c r="K3218" s="34">
        <v>42126</v>
      </c>
      <c r="L3218" s="9">
        <v>167</v>
      </c>
      <c r="N3218" s="1653"/>
      <c r="P3218" s="1654" t="s">
        <v>3323</v>
      </c>
    </row>
    <row r="3219" spans="3:16" ht="15" x14ac:dyDescent="0.25">
      <c r="C3219" s="415" t="s">
        <v>11874</v>
      </c>
      <c r="D3219" s="24">
        <f>Runners!K3708</f>
        <v>0</v>
      </c>
      <c r="E3219" s="183">
        <f>Runners!K3707</f>
        <v>0</v>
      </c>
      <c r="F3219" s="1415" t="s">
        <v>756</v>
      </c>
      <c r="G3219" s="1412">
        <v>2.5983796296296297E-2</v>
      </c>
      <c r="H3219" s="1416"/>
      <c r="I3219" s="3"/>
      <c r="J3219" s="1" t="s">
        <v>756</v>
      </c>
      <c r="K3219" s="34">
        <v>43519</v>
      </c>
      <c r="L3219" s="1398">
        <v>472</v>
      </c>
      <c r="N3219" s="1653"/>
      <c r="P3219" s="1654" t="s">
        <v>11874</v>
      </c>
    </row>
    <row r="3220" spans="3:16" ht="15" x14ac:dyDescent="0.25">
      <c r="C3220" s="74" t="s">
        <v>861</v>
      </c>
      <c r="D3220" s="24">
        <f>Runners!S3534</f>
        <v>0</v>
      </c>
      <c r="E3220" s="183">
        <f>Runners!S3533</f>
        <v>0</v>
      </c>
      <c r="F3220" s="1411" t="s">
        <v>2334</v>
      </c>
      <c r="G3220" s="1412">
        <v>1.2511574074074073E-2</v>
      </c>
      <c r="H3220" s="1376" t="s">
        <v>4596</v>
      </c>
      <c r="I3220" s="1275">
        <v>2.7858796296296298E-2</v>
      </c>
      <c r="J3220" s="1" t="s">
        <v>2334</v>
      </c>
      <c r="K3220" s="34">
        <v>40432</v>
      </c>
      <c r="L3220" s="9">
        <v>8</v>
      </c>
      <c r="N3220" s="1653"/>
      <c r="P3220" s="1654" t="s">
        <v>861</v>
      </c>
    </row>
    <row r="3221" spans="3:16" ht="15" x14ac:dyDescent="0.25">
      <c r="C3221" s="415" t="s">
        <v>11405</v>
      </c>
      <c r="D3221" s="24">
        <f>Runners!M3748</f>
        <v>0</v>
      </c>
      <c r="E3221" s="183">
        <f>Runners!M3747</f>
        <v>0</v>
      </c>
      <c r="F3221" s="1411" t="s">
        <v>4637</v>
      </c>
      <c r="G3221" s="1412">
        <v>1.8437499999999999E-2</v>
      </c>
      <c r="H3221" s="1370" t="s">
        <v>1062</v>
      </c>
      <c r="I3221" s="1">
        <v>2.2997685185185187E-2</v>
      </c>
      <c r="J3221" s="1" t="s">
        <v>4637</v>
      </c>
      <c r="K3221" s="34">
        <v>43463</v>
      </c>
      <c r="L3221" s="1398">
        <v>459</v>
      </c>
      <c r="N3221" s="1653"/>
      <c r="P3221" s="1654" t="s">
        <v>11405</v>
      </c>
    </row>
    <row r="3222" spans="3:16" ht="15" x14ac:dyDescent="0.25">
      <c r="C3222" s="415" t="s">
        <v>10111</v>
      </c>
      <c r="D3222" s="24">
        <f>Runners!G4125</f>
        <v>0</v>
      </c>
      <c r="E3222" s="183">
        <f>Runners!G4124</f>
        <v>0</v>
      </c>
      <c r="F3222" s="1415" t="s">
        <v>3790</v>
      </c>
      <c r="G3222" s="1412">
        <v>1.6550925925925924E-2</v>
      </c>
      <c r="H3222" s="1370" t="s">
        <v>4596</v>
      </c>
      <c r="I3222" s="1">
        <v>1.7372685185185185E-2</v>
      </c>
      <c r="J3222" s="334" t="s">
        <v>9479</v>
      </c>
      <c r="K3222" s="34">
        <v>42909</v>
      </c>
      <c r="L3222" s="1398">
        <v>414</v>
      </c>
      <c r="N3222" s="1653"/>
      <c r="P3222" s="1654" t="s">
        <v>10111</v>
      </c>
    </row>
    <row r="3223" spans="3:16" ht="15" x14ac:dyDescent="0.25">
      <c r="C3223" s="415" t="s">
        <v>3640</v>
      </c>
      <c r="D3223" s="24">
        <f>Runners!I4236</f>
        <v>0</v>
      </c>
      <c r="E3223" s="183">
        <f>Runners!I4235</f>
        <v>0</v>
      </c>
      <c r="F3223" s="79" t="s">
        <v>1000</v>
      </c>
      <c r="G3223" s="1">
        <v>1.818287037037037E-2</v>
      </c>
      <c r="J3223" s="334" t="s">
        <v>1000</v>
      </c>
      <c r="K3223" s="34">
        <v>42854</v>
      </c>
      <c r="L3223" s="9">
        <v>331</v>
      </c>
      <c r="N3223" s="1653"/>
      <c r="P3223" s="1654" t="s">
        <v>15222</v>
      </c>
    </row>
    <row r="3224" spans="3:16" ht="15" x14ac:dyDescent="0.25">
      <c r="C3224" s="415" t="s">
        <v>769</v>
      </c>
      <c r="D3224" s="24">
        <f>Runners!K3636</f>
        <v>0</v>
      </c>
      <c r="E3224" s="183">
        <f>Runners!K3635</f>
        <v>0</v>
      </c>
      <c r="F3224" s="6"/>
      <c r="H3224" s="206" t="s">
        <v>1440</v>
      </c>
      <c r="I3224" s="1">
        <v>1.877314814814815E-2</v>
      </c>
      <c r="J3224" s="1" t="s">
        <v>1440</v>
      </c>
      <c r="K3224" s="34">
        <v>42595</v>
      </c>
      <c r="L3224" s="9">
        <v>281</v>
      </c>
      <c r="N3224" s="1653"/>
      <c r="P3224" s="1654" t="s">
        <v>769</v>
      </c>
    </row>
    <row r="3225" spans="3:16" ht="15" x14ac:dyDescent="0.25">
      <c r="C3225" s="532" t="s">
        <v>10439</v>
      </c>
      <c r="D3225" s="531">
        <f>Runners!T3534</f>
        <v>0</v>
      </c>
      <c r="E3225" s="541">
        <f>Runners!T3533</f>
        <v>0</v>
      </c>
      <c r="F3225" s="6" t="s">
        <v>1000</v>
      </c>
      <c r="G3225" s="1">
        <v>2.0555555555555556E-2</v>
      </c>
      <c r="H3225" s="206"/>
      <c r="J3225" s="1" t="s">
        <v>4778</v>
      </c>
      <c r="K3225" s="34">
        <v>43309</v>
      </c>
      <c r="L3225" s="1398">
        <v>430</v>
      </c>
      <c r="N3225" s="1653"/>
      <c r="P3225" s="1654" t="s">
        <v>10272</v>
      </c>
    </row>
    <row r="3226" spans="3:16" ht="15" x14ac:dyDescent="0.25">
      <c r="C3226" s="415" t="s">
        <v>4530</v>
      </c>
      <c r="D3226" s="24">
        <f>Runners!L3748</f>
        <v>0</v>
      </c>
      <c r="E3226" s="183">
        <f>Runners!L3747</f>
        <v>0</v>
      </c>
      <c r="F3226" s="1415" t="s">
        <v>334</v>
      </c>
      <c r="G3226" s="1412">
        <v>1.3807870370370371E-2</v>
      </c>
      <c r="H3226" s="197" t="s">
        <v>5241</v>
      </c>
      <c r="I3226" s="1">
        <v>1.5821759259259261E-2</v>
      </c>
      <c r="J3226" s="334" t="s">
        <v>5096</v>
      </c>
      <c r="K3226" s="34">
        <v>42742</v>
      </c>
      <c r="L3226" s="9">
        <v>316</v>
      </c>
      <c r="N3226" s="1653"/>
      <c r="P3226" s="1654" t="s">
        <v>4530</v>
      </c>
    </row>
    <row r="3227" spans="3:16" ht="15" x14ac:dyDescent="0.25">
      <c r="C3227" s="74" t="s">
        <v>933</v>
      </c>
      <c r="D3227" s="24">
        <f>Runners!U3881</f>
        <v>0</v>
      </c>
      <c r="E3227" s="183">
        <f>Runners!U3880</f>
        <v>0</v>
      </c>
      <c r="F3227" s="6" t="s">
        <v>5096</v>
      </c>
      <c r="G3227" s="1">
        <v>1.4791666666666668E-2</v>
      </c>
      <c r="J3227" s="1" t="s">
        <v>1987</v>
      </c>
      <c r="K3227" s="34">
        <v>42147</v>
      </c>
      <c r="L3227" s="9">
        <v>172</v>
      </c>
      <c r="N3227" s="1653"/>
      <c r="P3227" s="1654" t="s">
        <v>1020</v>
      </c>
    </row>
    <row r="3228" spans="3:16" ht="15" x14ac:dyDescent="0.25">
      <c r="C3228" s="415" t="s">
        <v>12577</v>
      </c>
      <c r="D3228" s="24">
        <f>Runners!H4125</f>
        <v>0</v>
      </c>
      <c r="E3228" s="183">
        <f>Runners!H4124</f>
        <v>0</v>
      </c>
      <c r="F3228" s="79" t="s">
        <v>756</v>
      </c>
      <c r="G3228" s="1">
        <v>2.0555555555555556E-2</v>
      </c>
      <c r="J3228" s="334" t="s">
        <v>756</v>
      </c>
      <c r="K3228" s="34">
        <v>43589</v>
      </c>
      <c r="L3228" s="1398">
        <v>492</v>
      </c>
      <c r="N3228" s="1653"/>
      <c r="P3228" s="1654" t="s">
        <v>15223</v>
      </c>
    </row>
    <row r="3229" spans="3:16" ht="15" x14ac:dyDescent="0.25">
      <c r="C3229" s="24" t="s">
        <v>5666</v>
      </c>
      <c r="D3229" s="24">
        <f>Runners!S3968</f>
        <v>0</v>
      </c>
      <c r="E3229" s="183">
        <f>Runners!S3967</f>
        <v>0</v>
      </c>
      <c r="F3229" s="6" t="s">
        <v>298</v>
      </c>
      <c r="G3229" s="1">
        <v>1.5902777777777776E-2</v>
      </c>
      <c r="H3229" t="s">
        <v>5903</v>
      </c>
      <c r="I3229" s="1">
        <v>1.8449074074074073E-2</v>
      </c>
      <c r="J3229" s="1" t="s">
        <v>298</v>
      </c>
      <c r="K3229" s="34">
        <v>42532</v>
      </c>
      <c r="L3229" s="1398">
        <v>264</v>
      </c>
      <c r="N3229" s="1653"/>
      <c r="P3229" s="1654" t="s">
        <v>3683</v>
      </c>
    </row>
    <row r="3230" spans="3:16" ht="15" x14ac:dyDescent="0.25">
      <c r="C3230" s="415" t="s">
        <v>9344</v>
      </c>
      <c r="D3230" s="24">
        <f>Runners!H4285</f>
        <v>0</v>
      </c>
      <c r="E3230" s="183">
        <f>Runners!H4284</f>
        <v>0</v>
      </c>
      <c r="F3230" s="79" t="s">
        <v>5882</v>
      </c>
      <c r="G3230" s="1">
        <v>1.6261574074074074E-2</v>
      </c>
      <c r="J3230" s="334" t="s">
        <v>5882</v>
      </c>
      <c r="K3230" s="34">
        <v>43155</v>
      </c>
      <c r="L3230" s="1398">
        <v>388</v>
      </c>
      <c r="N3230" s="1653"/>
      <c r="P3230" s="1654" t="s">
        <v>9339</v>
      </c>
    </row>
    <row r="3231" spans="3:16" ht="15" x14ac:dyDescent="0.25">
      <c r="C3231" s="74" t="s">
        <v>5948</v>
      </c>
      <c r="D3231" s="183">
        <f>Runners!I3398</f>
        <v>0</v>
      </c>
      <c r="E3231" s="183">
        <f>Runners!I3397</f>
        <v>0</v>
      </c>
      <c r="F3231" s="6" t="s">
        <v>5881</v>
      </c>
      <c r="G3231" s="1">
        <v>1.324074074074074E-2</v>
      </c>
      <c r="H3231" s="197" t="s">
        <v>9806</v>
      </c>
      <c r="I3231" s="1">
        <v>1.4641203703703703E-2</v>
      </c>
      <c r="J3231" s="1" t="s">
        <v>5949</v>
      </c>
      <c r="K3231" s="34">
        <v>40222</v>
      </c>
      <c r="L3231" s="9">
        <v>6</v>
      </c>
      <c r="N3231" s="1653"/>
      <c r="P3231" s="1654" t="s">
        <v>5948</v>
      </c>
    </row>
    <row r="3232" spans="3:16" ht="15" x14ac:dyDescent="0.25">
      <c r="C3232" s="74" t="s">
        <v>1535</v>
      </c>
      <c r="D3232" s="24">
        <f>Runners!U3812</f>
        <v>0</v>
      </c>
      <c r="E3232" s="183">
        <f>Runners!U3811</f>
        <v>0</v>
      </c>
      <c r="F3232" s="6" t="s">
        <v>909</v>
      </c>
      <c r="G3232" s="1">
        <v>1.741898148148148E-2</v>
      </c>
      <c r="H3232" s="206"/>
      <c r="J3232" s="1" t="s">
        <v>909</v>
      </c>
      <c r="K3232" s="34">
        <v>42595</v>
      </c>
      <c r="L3232" s="9">
        <v>280</v>
      </c>
      <c r="N3232" s="1653"/>
      <c r="P3232" s="1654" t="s">
        <v>1535</v>
      </c>
    </row>
    <row r="3233" spans="3:16" ht="15" x14ac:dyDescent="0.25">
      <c r="C3233" s="74" t="s">
        <v>4004</v>
      </c>
      <c r="D3233" s="24">
        <f>Runners!L3248</f>
        <v>0</v>
      </c>
      <c r="E3233" s="541">
        <f>Runners!L3247</f>
        <v>0</v>
      </c>
      <c r="F3233" s="79" t="s">
        <v>11185</v>
      </c>
      <c r="G3233" s="1">
        <v>1.2372685185185186E-2</v>
      </c>
      <c r="H3233" s="206" t="s">
        <v>2670</v>
      </c>
      <c r="I3233" s="1">
        <v>1.4074074074074074E-2</v>
      </c>
      <c r="J3233" s="1" t="s">
        <v>4778</v>
      </c>
      <c r="K3233" s="34">
        <v>41566</v>
      </c>
      <c r="L3233" s="9">
        <v>74</v>
      </c>
      <c r="N3233" s="1653"/>
      <c r="P3233" s="1654" t="s">
        <v>4004</v>
      </c>
    </row>
    <row r="3234" spans="3:16" ht="15" x14ac:dyDescent="0.25">
      <c r="C3234" s="415" t="s">
        <v>12768</v>
      </c>
      <c r="D3234" s="24">
        <f>Runners!M4170</f>
        <v>0</v>
      </c>
      <c r="E3234" s="183">
        <f>Runners!M4169</f>
        <v>0</v>
      </c>
      <c r="F3234" s="79"/>
      <c r="H3234" s="80" t="s">
        <v>3254</v>
      </c>
      <c r="I3234" s="1">
        <v>1.8761574074074073E-2</v>
      </c>
      <c r="J3234" s="334" t="s">
        <v>3254</v>
      </c>
      <c r="K3234" s="34">
        <v>43561</v>
      </c>
      <c r="L3234" s="1398">
        <v>484</v>
      </c>
      <c r="N3234" s="1653"/>
      <c r="P3234" s="1654" t="s">
        <v>15224</v>
      </c>
    </row>
    <row r="3235" spans="3:16" ht="15" x14ac:dyDescent="0.25">
      <c r="C3235" s="15" t="s">
        <v>3858</v>
      </c>
      <c r="D3235" s="24">
        <f>Runners!R3599</f>
        <v>0</v>
      </c>
      <c r="E3235" s="183">
        <f>Runners!R3598</f>
        <v>0</v>
      </c>
      <c r="F3235" s="6" t="s">
        <v>5096</v>
      </c>
      <c r="G3235" s="1">
        <v>1.5092592592592593E-2</v>
      </c>
      <c r="H3235" s="206" t="s">
        <v>4574</v>
      </c>
      <c r="I3235" s="1">
        <v>2.1446759259259259E-2</v>
      </c>
      <c r="J3235" s="1" t="s">
        <v>5096</v>
      </c>
      <c r="K3235" s="34">
        <v>42126</v>
      </c>
      <c r="L3235" s="1398">
        <v>165</v>
      </c>
      <c r="N3235" s="1653"/>
      <c r="P3235" s="1654" t="s">
        <v>2995</v>
      </c>
    </row>
    <row r="3236" spans="3:16" ht="15" x14ac:dyDescent="0.25">
      <c r="C3236" s="74" t="s">
        <v>3735</v>
      </c>
      <c r="D3236" s="24">
        <f>Runners!L4188</f>
        <v>0</v>
      </c>
      <c r="E3236" s="183">
        <f>Runners!L4187</f>
        <v>0</v>
      </c>
      <c r="F3236" s="6" t="s">
        <v>909</v>
      </c>
      <c r="G3236" s="1">
        <v>2.1967592592592594E-2</v>
      </c>
      <c r="H3236" s="502" t="s">
        <v>5894</v>
      </c>
      <c r="I3236" s="1">
        <v>2.1956018518518517E-2</v>
      </c>
      <c r="J3236" s="1" t="s">
        <v>4322</v>
      </c>
      <c r="K3236" s="34">
        <v>42658</v>
      </c>
      <c r="L3236" s="1398">
        <v>291</v>
      </c>
      <c r="N3236" s="1653"/>
      <c r="P3236" s="1654" t="s">
        <v>1980</v>
      </c>
    </row>
    <row r="3237" spans="3:16" ht="15" x14ac:dyDescent="0.25">
      <c r="C3237" s="415" t="s">
        <v>9165</v>
      </c>
      <c r="D3237" s="24">
        <f>Runners!J4203</f>
        <v>0</v>
      </c>
      <c r="E3237" s="183">
        <f>Runners!J4202</f>
        <v>0</v>
      </c>
      <c r="F3237" s="6" t="s">
        <v>756</v>
      </c>
      <c r="G3237" s="1">
        <v>2.0162037037037037E-2</v>
      </c>
      <c r="H3237" s="502"/>
      <c r="J3237" s="1" t="s">
        <v>756</v>
      </c>
      <c r="K3237" s="34">
        <v>43512</v>
      </c>
      <c r="L3237" s="1398">
        <v>469</v>
      </c>
      <c r="N3237" s="1653"/>
      <c r="P3237" s="1654" t="s">
        <v>9165</v>
      </c>
    </row>
    <row r="3238" spans="3:16" ht="15" x14ac:dyDescent="0.25">
      <c r="C3238" s="74" t="s">
        <v>4835</v>
      </c>
      <c r="D3238" s="24">
        <f>Runners!L3992</f>
        <v>0</v>
      </c>
      <c r="E3238" s="183">
        <f>Runners!L3991</f>
        <v>0</v>
      </c>
      <c r="F3238" s="6" t="s">
        <v>298</v>
      </c>
      <c r="G3238" s="1">
        <v>1.6099537037037037E-2</v>
      </c>
      <c r="H3238" s="80" t="s">
        <v>5903</v>
      </c>
      <c r="I3238" s="1">
        <v>1.877314814814815E-2</v>
      </c>
      <c r="J3238" s="1" t="s">
        <v>298</v>
      </c>
      <c r="K3238" s="34">
        <v>42469</v>
      </c>
      <c r="L3238" s="9">
        <v>246</v>
      </c>
      <c r="N3238" s="1653"/>
      <c r="P3238" s="1654" t="s">
        <v>4835</v>
      </c>
    </row>
    <row r="3239" spans="3:16" ht="15" x14ac:dyDescent="0.25">
      <c r="C3239" s="74" t="s">
        <v>4839</v>
      </c>
      <c r="D3239" s="24">
        <f>Runners!J4144</f>
        <v>0</v>
      </c>
      <c r="E3239" s="183">
        <f>Runners!J4143</f>
        <v>0</v>
      </c>
      <c r="F3239" s="6" t="s">
        <v>1000</v>
      </c>
      <c r="G3239" s="1">
        <v>1.7361111111111112E-2</v>
      </c>
      <c r="J3239" s="32" t="s">
        <v>1000</v>
      </c>
      <c r="K3239" s="34">
        <v>41769</v>
      </c>
      <c r="L3239" s="9">
        <v>104</v>
      </c>
      <c r="N3239" s="1653"/>
      <c r="P3239" s="1654" t="s">
        <v>15225</v>
      </c>
    </row>
    <row r="3240" spans="3:16" ht="15" x14ac:dyDescent="0.25">
      <c r="C3240" s="74" t="s">
        <v>4981</v>
      </c>
      <c r="D3240" s="24">
        <f>Runners!K4144</f>
        <v>0</v>
      </c>
      <c r="E3240" s="183">
        <f>Runners!K4143</f>
        <v>0</v>
      </c>
      <c r="F3240" s="6" t="s">
        <v>1000</v>
      </c>
      <c r="G3240" s="1">
        <v>1.7303240740740741E-2</v>
      </c>
      <c r="J3240" s="32" t="s">
        <v>1000</v>
      </c>
      <c r="K3240" s="34">
        <v>41769</v>
      </c>
      <c r="L3240" s="9">
        <v>103</v>
      </c>
      <c r="N3240" s="1653"/>
      <c r="P3240" s="1654" t="s">
        <v>4981</v>
      </c>
    </row>
    <row r="3241" spans="3:16" ht="15" x14ac:dyDescent="0.25">
      <c r="C3241" s="74" t="s">
        <v>3309</v>
      </c>
      <c r="D3241" s="24">
        <f>Runners!V3881</f>
        <v>0</v>
      </c>
      <c r="E3241" s="183">
        <f>Runners!V3880</f>
        <v>0</v>
      </c>
      <c r="F3241" s="1411" t="s">
        <v>12695</v>
      </c>
      <c r="G3241" s="1412">
        <v>1.4374999999999999E-2</v>
      </c>
      <c r="J3241" s="32" t="s">
        <v>1000</v>
      </c>
      <c r="K3241" s="34">
        <v>42539</v>
      </c>
      <c r="L3241" s="9">
        <v>267</v>
      </c>
      <c r="N3241" s="1653"/>
      <c r="P3241" s="1654" t="s">
        <v>283</v>
      </c>
    </row>
    <row r="3242" spans="3:16" ht="15" x14ac:dyDescent="0.25">
      <c r="C3242" s="415" t="s">
        <v>15256</v>
      </c>
      <c r="D3242" s="24">
        <f>Runners!Q4109</f>
        <v>0</v>
      </c>
      <c r="E3242" s="183">
        <f>Runners!Q4108</f>
        <v>0</v>
      </c>
      <c r="F3242" s="79" t="s">
        <v>5882</v>
      </c>
      <c r="G3242" s="1">
        <v>1.5358796296296296E-2</v>
      </c>
      <c r="H3242" s="53"/>
      <c r="I3242" s="54"/>
      <c r="J3242" s="334" t="s">
        <v>1000</v>
      </c>
      <c r="K3242" s="33">
        <v>43436</v>
      </c>
      <c r="L3242" s="1398">
        <v>372</v>
      </c>
      <c r="N3242" s="1653"/>
      <c r="P3242" s="1654" t="s">
        <v>15226</v>
      </c>
    </row>
    <row r="3243" spans="3:16" ht="15" x14ac:dyDescent="0.25">
      <c r="C3243" s="74" t="s">
        <v>5062</v>
      </c>
      <c r="D3243" s="183">
        <f>Runners!M3248</f>
        <v>0</v>
      </c>
      <c r="E3243" s="183">
        <f>Runners!M3247</f>
        <v>0</v>
      </c>
      <c r="F3243" s="6" t="s">
        <v>5096</v>
      </c>
      <c r="G3243" s="1">
        <v>1.4930555555555556E-2</v>
      </c>
      <c r="H3243" t="s">
        <v>4596</v>
      </c>
      <c r="I3243" s="1">
        <v>1.7870370370370373E-2</v>
      </c>
      <c r="J3243" s="32" t="s">
        <v>1000</v>
      </c>
      <c r="K3243" s="34">
        <v>41090</v>
      </c>
      <c r="L3243" s="9">
        <v>29</v>
      </c>
      <c r="N3243" s="1653"/>
      <c r="P3243" s="1654" t="s">
        <v>1827</v>
      </c>
    </row>
    <row r="3244" spans="3:16" ht="15" x14ac:dyDescent="0.25">
      <c r="C3244" s="415" t="s">
        <v>12789</v>
      </c>
      <c r="D3244" s="24">
        <f>Runners!N4079</f>
        <v>0</v>
      </c>
      <c r="E3244" s="183">
        <f>Runners!N4078</f>
        <v>0</v>
      </c>
      <c r="F3244" s="79" t="s">
        <v>4637</v>
      </c>
      <c r="G3244" s="1">
        <v>2.0381944444444446E-2</v>
      </c>
      <c r="H3244" s="206"/>
      <c r="J3244" s="334" t="s">
        <v>4637</v>
      </c>
      <c r="K3244" s="34">
        <v>43617</v>
      </c>
      <c r="N3244" s="1653"/>
      <c r="P3244" s="1654" t="s">
        <v>12779</v>
      </c>
    </row>
    <row r="3245" spans="3:16" ht="15" x14ac:dyDescent="0.25">
      <c r="C3245" s="532" t="s">
        <v>6284</v>
      </c>
      <c r="D3245" s="531">
        <f>Runners!W3881</f>
        <v>0</v>
      </c>
      <c r="E3245" s="541">
        <f>Runners!W3880</f>
        <v>0</v>
      </c>
      <c r="F3245" s="79" t="s">
        <v>4637</v>
      </c>
      <c r="G3245" s="334">
        <v>1.6516203703703703E-2</v>
      </c>
      <c r="H3245" s="206"/>
      <c r="J3245" s="334" t="s">
        <v>4637</v>
      </c>
      <c r="K3245" s="34">
        <v>42812</v>
      </c>
      <c r="L3245" s="9">
        <v>326</v>
      </c>
      <c r="N3245" s="1653"/>
      <c r="P3245" s="1654" t="s">
        <v>6284</v>
      </c>
    </row>
    <row r="3246" spans="3:16" ht="15" x14ac:dyDescent="0.25">
      <c r="C3246" s="532" t="s">
        <v>8000</v>
      </c>
      <c r="D3246" s="531">
        <f>Runners!S4144</f>
        <v>0</v>
      </c>
      <c r="E3246" s="541">
        <f>Runners!S4143</f>
        <v>0</v>
      </c>
      <c r="F3246" s="79" t="s">
        <v>627</v>
      </c>
      <c r="G3246" s="334">
        <v>1.6319444444444445E-2</v>
      </c>
      <c r="H3246" s="206"/>
      <c r="J3246" s="334" t="s">
        <v>627</v>
      </c>
      <c r="K3246" s="34">
        <v>42889</v>
      </c>
      <c r="L3246" s="9">
        <v>339</v>
      </c>
      <c r="N3246" s="1653"/>
      <c r="P3246" s="1654" t="s">
        <v>7999</v>
      </c>
    </row>
    <row r="3247" spans="3:16" ht="15" x14ac:dyDescent="0.25">
      <c r="C3247" s="74" t="s">
        <v>1078</v>
      </c>
      <c r="D3247" s="24">
        <f>Runners!V3812</f>
        <v>0</v>
      </c>
      <c r="E3247" s="183">
        <f>Runners!V3811</f>
        <v>0</v>
      </c>
      <c r="F3247" s="6" t="s">
        <v>5882</v>
      </c>
      <c r="G3247" s="1">
        <v>1.5127314814814816E-2</v>
      </c>
      <c r="H3247" s="206"/>
      <c r="J3247" s="1" t="s">
        <v>5882</v>
      </c>
      <c r="K3247" s="34">
        <v>42126</v>
      </c>
      <c r="L3247" s="9">
        <v>164</v>
      </c>
      <c r="N3247" s="1653"/>
      <c r="P3247" s="1654" t="s">
        <v>1536</v>
      </c>
    </row>
    <row r="3248" spans="3:16" ht="15" x14ac:dyDescent="0.25">
      <c r="C3248" s="532" t="s">
        <v>9469</v>
      </c>
      <c r="D3248" s="531">
        <f>Runners!I3599</f>
        <v>0</v>
      </c>
      <c r="E3248" s="541">
        <f>Runners!I3598</f>
        <v>0</v>
      </c>
      <c r="F3248" s="79" t="s">
        <v>1000</v>
      </c>
      <c r="G3248" s="1">
        <v>1.9143518518518518E-2</v>
      </c>
      <c r="H3248" s="197"/>
      <c r="J3248" s="334" t="s">
        <v>1000</v>
      </c>
      <c r="K3248" s="523">
        <v>43631</v>
      </c>
      <c r="L3248" s="9">
        <v>506</v>
      </c>
      <c r="N3248" s="1653"/>
      <c r="P3248" s="1654" t="s">
        <v>9136</v>
      </c>
    </row>
    <row r="3249" spans="3:16" ht="15" x14ac:dyDescent="0.25">
      <c r="C3249" s="415" t="s">
        <v>6348</v>
      </c>
      <c r="D3249" s="24">
        <f>Runners!L3636</f>
        <v>0</v>
      </c>
      <c r="E3249" s="183">
        <f>Runners!L3635</f>
        <v>0</v>
      </c>
      <c r="F3249" s="79" t="s">
        <v>1000</v>
      </c>
      <c r="G3249" s="1">
        <v>1.8530092592592595E-2</v>
      </c>
      <c r="H3249" s="197" t="s">
        <v>1440</v>
      </c>
      <c r="I3249" s="1">
        <v>2.1666666666666667E-2</v>
      </c>
      <c r="J3249" s="1" t="s">
        <v>1000</v>
      </c>
      <c r="K3249" s="34">
        <v>42756</v>
      </c>
      <c r="L3249" s="9">
        <v>318</v>
      </c>
      <c r="N3249" s="1653"/>
      <c r="P3249" s="1654" t="s">
        <v>770</v>
      </c>
    </row>
    <row r="3250" spans="3:16" ht="15" x14ac:dyDescent="0.25">
      <c r="C3250" s="74" t="s">
        <v>1353</v>
      </c>
      <c r="D3250" s="24">
        <f>Runners!L3613</f>
        <v>0</v>
      </c>
      <c r="E3250" s="183">
        <f>Runners!L3612</f>
        <v>0</v>
      </c>
      <c r="F3250" s="6" t="s">
        <v>5096</v>
      </c>
      <c r="G3250" s="1">
        <v>1.4930555555555556E-2</v>
      </c>
      <c r="J3250" s="1" t="s">
        <v>5096</v>
      </c>
      <c r="K3250" s="34">
        <v>41818</v>
      </c>
      <c r="L3250" s="9">
        <v>112</v>
      </c>
      <c r="N3250" s="1653"/>
      <c r="P3250" s="1654" t="s">
        <v>3338</v>
      </c>
    </row>
    <row r="3251" spans="3:16" ht="15" x14ac:dyDescent="0.25">
      <c r="C3251" s="74" t="s">
        <v>114</v>
      </c>
      <c r="D3251" s="24">
        <f>Runners!I4285</f>
        <v>0</v>
      </c>
      <c r="E3251" s="183">
        <f>Runners!I4284</f>
        <v>0</v>
      </c>
      <c r="F3251" s="6" t="s">
        <v>1000</v>
      </c>
      <c r="G3251" s="1">
        <v>1.7210648148148149E-2</v>
      </c>
      <c r="J3251" s="32" t="s">
        <v>1000</v>
      </c>
      <c r="K3251" s="34">
        <v>41552</v>
      </c>
      <c r="L3251" s="9">
        <v>71</v>
      </c>
      <c r="N3251" s="1653"/>
      <c r="P3251" s="1654" t="s">
        <v>113</v>
      </c>
    </row>
    <row r="3252" spans="3:16" ht="15" x14ac:dyDescent="0.25">
      <c r="C3252" s="74" t="s">
        <v>5922</v>
      </c>
      <c r="D3252" s="183">
        <f>Runners!V3534</f>
        <v>0</v>
      </c>
      <c r="E3252" s="183">
        <f>Runners!V3533</f>
        <v>0</v>
      </c>
      <c r="F3252" s="6" t="s">
        <v>4584</v>
      </c>
      <c r="G3252" s="1">
        <v>1.8761574074074073E-2</v>
      </c>
      <c r="J3252" s="1" t="s">
        <v>4584</v>
      </c>
      <c r="K3252" s="34">
        <v>41640</v>
      </c>
      <c r="L3252" s="9">
        <v>85</v>
      </c>
      <c r="N3252" s="1653"/>
      <c r="P3252" s="1654" t="s">
        <v>559</v>
      </c>
    </row>
    <row r="3253" spans="3:16" ht="15" x14ac:dyDescent="0.25">
      <c r="C3253" s="415" t="s">
        <v>12913</v>
      </c>
      <c r="D3253" s="183">
        <f>Runners!L4033</f>
        <v>0</v>
      </c>
      <c r="E3253" s="183">
        <f>Runners!L4032</f>
        <v>0</v>
      </c>
      <c r="F3253" s="6" t="s">
        <v>2334</v>
      </c>
      <c r="G3253" s="1">
        <v>1.3263888888888889E-2</v>
      </c>
      <c r="J3253" s="1" t="s">
        <v>2334</v>
      </c>
      <c r="K3253" s="34">
        <v>43631</v>
      </c>
      <c r="L3253" s="9">
        <v>504</v>
      </c>
      <c r="N3253" s="1653"/>
      <c r="P3253" s="1654" t="s">
        <v>12909</v>
      </c>
    </row>
    <row r="3254" spans="3:16" ht="15" x14ac:dyDescent="0.25">
      <c r="C3254" s="74" t="s">
        <v>4280</v>
      </c>
      <c r="D3254" s="183">
        <f>Runners!U3534</f>
        <v>0</v>
      </c>
      <c r="E3254" s="183">
        <f>Runners!U3533</f>
        <v>0</v>
      </c>
      <c r="F3254" s="6" t="s">
        <v>5096</v>
      </c>
      <c r="G3254" s="1">
        <v>1.5590277777777778E-2</v>
      </c>
      <c r="H3254" s="80" t="s">
        <v>6156</v>
      </c>
      <c r="I3254" s="1">
        <v>1.8124999999999999E-2</v>
      </c>
      <c r="J3254" s="32" t="s">
        <v>1000</v>
      </c>
      <c r="K3254" s="34">
        <v>41349</v>
      </c>
      <c r="L3254" s="9">
        <v>59</v>
      </c>
      <c r="N3254" s="1653"/>
      <c r="P3254" s="1654" t="s">
        <v>4556</v>
      </c>
    </row>
    <row r="3255" spans="3:16" ht="15" x14ac:dyDescent="0.25">
      <c r="C3255" s="74" t="s">
        <v>4137</v>
      </c>
      <c r="D3255" s="183">
        <f>Runners!G3708</f>
        <v>0</v>
      </c>
      <c r="E3255" s="183">
        <f>Runners!G3707</f>
        <v>0</v>
      </c>
      <c r="F3255" s="79" t="s">
        <v>8360</v>
      </c>
      <c r="G3255" s="1">
        <v>1.6087962962962964E-2</v>
      </c>
      <c r="J3255" s="32" t="s">
        <v>5097</v>
      </c>
      <c r="K3255" s="34">
        <v>42525</v>
      </c>
      <c r="L3255" s="9">
        <v>261</v>
      </c>
      <c r="N3255" s="1653"/>
      <c r="P3255" s="1654" t="s">
        <v>4137</v>
      </c>
    </row>
    <row r="3256" spans="3:16" ht="15" x14ac:dyDescent="0.25">
      <c r="C3256" s="74" t="s">
        <v>5036</v>
      </c>
      <c r="D3256" s="183">
        <f>Runners!J3398</f>
        <v>0</v>
      </c>
      <c r="E3256" s="183">
        <f>Runners!J3397</f>
        <v>0</v>
      </c>
      <c r="F3256" s="6" t="s">
        <v>5881</v>
      </c>
      <c r="G3256" s="1">
        <v>1.3645833333333331E-2</v>
      </c>
      <c r="H3256" s="513" t="s">
        <v>5241</v>
      </c>
      <c r="I3256" s="1">
        <v>1.5057870370370369E-2</v>
      </c>
      <c r="J3256" s="1" t="s">
        <v>5882</v>
      </c>
      <c r="K3256" s="34">
        <v>40978</v>
      </c>
      <c r="L3256" s="9">
        <v>19</v>
      </c>
      <c r="N3256" s="1653"/>
      <c r="P3256" s="1654" t="s">
        <v>5947</v>
      </c>
    </row>
    <row r="3257" spans="3:16" ht="15" x14ac:dyDescent="0.25">
      <c r="C3257" s="74" t="s">
        <v>1123</v>
      </c>
      <c r="D3257" s="24">
        <f>Runners!N3248</f>
        <v>0</v>
      </c>
      <c r="E3257" s="183">
        <f>Runners!N3247</f>
        <v>0</v>
      </c>
      <c r="F3257" s="52" t="s">
        <v>1270</v>
      </c>
      <c r="G3257" s="1">
        <v>1.2905092592592591E-2</v>
      </c>
      <c r="H3257" s="206" t="s">
        <v>889</v>
      </c>
      <c r="I3257" s="1">
        <v>1.4837962962962963E-2</v>
      </c>
      <c r="J3257" s="1" t="s">
        <v>5097</v>
      </c>
      <c r="K3257" s="34">
        <v>40845</v>
      </c>
      <c r="L3257" s="9">
        <v>12</v>
      </c>
      <c r="N3257" s="1653"/>
      <c r="P3257" s="1654" t="s">
        <v>5544</v>
      </c>
    </row>
    <row r="3258" spans="3:16" ht="15" x14ac:dyDescent="0.25">
      <c r="C3258" s="74" t="s">
        <v>1560</v>
      </c>
      <c r="D3258" s="24">
        <f>Runners!L3311</f>
        <v>0</v>
      </c>
      <c r="E3258" s="183">
        <f>Runners!L3310</f>
        <v>0</v>
      </c>
      <c r="F3258" s="6" t="s">
        <v>5096</v>
      </c>
      <c r="G3258" s="1">
        <v>1.4930555555555556E-2</v>
      </c>
      <c r="H3258" s="206" t="s">
        <v>888</v>
      </c>
      <c r="I3258" s="1">
        <v>2.2094907407407407E-2</v>
      </c>
      <c r="J3258" s="1" t="s">
        <v>3884</v>
      </c>
      <c r="K3258" s="34">
        <v>41223</v>
      </c>
      <c r="L3258" s="9">
        <v>44</v>
      </c>
      <c r="N3258" s="1653"/>
      <c r="P3258" s="1654" t="s">
        <v>4861</v>
      </c>
    </row>
    <row r="3259" spans="3:16" ht="15" x14ac:dyDescent="0.25">
      <c r="C3259" s="15" t="s">
        <v>2236</v>
      </c>
      <c r="D3259" s="24">
        <f>Runners!X3534</f>
        <v>0</v>
      </c>
      <c r="E3259" s="183">
        <f>Runners!X3533</f>
        <v>0</v>
      </c>
      <c r="F3259" s="6" t="s">
        <v>2334</v>
      </c>
      <c r="G3259" s="375">
        <v>1.1921296296296298E-2</v>
      </c>
      <c r="J3259" s="1" t="s">
        <v>1000</v>
      </c>
      <c r="K3259" s="34">
        <v>41244</v>
      </c>
      <c r="L3259" s="9">
        <v>46</v>
      </c>
      <c r="N3259" s="1653"/>
      <c r="P3259" s="1654" t="s">
        <v>248</v>
      </c>
    </row>
    <row r="3260" spans="3:16" ht="15" x14ac:dyDescent="0.25">
      <c r="C3260" s="532" t="s">
        <v>3814</v>
      </c>
      <c r="D3260" s="531">
        <f>Runners!M3613</f>
        <v>0</v>
      </c>
      <c r="E3260" s="541">
        <f>Runners!M3612</f>
        <v>0</v>
      </c>
      <c r="F3260" s="79" t="s">
        <v>1000</v>
      </c>
      <c r="G3260" s="334">
        <v>2.045138888888889E-2</v>
      </c>
      <c r="J3260" s="334" t="s">
        <v>1000</v>
      </c>
      <c r="K3260" s="34">
        <v>42917</v>
      </c>
      <c r="L3260" s="9">
        <v>343</v>
      </c>
      <c r="N3260" s="1653"/>
      <c r="P3260" s="1654" t="s">
        <v>2364</v>
      </c>
    </row>
    <row r="3261" spans="3:16" ht="15" x14ac:dyDescent="0.25">
      <c r="C3261" s="532" t="s">
        <v>12261</v>
      </c>
      <c r="D3261" s="531">
        <f>Runners!L4109</f>
        <v>0</v>
      </c>
      <c r="E3261" s="541">
        <f>Runners!L4108</f>
        <v>0</v>
      </c>
      <c r="F3261" s="79" t="s">
        <v>1000</v>
      </c>
      <c r="G3261" s="334">
        <v>1.9918981481481482E-2</v>
      </c>
      <c r="J3261" s="334" t="s">
        <v>1000</v>
      </c>
      <c r="K3261" s="34">
        <v>43554</v>
      </c>
      <c r="L3261" s="1398">
        <v>481</v>
      </c>
      <c r="N3261" s="1653"/>
      <c r="P3261" s="1654" t="s">
        <v>12234</v>
      </c>
    </row>
    <row r="3262" spans="3:16" ht="15" x14ac:dyDescent="0.25">
      <c r="C3262" s="532" t="s">
        <v>6260</v>
      </c>
      <c r="D3262" s="531">
        <f>Runners!AA4188</f>
        <v>0</v>
      </c>
      <c r="E3262" s="541">
        <f>Runners!AA4187</f>
        <v>0</v>
      </c>
      <c r="F3262" s="6"/>
      <c r="G3262" s="3"/>
      <c r="H3262" s="513" t="s">
        <v>2670</v>
      </c>
      <c r="I3262" s="1">
        <v>1.4097222222222221E-2</v>
      </c>
      <c r="J3262" s="334" t="s">
        <v>2670</v>
      </c>
      <c r="K3262" s="34">
        <v>42742</v>
      </c>
      <c r="L3262" s="9">
        <v>315</v>
      </c>
      <c r="N3262" s="1653"/>
      <c r="P3262" s="1654" t="s">
        <v>563</v>
      </c>
    </row>
    <row r="3263" spans="3:16" ht="15" x14ac:dyDescent="0.25">
      <c r="C3263" s="74" t="s">
        <v>3965</v>
      </c>
      <c r="D3263" s="24">
        <f>Runners!L4203</f>
        <v>0</v>
      </c>
      <c r="E3263" s="183">
        <f>Runners!L4202</f>
        <v>0</v>
      </c>
      <c r="F3263" s="6"/>
      <c r="G3263" s="3"/>
      <c r="H3263" s="206" t="s">
        <v>888</v>
      </c>
      <c r="I3263" s="1">
        <v>2.2303240740740738E-2</v>
      </c>
      <c r="J3263" s="1" t="s">
        <v>888</v>
      </c>
      <c r="K3263" s="34">
        <v>42343</v>
      </c>
      <c r="L3263" s="9">
        <v>213</v>
      </c>
      <c r="N3263" s="1653"/>
      <c r="P3263" s="1654" t="s">
        <v>11845</v>
      </c>
    </row>
    <row r="3264" spans="3:16" ht="15" x14ac:dyDescent="0.25">
      <c r="C3264" s="74" t="s">
        <v>1380</v>
      </c>
      <c r="D3264" s="24">
        <f>Runners!Z4188</f>
        <v>0</v>
      </c>
      <c r="E3264" s="183">
        <f>Runners!Z4187</f>
        <v>0</v>
      </c>
      <c r="F3264" s="6" t="s">
        <v>1000</v>
      </c>
      <c r="G3264" s="32">
        <v>1.7928240740740741E-2</v>
      </c>
      <c r="H3264" s="206"/>
      <c r="J3264" s="1" t="s">
        <v>1000</v>
      </c>
      <c r="K3264" s="34">
        <v>42350</v>
      </c>
      <c r="L3264" s="9">
        <v>214</v>
      </c>
      <c r="N3264" s="1653"/>
      <c r="P3264" s="1654" t="s">
        <v>3042</v>
      </c>
    </row>
    <row r="3265" spans="3:16" ht="15" x14ac:dyDescent="0.25">
      <c r="C3265" s="74" t="s">
        <v>5959</v>
      </c>
      <c r="D3265" s="24">
        <f>Runners!W3534</f>
        <v>0</v>
      </c>
      <c r="E3265" s="183">
        <f>Runners!W3533</f>
        <v>0</v>
      </c>
      <c r="F3265" s="6" t="s">
        <v>5096</v>
      </c>
      <c r="G3265" s="1">
        <v>1.5555555555555553E-2</v>
      </c>
      <c r="H3265" s="1370" t="s">
        <v>3254</v>
      </c>
      <c r="I3265" s="1412">
        <v>1.9363425925925926E-2</v>
      </c>
      <c r="J3265" s="1" t="s">
        <v>1000</v>
      </c>
      <c r="K3265" s="34">
        <v>41034</v>
      </c>
      <c r="L3265" s="9">
        <v>22</v>
      </c>
      <c r="N3265" s="1653"/>
      <c r="P3265" s="1654" t="s">
        <v>5959</v>
      </c>
    </row>
    <row r="3266" spans="3:16" ht="15" x14ac:dyDescent="0.25">
      <c r="C3266" s="74" t="s">
        <v>3333</v>
      </c>
      <c r="D3266" s="24">
        <f>Runners!P3859</f>
        <v>0</v>
      </c>
      <c r="E3266" s="183">
        <f>Runners!P3858</f>
        <v>0</v>
      </c>
      <c r="F3266" s="6" t="s">
        <v>1270</v>
      </c>
      <c r="G3266" s="1">
        <v>1.4074074074074074E-2</v>
      </c>
      <c r="H3266" s="53" t="s">
        <v>1212</v>
      </c>
      <c r="I3266" s="54" t="s">
        <v>1212</v>
      </c>
      <c r="J3266" s="32" t="s">
        <v>5096</v>
      </c>
      <c r="K3266" s="33">
        <v>41601</v>
      </c>
      <c r="L3266" s="9">
        <v>79</v>
      </c>
      <c r="N3266" s="1653"/>
      <c r="P3266" s="1654" t="s">
        <v>1533</v>
      </c>
    </row>
    <row r="3267" spans="3:16" ht="15" x14ac:dyDescent="0.25">
      <c r="C3267" s="415" t="s">
        <v>12510</v>
      </c>
      <c r="D3267" s="24">
        <f>Runners!O3248</f>
        <v>0</v>
      </c>
      <c r="E3267" s="183">
        <f>Runners!O3247</f>
        <v>0</v>
      </c>
      <c r="F3267" s="70" t="s">
        <v>8462</v>
      </c>
      <c r="G3267" s="3">
        <v>1.3680555555555555E-2</v>
      </c>
      <c r="H3267" s="513" t="s">
        <v>9806</v>
      </c>
      <c r="I3267" s="54">
        <v>1.4085648148148151E-2</v>
      </c>
      <c r="J3267" s="334" t="s">
        <v>9806</v>
      </c>
      <c r="K3267" s="33">
        <v>43589</v>
      </c>
      <c r="L3267" s="1398">
        <v>494</v>
      </c>
      <c r="N3267" s="1653"/>
      <c r="P3267" s="1654" t="s">
        <v>12510</v>
      </c>
    </row>
    <row r="3268" spans="3:16" ht="15" x14ac:dyDescent="0.25">
      <c r="C3268" s="74" t="s">
        <v>1328</v>
      </c>
      <c r="D3268" s="24">
        <f>Runners!U3457</f>
        <v>0</v>
      </c>
      <c r="E3268" s="183">
        <f>Runners!U3456</f>
        <v>0</v>
      </c>
      <c r="F3268" s="6" t="s">
        <v>1000</v>
      </c>
      <c r="G3268" s="1">
        <v>1.7997685185185186E-2</v>
      </c>
      <c r="J3268" s="32" t="s">
        <v>1000</v>
      </c>
      <c r="K3268" s="34">
        <v>41937</v>
      </c>
      <c r="L3268" s="1398">
        <v>136</v>
      </c>
      <c r="N3268" s="1653"/>
      <c r="P3268" s="1654" t="s">
        <v>3912</v>
      </c>
    </row>
    <row r="3269" spans="3:16" ht="15" x14ac:dyDescent="0.25">
      <c r="C3269" s="74" t="s">
        <v>2805</v>
      </c>
      <c r="D3269" s="24">
        <f>Runners!O3613</f>
        <v>0</v>
      </c>
      <c r="E3269" s="183">
        <f>Runners!O3612</f>
        <v>0</v>
      </c>
      <c r="F3269" s="6" t="s">
        <v>1000</v>
      </c>
      <c r="G3269" s="1">
        <v>1.8043981481481484E-2</v>
      </c>
      <c r="H3269" s="197" t="s">
        <v>2670</v>
      </c>
      <c r="I3269" s="32">
        <v>1.7407407407407406E-2</v>
      </c>
      <c r="J3269" s="32" t="s">
        <v>1000</v>
      </c>
      <c r="K3269" s="33">
        <v>42084</v>
      </c>
      <c r="L3269" s="1398">
        <v>156</v>
      </c>
      <c r="N3269" s="1653"/>
      <c r="P3269" s="1654" t="s">
        <v>4509</v>
      </c>
    </row>
    <row r="3270" spans="3:16" ht="15" x14ac:dyDescent="0.25">
      <c r="C3270" s="74" t="s">
        <v>4731</v>
      </c>
      <c r="D3270" s="24">
        <f>Runners!K3968</f>
        <v>0</v>
      </c>
      <c r="E3270" s="183">
        <f>Runners!K3967</f>
        <v>0</v>
      </c>
      <c r="F3270" s="6" t="s">
        <v>298</v>
      </c>
      <c r="G3270" s="1">
        <v>1.5706018518518518E-2</v>
      </c>
      <c r="H3270" s="1649" t="s">
        <v>5903</v>
      </c>
      <c r="I3270" s="32">
        <v>1.8217592592592594E-2</v>
      </c>
      <c r="J3270" s="32" t="s">
        <v>5903</v>
      </c>
      <c r="K3270" s="33">
        <v>42385</v>
      </c>
      <c r="L3270" s="1398">
        <v>223</v>
      </c>
      <c r="N3270" s="1653"/>
      <c r="P3270" s="1654" t="s">
        <v>3225</v>
      </c>
    </row>
    <row r="3271" spans="3:16" ht="15" x14ac:dyDescent="0.25">
      <c r="C3271" s="74" t="s">
        <v>1967</v>
      </c>
      <c r="D3271" s="519">
        <f>Runners!P3248</f>
        <v>0</v>
      </c>
      <c r="E3271" s="948">
        <f>Runners!P3247</f>
        <v>0</v>
      </c>
      <c r="F3271" s="6" t="s">
        <v>5096</v>
      </c>
      <c r="G3271" s="1">
        <v>1.486111111111111E-2</v>
      </c>
      <c r="H3271" s="1649" t="s">
        <v>5894</v>
      </c>
      <c r="I3271" s="54">
        <v>2.1180555555555553E-2</v>
      </c>
      <c r="J3271" s="32" t="s">
        <v>2725</v>
      </c>
      <c r="K3271" s="33">
        <v>42133</v>
      </c>
      <c r="L3271" s="1398">
        <v>168</v>
      </c>
      <c r="N3271" s="1653"/>
      <c r="P3271" s="1654" t="s">
        <v>1719</v>
      </c>
    </row>
    <row r="3272" spans="3:16" ht="15" x14ac:dyDescent="0.25">
      <c r="C3272" s="74" t="s">
        <v>4967</v>
      </c>
      <c r="D3272" s="24">
        <f>Runners!H3564</f>
        <v>0</v>
      </c>
      <c r="E3272" s="183">
        <f>Runners!H3563</f>
        <v>0</v>
      </c>
      <c r="F3272" s="6" t="s">
        <v>5096</v>
      </c>
      <c r="G3272" s="1">
        <v>1.4837962962962963E-2</v>
      </c>
      <c r="H3272" s="53"/>
      <c r="I3272" s="54"/>
      <c r="J3272" s="32" t="s">
        <v>5096</v>
      </c>
      <c r="K3272" s="33">
        <v>41748</v>
      </c>
      <c r="L3272" s="1398">
        <v>99</v>
      </c>
      <c r="N3272" s="1653"/>
      <c r="P3272" s="1654" t="s">
        <v>6022</v>
      </c>
    </row>
    <row r="3273" spans="3:16" ht="15" x14ac:dyDescent="0.25">
      <c r="C3273" s="74" t="s">
        <v>4836</v>
      </c>
      <c r="D3273" s="24">
        <f>Runners!M3992</f>
        <v>0</v>
      </c>
      <c r="E3273" s="183">
        <f>Runners!M3991</f>
        <v>0</v>
      </c>
      <c r="F3273" s="6" t="s">
        <v>298</v>
      </c>
      <c r="G3273" s="1">
        <v>1.6180555555555556E-2</v>
      </c>
      <c r="H3273" s="1649" t="s">
        <v>5903</v>
      </c>
      <c r="I3273" s="32">
        <v>1.9479166666666669E-2</v>
      </c>
      <c r="J3273" s="32" t="s">
        <v>5365</v>
      </c>
      <c r="K3273" s="33">
        <v>42476</v>
      </c>
      <c r="L3273" s="1398">
        <v>251</v>
      </c>
      <c r="N3273" s="1653"/>
      <c r="P3273" s="1654" t="s">
        <v>4836</v>
      </c>
    </row>
    <row r="3274" spans="3:16" ht="15" x14ac:dyDescent="0.25">
      <c r="C3274" s="532" t="s">
        <v>15246</v>
      </c>
      <c r="D3274" s="24">
        <f>Runners!P4109</f>
        <v>0</v>
      </c>
      <c r="E3274" s="183">
        <f>Runners!P4108</f>
        <v>0</v>
      </c>
      <c r="F3274" s="79" t="s">
        <v>4637</v>
      </c>
      <c r="G3274" s="1">
        <v>1.7916666666666668E-2</v>
      </c>
      <c r="H3274" s="197" t="s">
        <v>8441</v>
      </c>
      <c r="I3274" s="1">
        <v>2.193287037037037E-2</v>
      </c>
      <c r="J3274" s="334" t="s">
        <v>9066</v>
      </c>
      <c r="K3274" s="34">
        <v>43106</v>
      </c>
      <c r="L3274" s="1398">
        <v>378</v>
      </c>
      <c r="N3274" s="1653"/>
      <c r="P3274" s="1654" t="s">
        <v>10649</v>
      </c>
    </row>
    <row r="3275" spans="3:16" ht="15" x14ac:dyDescent="0.25">
      <c r="C3275" s="511" t="s">
        <v>475</v>
      </c>
      <c r="D3275" s="531">
        <f>Runners!L3683</f>
        <v>0</v>
      </c>
      <c r="E3275" s="541">
        <f>Runners!L3682</f>
        <v>0</v>
      </c>
      <c r="F3275" s="534" t="s">
        <v>3196</v>
      </c>
      <c r="G3275" s="1">
        <v>1.5763888888888886E-2</v>
      </c>
      <c r="H3275" s="968" t="s">
        <v>5241</v>
      </c>
      <c r="I3275" s="334">
        <v>1.53125E-2</v>
      </c>
      <c r="J3275" s="334" t="s">
        <v>5241</v>
      </c>
      <c r="K3275" s="33">
        <v>43183</v>
      </c>
      <c r="L3275" s="1398">
        <v>392</v>
      </c>
      <c r="N3275" s="1653"/>
      <c r="P3275" s="1654" t="s">
        <v>475</v>
      </c>
    </row>
    <row r="3276" spans="3:16" ht="15" x14ac:dyDescent="0.25">
      <c r="C3276" s="74" t="s">
        <v>1509</v>
      </c>
      <c r="D3276" s="24">
        <f>Runners!N3613</f>
        <v>0</v>
      </c>
      <c r="E3276" s="183">
        <f>Runners!N3612</f>
        <v>0</v>
      </c>
      <c r="F3276" s="6" t="s">
        <v>5096</v>
      </c>
      <c r="G3276" s="1">
        <v>1.4872685185185185E-2</v>
      </c>
      <c r="H3276" s="53"/>
      <c r="I3276" s="54"/>
      <c r="J3276" s="32" t="s">
        <v>1000</v>
      </c>
      <c r="K3276" s="33">
        <v>42329</v>
      </c>
      <c r="L3276" s="9">
        <v>209</v>
      </c>
      <c r="N3276" s="1653"/>
      <c r="P3276" s="1654" t="s">
        <v>2294</v>
      </c>
    </row>
    <row r="3277" spans="3:16" ht="15" x14ac:dyDescent="0.25">
      <c r="C3277" s="74" t="s">
        <v>891</v>
      </c>
      <c r="D3277" s="24">
        <f>Runners!M3498</f>
        <v>0</v>
      </c>
      <c r="E3277" s="183">
        <f>Runners!M3497</f>
        <v>0</v>
      </c>
      <c r="F3277" s="6" t="s">
        <v>1000</v>
      </c>
      <c r="G3277" s="1">
        <v>1.7939814814814815E-2</v>
      </c>
      <c r="H3277" s="206" t="s">
        <v>748</v>
      </c>
      <c r="I3277" s="1">
        <v>2.4224537037037034E-2</v>
      </c>
      <c r="J3277" s="32" t="s">
        <v>1000</v>
      </c>
      <c r="K3277" s="34">
        <v>41251</v>
      </c>
      <c r="L3277" s="9">
        <v>47</v>
      </c>
      <c r="N3277" s="1653"/>
      <c r="P3277" s="1654" t="s">
        <v>891</v>
      </c>
    </row>
    <row r="3278" spans="3:16" ht="15" x14ac:dyDescent="0.25">
      <c r="C3278" s="532" t="s">
        <v>9308</v>
      </c>
      <c r="D3278" s="531">
        <f>Runners!M3311</f>
        <v>0</v>
      </c>
      <c r="E3278" s="541">
        <f>Runners!M3310</f>
        <v>0</v>
      </c>
      <c r="F3278" s="79" t="s">
        <v>12794</v>
      </c>
      <c r="G3278" s="1">
        <v>1.4189814814814815E-2</v>
      </c>
      <c r="H3278" s="197" t="s">
        <v>5241</v>
      </c>
      <c r="I3278" s="1">
        <v>1.5092592592592593E-2</v>
      </c>
      <c r="J3278" s="334" t="s">
        <v>4239</v>
      </c>
      <c r="K3278" s="34">
        <v>43176</v>
      </c>
      <c r="L3278" s="1398">
        <v>390</v>
      </c>
      <c r="N3278" s="1653"/>
      <c r="P3278" s="1654" t="s">
        <v>9307</v>
      </c>
    </row>
    <row r="3279" spans="3:16" ht="15" x14ac:dyDescent="0.25">
      <c r="C3279" s="532" t="s">
        <v>10229</v>
      </c>
      <c r="D3279" s="531">
        <f>Runners!H3785</f>
        <v>0</v>
      </c>
      <c r="E3279" s="541">
        <f>Runners!H3784</f>
        <v>0</v>
      </c>
      <c r="F3279" s="534" t="s">
        <v>654</v>
      </c>
      <c r="G3279" s="1">
        <v>2.4895833333333336E-2</v>
      </c>
      <c r="H3279" s="197"/>
      <c r="J3279" s="512" t="s">
        <v>654</v>
      </c>
      <c r="K3279" s="34">
        <v>43295</v>
      </c>
      <c r="L3279" s="9">
        <v>424</v>
      </c>
      <c r="N3279" s="1653"/>
      <c r="P3279" s="1654" t="s">
        <v>10229</v>
      </c>
    </row>
    <row r="3280" spans="3:16" ht="15" x14ac:dyDescent="0.25">
      <c r="C3280" s="1088" t="s">
        <v>8154</v>
      </c>
      <c r="D3280" s="1088">
        <f>Runners!S3599</f>
        <v>0</v>
      </c>
      <c r="E3280" s="1151">
        <f>Runners!S3598</f>
        <v>0</v>
      </c>
      <c r="F3280" s="6" t="s">
        <v>5096</v>
      </c>
      <c r="G3280" s="1">
        <v>1.5219907407407409E-2</v>
      </c>
      <c r="H3280" s="197" t="s">
        <v>1062</v>
      </c>
      <c r="I3280" s="1">
        <v>2.3518518518518518E-2</v>
      </c>
      <c r="J3280" s="334" t="s">
        <v>5096</v>
      </c>
      <c r="K3280" s="34">
        <v>42959</v>
      </c>
      <c r="L3280" s="9">
        <v>352</v>
      </c>
      <c r="N3280" s="1653"/>
      <c r="P3280" s="1654" t="s">
        <v>8154</v>
      </c>
    </row>
    <row r="3281" spans="3:16" ht="15" x14ac:dyDescent="0.25">
      <c r="C3281" s="415" t="s">
        <v>8116</v>
      </c>
      <c r="D3281" s="24">
        <f>Runners!V3457</f>
        <v>0</v>
      </c>
      <c r="E3281" s="183">
        <f>Runners!V3456</f>
        <v>0</v>
      </c>
      <c r="F3281" s="79" t="s">
        <v>1270</v>
      </c>
      <c r="G3281" s="1">
        <v>1.5185185185185185E-2</v>
      </c>
      <c r="H3281" s="80" t="s">
        <v>9806</v>
      </c>
      <c r="I3281" s="1">
        <v>1.5844907407407408E-2</v>
      </c>
      <c r="J3281" s="334" t="s">
        <v>3254</v>
      </c>
      <c r="K3281" s="34">
        <v>42917</v>
      </c>
      <c r="L3281" s="9">
        <v>342</v>
      </c>
      <c r="N3281" s="1653"/>
      <c r="P3281" s="1654" t="s">
        <v>8890</v>
      </c>
    </row>
    <row r="3282" spans="3:16" ht="15" x14ac:dyDescent="0.25">
      <c r="C3282" s="415" t="s">
        <v>8454</v>
      </c>
      <c r="D3282" s="24">
        <f>Runners!K4236</f>
        <v>0</v>
      </c>
      <c r="E3282" s="183">
        <f>Runners!K4235</f>
        <v>0</v>
      </c>
      <c r="F3282" s="79" t="s">
        <v>1270</v>
      </c>
      <c r="G3282" s="1">
        <v>1.6122685185185184E-2</v>
      </c>
      <c r="H3282" s="80" t="s">
        <v>5894</v>
      </c>
      <c r="I3282" s="1">
        <v>2.2488425925925926E-2</v>
      </c>
      <c r="J3282" s="334" t="s">
        <v>5895</v>
      </c>
      <c r="K3282" s="34">
        <v>42980</v>
      </c>
      <c r="L3282" s="1398">
        <v>362</v>
      </c>
      <c r="N3282" s="1653"/>
      <c r="P3282" s="1654" t="s">
        <v>15227</v>
      </c>
    </row>
    <row r="3283" spans="3:16" ht="15" x14ac:dyDescent="0.25">
      <c r="C3283" s="415" t="s">
        <v>8720</v>
      </c>
      <c r="D3283" s="24">
        <f>Runners!J4285</f>
        <v>0</v>
      </c>
      <c r="E3283" s="183">
        <f>Runners!J4284</f>
        <v>0</v>
      </c>
      <c r="F3283" s="79" t="s">
        <v>4584</v>
      </c>
      <c r="G3283" s="1">
        <v>2.1539351851851851E-2</v>
      </c>
      <c r="H3283" s="80"/>
      <c r="J3283" s="334" t="s">
        <v>4584</v>
      </c>
      <c r="K3283" s="34">
        <v>43029</v>
      </c>
      <c r="L3283" s="1398">
        <v>369</v>
      </c>
      <c r="N3283" s="1653"/>
      <c r="P3283" s="1654" t="s">
        <v>8720</v>
      </c>
    </row>
    <row r="3284" spans="3:16" ht="15" x14ac:dyDescent="0.25">
      <c r="C3284" s="532" t="s">
        <v>10433</v>
      </c>
      <c r="D3284" s="531">
        <f>Runners!J3457</f>
        <v>0</v>
      </c>
      <c r="E3284" s="541">
        <f>Runners!J3456</f>
        <v>0</v>
      </c>
      <c r="F3284" s="79" t="s">
        <v>5881</v>
      </c>
      <c r="G3284" s="334">
        <v>1.6469907407407405E-2</v>
      </c>
      <c r="H3284" s="2" t="s">
        <v>9806</v>
      </c>
      <c r="I3284" s="334">
        <v>1.4513888888888889E-2</v>
      </c>
      <c r="J3284" s="334" t="s">
        <v>4322</v>
      </c>
      <c r="K3284" s="34">
        <v>43330</v>
      </c>
      <c r="L3284" s="1398">
        <v>433</v>
      </c>
      <c r="N3284" s="1653"/>
      <c r="P3284" s="1654" t="s">
        <v>10622</v>
      </c>
    </row>
    <row r="3285" spans="3:16" ht="15" x14ac:dyDescent="0.25">
      <c r="C3285" s="74" t="s">
        <v>5654</v>
      </c>
      <c r="D3285" s="24">
        <f>Runners!Y3534</f>
        <v>0</v>
      </c>
      <c r="E3285" s="183">
        <f>Runners!Y3533</f>
        <v>0</v>
      </c>
      <c r="F3285" s="79" t="s">
        <v>5096</v>
      </c>
      <c r="G3285" s="1">
        <v>1.4641203703703703E-2</v>
      </c>
      <c r="J3285" s="32" t="s">
        <v>1000</v>
      </c>
      <c r="K3285" s="34">
        <v>41118</v>
      </c>
      <c r="L3285" s="9">
        <v>33</v>
      </c>
      <c r="N3285" s="1653"/>
      <c r="P3285" s="1654" t="s">
        <v>5654</v>
      </c>
    </row>
    <row r="3286" spans="3:16" ht="15" x14ac:dyDescent="0.25">
      <c r="C3286" s="74" t="s">
        <v>1693</v>
      </c>
      <c r="D3286" s="24">
        <f>Runners!K4203</f>
        <v>0</v>
      </c>
      <c r="E3286" s="183">
        <f>Runners!K4202</f>
        <v>0</v>
      </c>
      <c r="F3286" s="6" t="s">
        <v>1000</v>
      </c>
      <c r="G3286" s="1">
        <v>1.8113425925925925E-2</v>
      </c>
      <c r="J3286" s="32" t="s">
        <v>1000</v>
      </c>
      <c r="K3286" s="34">
        <v>42343</v>
      </c>
      <c r="L3286" s="9">
        <v>212</v>
      </c>
      <c r="N3286" s="1653"/>
      <c r="P3286" s="1654" t="s">
        <v>5039</v>
      </c>
    </row>
    <row r="3287" spans="3:16" ht="15" x14ac:dyDescent="0.25">
      <c r="C3287" s="74" t="s">
        <v>1531</v>
      </c>
      <c r="D3287" s="24">
        <f>Runners!G3564</f>
        <v>0</v>
      </c>
      <c r="E3287" s="183">
        <f>Runners!G3563</f>
        <v>0</v>
      </c>
      <c r="F3287" s="6" t="s">
        <v>4584</v>
      </c>
      <c r="G3287" s="1">
        <v>1.8912037037037036E-2</v>
      </c>
      <c r="J3287" s="1" t="s">
        <v>4584</v>
      </c>
      <c r="K3287" s="34">
        <v>41640</v>
      </c>
      <c r="L3287" s="9">
        <v>86</v>
      </c>
      <c r="N3287" s="1653"/>
      <c r="P3287" s="1654" t="s">
        <v>6016</v>
      </c>
    </row>
    <row r="3288" spans="3:16" ht="15" x14ac:dyDescent="0.25">
      <c r="C3288" s="74" t="s">
        <v>2869</v>
      </c>
      <c r="D3288" s="24">
        <f>Runners!Z4203</f>
        <v>0</v>
      </c>
      <c r="E3288" s="183">
        <f>Runners!Z4202</f>
        <v>0</v>
      </c>
      <c r="F3288" s="6" t="s">
        <v>4637</v>
      </c>
      <c r="G3288" s="1">
        <v>1.6712962962962961E-2</v>
      </c>
      <c r="J3288" s="1" t="s">
        <v>4637</v>
      </c>
      <c r="K3288" s="34">
        <v>42378</v>
      </c>
      <c r="L3288" s="9">
        <v>221</v>
      </c>
      <c r="N3288" s="1653"/>
      <c r="P3288" s="1654" t="s">
        <v>2869</v>
      </c>
    </row>
    <row r="3289" spans="3:16" ht="15" x14ac:dyDescent="0.25">
      <c r="C3289" s="532" t="s">
        <v>8111</v>
      </c>
      <c r="D3289" s="531">
        <f>Runners!I3564</f>
        <v>0</v>
      </c>
      <c r="E3289" s="541">
        <f>Runners!I3563</f>
        <v>0</v>
      </c>
      <c r="F3289" s="534" t="s">
        <v>3790</v>
      </c>
      <c r="G3289" s="334">
        <v>1.7662037037037035E-2</v>
      </c>
      <c r="H3289" s="513" t="s">
        <v>4596</v>
      </c>
      <c r="I3289" s="1">
        <v>2.1666666666666667E-2</v>
      </c>
      <c r="J3289" s="1" t="s">
        <v>4778</v>
      </c>
      <c r="K3289" s="34">
        <v>42959</v>
      </c>
      <c r="L3289" s="9">
        <v>354</v>
      </c>
      <c r="N3289" s="1653"/>
      <c r="P3289" s="1654" t="s">
        <v>8111</v>
      </c>
    </row>
    <row r="3290" spans="3:16" ht="15" x14ac:dyDescent="0.25">
      <c r="C3290" s="532" t="s">
        <v>5230</v>
      </c>
      <c r="D3290" s="531">
        <f>Runners!P3613</f>
        <v>0</v>
      </c>
      <c r="E3290" s="541">
        <f>Runners!P3612</f>
        <v>0</v>
      </c>
      <c r="F3290" s="79" t="s">
        <v>4778</v>
      </c>
      <c r="G3290" s="1">
        <v>2.6192129629629631E-2</v>
      </c>
      <c r="J3290" s="1" t="s">
        <v>4778</v>
      </c>
      <c r="K3290" s="34">
        <v>43337</v>
      </c>
      <c r="L3290" s="1398">
        <v>435</v>
      </c>
      <c r="N3290" s="1653"/>
      <c r="P3290" s="1654" t="s">
        <v>5230</v>
      </c>
    </row>
    <row r="3291" spans="3:16" ht="15" x14ac:dyDescent="0.25">
      <c r="C3291" s="532" t="s">
        <v>9578</v>
      </c>
      <c r="D3291" s="531">
        <f>Runners!N3498</f>
        <v>0</v>
      </c>
      <c r="E3291" s="541">
        <f>Runners!N3497</f>
        <v>0</v>
      </c>
      <c r="F3291" s="1415" t="s">
        <v>5881</v>
      </c>
      <c r="G3291" s="1432">
        <v>1.6145833333333335E-2</v>
      </c>
      <c r="H3291" s="968" t="s">
        <v>5241</v>
      </c>
      <c r="I3291" s="1">
        <v>1.6944444444444443E-2</v>
      </c>
      <c r="J3291" s="334" t="s">
        <v>9631</v>
      </c>
      <c r="K3291" s="34">
        <v>43211</v>
      </c>
      <c r="L3291" s="1398">
        <v>404</v>
      </c>
      <c r="N3291" s="1653"/>
      <c r="P3291" s="1654" t="s">
        <v>9578</v>
      </c>
    </row>
    <row r="3292" spans="3:16" ht="15" x14ac:dyDescent="0.25">
      <c r="C3292" s="74" t="s">
        <v>4377</v>
      </c>
      <c r="D3292" s="24">
        <f>Runners!K3812</f>
        <v>0</v>
      </c>
      <c r="E3292" s="183">
        <f>Runners!K3811</f>
        <v>0</v>
      </c>
      <c r="F3292" s="6" t="s">
        <v>4407</v>
      </c>
      <c r="G3292" s="1">
        <v>1.5127314814814816E-2</v>
      </c>
      <c r="H3292" t="s">
        <v>5241</v>
      </c>
      <c r="I3292" s="1">
        <v>1.5138888888888889E-2</v>
      </c>
      <c r="J3292" s="1" t="s">
        <v>4637</v>
      </c>
      <c r="K3292" s="34">
        <v>42434</v>
      </c>
      <c r="L3292" s="1398">
        <v>234</v>
      </c>
      <c r="N3292" s="1653"/>
      <c r="P3292" s="1654" t="s">
        <v>4321</v>
      </c>
    </row>
    <row r="3293" spans="3:16" ht="15" x14ac:dyDescent="0.25">
      <c r="C3293" s="415" t="s">
        <v>462</v>
      </c>
      <c r="D3293" s="948">
        <f>Runners!H3398</f>
        <v>0</v>
      </c>
      <c r="E3293" s="948">
        <f>Runners!H3397</f>
        <v>0</v>
      </c>
      <c r="F3293" s="6" t="s">
        <v>5886</v>
      </c>
      <c r="G3293" s="1">
        <v>1.3055555555555556E-2</v>
      </c>
      <c r="H3293" s="513" t="s">
        <v>9806</v>
      </c>
      <c r="I3293" s="1">
        <v>1.4548611111111111E-2</v>
      </c>
      <c r="J3293" s="32" t="s">
        <v>4467</v>
      </c>
      <c r="K3293" s="34">
        <v>42658</v>
      </c>
      <c r="L3293" s="9">
        <v>293</v>
      </c>
      <c r="N3293" s="1653"/>
      <c r="P3293" s="1654" t="s">
        <v>1982</v>
      </c>
    </row>
    <row r="3294" spans="3:16" ht="15" x14ac:dyDescent="0.25">
      <c r="C3294" s="74" t="s">
        <v>840</v>
      </c>
      <c r="D3294" s="24">
        <f>Runners!N3683</f>
        <v>0</v>
      </c>
      <c r="E3294" s="183">
        <f>Runners!N3682</f>
        <v>0</v>
      </c>
      <c r="F3294" s="6" t="s">
        <v>334</v>
      </c>
      <c r="G3294" s="1">
        <v>1.238425925925926E-2</v>
      </c>
      <c r="H3294" t="s">
        <v>9553</v>
      </c>
      <c r="I3294" s="1">
        <v>1.579861111111111E-2</v>
      </c>
      <c r="J3294" s="32" t="s">
        <v>1000</v>
      </c>
      <c r="K3294" s="34">
        <v>41902</v>
      </c>
      <c r="L3294" s="1398">
        <v>130</v>
      </c>
      <c r="N3294" s="1653"/>
      <c r="P3294" s="1654" t="s">
        <v>840</v>
      </c>
    </row>
    <row r="3295" spans="3:16" ht="15" x14ac:dyDescent="0.25">
      <c r="C3295" s="415" t="s">
        <v>8996</v>
      </c>
      <c r="D3295" s="24">
        <f>Runners!J3599</f>
        <v>0</v>
      </c>
      <c r="E3295" s="183">
        <f>Runners!J3598</f>
        <v>0</v>
      </c>
      <c r="F3295" s="79" t="s">
        <v>5096</v>
      </c>
      <c r="G3295" s="1">
        <v>1.4560185185185183E-2</v>
      </c>
      <c r="H3295" s="1091" t="s">
        <v>1062</v>
      </c>
      <c r="J3295" s="334" t="s">
        <v>4897</v>
      </c>
      <c r="K3295" s="34">
        <v>43099</v>
      </c>
      <c r="L3295" s="1398">
        <v>374</v>
      </c>
      <c r="N3295" s="1653"/>
      <c r="P3295" s="1654" t="s">
        <v>8897</v>
      </c>
    </row>
    <row r="3296" spans="3:16" ht="15" x14ac:dyDescent="0.25">
      <c r="C3296" s="511" t="s">
        <v>2783</v>
      </c>
      <c r="D3296" s="531">
        <f>Runners!O3683</f>
        <v>0</v>
      </c>
      <c r="E3296" s="541">
        <f>Runners!O3682</f>
        <v>0</v>
      </c>
      <c r="F3296" s="79" t="s">
        <v>3790</v>
      </c>
      <c r="G3296" s="1">
        <v>1.7164351851851851E-2</v>
      </c>
      <c r="H3296" s="80" t="s">
        <v>4596</v>
      </c>
      <c r="I3296" s="1">
        <v>1.7905092592592594E-2</v>
      </c>
      <c r="J3296" s="32" t="s">
        <v>1000</v>
      </c>
      <c r="K3296" s="34">
        <v>42777</v>
      </c>
      <c r="L3296" s="9">
        <v>319</v>
      </c>
      <c r="N3296" s="1653"/>
      <c r="P3296" s="1654" t="s">
        <v>2783</v>
      </c>
    </row>
    <row r="3297" spans="3:16" ht="15" x14ac:dyDescent="0.25">
      <c r="C3297" s="532" t="s">
        <v>5836</v>
      </c>
      <c r="D3297" s="531">
        <f>Runners!L3968</f>
        <v>0</v>
      </c>
      <c r="E3297" s="541">
        <f>Runners!L3967</f>
        <v>0</v>
      </c>
      <c r="F3297" s="6" t="s">
        <v>4584</v>
      </c>
      <c r="G3297" s="1">
        <v>1.9722222222222221E-2</v>
      </c>
      <c r="J3297" s="334" t="s">
        <v>4584</v>
      </c>
      <c r="K3297" s="34">
        <v>42826</v>
      </c>
      <c r="L3297" s="9">
        <v>328</v>
      </c>
      <c r="N3297" s="1653"/>
      <c r="P3297" s="1654" t="s">
        <v>5836</v>
      </c>
    </row>
    <row r="3298" spans="3:16" ht="15" x14ac:dyDescent="0.25">
      <c r="C3298" s="74" t="s">
        <v>3226</v>
      </c>
      <c r="D3298" s="24">
        <f>Runners!M3968</f>
        <v>0</v>
      </c>
      <c r="E3298" s="183">
        <f>Runners!M3967</f>
        <v>0</v>
      </c>
      <c r="F3298" s="6" t="s">
        <v>5884</v>
      </c>
      <c r="G3298" s="1">
        <v>1.40625E-2</v>
      </c>
      <c r="J3298" s="1" t="s">
        <v>5884</v>
      </c>
      <c r="K3298" s="34">
        <v>41965</v>
      </c>
      <c r="L3298" s="9">
        <v>141</v>
      </c>
      <c r="N3298" s="1653"/>
      <c r="P3298" s="1654" t="s">
        <v>3226</v>
      </c>
    </row>
    <row r="3299" spans="3:16" ht="15" x14ac:dyDescent="0.25">
      <c r="C3299" s="532" t="s">
        <v>3227</v>
      </c>
      <c r="D3299" s="531">
        <f>Runners!N3968</f>
        <v>0</v>
      </c>
      <c r="E3299" s="541">
        <f>Runners!N3967</f>
        <v>0</v>
      </c>
      <c r="F3299" s="6"/>
      <c r="H3299" s="513" t="s">
        <v>1062</v>
      </c>
      <c r="I3299" s="1">
        <v>2.6736111111111113E-2</v>
      </c>
      <c r="J3299" s="512" t="s">
        <v>1062</v>
      </c>
      <c r="K3299" s="34">
        <v>42736</v>
      </c>
      <c r="L3299" s="9">
        <v>314</v>
      </c>
      <c r="N3299" s="1653"/>
      <c r="P3299" s="1654" t="s">
        <v>3227</v>
      </c>
    </row>
    <row r="3300" spans="3:16" ht="15" x14ac:dyDescent="0.25">
      <c r="C3300" s="511" t="s">
        <v>2732</v>
      </c>
      <c r="D3300" s="24">
        <f>Runners!I3829</f>
        <v>0</v>
      </c>
      <c r="E3300" s="183">
        <f>Runners!I3828</f>
        <v>0</v>
      </c>
      <c r="F3300" s="6" t="s">
        <v>1000</v>
      </c>
      <c r="G3300" s="1">
        <v>1.9108796296296294E-2</v>
      </c>
      <c r="H3300" t="s">
        <v>8441</v>
      </c>
      <c r="I3300" s="1">
        <v>2.5555555555555554E-2</v>
      </c>
      <c r="J3300" s="1" t="s">
        <v>1000</v>
      </c>
      <c r="K3300" s="34">
        <v>42420</v>
      </c>
      <c r="L3300" s="9">
        <v>229</v>
      </c>
      <c r="N3300" s="1653"/>
      <c r="P3300" s="1654" t="s">
        <v>2732</v>
      </c>
    </row>
    <row r="3301" spans="3:16" ht="15" x14ac:dyDescent="0.25">
      <c r="C3301" s="532" t="s">
        <v>11408</v>
      </c>
      <c r="D3301" s="24">
        <f>Runners!T3922</f>
        <v>0</v>
      </c>
      <c r="E3301" s="183">
        <f>Runners!T3921</f>
        <v>0</v>
      </c>
      <c r="F3301" s="6"/>
      <c r="H3301" t="s">
        <v>9805</v>
      </c>
      <c r="I3301" s="1">
        <v>2.4305555555555556E-2</v>
      </c>
      <c r="J3301" s="1" t="s">
        <v>9805</v>
      </c>
      <c r="K3301" s="34">
        <v>43372</v>
      </c>
      <c r="L3301" s="1398">
        <v>461</v>
      </c>
      <c r="N3301" s="1653"/>
      <c r="P3301" s="1654" t="s">
        <v>11408</v>
      </c>
    </row>
    <row r="3302" spans="3:16" ht="15" x14ac:dyDescent="0.25">
      <c r="C3302" s="74" t="s">
        <v>2655</v>
      </c>
      <c r="D3302" s="24">
        <f>Runners!W3812</f>
        <v>0</v>
      </c>
      <c r="E3302" s="183">
        <f>Runners!W3811</f>
        <v>0</v>
      </c>
      <c r="F3302" s="6" t="s">
        <v>1000</v>
      </c>
      <c r="G3302" s="1">
        <v>1.8460648148148146E-2</v>
      </c>
      <c r="J3302" s="32" t="s">
        <v>1000</v>
      </c>
      <c r="K3302" s="34">
        <v>42005</v>
      </c>
      <c r="L3302" s="1398">
        <v>150</v>
      </c>
      <c r="N3302" s="1653"/>
      <c r="P3302" s="1654" t="s">
        <v>2384</v>
      </c>
    </row>
    <row r="3303" spans="3:16" ht="15" x14ac:dyDescent="0.25">
      <c r="C3303" s="532" t="s">
        <v>11991</v>
      </c>
      <c r="D3303" s="24">
        <f>Runners!Q3859</f>
        <v>0</v>
      </c>
      <c r="E3303" s="183">
        <f>Runners!Q3858</f>
        <v>0</v>
      </c>
      <c r="F3303" s="79" t="s">
        <v>5096</v>
      </c>
      <c r="J3303" s="334" t="s">
        <v>5096</v>
      </c>
      <c r="K3303" s="34">
        <v>43631</v>
      </c>
      <c r="L3303" s="1398">
        <v>505</v>
      </c>
      <c r="N3303" s="1653"/>
      <c r="P3303" s="1654" t="s">
        <v>12906</v>
      </c>
    </row>
    <row r="3304" spans="3:16" ht="15" x14ac:dyDescent="0.25">
      <c r="C3304" s="532" t="s">
        <v>9436</v>
      </c>
      <c r="D3304" s="531">
        <f>Runners!T4236</f>
        <v>0</v>
      </c>
      <c r="E3304" s="541">
        <f>Runners!T4235</f>
        <v>0</v>
      </c>
      <c r="F3304" s="1411" t="s">
        <v>1000</v>
      </c>
      <c r="G3304" s="1412">
        <v>1.954861111111111E-2</v>
      </c>
      <c r="H3304" s="1371"/>
      <c r="I3304" s="1412"/>
      <c r="J3304" s="1432" t="s">
        <v>1000</v>
      </c>
      <c r="K3304" s="1379">
        <v>43575</v>
      </c>
      <c r="L3304" s="1398">
        <v>490</v>
      </c>
      <c r="N3304" s="1653"/>
      <c r="P3304" s="1654" t="s">
        <v>10737</v>
      </c>
    </row>
    <row r="3305" spans="3:16" ht="15" x14ac:dyDescent="0.25">
      <c r="C3305" s="532" t="s">
        <v>11154</v>
      </c>
      <c r="D3305" s="531">
        <f>Runners!M4203</f>
        <v>0</v>
      </c>
      <c r="E3305" s="541">
        <f>Runners!M4202</f>
        <v>0</v>
      </c>
      <c r="F3305" s="6" t="s">
        <v>1000</v>
      </c>
      <c r="G3305" s="1">
        <v>1.9895833333333331E-2</v>
      </c>
      <c r="J3305" s="334" t="s">
        <v>1000</v>
      </c>
      <c r="K3305" s="34">
        <v>43435</v>
      </c>
      <c r="L3305" s="1398">
        <v>456</v>
      </c>
      <c r="N3305" s="1653"/>
      <c r="P3305" s="1654" t="s">
        <v>11154</v>
      </c>
    </row>
    <row r="3306" spans="3:16" ht="15" x14ac:dyDescent="0.25">
      <c r="C3306" s="15" t="s">
        <v>4296</v>
      </c>
      <c r="D3306" s="24">
        <f>Runners!H3708</f>
        <v>0</v>
      </c>
      <c r="E3306" s="183">
        <f>Runners!H3707</f>
        <v>0</v>
      </c>
      <c r="F3306" s="534" t="s">
        <v>3790</v>
      </c>
      <c r="G3306" s="1">
        <v>1.650462962962963E-2</v>
      </c>
      <c r="H3306" s="197" t="s">
        <v>4596</v>
      </c>
      <c r="I3306" s="1">
        <v>1.7337962962962961E-2</v>
      </c>
      <c r="J3306" s="32" t="s">
        <v>5097</v>
      </c>
      <c r="K3306" s="34">
        <v>42301</v>
      </c>
      <c r="L3306" s="1398">
        <v>202</v>
      </c>
      <c r="N3306" s="1653"/>
      <c r="P3306" s="1654" t="s">
        <v>2596</v>
      </c>
    </row>
    <row r="3307" spans="3:16" ht="15" x14ac:dyDescent="0.25">
      <c r="C3307" s="532" t="s">
        <v>11010</v>
      </c>
      <c r="D3307" s="531">
        <f>Runners!T3599</f>
        <v>0</v>
      </c>
      <c r="E3307" s="541">
        <f>Runners!T3598</f>
        <v>0</v>
      </c>
      <c r="F3307" s="1310" t="s">
        <v>4778</v>
      </c>
      <c r="G3307" s="1">
        <v>2.6493055555555558E-2</v>
      </c>
      <c r="H3307" s="319" t="s">
        <v>748</v>
      </c>
      <c r="I3307" s="334">
        <v>2.5694444444444447E-2</v>
      </c>
      <c r="J3307" s="512" t="s">
        <v>748</v>
      </c>
      <c r="K3307" s="34">
        <v>43477</v>
      </c>
      <c r="L3307" s="1398">
        <v>463</v>
      </c>
      <c r="N3307" s="1653"/>
      <c r="P3307" s="1654" t="s">
        <v>11009</v>
      </c>
    </row>
    <row r="3308" spans="3:16" ht="15" x14ac:dyDescent="0.25">
      <c r="C3308" s="15" t="s">
        <v>9226</v>
      </c>
      <c r="D3308" s="24">
        <f>Runners!U4203</f>
        <v>0</v>
      </c>
      <c r="E3308" s="183">
        <f>Runners!U4202</f>
        <v>0</v>
      </c>
      <c r="F3308" s="79" t="s">
        <v>756</v>
      </c>
      <c r="G3308" s="1">
        <v>2.0057870370370368E-2</v>
      </c>
      <c r="H3308" s="197"/>
      <c r="J3308" s="334" t="s">
        <v>756</v>
      </c>
      <c r="K3308" s="34">
        <v>42776</v>
      </c>
      <c r="L3308" s="1398">
        <v>385</v>
      </c>
      <c r="N3308" s="1653"/>
      <c r="P3308" s="1654" t="s">
        <v>9224</v>
      </c>
    </row>
    <row r="3309" spans="3:16" ht="15" x14ac:dyDescent="0.25">
      <c r="C3309" s="415" t="s">
        <v>842</v>
      </c>
      <c r="D3309" s="24">
        <f>Runners!X3812</f>
        <v>0</v>
      </c>
      <c r="E3309" s="183">
        <f>Runners!X3811</f>
        <v>0</v>
      </c>
      <c r="F3309" s="6"/>
      <c r="H3309" t="s">
        <v>71</v>
      </c>
      <c r="I3309" s="1">
        <v>1.6967592592592593E-2</v>
      </c>
      <c r="J3309" s="32" t="s">
        <v>4378</v>
      </c>
      <c r="K3309" s="34">
        <v>42434</v>
      </c>
      <c r="L3309" s="1398">
        <v>233</v>
      </c>
      <c r="N3309" s="1653"/>
      <c r="P3309" s="1654" t="s">
        <v>842</v>
      </c>
    </row>
    <row r="3310" spans="3:16" ht="15" x14ac:dyDescent="0.25">
      <c r="C3310" s="415" t="s">
        <v>1299</v>
      </c>
      <c r="D3310" s="24">
        <f>Runners!U3922</f>
        <v>0</v>
      </c>
      <c r="E3310" s="183">
        <f>Runners!U3921</f>
        <v>0</v>
      </c>
      <c r="F3310" s="79" t="s">
        <v>298</v>
      </c>
      <c r="G3310" s="1">
        <v>1.6516203703703703E-2</v>
      </c>
      <c r="H3310" s="80" t="s">
        <v>5903</v>
      </c>
      <c r="I3310" s="1">
        <v>1.8657407407407407E-2</v>
      </c>
      <c r="J3310" s="334" t="s">
        <v>6140</v>
      </c>
      <c r="K3310" s="34">
        <v>42805</v>
      </c>
      <c r="L3310" s="9">
        <v>324</v>
      </c>
      <c r="N3310" s="1653"/>
      <c r="P3310" s="1654" t="s">
        <v>1299</v>
      </c>
    </row>
    <row r="3311" spans="3:16" ht="15" x14ac:dyDescent="0.25">
      <c r="C3311" s="74" t="s">
        <v>5283</v>
      </c>
      <c r="D3311" s="24">
        <f>Runners!X3881</f>
        <v>0</v>
      </c>
      <c r="E3311" s="183">
        <f>Runners!X3880</f>
        <v>0</v>
      </c>
      <c r="F3311" s="6"/>
      <c r="H3311" s="206" t="s">
        <v>1062</v>
      </c>
      <c r="I3311" s="1">
        <v>2.7002314814814812E-2</v>
      </c>
      <c r="J3311" s="265" t="s">
        <v>1062</v>
      </c>
      <c r="K3311" s="34">
        <v>42679</v>
      </c>
      <c r="L3311" s="9">
        <v>301</v>
      </c>
      <c r="N3311" s="1653"/>
      <c r="P3311" s="1654" t="s">
        <v>615</v>
      </c>
    </row>
    <row r="3312" spans="3:16" ht="15" x14ac:dyDescent="0.25">
      <c r="C3312" s="74" t="s">
        <v>1347</v>
      </c>
      <c r="D3312" s="24">
        <f>Runners!R3785</f>
        <v>0</v>
      </c>
      <c r="E3312" s="183">
        <f>Runners!R3784</f>
        <v>0</v>
      </c>
      <c r="F3312" s="6" t="s">
        <v>3216</v>
      </c>
      <c r="G3312" s="1">
        <v>1.6157407407407409E-2</v>
      </c>
      <c r="H3312" s="206" t="s">
        <v>1062</v>
      </c>
      <c r="I3312" s="1">
        <v>2.5983796296296297E-2</v>
      </c>
      <c r="J3312" s="1" t="s">
        <v>3216</v>
      </c>
      <c r="K3312" s="34">
        <v>41132</v>
      </c>
      <c r="L3312" s="9">
        <v>35</v>
      </c>
      <c r="N3312" s="1653"/>
      <c r="P3312" s="1654" t="s">
        <v>1121</v>
      </c>
    </row>
    <row r="3313" spans="3:16" ht="15" x14ac:dyDescent="0.25">
      <c r="C3313" s="74" t="s">
        <v>707</v>
      </c>
      <c r="D3313" s="24">
        <f>Runners!L3812</f>
        <v>0</v>
      </c>
      <c r="E3313" s="183">
        <f>Runners!L3811</f>
        <v>0</v>
      </c>
      <c r="F3313" s="6" t="s">
        <v>5096</v>
      </c>
      <c r="G3313" s="1">
        <v>1.6666666666666666E-2</v>
      </c>
      <c r="J3313" s="1" t="s">
        <v>5096</v>
      </c>
      <c r="K3313" s="34">
        <v>41832</v>
      </c>
      <c r="L3313" s="9">
        <v>117</v>
      </c>
      <c r="N3313" s="1653"/>
      <c r="P3313" s="1654" t="s">
        <v>15228</v>
      </c>
    </row>
    <row r="3314" spans="3:16" ht="15" x14ac:dyDescent="0.25">
      <c r="C3314" s="74" t="s">
        <v>1812</v>
      </c>
      <c r="D3314" s="24">
        <f>Runners!S3859</f>
        <v>0</v>
      </c>
      <c r="E3314" s="183">
        <f>Runners!S3858</f>
        <v>0</v>
      </c>
      <c r="F3314" s="534" t="s">
        <v>3790</v>
      </c>
      <c r="G3314" s="512">
        <v>1.6597222222222222E-2</v>
      </c>
      <c r="H3314" s="513" t="s">
        <v>4596</v>
      </c>
      <c r="I3314" s="334">
        <v>1.9641203703703706E-2</v>
      </c>
      <c r="J3314" s="32" t="s">
        <v>1000</v>
      </c>
      <c r="K3314" s="34">
        <v>41923</v>
      </c>
      <c r="L3314" s="9">
        <v>134</v>
      </c>
      <c r="N3314" s="1653"/>
      <c r="P3314" s="1654" t="s">
        <v>1812</v>
      </c>
    </row>
    <row r="3315" spans="3:16" ht="15" x14ac:dyDescent="0.25">
      <c r="C3315" s="74" t="s">
        <v>2147</v>
      </c>
      <c r="D3315" s="24">
        <f>Runners!Q3248</f>
        <v>0</v>
      </c>
      <c r="E3315" s="183">
        <f>Runners!Q3247</f>
        <v>0</v>
      </c>
      <c r="F3315" s="6" t="s">
        <v>5884</v>
      </c>
      <c r="G3315" s="1">
        <v>1.4108796296296295E-2</v>
      </c>
      <c r="H3315" s="319" t="s">
        <v>9806</v>
      </c>
      <c r="I3315" s="3">
        <v>1.3645833333333331E-2</v>
      </c>
      <c r="J3315" s="1" t="s">
        <v>3216</v>
      </c>
      <c r="K3315" s="34">
        <v>40936</v>
      </c>
      <c r="L3315" s="9">
        <v>16</v>
      </c>
      <c r="N3315" s="1653"/>
      <c r="P3315" s="1654" t="s">
        <v>2147</v>
      </c>
    </row>
    <row r="3316" spans="3:16" ht="15" x14ac:dyDescent="0.25">
      <c r="C3316" s="415" t="s">
        <v>8571</v>
      </c>
      <c r="D3316" s="531">
        <f>Runners!O4079</f>
        <v>0</v>
      </c>
      <c r="E3316" s="541">
        <f>Runners!O4078</f>
        <v>0</v>
      </c>
      <c r="F3316" s="79" t="s">
        <v>909</v>
      </c>
      <c r="G3316" s="1">
        <v>2.2222222222222223E-2</v>
      </c>
      <c r="H3316" s="319" t="s">
        <v>5894</v>
      </c>
      <c r="I3316" s="1">
        <v>2.2210648148148149E-2</v>
      </c>
      <c r="J3316" s="334" t="s">
        <v>5895</v>
      </c>
      <c r="K3316" s="34">
        <v>43001</v>
      </c>
      <c r="L3316" s="9">
        <v>364</v>
      </c>
      <c r="N3316" s="1653"/>
      <c r="P3316" s="1654" t="s">
        <v>3702</v>
      </c>
    </row>
    <row r="3317" spans="3:16" ht="15" x14ac:dyDescent="0.25">
      <c r="C3317" s="415" t="s">
        <v>7880</v>
      </c>
      <c r="D3317" s="24">
        <f>Runners!V3922</f>
        <v>0</v>
      </c>
      <c r="E3317" s="183">
        <f>Runners!V3921</f>
        <v>0</v>
      </c>
      <c r="F3317" s="79" t="s">
        <v>5096</v>
      </c>
      <c r="G3317" s="1">
        <v>1.4710648148148148E-2</v>
      </c>
      <c r="H3317" s="319"/>
      <c r="J3317" s="334" t="s">
        <v>5096</v>
      </c>
      <c r="K3317" s="34">
        <v>42868</v>
      </c>
      <c r="L3317" s="9">
        <v>333</v>
      </c>
      <c r="N3317" s="1653"/>
      <c r="P3317" s="1654" t="s">
        <v>7880</v>
      </c>
    </row>
    <row r="3318" spans="3:16" ht="15" x14ac:dyDescent="0.25">
      <c r="C3318" s="74" t="s">
        <v>1678</v>
      </c>
      <c r="D3318" s="24">
        <f>Runners!L4144</f>
        <v>0</v>
      </c>
      <c r="E3318" s="183">
        <f>Runners!L4143</f>
        <v>0</v>
      </c>
      <c r="F3318" s="6" t="s">
        <v>1000</v>
      </c>
      <c r="G3318" s="1">
        <v>1.8518518518518521E-2</v>
      </c>
      <c r="H3318" s="968" t="s">
        <v>5241</v>
      </c>
      <c r="I3318" s="1">
        <v>1.5185185185185185E-2</v>
      </c>
      <c r="J3318" s="1" t="s">
        <v>5895</v>
      </c>
      <c r="K3318" s="34">
        <v>42231</v>
      </c>
      <c r="L3318" s="9">
        <v>193</v>
      </c>
      <c r="N3318" s="1653"/>
      <c r="P3318" s="1654" t="s">
        <v>15229</v>
      </c>
    </row>
    <row r="3319" spans="3:16" ht="15" x14ac:dyDescent="0.25">
      <c r="C3319" s="415" t="s">
        <v>4225</v>
      </c>
      <c r="D3319" s="24">
        <f>Runners!AA4109</f>
        <v>0</v>
      </c>
      <c r="E3319" s="183">
        <f>Runners!AA4108</f>
        <v>0</v>
      </c>
      <c r="F3319" s="311" t="s">
        <v>3790</v>
      </c>
      <c r="G3319" s="1">
        <v>1.6527777777777777E-2</v>
      </c>
      <c r="H3319" s="206" t="s">
        <v>4596</v>
      </c>
      <c r="I3319" s="1">
        <v>2.2627314814814819E-2</v>
      </c>
      <c r="J3319" s="334" t="s">
        <v>1000</v>
      </c>
      <c r="K3319" s="34">
        <v>42504</v>
      </c>
      <c r="L3319" s="9">
        <v>255</v>
      </c>
      <c r="N3319" s="1653"/>
      <c r="P3319" s="1654" t="s">
        <v>15230</v>
      </c>
    </row>
    <row r="3320" spans="3:16" ht="15" x14ac:dyDescent="0.25">
      <c r="C3320" s="415" t="s">
        <v>12007</v>
      </c>
      <c r="D3320" s="24">
        <f>Runners!X4109</f>
        <v>0</v>
      </c>
      <c r="E3320" s="183">
        <f>Runners!X4108</f>
        <v>0</v>
      </c>
      <c r="F3320" s="1411" t="s">
        <v>1000</v>
      </c>
      <c r="G3320" s="1412">
        <v>1.8981481481481481E-2</v>
      </c>
      <c r="H3320" s="1433"/>
      <c r="I3320" s="1412"/>
      <c r="J3320" s="1432" t="s">
        <v>1000</v>
      </c>
      <c r="K3320" s="1379">
        <v>43533</v>
      </c>
      <c r="L3320" s="1398">
        <v>474</v>
      </c>
      <c r="N3320" s="1653"/>
      <c r="P3320" s="1654" t="s">
        <v>12007</v>
      </c>
    </row>
    <row r="3321" spans="3:16" ht="15" x14ac:dyDescent="0.25">
      <c r="C3321" s="415" t="s">
        <v>10546</v>
      </c>
      <c r="D3321" s="24">
        <f>Runners!P3683</f>
        <v>0</v>
      </c>
      <c r="E3321" s="183">
        <f>Runners!P3682</f>
        <v>0</v>
      </c>
      <c r="F3321" s="6" t="s">
        <v>5882</v>
      </c>
      <c r="G3321" s="1">
        <v>1.462962962962963E-2</v>
      </c>
      <c r="H3321" s="968"/>
      <c r="J3321" s="1" t="s">
        <v>5882</v>
      </c>
      <c r="K3321" s="34">
        <v>43344</v>
      </c>
      <c r="L3321" s="1398">
        <v>436</v>
      </c>
      <c r="N3321" s="1653"/>
      <c r="P3321" s="1654" t="s">
        <v>10546</v>
      </c>
    </row>
    <row r="3322" spans="3:16" ht="15" x14ac:dyDescent="0.25">
      <c r="C3322" s="415" t="s">
        <v>6197</v>
      </c>
      <c r="D3322" s="24">
        <f>Runners!I3785</f>
        <v>0</v>
      </c>
      <c r="E3322" s="183">
        <f>Runners!I3784</f>
        <v>0</v>
      </c>
      <c r="F3322" s="534" t="s">
        <v>3790</v>
      </c>
      <c r="G3322" s="334">
        <v>1.8275462962962962E-2</v>
      </c>
      <c r="H3322" s="513" t="s">
        <v>4596</v>
      </c>
      <c r="I3322" s="1">
        <v>2.3344907407407408E-2</v>
      </c>
      <c r="J3322" s="334" t="s">
        <v>6180</v>
      </c>
      <c r="K3322" s="34">
        <v>42735</v>
      </c>
      <c r="L3322" s="1398">
        <v>309</v>
      </c>
      <c r="N3322" s="1653"/>
      <c r="P3322" s="1654" t="s">
        <v>4866</v>
      </c>
    </row>
    <row r="3323" spans="3:16" ht="15" x14ac:dyDescent="0.25">
      <c r="C3323" s="74" t="s">
        <v>5911</v>
      </c>
      <c r="D3323" s="24">
        <f>Runners!K4005</f>
        <v>0</v>
      </c>
      <c r="E3323" s="183">
        <f>Runners!K4004</f>
        <v>0</v>
      </c>
      <c r="F3323" s="6"/>
      <c r="H3323" s="206" t="s">
        <v>2686</v>
      </c>
      <c r="I3323" s="1">
        <v>1.9930555555555556E-2</v>
      </c>
      <c r="J3323" s="254" t="s">
        <v>2686</v>
      </c>
      <c r="K3323" s="34">
        <v>42182</v>
      </c>
      <c r="L3323" s="1398">
        <v>182</v>
      </c>
      <c r="N3323" s="1653"/>
      <c r="P3323" s="1654" t="s">
        <v>5911</v>
      </c>
    </row>
    <row r="3324" spans="3:16" ht="15" x14ac:dyDescent="0.25">
      <c r="C3324" s="415" t="s">
        <v>1211</v>
      </c>
      <c r="D3324" s="24">
        <f>Runners!R3859</f>
        <v>0</v>
      </c>
      <c r="E3324" s="183">
        <f>Runners!R3858</f>
        <v>0</v>
      </c>
      <c r="F3324" s="6" t="s">
        <v>1270</v>
      </c>
      <c r="G3324" s="1">
        <v>1.4201388888888888E-2</v>
      </c>
      <c r="H3324" s="513" t="s">
        <v>4596</v>
      </c>
      <c r="I3324" s="1">
        <v>1.8935185185185183E-2</v>
      </c>
      <c r="J3324" s="1" t="s">
        <v>1270</v>
      </c>
      <c r="K3324" s="34">
        <v>41202</v>
      </c>
      <c r="L3324" s="1398">
        <v>39</v>
      </c>
      <c r="N3324" s="1653"/>
      <c r="P3324" s="1654" t="s">
        <v>1211</v>
      </c>
    </row>
    <row r="3325" spans="3:16" ht="15" x14ac:dyDescent="0.25">
      <c r="C3325" s="74" t="s">
        <v>3871</v>
      </c>
      <c r="D3325" s="24">
        <f>Runners!O3498</f>
        <v>0</v>
      </c>
      <c r="E3325" s="183">
        <f>Runners!O3497</f>
        <v>0</v>
      </c>
      <c r="F3325" s="534" t="s">
        <v>3790</v>
      </c>
      <c r="G3325" s="512">
        <v>1.638888888888889E-2</v>
      </c>
      <c r="H3325" s="513" t="s">
        <v>4596</v>
      </c>
      <c r="I3325" s="512">
        <v>1.7789351851851851E-2</v>
      </c>
      <c r="J3325" s="1" t="s">
        <v>1000</v>
      </c>
      <c r="K3325" s="34">
        <v>42322</v>
      </c>
      <c r="L3325" s="1398">
        <v>208</v>
      </c>
      <c r="N3325" s="1653"/>
      <c r="P3325" s="1654" t="s">
        <v>15231</v>
      </c>
    </row>
    <row r="3326" spans="3:16" ht="15" x14ac:dyDescent="0.25">
      <c r="C3326" s="74" t="s">
        <v>358</v>
      </c>
      <c r="D3326" s="24">
        <f>Runners!G3897</f>
        <v>0</v>
      </c>
      <c r="E3326" s="183">
        <f>Runners!G3896</f>
        <v>0</v>
      </c>
      <c r="F3326" s="6" t="s">
        <v>1000</v>
      </c>
      <c r="G3326" s="1">
        <v>1.8865740740740742E-2</v>
      </c>
      <c r="H3326" s="206" t="s">
        <v>1062</v>
      </c>
      <c r="I3326" s="512">
        <v>2.1319444444444443E-2</v>
      </c>
      <c r="J3326" s="1" t="s">
        <v>1000</v>
      </c>
      <c r="K3326" s="34">
        <v>42455</v>
      </c>
      <c r="L3326" s="1398">
        <v>244</v>
      </c>
      <c r="N3326" s="1653"/>
      <c r="P3326" s="1654" t="s">
        <v>358</v>
      </c>
    </row>
    <row r="3327" spans="3:16" ht="15" x14ac:dyDescent="0.25">
      <c r="C3327" s="415" t="s">
        <v>318</v>
      </c>
      <c r="D3327" s="24">
        <f>Runners!V4109</f>
        <v>0</v>
      </c>
      <c r="E3327" s="183">
        <f>Runners!V4108</f>
        <v>0</v>
      </c>
      <c r="F3327" s="6" t="s">
        <v>1000</v>
      </c>
      <c r="G3327" s="1">
        <v>1.8402777777777778E-2</v>
      </c>
      <c r="J3327" s="32" t="s">
        <v>1000</v>
      </c>
      <c r="K3327" s="34">
        <v>42189</v>
      </c>
      <c r="L3327" s="9">
        <v>183</v>
      </c>
      <c r="N3327" s="1653"/>
      <c r="P3327" s="1654" t="s">
        <v>317</v>
      </c>
    </row>
    <row r="3328" spans="3:16" ht="15" x14ac:dyDescent="0.25">
      <c r="C3328" s="532" t="s">
        <v>9134</v>
      </c>
      <c r="D3328" s="531">
        <f>Runners!U3599</f>
        <v>0</v>
      </c>
      <c r="E3328" s="541">
        <f>Runners!U3598</f>
        <v>0</v>
      </c>
      <c r="F3328" s="6" t="s">
        <v>1000</v>
      </c>
      <c r="G3328" s="1">
        <v>2.1840277777777778E-2</v>
      </c>
      <c r="H3328" s="206"/>
      <c r="J3328" s="1" t="s">
        <v>1000</v>
      </c>
      <c r="K3328" s="34">
        <v>43148</v>
      </c>
      <c r="L3328" s="1398">
        <v>387</v>
      </c>
      <c r="N3328" s="1653"/>
      <c r="P3328" s="1654" t="s">
        <v>9134</v>
      </c>
    </row>
    <row r="3329" spans="3:16" ht="15" x14ac:dyDescent="0.25">
      <c r="C3329" s="532" t="s">
        <v>3878</v>
      </c>
      <c r="D3329" s="531">
        <f>Runners!N4203</f>
        <v>0</v>
      </c>
      <c r="E3329" s="541">
        <f>Runners!N4202</f>
        <v>0</v>
      </c>
      <c r="F3329" s="79" t="s">
        <v>1000</v>
      </c>
      <c r="H3329" s="206"/>
      <c r="J3329" s="334" t="s">
        <v>1000</v>
      </c>
      <c r="K3329" s="34">
        <v>43022</v>
      </c>
      <c r="L3329" s="1398">
        <v>366</v>
      </c>
      <c r="N3329" s="1653"/>
      <c r="P3329" s="1654" t="s">
        <v>8664</v>
      </c>
    </row>
    <row r="3330" spans="3:16" ht="15" x14ac:dyDescent="0.25">
      <c r="C3330" s="532" t="s">
        <v>1021</v>
      </c>
      <c r="D3330" s="531">
        <f>Runners!H3897</f>
        <v>0</v>
      </c>
      <c r="E3330" s="541">
        <f>Runners!H3896</f>
        <v>0</v>
      </c>
      <c r="F3330" s="79" t="s">
        <v>9840</v>
      </c>
      <c r="G3330" s="1">
        <v>2.5636574074074072E-2</v>
      </c>
      <c r="H3330" s="636" t="s">
        <v>1062</v>
      </c>
      <c r="K3330" s="34">
        <v>43358</v>
      </c>
      <c r="L3330" s="1398">
        <v>440</v>
      </c>
      <c r="N3330" s="1653"/>
      <c r="P3330" s="1654" t="s">
        <v>1021</v>
      </c>
    </row>
    <row r="3331" spans="3:16" ht="15" x14ac:dyDescent="0.25">
      <c r="C3331" s="74" t="s">
        <v>1013</v>
      </c>
      <c r="D3331" s="24">
        <f>Runners!K3457</f>
        <v>0</v>
      </c>
      <c r="E3331" s="183">
        <f>Runners!K3456</f>
        <v>0</v>
      </c>
      <c r="F3331" s="6" t="s">
        <v>5096</v>
      </c>
      <c r="G3331" s="1">
        <v>1.6747685185185185E-2</v>
      </c>
      <c r="H3331" s="80" t="s">
        <v>3254</v>
      </c>
      <c r="I3331" s="1">
        <v>1.8831018518518518E-2</v>
      </c>
      <c r="J3331" s="1" t="s">
        <v>1000</v>
      </c>
      <c r="K3331" s="34">
        <v>42574</v>
      </c>
      <c r="L3331" s="1398">
        <v>276</v>
      </c>
      <c r="N3331" s="1653"/>
      <c r="P3331" s="1654" t="s">
        <v>5347</v>
      </c>
    </row>
    <row r="3332" spans="3:16" ht="15" x14ac:dyDescent="0.25">
      <c r="C3332" s="894" t="s">
        <v>4532</v>
      </c>
      <c r="D3332" s="24">
        <f>Runners!O3748</f>
        <v>0</v>
      </c>
      <c r="E3332" s="183">
        <f>Runners!O3747</f>
        <v>0</v>
      </c>
      <c r="F3332" s="6" t="s">
        <v>1000</v>
      </c>
      <c r="G3332" s="1">
        <v>1.9224537037037037E-2</v>
      </c>
      <c r="J3332" s="32" t="s">
        <v>1000</v>
      </c>
      <c r="K3332" s="34">
        <v>41216</v>
      </c>
      <c r="L3332" s="1398">
        <v>42</v>
      </c>
      <c r="N3332" s="1653"/>
      <c r="P3332" s="1654" t="s">
        <v>2964</v>
      </c>
    </row>
    <row r="3333" spans="3:16" ht="15" x14ac:dyDescent="0.25">
      <c r="C3333" s="532" t="s">
        <v>10128</v>
      </c>
      <c r="D3333" s="531">
        <f>Runners!J3829</f>
        <v>0</v>
      </c>
      <c r="E3333" s="541">
        <f>Runners!J3828</f>
        <v>0</v>
      </c>
      <c r="F3333" s="6"/>
      <c r="H3333" s="319" t="s">
        <v>9797</v>
      </c>
      <c r="I3333" s="1">
        <v>1.4699074074074074E-2</v>
      </c>
      <c r="J3333" s="334" t="s">
        <v>8441</v>
      </c>
      <c r="K3333" s="34">
        <v>43274</v>
      </c>
      <c r="L3333" s="1398">
        <v>415</v>
      </c>
      <c r="N3333" s="1653"/>
      <c r="P3333" s="1654" t="s">
        <v>10100</v>
      </c>
    </row>
    <row r="3334" spans="3:16" ht="15" x14ac:dyDescent="0.25">
      <c r="C3334" s="74" t="s">
        <v>2992</v>
      </c>
      <c r="D3334" s="24">
        <f>Runners!M4236</f>
        <v>0</v>
      </c>
      <c r="E3334" s="183">
        <f>Runners!M4235</f>
        <v>0</v>
      </c>
      <c r="F3334" s="6" t="s">
        <v>1000</v>
      </c>
      <c r="G3334" s="1">
        <v>1.8032407407407407E-2</v>
      </c>
      <c r="H3334" t="s">
        <v>5894</v>
      </c>
      <c r="I3334" s="1">
        <v>2.2511574074074073E-2</v>
      </c>
      <c r="J3334" s="32" t="s">
        <v>1000</v>
      </c>
      <c r="K3334" s="34">
        <v>42161</v>
      </c>
      <c r="L3334" s="1398">
        <v>174</v>
      </c>
      <c r="N3334" s="1653"/>
      <c r="P3334" s="1654" t="s">
        <v>1040</v>
      </c>
    </row>
    <row r="3335" spans="3:16" ht="15" x14ac:dyDescent="0.25">
      <c r="C3335" s="74" t="s">
        <v>1432</v>
      </c>
      <c r="D3335" s="24">
        <f>Runners!J3564</f>
        <v>0</v>
      </c>
      <c r="E3335" s="183">
        <f>Runners!J3563</f>
        <v>0</v>
      </c>
      <c r="F3335" s="6" t="s">
        <v>4407</v>
      </c>
      <c r="G3335" s="1">
        <v>1.7847222222222223E-2</v>
      </c>
      <c r="H3335" s="80" t="s">
        <v>5241</v>
      </c>
      <c r="I3335" s="1">
        <v>1.6562500000000001E-2</v>
      </c>
      <c r="J3335" s="1" t="s">
        <v>4778</v>
      </c>
      <c r="K3335" s="34">
        <v>41748</v>
      </c>
      <c r="L3335" s="1398">
        <v>101</v>
      </c>
      <c r="N3335" s="1653"/>
      <c r="P3335" s="1654" t="s">
        <v>3612</v>
      </c>
    </row>
    <row r="3336" spans="3:16" ht="15" x14ac:dyDescent="0.25">
      <c r="C3336" s="74" t="s">
        <v>5748</v>
      </c>
      <c r="D3336" s="24">
        <f>Runners!M4033</f>
        <v>0</v>
      </c>
      <c r="E3336" s="183">
        <f>Runners!M4032</f>
        <v>0</v>
      </c>
      <c r="F3336" s="311" t="s">
        <v>2628</v>
      </c>
      <c r="G3336" s="1">
        <v>1.5439814814814816E-2</v>
      </c>
      <c r="J3336" s="254" t="s">
        <v>2628</v>
      </c>
      <c r="K3336" s="34">
        <v>41874</v>
      </c>
      <c r="L3336" s="1398">
        <v>123</v>
      </c>
      <c r="N3336" s="1653"/>
      <c r="P3336" s="1654" t="s">
        <v>806</v>
      </c>
    </row>
    <row r="3337" spans="3:16" ht="15" x14ac:dyDescent="0.25">
      <c r="C3337" s="415" t="s">
        <v>8490</v>
      </c>
      <c r="D3337" s="24">
        <f>Runners!Q4285</f>
        <v>0</v>
      </c>
      <c r="E3337" s="183">
        <f>Runners!Q4284</f>
        <v>0</v>
      </c>
      <c r="F3337" s="79" t="s">
        <v>8462</v>
      </c>
      <c r="G3337" s="1">
        <v>1.5462962962962963E-2</v>
      </c>
      <c r="J3337" s="334" t="s">
        <v>8462</v>
      </c>
      <c r="K3337" s="34">
        <v>42980</v>
      </c>
      <c r="L3337" s="1398">
        <v>359</v>
      </c>
      <c r="N3337" s="1653"/>
      <c r="P3337" s="1654" t="s">
        <v>8460</v>
      </c>
    </row>
    <row r="3338" spans="3:16" ht="15" x14ac:dyDescent="0.25">
      <c r="C3338" s="74" t="s">
        <v>1684</v>
      </c>
      <c r="D3338" s="24">
        <f>Runners!I3897</f>
        <v>0</v>
      </c>
      <c r="E3338" s="183">
        <f>Runners!I3896</f>
        <v>0</v>
      </c>
      <c r="F3338" s="6" t="s">
        <v>5096</v>
      </c>
      <c r="G3338" s="1">
        <v>1.4444444444444446E-2</v>
      </c>
      <c r="H3338" s="206" t="s">
        <v>1062</v>
      </c>
      <c r="I3338" s="1">
        <v>2.4293981481481482E-2</v>
      </c>
      <c r="J3338" s="254" t="s">
        <v>5096</v>
      </c>
      <c r="K3338" s="34">
        <v>42357</v>
      </c>
      <c r="L3338" s="1398">
        <v>218</v>
      </c>
      <c r="N3338" s="1653"/>
      <c r="P3338" s="1654" t="s">
        <v>5554</v>
      </c>
    </row>
    <row r="3339" spans="3:16" ht="15" x14ac:dyDescent="0.25">
      <c r="C3339" s="74" t="s">
        <v>2965</v>
      </c>
      <c r="D3339" s="24">
        <f>Runners!N3748</f>
        <v>0</v>
      </c>
      <c r="E3339" s="183">
        <f>Runners!N3747</f>
        <v>0</v>
      </c>
      <c r="F3339" s="6"/>
      <c r="H3339" s="206" t="s">
        <v>4596</v>
      </c>
      <c r="I3339" s="1">
        <v>2.1493055555555557E-2</v>
      </c>
      <c r="J3339" s="254" t="s">
        <v>4596</v>
      </c>
      <c r="K3339" s="34">
        <v>42364</v>
      </c>
      <c r="L3339" s="1398">
        <v>220</v>
      </c>
      <c r="N3339" s="1653"/>
      <c r="P3339" s="1654" t="s">
        <v>2965</v>
      </c>
    </row>
    <row r="3340" spans="3:16" ht="15" x14ac:dyDescent="0.25">
      <c r="C3340" s="532" t="s">
        <v>762</v>
      </c>
      <c r="D3340" s="531">
        <f>Runners!Y3812</f>
        <v>0</v>
      </c>
      <c r="E3340" s="541">
        <f>Runners!Y3811</f>
        <v>0</v>
      </c>
      <c r="F3340" s="79" t="s">
        <v>1000</v>
      </c>
      <c r="G3340" s="1">
        <v>1.800925925925926E-2</v>
      </c>
      <c r="H3340" s="319" t="s">
        <v>4596</v>
      </c>
      <c r="I3340" s="1">
        <v>1.7685185185185182E-2</v>
      </c>
      <c r="J3340" s="334" t="s">
        <v>1000</v>
      </c>
      <c r="K3340" s="34">
        <v>42819</v>
      </c>
      <c r="L3340" s="1398">
        <v>327</v>
      </c>
      <c r="N3340" s="1653"/>
      <c r="P3340" s="1654" t="s">
        <v>762</v>
      </c>
    </row>
    <row r="3341" spans="3:16" ht="15" x14ac:dyDescent="0.25">
      <c r="C3341" s="74" t="s">
        <v>3669</v>
      </c>
      <c r="D3341" s="24">
        <f>Runners!M3636</f>
        <v>0</v>
      </c>
      <c r="E3341" s="183">
        <f>Runners!M3635</f>
        <v>0</v>
      </c>
      <c r="F3341" s="6" t="s">
        <v>1000</v>
      </c>
      <c r="G3341" s="1">
        <v>1.9918981481481482E-2</v>
      </c>
      <c r="J3341" s="32" t="s">
        <v>1000</v>
      </c>
      <c r="K3341" s="34">
        <v>42266</v>
      </c>
      <c r="L3341" s="1398">
        <v>197</v>
      </c>
      <c r="N3341" s="1653"/>
      <c r="P3341" s="1654" t="s">
        <v>3669</v>
      </c>
    </row>
    <row r="3342" spans="3:16" ht="15" x14ac:dyDescent="0.25">
      <c r="C3342" s="74" t="s">
        <v>721</v>
      </c>
      <c r="D3342" s="24">
        <f>Runners!K3599</f>
        <v>0</v>
      </c>
      <c r="E3342" s="183">
        <f>Runners!K3598</f>
        <v>0</v>
      </c>
      <c r="F3342" s="6" t="s">
        <v>1000</v>
      </c>
      <c r="G3342" s="1">
        <v>1.8587962962962962E-2</v>
      </c>
      <c r="H3342" s="206" t="s">
        <v>1062</v>
      </c>
      <c r="I3342" s="1">
        <v>2.4050925925925924E-2</v>
      </c>
      <c r="J3342" s="32" t="s">
        <v>1000</v>
      </c>
      <c r="K3342" s="34">
        <v>42126</v>
      </c>
      <c r="L3342" s="1398">
        <v>166</v>
      </c>
      <c r="N3342" s="1653"/>
      <c r="P3342" s="1654" t="s">
        <v>2392</v>
      </c>
    </row>
    <row r="3343" spans="3:16" ht="15" x14ac:dyDescent="0.25">
      <c r="C3343" s="74" t="s">
        <v>2815</v>
      </c>
      <c r="D3343" s="24">
        <f>Runners!G3943</f>
        <v>0</v>
      </c>
      <c r="E3343" s="183">
        <f>Runners!G3942</f>
        <v>0</v>
      </c>
      <c r="F3343" s="6" t="s">
        <v>1000</v>
      </c>
      <c r="G3343" s="1">
        <v>2.0439814814814817E-2</v>
      </c>
      <c r="J3343" s="1" t="s">
        <v>654</v>
      </c>
      <c r="K3343" s="34">
        <v>41727</v>
      </c>
      <c r="L3343" s="1398">
        <v>96</v>
      </c>
      <c r="N3343" s="1653"/>
      <c r="P3343" s="1654" t="s">
        <v>2284</v>
      </c>
    </row>
    <row r="3344" spans="3:16" ht="15" x14ac:dyDescent="0.25">
      <c r="C3344" s="532" t="s">
        <v>4148</v>
      </c>
      <c r="D3344" s="531">
        <f>Runners!P3498</f>
        <v>0</v>
      </c>
      <c r="E3344" s="541">
        <f>Runners!P3497</f>
        <v>0</v>
      </c>
      <c r="F3344" s="1415" t="s">
        <v>10904</v>
      </c>
      <c r="G3344" s="1412">
        <v>1.7060185185185185E-2</v>
      </c>
      <c r="H3344" s="1118" t="s">
        <v>9806</v>
      </c>
      <c r="I3344" s="1">
        <v>1.4895833333333332E-2</v>
      </c>
      <c r="J3344" s="334" t="s">
        <v>9806</v>
      </c>
      <c r="K3344" s="34">
        <v>43400</v>
      </c>
      <c r="L3344" s="1398">
        <v>447</v>
      </c>
      <c r="N3344" s="1653"/>
      <c r="P3344" s="1654" t="s">
        <v>4148</v>
      </c>
    </row>
    <row r="3345" spans="3:16" ht="15" x14ac:dyDescent="0.25">
      <c r="C3345" s="532" t="s">
        <v>13212</v>
      </c>
      <c r="D3345" s="531">
        <f>Runners!H3943</f>
        <v>0</v>
      </c>
      <c r="E3345" s="541">
        <f>Runners!H3942</f>
        <v>0</v>
      </c>
      <c r="F3345" s="1415" t="s">
        <v>5882</v>
      </c>
      <c r="G3345" s="1412">
        <v>1.6689814814814817E-2</v>
      </c>
      <c r="H3345" s="1118"/>
      <c r="J3345" s="334" t="s">
        <v>5882</v>
      </c>
      <c r="K3345" s="34">
        <v>43666</v>
      </c>
      <c r="L3345" s="1398">
        <v>511</v>
      </c>
      <c r="N3345" s="1653"/>
      <c r="P3345" s="1654" t="s">
        <v>13182</v>
      </c>
    </row>
    <row r="3346" spans="3:16" ht="15" x14ac:dyDescent="0.25">
      <c r="C3346" s="415" t="s">
        <v>4727</v>
      </c>
      <c r="D3346" s="183">
        <f>Runners!R3398</f>
        <v>0</v>
      </c>
      <c r="E3346" s="183">
        <f>Runners!R3397</f>
        <v>0</v>
      </c>
      <c r="F3346" s="6" t="s">
        <v>5881</v>
      </c>
      <c r="G3346" s="1">
        <v>1.4525462962962964E-2</v>
      </c>
      <c r="H3346" s="1650" t="s">
        <v>3254</v>
      </c>
      <c r="I3346" s="32">
        <v>1.7534722222222222E-2</v>
      </c>
      <c r="J3346" s="32" t="s">
        <v>909</v>
      </c>
      <c r="K3346" s="33">
        <v>42084</v>
      </c>
      <c r="L3346" s="1398">
        <v>157</v>
      </c>
      <c r="N3346" s="1653"/>
      <c r="P3346" s="1654" t="s">
        <v>4727</v>
      </c>
    </row>
    <row r="3347" spans="3:16" ht="15" x14ac:dyDescent="0.25">
      <c r="C3347" s="74" t="s">
        <v>4496</v>
      </c>
      <c r="D3347" s="24">
        <f>Runners!N3636</f>
        <v>0</v>
      </c>
      <c r="E3347" s="183">
        <f>Runners!N3635</f>
        <v>0</v>
      </c>
      <c r="F3347" s="79" t="s">
        <v>1000</v>
      </c>
      <c r="G3347" s="1">
        <v>1.9074074074074073E-2</v>
      </c>
      <c r="H3347" s="319" t="s">
        <v>1440</v>
      </c>
      <c r="I3347" s="32">
        <v>1.8055555555555557E-2</v>
      </c>
      <c r="J3347" s="265" t="s">
        <v>1440</v>
      </c>
      <c r="K3347" s="33">
        <v>42651</v>
      </c>
      <c r="L3347" s="1398">
        <v>289</v>
      </c>
      <c r="N3347" s="1653"/>
      <c r="P3347" s="1654" t="s">
        <v>4496</v>
      </c>
    </row>
    <row r="3348" spans="3:16" ht="15" x14ac:dyDescent="0.25">
      <c r="C3348" s="415" t="s">
        <v>15250</v>
      </c>
      <c r="D3348" s="531">
        <f>Runners!L4079</f>
        <v>0</v>
      </c>
      <c r="E3348" s="541">
        <f>Runners!L4078</f>
        <v>0</v>
      </c>
      <c r="F3348" s="6" t="s">
        <v>1000</v>
      </c>
      <c r="G3348" s="1">
        <v>1.8229166666666668E-2</v>
      </c>
      <c r="J3348" s="32" t="s">
        <v>1000</v>
      </c>
      <c r="K3348" s="34">
        <v>41916</v>
      </c>
      <c r="L3348" s="9">
        <v>133</v>
      </c>
      <c r="N3348" s="1653"/>
      <c r="P3348" s="1654" t="s">
        <v>4862</v>
      </c>
    </row>
    <row r="3349" spans="3:16" ht="15" x14ac:dyDescent="0.25">
      <c r="C3349" s="415" t="s">
        <v>2040</v>
      </c>
      <c r="D3349" s="24">
        <f>Runners!Q3613</f>
        <v>0</v>
      </c>
      <c r="E3349" s="183">
        <f>Runners!Q3612</f>
        <v>0</v>
      </c>
      <c r="F3349" s="79" t="s">
        <v>1000</v>
      </c>
      <c r="G3349" s="1">
        <v>1.849537037037037E-2</v>
      </c>
      <c r="H3349" s="319"/>
      <c r="I3349" s="32"/>
      <c r="J3349" s="265" t="s">
        <v>1000</v>
      </c>
      <c r="K3349" s="33">
        <v>42945</v>
      </c>
      <c r="L3349" s="1398">
        <v>348</v>
      </c>
      <c r="N3349" s="1653"/>
      <c r="P3349" s="1654" t="s">
        <v>2040</v>
      </c>
    </row>
    <row r="3350" spans="3:16" ht="15" x14ac:dyDescent="0.25">
      <c r="C3350" s="74" t="s">
        <v>2599</v>
      </c>
      <c r="D3350" s="24">
        <f>Runners!O3636</f>
        <v>0</v>
      </c>
      <c r="E3350" s="183">
        <f>Runners!O3635</f>
        <v>0</v>
      </c>
      <c r="F3350" s="6" t="s">
        <v>1000</v>
      </c>
      <c r="G3350" s="1">
        <v>1.7870370370370373E-2</v>
      </c>
      <c r="H3350" s="197" t="s">
        <v>1440</v>
      </c>
      <c r="I3350" s="32">
        <v>1.8831018518518518E-2</v>
      </c>
      <c r="J3350" s="32" t="s">
        <v>1000</v>
      </c>
      <c r="K3350" s="33">
        <v>42294</v>
      </c>
      <c r="L3350" s="1398">
        <v>200</v>
      </c>
      <c r="N3350" s="1653"/>
      <c r="P3350" s="1654" t="s">
        <v>3174</v>
      </c>
    </row>
    <row r="3351" spans="3:16" ht="15" x14ac:dyDescent="0.25">
      <c r="C3351" s="894" t="s">
        <v>15245</v>
      </c>
      <c r="D3351" s="24">
        <f>Runners!U4109</f>
        <v>0</v>
      </c>
      <c r="E3351" s="183">
        <f>Runners!U4108</f>
        <v>0</v>
      </c>
      <c r="F3351" s="6" t="s">
        <v>334</v>
      </c>
      <c r="G3351" s="1">
        <v>1.4236111111111111E-2</v>
      </c>
      <c r="H3351" s="319"/>
      <c r="J3351" s="6" t="s">
        <v>1000</v>
      </c>
      <c r="K3351" s="34">
        <v>42476</v>
      </c>
      <c r="L3351" s="9">
        <f>250</f>
        <v>250</v>
      </c>
      <c r="N3351" s="1653"/>
      <c r="P3351" s="1654" t="s">
        <v>280</v>
      </c>
    </row>
    <row r="3352" spans="3:16" ht="15" x14ac:dyDescent="0.25">
      <c r="C3352" s="415" t="s">
        <v>10624</v>
      </c>
      <c r="D3352" s="24">
        <f>Runners!L3829</f>
        <v>0</v>
      </c>
      <c r="E3352" s="183">
        <f>Runners!L3828</f>
        <v>0</v>
      </c>
      <c r="F3352" s="6"/>
      <c r="H3352" s="513" t="s">
        <v>8441</v>
      </c>
      <c r="I3352" s="32">
        <v>2.2523148148148143E-2</v>
      </c>
      <c r="J3352" s="1121" t="s">
        <v>8441</v>
      </c>
      <c r="K3352" s="33">
        <v>43351</v>
      </c>
      <c r="L3352" s="1398">
        <v>439</v>
      </c>
      <c r="N3352" s="1653"/>
      <c r="P3352" s="1654" t="s">
        <v>10624</v>
      </c>
    </row>
    <row r="3353" spans="3:16" ht="15" x14ac:dyDescent="0.25">
      <c r="C3353" s="74" t="s">
        <v>2464</v>
      </c>
      <c r="D3353" s="24">
        <f>Runners!K3829</f>
        <v>0</v>
      </c>
      <c r="E3353" s="183">
        <f>Runners!K3828</f>
        <v>0</v>
      </c>
      <c r="F3353" s="6" t="s">
        <v>1000</v>
      </c>
      <c r="G3353" s="1">
        <v>1.8877314814814816E-2</v>
      </c>
      <c r="H3353" s="513" t="s">
        <v>8441</v>
      </c>
      <c r="I3353" s="32">
        <v>2.1145833333333332E-2</v>
      </c>
      <c r="J3353" s="32" t="s">
        <v>1000</v>
      </c>
      <c r="K3353" s="33">
        <v>42483</v>
      </c>
      <c r="L3353" s="1398">
        <v>253</v>
      </c>
      <c r="N3353" s="1653"/>
      <c r="P3353" s="1654" t="s">
        <v>2464</v>
      </c>
    </row>
    <row r="3354" spans="3:16" ht="15" x14ac:dyDescent="0.25">
      <c r="C3354" s="74" t="s">
        <v>1483</v>
      </c>
      <c r="D3354" s="24">
        <f>Runners!P3636</f>
        <v>0</v>
      </c>
      <c r="E3354" s="183">
        <f>Runners!P3635</f>
        <v>0</v>
      </c>
      <c r="F3354" s="79" t="s">
        <v>4407</v>
      </c>
      <c r="G3354" s="1">
        <v>1.480324074074074E-2</v>
      </c>
      <c r="H3354" s="80" t="s">
        <v>5241</v>
      </c>
      <c r="I3354" s="1">
        <v>1.4988425925925926E-2</v>
      </c>
      <c r="J3354" s="32" t="s">
        <v>1000</v>
      </c>
      <c r="K3354" s="34">
        <v>41727</v>
      </c>
      <c r="L3354" s="1398">
        <v>95</v>
      </c>
      <c r="N3354" s="1653"/>
      <c r="P3354" s="1654" t="s">
        <v>2449</v>
      </c>
    </row>
    <row r="3355" spans="3:16" ht="15" x14ac:dyDescent="0.25">
      <c r="C3355" s="74" t="s">
        <v>1914</v>
      </c>
      <c r="D3355" s="24">
        <f>Runners!K3897</f>
        <v>0</v>
      </c>
      <c r="E3355" s="183">
        <f>Runners!K3896</f>
        <v>0</v>
      </c>
      <c r="F3355" s="6"/>
      <c r="H3355" s="206" t="s">
        <v>1062</v>
      </c>
      <c r="I3355" s="1">
        <v>2.5381944444444443E-2</v>
      </c>
      <c r="J3355" s="265" t="s">
        <v>1062</v>
      </c>
      <c r="K3355" s="34">
        <v>42616</v>
      </c>
      <c r="L3355" s="1398">
        <v>284</v>
      </c>
      <c r="N3355" s="1653"/>
      <c r="P3355" s="1654" t="s">
        <v>5289</v>
      </c>
    </row>
    <row r="3356" spans="3:16" ht="15" x14ac:dyDescent="0.25">
      <c r="C3356" s="74" t="s">
        <v>284</v>
      </c>
      <c r="D3356" s="24">
        <f>Runners!L3897</f>
        <v>0</v>
      </c>
      <c r="E3356" s="183">
        <f>Runners!L3896</f>
        <v>0</v>
      </c>
      <c r="F3356" s="6" t="s">
        <v>1000</v>
      </c>
      <c r="G3356" s="1">
        <v>1.9039351851851852E-2</v>
      </c>
      <c r="H3356" s="206" t="s">
        <v>1062</v>
      </c>
      <c r="I3356" s="1">
        <v>2.4814814814814817E-2</v>
      </c>
      <c r="J3356" s="32" t="s">
        <v>1000</v>
      </c>
      <c r="K3356" s="34">
        <v>42560</v>
      </c>
      <c r="L3356" s="1398">
        <v>270</v>
      </c>
      <c r="N3356" s="1653"/>
      <c r="P3356" s="1654" t="s">
        <v>284</v>
      </c>
    </row>
    <row r="3357" spans="3:16" ht="15" x14ac:dyDescent="0.25">
      <c r="C3357" s="415" t="s">
        <v>15251</v>
      </c>
      <c r="D3357" s="531">
        <f>Runners!M4079</f>
        <v>0</v>
      </c>
      <c r="E3357" s="541">
        <f>Runners!M4078</f>
        <v>0</v>
      </c>
      <c r="F3357" s="6" t="s">
        <v>2725</v>
      </c>
      <c r="G3357" s="1">
        <v>1.6851851851851851E-2</v>
      </c>
      <c r="J3357" s="1" t="s">
        <v>2725</v>
      </c>
      <c r="K3357" s="34">
        <v>41916</v>
      </c>
      <c r="L3357" s="9">
        <v>132</v>
      </c>
      <c r="N3357" s="1653"/>
      <c r="P3357" s="1654" t="s">
        <v>4863</v>
      </c>
    </row>
    <row r="3358" spans="3:16" ht="15" x14ac:dyDescent="0.25">
      <c r="C3358" s="532" t="s">
        <v>10655</v>
      </c>
      <c r="D3358" s="531">
        <f>Runners!P3748</f>
        <v>0</v>
      </c>
      <c r="E3358" s="541">
        <f>Runners!P3747</f>
        <v>0</v>
      </c>
      <c r="F3358" s="6" t="s">
        <v>5573</v>
      </c>
      <c r="G3358" s="1">
        <v>1.8090277777777778E-2</v>
      </c>
      <c r="H3358" s="80" t="s">
        <v>3254</v>
      </c>
      <c r="I3358" s="1">
        <v>1.96875E-2</v>
      </c>
      <c r="J3358" s="334" t="s">
        <v>5573</v>
      </c>
      <c r="K3358" s="34">
        <v>43449</v>
      </c>
      <c r="L3358" s="1398">
        <v>457</v>
      </c>
      <c r="N3358" s="1653"/>
      <c r="P3358" s="1654" t="s">
        <v>10655</v>
      </c>
    </row>
    <row r="3359" spans="3:16" ht="15" x14ac:dyDescent="0.25">
      <c r="C3359" s="74" t="s">
        <v>4962</v>
      </c>
      <c r="D3359" s="24">
        <f>Runners!I3943</f>
        <v>0</v>
      </c>
      <c r="E3359" s="183">
        <f>Runners!I3942</f>
        <v>0</v>
      </c>
      <c r="F3359" s="6" t="s">
        <v>4584</v>
      </c>
      <c r="G3359" s="1">
        <v>1.8854166666666665E-2</v>
      </c>
      <c r="J3359" s="1" t="s">
        <v>4584</v>
      </c>
      <c r="K3359" s="34">
        <v>41503</v>
      </c>
      <c r="L3359" s="9">
        <v>66</v>
      </c>
      <c r="N3359" s="1653"/>
      <c r="P3359" s="1654" t="s">
        <v>4049</v>
      </c>
    </row>
    <row r="3360" spans="3:16" ht="15" x14ac:dyDescent="0.25">
      <c r="C3360" s="415" t="s">
        <v>13041</v>
      </c>
      <c r="D3360" s="24">
        <f>Runners!L4236</f>
        <v>0</v>
      </c>
      <c r="E3360" s="183">
        <f>Runners!L4235</f>
        <v>0</v>
      </c>
      <c r="F3360" s="79" t="s">
        <v>756</v>
      </c>
      <c r="G3360" s="334">
        <v>1.9525462962962963E-2</v>
      </c>
      <c r="J3360" s="79" t="s">
        <v>756</v>
      </c>
      <c r="K3360" s="34">
        <v>43645</v>
      </c>
      <c r="L3360" s="9">
        <v>508</v>
      </c>
      <c r="N3360" s="1653"/>
      <c r="P3360" s="1654" t="s">
        <v>13033</v>
      </c>
    </row>
    <row r="3361" spans="3:16" ht="15" x14ac:dyDescent="0.25">
      <c r="C3361" s="415" t="s">
        <v>15258</v>
      </c>
      <c r="D3361" s="24">
        <f>Runners!AA3498</f>
        <v>0</v>
      </c>
      <c r="E3361" s="183">
        <f>Runners!AA3497</f>
        <v>0</v>
      </c>
      <c r="F3361" s="6" t="s">
        <v>3790</v>
      </c>
      <c r="G3361" s="1">
        <v>1.7372685185185185E-2</v>
      </c>
      <c r="H3361" s="206" t="s">
        <v>748</v>
      </c>
      <c r="I3361" s="1">
        <v>2.4432870370370369E-2</v>
      </c>
      <c r="J3361" s="1" t="s">
        <v>748</v>
      </c>
      <c r="K3361" s="34">
        <v>42532</v>
      </c>
      <c r="L3361" s="1398">
        <v>266</v>
      </c>
      <c r="N3361" s="1653"/>
      <c r="P3361" s="1654" t="s">
        <v>15232</v>
      </c>
    </row>
    <row r="3362" spans="3:16" ht="15" x14ac:dyDescent="0.25">
      <c r="C3362" s="415" t="s">
        <v>9527</v>
      </c>
      <c r="D3362" s="24">
        <f>Runners!R3748</f>
        <v>0</v>
      </c>
      <c r="E3362" s="183">
        <f>Runners!R3747</f>
        <v>0</v>
      </c>
      <c r="F3362" s="79" t="s">
        <v>5096</v>
      </c>
      <c r="G3362" s="1">
        <v>1.6354166666666666E-2</v>
      </c>
      <c r="J3362" s="334" t="s">
        <v>5096</v>
      </c>
      <c r="K3362" s="34">
        <v>43190</v>
      </c>
      <c r="L3362" s="9">
        <v>399</v>
      </c>
      <c r="N3362" s="1653"/>
      <c r="P3362" s="1654" t="s">
        <v>8855</v>
      </c>
    </row>
    <row r="3363" spans="3:16" ht="15" x14ac:dyDescent="0.25">
      <c r="C3363" s="74" t="s">
        <v>282</v>
      </c>
      <c r="D3363" s="24">
        <f>Runners!M3897</f>
        <v>0</v>
      </c>
      <c r="E3363" s="183">
        <f>Runners!M3896</f>
        <v>0</v>
      </c>
      <c r="F3363" s="6" t="s">
        <v>1000</v>
      </c>
      <c r="G3363" s="1">
        <v>1.9837962962962963E-2</v>
      </c>
      <c r="H3363" s="206" t="s">
        <v>1062</v>
      </c>
      <c r="I3363" s="1">
        <v>2.4560185185185185E-2</v>
      </c>
      <c r="J3363" s="1" t="s">
        <v>1062</v>
      </c>
      <c r="K3363" s="34">
        <v>43620</v>
      </c>
      <c r="L3363" s="9">
        <v>263</v>
      </c>
      <c r="N3363" s="1653"/>
      <c r="P3363" s="1654" t="s">
        <v>282</v>
      </c>
    </row>
    <row r="3364" spans="3:16" ht="15" x14ac:dyDescent="0.25">
      <c r="C3364" s="415" t="s">
        <v>8379</v>
      </c>
      <c r="D3364" s="24">
        <f>Runners!M4188</f>
        <v>0</v>
      </c>
      <c r="E3364" s="183">
        <f>Runners!M4187</f>
        <v>0</v>
      </c>
      <c r="F3364" s="6" t="s">
        <v>909</v>
      </c>
      <c r="G3364" s="1">
        <v>2.1365740740740741E-2</v>
      </c>
      <c r="H3364" s="197" t="s">
        <v>5894</v>
      </c>
      <c r="I3364" s="1">
        <v>2.1354166666666664E-2</v>
      </c>
      <c r="J3364" s="1" t="s">
        <v>5061</v>
      </c>
      <c r="K3364" s="34">
        <v>42966</v>
      </c>
      <c r="L3364" s="9">
        <v>355</v>
      </c>
      <c r="N3364" s="1653"/>
      <c r="P3364" s="1654" t="s">
        <v>8377</v>
      </c>
    </row>
    <row r="3365" spans="3:16" ht="15" x14ac:dyDescent="0.25">
      <c r="C3365" s="415" t="s">
        <v>11019</v>
      </c>
      <c r="D3365" s="24">
        <f>Runners!O4203</f>
        <v>0</v>
      </c>
      <c r="E3365" s="183">
        <f>Runners!O4202</f>
        <v>0</v>
      </c>
      <c r="F3365" s="79" t="s">
        <v>1000</v>
      </c>
      <c r="G3365" s="1">
        <v>2.0405092592592593E-2</v>
      </c>
      <c r="H3365" s="206"/>
      <c r="J3365" s="334" t="s">
        <v>1000</v>
      </c>
      <c r="K3365" s="34">
        <v>43421</v>
      </c>
      <c r="L3365" s="1398">
        <v>451</v>
      </c>
      <c r="N3365" s="1653"/>
      <c r="P3365" s="1654" t="s">
        <v>9164</v>
      </c>
    </row>
    <row r="3366" spans="3:16" ht="15" x14ac:dyDescent="0.25">
      <c r="C3366" s="74" t="s">
        <v>3738</v>
      </c>
      <c r="D3366" s="24">
        <f>Runners!J4125</f>
        <v>0</v>
      </c>
      <c r="E3366" s="183">
        <f>Runners!J4124</f>
        <v>0</v>
      </c>
      <c r="F3366" s="6" t="s">
        <v>3790</v>
      </c>
      <c r="G3366" s="1">
        <v>1.6585648148148148E-2</v>
      </c>
      <c r="H3366" s="319" t="s">
        <v>4596</v>
      </c>
      <c r="I3366" s="1">
        <v>1.6574074074074074E-2</v>
      </c>
      <c r="J3366" s="1" t="s">
        <v>1000</v>
      </c>
      <c r="K3366" s="34">
        <v>42658</v>
      </c>
      <c r="L3366" s="1398">
        <v>292</v>
      </c>
      <c r="N3366" s="1653"/>
      <c r="P3366" s="1654" t="s">
        <v>3738</v>
      </c>
    </row>
    <row r="3367" spans="3:16" ht="15" x14ac:dyDescent="0.25">
      <c r="C3367" s="74" t="s">
        <v>449</v>
      </c>
      <c r="D3367" s="24">
        <f>Runners!K3564</f>
        <v>0</v>
      </c>
      <c r="E3367" s="183">
        <f>Runners!K3563</f>
        <v>0</v>
      </c>
      <c r="F3367" s="534" t="s">
        <v>3790</v>
      </c>
      <c r="G3367" s="1">
        <v>1.6284722222222221E-2</v>
      </c>
      <c r="H3367" s="197" t="s">
        <v>4596</v>
      </c>
      <c r="I3367" s="334">
        <v>1.7789351851851851E-2</v>
      </c>
      <c r="J3367" s="32" t="s">
        <v>1000</v>
      </c>
      <c r="K3367" s="34">
        <v>41713</v>
      </c>
      <c r="L3367" s="1398">
        <v>93</v>
      </c>
      <c r="N3367" s="1653"/>
      <c r="P3367" s="1654" t="s">
        <v>449</v>
      </c>
    </row>
    <row r="3368" spans="3:16" ht="15" x14ac:dyDescent="0.25">
      <c r="C3368" s="415" t="s">
        <v>12512</v>
      </c>
      <c r="D3368" s="24">
        <f>Runners!L3599</f>
        <v>0</v>
      </c>
      <c r="E3368" s="183">
        <f>Runners!L3598</f>
        <v>0</v>
      </c>
      <c r="F3368" s="1415" t="s">
        <v>1000</v>
      </c>
      <c r="G3368" s="1412">
        <v>2.165509259259259E-2</v>
      </c>
      <c r="H3368" s="1416"/>
      <c r="I3368" s="1412"/>
      <c r="J3368" s="1432" t="s">
        <v>1000</v>
      </c>
      <c r="K3368" s="1379">
        <v>43688</v>
      </c>
      <c r="L3368" s="1398">
        <v>496</v>
      </c>
      <c r="N3368" s="1653"/>
      <c r="P3368" s="1654" t="s">
        <v>12642</v>
      </c>
    </row>
    <row r="3369" spans="3:16" ht="15" x14ac:dyDescent="0.25">
      <c r="C3369" s="74" t="s">
        <v>5950</v>
      </c>
      <c r="D3369" s="24">
        <f>Runners!L3457</f>
        <v>0</v>
      </c>
      <c r="E3369" s="183">
        <f>Runners!L3456</f>
        <v>0</v>
      </c>
      <c r="F3369" s="6" t="s">
        <v>5096</v>
      </c>
      <c r="G3369" s="1">
        <v>1.5243055555555557E-2</v>
      </c>
      <c r="H3369" s="197" t="s">
        <v>10350</v>
      </c>
      <c r="I3369" s="1">
        <v>1.8043981481481484E-2</v>
      </c>
      <c r="J3369" s="1" t="s">
        <v>1000</v>
      </c>
      <c r="K3369" s="34">
        <v>40950</v>
      </c>
      <c r="L3369" s="1398">
        <v>17</v>
      </c>
      <c r="N3369" s="1653"/>
      <c r="P3369" s="1654" t="s">
        <v>5950</v>
      </c>
    </row>
    <row r="3370" spans="3:16" ht="15" x14ac:dyDescent="0.25">
      <c r="C3370" s="415" t="s">
        <v>4120</v>
      </c>
      <c r="D3370" s="24">
        <f>Runners!Q3748</f>
        <v>0</v>
      </c>
      <c r="E3370" s="183">
        <f>Runners!Q3747</f>
        <v>0</v>
      </c>
      <c r="F3370" s="79" t="s">
        <v>2628</v>
      </c>
      <c r="G3370" s="334">
        <v>1.5960648148148151E-2</v>
      </c>
      <c r="J3370" s="334" t="s">
        <v>2628</v>
      </c>
      <c r="K3370" s="34">
        <v>43190</v>
      </c>
      <c r="L3370" s="1398">
        <v>397</v>
      </c>
      <c r="N3370" s="1653"/>
      <c r="P3370" s="1654" t="s">
        <v>4120</v>
      </c>
    </row>
    <row r="3371" spans="3:16" ht="15" x14ac:dyDescent="0.25">
      <c r="C3371" s="532" t="s">
        <v>8248</v>
      </c>
      <c r="D3371" s="541">
        <f>Runners!K3398</f>
        <v>0</v>
      </c>
      <c r="E3371" s="541">
        <f>Runners!K3397</f>
        <v>0</v>
      </c>
      <c r="F3371" s="79" t="s">
        <v>8360</v>
      </c>
      <c r="G3371" s="1">
        <v>1.5625E-2</v>
      </c>
      <c r="H3371" s="513" t="s">
        <v>1440</v>
      </c>
      <c r="I3371" s="512">
        <v>2.0474537037037038E-2</v>
      </c>
      <c r="J3371" s="334" t="s">
        <v>2628</v>
      </c>
      <c r="K3371" s="34">
        <v>42818</v>
      </c>
      <c r="L3371" s="1398">
        <v>394</v>
      </c>
      <c r="N3371" s="1653"/>
      <c r="P3371" s="1654" t="s">
        <v>8248</v>
      </c>
    </row>
    <row r="3372" spans="3:16" ht="15" x14ac:dyDescent="0.25">
      <c r="C3372" s="74" t="s">
        <v>1476</v>
      </c>
      <c r="D3372" s="24">
        <f>Runners!Y4109</f>
        <v>0</v>
      </c>
      <c r="E3372" s="183">
        <f>Runners!Y4108</f>
        <v>0</v>
      </c>
      <c r="F3372" s="6" t="s">
        <v>1000</v>
      </c>
      <c r="G3372" s="1">
        <v>1.8437499999999999E-2</v>
      </c>
      <c r="J3372" s="1" t="s">
        <v>1000</v>
      </c>
      <c r="K3372" s="34">
        <v>42686</v>
      </c>
      <c r="L3372" s="1398">
        <v>302</v>
      </c>
      <c r="N3372" s="1653"/>
      <c r="P3372" s="1654" t="s">
        <v>1479</v>
      </c>
    </row>
    <row r="3373" spans="3:16" ht="15" x14ac:dyDescent="0.25">
      <c r="C3373" s="74" t="s">
        <v>4314</v>
      </c>
      <c r="D3373" s="24">
        <f>Runners!W3785</f>
        <v>0</v>
      </c>
      <c r="E3373" s="183">
        <f>Runners!W3784</f>
        <v>0</v>
      </c>
      <c r="F3373" s="6" t="s">
        <v>1270</v>
      </c>
      <c r="G3373" s="1">
        <v>1.8680555555555554E-2</v>
      </c>
      <c r="J3373" s="1" t="s">
        <v>1270</v>
      </c>
      <c r="K3373" s="34">
        <v>42441</v>
      </c>
      <c r="L3373" s="1398">
        <v>239</v>
      </c>
      <c r="N3373" s="1653"/>
      <c r="P3373" s="1654" t="s">
        <v>761</v>
      </c>
    </row>
    <row r="3374" spans="3:16" ht="15" x14ac:dyDescent="0.25">
      <c r="C3374" s="74" t="s">
        <v>2082</v>
      </c>
      <c r="D3374" s="24">
        <f>Runners!N4188</f>
        <v>0</v>
      </c>
      <c r="E3374" s="183">
        <f>Runners!N4187</f>
        <v>0</v>
      </c>
      <c r="F3374" s="6" t="s">
        <v>909</v>
      </c>
      <c r="G3374" s="1">
        <v>2.148148148148148E-2</v>
      </c>
      <c r="H3374" t="s">
        <v>5894</v>
      </c>
      <c r="I3374" s="1">
        <v>2.1458333333333333E-2</v>
      </c>
      <c r="J3374" s="1" t="s">
        <v>5061</v>
      </c>
      <c r="K3374" s="34">
        <v>42441</v>
      </c>
      <c r="L3374" s="1398">
        <v>237</v>
      </c>
      <c r="N3374" s="1653"/>
      <c r="P3374" s="1654" t="s">
        <v>4968</v>
      </c>
    </row>
    <row r="3375" spans="3:16" ht="15" x14ac:dyDescent="0.25">
      <c r="C3375" s="415" t="s">
        <v>5942</v>
      </c>
      <c r="D3375" s="24">
        <f>Runners!J3785</f>
        <v>0</v>
      </c>
      <c r="E3375" s="183">
        <f>Runners!J3784</f>
        <v>0</v>
      </c>
      <c r="F3375" s="6" t="s">
        <v>1270</v>
      </c>
      <c r="G3375" s="1">
        <v>1.6354166666666666E-2</v>
      </c>
      <c r="J3375" s="1" t="s">
        <v>1270</v>
      </c>
      <c r="K3375" s="34">
        <v>43421</v>
      </c>
      <c r="L3375" s="1398">
        <v>452</v>
      </c>
      <c r="N3375" s="1653"/>
      <c r="P3375" s="1654" t="s">
        <v>5942</v>
      </c>
    </row>
    <row r="3376" spans="3:16" ht="15" x14ac:dyDescent="0.25">
      <c r="C3376" s="74" t="s">
        <v>912</v>
      </c>
      <c r="D3376" s="24">
        <f>Runners!O4188</f>
        <v>0</v>
      </c>
      <c r="E3376" s="183">
        <f>Runners!O4187</f>
        <v>0</v>
      </c>
      <c r="F3376" s="6" t="s">
        <v>909</v>
      </c>
      <c r="G3376" s="1">
        <v>2.2060185185185183E-2</v>
      </c>
      <c r="J3376" s="1" t="s">
        <v>5061</v>
      </c>
      <c r="K3376" s="34">
        <v>42035</v>
      </c>
      <c r="L3376" s="9">
        <v>152</v>
      </c>
      <c r="N3376" s="1653"/>
      <c r="P3376" s="1654" t="s">
        <v>13262</v>
      </c>
    </row>
    <row r="3377" spans="3:16" ht="15" x14ac:dyDescent="0.25">
      <c r="C3377" s="415" t="s">
        <v>11978</v>
      </c>
      <c r="D3377" s="24">
        <f>Runners!Q3498</f>
        <v>0</v>
      </c>
      <c r="E3377" s="183">
        <f>Runners!Q3497</f>
        <v>0</v>
      </c>
      <c r="F3377" s="79" t="s">
        <v>5951</v>
      </c>
      <c r="G3377" s="1">
        <v>1.8599537037037036E-2</v>
      </c>
      <c r="J3377" s="334" t="s">
        <v>5951</v>
      </c>
      <c r="K3377" s="34">
        <v>43673</v>
      </c>
      <c r="N3377" s="1653"/>
      <c r="P3377" s="1654" t="s">
        <v>15233</v>
      </c>
    </row>
    <row r="3378" spans="3:16" ht="15" x14ac:dyDescent="0.25">
      <c r="C3378" s="74" t="s">
        <v>2634</v>
      </c>
      <c r="D3378" s="24">
        <f>Runners!M3812</f>
        <v>0</v>
      </c>
      <c r="E3378" s="183">
        <f>Runners!M3811</f>
        <v>0</v>
      </c>
      <c r="F3378" s="6" t="s">
        <v>909</v>
      </c>
      <c r="G3378" s="1">
        <v>1.6967592592592593E-2</v>
      </c>
      <c r="J3378" s="1" t="s">
        <v>909</v>
      </c>
      <c r="K3378" s="34">
        <v>42525</v>
      </c>
      <c r="L3378" s="9">
        <v>260</v>
      </c>
      <c r="N3378" s="1653"/>
      <c r="P3378" s="1654" t="s">
        <v>2634</v>
      </c>
    </row>
    <row r="3379" spans="3:16" ht="15" x14ac:dyDescent="0.25">
      <c r="C3379" s="532" t="s">
        <v>11914</v>
      </c>
      <c r="D3379" s="531">
        <f>Runners!I4125</f>
        <v>0</v>
      </c>
      <c r="E3379" s="541">
        <f>Runners!I4124</f>
        <v>0</v>
      </c>
      <c r="F3379" s="1415" t="s">
        <v>4584</v>
      </c>
      <c r="G3379" s="1412">
        <v>2.146990740740741E-2</v>
      </c>
      <c r="H3379" s="1371"/>
      <c r="I3379" s="1412"/>
      <c r="J3379" s="1432" t="s">
        <v>4584</v>
      </c>
      <c r="K3379" s="1379">
        <v>43645</v>
      </c>
      <c r="L3379" s="9">
        <v>507</v>
      </c>
      <c r="N3379" s="1653"/>
      <c r="P3379" s="1654" t="s">
        <v>13030</v>
      </c>
    </row>
    <row r="3380" spans="3:16" ht="15" x14ac:dyDescent="0.25">
      <c r="C3380" s="415" t="s">
        <v>9187</v>
      </c>
      <c r="D3380" s="24">
        <f>Runners!V4203</f>
        <v>0</v>
      </c>
      <c r="E3380" s="183">
        <f>Runners!V4202</f>
        <v>0</v>
      </c>
      <c r="F3380" s="6" t="s">
        <v>756</v>
      </c>
      <c r="G3380" s="1">
        <v>1.9479166666666669E-2</v>
      </c>
      <c r="J3380" s="1" t="s">
        <v>756</v>
      </c>
      <c r="K3380" s="34">
        <v>43134</v>
      </c>
      <c r="L3380" s="1398">
        <v>384</v>
      </c>
      <c r="N3380" s="1653"/>
      <c r="P3380" s="1654" t="s">
        <v>9188</v>
      </c>
    </row>
    <row r="3381" spans="3:16" ht="15" x14ac:dyDescent="0.25">
      <c r="C3381" s="415" t="s">
        <v>10292</v>
      </c>
      <c r="D3381" s="24">
        <f>Runners!P4079</f>
        <v>0</v>
      </c>
      <c r="E3381" s="183">
        <f>Runners!P4078</f>
        <v>0</v>
      </c>
      <c r="F3381" s="6"/>
      <c r="H3381" s="513" t="s">
        <v>1440</v>
      </c>
      <c r="I3381" s="334">
        <v>1.8680555555555554E-2</v>
      </c>
      <c r="J3381" s="512" t="s">
        <v>1440</v>
      </c>
      <c r="K3381" s="34">
        <v>43302</v>
      </c>
      <c r="L3381" s="1398">
        <v>426</v>
      </c>
      <c r="N3381" s="1653"/>
      <c r="P3381" s="1654" t="s">
        <v>10285</v>
      </c>
    </row>
    <row r="3382" spans="3:16" ht="15" x14ac:dyDescent="0.25">
      <c r="C3382" s="415" t="s">
        <v>4497</v>
      </c>
      <c r="D3382" s="24">
        <f>Runners!R3498</f>
        <v>0</v>
      </c>
      <c r="E3382" s="183">
        <f>Runners!R3497</f>
        <v>0</v>
      </c>
      <c r="F3382" s="6" t="s">
        <v>1000</v>
      </c>
      <c r="G3382" s="1">
        <v>1.699074074074074E-2</v>
      </c>
      <c r="J3382" s="32" t="s">
        <v>1000</v>
      </c>
      <c r="K3382" s="34">
        <v>41888</v>
      </c>
      <c r="L3382" s="1398">
        <v>127</v>
      </c>
      <c r="N3382" s="1653"/>
      <c r="P3382" s="1654" t="s">
        <v>4497</v>
      </c>
    </row>
    <row r="3383" spans="3:16" ht="15" x14ac:dyDescent="0.25">
      <c r="C3383" s="415" t="s">
        <v>10246</v>
      </c>
      <c r="D3383" s="24">
        <f>Runners!N4033</f>
        <v>0</v>
      </c>
      <c r="E3383" s="183">
        <f>Runners!N4032</f>
        <v>0</v>
      </c>
      <c r="F3383" s="79" t="s">
        <v>4584</v>
      </c>
      <c r="G3383" s="1">
        <v>2.0995370370370373E-2</v>
      </c>
      <c r="J3383" s="334" t="s">
        <v>4584</v>
      </c>
      <c r="K3383" s="34">
        <v>43295</v>
      </c>
      <c r="L3383" s="1398">
        <v>421</v>
      </c>
      <c r="N3383" s="1653"/>
      <c r="P3383" s="1654" t="s">
        <v>10246</v>
      </c>
    </row>
    <row r="3384" spans="3:16" ht="15" x14ac:dyDescent="0.25">
      <c r="C3384" s="74" t="s">
        <v>5960</v>
      </c>
      <c r="D3384" s="183">
        <f>Runners!S3398</f>
        <v>0</v>
      </c>
      <c r="E3384" s="183">
        <f>Runners!S3397</f>
        <v>0</v>
      </c>
      <c r="F3384" s="79" t="s">
        <v>5881</v>
      </c>
      <c r="G3384" s="1">
        <v>1.4282407407407409E-2</v>
      </c>
      <c r="H3384" t="s">
        <v>3254</v>
      </c>
      <c r="I3384" s="1">
        <v>1.9768518518518515E-2</v>
      </c>
      <c r="J3384" s="32" t="s">
        <v>1000</v>
      </c>
      <c r="K3384" s="34">
        <v>41065</v>
      </c>
      <c r="L3384" s="1398">
        <v>25</v>
      </c>
      <c r="N3384" s="1653"/>
      <c r="P3384" s="1654" t="s">
        <v>5960</v>
      </c>
    </row>
    <row r="3385" spans="3:16" ht="15" x14ac:dyDescent="0.25">
      <c r="C3385" s="74" t="s">
        <v>4837</v>
      </c>
      <c r="D3385" s="24">
        <f>Runners!N3992</f>
        <v>0</v>
      </c>
      <c r="E3385" s="183">
        <f>Runners!N3991</f>
        <v>0</v>
      </c>
      <c r="F3385" s="6" t="s">
        <v>5881</v>
      </c>
      <c r="G3385" s="1">
        <v>1.4467592592592593E-2</v>
      </c>
      <c r="H3385" s="1649" t="s">
        <v>5903</v>
      </c>
      <c r="I3385" s="1">
        <v>1.8564814814814815E-2</v>
      </c>
      <c r="J3385" s="1" t="s">
        <v>5881</v>
      </c>
      <c r="K3385" s="34">
        <v>42259</v>
      </c>
      <c r="L3385" s="1398">
        <v>195</v>
      </c>
      <c r="N3385" s="1653"/>
      <c r="P3385" s="1654" t="s">
        <v>4837</v>
      </c>
    </row>
    <row r="3386" spans="3:16" ht="15" x14ac:dyDescent="0.25">
      <c r="C3386" s="532" t="s">
        <v>4585</v>
      </c>
      <c r="D3386" s="531">
        <f>Runners!O4033</f>
        <v>0</v>
      </c>
      <c r="E3386" s="541">
        <f>Runners!O4033</f>
        <v>0</v>
      </c>
      <c r="F3386" s="79" t="s">
        <v>627</v>
      </c>
      <c r="G3386" s="1">
        <v>1.6921296296296299E-2</v>
      </c>
      <c r="H3386" s="1649"/>
      <c r="J3386" s="334" t="s">
        <v>627</v>
      </c>
      <c r="K3386" s="34">
        <v>42966</v>
      </c>
      <c r="L3386" s="1398">
        <v>356</v>
      </c>
      <c r="N3386" s="1653"/>
      <c r="P3386" s="1654" t="s">
        <v>646</v>
      </c>
    </row>
    <row r="3387" spans="3:16" ht="15" x14ac:dyDescent="0.25">
      <c r="C3387" s="532" t="s">
        <v>11552</v>
      </c>
      <c r="D3387" s="531">
        <f>Runners!J3943</f>
        <v>0</v>
      </c>
      <c r="E3387" s="541">
        <f>Runners!J3942</f>
        <v>0</v>
      </c>
      <c r="F3387" s="79" t="s">
        <v>1000</v>
      </c>
      <c r="G3387" s="1">
        <v>2.0763888888888887E-2</v>
      </c>
      <c r="H3387" s="1650"/>
      <c r="J3387" s="334" t="s">
        <v>1000</v>
      </c>
      <c r="K3387" s="34">
        <v>43477</v>
      </c>
      <c r="L3387" s="1398">
        <v>462</v>
      </c>
      <c r="N3387" s="1653"/>
      <c r="P3387" s="1654" t="s">
        <v>11614</v>
      </c>
    </row>
    <row r="3388" spans="3:16" ht="15" x14ac:dyDescent="0.25">
      <c r="C3388" s="74" t="s">
        <v>1003</v>
      </c>
      <c r="D3388" s="531">
        <f>Runners!N3311</f>
        <v>0</v>
      </c>
      <c r="E3388" s="541">
        <f>Runners!N3310</f>
        <v>0</v>
      </c>
      <c r="F3388" s="6" t="s">
        <v>5882</v>
      </c>
      <c r="G3388" s="1">
        <v>1.4687499999999999E-2</v>
      </c>
      <c r="H3388" s="968" t="s">
        <v>9806</v>
      </c>
      <c r="I3388" s="334">
        <v>1.4305555555555557E-2</v>
      </c>
      <c r="J3388" s="1" t="s">
        <v>5882</v>
      </c>
      <c r="K3388" s="34">
        <v>40909</v>
      </c>
      <c r="L3388" s="1398">
        <v>14</v>
      </c>
      <c r="N3388" s="1653"/>
      <c r="P3388" s="1654" t="s">
        <v>1003</v>
      </c>
    </row>
    <row r="3389" spans="3:16" ht="15" x14ac:dyDescent="0.25">
      <c r="C3389" s="415" t="s">
        <v>9152</v>
      </c>
      <c r="D3389" s="531">
        <f>Runners!T4170</f>
        <v>0</v>
      </c>
      <c r="E3389" s="541">
        <f>Runners!T4169</f>
        <v>0</v>
      </c>
      <c r="F3389" s="6"/>
      <c r="H3389" s="513" t="s">
        <v>1440</v>
      </c>
      <c r="I3389" s="1">
        <v>2.101851851851852E-2</v>
      </c>
      <c r="J3389" s="512" t="s">
        <v>9153</v>
      </c>
      <c r="K3389" s="34">
        <v>43127</v>
      </c>
      <c r="L3389" s="1398">
        <v>380</v>
      </c>
      <c r="N3389" s="1653"/>
      <c r="P3389" s="1654" t="s">
        <v>9147</v>
      </c>
    </row>
    <row r="3390" spans="3:16" ht="15" x14ac:dyDescent="0.25">
      <c r="C3390" s="74" t="s">
        <v>3404</v>
      </c>
      <c r="D3390" s="24">
        <f>Runners!N4285</f>
        <v>0</v>
      </c>
      <c r="E3390" s="183">
        <f>Runners!N4284</f>
        <v>0</v>
      </c>
      <c r="F3390" s="6" t="s">
        <v>4637</v>
      </c>
      <c r="G3390" s="1">
        <v>1.9918981481481482E-2</v>
      </c>
      <c r="J3390" s="1" t="s">
        <v>4637</v>
      </c>
      <c r="K3390" s="34">
        <v>41790</v>
      </c>
      <c r="L3390" s="9">
        <v>108</v>
      </c>
      <c r="N3390" s="1653"/>
      <c r="P3390" s="1654" t="s">
        <v>7987</v>
      </c>
    </row>
    <row r="3391" spans="3:16" ht="15" x14ac:dyDescent="0.25">
      <c r="C3391" s="74" t="s">
        <v>1403</v>
      </c>
      <c r="D3391" s="24">
        <f>Runners!R3248</f>
        <v>0</v>
      </c>
      <c r="E3391" s="183">
        <f>Runners!R3247</f>
        <v>0</v>
      </c>
      <c r="F3391" s="6" t="s">
        <v>13183</v>
      </c>
      <c r="G3391" s="1">
        <v>1.4097222222222221E-2</v>
      </c>
      <c r="H3391" s="1353" t="s">
        <v>9806</v>
      </c>
      <c r="I3391" s="1354">
        <v>1.3703703703703704E-2</v>
      </c>
      <c r="J3391" s="1" t="s">
        <v>5096</v>
      </c>
      <c r="K3391" s="34">
        <v>41811</v>
      </c>
      <c r="L3391" s="9">
        <v>111</v>
      </c>
      <c r="N3391" s="1653"/>
      <c r="P3391" s="1654" t="s">
        <v>1401</v>
      </c>
    </row>
    <row r="3392" spans="3:16" ht="15" x14ac:dyDescent="0.25">
      <c r="C3392" s="74" t="s">
        <v>2326</v>
      </c>
      <c r="D3392" s="24">
        <f>Runners!O3968</f>
        <v>0</v>
      </c>
      <c r="E3392" s="183">
        <f>Runners!O3967</f>
        <v>0</v>
      </c>
      <c r="F3392" s="6" t="s">
        <v>4637</v>
      </c>
      <c r="G3392" s="1">
        <v>1.6608796296296299E-2</v>
      </c>
      <c r="J3392" s="1" t="s">
        <v>4637</v>
      </c>
      <c r="K3392" s="34">
        <v>42224</v>
      </c>
      <c r="L3392" s="9">
        <v>190</v>
      </c>
      <c r="N3392" s="1653"/>
      <c r="P3392" s="1654" t="s">
        <v>2326</v>
      </c>
    </row>
    <row r="3393" spans="3:16" ht="15" x14ac:dyDescent="0.25">
      <c r="C3393" s="74" t="s">
        <v>2588</v>
      </c>
      <c r="D3393" s="24">
        <f>Runners!N3897</f>
        <v>0</v>
      </c>
      <c r="E3393" s="183">
        <f>Runners!N3896</f>
        <v>0</v>
      </c>
      <c r="F3393" s="6" t="s">
        <v>1270</v>
      </c>
      <c r="G3393" s="1">
        <v>1.4039351851851851E-2</v>
      </c>
      <c r="J3393" s="1" t="s">
        <v>1000</v>
      </c>
      <c r="K3393" s="34">
        <v>41223</v>
      </c>
      <c r="L3393" s="9">
        <v>43</v>
      </c>
      <c r="N3393" s="1653"/>
      <c r="P3393" s="1654" t="s">
        <v>2588</v>
      </c>
    </row>
    <row r="3394" spans="3:16" ht="15" x14ac:dyDescent="0.25">
      <c r="C3394" s="74" t="s">
        <v>3502</v>
      </c>
      <c r="D3394" s="24">
        <f>Runners!N3812</f>
        <v>0</v>
      </c>
      <c r="E3394" s="183">
        <f>Runners!N3811</f>
        <v>0</v>
      </c>
      <c r="F3394" s="6" t="s">
        <v>909</v>
      </c>
      <c r="G3394" s="1">
        <v>1.6527777777777777E-2</v>
      </c>
      <c r="H3394" s="513" t="s">
        <v>748</v>
      </c>
      <c r="I3394" s="1">
        <v>2.2881944444444444E-2</v>
      </c>
      <c r="J3394" s="1" t="s">
        <v>909</v>
      </c>
      <c r="K3394" s="34">
        <v>42336</v>
      </c>
      <c r="L3394" s="9">
        <v>210</v>
      </c>
      <c r="N3394" s="1653"/>
      <c r="P3394" s="1654" t="s">
        <v>2635</v>
      </c>
    </row>
    <row r="3395" spans="3:16" ht="15" x14ac:dyDescent="0.25">
      <c r="C3395" s="74" t="s">
        <v>4916</v>
      </c>
      <c r="D3395" s="24">
        <f>Runners!G4258</f>
        <v>0</v>
      </c>
      <c r="E3395" s="183">
        <f>Runners!G4257</f>
        <v>0</v>
      </c>
      <c r="F3395" s="6" t="s">
        <v>1000</v>
      </c>
      <c r="G3395" s="1">
        <v>2.0601851851851854E-2</v>
      </c>
      <c r="J3395" s="1" t="s">
        <v>1000</v>
      </c>
      <c r="K3395" s="34">
        <v>42616</v>
      </c>
      <c r="L3395" s="9">
        <v>285</v>
      </c>
      <c r="N3395" s="1653"/>
      <c r="P3395" s="1654" t="s">
        <v>4911</v>
      </c>
    </row>
    <row r="3396" spans="3:16" ht="15" x14ac:dyDescent="0.25">
      <c r="C3396" s="532" t="s">
        <v>7940</v>
      </c>
      <c r="D3396" s="531">
        <f>Runners!P3968</f>
        <v>0</v>
      </c>
      <c r="E3396" s="541">
        <f>Runners!P3967</f>
        <v>0</v>
      </c>
      <c r="F3396" s="79" t="s">
        <v>1000</v>
      </c>
      <c r="G3396" s="1">
        <v>1.9421296296296294E-2</v>
      </c>
      <c r="H3396" s="80" t="s">
        <v>1062</v>
      </c>
      <c r="I3396" s="1">
        <v>4.1655092592592598E-2</v>
      </c>
      <c r="J3396" s="334" t="s">
        <v>1000</v>
      </c>
      <c r="K3396" s="34">
        <v>42882</v>
      </c>
      <c r="L3396" s="9">
        <v>338</v>
      </c>
      <c r="N3396" s="1653"/>
      <c r="P3396" s="1654" t="s">
        <v>7962</v>
      </c>
    </row>
    <row r="3397" spans="3:16" ht="15" x14ac:dyDescent="0.25">
      <c r="C3397" s="15" t="s">
        <v>2691</v>
      </c>
      <c r="D3397" s="24">
        <f>Runners!L3564</f>
        <v>0</v>
      </c>
      <c r="E3397" s="183">
        <f>Runners!L3563</f>
        <v>0</v>
      </c>
      <c r="F3397" s="6" t="s">
        <v>131</v>
      </c>
      <c r="G3397" s="1">
        <v>1.5462962962962963E-2</v>
      </c>
      <c r="J3397" s="1" t="s">
        <v>1000</v>
      </c>
      <c r="K3397" s="34">
        <v>40992</v>
      </c>
      <c r="L3397" s="9">
        <v>20</v>
      </c>
      <c r="N3397" s="1653"/>
      <c r="P3397" s="1654" t="s">
        <v>6019</v>
      </c>
    </row>
    <row r="3398" spans="3:16" ht="15" x14ac:dyDescent="0.25">
      <c r="C3398" s="74" t="s">
        <v>4513</v>
      </c>
      <c r="D3398" s="24">
        <f>Runners!S3248</f>
        <v>0</v>
      </c>
      <c r="E3398" s="183">
        <f>Runners!S3247</f>
        <v>0</v>
      </c>
      <c r="F3398" s="6" t="s">
        <v>1270</v>
      </c>
      <c r="G3398" s="1">
        <v>1.3842592592592594E-2</v>
      </c>
      <c r="H3398" s="513" t="s">
        <v>9806</v>
      </c>
      <c r="I3398" s="1">
        <v>1.486111111111111E-2</v>
      </c>
      <c r="J3398" s="1" t="s">
        <v>4778</v>
      </c>
      <c r="K3398" s="34">
        <v>40411</v>
      </c>
      <c r="L3398" s="9">
        <v>7</v>
      </c>
      <c r="N3398" s="1653"/>
      <c r="P3398" s="1654" t="s">
        <v>998</v>
      </c>
    </row>
    <row r="3399" spans="3:16" ht="15" x14ac:dyDescent="0.25">
      <c r="C3399" s="74" t="s">
        <v>800</v>
      </c>
      <c r="D3399" s="24">
        <f>Runners!K3943</f>
        <v>0</v>
      </c>
      <c r="E3399" s="183">
        <f>Runners!K3942</f>
        <v>0</v>
      </c>
      <c r="F3399" s="6" t="s">
        <v>4584</v>
      </c>
      <c r="G3399" s="1">
        <v>1.7858796296296296E-2</v>
      </c>
      <c r="J3399" s="1" t="s">
        <v>4584</v>
      </c>
      <c r="K3399" s="34">
        <v>41790</v>
      </c>
      <c r="L3399" s="9">
        <v>107</v>
      </c>
      <c r="N3399" s="1653"/>
      <c r="P3399" s="1654" t="s">
        <v>1075</v>
      </c>
    </row>
    <row r="3400" spans="3:16" ht="15" x14ac:dyDescent="0.25">
      <c r="C3400" s="415" t="s">
        <v>10735</v>
      </c>
      <c r="D3400" s="24">
        <f>Runners!L4258</f>
        <v>0</v>
      </c>
      <c r="E3400" s="183">
        <f>Runners!L4257</f>
        <v>0</v>
      </c>
      <c r="F3400" s="79" t="s">
        <v>756</v>
      </c>
      <c r="G3400" s="334">
        <v>1.8587962962962962E-2</v>
      </c>
      <c r="H3400" s="206"/>
      <c r="J3400" s="265" t="s">
        <v>756</v>
      </c>
      <c r="K3400" s="34">
        <v>43372</v>
      </c>
      <c r="L3400" s="1398">
        <v>443</v>
      </c>
      <c r="N3400" s="1653"/>
      <c r="P3400" s="1654" t="s">
        <v>10734</v>
      </c>
    </row>
    <row r="3401" spans="3:16" ht="15" x14ac:dyDescent="0.25">
      <c r="C3401" s="74" t="s">
        <v>5642</v>
      </c>
      <c r="D3401" s="24">
        <f>Runners!J4005</f>
        <v>0</v>
      </c>
      <c r="E3401" s="183">
        <f>Runners!J4004</f>
        <v>0</v>
      </c>
      <c r="F3401" s="79" t="s">
        <v>909</v>
      </c>
      <c r="G3401" s="334">
        <v>2.0821759259259259E-2</v>
      </c>
      <c r="H3401" s="206" t="s">
        <v>2752</v>
      </c>
      <c r="I3401" s="1">
        <v>1.7858796296296296E-2</v>
      </c>
      <c r="J3401" s="254" t="s">
        <v>2752</v>
      </c>
      <c r="K3401" s="34">
        <v>42175</v>
      </c>
      <c r="L3401" s="9">
        <v>179</v>
      </c>
      <c r="N3401" s="1653"/>
      <c r="P3401" s="1654" t="s">
        <v>2962</v>
      </c>
    </row>
    <row r="3402" spans="3:16" ht="15" x14ac:dyDescent="0.25">
      <c r="C3402" s="74" t="s">
        <v>1805</v>
      </c>
      <c r="D3402" s="24">
        <f>Runners!M3564</f>
        <v>0</v>
      </c>
      <c r="E3402" s="183">
        <f>Runners!M3563</f>
        <v>0</v>
      </c>
      <c r="F3402" s="52" t="s">
        <v>298</v>
      </c>
      <c r="G3402" s="32">
        <v>1.6562500000000001E-2</v>
      </c>
      <c r="H3402" s="1650" t="s">
        <v>5903</v>
      </c>
      <c r="I3402" s="1">
        <v>1.8912037037037036E-2</v>
      </c>
      <c r="J3402" s="1" t="s">
        <v>4778</v>
      </c>
      <c r="K3402" s="34">
        <v>42119</v>
      </c>
      <c r="L3402" s="1398">
        <v>162</v>
      </c>
      <c r="N3402" s="1653"/>
      <c r="P3402" s="1654" t="s">
        <v>1805</v>
      </c>
    </row>
    <row r="3403" spans="3:16" ht="15" x14ac:dyDescent="0.25">
      <c r="C3403" s="74" t="s">
        <v>5453</v>
      </c>
      <c r="D3403" s="24">
        <f>Runners!T3248</f>
        <v>0</v>
      </c>
      <c r="E3403" s="183">
        <f>Runners!T3247</f>
        <v>0</v>
      </c>
      <c r="F3403" s="79" t="s">
        <v>8462</v>
      </c>
      <c r="G3403" s="1">
        <v>1.3668981481481482E-2</v>
      </c>
      <c r="H3403" s="513" t="s">
        <v>9806</v>
      </c>
      <c r="I3403" s="1">
        <v>1.4814814814814814E-2</v>
      </c>
      <c r="J3403" s="1" t="s">
        <v>1270</v>
      </c>
      <c r="K3403" s="34">
        <v>41517</v>
      </c>
      <c r="L3403" s="1398">
        <v>68</v>
      </c>
      <c r="N3403" s="1653"/>
      <c r="P3403" s="1654" t="s">
        <v>5453</v>
      </c>
    </row>
    <row r="3404" spans="3:16" ht="15" x14ac:dyDescent="0.25">
      <c r="C3404" s="74" t="s">
        <v>5963</v>
      </c>
      <c r="D3404" s="24">
        <f>Runners!W3457</f>
        <v>0</v>
      </c>
      <c r="E3404" s="183">
        <f>Runners!W3456</f>
        <v>0</v>
      </c>
      <c r="F3404" s="79" t="s">
        <v>1270</v>
      </c>
      <c r="G3404" s="1">
        <v>1.3842592592592594E-2</v>
      </c>
      <c r="H3404" t="s">
        <v>3254</v>
      </c>
      <c r="I3404" s="1">
        <v>1.7916666666666668E-2</v>
      </c>
      <c r="J3404" s="1" t="s">
        <v>1000</v>
      </c>
      <c r="K3404" s="34">
        <v>40957</v>
      </c>
      <c r="L3404" s="1398">
        <v>18</v>
      </c>
      <c r="N3404" s="1653"/>
      <c r="P3404" s="1654" t="s">
        <v>5963</v>
      </c>
    </row>
    <row r="3405" spans="3:16" ht="15" x14ac:dyDescent="0.25">
      <c r="C3405" s="15" t="s">
        <v>5526</v>
      </c>
      <c r="D3405" s="24">
        <f>Runners!R4188</f>
        <v>0</v>
      </c>
      <c r="E3405" s="183">
        <f>Runners!R4187</f>
        <v>0</v>
      </c>
      <c r="F3405" s="6" t="s">
        <v>909</v>
      </c>
      <c r="G3405" s="1">
        <v>2.1307870370370369E-2</v>
      </c>
      <c r="H3405" t="s">
        <v>5894</v>
      </c>
      <c r="I3405" s="1">
        <v>2.1296296296296299E-2</v>
      </c>
      <c r="J3405" s="1" t="s">
        <v>5493</v>
      </c>
      <c r="K3405" s="34">
        <v>42427</v>
      </c>
      <c r="L3405" s="1398">
        <v>230</v>
      </c>
      <c r="N3405" s="1653"/>
      <c r="P3405" s="1654" t="s">
        <v>5492</v>
      </c>
    </row>
    <row r="3406" spans="3:16" ht="15" x14ac:dyDescent="0.25">
      <c r="C3406" s="74" t="s">
        <v>778</v>
      </c>
      <c r="D3406" s="24">
        <f>Runners!V3599</f>
        <v>0</v>
      </c>
      <c r="E3406" s="183">
        <f>Runners!V3598</f>
        <v>0</v>
      </c>
      <c r="F3406" s="6" t="s">
        <v>5096</v>
      </c>
      <c r="G3406" s="1">
        <v>1.5196759259259259E-2</v>
      </c>
      <c r="H3406" s="206" t="s">
        <v>2670</v>
      </c>
      <c r="I3406" s="1">
        <v>1.554398148148148E-2</v>
      </c>
      <c r="J3406" s="1" t="s">
        <v>5096</v>
      </c>
      <c r="K3406" s="34">
        <v>41998</v>
      </c>
      <c r="L3406" s="1398">
        <v>147</v>
      </c>
      <c r="N3406" s="1653"/>
      <c r="P3406" s="1654" t="s">
        <v>4244</v>
      </c>
    </row>
    <row r="3407" spans="3:16" ht="15" x14ac:dyDescent="0.25">
      <c r="C3407" s="415" t="s">
        <v>2966</v>
      </c>
      <c r="D3407" s="24">
        <f>Runners!S3785</f>
        <v>0</v>
      </c>
      <c r="E3407" s="183">
        <f>Runners!S3784</f>
        <v>0</v>
      </c>
      <c r="F3407" s="6" t="s">
        <v>1000</v>
      </c>
      <c r="G3407" s="1">
        <v>1.9872685185185184E-2</v>
      </c>
      <c r="J3407" s="32" t="s">
        <v>1000</v>
      </c>
      <c r="K3407" s="34">
        <v>41895</v>
      </c>
      <c r="L3407" s="1398">
        <v>128</v>
      </c>
      <c r="N3407" s="1653"/>
      <c r="P3407" s="1654" t="s">
        <v>3131</v>
      </c>
    </row>
    <row r="3408" spans="3:16" ht="15" x14ac:dyDescent="0.25">
      <c r="C3408" s="74" t="s">
        <v>3620</v>
      </c>
      <c r="D3408" s="24">
        <f>Runners!S4188</f>
        <v>0</v>
      </c>
      <c r="E3408" s="183">
        <f>Runners!S4187</f>
        <v>0</v>
      </c>
      <c r="F3408" s="6" t="s">
        <v>909</v>
      </c>
      <c r="G3408" s="1">
        <v>2.0081018518518519E-2</v>
      </c>
      <c r="H3408" s="80" t="s">
        <v>5894</v>
      </c>
      <c r="I3408" s="1">
        <v>2.0057870370370368E-2</v>
      </c>
      <c r="J3408" s="1" t="s">
        <v>5061</v>
      </c>
      <c r="K3408" s="34">
        <v>42175</v>
      </c>
      <c r="L3408" s="1398">
        <v>178</v>
      </c>
      <c r="N3408" s="1653"/>
      <c r="P3408" s="1654" t="s">
        <v>291</v>
      </c>
    </row>
    <row r="3409" spans="3:16" ht="15" x14ac:dyDescent="0.25">
      <c r="C3409" s="74" t="s">
        <v>1405</v>
      </c>
      <c r="D3409" s="24">
        <f>Runners!N3564</f>
        <v>0</v>
      </c>
      <c r="E3409" s="183">
        <f>Runners!N3563</f>
        <v>0</v>
      </c>
      <c r="F3409" s="6" t="s">
        <v>1000</v>
      </c>
      <c r="G3409" s="1">
        <v>1.7997685185185186E-2</v>
      </c>
      <c r="H3409" s="2" t="s">
        <v>3199</v>
      </c>
      <c r="I3409" s="3">
        <v>1.7453703703703704E-2</v>
      </c>
      <c r="J3409" s="1" t="s">
        <v>4778</v>
      </c>
      <c r="K3409" s="34">
        <v>41951</v>
      </c>
      <c r="L3409" s="1398">
        <v>140</v>
      </c>
      <c r="N3409" s="1653"/>
      <c r="P3409" s="1654" t="s">
        <v>1405</v>
      </c>
    </row>
    <row r="3410" spans="3:16" ht="15" x14ac:dyDescent="0.25">
      <c r="C3410" s="532" t="s">
        <v>4498</v>
      </c>
      <c r="D3410" s="531">
        <f>Runners!Q3636</f>
        <v>0</v>
      </c>
      <c r="E3410" s="541">
        <f>Runners!Q3635</f>
        <v>0</v>
      </c>
      <c r="F3410" s="6"/>
      <c r="H3410" s="513" t="s">
        <v>1440</v>
      </c>
      <c r="I3410" s="512">
        <v>1.8090277777777778E-2</v>
      </c>
      <c r="J3410" s="334" t="s">
        <v>1440</v>
      </c>
      <c r="K3410" s="34">
        <v>43204</v>
      </c>
      <c r="L3410" s="1398">
        <v>420</v>
      </c>
      <c r="N3410" s="1653"/>
      <c r="P3410" s="1654" t="s">
        <v>4498</v>
      </c>
    </row>
    <row r="3411" spans="3:16" ht="15" x14ac:dyDescent="0.25">
      <c r="C3411" s="74" t="s">
        <v>819</v>
      </c>
      <c r="D3411" s="24">
        <f>Runners!P4033</f>
        <v>0</v>
      </c>
      <c r="E3411" s="183">
        <f>Runners!P4032</f>
        <v>0</v>
      </c>
      <c r="F3411" s="6" t="s">
        <v>627</v>
      </c>
      <c r="G3411" s="1">
        <v>1.5833333333333335E-2</v>
      </c>
      <c r="H3411" s="2"/>
      <c r="I3411" s="3"/>
      <c r="J3411" s="1" t="s">
        <v>627</v>
      </c>
      <c r="K3411" s="34">
        <v>41892</v>
      </c>
      <c r="L3411" s="1398">
        <v>286</v>
      </c>
      <c r="N3411" s="1653"/>
      <c r="P3411" s="1654" t="s">
        <v>819</v>
      </c>
    </row>
    <row r="3412" spans="3:16" ht="15" x14ac:dyDescent="0.25">
      <c r="C3412" s="532" t="s">
        <v>8221</v>
      </c>
      <c r="D3412" s="531">
        <f>Runners!Q4033</f>
        <v>0</v>
      </c>
      <c r="E3412" s="541">
        <f>Runners!Q4032</f>
        <v>0</v>
      </c>
      <c r="F3412" s="79" t="s">
        <v>4637</v>
      </c>
      <c r="G3412" s="1">
        <v>1.8067129629629631E-2</v>
      </c>
      <c r="H3412" s="2"/>
      <c r="I3412" s="3"/>
      <c r="J3412" s="334" t="s">
        <v>4637</v>
      </c>
      <c r="K3412" s="34">
        <v>42938</v>
      </c>
      <c r="L3412" s="1398">
        <v>346</v>
      </c>
      <c r="N3412" s="1653"/>
      <c r="P3412" s="1654" t="s">
        <v>8223</v>
      </c>
    </row>
    <row r="3413" spans="3:16" ht="15" x14ac:dyDescent="0.25">
      <c r="C3413" s="74" t="s">
        <v>3706</v>
      </c>
      <c r="D3413" s="24">
        <f>Runners!K3785</f>
        <v>0</v>
      </c>
      <c r="E3413" s="183">
        <f>Runners!K3784</f>
        <v>0</v>
      </c>
      <c r="F3413" s="6" t="s">
        <v>654</v>
      </c>
      <c r="G3413" s="1">
        <v>1.9131944444444444E-2</v>
      </c>
      <c r="H3413" s="2"/>
      <c r="I3413" s="3"/>
      <c r="J3413" s="1" t="s">
        <v>654</v>
      </c>
      <c r="K3413" s="34">
        <v>42560</v>
      </c>
      <c r="L3413" s="1398">
        <v>273</v>
      </c>
      <c r="N3413" s="1653"/>
      <c r="P3413" s="1654" t="s">
        <v>3706</v>
      </c>
    </row>
    <row r="3414" spans="3:16" ht="15" x14ac:dyDescent="0.25">
      <c r="C3414" s="74" t="s">
        <v>2560</v>
      </c>
      <c r="D3414" s="24">
        <f>Runners!T3859</f>
        <v>0</v>
      </c>
      <c r="E3414" s="183">
        <f>Runners!T3858</f>
        <v>0</v>
      </c>
      <c r="F3414" s="6" t="s">
        <v>5096</v>
      </c>
      <c r="G3414" s="1">
        <v>1.5300925925925926E-2</v>
      </c>
      <c r="H3414" s="513" t="s">
        <v>748</v>
      </c>
      <c r="I3414" s="1">
        <v>2.4432870370370369E-2</v>
      </c>
      <c r="J3414" s="1" t="s">
        <v>5096</v>
      </c>
      <c r="K3414" s="34">
        <v>41965</v>
      </c>
      <c r="L3414" s="1398">
        <v>142</v>
      </c>
      <c r="N3414" s="1653"/>
      <c r="P3414" s="1654" t="s">
        <v>2563</v>
      </c>
    </row>
    <row r="3415" spans="3:16" ht="15" x14ac:dyDescent="0.25">
      <c r="C3415" s="532" t="s">
        <v>4632</v>
      </c>
      <c r="D3415" s="531">
        <f>Runners!Q3968</f>
        <v>0</v>
      </c>
      <c r="E3415" s="541">
        <f>Runners!Q3967</f>
        <v>0</v>
      </c>
      <c r="F3415" s="6"/>
      <c r="H3415" s="513" t="s">
        <v>1062</v>
      </c>
      <c r="I3415" s="1">
        <v>2.4976851851851851E-2</v>
      </c>
      <c r="J3415" s="512" t="s">
        <v>1062</v>
      </c>
      <c r="K3415" s="34">
        <v>42736</v>
      </c>
      <c r="L3415" s="1398">
        <v>310</v>
      </c>
      <c r="N3415" s="1653"/>
      <c r="P3415" s="1654" t="s">
        <v>4632</v>
      </c>
    </row>
    <row r="3416" spans="3:16" ht="15" x14ac:dyDescent="0.25">
      <c r="C3416" s="74" t="s">
        <v>2636</v>
      </c>
      <c r="D3416" s="24">
        <f>Runners!M3829</f>
        <v>0</v>
      </c>
      <c r="E3416" s="183">
        <f>Runners!M3828</f>
        <v>0</v>
      </c>
      <c r="F3416" s="6"/>
      <c r="H3416" s="206" t="s">
        <v>748</v>
      </c>
      <c r="I3416" s="1">
        <v>2.3125E-2</v>
      </c>
      <c r="J3416" s="206" t="s">
        <v>748</v>
      </c>
      <c r="K3416" s="34">
        <v>41895</v>
      </c>
      <c r="L3416" s="1398">
        <v>129</v>
      </c>
      <c r="N3416" s="1653"/>
      <c r="P3416" s="1654" t="s">
        <v>2636</v>
      </c>
    </row>
    <row r="3417" spans="3:16" ht="15" x14ac:dyDescent="0.25">
      <c r="C3417" s="415" t="s">
        <v>15254</v>
      </c>
      <c r="D3417" s="24">
        <f>Runners!K4054</f>
        <v>0</v>
      </c>
      <c r="E3417" s="183">
        <f>Runners!L4053</f>
        <v>0</v>
      </c>
      <c r="F3417" s="6" t="s">
        <v>1000</v>
      </c>
      <c r="G3417" s="1">
        <v>1.8981481481481481E-2</v>
      </c>
      <c r="J3417" s="32" t="s">
        <v>1000</v>
      </c>
      <c r="K3417" s="34">
        <v>41097</v>
      </c>
      <c r="L3417" s="9">
        <v>31</v>
      </c>
      <c r="N3417" s="1653"/>
      <c r="P3417" s="1654" t="s">
        <v>15234</v>
      </c>
    </row>
    <row r="3418" spans="3:16" ht="15" x14ac:dyDescent="0.25">
      <c r="C3418" s="74" t="s">
        <v>5591</v>
      </c>
      <c r="D3418" s="24">
        <f>Runners!S3748</f>
        <v>0</v>
      </c>
      <c r="E3418" s="183">
        <f>Runners!S3747</f>
        <v>0</v>
      </c>
      <c r="F3418" s="6" t="s">
        <v>5096</v>
      </c>
      <c r="G3418" s="1">
        <v>1.5011574074074075E-2</v>
      </c>
      <c r="H3418" s="197" t="s">
        <v>4596</v>
      </c>
      <c r="I3418" s="1">
        <v>2.013888888888889E-2</v>
      </c>
      <c r="J3418" s="1" t="s">
        <v>5096</v>
      </c>
      <c r="K3418" s="34">
        <v>42203</v>
      </c>
      <c r="L3418" s="1398">
        <v>187</v>
      </c>
      <c r="N3418" s="1653"/>
      <c r="P3418" s="1654" t="s">
        <v>3132</v>
      </c>
    </row>
    <row r="3419" spans="3:16" ht="15" x14ac:dyDescent="0.25">
      <c r="C3419" s="415" t="s">
        <v>4633</v>
      </c>
      <c r="D3419" s="24">
        <f>Runners!R3968</f>
        <v>0</v>
      </c>
      <c r="E3419" s="183">
        <f>Runners!R3967</f>
        <v>0</v>
      </c>
      <c r="F3419" s="6"/>
      <c r="H3419" s="197" t="s">
        <v>1062</v>
      </c>
      <c r="J3419" s="334" t="s">
        <v>1062</v>
      </c>
      <c r="K3419" s="34">
        <v>43101</v>
      </c>
      <c r="L3419" s="1398">
        <v>376</v>
      </c>
      <c r="N3419" s="1653"/>
      <c r="P3419" s="1654" t="s">
        <v>4633</v>
      </c>
    </row>
    <row r="3420" spans="3:16" ht="15" x14ac:dyDescent="0.25">
      <c r="C3420" s="74" t="s">
        <v>1788</v>
      </c>
      <c r="D3420" s="24">
        <f>Runners!X3785</f>
        <v>0</v>
      </c>
      <c r="E3420" s="183">
        <f>Runners!X3784</f>
        <v>0</v>
      </c>
      <c r="F3420" s="6" t="s">
        <v>5951</v>
      </c>
      <c r="G3420" s="1">
        <v>1.6192129629629629E-2</v>
      </c>
      <c r="H3420" s="206" t="s">
        <v>888</v>
      </c>
      <c r="I3420" s="1">
        <v>1.9120370370370371E-2</v>
      </c>
      <c r="J3420" s="1" t="s">
        <v>4467</v>
      </c>
      <c r="K3420" s="34">
        <v>41531</v>
      </c>
      <c r="L3420" s="1398">
        <v>70</v>
      </c>
      <c r="N3420" s="1653"/>
      <c r="P3420" s="1654" t="s">
        <v>1788</v>
      </c>
    </row>
    <row r="3421" spans="3:16" ht="15" x14ac:dyDescent="0.25">
      <c r="C3421" s="74" t="s">
        <v>5402</v>
      </c>
      <c r="D3421" s="24">
        <f>Runners!O3897</f>
        <v>0</v>
      </c>
      <c r="E3421" s="183">
        <f>Runners!O3896</f>
        <v>0</v>
      </c>
      <c r="F3421" s="6"/>
      <c r="H3421" s="206" t="s">
        <v>1062</v>
      </c>
      <c r="I3421" s="1">
        <v>2.5613425925925925E-2</v>
      </c>
      <c r="J3421" s="1" t="s">
        <v>1062</v>
      </c>
      <c r="K3421" s="34">
        <v>42602</v>
      </c>
      <c r="L3421" s="1398">
        <v>282</v>
      </c>
      <c r="N3421" s="1653"/>
      <c r="P3421" s="1654" t="s">
        <v>5402</v>
      </c>
    </row>
    <row r="3422" spans="3:16" ht="15" x14ac:dyDescent="0.25">
      <c r="C3422" s="74" t="s">
        <v>4286</v>
      </c>
      <c r="D3422" s="24">
        <f>Runners!R4033</f>
        <v>0</v>
      </c>
      <c r="E3422" s="183">
        <f>Runners!R4032</f>
        <v>0</v>
      </c>
      <c r="F3422" s="6" t="s">
        <v>627</v>
      </c>
      <c r="G3422" s="1">
        <v>1.4594907407407405E-2</v>
      </c>
      <c r="H3422" s="206" t="s">
        <v>888</v>
      </c>
      <c r="I3422" s="1">
        <v>2.0069444444444442E-2</v>
      </c>
      <c r="J3422" s="1" t="s">
        <v>627</v>
      </c>
      <c r="K3422" s="34">
        <v>41468</v>
      </c>
      <c r="L3422" s="1398">
        <v>64</v>
      </c>
      <c r="N3422" s="1653"/>
      <c r="P3422" s="1654" t="s">
        <v>4286</v>
      </c>
    </row>
    <row r="3423" spans="3:16" ht="15" x14ac:dyDescent="0.25">
      <c r="C3423" s="74" t="s">
        <v>2963</v>
      </c>
      <c r="D3423" s="24">
        <f>Runners!L4005</f>
        <v>0</v>
      </c>
      <c r="E3423" s="183">
        <f>Runners!L4004</f>
        <v>0</v>
      </c>
      <c r="F3423" s="52" t="s">
        <v>1000</v>
      </c>
      <c r="G3423" s="1">
        <v>1.8993055555555558E-2</v>
      </c>
      <c r="H3423" s="206"/>
      <c r="J3423" s="32" t="s">
        <v>1000</v>
      </c>
      <c r="K3423" s="34">
        <v>42714</v>
      </c>
      <c r="L3423" s="1398">
        <v>306</v>
      </c>
      <c r="N3423" s="1653"/>
      <c r="P3423" s="1654" t="s">
        <v>2963</v>
      </c>
    </row>
    <row r="3424" spans="3:16" ht="15" x14ac:dyDescent="0.25">
      <c r="C3424" s="74" t="s">
        <v>1433</v>
      </c>
      <c r="D3424" s="24">
        <f>Runners!S3498</f>
        <v>0</v>
      </c>
      <c r="E3424" s="183">
        <f>Runners!S3497</f>
        <v>0</v>
      </c>
      <c r="F3424" s="6"/>
      <c r="H3424" s="206" t="s">
        <v>748</v>
      </c>
      <c r="I3424" s="1">
        <v>2.2488425925925926E-2</v>
      </c>
      <c r="J3424" s="254" t="s">
        <v>748</v>
      </c>
      <c r="K3424" s="34">
        <v>42679</v>
      </c>
      <c r="L3424" s="1398">
        <v>300</v>
      </c>
      <c r="N3424" s="1653"/>
      <c r="P3424" s="1654" t="s">
        <v>1433</v>
      </c>
    </row>
    <row r="3425" spans="3:16" ht="15" x14ac:dyDescent="0.25">
      <c r="C3425" s="74" t="s">
        <v>1302</v>
      </c>
      <c r="D3425" s="24">
        <f>Runners!M3943</f>
        <v>0</v>
      </c>
      <c r="E3425" s="183">
        <f>Runners!M3942</f>
        <v>0</v>
      </c>
      <c r="F3425" s="6" t="s">
        <v>298</v>
      </c>
      <c r="G3425" s="1">
        <v>1.8032407407407407E-2</v>
      </c>
      <c r="H3425" s="206" t="s">
        <v>5903</v>
      </c>
      <c r="I3425" s="1">
        <v>1.8842592592592591E-2</v>
      </c>
      <c r="J3425" s="1" t="s">
        <v>298</v>
      </c>
      <c r="K3425" s="34">
        <v>42455</v>
      </c>
      <c r="L3425" s="1398">
        <v>242</v>
      </c>
      <c r="N3425" s="1653"/>
      <c r="P3425" s="1654" t="s">
        <v>1302</v>
      </c>
    </row>
    <row r="3426" spans="3:16" ht="15" x14ac:dyDescent="0.25">
      <c r="C3426" s="415" t="s">
        <v>539</v>
      </c>
      <c r="D3426" s="24">
        <f>Runners!Q3683</f>
        <v>0</v>
      </c>
      <c r="E3426" s="183">
        <f>Runners!Q3682</f>
        <v>0</v>
      </c>
      <c r="F3426" s="6"/>
      <c r="H3426" s="197" t="s">
        <v>9804</v>
      </c>
      <c r="I3426" s="1">
        <v>2.0925925925925928E-2</v>
      </c>
      <c r="J3426" s="334" t="s">
        <v>9804</v>
      </c>
      <c r="K3426" s="34">
        <v>43323</v>
      </c>
      <c r="L3426" s="1398">
        <v>431</v>
      </c>
      <c r="N3426" s="1653"/>
      <c r="P3426" s="1654" t="s">
        <v>3872</v>
      </c>
    </row>
    <row r="3427" spans="3:16" ht="15" x14ac:dyDescent="0.25">
      <c r="C3427" s="74" t="s">
        <v>5965</v>
      </c>
      <c r="D3427" s="24">
        <f>Runners!L3943</f>
        <v>0</v>
      </c>
      <c r="E3427" s="183">
        <f>Runners!L3942</f>
        <v>0</v>
      </c>
      <c r="F3427" s="6" t="s">
        <v>5096</v>
      </c>
      <c r="G3427" s="1">
        <v>1.4305555555555557E-2</v>
      </c>
      <c r="H3427" s="53" t="s">
        <v>1212</v>
      </c>
      <c r="I3427" s="1" t="s">
        <v>1212</v>
      </c>
      <c r="J3427" s="1" t="s">
        <v>5096</v>
      </c>
      <c r="K3427" s="34">
        <v>40817</v>
      </c>
      <c r="L3427" s="9">
        <v>10</v>
      </c>
      <c r="N3427" s="1653"/>
      <c r="P3427" s="1654" t="s">
        <v>11658</v>
      </c>
    </row>
    <row r="3428" spans="3:16" ht="15" x14ac:dyDescent="0.25">
      <c r="C3428" s="532" t="s">
        <v>9734</v>
      </c>
      <c r="D3428" s="541">
        <f>Runners!T3398</f>
        <v>0</v>
      </c>
      <c r="E3428" s="541">
        <f>Runners!S3397</f>
        <v>0</v>
      </c>
      <c r="F3428" s="79" t="s">
        <v>5881</v>
      </c>
      <c r="G3428" s="1">
        <v>1.5844907407407408E-2</v>
      </c>
      <c r="H3428" s="80" t="s">
        <v>3254</v>
      </c>
      <c r="I3428" s="1">
        <v>1.8483796296296297E-2</v>
      </c>
      <c r="J3428" s="334" t="s">
        <v>3254</v>
      </c>
      <c r="K3428" s="34">
        <v>43239</v>
      </c>
      <c r="L3428" s="9">
        <v>410</v>
      </c>
      <c r="N3428" s="1653"/>
      <c r="P3428" s="1654" t="s">
        <v>9842</v>
      </c>
    </row>
    <row r="3429" spans="3:16" ht="15" x14ac:dyDescent="0.25">
      <c r="C3429" s="74" t="s">
        <v>371</v>
      </c>
      <c r="D3429" s="24">
        <f>Runners!O3564</f>
        <v>0</v>
      </c>
      <c r="E3429" s="183">
        <f>Runners!O3563</f>
        <v>0</v>
      </c>
      <c r="F3429" s="6" t="s">
        <v>5096</v>
      </c>
      <c r="G3429" s="1">
        <v>1.4479166666666668E-2</v>
      </c>
      <c r="J3429" s="32" t="s">
        <v>1000</v>
      </c>
      <c r="K3429" s="34">
        <v>41279</v>
      </c>
      <c r="L3429" s="9">
        <v>51</v>
      </c>
      <c r="N3429" s="1653"/>
      <c r="P3429" s="1654" t="s">
        <v>6020</v>
      </c>
    </row>
    <row r="3430" spans="3:16" ht="15" x14ac:dyDescent="0.25">
      <c r="C3430" s="15" t="s">
        <v>5990</v>
      </c>
      <c r="D3430" s="24">
        <f>Runners!T3498</f>
        <v>0</v>
      </c>
      <c r="E3430" s="183">
        <f>Runners!T3497</f>
        <v>0</v>
      </c>
      <c r="F3430" s="6" t="s">
        <v>5882</v>
      </c>
      <c r="G3430" s="1">
        <v>1.6574074074074074E-2</v>
      </c>
      <c r="H3430" s="197" t="s">
        <v>748</v>
      </c>
      <c r="I3430" s="1">
        <v>2.6400462962962962E-2</v>
      </c>
      <c r="J3430" s="32" t="s">
        <v>1000</v>
      </c>
      <c r="K3430" s="34">
        <v>41412</v>
      </c>
      <c r="L3430" s="9">
        <v>61</v>
      </c>
      <c r="N3430" s="1653"/>
      <c r="P3430" s="1654" t="s">
        <v>5440</v>
      </c>
    </row>
    <row r="3431" spans="3:16" ht="15" x14ac:dyDescent="0.25">
      <c r="C3431" s="415" t="s">
        <v>11077</v>
      </c>
      <c r="D3431" s="24">
        <f>Runners!AA4203</f>
        <v>0</v>
      </c>
      <c r="E3431" s="183">
        <f>Runners!AA4202</f>
        <v>0</v>
      </c>
      <c r="F3431" s="79" t="s">
        <v>1000</v>
      </c>
      <c r="G3431" s="1">
        <v>2.0335648148148148E-2</v>
      </c>
      <c r="H3431" s="197"/>
      <c r="J3431" s="32" t="s">
        <v>1000</v>
      </c>
      <c r="K3431" s="34">
        <v>43428</v>
      </c>
      <c r="L3431" s="9">
        <v>455</v>
      </c>
      <c r="N3431" s="1653"/>
      <c r="P3431" s="1654" t="s">
        <v>11077</v>
      </c>
    </row>
    <row r="3432" spans="3:16" ht="15" x14ac:dyDescent="0.25">
      <c r="C3432" s="15" t="s">
        <v>3380</v>
      </c>
      <c r="D3432" s="24">
        <f>Runners!P3564</f>
        <v>0</v>
      </c>
      <c r="E3432" s="183">
        <f>Runners!P3563</f>
        <v>0</v>
      </c>
      <c r="F3432" s="6" t="s">
        <v>1000</v>
      </c>
      <c r="G3432" s="1">
        <v>1.9201388888888889E-2</v>
      </c>
      <c r="H3432" s="53"/>
      <c r="I3432" s="54"/>
      <c r="J3432" s="1" t="s">
        <v>4778</v>
      </c>
      <c r="K3432" s="33">
        <v>42161</v>
      </c>
      <c r="L3432" s="9">
        <v>175</v>
      </c>
      <c r="N3432" s="1653"/>
      <c r="P3432" s="1654" t="s">
        <v>1627</v>
      </c>
    </row>
    <row r="3433" spans="3:16" ht="15" x14ac:dyDescent="0.25">
      <c r="C3433" s="74" t="s">
        <v>3167</v>
      </c>
      <c r="D3433" s="183">
        <f>Runners!U3398</f>
        <v>0</v>
      </c>
      <c r="E3433" s="183">
        <f>Runners!U3397</f>
        <v>0</v>
      </c>
      <c r="F3433" s="6" t="s">
        <v>1270</v>
      </c>
      <c r="G3433" s="1">
        <v>1.2962962962962963E-2</v>
      </c>
      <c r="H3433" t="s">
        <v>3168</v>
      </c>
      <c r="I3433" s="1">
        <v>1.7106481481481483E-2</v>
      </c>
      <c r="J3433" s="1" t="s">
        <v>1270</v>
      </c>
      <c r="K3433" s="34">
        <v>40068</v>
      </c>
      <c r="L3433" s="9">
        <v>4</v>
      </c>
      <c r="N3433" s="1653"/>
      <c r="P3433" s="1654" t="s">
        <v>3167</v>
      </c>
    </row>
    <row r="3434" spans="3:16" ht="15" x14ac:dyDescent="0.25">
      <c r="C3434" s="24" t="s">
        <v>161</v>
      </c>
      <c r="D3434" s="183">
        <f>Runners!L3398</f>
        <v>0</v>
      </c>
      <c r="E3434" s="183">
        <f>Runners!L3397</f>
        <v>0</v>
      </c>
      <c r="F3434" s="79" t="s">
        <v>8360</v>
      </c>
      <c r="G3434" s="1">
        <v>1.5601851851851851E-2</v>
      </c>
      <c r="H3434" s="80" t="s">
        <v>5903</v>
      </c>
      <c r="I3434" s="1">
        <v>1.8888888888888889E-2</v>
      </c>
      <c r="J3434" s="32" t="s">
        <v>1000</v>
      </c>
      <c r="K3434" s="34">
        <v>42210</v>
      </c>
      <c r="L3434" s="9">
        <v>189</v>
      </c>
      <c r="N3434" s="1653"/>
      <c r="P3434" s="1654" t="s">
        <v>161</v>
      </c>
    </row>
    <row r="3435" spans="3:16" ht="15" x14ac:dyDescent="0.25">
      <c r="C3435" s="415" t="s">
        <v>9494</v>
      </c>
      <c r="D3435" s="24">
        <f>Runners!S4236</f>
        <v>0</v>
      </c>
      <c r="E3435" s="183">
        <f>Runners!S4235</f>
        <v>0</v>
      </c>
      <c r="F3435" s="79" t="s">
        <v>1212</v>
      </c>
      <c r="G3435" s="334" t="s">
        <v>1212</v>
      </c>
      <c r="H3435" s="80" t="s">
        <v>3254</v>
      </c>
      <c r="I3435" s="1">
        <v>1.8124999999999999E-2</v>
      </c>
      <c r="J3435" s="334" t="s">
        <v>8150</v>
      </c>
      <c r="K3435" s="34">
        <v>43393</v>
      </c>
      <c r="L3435" s="1398">
        <v>396</v>
      </c>
      <c r="N3435" s="1653"/>
      <c r="P3435" s="1654" t="s">
        <v>9500</v>
      </c>
    </row>
    <row r="3436" spans="3:16" ht="15" x14ac:dyDescent="0.25">
      <c r="C3436" s="24" t="s">
        <v>5664</v>
      </c>
      <c r="D3436" s="24">
        <f>Runners!P4188</f>
        <v>0</v>
      </c>
      <c r="E3436" s="183">
        <f>Runners!P4187</f>
        <v>0</v>
      </c>
      <c r="F3436" s="6" t="s">
        <v>909</v>
      </c>
      <c r="G3436" s="1">
        <v>2.0196759259259258E-2</v>
      </c>
      <c r="H3436" s="206" t="s">
        <v>5894</v>
      </c>
      <c r="I3436" s="1">
        <v>2.0185185185185184E-2</v>
      </c>
      <c r="J3436" s="32" t="s">
        <v>5061</v>
      </c>
      <c r="K3436" s="34">
        <v>42665</v>
      </c>
      <c r="L3436" s="1398">
        <v>294</v>
      </c>
      <c r="N3436" s="1653"/>
      <c r="P3436" s="1654" t="s">
        <v>5663</v>
      </c>
    </row>
    <row r="3437" spans="3:16" ht="15" x14ac:dyDescent="0.25">
      <c r="C3437" s="24" t="s">
        <v>2818</v>
      </c>
      <c r="D3437" s="24">
        <f>Runners!U3248</f>
        <v>0</v>
      </c>
      <c r="E3437" s="183">
        <f>Runners!U3247</f>
        <v>0</v>
      </c>
      <c r="F3437" s="6" t="s">
        <v>5881</v>
      </c>
      <c r="G3437" s="1">
        <v>1.3368055555555557E-2</v>
      </c>
      <c r="H3437" s="80" t="s">
        <v>9806</v>
      </c>
      <c r="I3437" s="1">
        <v>1.4444444444444446E-2</v>
      </c>
      <c r="J3437" s="1" t="s">
        <v>2368</v>
      </c>
      <c r="K3437" s="34">
        <v>40096</v>
      </c>
      <c r="L3437" s="1398">
        <v>5</v>
      </c>
      <c r="N3437" s="1653"/>
      <c r="P3437" s="1654" t="s">
        <v>2818</v>
      </c>
    </row>
    <row r="3438" spans="3:16" ht="15" x14ac:dyDescent="0.25">
      <c r="C3438" s="532" t="s">
        <v>6393</v>
      </c>
      <c r="D3438" s="947">
        <f>Runners!O3311</f>
        <v>0</v>
      </c>
      <c r="E3438" s="948">
        <f>Runners!O3310</f>
        <v>0</v>
      </c>
      <c r="F3438" s="79" t="s">
        <v>127</v>
      </c>
      <c r="G3438" s="1">
        <v>1.3657407407407408E-2</v>
      </c>
      <c r="H3438" s="80" t="s">
        <v>4596</v>
      </c>
      <c r="I3438" s="1">
        <v>1.7789351851851851E-2</v>
      </c>
      <c r="J3438" s="334" t="s">
        <v>748</v>
      </c>
      <c r="K3438" s="34">
        <v>42798</v>
      </c>
      <c r="L3438" s="1398">
        <v>323</v>
      </c>
      <c r="N3438" s="1653"/>
      <c r="P3438" s="1654" t="s">
        <v>6393</v>
      </c>
    </row>
    <row r="3439" spans="3:16" ht="15" x14ac:dyDescent="0.25">
      <c r="C3439" s="24" t="s">
        <v>6021</v>
      </c>
      <c r="D3439" s="947">
        <f>Runners!Q3564</f>
        <v>0</v>
      </c>
      <c r="E3439" s="948">
        <f>Runners!Q3563</f>
        <v>0</v>
      </c>
      <c r="F3439" s="311" t="s">
        <v>4407</v>
      </c>
      <c r="G3439" s="254">
        <v>1.5416666666666667E-2</v>
      </c>
      <c r="H3439" s="206" t="s">
        <v>5241</v>
      </c>
      <c r="I3439" s="254">
        <v>1.5497685185185186E-2</v>
      </c>
      <c r="J3439" s="1" t="s">
        <v>2368</v>
      </c>
      <c r="K3439" s="34">
        <v>42133</v>
      </c>
      <c r="L3439" s="1398">
        <v>169</v>
      </c>
      <c r="N3439" s="1653"/>
      <c r="P3439" s="1654" t="s">
        <v>6021</v>
      </c>
    </row>
    <row r="3440" spans="3:16" ht="15" x14ac:dyDescent="0.25">
      <c r="C3440" s="531" t="s">
        <v>2245</v>
      </c>
      <c r="D3440" s="531">
        <f>Runners!O3992</f>
        <v>0</v>
      </c>
      <c r="E3440" s="541">
        <f>Runners!O3991</f>
        <v>0</v>
      </c>
      <c r="F3440" s="6" t="s">
        <v>5881</v>
      </c>
      <c r="G3440" s="1">
        <v>1.7905092592592594E-2</v>
      </c>
      <c r="H3440" t="s">
        <v>1062</v>
      </c>
      <c r="I3440" s="1">
        <v>2.4571759259259262E-2</v>
      </c>
      <c r="J3440" s="1" t="s">
        <v>5881</v>
      </c>
      <c r="K3440" s="34">
        <v>42938</v>
      </c>
      <c r="L3440" s="1398">
        <v>345</v>
      </c>
      <c r="N3440" s="1653"/>
      <c r="P3440" s="1654" t="s">
        <v>2245</v>
      </c>
    </row>
    <row r="3441" spans="3:16" ht="15" x14ac:dyDescent="0.25">
      <c r="C3441" s="532" t="s">
        <v>10115</v>
      </c>
      <c r="D3441" s="531">
        <f>Runners!M4258</f>
        <v>0</v>
      </c>
      <c r="E3441" s="541">
        <f>Runners!M4257</f>
        <v>0</v>
      </c>
      <c r="F3441" s="1413" t="s">
        <v>756</v>
      </c>
      <c r="G3441" s="1">
        <v>2.0185185185185184E-2</v>
      </c>
      <c r="H3441" s="80" t="s">
        <v>9804</v>
      </c>
      <c r="I3441" s="1">
        <v>1.9305555555555555E-2</v>
      </c>
      <c r="J3441" s="334" t="s">
        <v>9804</v>
      </c>
      <c r="K3441" s="34">
        <v>43274</v>
      </c>
      <c r="L3441" s="1398">
        <v>416</v>
      </c>
      <c r="N3441" s="1653"/>
      <c r="P3441" s="1654" t="s">
        <v>10429</v>
      </c>
    </row>
    <row r="3442" spans="3:16" ht="15" x14ac:dyDescent="0.25">
      <c r="C3442" s="24" t="s">
        <v>5774</v>
      </c>
      <c r="D3442" s="24">
        <f>Runners!P3992</f>
        <v>0</v>
      </c>
      <c r="E3442" s="183">
        <f>Runners!P3991</f>
        <v>0</v>
      </c>
      <c r="F3442" s="6" t="s">
        <v>4239</v>
      </c>
      <c r="G3442" s="1">
        <v>1.9421296296296294E-2</v>
      </c>
      <c r="H3442" s="2" t="s">
        <v>5903</v>
      </c>
      <c r="I3442" s="1">
        <v>1.877314814814815E-2</v>
      </c>
      <c r="J3442" s="1" t="s">
        <v>5903</v>
      </c>
      <c r="K3442" s="34">
        <v>42420</v>
      </c>
      <c r="L3442" s="9">
        <v>228</v>
      </c>
      <c r="N3442" s="1653"/>
      <c r="P3442" s="1654" t="s">
        <v>4199</v>
      </c>
    </row>
    <row r="3443" spans="3:16" ht="15" x14ac:dyDescent="0.25">
      <c r="C3443" s="532" t="s">
        <v>6159</v>
      </c>
      <c r="D3443" s="531">
        <f>Runners!P3311</f>
        <v>0</v>
      </c>
      <c r="E3443" s="541">
        <f>Runners!P3991</f>
        <v>0</v>
      </c>
      <c r="F3443" s="6" t="s">
        <v>1000</v>
      </c>
      <c r="G3443" s="1">
        <v>1.8819444444444448E-2</v>
      </c>
      <c r="H3443" s="513" t="s">
        <v>1062</v>
      </c>
      <c r="I3443" s="1">
        <v>2.2835648148148147E-2</v>
      </c>
      <c r="J3443" s="334" t="s">
        <v>1000</v>
      </c>
      <c r="K3443" s="34">
        <v>42833</v>
      </c>
      <c r="L3443" s="1398">
        <v>329</v>
      </c>
      <c r="N3443" s="1653"/>
      <c r="P3443" s="1654" t="s">
        <v>6159</v>
      </c>
    </row>
    <row r="3444" spans="3:16" ht="15" x14ac:dyDescent="0.25">
      <c r="C3444" s="532" t="s">
        <v>9873</v>
      </c>
      <c r="D3444" s="531">
        <f>Runners!L4125</f>
        <v>0</v>
      </c>
      <c r="E3444" s="541">
        <f>Runners!L4124</f>
        <v>0</v>
      </c>
      <c r="F3444" s="6" t="s">
        <v>1000</v>
      </c>
      <c r="G3444" s="1">
        <v>2.0532407407407405E-2</v>
      </c>
      <c r="H3444" s="1374" t="s">
        <v>9806</v>
      </c>
      <c r="I3444" s="1412">
        <v>1.6111111111111111E-2</v>
      </c>
      <c r="J3444" s="512" t="s">
        <v>9806</v>
      </c>
      <c r="K3444" s="34">
        <v>43253</v>
      </c>
      <c r="L3444" s="1398">
        <v>411</v>
      </c>
      <c r="N3444" s="1653"/>
      <c r="P3444" s="1654" t="s">
        <v>9873</v>
      </c>
    </row>
    <row r="3445" spans="3:16" ht="15" x14ac:dyDescent="0.25">
      <c r="C3445" s="532" t="s">
        <v>7754</v>
      </c>
      <c r="D3445" s="531">
        <f>Runners!J4236</f>
        <v>0</v>
      </c>
      <c r="E3445" s="541">
        <f>Runners!J4235</f>
        <v>0</v>
      </c>
      <c r="F3445" s="79" t="s">
        <v>756</v>
      </c>
      <c r="G3445" s="1">
        <v>2.0520833333333332E-2</v>
      </c>
      <c r="H3445" s="1374"/>
      <c r="I3445" s="1412"/>
      <c r="J3445" s="334" t="s">
        <v>756</v>
      </c>
      <c r="K3445" s="34">
        <v>43554</v>
      </c>
      <c r="L3445" s="1398">
        <v>483</v>
      </c>
      <c r="N3445" s="1653"/>
      <c r="P3445" s="1654" t="s">
        <v>12259</v>
      </c>
    </row>
    <row r="3446" spans="3:16" ht="15" x14ac:dyDescent="0.25">
      <c r="C3446" s="74" t="s">
        <v>3381</v>
      </c>
      <c r="D3446" s="24">
        <f>Runners!K4285</f>
        <v>0</v>
      </c>
      <c r="E3446" s="183">
        <f>Runners!K4284</f>
        <v>0</v>
      </c>
      <c r="F3446" s="6" t="s">
        <v>5096</v>
      </c>
      <c r="G3446" s="1">
        <v>1.7175925925925924E-2</v>
      </c>
      <c r="H3446" s="1474" t="s">
        <v>1212</v>
      </c>
      <c r="I3446" s="1475" t="s">
        <v>1212</v>
      </c>
      <c r="J3446" s="32" t="s">
        <v>5096</v>
      </c>
      <c r="K3446" s="33">
        <v>41559</v>
      </c>
      <c r="L3446" s="1398">
        <v>72</v>
      </c>
      <c r="N3446" s="1653"/>
      <c r="P3446" s="1654" t="s">
        <v>2414</v>
      </c>
    </row>
    <row r="3447" spans="3:16" ht="15" x14ac:dyDescent="0.25">
      <c r="C3447" s="415" t="s">
        <v>8335</v>
      </c>
      <c r="D3447" s="24">
        <f>Runners!T4188</f>
        <v>0</v>
      </c>
      <c r="E3447" s="183">
        <f>Runners!T4187</f>
        <v>0</v>
      </c>
      <c r="F3447" s="6" t="s">
        <v>909</v>
      </c>
      <c r="G3447" s="1">
        <v>1.9629629629629629E-2</v>
      </c>
      <c r="H3447" s="1370" t="s">
        <v>5894</v>
      </c>
      <c r="I3447" s="1432">
        <v>1.9618055555555555E-2</v>
      </c>
      <c r="J3447" s="334" t="s">
        <v>5061</v>
      </c>
      <c r="K3447" s="33">
        <v>42959</v>
      </c>
      <c r="L3447" s="1398">
        <v>351</v>
      </c>
      <c r="N3447" s="1653"/>
      <c r="P3447" s="1654" t="s">
        <v>8335</v>
      </c>
    </row>
    <row r="3448" spans="3:16" ht="15" x14ac:dyDescent="0.25">
      <c r="C3448" s="74" t="s">
        <v>4220</v>
      </c>
      <c r="D3448" s="24">
        <f>Runners!P3897</f>
        <v>0</v>
      </c>
      <c r="E3448" s="183">
        <f>Runners!P3896</f>
        <v>0</v>
      </c>
      <c r="F3448" s="6"/>
      <c r="H3448" s="1375" t="s">
        <v>1062</v>
      </c>
      <c r="I3448" s="1476">
        <v>2.3935185185185184E-2</v>
      </c>
      <c r="J3448" s="265" t="s">
        <v>1062</v>
      </c>
      <c r="K3448" s="33">
        <v>42483</v>
      </c>
      <c r="L3448" s="1398">
        <v>254</v>
      </c>
      <c r="N3448" s="1653"/>
      <c r="P3448" s="1654" t="s">
        <v>230</v>
      </c>
    </row>
    <row r="3449" spans="3:16" ht="15" x14ac:dyDescent="0.25">
      <c r="C3449" s="415" t="s">
        <v>4634</v>
      </c>
      <c r="D3449" s="24">
        <f>Runners!T3968</f>
        <v>0</v>
      </c>
      <c r="E3449" s="183">
        <f>Runners!T3967</f>
        <v>0</v>
      </c>
      <c r="F3449" s="6"/>
      <c r="H3449" s="1375" t="s">
        <v>748</v>
      </c>
      <c r="I3449" s="1476">
        <v>2.4074074074074071E-2</v>
      </c>
      <c r="J3449" s="265" t="s">
        <v>748</v>
      </c>
      <c r="K3449" s="33">
        <v>42980</v>
      </c>
      <c r="L3449" s="1398">
        <v>361</v>
      </c>
      <c r="N3449" s="1653"/>
      <c r="P3449" s="1654" t="s">
        <v>4634</v>
      </c>
    </row>
    <row r="3450" spans="3:16" ht="15" x14ac:dyDescent="0.25">
      <c r="C3450" s="415" t="s">
        <v>10744</v>
      </c>
      <c r="D3450" s="24">
        <f>Runners!Z4109</f>
        <v>0</v>
      </c>
      <c r="E3450" s="183">
        <f>Runners!Z4108</f>
        <v>0</v>
      </c>
      <c r="F3450" s="1130" t="s">
        <v>3790</v>
      </c>
      <c r="G3450" s="1">
        <v>1.5879629629629629E-2</v>
      </c>
      <c r="H3450" s="1375" t="s">
        <v>4596</v>
      </c>
      <c r="I3450" s="1476">
        <v>1.7928240740740741E-2</v>
      </c>
      <c r="J3450" s="265" t="s">
        <v>6180</v>
      </c>
      <c r="K3450" s="33">
        <v>43379</v>
      </c>
      <c r="L3450" s="1398">
        <v>443</v>
      </c>
      <c r="N3450" s="1653"/>
      <c r="P3450" s="1654" t="s">
        <v>10744</v>
      </c>
    </row>
    <row r="3451" spans="3:16" ht="15" x14ac:dyDescent="0.25">
      <c r="C3451" s="415" t="s">
        <v>3856</v>
      </c>
      <c r="D3451" s="24">
        <f>Runners!U3968</f>
        <v>0</v>
      </c>
      <c r="E3451" s="183">
        <f>Runners!U3967</f>
        <v>0</v>
      </c>
      <c r="F3451" s="79" t="s">
        <v>298</v>
      </c>
      <c r="G3451" s="1">
        <v>1.6134259259259261E-2</v>
      </c>
      <c r="H3451" s="1370" t="s">
        <v>5903</v>
      </c>
      <c r="I3451" s="1432">
        <v>1.8460648148148146E-2</v>
      </c>
      <c r="J3451" s="334" t="s">
        <v>7577</v>
      </c>
      <c r="K3451" s="33">
        <v>42798</v>
      </c>
      <c r="L3451" s="1398">
        <v>322</v>
      </c>
      <c r="N3451" s="1653"/>
      <c r="P3451" s="1654" t="s">
        <v>3856</v>
      </c>
    </row>
    <row r="3452" spans="3:16" ht="15" x14ac:dyDescent="0.25">
      <c r="C3452" s="24" t="s">
        <v>6018</v>
      </c>
      <c r="D3452" s="24">
        <f>Runners!R3564</f>
        <v>0</v>
      </c>
      <c r="E3452" s="183">
        <f>Runners!R3563</f>
        <v>0</v>
      </c>
      <c r="F3452" s="6" t="s">
        <v>5096</v>
      </c>
      <c r="G3452" s="1">
        <v>1.4699074074074074E-2</v>
      </c>
      <c r="H3452" s="1370" t="s">
        <v>7799</v>
      </c>
      <c r="I3452" s="1412">
        <v>1.8472222222222223E-2</v>
      </c>
      <c r="J3452" s="1" t="s">
        <v>5096</v>
      </c>
      <c r="K3452" s="34">
        <v>41615</v>
      </c>
      <c r="L3452" s="1398">
        <v>81</v>
      </c>
      <c r="N3452" s="1653"/>
      <c r="P3452" s="1654" t="s">
        <v>6018</v>
      </c>
    </row>
    <row r="3453" spans="3:16" ht="15" x14ac:dyDescent="0.25">
      <c r="C3453" s="24" t="s">
        <v>3383</v>
      </c>
      <c r="D3453" s="24">
        <f>Runners!R3636</f>
        <v>0</v>
      </c>
      <c r="E3453" s="183">
        <f>Runners!R3635</f>
        <v>0</v>
      </c>
      <c r="F3453" s="79" t="s">
        <v>1000</v>
      </c>
      <c r="G3453" s="1">
        <v>1.8981481481481481E-2</v>
      </c>
      <c r="H3453" s="1371"/>
      <c r="I3453" s="1412"/>
      <c r="J3453" s="1" t="s">
        <v>4778</v>
      </c>
      <c r="K3453" s="34">
        <v>42532</v>
      </c>
      <c r="L3453" s="1398">
        <v>265</v>
      </c>
      <c r="N3453" s="1653"/>
      <c r="P3453" s="1654" t="s">
        <v>3383</v>
      </c>
    </row>
    <row r="3454" spans="3:16" ht="15" x14ac:dyDescent="0.25">
      <c r="C3454" s="74" t="s">
        <v>6075</v>
      </c>
      <c r="D3454" s="24">
        <f>Runners!R3897</f>
        <v>0</v>
      </c>
      <c r="E3454" s="183">
        <f>Runners!R3896</f>
        <v>0</v>
      </c>
      <c r="F3454" s="79" t="s">
        <v>1000</v>
      </c>
      <c r="G3454" s="1">
        <v>1.9803240740740739E-2</v>
      </c>
      <c r="H3454" s="1374" t="s">
        <v>1062</v>
      </c>
      <c r="I3454" s="1476">
        <v>2.344907407407407E-2</v>
      </c>
      <c r="J3454" s="512" t="s">
        <v>1062</v>
      </c>
      <c r="K3454" s="34">
        <v>42721</v>
      </c>
      <c r="L3454" s="1398">
        <v>307</v>
      </c>
      <c r="N3454" s="1653"/>
      <c r="P3454" s="1654" t="s">
        <v>6075</v>
      </c>
    </row>
    <row r="3455" spans="3:16" ht="15" x14ac:dyDescent="0.25">
      <c r="C3455" s="415" t="s">
        <v>11730</v>
      </c>
      <c r="D3455" s="24">
        <f>Runners!Q3897</f>
        <v>0</v>
      </c>
      <c r="E3455" s="183">
        <f>Runners!Q3896</f>
        <v>0</v>
      </c>
      <c r="F3455" s="79" t="s">
        <v>5096</v>
      </c>
      <c r="G3455" s="1">
        <v>1.462962962962963E-2</v>
      </c>
      <c r="H3455" s="1374"/>
      <c r="I3455" s="1476"/>
      <c r="J3455" s="512" t="s">
        <v>5096</v>
      </c>
      <c r="K3455" s="34">
        <v>43498</v>
      </c>
      <c r="L3455" s="1398">
        <v>466</v>
      </c>
      <c r="N3455" s="1653"/>
      <c r="P3455" s="1654" t="s">
        <v>2960</v>
      </c>
    </row>
    <row r="3456" spans="3:16" ht="15" x14ac:dyDescent="0.25">
      <c r="C3456" s="24" t="s">
        <v>1009</v>
      </c>
      <c r="D3456" s="24">
        <f>Runners!K3599</f>
        <v>0</v>
      </c>
      <c r="E3456" s="183">
        <f>Runners!K3598</f>
        <v>0</v>
      </c>
      <c r="F3456" s="6" t="s">
        <v>5096</v>
      </c>
      <c r="G3456" s="1">
        <v>1.5416666666666667E-2</v>
      </c>
      <c r="H3456" s="1410" t="s">
        <v>1062</v>
      </c>
      <c r="I3456" s="1412">
        <v>2.7800925925925923E-2</v>
      </c>
      <c r="J3456" s="1" t="s">
        <v>5096</v>
      </c>
      <c r="K3456" s="34">
        <v>42322</v>
      </c>
      <c r="L3456" s="1398">
        <v>207</v>
      </c>
      <c r="N3456" s="1653"/>
      <c r="P3456" s="1654" t="s">
        <v>5055</v>
      </c>
    </row>
    <row r="3457" spans="3:16" ht="15" x14ac:dyDescent="0.25">
      <c r="C3457" s="24" t="s">
        <v>1060</v>
      </c>
      <c r="D3457" s="947">
        <f>Runners!U3498</f>
        <v>0</v>
      </c>
      <c r="E3457" s="948">
        <f>Runners!U3497</f>
        <v>0</v>
      </c>
      <c r="F3457" s="311" t="s">
        <v>4407</v>
      </c>
      <c r="G3457" s="1">
        <v>1.4212962962962962E-2</v>
      </c>
      <c r="H3457" s="1375" t="s">
        <v>9797</v>
      </c>
      <c r="I3457" s="1412">
        <v>1.3969907407407408E-2</v>
      </c>
      <c r="J3457" s="1" t="s">
        <v>2368</v>
      </c>
      <c r="K3457" s="34">
        <v>41762</v>
      </c>
      <c r="L3457" s="1398">
        <v>102</v>
      </c>
      <c r="N3457" s="1653"/>
      <c r="P3457" s="1654" t="s">
        <v>2431</v>
      </c>
    </row>
    <row r="3458" spans="3:16" ht="15" x14ac:dyDescent="0.25">
      <c r="C3458" s="532" t="s">
        <v>3595</v>
      </c>
      <c r="D3458" s="531">
        <f>Runners!S3897</f>
        <v>0</v>
      </c>
      <c r="E3458" s="541">
        <f>Runners!S3896</f>
        <v>0</v>
      </c>
      <c r="F3458" s="79" t="s">
        <v>1000</v>
      </c>
      <c r="G3458" s="1">
        <v>1.8969907407407408E-2</v>
      </c>
      <c r="H3458" s="197" t="s">
        <v>8441</v>
      </c>
      <c r="I3458" s="1">
        <v>2.1631944444444443E-2</v>
      </c>
      <c r="J3458" s="334" t="s">
        <v>9179</v>
      </c>
      <c r="K3458" s="34">
        <v>43127</v>
      </c>
      <c r="L3458" s="1398">
        <v>283</v>
      </c>
      <c r="N3458" s="1653"/>
      <c r="P3458" s="1654" t="s">
        <v>3595</v>
      </c>
    </row>
    <row r="3459" spans="3:16" ht="15" x14ac:dyDescent="0.25">
      <c r="C3459" s="531" t="s">
        <v>2627</v>
      </c>
      <c r="D3459" s="531">
        <f>Runners!W3748</f>
        <v>0</v>
      </c>
      <c r="E3459" s="541">
        <f>Runners!W3747</f>
        <v>0</v>
      </c>
      <c r="F3459" s="79" t="s">
        <v>5881</v>
      </c>
      <c r="G3459" s="1">
        <v>1.6886574074074075E-2</v>
      </c>
      <c r="H3459" s="206"/>
      <c r="J3459" s="334" t="s">
        <v>5097</v>
      </c>
      <c r="K3459" s="34">
        <v>42736</v>
      </c>
      <c r="L3459" s="1398">
        <v>313</v>
      </c>
      <c r="N3459" s="1653"/>
      <c r="P3459" s="1654" t="s">
        <v>2627</v>
      </c>
    </row>
    <row r="3460" spans="3:16" ht="15" x14ac:dyDescent="0.25">
      <c r="C3460" s="532" t="s">
        <v>8964</v>
      </c>
      <c r="D3460" s="531">
        <f>Runners!W3859</f>
        <v>0</v>
      </c>
      <c r="E3460" s="541">
        <f>Runners!W3858</f>
        <v>0</v>
      </c>
      <c r="F3460" s="79"/>
      <c r="H3460" s="197" t="s">
        <v>1062</v>
      </c>
      <c r="I3460" s="1">
        <v>2.584490740740741E-2</v>
      </c>
      <c r="J3460" s="512" t="s">
        <v>1062</v>
      </c>
      <c r="K3460" s="523">
        <v>43092</v>
      </c>
      <c r="L3460" s="1398">
        <v>373</v>
      </c>
      <c r="N3460" s="1653"/>
      <c r="P3460" s="1654" t="s">
        <v>8953</v>
      </c>
    </row>
    <row r="3461" spans="3:16" ht="15" x14ac:dyDescent="0.25">
      <c r="C3461" s="531" t="s">
        <v>7794</v>
      </c>
      <c r="D3461" s="531">
        <f>Runners!R4285</f>
        <v>0</v>
      </c>
      <c r="E3461" s="541">
        <f>Runners!R4284</f>
        <v>0</v>
      </c>
      <c r="F3461" s="79"/>
      <c r="H3461" s="80" t="s">
        <v>3254</v>
      </c>
      <c r="I3461" s="1">
        <v>1.9201388888888889E-2</v>
      </c>
      <c r="J3461" s="334" t="s">
        <v>3254</v>
      </c>
      <c r="K3461" s="34">
        <v>42840</v>
      </c>
      <c r="L3461" s="9">
        <v>330</v>
      </c>
      <c r="N3461" s="1653"/>
      <c r="P3461" s="1654" t="s">
        <v>7794</v>
      </c>
    </row>
    <row r="3462" spans="3:16" ht="15" x14ac:dyDescent="0.25">
      <c r="C3462" s="531" t="s">
        <v>5565</v>
      </c>
      <c r="D3462" s="531">
        <f>Runners!Q3992</f>
        <v>0</v>
      </c>
      <c r="E3462" s="541">
        <f>Runners!Q3991</f>
        <v>0</v>
      </c>
      <c r="F3462" s="79" t="s">
        <v>4637</v>
      </c>
      <c r="G3462" s="1">
        <v>1.8553240740740742E-2</v>
      </c>
      <c r="H3462" s="636" t="s">
        <v>4596</v>
      </c>
      <c r="I3462" s="840">
        <v>1.8634259259259257E-2</v>
      </c>
      <c r="J3462" s="334" t="s">
        <v>4637</v>
      </c>
      <c r="K3462" s="34">
        <v>43449</v>
      </c>
      <c r="L3462" s="1398">
        <v>458</v>
      </c>
      <c r="N3462" s="1653"/>
      <c r="P3462" s="1654" t="s">
        <v>4200</v>
      </c>
    </row>
    <row r="3463" spans="3:16" ht="15" x14ac:dyDescent="0.25">
      <c r="C3463" s="532" t="s">
        <v>10793</v>
      </c>
      <c r="D3463" s="531">
        <f>Runners!S4033</f>
        <v>0</v>
      </c>
      <c r="E3463" s="541">
        <f>Runners!S4032</f>
        <v>0</v>
      </c>
      <c r="F3463" s="1630" t="s">
        <v>2628</v>
      </c>
      <c r="G3463" s="1629">
        <v>1.4953703703703705E-2</v>
      </c>
      <c r="H3463" s="197" t="s">
        <v>1062</v>
      </c>
      <c r="I3463" s="1">
        <v>2.3171296296296297E-2</v>
      </c>
      <c r="J3463" s="334" t="s">
        <v>9179</v>
      </c>
      <c r="K3463" s="34">
        <v>43414</v>
      </c>
      <c r="L3463" s="1398">
        <v>450</v>
      </c>
      <c r="N3463" s="1653"/>
      <c r="P3463" s="1654" t="s">
        <v>10793</v>
      </c>
    </row>
    <row r="3464" spans="3:16" ht="15" x14ac:dyDescent="0.25">
      <c r="C3464" s="531" t="s">
        <v>11734</v>
      </c>
      <c r="D3464" s="531">
        <f>Runners!P4203</f>
        <v>0</v>
      </c>
      <c r="E3464" s="541">
        <f>Runners!P4202</f>
        <v>0</v>
      </c>
      <c r="F3464" s="6" t="s">
        <v>756</v>
      </c>
      <c r="G3464" s="1">
        <v>2.0474537037037038E-2</v>
      </c>
      <c r="J3464" s="1" t="s">
        <v>756</v>
      </c>
      <c r="K3464" s="34">
        <v>43498</v>
      </c>
      <c r="L3464" s="1398">
        <v>466</v>
      </c>
      <c r="N3464" s="1653"/>
      <c r="P3464" s="1654" t="s">
        <v>11733</v>
      </c>
    </row>
    <row r="3465" spans="3:16" ht="15" x14ac:dyDescent="0.25">
      <c r="C3465" s="511" t="s">
        <v>2637</v>
      </c>
      <c r="D3465" s="531">
        <f>Runners!O3812</f>
        <v>0</v>
      </c>
      <c r="E3465" s="541">
        <f>Runners!O3811</f>
        <v>0</v>
      </c>
      <c r="F3465" s="52" t="s">
        <v>909</v>
      </c>
      <c r="G3465" s="32">
        <v>1.8032407407407407E-2</v>
      </c>
      <c r="J3465" s="32" t="s">
        <v>909</v>
      </c>
      <c r="K3465" s="33">
        <v>42693</v>
      </c>
      <c r="L3465" s="1398">
        <v>304</v>
      </c>
      <c r="N3465" s="1653"/>
      <c r="P3465" s="1654" t="s">
        <v>2637</v>
      </c>
    </row>
    <row r="3466" spans="3:16" ht="15" x14ac:dyDescent="0.25">
      <c r="C3466" s="15" t="s">
        <v>459</v>
      </c>
      <c r="D3466" s="24">
        <f>Runners!T3897</f>
        <v>0</v>
      </c>
      <c r="E3466" s="183">
        <f>Runners!T3896</f>
        <v>0</v>
      </c>
      <c r="F3466" s="6"/>
      <c r="H3466" s="206" t="s">
        <v>1062</v>
      </c>
      <c r="I3466" s="1">
        <v>2.6446759259259264E-2</v>
      </c>
      <c r="J3466" s="254" t="s">
        <v>1062</v>
      </c>
      <c r="K3466" s="34">
        <v>42637</v>
      </c>
      <c r="L3466" s="1398">
        <v>287</v>
      </c>
      <c r="N3466" s="1653"/>
      <c r="P3466" s="1654" t="s">
        <v>4117</v>
      </c>
    </row>
    <row r="3467" spans="3:16" ht="15" x14ac:dyDescent="0.25">
      <c r="C3467" s="415" t="s">
        <v>7851</v>
      </c>
      <c r="D3467" s="24">
        <f>Runners!V3897</f>
        <v>0</v>
      </c>
      <c r="E3467" s="183">
        <f>Runners!V3896</f>
        <v>0</v>
      </c>
      <c r="F3467" s="6"/>
      <c r="H3467" s="197" t="s">
        <v>1062</v>
      </c>
      <c r="I3467" s="1">
        <v>2.298611111111111E-2</v>
      </c>
      <c r="J3467" s="254" t="s">
        <v>1062</v>
      </c>
      <c r="K3467" s="34">
        <v>42861</v>
      </c>
      <c r="L3467" s="1398">
        <v>332</v>
      </c>
      <c r="N3467" s="1653"/>
      <c r="P3467" s="1654" t="s">
        <v>15235</v>
      </c>
    </row>
    <row r="3468" spans="3:16" ht="15" x14ac:dyDescent="0.25">
      <c r="C3468" s="74" t="s">
        <v>5525</v>
      </c>
      <c r="D3468" s="24">
        <f>Runners!S3636</f>
        <v>0</v>
      </c>
      <c r="E3468" s="183">
        <f>Runners!S3635</f>
        <v>0</v>
      </c>
      <c r="F3468" s="79" t="s">
        <v>1000</v>
      </c>
      <c r="G3468" s="1">
        <v>2.0520833333333332E-2</v>
      </c>
      <c r="J3468" s="1" t="s">
        <v>4778</v>
      </c>
      <c r="K3468" s="34">
        <v>42476</v>
      </c>
      <c r="L3468" s="1398">
        <v>252</v>
      </c>
      <c r="N3468" s="1653"/>
      <c r="P3468" s="1654" t="s">
        <v>4499</v>
      </c>
    </row>
    <row r="3469" spans="3:16" ht="15" x14ac:dyDescent="0.25">
      <c r="C3469" s="74" t="s">
        <v>4179</v>
      </c>
      <c r="D3469" s="24">
        <f>Runners!X3859</f>
        <v>0</v>
      </c>
      <c r="E3469" s="183">
        <f>Runners!X3858</f>
        <v>0</v>
      </c>
      <c r="F3469" s="6" t="s">
        <v>4637</v>
      </c>
      <c r="G3469" s="1">
        <v>1.6828703703703703E-2</v>
      </c>
      <c r="H3469" s="513" t="s">
        <v>1062</v>
      </c>
      <c r="I3469" s="1">
        <v>2.3252314814814812E-2</v>
      </c>
      <c r="J3469" s="1" t="s">
        <v>4637</v>
      </c>
      <c r="K3469" s="34">
        <v>42574</v>
      </c>
      <c r="L3469" s="1398">
        <v>274</v>
      </c>
      <c r="N3469" s="1653"/>
      <c r="P3469" s="1654" t="s">
        <v>4179</v>
      </c>
    </row>
    <row r="3470" spans="3:16" ht="15" x14ac:dyDescent="0.25">
      <c r="C3470" s="415" t="s">
        <v>13085</v>
      </c>
      <c r="D3470" s="24">
        <f>Runners!Q4236</f>
        <v>0</v>
      </c>
      <c r="E3470" s="183">
        <f>+Runners!Q4235</f>
        <v>0</v>
      </c>
      <c r="F3470" s="79" t="s">
        <v>756</v>
      </c>
      <c r="H3470" s="513"/>
      <c r="J3470" s="334" t="s">
        <v>756</v>
      </c>
      <c r="K3470" s="34">
        <v>43652</v>
      </c>
      <c r="L3470" s="1398">
        <v>509</v>
      </c>
      <c r="N3470" s="1653"/>
      <c r="P3470" s="1654" t="s">
        <v>15236</v>
      </c>
    </row>
    <row r="3471" spans="3:16" ht="15" x14ac:dyDescent="0.25">
      <c r="C3471" s="74" t="s">
        <v>1696</v>
      </c>
      <c r="D3471" s="24">
        <f>Runners!T3636</f>
        <v>0</v>
      </c>
      <c r="E3471" s="183">
        <f>Runners!T3635</f>
        <v>0</v>
      </c>
      <c r="F3471" s="6" t="s">
        <v>5884</v>
      </c>
      <c r="G3471" s="1">
        <v>1.4143518518518519E-2</v>
      </c>
      <c r="J3471" s="1" t="s">
        <v>5884</v>
      </c>
      <c r="K3471" s="34">
        <v>42546</v>
      </c>
      <c r="L3471" s="1398">
        <v>268</v>
      </c>
      <c r="N3471" s="1653"/>
      <c r="P3471" s="1654" t="s">
        <v>1696</v>
      </c>
    </row>
    <row r="3472" spans="3:16" ht="15" x14ac:dyDescent="0.25">
      <c r="C3472" s="415" t="s">
        <v>9719</v>
      </c>
      <c r="D3472" s="24">
        <f>Runners!U3897</f>
        <v>0</v>
      </c>
      <c r="E3472" s="183">
        <f>Runners!V3896</f>
        <v>0</v>
      </c>
      <c r="F3472" s="6" t="s">
        <v>5882</v>
      </c>
      <c r="G3472" s="1">
        <v>1.6053240740740739E-2</v>
      </c>
      <c r="H3472" s="513" t="s">
        <v>1062</v>
      </c>
      <c r="I3472" s="1">
        <v>2.478009259259259E-2</v>
      </c>
      <c r="J3472" s="512" t="s">
        <v>1062</v>
      </c>
      <c r="K3472" s="34">
        <v>43225</v>
      </c>
      <c r="L3472" s="1398">
        <v>406</v>
      </c>
      <c r="N3472" s="1653"/>
      <c r="P3472" s="1654" t="s">
        <v>9719</v>
      </c>
    </row>
    <row r="3473" spans="3:16" ht="15" x14ac:dyDescent="0.25">
      <c r="C3473" s="415" t="s">
        <v>15257</v>
      </c>
      <c r="D3473" s="24">
        <f>Runners!K4109</f>
        <v>0</v>
      </c>
      <c r="E3473" s="183">
        <f>Runners!K4108</f>
        <v>0</v>
      </c>
      <c r="F3473" s="6" t="s">
        <v>1000</v>
      </c>
      <c r="G3473" s="1">
        <v>2.0659722222222222E-2</v>
      </c>
      <c r="H3473" s="197" t="s">
        <v>1062</v>
      </c>
      <c r="I3473" s="1">
        <v>2.4745370370370372E-2</v>
      </c>
      <c r="J3473" s="334" t="s">
        <v>1000</v>
      </c>
      <c r="K3473" s="34">
        <v>43050</v>
      </c>
      <c r="L3473" s="1398">
        <v>370</v>
      </c>
      <c r="N3473" s="1653"/>
      <c r="P3473" s="1654" t="s">
        <v>15237</v>
      </c>
    </row>
    <row r="3474" spans="3:16" ht="15" x14ac:dyDescent="0.25">
      <c r="C3474" s="532" t="s">
        <v>12637</v>
      </c>
      <c r="D3474" s="531">
        <f>Runners!W3897</f>
        <v>0</v>
      </c>
      <c r="E3474" s="541">
        <f>Runners!W3896</f>
        <v>0</v>
      </c>
      <c r="F3474" s="6"/>
      <c r="H3474" s="968" t="s">
        <v>8441</v>
      </c>
      <c r="I3474" s="1">
        <v>2.4652777777777777E-2</v>
      </c>
      <c r="J3474" s="512" t="s">
        <v>8441</v>
      </c>
      <c r="K3474" s="34">
        <v>43589</v>
      </c>
      <c r="L3474" s="1472">
        <v>491</v>
      </c>
      <c r="N3474" s="1653"/>
      <c r="P3474" s="1654" t="s">
        <v>12643</v>
      </c>
    </row>
    <row r="3475" spans="3:16" ht="15" x14ac:dyDescent="0.25">
      <c r="C3475" s="415" t="s">
        <v>10199</v>
      </c>
      <c r="D3475" s="24">
        <f>Runners!U4170</f>
        <v>0</v>
      </c>
      <c r="E3475" s="183">
        <f>Runners!U4169</f>
        <v>0</v>
      </c>
      <c r="F3475" s="6"/>
      <c r="H3475" s="513" t="s">
        <v>8441</v>
      </c>
      <c r="I3475" s="1">
        <v>2.6458333333333334E-2</v>
      </c>
      <c r="J3475" s="512" t="s">
        <v>8441</v>
      </c>
      <c r="K3475" s="34">
        <v>43288</v>
      </c>
      <c r="L3475" s="1398">
        <v>417</v>
      </c>
      <c r="N3475" s="1653"/>
      <c r="P3475" s="1654" t="s">
        <v>10197</v>
      </c>
    </row>
    <row r="3476" spans="3:16" ht="15" x14ac:dyDescent="0.25">
      <c r="C3476" s="532" t="s">
        <v>9309</v>
      </c>
      <c r="D3476" s="531">
        <f>Runners!H4236</f>
        <v>0</v>
      </c>
      <c r="E3476" s="541">
        <f>Runners!H4235</f>
        <v>0</v>
      </c>
      <c r="F3476" s="79" t="s">
        <v>1000</v>
      </c>
      <c r="G3476" s="334">
        <v>2.479166666666667E-2</v>
      </c>
      <c r="J3476" s="334" t="s">
        <v>1000</v>
      </c>
      <c r="K3476" s="34">
        <v>43155</v>
      </c>
      <c r="L3476" s="9">
        <v>390</v>
      </c>
      <c r="N3476" s="1653"/>
      <c r="P3476" s="1654" t="s">
        <v>9309</v>
      </c>
    </row>
    <row r="3477" spans="3:16" ht="15" x14ac:dyDescent="0.25">
      <c r="C3477" s="74" t="s">
        <v>5527</v>
      </c>
      <c r="D3477" s="24">
        <f>Runners!N3943</f>
        <v>0</v>
      </c>
      <c r="E3477" s="183">
        <f>Runners!N3942</f>
        <v>0</v>
      </c>
      <c r="F3477" s="6" t="s">
        <v>1270</v>
      </c>
      <c r="G3477" s="1">
        <v>1.4178240740740741E-2</v>
      </c>
      <c r="J3477" s="1" t="s">
        <v>1270</v>
      </c>
      <c r="K3477" s="34">
        <v>41293</v>
      </c>
      <c r="L3477" s="9">
        <v>52</v>
      </c>
      <c r="N3477" s="1653"/>
      <c r="P3477" s="1654" t="s">
        <v>3344</v>
      </c>
    </row>
    <row r="3478" spans="3:16" ht="15" x14ac:dyDescent="0.25">
      <c r="C3478" s="532" t="s">
        <v>8009</v>
      </c>
      <c r="D3478" s="531">
        <f>Runners!S3564</f>
        <v>0</v>
      </c>
      <c r="E3478" s="541">
        <f>Runners!S3563</f>
        <v>0</v>
      </c>
      <c r="F3478" s="534" t="s">
        <v>3790</v>
      </c>
      <c r="G3478" s="1">
        <v>1.7499999999999998E-2</v>
      </c>
      <c r="H3478" s="197" t="s">
        <v>4596</v>
      </c>
      <c r="I3478" s="1">
        <v>1.9606481481481482E-2</v>
      </c>
      <c r="J3478" s="265" t="s">
        <v>6180</v>
      </c>
      <c r="K3478" s="34">
        <v>42952</v>
      </c>
      <c r="L3478" s="9">
        <v>350</v>
      </c>
      <c r="N3478" s="1653"/>
      <c r="P3478" s="1654" t="s">
        <v>8009</v>
      </c>
    </row>
    <row r="3479" spans="3:16" ht="15" x14ac:dyDescent="0.25">
      <c r="C3479" s="74" t="s">
        <v>1569</v>
      </c>
      <c r="D3479" s="24">
        <f>Runners!Q3311</f>
        <v>0</v>
      </c>
      <c r="E3479" s="183">
        <f>Runners!Q3310</f>
        <v>0</v>
      </c>
      <c r="F3479" s="6" t="s">
        <v>5096</v>
      </c>
      <c r="G3479" s="1">
        <v>1.5300925925925926E-2</v>
      </c>
      <c r="H3479" s="53"/>
      <c r="J3479" s="1" t="s">
        <v>5096</v>
      </c>
      <c r="K3479" s="34">
        <v>42042</v>
      </c>
      <c r="L3479" s="9">
        <v>153</v>
      </c>
      <c r="N3479" s="1653"/>
      <c r="P3479" s="1654" t="s">
        <v>1569</v>
      </c>
    </row>
    <row r="3480" spans="3:16" ht="15" x14ac:dyDescent="0.25">
      <c r="C3480" s="74" t="s">
        <v>3110</v>
      </c>
      <c r="D3480" s="24">
        <f>Runners!R3992</f>
        <v>0</v>
      </c>
      <c r="E3480" s="183">
        <f>Runners!R3991</f>
        <v>0</v>
      </c>
      <c r="F3480" s="6" t="s">
        <v>298</v>
      </c>
      <c r="G3480" s="1">
        <v>1.7013888888888887E-2</v>
      </c>
      <c r="H3480" s="1650" t="s">
        <v>5903</v>
      </c>
      <c r="I3480" s="1">
        <v>1.8518518518518521E-2</v>
      </c>
      <c r="J3480" s="32" t="s">
        <v>298</v>
      </c>
      <c r="K3480" s="34">
        <v>42448</v>
      </c>
      <c r="L3480" s="9">
        <v>241</v>
      </c>
      <c r="N3480" s="1653"/>
      <c r="P3480" s="1654" t="s">
        <v>4201</v>
      </c>
    </row>
    <row r="3481" spans="3:16" ht="15" x14ac:dyDescent="0.25">
      <c r="C3481" s="532" t="s">
        <v>9216</v>
      </c>
      <c r="D3481" s="531">
        <f>Runners!S3613</f>
        <v>0</v>
      </c>
      <c r="E3481" s="541">
        <f>Runners!S3612</f>
        <v>0</v>
      </c>
      <c r="F3481" s="79" t="s">
        <v>1000</v>
      </c>
      <c r="G3481" s="1">
        <v>2.056712962962963E-2</v>
      </c>
      <c r="J3481" s="334" t="s">
        <v>4778</v>
      </c>
      <c r="K3481" s="34">
        <v>43253</v>
      </c>
      <c r="L3481" s="1398">
        <v>411</v>
      </c>
      <c r="N3481" s="1653"/>
      <c r="P3481" s="1654" t="s">
        <v>9216</v>
      </c>
    </row>
    <row r="3482" spans="3:16" ht="15" x14ac:dyDescent="0.25">
      <c r="C3482" s="74" t="s">
        <v>4500</v>
      </c>
      <c r="D3482" s="24">
        <f>Runners!V3498</f>
        <v>0</v>
      </c>
      <c r="E3482" s="183">
        <f>Runners!V3497</f>
        <v>0</v>
      </c>
      <c r="F3482" s="6"/>
      <c r="H3482" s="197" t="s">
        <v>748</v>
      </c>
      <c r="I3482" s="1">
        <v>2.2129629629629628E-2</v>
      </c>
      <c r="J3482" s="254" t="s">
        <v>748</v>
      </c>
      <c r="K3482" s="34">
        <v>42203</v>
      </c>
      <c r="L3482" s="9">
        <v>188</v>
      </c>
      <c r="N3482" s="1653"/>
      <c r="P3482" s="1654" t="s">
        <v>4500</v>
      </c>
    </row>
    <row r="3483" spans="3:16" ht="15" x14ac:dyDescent="0.25">
      <c r="C3483" s="74" t="s">
        <v>2792</v>
      </c>
      <c r="D3483" s="24">
        <f>Runners!R3613</f>
        <v>0</v>
      </c>
      <c r="E3483" s="183">
        <f>Runners!R3612</f>
        <v>0</v>
      </c>
      <c r="F3483" s="6" t="s">
        <v>1000</v>
      </c>
      <c r="G3483" s="1">
        <v>1.8391203703703705E-2</v>
      </c>
      <c r="H3483" s="197"/>
      <c r="J3483" s="254" t="s">
        <v>1000</v>
      </c>
      <c r="K3483" s="34">
        <v>42413</v>
      </c>
      <c r="L3483" s="9">
        <v>226</v>
      </c>
      <c r="N3483" s="1653"/>
      <c r="P3483" s="1654" t="s">
        <v>2638</v>
      </c>
    </row>
    <row r="3484" spans="3:16" ht="15" x14ac:dyDescent="0.25">
      <c r="C3484" s="74" t="s">
        <v>5846</v>
      </c>
      <c r="D3484" s="24">
        <f>Runners!O3943</f>
        <v>0</v>
      </c>
      <c r="E3484" s="183">
        <f>Runners!O3942</f>
        <v>0</v>
      </c>
      <c r="F3484" s="6" t="s">
        <v>298</v>
      </c>
      <c r="G3484" s="1">
        <v>1.6064814814814813E-2</v>
      </c>
      <c r="H3484" s="1650" t="s">
        <v>5903</v>
      </c>
      <c r="I3484" s="1">
        <v>1.8148148148148146E-2</v>
      </c>
      <c r="J3484" s="334" t="s">
        <v>298</v>
      </c>
      <c r="K3484" s="34">
        <v>42588</v>
      </c>
      <c r="L3484" s="9">
        <v>278</v>
      </c>
      <c r="N3484" s="1653"/>
      <c r="P3484" s="1654" t="s">
        <v>4367</v>
      </c>
    </row>
    <row r="3485" spans="3:16" ht="15" x14ac:dyDescent="0.25">
      <c r="C3485" s="74" t="s">
        <v>217</v>
      </c>
      <c r="D3485" s="24">
        <f>Runners!W3498</f>
        <v>0</v>
      </c>
      <c r="E3485" s="183">
        <f>Runners!W3497</f>
        <v>0</v>
      </c>
      <c r="F3485" s="79" t="s">
        <v>4407</v>
      </c>
      <c r="G3485" s="1">
        <v>1.5196759259259259E-2</v>
      </c>
      <c r="H3485" s="80" t="s">
        <v>5241</v>
      </c>
      <c r="I3485" s="1">
        <v>1.5405092592592593E-2</v>
      </c>
      <c r="J3485" s="32" t="s">
        <v>1000</v>
      </c>
      <c r="K3485" s="34">
        <v>41615</v>
      </c>
      <c r="L3485" s="9">
        <v>82</v>
      </c>
      <c r="N3485" s="1653"/>
      <c r="P3485" s="1654" t="s">
        <v>3528</v>
      </c>
    </row>
    <row r="3486" spans="3:16" ht="15" x14ac:dyDescent="0.25">
      <c r="C3486" s="74" t="s">
        <v>2532</v>
      </c>
      <c r="D3486" s="24">
        <f>Runners!T3564</f>
        <v>0</v>
      </c>
      <c r="E3486" s="183">
        <f>Runners!T3563</f>
        <v>0</v>
      </c>
      <c r="F3486" s="6" t="s">
        <v>1000</v>
      </c>
      <c r="G3486" s="1">
        <v>1.8842592592592591E-2</v>
      </c>
      <c r="J3486" s="1" t="s">
        <v>2368</v>
      </c>
      <c r="K3486" s="34">
        <v>41559</v>
      </c>
      <c r="L3486" s="9">
        <v>73</v>
      </c>
      <c r="N3486" s="1653"/>
      <c r="P3486" s="1654" t="s">
        <v>2827</v>
      </c>
    </row>
    <row r="3487" spans="3:16" ht="15" x14ac:dyDescent="0.25">
      <c r="C3487" s="74" t="s">
        <v>4243</v>
      </c>
      <c r="D3487" s="24">
        <f>Runners!T3748</f>
        <v>0</v>
      </c>
      <c r="E3487" s="183">
        <f>Runners!T3747</f>
        <v>0</v>
      </c>
      <c r="F3487" s="6" t="s">
        <v>5096</v>
      </c>
      <c r="G3487" s="1">
        <v>1.4398148148148148E-2</v>
      </c>
      <c r="J3487" s="1" t="s">
        <v>5096</v>
      </c>
      <c r="K3487" s="34">
        <v>41622</v>
      </c>
      <c r="L3487" s="9">
        <v>83</v>
      </c>
      <c r="N3487" s="1653"/>
      <c r="P3487" s="1654" t="s">
        <v>15238</v>
      </c>
    </row>
    <row r="3488" spans="3:16" ht="15" x14ac:dyDescent="0.25">
      <c r="C3488" s="74" t="s">
        <v>4452</v>
      </c>
      <c r="D3488" s="947">
        <f>Runners!W3599</f>
        <v>0</v>
      </c>
      <c r="E3488" s="948">
        <f>Runners!W3598</f>
        <v>0</v>
      </c>
      <c r="F3488" s="6" t="s">
        <v>5096</v>
      </c>
      <c r="G3488" s="1">
        <v>1.4317129629629631E-2</v>
      </c>
      <c r="H3488" s="53"/>
      <c r="J3488" s="1" t="s">
        <v>1000</v>
      </c>
      <c r="K3488" s="34">
        <v>41062</v>
      </c>
      <c r="L3488" s="1398">
        <v>23</v>
      </c>
      <c r="N3488" s="1653"/>
      <c r="P3488" s="1654" t="s">
        <v>4452</v>
      </c>
    </row>
    <row r="3489" spans="3:16" ht="15" x14ac:dyDescent="0.25">
      <c r="C3489" s="415" t="s">
        <v>10323</v>
      </c>
      <c r="D3489" s="531">
        <f>Runners!N4054</f>
        <v>0</v>
      </c>
      <c r="E3489" s="541">
        <f>Runners!N4053</f>
        <v>0</v>
      </c>
      <c r="F3489" s="6" t="s">
        <v>4897</v>
      </c>
      <c r="G3489" s="1">
        <v>1.7256944444444446E-2</v>
      </c>
      <c r="H3489" s="53"/>
      <c r="J3489" s="1" t="s">
        <v>4897</v>
      </c>
      <c r="K3489" s="34">
        <v>43239</v>
      </c>
      <c r="L3489" s="1398">
        <v>428</v>
      </c>
      <c r="N3489" s="1653"/>
      <c r="P3489" s="1654" t="s">
        <v>10323</v>
      </c>
    </row>
    <row r="3490" spans="3:16" ht="15" x14ac:dyDescent="0.25">
      <c r="C3490" s="415" t="s">
        <v>15252</v>
      </c>
      <c r="D3490" s="531">
        <f>Runners!K4079</f>
        <v>0</v>
      </c>
      <c r="E3490" s="541">
        <f>Runners!K4078</f>
        <v>0</v>
      </c>
      <c r="F3490" s="6" t="s">
        <v>1000</v>
      </c>
      <c r="G3490" s="1">
        <v>1.7060185185185185E-2</v>
      </c>
      <c r="H3490" s="206" t="s">
        <v>888</v>
      </c>
      <c r="I3490" s="1">
        <v>1.8437499999999999E-2</v>
      </c>
      <c r="J3490" s="32" t="s">
        <v>1000</v>
      </c>
      <c r="K3490" s="34">
        <v>41860</v>
      </c>
      <c r="L3490" s="9">
        <v>121</v>
      </c>
      <c r="N3490" s="1653"/>
      <c r="P3490" s="1654" t="s">
        <v>4865</v>
      </c>
    </row>
    <row r="3491" spans="3:16" ht="15" x14ac:dyDescent="0.25">
      <c r="C3491" s="74" t="s">
        <v>5987</v>
      </c>
      <c r="D3491" s="24">
        <f>Runners!Q4188</f>
        <v>0</v>
      </c>
      <c r="E3491" s="183">
        <f>Runners!Q4187</f>
        <v>0</v>
      </c>
      <c r="F3491" s="79" t="s">
        <v>1457</v>
      </c>
      <c r="G3491" s="1">
        <v>1.4166666666666666E-2</v>
      </c>
      <c r="H3491" s="513" t="s">
        <v>1440</v>
      </c>
      <c r="I3491" s="1">
        <v>1.9479166666666669E-2</v>
      </c>
      <c r="J3491" s="1" t="s">
        <v>5061</v>
      </c>
      <c r="K3491" s="34">
        <v>42042</v>
      </c>
      <c r="L3491" s="1398">
        <v>154</v>
      </c>
      <c r="N3491" s="1653"/>
      <c r="P3491" s="1654" t="s">
        <v>2291</v>
      </c>
    </row>
    <row r="3492" spans="3:16" ht="15" x14ac:dyDescent="0.25">
      <c r="C3492" s="74" t="s">
        <v>203</v>
      </c>
      <c r="D3492" s="24">
        <f>Runners!X3599</f>
        <v>0</v>
      </c>
      <c r="E3492" s="183">
        <f>Runners!X3598</f>
        <v>0</v>
      </c>
      <c r="F3492" s="6" t="s">
        <v>4637</v>
      </c>
      <c r="G3492" s="1">
        <v>1.6053240740740739E-2</v>
      </c>
      <c r="H3492" s="53"/>
      <c r="J3492" s="1" t="s">
        <v>1000</v>
      </c>
      <c r="K3492" s="34">
        <v>42567</v>
      </c>
      <c r="L3492" s="1398">
        <v>272</v>
      </c>
      <c r="N3492" s="1653"/>
      <c r="P3492" s="1654" t="s">
        <v>203</v>
      </c>
    </row>
    <row r="3493" spans="3:16" ht="15" x14ac:dyDescent="0.25">
      <c r="C3493" s="74" t="s">
        <v>2204</v>
      </c>
      <c r="D3493" s="24">
        <f>Runners!V3859</f>
        <v>0</v>
      </c>
      <c r="E3493" s="183">
        <f>Runners!V3858</f>
        <v>0</v>
      </c>
      <c r="F3493" s="534" t="s">
        <v>4407</v>
      </c>
      <c r="G3493" s="1">
        <v>1.577546296296296E-2</v>
      </c>
      <c r="H3493" s="968" t="s">
        <v>5241</v>
      </c>
      <c r="I3493" s="3">
        <v>1.5127314814814816E-2</v>
      </c>
      <c r="J3493" s="1" t="s">
        <v>1000</v>
      </c>
      <c r="K3493" s="34">
        <v>42434</v>
      </c>
      <c r="L3493" s="1398">
        <v>235</v>
      </c>
      <c r="N3493" s="1653"/>
      <c r="P3493" s="1654" t="s">
        <v>11118</v>
      </c>
    </row>
    <row r="3494" spans="3:16" ht="15" x14ac:dyDescent="0.25">
      <c r="C3494" s="415" t="s">
        <v>10282</v>
      </c>
      <c r="D3494" s="24">
        <f>Runners!U3748</f>
        <v>0</v>
      </c>
      <c r="E3494" s="183">
        <f>Runners!U3747</f>
        <v>0</v>
      </c>
      <c r="F3494" s="79" t="s">
        <v>654</v>
      </c>
      <c r="G3494" s="334">
        <v>2.4247685185185181E-2</v>
      </c>
      <c r="H3494" s="53"/>
      <c r="J3494" s="334" t="s">
        <v>654</v>
      </c>
      <c r="K3494" s="34">
        <v>43302</v>
      </c>
      <c r="L3494" s="1398">
        <v>426</v>
      </c>
      <c r="N3494" s="1653"/>
      <c r="P3494" s="1654" t="s">
        <v>10312</v>
      </c>
    </row>
    <row r="3495" spans="3:16" ht="15" x14ac:dyDescent="0.25">
      <c r="C3495" s="74" t="s">
        <v>1503</v>
      </c>
      <c r="D3495" s="24">
        <f>Runners!P3943</f>
        <v>0</v>
      </c>
      <c r="E3495" s="183">
        <f>Runners!P3942</f>
        <v>0</v>
      </c>
      <c r="F3495" s="6" t="s">
        <v>1270</v>
      </c>
      <c r="G3495" s="1">
        <v>1.8391203703703705E-2</v>
      </c>
      <c r="H3495" s="53"/>
      <c r="J3495" s="1" t="s">
        <v>1270</v>
      </c>
      <c r="K3495" s="34">
        <v>42672</v>
      </c>
      <c r="L3495" s="1398">
        <v>299</v>
      </c>
      <c r="N3495" s="1653"/>
      <c r="P3495" s="1654" t="s">
        <v>3160</v>
      </c>
    </row>
    <row r="3496" spans="3:16" ht="15" x14ac:dyDescent="0.25">
      <c r="C3496" s="415" t="s">
        <v>9160</v>
      </c>
      <c r="D3496" s="24">
        <f>Runners!Q4203</f>
        <v>0</v>
      </c>
      <c r="E3496" s="980">
        <f>Runners!Q4202</f>
        <v>0</v>
      </c>
      <c r="F3496" s="534" t="s">
        <v>9159</v>
      </c>
      <c r="G3496" s="1">
        <v>2.1388888888888888E-2</v>
      </c>
      <c r="H3496" s="53"/>
      <c r="J3496" s="334" t="s">
        <v>756</v>
      </c>
      <c r="K3496" s="34">
        <v>43127</v>
      </c>
      <c r="L3496" s="1398">
        <v>381</v>
      </c>
      <c r="N3496" s="1653"/>
      <c r="P3496" s="1654" t="s">
        <v>9156</v>
      </c>
    </row>
    <row r="3497" spans="3:16" ht="15" x14ac:dyDescent="0.25">
      <c r="C3497" s="74" t="s">
        <v>4202</v>
      </c>
      <c r="D3497" s="24">
        <f>Runners!S3992</f>
        <v>0</v>
      </c>
      <c r="E3497" s="183">
        <f>Runners!S3991</f>
        <v>0</v>
      </c>
      <c r="F3497" s="6" t="s">
        <v>298</v>
      </c>
      <c r="G3497" s="1">
        <v>1.5231481481481483E-2</v>
      </c>
      <c r="H3497" s="1649" t="s">
        <v>5903</v>
      </c>
      <c r="I3497" s="1">
        <v>1.7349537037037038E-2</v>
      </c>
      <c r="J3497" s="1" t="s">
        <v>5903</v>
      </c>
      <c r="K3497" s="34">
        <v>42392</v>
      </c>
      <c r="L3497" s="9">
        <v>224</v>
      </c>
      <c r="N3497" s="1653"/>
      <c r="P3497" s="1654" t="s">
        <v>4202</v>
      </c>
    </row>
    <row r="3498" spans="3:16" ht="15" x14ac:dyDescent="0.25">
      <c r="C3498" s="415" t="s">
        <v>12216</v>
      </c>
      <c r="D3498" s="24">
        <f>Runners!U3564</f>
        <v>0</v>
      </c>
      <c r="E3498" s="183">
        <f>Runners!U3563</f>
        <v>0</v>
      </c>
      <c r="F3498" s="6" t="s">
        <v>4778</v>
      </c>
      <c r="G3498" s="1">
        <v>2.6979166666666669E-2</v>
      </c>
      <c r="H3498" s="1650"/>
      <c r="J3498" s="1" t="s">
        <v>4778</v>
      </c>
      <c r="K3498" s="34">
        <v>43561</v>
      </c>
      <c r="L3498" s="1398">
        <v>486</v>
      </c>
      <c r="N3498" s="1653"/>
      <c r="P3498" s="1654" t="s">
        <v>12218</v>
      </c>
    </row>
    <row r="3499" spans="3:16" ht="15" x14ac:dyDescent="0.25">
      <c r="C3499" s="532" t="s">
        <v>11670</v>
      </c>
      <c r="D3499" s="531">
        <f>Runners!Y3859</f>
        <v>0</v>
      </c>
      <c r="E3499" s="541">
        <f>Runners!Y3858</f>
        <v>0</v>
      </c>
      <c r="F3499" s="79" t="s">
        <v>1000</v>
      </c>
      <c r="G3499" s="1">
        <v>2.1458333333333333E-2</v>
      </c>
      <c r="H3499" s="1274" t="s">
        <v>1062</v>
      </c>
      <c r="I3499" s="1">
        <v>2.4247685185185181E-2</v>
      </c>
      <c r="J3499" s="334" t="s">
        <v>9179</v>
      </c>
      <c r="K3499" s="34">
        <v>43498</v>
      </c>
      <c r="L3499" s="1398">
        <v>467</v>
      </c>
      <c r="N3499" s="1653"/>
      <c r="P3499" s="1654" t="s">
        <v>11670</v>
      </c>
    </row>
    <row r="3500" spans="3:16" ht="15" x14ac:dyDescent="0.25">
      <c r="C3500" s="74" t="s">
        <v>4535</v>
      </c>
      <c r="D3500" s="24">
        <f>Runners!T4033</f>
        <v>0</v>
      </c>
      <c r="E3500" s="183">
        <f>Runners!T4033</f>
        <v>0</v>
      </c>
      <c r="F3500" s="79" t="s">
        <v>2628</v>
      </c>
      <c r="G3500" s="334">
        <v>1.5335648148148147E-2</v>
      </c>
      <c r="H3500" s="53"/>
      <c r="J3500" s="1" t="s">
        <v>1270</v>
      </c>
      <c r="K3500" s="34">
        <v>42301</v>
      </c>
      <c r="L3500" s="9">
        <v>203</v>
      </c>
      <c r="N3500" s="1653"/>
      <c r="P3500" s="1654" t="s">
        <v>4535</v>
      </c>
    </row>
    <row r="3501" spans="3:16" ht="15" x14ac:dyDescent="0.25">
      <c r="C3501" s="74" t="s">
        <v>5652</v>
      </c>
      <c r="D3501" s="24">
        <f>Runners!V3748</f>
        <v>0</v>
      </c>
      <c r="E3501" s="183">
        <f>Runners!V3747</f>
        <v>0</v>
      </c>
      <c r="F3501" s="79" t="s">
        <v>5573</v>
      </c>
      <c r="G3501" s="1">
        <v>1.6782407407407409E-2</v>
      </c>
      <c r="J3501" s="1" t="s">
        <v>1000</v>
      </c>
      <c r="K3501" s="34">
        <v>41174</v>
      </c>
      <c r="L3501" s="9">
        <v>37</v>
      </c>
      <c r="N3501" s="1653"/>
      <c r="P3501" s="1654" t="s">
        <v>5652</v>
      </c>
    </row>
    <row r="3502" spans="3:16" ht="15" x14ac:dyDescent="0.25">
      <c r="C3502" s="532" t="s">
        <v>2311</v>
      </c>
      <c r="D3502" s="531">
        <f>Runners!L3785</f>
        <v>0</v>
      </c>
      <c r="E3502" s="541">
        <f>Runners!M3784</f>
        <v>0</v>
      </c>
      <c r="F3502" s="534" t="s">
        <v>3790</v>
      </c>
      <c r="G3502" s="1">
        <v>1.7662037037037035E-2</v>
      </c>
      <c r="H3502" s="968" t="s">
        <v>9553</v>
      </c>
      <c r="I3502" s="1">
        <v>1.6770833333333332E-2</v>
      </c>
      <c r="J3502" s="512" t="s">
        <v>6180</v>
      </c>
      <c r="K3502" s="34">
        <v>42736</v>
      </c>
      <c r="L3502" s="9">
        <v>312</v>
      </c>
      <c r="N3502" s="1653"/>
      <c r="P3502" s="1654" t="s">
        <v>2311</v>
      </c>
    </row>
    <row r="3503" spans="3:16" ht="15" x14ac:dyDescent="0.25">
      <c r="C3503" s="532" t="s">
        <v>8704</v>
      </c>
      <c r="D3503" s="531">
        <f>Runners!V4170</f>
        <v>0</v>
      </c>
      <c r="E3503" s="541">
        <f>Runners!V4169</f>
        <v>0</v>
      </c>
      <c r="F3503" s="79" t="s">
        <v>1000</v>
      </c>
      <c r="G3503" s="1">
        <v>1.8877314814814816E-2</v>
      </c>
      <c r="H3503" s="513"/>
      <c r="J3503" s="512" t="s">
        <v>1000</v>
      </c>
      <c r="K3503" s="34">
        <v>43029</v>
      </c>
      <c r="L3503" s="1398">
        <v>368</v>
      </c>
      <c r="N3503" s="1653"/>
      <c r="P3503" s="1654" t="s">
        <v>8702</v>
      </c>
    </row>
    <row r="3504" spans="3:16" ht="15" x14ac:dyDescent="0.25">
      <c r="C3504" s="15" t="s">
        <v>1659</v>
      </c>
      <c r="D3504" s="24">
        <f>Runners!T3992</f>
        <v>0</v>
      </c>
      <c r="E3504" s="183">
        <f>Runners!T3991</f>
        <v>0</v>
      </c>
      <c r="F3504" s="6" t="s">
        <v>298</v>
      </c>
      <c r="G3504" s="1">
        <v>1.6481481481481482E-2</v>
      </c>
      <c r="H3504" t="s">
        <v>5903</v>
      </c>
      <c r="I3504" s="1">
        <v>1.8796296296296297E-2</v>
      </c>
      <c r="J3504" s="1" t="s">
        <v>298</v>
      </c>
      <c r="K3504" s="34">
        <v>42616</v>
      </c>
      <c r="L3504" s="9">
        <v>283</v>
      </c>
      <c r="N3504" s="1653"/>
      <c r="P3504" s="1654" t="s">
        <v>5290</v>
      </c>
    </row>
    <row r="3505" spans="3:16" ht="15" x14ac:dyDescent="0.25">
      <c r="C3505" s="74" t="s">
        <v>4443</v>
      </c>
      <c r="D3505" s="24">
        <f>Runners!Z3859</f>
        <v>0</v>
      </c>
      <c r="E3505" s="183">
        <f>Runners!Z3858</f>
        <v>0</v>
      </c>
      <c r="F3505" s="79" t="s">
        <v>1000</v>
      </c>
      <c r="G3505" s="1">
        <v>2.0439814814814817E-2</v>
      </c>
      <c r="H3505" s="206" t="s">
        <v>4596</v>
      </c>
      <c r="I3505" s="1">
        <v>1.8217592592592594E-2</v>
      </c>
      <c r="J3505" s="254" t="s">
        <v>4596</v>
      </c>
      <c r="K3505" s="34">
        <v>42189</v>
      </c>
      <c r="L3505" s="9">
        <v>185</v>
      </c>
      <c r="N3505" s="1653"/>
      <c r="P3505" s="1654" t="s">
        <v>4180</v>
      </c>
    </row>
    <row r="3506" spans="3:16" ht="15" x14ac:dyDescent="0.25">
      <c r="C3506" s="415" t="s">
        <v>667</v>
      </c>
      <c r="D3506" s="24">
        <f>Runners!V3968</f>
        <v>0</v>
      </c>
      <c r="E3506" s="183">
        <f>Runners!V3967</f>
        <v>0</v>
      </c>
      <c r="F3506" s="79" t="s">
        <v>9840</v>
      </c>
      <c r="G3506" s="1">
        <v>2.6666666666666668E-2</v>
      </c>
      <c r="H3506" s="636" t="s">
        <v>5903</v>
      </c>
      <c r="I3506" s="840">
        <v>2.0821759259259259E-2</v>
      </c>
      <c r="J3506" s="1341" t="s">
        <v>9840</v>
      </c>
      <c r="K3506" s="34">
        <v>43533</v>
      </c>
      <c r="L3506" s="1398">
        <v>476</v>
      </c>
      <c r="N3506" s="1653"/>
      <c r="P3506" s="1654" t="s">
        <v>667</v>
      </c>
    </row>
    <row r="3507" spans="3:16" ht="15" x14ac:dyDescent="0.25">
      <c r="C3507" s="415" t="s">
        <v>12698</v>
      </c>
      <c r="D3507" s="24">
        <f>Runners!Y3748</f>
        <v>0</v>
      </c>
      <c r="E3507" s="183">
        <f>Runners!Y3747</f>
        <v>0</v>
      </c>
      <c r="F3507" s="1415" t="s">
        <v>5573</v>
      </c>
      <c r="G3507" s="1412">
        <v>1.7326388888888888E-2</v>
      </c>
      <c r="H3507" s="1375"/>
      <c r="I3507" s="1412"/>
      <c r="J3507" s="1432" t="s">
        <v>5573</v>
      </c>
      <c r="K3507" s="1384">
        <v>43610</v>
      </c>
      <c r="L3507" s="1398">
        <v>497</v>
      </c>
      <c r="N3507" s="1653"/>
      <c r="P3507" s="1654" t="s">
        <v>12698</v>
      </c>
    </row>
    <row r="3508" spans="3:16" ht="15" x14ac:dyDescent="0.25">
      <c r="C3508" s="74" t="s">
        <v>1434</v>
      </c>
      <c r="D3508" s="24">
        <f>Runners!X3748</f>
        <v>0</v>
      </c>
      <c r="E3508" s="183">
        <f>Runners!X3747</f>
        <v>0</v>
      </c>
      <c r="F3508" s="6"/>
      <c r="H3508" s="206" t="s">
        <v>748</v>
      </c>
      <c r="I3508" s="1">
        <v>2.5243055555555557E-2</v>
      </c>
      <c r="J3508" s="254" t="s">
        <v>748</v>
      </c>
      <c r="K3508" s="34">
        <v>42469</v>
      </c>
      <c r="L3508" s="9">
        <v>248</v>
      </c>
      <c r="N3508" s="1653"/>
      <c r="P3508" s="1654" t="s">
        <v>4040</v>
      </c>
    </row>
    <row r="3509" spans="3:16" ht="15" x14ac:dyDescent="0.25">
      <c r="C3509" s="74" t="s">
        <v>2395</v>
      </c>
      <c r="D3509" s="24">
        <f>Runners!U4188</f>
        <v>0</v>
      </c>
      <c r="E3509" s="183">
        <f>Runners!U4187</f>
        <v>0</v>
      </c>
      <c r="F3509" s="6" t="s">
        <v>909</v>
      </c>
      <c r="G3509" s="1">
        <v>2.0590277777777777E-2</v>
      </c>
      <c r="H3509" s="80" t="s">
        <v>5894</v>
      </c>
      <c r="I3509" s="1">
        <v>2.0590277777777777E-2</v>
      </c>
      <c r="J3509" s="254" t="s">
        <v>4322</v>
      </c>
      <c r="K3509" s="34">
        <v>42672</v>
      </c>
      <c r="L3509" s="9">
        <v>297</v>
      </c>
      <c r="N3509" s="1653"/>
      <c r="P3509" s="1654" t="s">
        <v>2395</v>
      </c>
    </row>
    <row r="3510" spans="3:16" ht="15" x14ac:dyDescent="0.25">
      <c r="C3510" s="74" t="s">
        <v>5624</v>
      </c>
      <c r="D3510" s="24">
        <f>Runners!AA3812</f>
        <v>0</v>
      </c>
      <c r="E3510" s="183">
        <f>Runners!AA3811</f>
        <v>0</v>
      </c>
      <c r="F3510" s="311" t="s">
        <v>3196</v>
      </c>
      <c r="G3510" s="1">
        <v>1.4398148148148148E-2</v>
      </c>
      <c r="J3510" s="254" t="s">
        <v>3196</v>
      </c>
      <c r="K3510" s="34">
        <v>42147</v>
      </c>
      <c r="L3510" s="9">
        <v>171</v>
      </c>
      <c r="N3510" s="1653"/>
      <c r="P3510" s="1654" t="s">
        <v>135</v>
      </c>
    </row>
    <row r="3511" spans="3:16" ht="15" x14ac:dyDescent="0.25">
      <c r="C3511" s="74" t="s">
        <v>1366</v>
      </c>
      <c r="D3511" s="24">
        <f>Runners!T3613</f>
        <v>0</v>
      </c>
      <c r="E3511" s="183">
        <f>Runners!T3612</f>
        <v>0</v>
      </c>
      <c r="F3511" s="79" t="s">
        <v>1000</v>
      </c>
      <c r="G3511" s="1">
        <v>1.9120370370370371E-2</v>
      </c>
      <c r="J3511" s="334" t="s">
        <v>4778</v>
      </c>
      <c r="K3511" s="34">
        <v>42434</v>
      </c>
      <c r="L3511" s="9">
        <v>236</v>
      </c>
      <c r="N3511" s="1653"/>
      <c r="P3511" s="1654" t="s">
        <v>2872</v>
      </c>
    </row>
    <row r="3512" spans="3:16" ht="15" x14ac:dyDescent="0.25">
      <c r="C3512" s="74" t="s">
        <v>451</v>
      </c>
      <c r="D3512" s="24">
        <f>Runners!R3683</f>
        <v>0</v>
      </c>
      <c r="E3512" s="183">
        <f>Runners!R3682</f>
        <v>0</v>
      </c>
      <c r="F3512" s="311" t="s">
        <v>334</v>
      </c>
      <c r="G3512" s="1">
        <v>1.2233796296296296E-2</v>
      </c>
      <c r="H3512" s="197" t="s">
        <v>5241</v>
      </c>
      <c r="I3512" s="254">
        <v>1.9421296296296294E-2</v>
      </c>
      <c r="J3512" s="1" t="s">
        <v>1000</v>
      </c>
      <c r="K3512" s="34">
        <v>41209</v>
      </c>
      <c r="L3512" s="9">
        <v>40</v>
      </c>
      <c r="N3512" s="1653"/>
      <c r="P3512" s="1654" t="s">
        <v>3009</v>
      </c>
    </row>
    <row r="3513" spans="3:16" ht="15" x14ac:dyDescent="0.25">
      <c r="C3513" s="415" t="s">
        <v>12305</v>
      </c>
      <c r="D3513" s="24">
        <f>Runners!M4109</f>
        <v>0</v>
      </c>
      <c r="E3513" s="183">
        <f>Runners!M4108</f>
        <v>0</v>
      </c>
      <c r="F3513" s="79" t="s">
        <v>1000</v>
      </c>
      <c r="H3513" s="206"/>
      <c r="I3513" s="254"/>
      <c r="J3513" s="1" t="s">
        <v>1000</v>
      </c>
      <c r="K3513" s="34">
        <v>43561</v>
      </c>
      <c r="L3513" s="1398">
        <v>485</v>
      </c>
      <c r="N3513" s="1653"/>
      <c r="P3513" s="1654" t="s">
        <v>12304</v>
      </c>
    </row>
    <row r="3514" spans="3:16" ht="15" x14ac:dyDescent="0.25">
      <c r="C3514" s="415" t="s">
        <v>15255</v>
      </c>
      <c r="D3514" s="24">
        <f>Runners!M4054</f>
        <v>0</v>
      </c>
      <c r="E3514" s="183">
        <f>Runners!M4053</f>
        <v>0</v>
      </c>
      <c r="F3514" s="6"/>
      <c r="H3514" s="206" t="s">
        <v>748</v>
      </c>
      <c r="I3514" s="1">
        <v>2.4444444444444446E-2</v>
      </c>
      <c r="J3514" s="1" t="s">
        <v>748</v>
      </c>
      <c r="K3514" s="34">
        <v>41853</v>
      </c>
      <c r="L3514" s="9">
        <v>120</v>
      </c>
      <c r="N3514" s="1653"/>
      <c r="P3514" s="1654" t="s">
        <v>15239</v>
      </c>
    </row>
    <row r="3515" spans="3:16" ht="15" x14ac:dyDescent="0.25">
      <c r="C3515" s="74" t="s">
        <v>1554</v>
      </c>
      <c r="D3515" s="24">
        <f>Runners!U3636</f>
        <v>0</v>
      </c>
      <c r="E3515" s="183">
        <f>Runners!U3635</f>
        <v>0</v>
      </c>
      <c r="F3515" s="79" t="s">
        <v>1000</v>
      </c>
      <c r="G3515" s="1">
        <v>1.9618055555555555E-2</v>
      </c>
      <c r="H3515" s="581" t="s">
        <v>9797</v>
      </c>
      <c r="I3515" s="840">
        <v>1.4259259259259261E-2</v>
      </c>
      <c r="J3515" s="1" t="s">
        <v>1000</v>
      </c>
      <c r="K3515" s="34">
        <v>42308</v>
      </c>
      <c r="L3515" s="9">
        <v>204</v>
      </c>
      <c r="N3515" s="1653"/>
      <c r="P3515" s="1654" t="s">
        <v>1554</v>
      </c>
    </row>
    <row r="3516" spans="3:16" ht="15" x14ac:dyDescent="0.25">
      <c r="C3516" s="74" t="s">
        <v>5267</v>
      </c>
      <c r="D3516" s="24">
        <f>Runners!V3248</f>
        <v>0</v>
      </c>
      <c r="E3516" s="183">
        <f>Runners!V3247</f>
        <v>0</v>
      </c>
      <c r="F3516" s="79" t="s">
        <v>3790</v>
      </c>
      <c r="G3516" s="1">
        <v>1.7106481481481483E-2</v>
      </c>
      <c r="H3516" s="319" t="s">
        <v>2670</v>
      </c>
      <c r="I3516" s="1">
        <v>1.4166666666666666E-2</v>
      </c>
      <c r="J3516" s="254" t="s">
        <v>4596</v>
      </c>
      <c r="K3516" s="34">
        <v>42399</v>
      </c>
      <c r="L3516" s="9">
        <v>225</v>
      </c>
      <c r="N3516" s="1653"/>
      <c r="P3516" s="1654" t="s">
        <v>5267</v>
      </c>
    </row>
    <row r="3517" spans="3:16" ht="15" x14ac:dyDescent="0.25">
      <c r="C3517" s="415" t="s">
        <v>15260</v>
      </c>
      <c r="D3517" s="24"/>
      <c r="E3517" s="183"/>
      <c r="F3517" s="79"/>
      <c r="H3517" s="319"/>
      <c r="J3517" s="254"/>
      <c r="K3517" s="34"/>
      <c r="N3517" s="1653"/>
      <c r="P3517" s="1654" t="s">
        <v>8251</v>
      </c>
    </row>
    <row r="3518" spans="3:16" ht="15" x14ac:dyDescent="0.25">
      <c r="C3518" s="74" t="s">
        <v>4739</v>
      </c>
      <c r="D3518" s="24">
        <f>Runners!W4203</f>
        <v>0</v>
      </c>
      <c r="E3518" s="183">
        <f>Runners!W4202</f>
        <v>0</v>
      </c>
      <c r="F3518" s="79"/>
      <c r="H3518" s="206" t="s">
        <v>888</v>
      </c>
      <c r="I3518" s="1">
        <v>2.0023148148148148E-2</v>
      </c>
      <c r="J3518" s="254" t="s">
        <v>888</v>
      </c>
      <c r="K3518" s="34">
        <v>42357</v>
      </c>
      <c r="L3518" s="9">
        <v>217</v>
      </c>
      <c r="N3518" s="1653"/>
      <c r="P3518" s="1654" t="s">
        <v>2424</v>
      </c>
    </row>
    <row r="3519" spans="3:16" ht="15" x14ac:dyDescent="0.25">
      <c r="C3519" s="415" t="s">
        <v>9630</v>
      </c>
      <c r="D3519" s="24">
        <f>Runners!J4109</f>
        <v>0</v>
      </c>
      <c r="E3519" s="183">
        <f>Runners!J4108</f>
        <v>0</v>
      </c>
      <c r="F3519" s="79" t="s">
        <v>1000</v>
      </c>
      <c r="G3519" s="1">
        <v>2.1736111111111112E-2</v>
      </c>
      <c r="H3519" s="206"/>
      <c r="J3519" s="334" t="s">
        <v>1000</v>
      </c>
      <c r="K3519" s="34">
        <v>43211</v>
      </c>
      <c r="L3519" s="1398">
        <v>403</v>
      </c>
      <c r="N3519" s="1653"/>
      <c r="P3519" s="1654" t="s">
        <v>15240</v>
      </c>
    </row>
    <row r="3520" spans="3:16" ht="15" x14ac:dyDescent="0.25">
      <c r="C3520" s="415" t="s">
        <v>5759</v>
      </c>
      <c r="D3520" s="24">
        <f>Runners!M3785</f>
        <v>0</v>
      </c>
      <c r="E3520" s="183">
        <f>Runners!M3784</f>
        <v>0</v>
      </c>
      <c r="F3520" s="79"/>
      <c r="H3520" s="197" t="s">
        <v>1062</v>
      </c>
      <c r="I3520" s="1">
        <v>2.6342592592592588E-2</v>
      </c>
      <c r="J3520" s="265" t="s">
        <v>1062</v>
      </c>
      <c r="K3520" s="34">
        <v>42868</v>
      </c>
      <c r="L3520" s="1398">
        <v>335</v>
      </c>
      <c r="N3520" s="1653"/>
      <c r="P3520" s="1654" t="s">
        <v>5759</v>
      </c>
    </row>
    <row r="3521" spans="3:16" ht="15" x14ac:dyDescent="0.25">
      <c r="C3521" s="511" t="s">
        <v>1324</v>
      </c>
      <c r="D3521" s="24">
        <f>Runners!Y3599</f>
        <v>0</v>
      </c>
      <c r="E3521" s="183">
        <f>Runners!Y3598</f>
        <v>0</v>
      </c>
      <c r="F3521" s="6" t="s">
        <v>5096</v>
      </c>
      <c r="G3521" s="1">
        <v>1.511574074074074E-2</v>
      </c>
      <c r="H3521" s="206" t="s">
        <v>2670</v>
      </c>
      <c r="I3521" s="1">
        <v>1.5868055555555555E-2</v>
      </c>
      <c r="J3521" s="254" t="s">
        <v>2670</v>
      </c>
      <c r="K3521" s="34">
        <v>41944</v>
      </c>
      <c r="L3521" s="1398">
        <v>137</v>
      </c>
      <c r="N3521" s="1653"/>
      <c r="P3521" s="1654" t="s">
        <v>5337</v>
      </c>
    </row>
    <row r="3522" spans="3:16" ht="15" x14ac:dyDescent="0.25">
      <c r="C3522" s="532" t="s">
        <v>10878</v>
      </c>
      <c r="D3522" s="531">
        <f>Runners!O4054</f>
        <v>0</v>
      </c>
      <c r="E3522" s="541">
        <f>Runners!O4053</f>
        <v>0</v>
      </c>
      <c r="F3522" s="79" t="s">
        <v>1000</v>
      </c>
      <c r="G3522" s="1">
        <v>2.1053240740740744E-2</v>
      </c>
      <c r="H3522" s="206"/>
      <c r="J3522" s="265" t="s">
        <v>1000</v>
      </c>
      <c r="K3522" s="34">
        <v>43400</v>
      </c>
      <c r="L3522" s="1398">
        <v>449</v>
      </c>
      <c r="N3522" s="1653"/>
      <c r="P3522" s="1654" t="s">
        <v>10880</v>
      </c>
    </row>
    <row r="3523" spans="3:16" ht="15" x14ac:dyDescent="0.25">
      <c r="C3523" s="532" t="s">
        <v>9904</v>
      </c>
      <c r="D3523" s="24">
        <f>Runners!O4285</f>
        <v>0</v>
      </c>
      <c r="E3523" s="183">
        <f>Runners!O4284</f>
        <v>0</v>
      </c>
      <c r="F3523" s="79" t="s">
        <v>1270</v>
      </c>
      <c r="G3523" s="1125">
        <v>4.4421296296296292E-2</v>
      </c>
      <c r="H3523" s="206"/>
      <c r="J3523" s="334" t="s">
        <v>1270</v>
      </c>
      <c r="K3523" s="34">
        <v>43260</v>
      </c>
      <c r="L3523" s="1398">
        <v>413</v>
      </c>
      <c r="N3523" s="1653"/>
      <c r="P3523" s="1654" t="s">
        <v>9897</v>
      </c>
    </row>
    <row r="3524" spans="3:16" ht="15" x14ac:dyDescent="0.25">
      <c r="C3524" s="15" t="s">
        <v>5991</v>
      </c>
      <c r="D3524" s="24">
        <f>Runners!M3457</f>
        <v>0</v>
      </c>
      <c r="E3524" s="183">
        <f>Runners!M3456</f>
        <v>0</v>
      </c>
      <c r="F3524" s="6" t="s">
        <v>5881</v>
      </c>
      <c r="G3524" s="1">
        <v>1.3182870370370371E-2</v>
      </c>
      <c r="H3524" t="s">
        <v>9806</v>
      </c>
      <c r="I3524" s="1">
        <v>1.4293981481481482E-2</v>
      </c>
      <c r="J3524" s="1" t="s">
        <v>1213</v>
      </c>
      <c r="K3524" s="34">
        <v>41237</v>
      </c>
      <c r="L3524" s="1398">
        <v>45</v>
      </c>
      <c r="N3524" s="1653"/>
      <c r="P3524" s="1654" t="s">
        <v>3072</v>
      </c>
    </row>
    <row r="3525" spans="3:16" ht="15" x14ac:dyDescent="0.25">
      <c r="C3525" s="415" t="s">
        <v>8254</v>
      </c>
      <c r="D3525" s="24">
        <f>Runners!Y3785</f>
        <v>0</v>
      </c>
      <c r="E3525" s="183">
        <f>Runners!Y3784</f>
        <v>0</v>
      </c>
      <c r="F3525" s="79" t="s">
        <v>909</v>
      </c>
      <c r="G3525" s="334">
        <v>2.2997685185185187E-2</v>
      </c>
      <c r="H3525" s="197" t="s">
        <v>5894</v>
      </c>
      <c r="I3525" s="1">
        <v>2.298611111111111E-2</v>
      </c>
      <c r="J3525" s="334" t="s">
        <v>5061</v>
      </c>
      <c r="K3525" s="34">
        <v>43295</v>
      </c>
      <c r="L3525" s="1398">
        <v>422</v>
      </c>
      <c r="N3525" s="1653"/>
      <c r="P3525" s="1654" t="s">
        <v>8254</v>
      </c>
    </row>
    <row r="3526" spans="3:16" ht="15" x14ac:dyDescent="0.25">
      <c r="C3526" s="15" t="s">
        <v>5146</v>
      </c>
      <c r="D3526" s="24">
        <f>Runners!V3564</f>
        <v>0</v>
      </c>
      <c r="E3526" s="183">
        <f>Runners!V3563</f>
        <v>0</v>
      </c>
      <c r="F3526" s="79" t="s">
        <v>5096</v>
      </c>
      <c r="G3526" s="1">
        <v>1.4872685185185185E-2</v>
      </c>
      <c r="J3526" s="32" t="s">
        <v>1000</v>
      </c>
      <c r="K3526" s="34">
        <v>41265</v>
      </c>
      <c r="L3526" s="9">
        <v>48</v>
      </c>
      <c r="N3526" s="1653"/>
      <c r="P3526" s="1654" t="s">
        <v>420</v>
      </c>
    </row>
    <row r="3527" spans="3:16" ht="15" x14ac:dyDescent="0.25">
      <c r="C3527" s="74" t="s">
        <v>5549</v>
      </c>
      <c r="D3527" s="24">
        <f>Runners!M4005</f>
        <v>0</v>
      </c>
      <c r="E3527" s="183">
        <f>Runners!M4004</f>
        <v>0</v>
      </c>
      <c r="F3527" s="6"/>
      <c r="H3527" s="206" t="s">
        <v>2752</v>
      </c>
      <c r="I3527" s="254">
        <v>1.8831018518518518E-2</v>
      </c>
      <c r="J3527" s="254" t="s">
        <v>2752</v>
      </c>
      <c r="K3527" s="34">
        <v>42343</v>
      </c>
      <c r="L3527" s="9">
        <v>211</v>
      </c>
      <c r="N3527" s="1653"/>
      <c r="P3527" s="1654" t="s">
        <v>689</v>
      </c>
    </row>
    <row r="3528" spans="3:16" ht="15" x14ac:dyDescent="0.25">
      <c r="C3528" s="74" t="s">
        <v>4734</v>
      </c>
      <c r="D3528" s="24">
        <f>Runners!X4203</f>
        <v>0</v>
      </c>
      <c r="E3528" s="183">
        <f>Runners!X4202</f>
        <v>0</v>
      </c>
      <c r="F3528" s="6"/>
      <c r="H3528" s="206" t="s">
        <v>888</v>
      </c>
      <c r="I3528" s="254">
        <v>2.0486111111111111E-2</v>
      </c>
      <c r="J3528" s="254" t="s">
        <v>888</v>
      </c>
      <c r="K3528" s="34">
        <v>42350</v>
      </c>
      <c r="L3528" s="1398">
        <v>215</v>
      </c>
      <c r="N3528" s="1653"/>
      <c r="P3528" s="1654" t="s">
        <v>1007</v>
      </c>
    </row>
    <row r="3529" spans="3:16" ht="15" x14ac:dyDescent="0.25">
      <c r="C3529" s="532" t="s">
        <v>9355</v>
      </c>
      <c r="D3529" s="531">
        <f>Runners!W3564</f>
        <v>0</v>
      </c>
      <c r="E3529" s="541">
        <f>Runners!W3563</f>
        <v>0</v>
      </c>
      <c r="F3529" s="534" t="s">
        <v>3790</v>
      </c>
      <c r="G3529" s="512">
        <v>1.7696759259259259E-2</v>
      </c>
      <c r="H3529" s="319" t="s">
        <v>4596</v>
      </c>
      <c r="I3529" s="254">
        <v>1.7685185185185182E-2</v>
      </c>
      <c r="J3529" s="334" t="s">
        <v>9513</v>
      </c>
      <c r="K3529" s="34">
        <v>43190</v>
      </c>
      <c r="L3529" s="1398">
        <v>399</v>
      </c>
      <c r="N3529" s="1653"/>
      <c r="P3529" s="1654" t="s">
        <v>9304</v>
      </c>
    </row>
    <row r="3530" spans="3:16" ht="15" x14ac:dyDescent="0.25">
      <c r="C3530" s="532" t="s">
        <v>10666</v>
      </c>
      <c r="D3530" s="531">
        <f>Runners!N4258</f>
        <v>0</v>
      </c>
      <c r="E3530" s="541">
        <f>Runners!N4257</f>
        <v>0</v>
      </c>
      <c r="F3530" s="534" t="s">
        <v>756</v>
      </c>
      <c r="G3530" s="512">
        <v>1.8599537037037036E-2</v>
      </c>
      <c r="H3530" s="319"/>
      <c r="I3530" s="254"/>
      <c r="J3530" s="334" t="s">
        <v>756</v>
      </c>
      <c r="K3530" s="34">
        <v>43365</v>
      </c>
      <c r="L3530" s="1398">
        <v>441</v>
      </c>
      <c r="N3530" s="1653"/>
      <c r="P3530" s="1654" t="s">
        <v>10665</v>
      </c>
    </row>
    <row r="3531" spans="3:16" ht="15" x14ac:dyDescent="0.25">
      <c r="C3531" s="15" t="s">
        <v>3382</v>
      </c>
      <c r="D3531" s="24">
        <f>Runners!AA3859</f>
        <v>0</v>
      </c>
      <c r="E3531" s="183">
        <f>Runners!AA3858</f>
        <v>0</v>
      </c>
      <c r="F3531" s="6" t="s">
        <v>2821</v>
      </c>
      <c r="G3531" s="1">
        <v>1.3981481481481482E-2</v>
      </c>
      <c r="H3531" s="206" t="s">
        <v>2670</v>
      </c>
      <c r="I3531" s="1">
        <v>1.4606481481481482E-2</v>
      </c>
      <c r="J3531" s="1" t="s">
        <v>5096</v>
      </c>
      <c r="K3531" s="34">
        <v>41720</v>
      </c>
      <c r="L3531" s="9">
        <v>94</v>
      </c>
      <c r="N3531" s="1653"/>
      <c r="P3531" s="1654" t="s">
        <v>4876</v>
      </c>
    </row>
    <row r="3532" spans="3:16" ht="15" x14ac:dyDescent="0.25">
      <c r="C3532" s="74" t="s">
        <v>3532</v>
      </c>
      <c r="D3532" s="24">
        <f>Runners!X3564</f>
        <v>0</v>
      </c>
      <c r="E3532" s="183">
        <f>Runners!X3563</f>
        <v>0</v>
      </c>
      <c r="F3532" s="6" t="s">
        <v>1000</v>
      </c>
      <c r="G3532" s="1">
        <v>1.8055555555555557E-2</v>
      </c>
      <c r="J3532" s="32" t="s">
        <v>1000</v>
      </c>
      <c r="K3532" s="34">
        <v>41300</v>
      </c>
      <c r="L3532" s="9">
        <v>53</v>
      </c>
      <c r="N3532" s="1653"/>
      <c r="P3532" s="1654" t="s">
        <v>3139</v>
      </c>
    </row>
    <row r="3533" spans="3:16" ht="15" x14ac:dyDescent="0.25">
      <c r="C3533" s="511" t="s">
        <v>1780</v>
      </c>
      <c r="D3533" s="531">
        <f>Runners!Y3564</f>
        <v>0</v>
      </c>
      <c r="E3533" s="541">
        <f>Runners!Y3563</f>
        <v>0</v>
      </c>
      <c r="F3533" s="79" t="s">
        <v>5096</v>
      </c>
      <c r="G3533" s="1">
        <v>1.503472222222222E-2</v>
      </c>
      <c r="J3533" s="1" t="s">
        <v>4778</v>
      </c>
      <c r="K3533" s="34">
        <v>41776</v>
      </c>
      <c r="L3533" s="1398">
        <v>105</v>
      </c>
      <c r="N3533" s="1653"/>
      <c r="P3533" s="1654" t="s">
        <v>1780</v>
      </c>
    </row>
    <row r="3534" spans="3:16" ht="15" x14ac:dyDescent="0.25">
      <c r="C3534" s="532" t="s">
        <v>12244</v>
      </c>
      <c r="D3534" s="531">
        <f>Runners!M4144</f>
        <v>0</v>
      </c>
      <c r="E3534" s="541">
        <f>Runners!M4143</f>
        <v>0</v>
      </c>
      <c r="F3534" s="79"/>
      <c r="H3534" s="513" t="s">
        <v>748</v>
      </c>
      <c r="I3534" s="1">
        <v>2.4467592592592593E-2</v>
      </c>
      <c r="J3534" s="334" t="s">
        <v>748</v>
      </c>
      <c r="K3534" s="34">
        <v>43554</v>
      </c>
      <c r="L3534" s="1398">
        <v>482</v>
      </c>
      <c r="N3534" s="1653"/>
      <c r="P3534" s="1654" t="s">
        <v>15241</v>
      </c>
    </row>
    <row r="3535" spans="3:16" ht="15" x14ac:dyDescent="0.25">
      <c r="C3535" s="532" t="s">
        <v>11851</v>
      </c>
      <c r="D3535" s="531">
        <f>Runners!X3897</f>
        <v>0</v>
      </c>
      <c r="E3535" s="541">
        <f>Runners!X3896</f>
        <v>0</v>
      </c>
      <c r="F3535" s="79" t="s">
        <v>1000</v>
      </c>
      <c r="G3535" s="1">
        <v>1.9884259259259258E-2</v>
      </c>
      <c r="J3535" s="1" t="s">
        <v>1000</v>
      </c>
      <c r="K3535" s="1379">
        <v>43547</v>
      </c>
      <c r="L3535" s="1398">
        <v>480</v>
      </c>
      <c r="N3535" s="1653"/>
      <c r="P3535" s="1654" t="s">
        <v>12166</v>
      </c>
    </row>
    <row r="3536" spans="3:16" ht="15" x14ac:dyDescent="0.25">
      <c r="C3536" s="532" t="s">
        <v>10479</v>
      </c>
      <c r="D3536" s="531">
        <f>Runners!N3457</f>
        <v>0</v>
      </c>
      <c r="E3536" s="541">
        <f>Runners!N3456</f>
        <v>0</v>
      </c>
      <c r="F3536" s="1130" t="s">
        <v>4637</v>
      </c>
      <c r="G3536" s="1">
        <v>1.9479166666666669E-2</v>
      </c>
      <c r="H3536" s="206"/>
      <c r="J3536" s="334" t="s">
        <v>1000</v>
      </c>
      <c r="K3536" s="34">
        <v>43393</v>
      </c>
      <c r="L3536" s="1398">
        <v>446</v>
      </c>
      <c r="N3536" s="1653"/>
      <c r="P3536" s="1654" t="s">
        <v>10479</v>
      </c>
    </row>
    <row r="3537" spans="3:16" ht="15" x14ac:dyDescent="0.25">
      <c r="C3537" s="532" t="s">
        <v>7937</v>
      </c>
      <c r="D3537" s="531">
        <f>Runners!U4033</f>
        <v>0</v>
      </c>
      <c r="E3537" s="541">
        <f>Runners!U4032</f>
        <v>0</v>
      </c>
      <c r="F3537" s="6" t="s">
        <v>4778</v>
      </c>
      <c r="G3537" s="1">
        <v>2.8587962962962964E-2</v>
      </c>
      <c r="H3537" s="206"/>
      <c r="J3537" s="1" t="s">
        <v>4778</v>
      </c>
      <c r="K3537" s="34">
        <v>42910</v>
      </c>
      <c r="L3537" s="1398">
        <v>340</v>
      </c>
      <c r="N3537" s="1653"/>
      <c r="P3537" s="1654" t="s">
        <v>7938</v>
      </c>
    </row>
    <row r="3538" spans="3:16" ht="15" x14ac:dyDescent="0.25">
      <c r="C3538" s="74" t="s">
        <v>5332</v>
      </c>
      <c r="D3538" s="24">
        <f>Runners!R4203</f>
        <v>0</v>
      </c>
      <c r="E3538" s="183">
        <f>Runners!R4202</f>
        <v>0</v>
      </c>
      <c r="F3538" s="6" t="s">
        <v>1000</v>
      </c>
      <c r="G3538" s="1">
        <v>1.849537037037037E-2</v>
      </c>
      <c r="J3538" s="32" t="s">
        <v>1000</v>
      </c>
      <c r="K3538" s="34">
        <v>41951</v>
      </c>
      <c r="L3538" s="1398">
        <v>139</v>
      </c>
      <c r="N3538" s="1653"/>
      <c r="P3538" s="1654" t="s">
        <v>470</v>
      </c>
    </row>
    <row r="3539" spans="3:16" ht="15" x14ac:dyDescent="0.25">
      <c r="C3539" s="532" t="s">
        <v>8334</v>
      </c>
      <c r="D3539" s="531">
        <f>Runners!Z3599</f>
        <v>0</v>
      </c>
      <c r="E3539" s="541">
        <f>Runners!Z3598</f>
        <v>0</v>
      </c>
      <c r="F3539" s="6" t="s">
        <v>1000</v>
      </c>
      <c r="G3539" s="1">
        <v>1.9791666666666666E-2</v>
      </c>
      <c r="H3539" s="206"/>
      <c r="J3539" s="1" t="s">
        <v>1000</v>
      </c>
      <c r="K3539" s="34">
        <v>42980</v>
      </c>
      <c r="L3539" s="1398">
        <v>360</v>
      </c>
      <c r="N3539" s="1653"/>
      <c r="P3539" s="1654" t="s">
        <v>8143</v>
      </c>
    </row>
    <row r="3540" spans="3:16" ht="15" x14ac:dyDescent="0.25">
      <c r="C3540" s="532" t="s">
        <v>15259</v>
      </c>
      <c r="D3540" s="531">
        <f>Runners!R4109</f>
        <v>0</v>
      </c>
      <c r="E3540" s="541">
        <f>Runners!R4108</f>
        <v>0</v>
      </c>
      <c r="F3540" s="79" t="s">
        <v>1000</v>
      </c>
      <c r="G3540" s="1">
        <v>1.9027777777777779E-2</v>
      </c>
      <c r="H3540" s="513" t="s">
        <v>8441</v>
      </c>
      <c r="I3540" s="1">
        <v>2.5115740740740741E-2</v>
      </c>
      <c r="J3540" s="334" t="s">
        <v>1000</v>
      </c>
      <c r="K3540" s="34">
        <v>43540</v>
      </c>
      <c r="L3540" s="1398">
        <v>478</v>
      </c>
      <c r="N3540" s="1653"/>
      <c r="P3540" s="1654" t="s">
        <v>15242</v>
      </c>
    </row>
    <row r="3541" spans="3:16" ht="15" x14ac:dyDescent="0.25">
      <c r="C3541" s="415" t="s">
        <v>9816</v>
      </c>
      <c r="D3541" s="24">
        <f>Runners!W3968</f>
        <v>0</v>
      </c>
      <c r="E3541" s="183">
        <f>Runners!W3967</f>
        <v>0</v>
      </c>
      <c r="F3541" s="79" t="s">
        <v>9840</v>
      </c>
      <c r="G3541" s="1">
        <v>2.4305555555555556E-2</v>
      </c>
      <c r="J3541" s="334" t="s">
        <v>9840</v>
      </c>
      <c r="K3541" s="34">
        <v>43239</v>
      </c>
      <c r="L3541" s="1398">
        <v>410</v>
      </c>
      <c r="N3541" s="1653"/>
      <c r="P3541" s="1654" t="s">
        <v>9816</v>
      </c>
    </row>
    <row r="3542" spans="3:16" ht="15" x14ac:dyDescent="0.25">
      <c r="C3542" s="532" t="s">
        <v>10775</v>
      </c>
      <c r="D3542" s="531">
        <f>Runners!J4258</f>
        <v>0</v>
      </c>
      <c r="E3542" s="541">
        <f>Runners!J4257</f>
        <v>0</v>
      </c>
      <c r="F3542" s="79" t="s">
        <v>5882</v>
      </c>
      <c r="G3542" s="1">
        <v>1.7407407407407406E-2</v>
      </c>
      <c r="J3542" s="334" t="s">
        <v>5882</v>
      </c>
      <c r="K3542" s="34">
        <v>43379</v>
      </c>
      <c r="L3542" s="1398">
        <v>445</v>
      </c>
      <c r="N3542" s="1653"/>
      <c r="P3542" s="1654" t="s">
        <v>10775</v>
      </c>
    </row>
    <row r="3543" spans="3:16" ht="15" x14ac:dyDescent="0.25">
      <c r="C3543" s="415" t="s">
        <v>7932</v>
      </c>
      <c r="D3543" s="24">
        <f>Runners!X3498</f>
        <v>0</v>
      </c>
      <c r="E3543" s="183">
        <f>Runners!X3497</f>
        <v>0</v>
      </c>
      <c r="F3543" s="79" t="s">
        <v>1000</v>
      </c>
      <c r="G3543" s="1">
        <v>1.9340277777777779E-2</v>
      </c>
      <c r="H3543" s="513" t="s">
        <v>748</v>
      </c>
      <c r="I3543" s="1">
        <v>2.2210648148148149E-2</v>
      </c>
      <c r="J3543" s="512" t="s">
        <v>748</v>
      </c>
      <c r="K3543" s="34">
        <v>42875</v>
      </c>
      <c r="L3543" s="9">
        <v>336</v>
      </c>
      <c r="N3543" s="1653"/>
      <c r="P3543" s="1654" t="s">
        <v>7932</v>
      </c>
    </row>
    <row r="3544" spans="3:16" ht="15" x14ac:dyDescent="0.25">
      <c r="C3544" s="74" t="s">
        <v>2840</v>
      </c>
      <c r="D3544" s="24">
        <f>Runners!U3992</f>
        <v>0</v>
      </c>
      <c r="E3544" s="183">
        <f>Runners!U3991</f>
        <v>0</v>
      </c>
      <c r="F3544" s="6" t="s">
        <v>5881</v>
      </c>
      <c r="G3544" s="1">
        <v>1.4074074074074074E-2</v>
      </c>
      <c r="J3544" s="1" t="s">
        <v>5881</v>
      </c>
      <c r="K3544" s="34">
        <v>41832</v>
      </c>
      <c r="L3544" s="9">
        <v>116</v>
      </c>
      <c r="N3544" s="1653"/>
      <c r="P3544" s="1654" t="s">
        <v>2840</v>
      </c>
    </row>
    <row r="3545" spans="3:16" ht="15" x14ac:dyDescent="0.25">
      <c r="C3545" s="415" t="s">
        <v>4501</v>
      </c>
      <c r="D3545" s="24">
        <f>Runners!W3636</f>
        <v>0</v>
      </c>
      <c r="E3545" s="183">
        <f>Runners!W3635</f>
        <v>0</v>
      </c>
      <c r="F3545" s="79" t="s">
        <v>5882</v>
      </c>
      <c r="G3545" s="1">
        <v>1.5416666666666667E-2</v>
      </c>
      <c r="J3545" s="334" t="s">
        <v>5882</v>
      </c>
      <c r="K3545" s="34">
        <v>42868</v>
      </c>
      <c r="L3545" s="9">
        <v>334</v>
      </c>
      <c r="N3545" s="1653"/>
      <c r="P3545" s="1654" t="s">
        <v>4501</v>
      </c>
    </row>
    <row r="3546" spans="3:16" ht="15" x14ac:dyDescent="0.25">
      <c r="C3546" s="532" t="s">
        <v>8260</v>
      </c>
      <c r="D3546" s="531">
        <f>Runners!V4188</f>
        <v>0</v>
      </c>
      <c r="E3546" s="541">
        <f>Runners!V4187</f>
        <v>0</v>
      </c>
      <c r="F3546" s="79" t="s">
        <v>4637</v>
      </c>
      <c r="G3546" s="1">
        <v>1.7812499999999998E-2</v>
      </c>
      <c r="H3546" t="s">
        <v>5894</v>
      </c>
      <c r="I3546" s="1">
        <v>2.1412037037037035E-2</v>
      </c>
      <c r="J3546" s="334" t="s">
        <v>5061</v>
      </c>
      <c r="K3546" s="34">
        <v>42945</v>
      </c>
      <c r="L3546" s="9">
        <v>347</v>
      </c>
      <c r="N3546" s="1653"/>
      <c r="P3546" s="1654" t="s">
        <v>8262</v>
      </c>
    </row>
    <row r="3547" spans="3:16" ht="15" x14ac:dyDescent="0.25">
      <c r="C3547" s="74" t="s">
        <v>472</v>
      </c>
      <c r="D3547" s="24">
        <f>Runners!R3943</f>
        <v>0</v>
      </c>
      <c r="E3547" s="183">
        <f>Runners!R3942</f>
        <v>0</v>
      </c>
      <c r="F3547" s="6" t="s">
        <v>1270</v>
      </c>
      <c r="G3547" s="1">
        <v>1.4004629629629631E-2</v>
      </c>
      <c r="J3547" s="1" t="s">
        <v>1270</v>
      </c>
      <c r="K3547" s="34">
        <v>42126</v>
      </c>
      <c r="L3547" s="9">
        <v>163</v>
      </c>
      <c r="N3547" s="1653"/>
      <c r="P3547" s="1654" t="s">
        <v>249</v>
      </c>
    </row>
    <row r="3548" spans="3:16" ht="15" x14ac:dyDescent="0.25">
      <c r="C3548" s="74" t="s">
        <v>4451</v>
      </c>
      <c r="D3548" s="24">
        <f>Runners!W3248</f>
        <v>0</v>
      </c>
      <c r="E3548" s="183">
        <f>Runners!W3247</f>
        <v>0</v>
      </c>
      <c r="F3548" s="79" t="s">
        <v>5884</v>
      </c>
      <c r="G3548" s="1">
        <v>1.3969907407407408E-2</v>
      </c>
      <c r="H3548" t="s">
        <v>1440</v>
      </c>
      <c r="I3548" s="1">
        <v>1.9583333333333331E-2</v>
      </c>
      <c r="J3548" s="1" t="s">
        <v>1000</v>
      </c>
      <c r="K3548" s="34">
        <v>41083</v>
      </c>
      <c r="L3548" s="9">
        <v>27</v>
      </c>
      <c r="N3548" s="1653"/>
      <c r="P3548" s="1654" t="s">
        <v>4451</v>
      </c>
    </row>
    <row r="3549" spans="3:16" ht="15" x14ac:dyDescent="0.25">
      <c r="C3549" s="74" t="s">
        <v>1187</v>
      </c>
      <c r="D3549" s="24">
        <f>Runners!N3829</f>
        <v>0</v>
      </c>
      <c r="E3549" s="183">
        <f>Runners!N3828</f>
        <v>0</v>
      </c>
      <c r="F3549" s="6" t="s">
        <v>4584</v>
      </c>
      <c r="G3549" s="1">
        <v>1.877314814814815E-2</v>
      </c>
      <c r="J3549" s="1" t="s">
        <v>4584</v>
      </c>
      <c r="K3549" s="34">
        <v>41524</v>
      </c>
      <c r="L3549" s="9">
        <v>69</v>
      </c>
      <c r="N3549" s="1653"/>
      <c r="P3549" s="1654" t="s">
        <v>4294</v>
      </c>
    </row>
    <row r="3550" spans="3:16" ht="15" x14ac:dyDescent="0.25">
      <c r="C3550" s="74" t="s">
        <v>1939</v>
      </c>
      <c r="D3550" s="24">
        <f>Runners!Y3498</f>
        <v>0</v>
      </c>
      <c r="E3550" s="183">
        <f>Runners!Y3497</f>
        <v>0</v>
      </c>
      <c r="F3550" s="1630" t="s">
        <v>12695</v>
      </c>
      <c r="G3550" s="1629">
        <v>1.4004629629629631E-2</v>
      </c>
      <c r="J3550" s="1" t="s">
        <v>1000</v>
      </c>
      <c r="K3550" s="34">
        <v>41454</v>
      </c>
      <c r="L3550" s="9">
        <v>62</v>
      </c>
      <c r="N3550" s="1653"/>
      <c r="P3550" s="1654" t="s">
        <v>1939</v>
      </c>
    </row>
    <row r="3551" spans="3:16" ht="15" x14ac:dyDescent="0.25">
      <c r="C3551" s="532" t="s">
        <v>9218</v>
      </c>
      <c r="D3551" s="531">
        <f>Runners!X3457</f>
        <v>0</v>
      </c>
      <c r="E3551" s="541">
        <f>Runners!X3456</f>
        <v>0</v>
      </c>
      <c r="F3551" s="6" t="s">
        <v>1000</v>
      </c>
      <c r="G3551" s="1">
        <v>2.1562499999999998E-2</v>
      </c>
      <c r="J3551" s="1" t="s">
        <v>1000</v>
      </c>
      <c r="K3551" s="34">
        <v>43463</v>
      </c>
      <c r="L3551" s="1398">
        <v>460</v>
      </c>
      <c r="N3551" s="1653"/>
      <c r="P3551" s="1654" t="s">
        <v>9218</v>
      </c>
    </row>
    <row r="3552" spans="3:16" ht="15" x14ac:dyDescent="0.25">
      <c r="C3552" s="74" t="s">
        <v>5198</v>
      </c>
      <c r="D3552" s="183">
        <f>Runners!M3398</f>
        <v>0</v>
      </c>
      <c r="E3552" s="183">
        <f>Runners!M3397</f>
        <v>0</v>
      </c>
      <c r="F3552" s="6" t="s">
        <v>5881</v>
      </c>
      <c r="G3552" s="1">
        <v>1.3518518518518518E-2</v>
      </c>
      <c r="H3552" s="197" t="s">
        <v>9797</v>
      </c>
      <c r="I3552" s="1">
        <v>1.3854166666666666E-2</v>
      </c>
      <c r="J3552" s="1" t="s">
        <v>5882</v>
      </c>
      <c r="K3552" s="34">
        <v>41867</v>
      </c>
      <c r="L3552" s="1398">
        <v>122</v>
      </c>
      <c r="N3552" s="1653"/>
      <c r="P3552" s="1654" t="s">
        <v>5198</v>
      </c>
    </row>
    <row r="3553" spans="3:16" ht="15" x14ac:dyDescent="0.25">
      <c r="C3553" s="74" t="s">
        <v>5087</v>
      </c>
      <c r="D3553" s="24">
        <f>Runners!AB3859</f>
        <v>0</v>
      </c>
      <c r="E3553" s="183">
        <f>Runners!AB3858</f>
        <v>0</v>
      </c>
      <c r="F3553" s="6" t="s">
        <v>5096</v>
      </c>
      <c r="G3553" s="1">
        <v>1.556712962962963E-2</v>
      </c>
      <c r="H3553" s="53"/>
      <c r="J3553" s="1" t="s">
        <v>5096</v>
      </c>
      <c r="K3553" s="34">
        <v>41671</v>
      </c>
      <c r="L3553" s="1398">
        <v>89</v>
      </c>
      <c r="N3553" s="1653"/>
      <c r="P3553" s="1654" t="s">
        <v>3692</v>
      </c>
    </row>
    <row r="3554" spans="3:16" ht="15" x14ac:dyDescent="0.25">
      <c r="C3554" s="74" t="s">
        <v>5964</v>
      </c>
      <c r="D3554" s="24">
        <f>Runners!Q3943</f>
        <v>0</v>
      </c>
      <c r="E3554" s="183">
        <f>Runners!Q3942</f>
        <v>0</v>
      </c>
      <c r="F3554" s="6" t="s">
        <v>5882</v>
      </c>
      <c r="G3554" s="1">
        <v>1.6550925925925924E-2</v>
      </c>
      <c r="J3554" s="1" t="s">
        <v>4584</v>
      </c>
      <c r="K3554" s="34">
        <v>40838</v>
      </c>
      <c r="L3554" s="1398">
        <v>11</v>
      </c>
      <c r="N3554" s="1653"/>
      <c r="P3554" s="1654" t="s">
        <v>653</v>
      </c>
    </row>
    <row r="3555" spans="3:16" ht="15" x14ac:dyDescent="0.25">
      <c r="C3555" s="74" t="s">
        <v>1417</v>
      </c>
      <c r="D3555" s="24">
        <f>Runners!X3968</f>
        <v>0</v>
      </c>
      <c r="E3555" s="183">
        <f>Runners!X3967</f>
        <v>0</v>
      </c>
      <c r="F3555" s="6" t="s">
        <v>4637</v>
      </c>
      <c r="G3555" s="1">
        <v>1.6701388888888887E-2</v>
      </c>
      <c r="J3555" s="1" t="s">
        <v>4637</v>
      </c>
      <c r="K3555" s="34">
        <v>42455</v>
      </c>
      <c r="L3555" s="1398">
        <v>242</v>
      </c>
      <c r="N3555" s="1653"/>
      <c r="P3555" s="1654" t="s">
        <v>4053</v>
      </c>
    </row>
    <row r="3556" spans="3:16" ht="15" x14ac:dyDescent="0.25">
      <c r="C3556" s="74" t="s">
        <v>1214</v>
      </c>
      <c r="D3556" s="183">
        <f>Runners!V3398</f>
        <v>0</v>
      </c>
      <c r="E3556" s="183">
        <f>Runners!V3397</f>
        <v>0</v>
      </c>
      <c r="F3556" s="6" t="s">
        <v>1270</v>
      </c>
      <c r="G3556" s="1">
        <v>1.306712962962963E-2</v>
      </c>
      <c r="H3556" t="s">
        <v>3254</v>
      </c>
      <c r="I3556" s="1">
        <v>1.7349537037037038E-2</v>
      </c>
      <c r="J3556" s="1" t="s">
        <v>1213</v>
      </c>
      <c r="K3556" s="34">
        <v>41195</v>
      </c>
      <c r="L3556" s="1398">
        <v>38</v>
      </c>
      <c r="N3556" s="1653"/>
      <c r="P3556" s="1654" t="s">
        <v>1214</v>
      </c>
    </row>
    <row r="3557" spans="3:16" ht="15" x14ac:dyDescent="0.25">
      <c r="C3557" s="415" t="s">
        <v>11276</v>
      </c>
      <c r="D3557" s="183">
        <f>Runners!T3785</f>
        <v>0</v>
      </c>
      <c r="E3557" s="183">
        <f>Runners!T3784</f>
        <v>0</v>
      </c>
      <c r="F3557" s="6"/>
      <c r="H3557" s="80" t="s">
        <v>9553</v>
      </c>
      <c r="I3557" s="1">
        <v>1.9166666666666669E-2</v>
      </c>
      <c r="J3557" s="334" t="s">
        <v>9553</v>
      </c>
      <c r="K3557" s="34">
        <v>43540</v>
      </c>
      <c r="L3557" s="1398">
        <v>479</v>
      </c>
      <c r="N3557" s="1653"/>
      <c r="P3557" s="1654" t="s">
        <v>11276</v>
      </c>
    </row>
    <row r="3558" spans="3:16" ht="15" x14ac:dyDescent="0.25">
      <c r="C3558" s="74" t="s">
        <v>1002</v>
      </c>
      <c r="D3558" s="947">
        <f>Runners!X3248</f>
        <v>0</v>
      </c>
      <c r="E3558" s="948">
        <f>Runners!X3247</f>
        <v>0</v>
      </c>
      <c r="F3558" s="6" t="s">
        <v>1270</v>
      </c>
      <c r="G3558" s="1">
        <v>1.2893518518518519E-2</v>
      </c>
      <c r="H3558" s="197" t="s">
        <v>9806</v>
      </c>
      <c r="I3558" s="1">
        <v>1.5671296296296298E-2</v>
      </c>
      <c r="J3558" s="1" t="s">
        <v>1000</v>
      </c>
      <c r="K3558" s="34">
        <v>40915</v>
      </c>
      <c r="L3558" s="1398">
        <v>15</v>
      </c>
      <c r="N3558" s="1653"/>
      <c r="P3558" s="1654" t="s">
        <v>1002</v>
      </c>
    </row>
    <row r="3559" spans="3:16" ht="15" x14ac:dyDescent="0.25">
      <c r="C3559" s="532" t="s">
        <v>2674</v>
      </c>
      <c r="D3559" s="531">
        <f>Runners!T3943</f>
        <v>0</v>
      </c>
      <c r="E3559" s="541">
        <f>Runners!T3942</f>
        <v>0</v>
      </c>
      <c r="F3559" s="79" t="s">
        <v>909</v>
      </c>
      <c r="G3559" s="1">
        <v>2.2141203703703705E-2</v>
      </c>
      <c r="H3559" s="80" t="s">
        <v>5894</v>
      </c>
      <c r="I3559" s="1">
        <v>2.2141203703703705E-2</v>
      </c>
      <c r="J3559" s="334" t="s">
        <v>5061</v>
      </c>
      <c r="K3559" s="34">
        <v>43302</v>
      </c>
      <c r="L3559" s="1398">
        <v>425</v>
      </c>
      <c r="N3559" s="1653"/>
      <c r="P3559" s="1654" t="s">
        <v>2674</v>
      </c>
    </row>
    <row r="3560" spans="3:16" ht="15" x14ac:dyDescent="0.25">
      <c r="C3560" s="532" t="s">
        <v>4368</v>
      </c>
      <c r="D3560" s="531">
        <f>Runners!S3683</f>
        <v>0</v>
      </c>
      <c r="E3560" s="541">
        <f>Runners!S3682</f>
        <v>0</v>
      </c>
      <c r="F3560" s="79" t="s">
        <v>1000</v>
      </c>
      <c r="G3560" s="1">
        <v>1.8981481481481481E-2</v>
      </c>
      <c r="H3560" s="206"/>
      <c r="J3560" s="1" t="s">
        <v>1000</v>
      </c>
      <c r="K3560" s="34">
        <v>43197</v>
      </c>
      <c r="L3560" s="1398">
        <v>400</v>
      </c>
      <c r="N3560" s="1653"/>
      <c r="P3560" s="1654" t="s">
        <v>4368</v>
      </c>
    </row>
    <row r="3561" spans="3:16" ht="15" x14ac:dyDescent="0.25">
      <c r="C3561" s="74" t="s">
        <v>5653</v>
      </c>
      <c r="D3561" s="24">
        <f>Runners!O3457</f>
        <v>0</v>
      </c>
      <c r="E3561" s="183">
        <f>Runners!O3456</f>
        <v>0</v>
      </c>
      <c r="F3561" s="6" t="s">
        <v>5881</v>
      </c>
      <c r="G3561" s="1">
        <v>1.3935185185185184E-2</v>
      </c>
      <c r="H3561" t="s">
        <v>3254</v>
      </c>
      <c r="I3561" s="1">
        <v>1.7372685185185185E-2</v>
      </c>
      <c r="J3561" s="1" t="s">
        <v>1000</v>
      </c>
      <c r="K3561" s="34">
        <v>41125</v>
      </c>
      <c r="L3561" s="1398">
        <v>34</v>
      </c>
      <c r="N3561" s="1653"/>
      <c r="P3561" s="1654" t="s">
        <v>5653</v>
      </c>
    </row>
    <row r="3562" spans="3:16" ht="15" x14ac:dyDescent="0.25">
      <c r="C3562" s="74" t="s">
        <v>4263</v>
      </c>
      <c r="D3562" s="24">
        <f>Runners!S3943</f>
        <v>0</v>
      </c>
      <c r="E3562" s="183">
        <f>Runners!S3942</f>
        <v>0</v>
      </c>
      <c r="F3562" s="52" t="s">
        <v>1270</v>
      </c>
      <c r="G3562" s="32">
        <v>1.4189814814814815E-2</v>
      </c>
      <c r="H3562" s="3"/>
      <c r="I3562" s="3" t="s">
        <v>1212</v>
      </c>
      <c r="J3562" s="32" t="s">
        <v>654</v>
      </c>
      <c r="K3562" s="33">
        <v>41608</v>
      </c>
      <c r="L3562" s="1398">
        <v>80</v>
      </c>
      <c r="N3562" s="1653"/>
      <c r="P3562" s="1654" t="s">
        <v>4260</v>
      </c>
    </row>
    <row r="3563" spans="3:16" ht="15" x14ac:dyDescent="0.25">
      <c r="C3563" s="15" t="s">
        <v>1057</v>
      </c>
      <c r="D3563" s="24">
        <f>Runners!Z3748</f>
        <v>0</v>
      </c>
      <c r="E3563" s="183">
        <f>Runners!Z3747</f>
        <v>0</v>
      </c>
      <c r="F3563" s="52" t="s">
        <v>5951</v>
      </c>
      <c r="G3563" s="32">
        <v>1.7777777777777778E-2</v>
      </c>
      <c r="H3563" s="1121" t="s">
        <v>748</v>
      </c>
      <c r="I3563" s="334">
        <v>2.6273148148148153E-2</v>
      </c>
      <c r="J3563" s="32" t="s">
        <v>5097</v>
      </c>
      <c r="K3563" s="33">
        <v>41741</v>
      </c>
      <c r="L3563" s="1398">
        <v>98</v>
      </c>
      <c r="N3563" s="1653"/>
      <c r="P3563" s="1654" t="s">
        <v>3773</v>
      </c>
    </row>
    <row r="3564" spans="3:16" ht="15" x14ac:dyDescent="0.25">
      <c r="C3564" s="74" t="s">
        <v>668</v>
      </c>
      <c r="D3564" s="24">
        <f>Runners!Y3968</f>
        <v>0</v>
      </c>
      <c r="E3564" s="183">
        <f>Runners!Y3967</f>
        <v>0</v>
      </c>
      <c r="F3564" s="52" t="s">
        <v>298</v>
      </c>
      <c r="G3564" s="32">
        <v>1.6724537037037034E-2</v>
      </c>
      <c r="H3564" s="32" t="s">
        <v>5903</v>
      </c>
      <c r="I3564" s="32">
        <v>1.8553240740740742E-2</v>
      </c>
      <c r="J3564" s="32" t="s">
        <v>298</v>
      </c>
      <c r="K3564" s="33">
        <v>42441</v>
      </c>
      <c r="L3564" s="1398">
        <v>238</v>
      </c>
      <c r="N3564" s="1653"/>
      <c r="P3564" s="1654" t="s">
        <v>668</v>
      </c>
    </row>
    <row r="3565" spans="3:16" ht="15" x14ac:dyDescent="0.25">
      <c r="C3565" s="415" t="s">
        <v>9272</v>
      </c>
      <c r="D3565" s="24">
        <f>Runners!S4203</f>
        <v>0</v>
      </c>
      <c r="E3565" s="183">
        <f>Runners!S4202</f>
        <v>0</v>
      </c>
      <c r="F3565" s="79" t="s">
        <v>756</v>
      </c>
      <c r="G3565" s="32">
        <v>1.9247685185185184E-2</v>
      </c>
      <c r="H3565" s="32"/>
      <c r="I3565" s="32"/>
      <c r="J3565" s="334" t="s">
        <v>756</v>
      </c>
      <c r="K3565" s="33">
        <v>43148</v>
      </c>
      <c r="L3565" s="1398">
        <v>386</v>
      </c>
      <c r="N3565" s="1653"/>
      <c r="P3565" s="1654" t="s">
        <v>9272</v>
      </c>
    </row>
    <row r="3566" spans="3:16" ht="15" x14ac:dyDescent="0.25">
      <c r="C3566" s="415" t="s">
        <v>11869</v>
      </c>
      <c r="D3566" s="24">
        <f>Runners!N4144</f>
        <v>0</v>
      </c>
      <c r="E3566" s="183">
        <f>Runners!N4143</f>
        <v>0</v>
      </c>
      <c r="F3566" s="79" t="s">
        <v>11871</v>
      </c>
      <c r="G3566" s="32">
        <v>2.0162037037037037E-2</v>
      </c>
      <c r="H3566" s="32"/>
      <c r="I3566" s="32"/>
      <c r="J3566" s="334" t="s">
        <v>1000</v>
      </c>
      <c r="K3566" s="33">
        <v>43519</v>
      </c>
      <c r="L3566" s="1398">
        <v>471</v>
      </c>
      <c r="N3566" s="1653"/>
      <c r="P3566" s="1654" t="s">
        <v>15243</v>
      </c>
    </row>
    <row r="3567" spans="3:16" x14ac:dyDescent="0.2">
      <c r="C3567" s="1370"/>
      <c r="D3567" s="1371"/>
      <c r="E3567" s="1398"/>
      <c r="F3567" s="6"/>
      <c r="K3567" s="34"/>
      <c r="L3567" s="1398"/>
      <c r="N3567" s="1653"/>
    </row>
    <row r="3568" spans="3:16" x14ac:dyDescent="0.2">
      <c r="C3568" s="1370"/>
      <c r="D3568" s="1371"/>
      <c r="E3568" s="1398"/>
      <c r="F3568" s="79"/>
      <c r="H3568" s="1389"/>
      <c r="I3568" s="1412"/>
      <c r="J3568" s="334"/>
      <c r="K3568" s="34"/>
      <c r="L3568" s="1398"/>
      <c r="N3568" s="1653"/>
    </row>
    <row r="3569" spans="14:14" x14ac:dyDescent="0.2">
      <c r="N3569" s="1653"/>
    </row>
    <row r="3570" spans="14:14" x14ac:dyDescent="0.2">
      <c r="N3570" s="1653"/>
    </row>
    <row r="3571" spans="14:14" x14ac:dyDescent="0.2">
      <c r="N3571" s="1653"/>
    </row>
    <row r="3572" spans="14:14" x14ac:dyDescent="0.2">
      <c r="N3572" s="1653"/>
    </row>
    <row r="3573" spans="14:14" x14ac:dyDescent="0.2">
      <c r="N3573" s="1653"/>
    </row>
    <row r="3574" spans="14:14" x14ac:dyDescent="0.2">
      <c r="N3574" s="1653"/>
    </row>
    <row r="3575" spans="14:14" x14ac:dyDescent="0.2">
      <c r="N3575" s="1653"/>
    </row>
    <row r="3576" spans="14:14" x14ac:dyDescent="0.2">
      <c r="N3576" s="1653"/>
    </row>
    <row r="3577" spans="14:14" x14ac:dyDescent="0.2">
      <c r="N3577" s="1653"/>
    </row>
    <row r="3578" spans="14:14" x14ac:dyDescent="0.2">
      <c r="N3578" s="1653"/>
    </row>
    <row r="3579" spans="14:14" x14ac:dyDescent="0.2">
      <c r="N3579" s="1653"/>
    </row>
    <row r="3580" spans="14:14" x14ac:dyDescent="0.2">
      <c r="N3580" s="1653"/>
    </row>
    <row r="3581" spans="14:14" x14ac:dyDescent="0.2">
      <c r="N3581" s="1653"/>
    </row>
    <row r="3582" spans="14:14" x14ac:dyDescent="0.2">
      <c r="N3582" s="1653"/>
    </row>
    <row r="3583" spans="14:14" x14ac:dyDescent="0.2">
      <c r="N3583" s="1653"/>
    </row>
    <row r="3584" spans="14:14" x14ac:dyDescent="0.2">
      <c r="N3584" s="1653"/>
    </row>
    <row r="3585" spans="14:14" x14ac:dyDescent="0.2">
      <c r="N3585" s="1653"/>
    </row>
    <row r="3586" spans="14:14" x14ac:dyDescent="0.2">
      <c r="N3586" s="1653"/>
    </row>
    <row r="3587" spans="14:14" x14ac:dyDescent="0.2">
      <c r="N3587" s="1653"/>
    </row>
    <row r="3588" spans="14:14" x14ac:dyDescent="0.2">
      <c r="N3588" s="1653"/>
    </row>
    <row r="3589" spans="14:14" x14ac:dyDescent="0.2">
      <c r="N3589" s="1653"/>
    </row>
    <row r="3590" spans="14:14" x14ac:dyDescent="0.2">
      <c r="N3590" s="1653"/>
    </row>
    <row r="3591" spans="14:14" x14ac:dyDescent="0.2">
      <c r="N3591" s="1653"/>
    </row>
    <row r="3592" spans="14:14" x14ac:dyDescent="0.2">
      <c r="N3592" s="1653"/>
    </row>
    <row r="3593" spans="14:14" x14ac:dyDescent="0.2">
      <c r="N3593" s="1653"/>
    </row>
  </sheetData>
  <sortState xmlns:xlrd2="http://schemas.microsoft.com/office/spreadsheetml/2017/richdata2" ref="B1270:I1274">
    <sortCondition ref="H1270:H1274"/>
    <sortCondition ref="I1270:I1274"/>
  </sortState>
  <phoneticPr fontId="8" type="noConversion"/>
  <hyperlinks>
    <hyperlink ref="C1440" r:id="rId1" tooltip="Wycombe Rye junior parkrun" display="https://wiki.parkrun.com/index.php/Wycombe_Rye_junior_parkrun" xr:uid="{8DB4C56A-BD75-43CE-B014-3DC5A969849A}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32A51-C1CF-4345-A494-CD56F5C4F7F2}">
  <dimension ref="A1:AG1062"/>
  <sheetViews>
    <sheetView topLeftCell="A953" workbookViewId="0">
      <selection activeCell="M847" sqref="M847"/>
    </sheetView>
  </sheetViews>
  <sheetFormatPr defaultRowHeight="12.75" x14ac:dyDescent="0.2"/>
  <cols>
    <col min="1" max="1" width="11.140625" bestFit="1" customWidth="1"/>
    <col min="2" max="2" width="5.85546875" style="9" customWidth="1"/>
    <col min="3" max="3" width="9.5703125" customWidth="1"/>
    <col min="4" max="4" width="2.85546875" customWidth="1"/>
    <col min="5" max="5" width="9.5703125" customWidth="1"/>
    <col min="6" max="6" width="3.42578125" customWidth="1"/>
    <col min="7" max="7" width="9.5703125" customWidth="1"/>
    <col min="8" max="8" width="3" customWidth="1"/>
    <col min="9" max="9" width="9.5703125" customWidth="1"/>
    <col min="10" max="10" width="2.85546875" customWidth="1"/>
    <col min="11" max="11" width="9.5703125" customWidth="1"/>
    <col min="12" max="12" width="3.42578125" customWidth="1"/>
    <col min="13" max="13" width="9.5703125" customWidth="1"/>
    <col min="14" max="14" width="3.42578125" customWidth="1"/>
    <col min="15" max="15" width="9.5703125" customWidth="1"/>
    <col min="16" max="16" width="3.28515625" customWidth="1"/>
    <col min="17" max="17" width="9.5703125" customWidth="1"/>
    <col min="18" max="18" width="3.140625" customWidth="1"/>
    <col min="19" max="19" width="9.5703125" customWidth="1"/>
    <col min="20" max="20" width="3.28515625" customWidth="1"/>
    <col min="21" max="21" width="9.5703125" customWidth="1"/>
    <col min="22" max="22" width="3.42578125" customWidth="1"/>
    <col min="23" max="23" width="9.5703125" customWidth="1"/>
    <col min="24" max="24" width="3.140625" customWidth="1"/>
    <col min="25" max="25" width="9.7109375" customWidth="1"/>
    <col min="26" max="26" width="3.140625" style="9" customWidth="1"/>
    <col min="27" max="27" width="11.7109375" customWidth="1"/>
    <col min="28" max="28" width="18.85546875" customWidth="1"/>
    <col min="31" max="31" width="14.140625" bestFit="1" customWidth="1"/>
    <col min="32" max="32" width="15.85546875" bestFit="1" customWidth="1"/>
  </cols>
  <sheetData>
    <row r="1" spans="1:31" x14ac:dyDescent="0.2">
      <c r="C1" s="45"/>
      <c r="D1" s="45"/>
      <c r="E1" s="45" t="s">
        <v>11133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905"/>
      <c r="Z1" s="1906"/>
    </row>
    <row r="2" spans="1:31" x14ac:dyDescent="0.2">
      <c r="A2" s="80" t="s">
        <v>11138</v>
      </c>
      <c r="B2" s="173"/>
      <c r="C2" s="1200">
        <v>2009</v>
      </c>
      <c r="D2" s="356"/>
      <c r="E2" s="1201">
        <v>2010</v>
      </c>
      <c r="F2" s="356"/>
      <c r="G2" s="1202">
        <v>2011</v>
      </c>
      <c r="H2" s="45"/>
      <c r="I2" s="1203">
        <v>2012</v>
      </c>
      <c r="J2" s="45"/>
      <c r="K2" s="1204">
        <v>2013</v>
      </c>
      <c r="L2" s="45"/>
      <c r="M2" s="1205">
        <v>2014</v>
      </c>
      <c r="N2" s="45"/>
      <c r="O2" s="1206">
        <v>2015</v>
      </c>
      <c r="P2" s="45"/>
      <c r="Q2" s="1207">
        <v>2016</v>
      </c>
      <c r="R2" s="45"/>
      <c r="S2" s="1208">
        <v>2017</v>
      </c>
      <c r="T2" s="45"/>
      <c r="U2" s="1209">
        <v>2018</v>
      </c>
      <c r="V2" s="45"/>
      <c r="W2" s="606">
        <v>2019</v>
      </c>
      <c r="X2" s="45"/>
      <c r="Y2" s="1913">
        <v>2020</v>
      </c>
      <c r="Z2" s="1906"/>
      <c r="AA2">
        <v>2020</v>
      </c>
    </row>
    <row r="3" spans="1:31" x14ac:dyDescent="0.2">
      <c r="A3" s="1174">
        <v>40909</v>
      </c>
      <c r="B3" s="173"/>
      <c r="C3" s="1210"/>
      <c r="D3" s="45"/>
      <c r="E3" s="1211"/>
      <c r="F3" s="45"/>
      <c r="G3" s="1202"/>
      <c r="H3" s="45"/>
      <c r="I3" s="1203"/>
      <c r="J3" s="45"/>
      <c r="K3" s="1204" t="s">
        <v>11135</v>
      </c>
      <c r="L3" s="45">
        <v>1</v>
      </c>
      <c r="M3" s="1205" t="s">
        <v>11140</v>
      </c>
      <c r="N3" s="45">
        <v>2</v>
      </c>
      <c r="O3" s="1206"/>
      <c r="P3" s="45"/>
      <c r="Q3" s="1207" t="s">
        <v>129</v>
      </c>
      <c r="R3" s="45">
        <v>1</v>
      </c>
      <c r="S3" s="1208" t="s">
        <v>5484</v>
      </c>
      <c r="T3" s="45">
        <v>1</v>
      </c>
      <c r="U3" s="1209" t="s">
        <v>5453</v>
      </c>
      <c r="V3" s="45">
        <v>1</v>
      </c>
      <c r="W3" s="606" t="s">
        <v>11537</v>
      </c>
      <c r="X3" s="45">
        <v>2</v>
      </c>
      <c r="Y3" s="1914"/>
      <c r="Z3" s="1906"/>
      <c r="AA3" s="1163">
        <v>43831</v>
      </c>
      <c r="AB3" s="21">
        <v>44562</v>
      </c>
    </row>
    <row r="4" spans="1:31" x14ac:dyDescent="0.2">
      <c r="A4" s="1166">
        <f>A3+1</f>
        <v>40910</v>
      </c>
      <c r="C4" s="1210"/>
      <c r="D4" s="45"/>
      <c r="E4" s="1211"/>
      <c r="F4" s="45"/>
      <c r="G4" s="1202"/>
      <c r="H4" s="45"/>
      <c r="I4" s="1203"/>
      <c r="J4" s="45"/>
      <c r="K4" s="1204"/>
      <c r="L4" s="45"/>
      <c r="M4" s="1205"/>
      <c r="N4" s="45"/>
      <c r="O4" s="1206"/>
      <c r="P4" s="45"/>
      <c r="Q4" s="1207" t="s">
        <v>5544</v>
      </c>
      <c r="R4" s="45">
        <v>1</v>
      </c>
      <c r="S4" s="1208"/>
      <c r="T4" s="45"/>
      <c r="U4" s="1209"/>
      <c r="V4" s="45"/>
      <c r="W4" s="606"/>
      <c r="X4" s="45"/>
      <c r="Y4" s="1914"/>
      <c r="Z4" s="1906"/>
      <c r="AA4" s="1163">
        <f>AA3+1</f>
        <v>43832</v>
      </c>
    </row>
    <row r="5" spans="1:31" x14ac:dyDescent="0.2">
      <c r="A5" s="1167">
        <f t="shared" ref="A5:A68" si="0">A4+1</f>
        <v>40911</v>
      </c>
      <c r="C5" s="1210"/>
      <c r="D5" s="45"/>
      <c r="E5" s="1211"/>
      <c r="F5" s="45"/>
      <c r="G5" s="1202"/>
      <c r="H5" s="45"/>
      <c r="I5" s="1203"/>
      <c r="J5" s="45"/>
      <c r="K5" s="1204"/>
      <c r="L5" s="45"/>
      <c r="M5" s="1205"/>
      <c r="N5" s="45"/>
      <c r="O5" s="1206" t="s">
        <v>5544</v>
      </c>
      <c r="P5" s="45">
        <v>1</v>
      </c>
      <c r="Q5" s="1207"/>
      <c r="R5" s="45"/>
      <c r="S5" s="1208"/>
      <c r="T5" s="45"/>
      <c r="U5" s="1209"/>
      <c r="V5" s="45"/>
      <c r="W5" s="606"/>
      <c r="X5" s="45"/>
      <c r="Y5" s="1914"/>
      <c r="Z5" s="1906"/>
      <c r="AA5" s="1163">
        <f t="shared" ref="AA5:AA61" si="1">AA4+1</f>
        <v>43833</v>
      </c>
    </row>
    <row r="6" spans="1:31" x14ac:dyDescent="0.2">
      <c r="A6" s="1168">
        <f t="shared" si="0"/>
        <v>40912</v>
      </c>
      <c r="C6" s="1210"/>
      <c r="D6" s="45"/>
      <c r="E6" s="1211"/>
      <c r="F6" s="45"/>
      <c r="G6" s="1202"/>
      <c r="H6" s="45"/>
      <c r="I6" s="1203"/>
      <c r="J6" s="45"/>
      <c r="K6" s="1204"/>
      <c r="L6" s="45"/>
      <c r="M6" s="1205" t="s">
        <v>5544</v>
      </c>
      <c r="N6" s="45">
        <v>1</v>
      </c>
      <c r="O6" s="1206"/>
      <c r="P6" s="45"/>
      <c r="Q6" s="1207"/>
      <c r="R6" s="45"/>
      <c r="S6" s="1208"/>
      <c r="T6" s="45"/>
      <c r="U6" s="1198"/>
      <c r="V6" s="45"/>
      <c r="W6" s="606"/>
      <c r="X6" s="45"/>
      <c r="Y6" s="1925" t="s">
        <v>16818</v>
      </c>
      <c r="Z6" s="1906"/>
      <c r="AA6" s="1163">
        <f t="shared" si="1"/>
        <v>43834</v>
      </c>
    </row>
    <row r="7" spans="1:31" x14ac:dyDescent="0.2">
      <c r="A7" s="11">
        <f t="shared" si="0"/>
        <v>40913</v>
      </c>
      <c r="B7" s="9">
        <v>2030</v>
      </c>
      <c r="C7" s="1210"/>
      <c r="D7" s="45"/>
      <c r="E7" s="1211"/>
      <c r="F7" s="45"/>
      <c r="G7" s="1202"/>
      <c r="H7" s="45"/>
      <c r="I7" s="1203"/>
      <c r="J7" s="45"/>
      <c r="K7" s="1212"/>
      <c r="L7" s="45"/>
      <c r="M7" s="1205"/>
      <c r="N7" s="45"/>
      <c r="O7" s="1206"/>
      <c r="P7" s="45"/>
      <c r="Q7" s="1207"/>
      <c r="R7" s="45"/>
      <c r="S7" s="1208"/>
      <c r="T7" s="45"/>
      <c r="U7" s="1198" t="s">
        <v>11227</v>
      </c>
      <c r="V7" s="45"/>
      <c r="W7" s="1198"/>
      <c r="X7" s="45"/>
      <c r="Y7" s="1914"/>
      <c r="Z7" s="1906"/>
      <c r="AA7" s="1163">
        <f t="shared" si="1"/>
        <v>43835</v>
      </c>
      <c r="AB7" s="21">
        <v>47488</v>
      </c>
    </row>
    <row r="8" spans="1:31" x14ac:dyDescent="0.2">
      <c r="A8" s="11">
        <f t="shared" si="0"/>
        <v>40914</v>
      </c>
      <c r="B8" s="9">
        <v>2024</v>
      </c>
      <c r="C8" s="1210"/>
      <c r="D8" s="45"/>
      <c r="E8" s="1211"/>
      <c r="F8" s="45"/>
      <c r="G8" s="1202"/>
      <c r="H8" s="45"/>
      <c r="I8" s="1203"/>
      <c r="J8" s="45"/>
      <c r="K8" s="1204"/>
      <c r="L8" s="45"/>
      <c r="M8" s="1205"/>
      <c r="N8" s="45"/>
      <c r="O8" s="1206"/>
      <c r="P8" s="45"/>
      <c r="Q8" s="1207"/>
      <c r="R8" s="45"/>
      <c r="S8" s="1208"/>
      <c r="T8" s="45"/>
      <c r="U8" s="1213" t="s">
        <v>11200</v>
      </c>
      <c r="V8" s="111"/>
      <c r="W8" s="1198"/>
      <c r="X8" s="45"/>
      <c r="Y8" s="1914"/>
      <c r="Z8" s="1906"/>
      <c r="AA8" s="1163">
        <f t="shared" si="1"/>
        <v>43836</v>
      </c>
      <c r="AB8" s="21">
        <v>45297</v>
      </c>
    </row>
    <row r="9" spans="1:31" x14ac:dyDescent="0.2">
      <c r="A9" s="1165">
        <f t="shared" si="0"/>
        <v>40915</v>
      </c>
      <c r="C9" s="1210"/>
      <c r="D9" s="45"/>
      <c r="E9" s="1211"/>
      <c r="F9" s="45"/>
      <c r="G9" s="1202"/>
      <c r="H9" s="45"/>
      <c r="I9" s="1203" t="s">
        <v>5544</v>
      </c>
      <c r="J9" s="45">
        <v>1</v>
      </c>
      <c r="K9" s="1204"/>
      <c r="L9" s="45"/>
      <c r="M9" s="1205"/>
      <c r="N9" s="45"/>
      <c r="O9" s="1206"/>
      <c r="P9" s="45"/>
      <c r="Q9" s="1207"/>
      <c r="R9" s="45"/>
      <c r="S9" s="1208" t="s">
        <v>5544</v>
      </c>
      <c r="T9" s="45">
        <v>1</v>
      </c>
      <c r="U9" s="1213" t="s">
        <v>11201</v>
      </c>
      <c r="V9" s="111"/>
      <c r="W9" s="1213" t="s">
        <v>11675</v>
      </c>
      <c r="X9" s="45"/>
      <c r="Y9" s="1914"/>
      <c r="Z9" s="1906"/>
      <c r="AA9" s="1163">
        <f t="shared" si="1"/>
        <v>43837</v>
      </c>
      <c r="AB9" s="21"/>
    </row>
    <row r="10" spans="1:31" x14ac:dyDescent="0.2">
      <c r="A10" s="11">
        <f t="shared" si="0"/>
        <v>40916</v>
      </c>
      <c r="B10" s="9">
        <v>2022</v>
      </c>
      <c r="C10" s="1210"/>
      <c r="D10" s="45"/>
      <c r="E10" s="1211"/>
      <c r="F10" s="45"/>
      <c r="G10" s="1202"/>
      <c r="H10" s="45"/>
      <c r="I10" s="1203"/>
      <c r="J10" s="45"/>
      <c r="K10" s="1204"/>
      <c r="L10" s="45"/>
      <c r="M10" s="1205"/>
      <c r="N10" s="45"/>
      <c r="O10" s="1206"/>
      <c r="P10" s="45"/>
      <c r="Q10" s="1207"/>
      <c r="R10" s="45"/>
      <c r="S10" s="1208"/>
      <c r="T10" s="45"/>
      <c r="U10" s="1213" t="s">
        <v>11202</v>
      </c>
      <c r="V10" s="111"/>
      <c r="W10" s="1213"/>
      <c r="X10" s="45"/>
      <c r="Y10" s="1914"/>
      <c r="Z10" s="1906"/>
      <c r="AA10" s="1163">
        <f t="shared" si="1"/>
        <v>43838</v>
      </c>
      <c r="AB10" s="21">
        <v>44569</v>
      </c>
    </row>
    <row r="11" spans="1:31" x14ac:dyDescent="0.2">
      <c r="A11" s="1166">
        <f t="shared" si="0"/>
        <v>40917</v>
      </c>
      <c r="C11" s="1210"/>
      <c r="D11" s="45"/>
      <c r="E11" s="1211"/>
      <c r="F11" s="45"/>
      <c r="G11" s="1202"/>
      <c r="H11" s="45"/>
      <c r="I11" s="1203"/>
      <c r="J11" s="45"/>
      <c r="K11" s="1204"/>
      <c r="L11" s="45"/>
      <c r="M11" s="1198" t="s">
        <v>11207</v>
      </c>
      <c r="N11" s="45"/>
      <c r="O11" s="1206"/>
      <c r="P11" s="45"/>
      <c r="Q11" s="1207" t="s">
        <v>5095</v>
      </c>
      <c r="R11" s="45">
        <v>1</v>
      </c>
      <c r="S11" s="1208"/>
      <c r="T11" s="45"/>
      <c r="U11" s="1213" t="s">
        <v>11203</v>
      </c>
      <c r="V11" s="111"/>
      <c r="W11" s="1213" t="s">
        <v>11676</v>
      </c>
      <c r="X11" s="45"/>
      <c r="Y11" s="1914"/>
      <c r="Z11" s="1906"/>
      <c r="AA11" s="1163">
        <f t="shared" si="1"/>
        <v>43839</v>
      </c>
      <c r="AB11" s="21"/>
    </row>
    <row r="12" spans="1:31" x14ac:dyDescent="0.2">
      <c r="A12" s="1167">
        <f t="shared" si="0"/>
        <v>40918</v>
      </c>
      <c r="B12" s="9">
        <v>2026</v>
      </c>
      <c r="C12" s="1210"/>
      <c r="D12" s="45"/>
      <c r="E12" s="1211"/>
      <c r="F12" s="45"/>
      <c r="G12" s="1202"/>
      <c r="H12" s="45"/>
      <c r="I12" s="1203"/>
      <c r="J12" s="45"/>
      <c r="K12" s="1204"/>
      <c r="L12" s="45"/>
      <c r="M12" s="1198" t="s">
        <v>11202</v>
      </c>
      <c r="N12" s="45"/>
      <c r="O12" s="1206" t="s">
        <v>11198</v>
      </c>
      <c r="P12" s="45"/>
      <c r="Q12" s="1207"/>
      <c r="R12" s="45"/>
      <c r="S12" s="1208"/>
      <c r="T12" s="45"/>
      <c r="U12" s="1213" t="s">
        <v>11204</v>
      </c>
      <c r="V12" s="111"/>
      <c r="W12" s="1213" t="s">
        <v>11200</v>
      </c>
      <c r="X12" s="45"/>
      <c r="Y12" s="1914"/>
      <c r="Z12" s="1906"/>
      <c r="AA12" s="1163">
        <f t="shared" si="1"/>
        <v>43840</v>
      </c>
      <c r="AB12" s="21">
        <v>46032</v>
      </c>
    </row>
    <row r="13" spans="1:31" x14ac:dyDescent="0.2">
      <c r="A13" s="11">
        <f t="shared" si="0"/>
        <v>40919</v>
      </c>
      <c r="B13" s="9">
        <v>2025</v>
      </c>
      <c r="C13" s="1210"/>
      <c r="D13" s="45"/>
      <c r="E13" s="1211"/>
      <c r="F13" s="45"/>
      <c r="G13" s="1202"/>
      <c r="H13" s="45"/>
      <c r="I13" s="1203"/>
      <c r="J13" s="45"/>
      <c r="K13" s="1204"/>
      <c r="L13" s="45"/>
      <c r="M13" s="1198" t="s">
        <v>11204</v>
      </c>
      <c r="N13" s="45"/>
      <c r="O13" s="1206"/>
      <c r="P13" s="45"/>
      <c r="Q13" s="1207"/>
      <c r="R13" s="45"/>
      <c r="S13" s="1208"/>
      <c r="T13" s="45"/>
      <c r="U13" s="1213" t="s">
        <v>11203</v>
      </c>
      <c r="V13" s="111"/>
      <c r="W13" s="1213" t="s">
        <v>11201</v>
      </c>
      <c r="X13" s="45"/>
      <c r="Y13" s="1915" t="s">
        <v>16805</v>
      </c>
      <c r="Z13" s="1927"/>
      <c r="AA13" s="1928">
        <f t="shared" si="1"/>
        <v>43841</v>
      </c>
      <c r="AB13" s="21">
        <v>45668</v>
      </c>
    </row>
    <row r="14" spans="1:31" x14ac:dyDescent="0.2">
      <c r="A14" s="11">
        <f t="shared" si="0"/>
        <v>40920</v>
      </c>
      <c r="B14" s="9">
        <v>2030</v>
      </c>
      <c r="C14" s="1210"/>
      <c r="D14" s="45"/>
      <c r="E14" s="1211"/>
      <c r="F14" s="45"/>
      <c r="G14" s="1202"/>
      <c r="H14" s="45"/>
      <c r="I14" s="1203"/>
      <c r="J14" s="45"/>
      <c r="K14" s="1212"/>
      <c r="L14" s="45"/>
      <c r="M14" s="1198" t="s">
        <v>11208</v>
      </c>
      <c r="N14" s="45"/>
      <c r="O14" s="1206"/>
      <c r="P14" s="45"/>
      <c r="Q14" s="1207"/>
      <c r="R14" s="45"/>
      <c r="S14" s="1208"/>
      <c r="T14" s="45"/>
      <c r="U14" s="1213" t="s">
        <v>11205</v>
      </c>
      <c r="V14" s="111"/>
      <c r="W14" s="1213" t="s">
        <v>11202</v>
      </c>
      <c r="X14" s="45"/>
      <c r="Y14" s="1915" t="s">
        <v>16819</v>
      </c>
      <c r="Z14" s="1906"/>
      <c r="AA14" s="1163">
        <f t="shared" si="1"/>
        <v>43842</v>
      </c>
      <c r="AB14" s="21">
        <v>47495</v>
      </c>
    </row>
    <row r="15" spans="1:31" x14ac:dyDescent="0.2">
      <c r="A15" s="11">
        <f t="shared" si="0"/>
        <v>40921</v>
      </c>
      <c r="B15" s="9">
        <v>2024</v>
      </c>
      <c r="C15" s="1210"/>
      <c r="D15" s="45"/>
      <c r="E15" s="1211"/>
      <c r="F15" s="45"/>
      <c r="G15" s="1202"/>
      <c r="H15" s="45"/>
      <c r="I15" s="1203"/>
      <c r="J15" s="45"/>
      <c r="K15" s="1204"/>
      <c r="L15" s="45"/>
      <c r="M15" s="1198" t="s">
        <v>11201</v>
      </c>
      <c r="N15" s="45"/>
      <c r="O15" s="1206"/>
      <c r="P15" s="45"/>
      <c r="Q15" s="1207"/>
      <c r="R15" s="45"/>
      <c r="S15" s="1208"/>
      <c r="T15" s="45"/>
      <c r="U15" s="1213" t="s">
        <v>11206</v>
      </c>
      <c r="V15" s="111"/>
      <c r="W15" s="1213" t="s">
        <v>11203</v>
      </c>
      <c r="X15" s="45"/>
      <c r="Y15" s="1915" t="s">
        <v>16820</v>
      </c>
      <c r="Z15" s="1906"/>
      <c r="AA15" s="1163">
        <f t="shared" si="1"/>
        <v>43843</v>
      </c>
      <c r="AB15" s="21">
        <v>45304</v>
      </c>
      <c r="AE15" s="146"/>
    </row>
    <row r="16" spans="1:31" x14ac:dyDescent="0.2">
      <c r="A16" s="1165">
        <f t="shared" si="0"/>
        <v>40922</v>
      </c>
      <c r="C16" s="1210"/>
      <c r="D16" s="45"/>
      <c r="E16" s="1211"/>
      <c r="F16" s="45"/>
      <c r="G16" s="1202"/>
      <c r="H16" s="45"/>
      <c r="I16" s="1203" t="s">
        <v>5544</v>
      </c>
      <c r="J16" s="45">
        <v>1</v>
      </c>
      <c r="K16" s="1204"/>
      <c r="L16" s="45"/>
      <c r="M16" s="1198" t="s">
        <v>11207</v>
      </c>
      <c r="N16" s="45"/>
      <c r="O16" s="1206"/>
      <c r="P16" s="45"/>
      <c r="Q16" s="1207"/>
      <c r="R16" s="45"/>
      <c r="S16" s="1208" t="s">
        <v>5544</v>
      </c>
      <c r="T16" s="45">
        <v>1</v>
      </c>
      <c r="U16" s="1198" t="s">
        <v>11227</v>
      </c>
      <c r="V16" s="45"/>
      <c r="W16" s="1213" t="s">
        <v>11204</v>
      </c>
      <c r="X16" s="45"/>
      <c r="Y16" s="1915" t="s">
        <v>16821</v>
      </c>
      <c r="Z16" s="1906"/>
      <c r="AA16" s="1163">
        <f t="shared" si="1"/>
        <v>43844</v>
      </c>
      <c r="AB16" s="21"/>
      <c r="AE16" s="146"/>
    </row>
    <row r="17" spans="1:31" x14ac:dyDescent="0.2">
      <c r="A17" s="1169">
        <f t="shared" si="0"/>
        <v>40923</v>
      </c>
      <c r="C17" s="1210"/>
      <c r="D17" s="45"/>
      <c r="E17" s="1211"/>
      <c r="F17" s="45"/>
      <c r="G17" s="1202" t="s">
        <v>8244</v>
      </c>
      <c r="H17" s="45">
        <v>1</v>
      </c>
      <c r="I17" s="1203"/>
      <c r="J17" s="45"/>
      <c r="K17" s="1204"/>
      <c r="L17" s="45"/>
      <c r="M17" s="1198" t="s">
        <v>11209</v>
      </c>
      <c r="N17" s="45"/>
      <c r="O17" s="1206"/>
      <c r="P17" s="45"/>
      <c r="Q17" s="1207"/>
      <c r="R17" s="45"/>
      <c r="S17" s="1208"/>
      <c r="T17" s="45"/>
      <c r="U17" s="1198"/>
      <c r="V17" s="45"/>
      <c r="W17" s="1213" t="s">
        <v>11203</v>
      </c>
      <c r="X17" s="45"/>
      <c r="Y17" s="1915" t="s">
        <v>16822</v>
      </c>
      <c r="Z17" s="1906"/>
      <c r="AA17" s="1163">
        <f t="shared" si="1"/>
        <v>43845</v>
      </c>
      <c r="AB17" s="21"/>
      <c r="AE17" s="146"/>
    </row>
    <row r="18" spans="1:31" x14ac:dyDescent="0.2">
      <c r="A18" s="1166">
        <f t="shared" si="0"/>
        <v>40924</v>
      </c>
      <c r="C18" s="1210"/>
      <c r="D18" s="45"/>
      <c r="E18" s="1211"/>
      <c r="F18" s="45"/>
      <c r="G18" s="1202"/>
      <c r="H18" s="45"/>
      <c r="I18" s="1203"/>
      <c r="J18" s="45"/>
      <c r="K18" s="1204"/>
      <c r="L18" s="45"/>
      <c r="M18" s="1198" t="s">
        <v>11203</v>
      </c>
      <c r="N18" s="45"/>
      <c r="O18" s="1206"/>
      <c r="P18" s="45"/>
      <c r="Q18" s="1207" t="s">
        <v>5544</v>
      </c>
      <c r="R18" s="45">
        <v>1</v>
      </c>
      <c r="S18" s="1208"/>
      <c r="T18" s="45"/>
      <c r="U18" s="1198"/>
      <c r="V18" s="45"/>
      <c r="W18" s="1213" t="s">
        <v>11205</v>
      </c>
      <c r="X18" s="45"/>
      <c r="Y18" s="1915" t="s">
        <v>16825</v>
      </c>
      <c r="Z18" s="1906"/>
      <c r="AA18" s="1163">
        <f t="shared" si="1"/>
        <v>43846</v>
      </c>
      <c r="AB18" s="21"/>
      <c r="AE18" s="146"/>
    </row>
    <row r="19" spans="1:31" x14ac:dyDescent="0.2">
      <c r="A19" s="1167">
        <f t="shared" si="0"/>
        <v>40925</v>
      </c>
      <c r="C19" s="1210"/>
      <c r="D19" s="45"/>
      <c r="E19" s="1211"/>
      <c r="F19" s="45"/>
      <c r="G19" s="1202"/>
      <c r="H19" s="45"/>
      <c r="I19" s="1203"/>
      <c r="J19" s="45"/>
      <c r="K19" s="1204"/>
      <c r="L19" s="45"/>
      <c r="M19" s="1198" t="s">
        <v>11207</v>
      </c>
      <c r="N19" s="45"/>
      <c r="O19" s="1206" t="s">
        <v>5544</v>
      </c>
      <c r="P19" s="45">
        <v>1</v>
      </c>
      <c r="Q19" s="1207"/>
      <c r="R19" s="45"/>
      <c r="S19" s="1208"/>
      <c r="T19" s="45"/>
      <c r="U19" s="1209"/>
      <c r="V19" s="45"/>
      <c r="W19" s="1213" t="s">
        <v>11206</v>
      </c>
      <c r="X19" s="45"/>
      <c r="Y19" s="1915" t="s">
        <v>16822</v>
      </c>
      <c r="Z19" s="1906"/>
      <c r="AA19" s="1163">
        <f t="shared" si="1"/>
        <v>43847</v>
      </c>
      <c r="AB19" s="21"/>
      <c r="AE19" s="146"/>
    </row>
    <row r="20" spans="1:31" x14ac:dyDescent="0.2">
      <c r="A20" s="1168">
        <f t="shared" si="0"/>
        <v>40926</v>
      </c>
      <c r="C20" s="1210"/>
      <c r="D20" s="45"/>
      <c r="E20" s="1211"/>
      <c r="F20" s="45"/>
      <c r="G20" s="1202"/>
      <c r="H20" s="45"/>
      <c r="I20" s="1203"/>
      <c r="J20" s="45"/>
      <c r="K20" s="1204"/>
      <c r="L20" s="45"/>
      <c r="M20" s="1198" t="s">
        <v>706</v>
      </c>
      <c r="N20" s="45">
        <v>1</v>
      </c>
      <c r="O20" s="1206"/>
      <c r="P20" s="45"/>
      <c r="Q20" s="1207"/>
      <c r="R20" s="45"/>
      <c r="S20" s="1208"/>
      <c r="T20" s="45"/>
      <c r="U20" s="1209"/>
      <c r="V20" s="45"/>
      <c r="W20" s="1213" t="s">
        <v>11677</v>
      </c>
      <c r="X20" s="45"/>
      <c r="Y20" s="1915" t="s">
        <v>16823</v>
      </c>
      <c r="Z20" s="1906"/>
      <c r="AA20" s="1163">
        <f t="shared" si="1"/>
        <v>43848</v>
      </c>
      <c r="AB20" s="21"/>
      <c r="AC20" s="80" t="s">
        <v>16826</v>
      </c>
      <c r="AE20" s="146"/>
    </row>
    <row r="21" spans="1:31" x14ac:dyDescent="0.2">
      <c r="A21" s="1173">
        <f t="shared" si="0"/>
        <v>40927</v>
      </c>
      <c r="C21" s="1210"/>
      <c r="D21" s="45"/>
      <c r="E21" s="1211"/>
      <c r="F21" s="45"/>
      <c r="G21" s="1202"/>
      <c r="H21" s="45"/>
      <c r="I21" s="1203"/>
      <c r="J21" s="45"/>
      <c r="K21" s="1204" t="s">
        <v>5544</v>
      </c>
      <c r="L21" s="45">
        <v>1</v>
      </c>
      <c r="M21" s="1198"/>
      <c r="N21" s="45"/>
      <c r="O21" s="1206"/>
      <c r="P21" s="45"/>
      <c r="Q21" s="1207"/>
      <c r="R21" s="45"/>
      <c r="S21" s="1198" t="s">
        <v>11228</v>
      </c>
      <c r="T21" s="45"/>
      <c r="U21" s="1209"/>
      <c r="V21" s="45"/>
      <c r="W21" s="1198"/>
      <c r="X21" s="45"/>
      <c r="Y21" s="1915" t="s">
        <v>16824</v>
      </c>
      <c r="Z21" s="1906"/>
      <c r="AA21" s="1163">
        <f t="shared" si="1"/>
        <v>43849</v>
      </c>
      <c r="AB21" s="21"/>
      <c r="AE21" s="146"/>
    </row>
    <row r="22" spans="1:31" x14ac:dyDescent="0.2">
      <c r="A22" s="1171">
        <f t="shared" si="0"/>
        <v>40928</v>
      </c>
      <c r="C22" s="1210"/>
      <c r="D22" s="45"/>
      <c r="E22" s="1211"/>
      <c r="F22" s="45"/>
      <c r="G22" s="1202"/>
      <c r="H22" s="45"/>
      <c r="I22" s="1203"/>
      <c r="J22" s="45"/>
      <c r="K22" s="1204"/>
      <c r="L22" s="45"/>
      <c r="M22" s="1198"/>
      <c r="N22" s="45"/>
      <c r="O22" s="1206"/>
      <c r="P22" s="45"/>
      <c r="Q22" s="1207"/>
      <c r="R22" s="45"/>
      <c r="S22" s="1198"/>
      <c r="T22" s="45"/>
      <c r="U22" s="1209" t="s">
        <v>11147</v>
      </c>
      <c r="V22" s="45">
        <v>1</v>
      </c>
      <c r="W22" s="606"/>
      <c r="X22" s="45"/>
      <c r="Y22" s="1915" t="s">
        <v>1212</v>
      </c>
      <c r="Z22" s="1906"/>
      <c r="AA22" s="1163">
        <f t="shared" si="1"/>
        <v>43850</v>
      </c>
      <c r="AB22" s="21"/>
      <c r="AE22" s="146"/>
    </row>
    <row r="23" spans="1:31" x14ac:dyDescent="0.2">
      <c r="A23" s="1165">
        <f t="shared" si="0"/>
        <v>40929</v>
      </c>
      <c r="C23" s="1210"/>
      <c r="D23" s="45"/>
      <c r="E23" s="1211"/>
      <c r="F23" s="45"/>
      <c r="G23" s="1202"/>
      <c r="H23" s="45"/>
      <c r="I23" s="1203" t="s">
        <v>5544</v>
      </c>
      <c r="J23" s="45">
        <v>1</v>
      </c>
      <c r="K23" s="1204"/>
      <c r="L23" s="45"/>
      <c r="M23" s="1198"/>
      <c r="N23" s="45"/>
      <c r="O23" s="1206"/>
      <c r="P23" s="45"/>
      <c r="Q23" s="1207"/>
      <c r="R23" s="45"/>
      <c r="S23" s="1198" t="s">
        <v>11200</v>
      </c>
      <c r="T23" s="45"/>
      <c r="U23" s="1209"/>
      <c r="V23" s="45"/>
      <c r="W23" s="606"/>
      <c r="X23" s="45"/>
      <c r="Y23" s="1915" t="s">
        <v>16805</v>
      </c>
      <c r="Z23" s="1906"/>
      <c r="AA23" s="1163">
        <f t="shared" si="1"/>
        <v>43851</v>
      </c>
      <c r="AB23" s="21"/>
      <c r="AE23" s="146"/>
    </row>
    <row r="24" spans="1:31" x14ac:dyDescent="0.2">
      <c r="A24" s="11">
        <f t="shared" si="0"/>
        <v>40930</v>
      </c>
      <c r="B24" s="9">
        <v>2022</v>
      </c>
      <c r="C24" s="1210"/>
      <c r="D24" s="45"/>
      <c r="E24" s="1211"/>
      <c r="F24" s="45"/>
      <c r="G24" s="1202"/>
      <c r="H24" s="45"/>
      <c r="I24" s="1203"/>
      <c r="J24" s="45"/>
      <c r="K24" s="1204"/>
      <c r="L24" s="45"/>
      <c r="M24" s="1198"/>
      <c r="N24" s="45"/>
      <c r="O24" s="1198" t="s">
        <v>2112</v>
      </c>
      <c r="P24" s="45"/>
      <c r="Q24" s="1207"/>
      <c r="R24" s="45"/>
      <c r="S24" s="1198" t="s">
        <v>11201</v>
      </c>
      <c r="T24" s="45"/>
      <c r="U24" s="1209"/>
      <c r="V24" s="45"/>
      <c r="W24" s="606"/>
      <c r="X24" s="45"/>
      <c r="Y24" s="1914"/>
      <c r="Z24" s="1906"/>
      <c r="AA24" s="1163">
        <f t="shared" si="1"/>
        <v>43852</v>
      </c>
      <c r="AB24" s="21">
        <v>44583</v>
      </c>
      <c r="AE24" s="146"/>
    </row>
    <row r="25" spans="1:31" x14ac:dyDescent="0.2">
      <c r="A25" s="1172">
        <f t="shared" si="0"/>
        <v>40931</v>
      </c>
      <c r="C25" s="1210"/>
      <c r="D25" s="45"/>
      <c r="E25" s="1211" t="s">
        <v>1122</v>
      </c>
      <c r="F25" s="45">
        <v>1</v>
      </c>
      <c r="G25" s="1202"/>
      <c r="H25" s="45"/>
      <c r="I25" s="1203"/>
      <c r="J25" s="45"/>
      <c r="K25" s="1204"/>
      <c r="L25" s="45"/>
      <c r="M25" s="1198"/>
      <c r="N25" s="45"/>
      <c r="O25" s="1198" t="s">
        <v>11200</v>
      </c>
      <c r="P25" s="45"/>
      <c r="Q25" s="1207" t="s">
        <v>8244</v>
      </c>
      <c r="R25" s="45">
        <v>1</v>
      </c>
      <c r="S25" s="1198" t="s">
        <v>11202</v>
      </c>
      <c r="T25" s="45"/>
      <c r="U25" s="1209"/>
      <c r="V25" s="45"/>
      <c r="W25" s="606"/>
      <c r="X25" s="45"/>
      <c r="Y25" s="1914"/>
      <c r="Z25" s="1906"/>
      <c r="AA25" s="1163">
        <f t="shared" si="1"/>
        <v>43853</v>
      </c>
      <c r="AB25" s="21"/>
      <c r="AE25" s="146"/>
    </row>
    <row r="26" spans="1:31" x14ac:dyDescent="0.2">
      <c r="A26" s="11">
        <f t="shared" si="0"/>
        <v>40932</v>
      </c>
      <c r="B26" s="9">
        <v>2026</v>
      </c>
      <c r="C26" s="1210"/>
      <c r="D26" s="45"/>
      <c r="E26" s="1211"/>
      <c r="F26" s="45"/>
      <c r="G26" s="1202"/>
      <c r="H26" s="45"/>
      <c r="I26" s="1203"/>
      <c r="J26" s="45"/>
      <c r="K26" s="1204"/>
      <c r="L26" s="45"/>
      <c r="M26" s="1198"/>
      <c r="N26" s="45"/>
      <c r="O26" s="1198" t="s">
        <v>11201</v>
      </c>
      <c r="P26" s="45"/>
      <c r="Q26" s="1207"/>
      <c r="R26" s="45"/>
      <c r="S26" s="1198" t="s">
        <v>11203</v>
      </c>
      <c r="T26" s="45"/>
      <c r="U26" s="1209"/>
      <c r="V26" s="45"/>
      <c r="W26" s="606"/>
      <c r="X26" s="45"/>
      <c r="Y26" s="1914"/>
      <c r="Z26" s="1906"/>
      <c r="AA26" s="1163">
        <f t="shared" si="1"/>
        <v>43854</v>
      </c>
      <c r="AB26" s="21">
        <v>46046</v>
      </c>
      <c r="AE26" s="146"/>
    </row>
    <row r="27" spans="1:31" x14ac:dyDescent="0.2">
      <c r="A27" s="1902">
        <f t="shared" si="0"/>
        <v>40933</v>
      </c>
      <c r="B27" s="1236"/>
      <c r="C27" s="1210"/>
      <c r="D27" s="45"/>
      <c r="E27" s="1211"/>
      <c r="F27" s="45"/>
      <c r="G27" s="1202"/>
      <c r="H27" s="45"/>
      <c r="I27" s="1203"/>
      <c r="J27" s="45"/>
      <c r="K27" s="1204"/>
      <c r="L27" s="45"/>
      <c r="M27" s="1198" t="s">
        <v>11230</v>
      </c>
      <c r="N27" s="45"/>
      <c r="O27" s="1198" t="s">
        <v>11202</v>
      </c>
      <c r="P27" s="45"/>
      <c r="Q27" s="1198"/>
      <c r="R27" s="45"/>
      <c r="S27" s="1198" t="s">
        <v>11204</v>
      </c>
      <c r="T27" s="45"/>
      <c r="U27" s="1209"/>
      <c r="V27" s="45"/>
      <c r="W27" s="606"/>
      <c r="X27" s="45"/>
      <c r="Y27" s="1919" t="s">
        <v>5544</v>
      </c>
      <c r="Z27" s="1921">
        <v>1</v>
      </c>
      <c r="AA27" s="1186">
        <f t="shared" si="1"/>
        <v>43855</v>
      </c>
      <c r="AB27" s="21"/>
      <c r="AE27" s="146"/>
    </row>
    <row r="28" spans="1:31" x14ac:dyDescent="0.2">
      <c r="A28" s="1291">
        <f t="shared" si="0"/>
        <v>40934</v>
      </c>
      <c r="C28" s="1210"/>
      <c r="D28" s="45"/>
      <c r="E28" s="1211"/>
      <c r="F28" s="45"/>
      <c r="G28" s="1202"/>
      <c r="H28" s="45"/>
      <c r="I28" s="1203"/>
      <c r="J28" s="45"/>
      <c r="K28" s="1204" t="s">
        <v>5544</v>
      </c>
      <c r="L28" s="45">
        <v>1</v>
      </c>
      <c r="M28" s="1198"/>
      <c r="N28" s="45"/>
      <c r="O28" s="1198" t="s">
        <v>11203</v>
      </c>
      <c r="P28" s="45"/>
      <c r="Q28" s="1198"/>
      <c r="R28" s="45"/>
      <c r="S28" s="1198" t="s">
        <v>10939</v>
      </c>
      <c r="T28" s="45"/>
      <c r="U28" s="1209"/>
      <c r="V28" s="45"/>
      <c r="W28" s="606" t="s">
        <v>11148</v>
      </c>
      <c r="X28" s="45">
        <v>1</v>
      </c>
      <c r="Y28" s="1919"/>
      <c r="Z28" s="1906"/>
      <c r="AA28" s="1163">
        <f t="shared" si="1"/>
        <v>43856</v>
      </c>
      <c r="AB28" s="21"/>
      <c r="AE28" s="146"/>
    </row>
    <row r="29" spans="1:31" x14ac:dyDescent="0.2">
      <c r="A29" s="1175">
        <f t="shared" si="0"/>
        <v>40935</v>
      </c>
      <c r="C29" s="1210"/>
      <c r="D29" s="45"/>
      <c r="E29" s="1211"/>
      <c r="F29" s="45"/>
      <c r="G29" s="1202"/>
      <c r="H29" s="45"/>
      <c r="I29" s="1203"/>
      <c r="J29" s="45"/>
      <c r="K29" s="1204"/>
      <c r="L29" s="45"/>
      <c r="M29" s="1205"/>
      <c r="N29" s="45"/>
      <c r="O29" s="1198" t="s">
        <v>11204</v>
      </c>
      <c r="P29" s="45"/>
      <c r="Q29" s="1198"/>
      <c r="R29" s="45"/>
      <c r="S29" s="1198"/>
      <c r="T29" s="45"/>
      <c r="U29" s="1209" t="s">
        <v>5544</v>
      </c>
      <c r="V29" s="45">
        <v>1</v>
      </c>
      <c r="W29" s="606"/>
      <c r="X29" s="45"/>
      <c r="Y29" s="1919"/>
      <c r="Z29" s="1906"/>
      <c r="AA29" s="1163">
        <f t="shared" si="1"/>
        <v>43857</v>
      </c>
      <c r="AB29" s="21"/>
      <c r="AE29" s="146"/>
    </row>
    <row r="30" spans="1:31" x14ac:dyDescent="0.2">
      <c r="A30" s="1165">
        <f t="shared" si="0"/>
        <v>40936</v>
      </c>
      <c r="C30" s="1210"/>
      <c r="D30" s="45"/>
      <c r="E30" s="1211"/>
      <c r="F30" s="45"/>
      <c r="G30" s="1202"/>
      <c r="H30" s="45"/>
      <c r="I30" s="1203" t="s">
        <v>8244</v>
      </c>
      <c r="J30" s="45">
        <v>1</v>
      </c>
      <c r="K30" s="1204"/>
      <c r="L30" s="45"/>
      <c r="M30" s="1205"/>
      <c r="N30" s="45"/>
      <c r="O30" s="1198" t="s">
        <v>11203</v>
      </c>
      <c r="P30" s="45"/>
      <c r="Q30" s="1198" t="s">
        <v>11229</v>
      </c>
      <c r="R30" s="45"/>
      <c r="S30" s="1198"/>
      <c r="T30" s="45"/>
      <c r="U30" s="1209"/>
      <c r="V30" s="45"/>
      <c r="W30" s="606"/>
      <c r="X30" s="45"/>
      <c r="Y30" s="1919"/>
      <c r="Z30" s="1906"/>
      <c r="AA30" s="1163">
        <f t="shared" si="1"/>
        <v>43858</v>
      </c>
      <c r="AB30" s="21"/>
      <c r="AE30" s="146"/>
    </row>
    <row r="31" spans="1:31" x14ac:dyDescent="0.2">
      <c r="A31" s="11">
        <f t="shared" si="0"/>
        <v>40937</v>
      </c>
      <c r="B31" s="99">
        <v>2022</v>
      </c>
      <c r="C31" s="1210"/>
      <c r="D31" s="45"/>
      <c r="E31" s="1211"/>
      <c r="F31" s="45"/>
      <c r="G31" s="1202"/>
      <c r="H31" s="45"/>
      <c r="I31" s="1203"/>
      <c r="J31" s="45"/>
      <c r="K31" s="1204"/>
      <c r="L31" s="45"/>
      <c r="M31" s="1205"/>
      <c r="N31" s="45"/>
      <c r="O31" s="1198" t="s">
        <v>11205</v>
      </c>
      <c r="P31" s="45"/>
      <c r="Q31" s="1198"/>
      <c r="R31" s="45"/>
      <c r="S31" s="1198"/>
      <c r="T31" s="45"/>
      <c r="U31" s="1209"/>
      <c r="V31" s="45"/>
      <c r="W31" s="606"/>
      <c r="X31" s="45"/>
      <c r="Y31" s="1919"/>
      <c r="Z31" s="1906"/>
      <c r="AA31" s="1163">
        <f t="shared" si="1"/>
        <v>43859</v>
      </c>
      <c r="AB31" s="21">
        <v>44590</v>
      </c>
      <c r="AE31" s="146"/>
    </row>
    <row r="32" spans="1:31" x14ac:dyDescent="0.2">
      <c r="A32" s="11">
        <f t="shared" si="0"/>
        <v>40938</v>
      </c>
      <c r="B32" s="99">
        <v>2027</v>
      </c>
      <c r="C32" s="1210"/>
      <c r="D32" s="45"/>
      <c r="E32" s="1211"/>
      <c r="F32" s="45"/>
      <c r="G32" s="1202"/>
      <c r="H32" s="45"/>
      <c r="I32" s="1203"/>
      <c r="J32" s="45"/>
      <c r="K32" s="1204"/>
      <c r="L32" s="45"/>
      <c r="M32" s="1205"/>
      <c r="N32" s="45"/>
      <c r="O32" s="1198" t="s">
        <v>11231</v>
      </c>
      <c r="P32" s="45"/>
      <c r="Q32" s="1198" t="s">
        <v>11200</v>
      </c>
      <c r="R32" s="45"/>
      <c r="S32" s="1198"/>
      <c r="T32" s="45"/>
      <c r="U32" s="1209"/>
      <c r="V32" s="45"/>
      <c r="W32" s="606"/>
      <c r="X32" s="45"/>
      <c r="Y32" s="1919"/>
      <c r="Z32" s="1906"/>
      <c r="AA32" s="1163">
        <f t="shared" si="1"/>
        <v>43860</v>
      </c>
      <c r="AB32" s="21">
        <v>46417</v>
      </c>
      <c r="AE32" s="146"/>
    </row>
    <row r="33" spans="1:33" x14ac:dyDescent="0.2">
      <c r="A33" s="11">
        <f t="shared" si="0"/>
        <v>40939</v>
      </c>
      <c r="B33" s="99">
        <v>2026</v>
      </c>
      <c r="C33" s="1210"/>
      <c r="D33" s="45"/>
      <c r="E33" s="1211"/>
      <c r="F33" s="45"/>
      <c r="G33" s="1202"/>
      <c r="H33" s="45"/>
      <c r="I33" s="1203"/>
      <c r="J33" s="45"/>
      <c r="K33" s="1204"/>
      <c r="L33" s="45"/>
      <c r="M33" s="1205"/>
      <c r="N33" s="45"/>
      <c r="O33" s="1198"/>
      <c r="P33" s="45"/>
      <c r="Q33" s="1198" t="s">
        <v>11201</v>
      </c>
      <c r="R33" s="45"/>
      <c r="S33" s="1198" t="s">
        <v>2112</v>
      </c>
      <c r="T33" s="45"/>
      <c r="U33" s="1209"/>
      <c r="V33" s="45"/>
      <c r="W33" s="606"/>
      <c r="X33" s="45"/>
      <c r="Y33" s="1919"/>
      <c r="Z33" s="1906"/>
      <c r="AA33" s="1163">
        <f t="shared" si="1"/>
        <v>43861</v>
      </c>
      <c r="AB33" s="21">
        <v>46053</v>
      </c>
      <c r="AE33" s="146">
        <f>AE34-1461</f>
        <v>1521</v>
      </c>
    </row>
    <row r="34" spans="1:33" x14ac:dyDescent="0.2">
      <c r="A34" s="1170">
        <f t="shared" si="0"/>
        <v>40940</v>
      </c>
      <c r="C34" s="1210"/>
      <c r="D34" s="45"/>
      <c r="E34" s="1211"/>
      <c r="F34" s="45"/>
      <c r="G34" s="1202"/>
      <c r="H34" s="45"/>
      <c r="I34" s="1203"/>
      <c r="J34" s="45"/>
      <c r="K34" s="1204"/>
      <c r="L34" s="45"/>
      <c r="M34" s="1205" t="s">
        <v>129</v>
      </c>
      <c r="N34" s="45">
        <v>1</v>
      </c>
      <c r="O34" s="1198"/>
      <c r="P34" s="45"/>
      <c r="Q34" s="1198" t="s">
        <v>11202</v>
      </c>
      <c r="R34" s="45"/>
      <c r="S34" s="1208"/>
      <c r="T34" s="45"/>
      <c r="U34" s="1209"/>
      <c r="V34" s="45"/>
      <c r="W34" s="606"/>
      <c r="X34" s="45"/>
      <c r="Y34" s="1990" t="s">
        <v>17192</v>
      </c>
      <c r="Z34" s="1906"/>
      <c r="AA34" s="1163">
        <f t="shared" si="1"/>
        <v>43862</v>
      </c>
      <c r="AB34" s="21"/>
      <c r="AE34" s="1233">
        <f>AE35-1461</f>
        <v>2982</v>
      </c>
      <c r="AF34" s="21">
        <v>2981</v>
      </c>
      <c r="AG34">
        <v>1908</v>
      </c>
    </row>
    <row r="35" spans="1:33" x14ac:dyDescent="0.2">
      <c r="A35" s="1292">
        <f t="shared" si="0"/>
        <v>40941</v>
      </c>
      <c r="B35" s="99"/>
      <c r="C35" s="1210"/>
      <c r="D35" s="45"/>
      <c r="E35" s="1211"/>
      <c r="F35" s="45"/>
      <c r="G35" s="1202"/>
      <c r="H35" s="45"/>
      <c r="I35" s="1203"/>
      <c r="J35" s="45"/>
      <c r="K35" s="1204" t="s">
        <v>1214</v>
      </c>
      <c r="L35" s="45">
        <v>1</v>
      </c>
      <c r="M35" s="1205"/>
      <c r="N35" s="45"/>
      <c r="O35" s="1198" t="s">
        <v>2112</v>
      </c>
      <c r="P35" s="45"/>
      <c r="Q35" s="1198" t="s">
        <v>11203</v>
      </c>
      <c r="R35" s="45"/>
      <c r="S35" s="1208"/>
      <c r="T35" s="45"/>
      <c r="U35" s="1209"/>
      <c r="V35" s="45"/>
      <c r="W35" s="606" t="s">
        <v>8244</v>
      </c>
      <c r="X35" s="45">
        <v>1</v>
      </c>
      <c r="Y35" s="1919"/>
      <c r="Z35" s="1906"/>
      <c r="AA35" s="1163">
        <f t="shared" si="1"/>
        <v>43863</v>
      </c>
      <c r="AB35" s="21">
        <v>43498</v>
      </c>
      <c r="AE35" s="146">
        <f t="shared" ref="AE35:AE45" si="2">AE36-1461</f>
        <v>4443</v>
      </c>
      <c r="AF35" s="21"/>
    </row>
    <row r="36" spans="1:33" x14ac:dyDescent="0.2">
      <c r="A36" s="1175">
        <f t="shared" si="0"/>
        <v>40942</v>
      </c>
      <c r="C36" s="1210"/>
      <c r="D36" s="45"/>
      <c r="E36" s="1211"/>
      <c r="F36" s="45"/>
      <c r="G36" s="1202"/>
      <c r="H36" s="45"/>
      <c r="I36" s="1203"/>
      <c r="J36" s="45"/>
      <c r="K36" s="1204"/>
      <c r="L36" s="45"/>
      <c r="M36" s="1205"/>
      <c r="N36" s="45"/>
      <c r="O36" s="1198"/>
      <c r="P36" s="45"/>
      <c r="Q36" s="1198" t="s">
        <v>11204</v>
      </c>
      <c r="R36" s="45"/>
      <c r="S36" s="1208"/>
      <c r="T36" s="45"/>
      <c r="U36" s="1209" t="s">
        <v>449</v>
      </c>
      <c r="V36" s="45">
        <v>1</v>
      </c>
      <c r="W36" s="606"/>
      <c r="X36" s="45"/>
      <c r="Y36" s="1919"/>
      <c r="Z36" s="1906"/>
      <c r="AA36" s="1163">
        <f t="shared" si="1"/>
        <v>43864</v>
      </c>
      <c r="AB36" s="21"/>
      <c r="AE36" s="146">
        <f t="shared" si="2"/>
        <v>5904</v>
      </c>
      <c r="AF36" s="21"/>
    </row>
    <row r="37" spans="1:33" x14ac:dyDescent="0.2">
      <c r="A37" s="1165">
        <f t="shared" si="0"/>
        <v>40943</v>
      </c>
      <c r="C37" s="1210"/>
      <c r="D37" s="45"/>
      <c r="E37" s="1211"/>
      <c r="F37" s="45"/>
      <c r="G37" s="1202"/>
      <c r="H37" s="45"/>
      <c r="I37" s="1203" t="s">
        <v>5544</v>
      </c>
      <c r="J37" s="45">
        <v>1</v>
      </c>
      <c r="K37" s="1204"/>
      <c r="L37" s="45"/>
      <c r="M37" s="1205"/>
      <c r="N37" s="45"/>
      <c r="O37" s="1206"/>
      <c r="P37" s="45"/>
      <c r="Q37" s="1198" t="s">
        <v>10939</v>
      </c>
      <c r="R37" s="45"/>
      <c r="S37" s="1208" t="s">
        <v>787</v>
      </c>
      <c r="T37" s="45"/>
      <c r="U37" s="1209"/>
      <c r="V37" s="45"/>
      <c r="W37" s="606"/>
      <c r="X37" s="45"/>
      <c r="Y37" s="1919"/>
      <c r="Z37" s="1906"/>
      <c r="AA37" s="1163">
        <f t="shared" si="1"/>
        <v>43865</v>
      </c>
      <c r="AB37" s="21"/>
      <c r="AE37" s="146">
        <f t="shared" si="2"/>
        <v>7365</v>
      </c>
      <c r="AF37" s="21"/>
    </row>
    <row r="38" spans="1:33" x14ac:dyDescent="0.2">
      <c r="A38" s="1169">
        <f t="shared" si="0"/>
        <v>40944</v>
      </c>
      <c r="C38" s="1210"/>
      <c r="D38" s="45"/>
      <c r="E38" s="1211"/>
      <c r="F38" s="45"/>
      <c r="G38" s="1202" t="s">
        <v>8244</v>
      </c>
      <c r="H38" s="45">
        <v>1</v>
      </c>
      <c r="I38" s="1203"/>
      <c r="J38" s="45"/>
      <c r="K38" s="1204"/>
      <c r="L38" s="45"/>
      <c r="M38" s="1205"/>
      <c r="N38" s="45"/>
      <c r="O38" s="1206"/>
      <c r="P38" s="45"/>
      <c r="Q38" s="1198"/>
      <c r="R38" s="45"/>
      <c r="S38" s="1208"/>
      <c r="T38" s="45"/>
      <c r="U38" s="1209"/>
      <c r="V38" s="45"/>
      <c r="W38" s="606"/>
      <c r="X38" s="45"/>
      <c r="Y38" s="1919"/>
      <c r="Z38" s="1906"/>
      <c r="AA38" s="1163">
        <f t="shared" si="1"/>
        <v>43866</v>
      </c>
      <c r="AB38" s="21"/>
      <c r="AC38" s="80" t="s">
        <v>16827</v>
      </c>
      <c r="AE38" s="146">
        <f t="shared" si="2"/>
        <v>8826</v>
      </c>
      <c r="AF38" s="21"/>
    </row>
    <row r="39" spans="1:33" x14ac:dyDescent="0.2">
      <c r="A39" s="11">
        <f t="shared" si="0"/>
        <v>40945</v>
      </c>
      <c r="B39" s="99">
        <v>2027</v>
      </c>
      <c r="C39" s="1210"/>
      <c r="D39" s="45"/>
      <c r="E39" s="1211"/>
      <c r="F39" s="45"/>
      <c r="G39" s="1202"/>
      <c r="H39" s="45"/>
      <c r="I39" s="1203"/>
      <c r="J39" s="45"/>
      <c r="K39" s="1204"/>
      <c r="L39" s="45"/>
      <c r="M39" s="1205"/>
      <c r="N39" s="45"/>
      <c r="O39" s="1206"/>
      <c r="P39" s="45"/>
      <c r="Q39" s="1198" t="s">
        <v>11229</v>
      </c>
      <c r="R39" s="45"/>
      <c r="S39" s="1208"/>
      <c r="T39" s="45"/>
      <c r="U39" s="1209"/>
      <c r="V39" s="45"/>
      <c r="W39" s="606"/>
      <c r="X39" s="45"/>
      <c r="Y39" s="1919"/>
      <c r="Z39" s="1906"/>
      <c r="AA39" s="1163">
        <f t="shared" si="1"/>
        <v>43867</v>
      </c>
      <c r="AB39" s="21">
        <v>46424</v>
      </c>
      <c r="AE39" s="146">
        <f t="shared" si="2"/>
        <v>10287</v>
      </c>
      <c r="AF39" s="21"/>
    </row>
    <row r="40" spans="1:33" x14ac:dyDescent="0.2">
      <c r="A40" s="1167">
        <f t="shared" si="0"/>
        <v>40946</v>
      </c>
      <c r="C40" s="1210"/>
      <c r="D40" s="45"/>
      <c r="E40" s="1211"/>
      <c r="F40" s="45"/>
      <c r="G40" s="1202"/>
      <c r="H40" s="45"/>
      <c r="I40" s="1203"/>
      <c r="J40" s="45"/>
      <c r="K40" s="1204"/>
      <c r="L40" s="45"/>
      <c r="M40" s="1205"/>
      <c r="N40" s="45"/>
      <c r="O40" s="1206" t="s">
        <v>5544</v>
      </c>
      <c r="P40" s="45">
        <v>1</v>
      </c>
      <c r="Q40" s="1198"/>
      <c r="R40" s="45"/>
      <c r="S40" s="1208"/>
      <c r="T40" s="45"/>
      <c r="U40" s="1209"/>
      <c r="V40" s="45"/>
      <c r="W40" s="606"/>
      <c r="X40" s="45"/>
      <c r="Y40" s="1919"/>
      <c r="Z40" s="1906"/>
      <c r="AA40" s="1163">
        <f t="shared" si="1"/>
        <v>43868</v>
      </c>
      <c r="AB40" s="21"/>
      <c r="AE40" s="146">
        <f t="shared" si="2"/>
        <v>11748</v>
      </c>
      <c r="AF40" s="21"/>
    </row>
    <row r="41" spans="1:33" x14ac:dyDescent="0.2">
      <c r="A41" s="1170">
        <f t="shared" si="0"/>
        <v>40947</v>
      </c>
      <c r="C41" s="1210"/>
      <c r="D41" s="45"/>
      <c r="E41" s="1211"/>
      <c r="F41" s="45"/>
      <c r="G41" s="1202"/>
      <c r="H41" s="45"/>
      <c r="I41" s="1203"/>
      <c r="J41" s="45"/>
      <c r="K41" s="1204"/>
      <c r="L41" s="45"/>
      <c r="M41" s="1205" t="s">
        <v>5889</v>
      </c>
      <c r="N41" s="45">
        <v>1</v>
      </c>
      <c r="O41" s="1206"/>
      <c r="P41" s="45"/>
      <c r="Q41" s="1198"/>
      <c r="R41" s="45"/>
      <c r="S41" s="1208"/>
      <c r="T41" s="45"/>
      <c r="U41" s="1209"/>
      <c r="V41" s="45"/>
      <c r="W41" s="606"/>
      <c r="X41" s="45"/>
      <c r="Y41" s="1919" t="s">
        <v>5453</v>
      </c>
      <c r="Z41" s="1921">
        <v>1</v>
      </c>
      <c r="AA41" s="1163">
        <f t="shared" si="1"/>
        <v>43869</v>
      </c>
      <c r="AB41" s="21"/>
      <c r="AE41" s="1233">
        <f t="shared" si="2"/>
        <v>13209</v>
      </c>
      <c r="AF41" s="21">
        <v>13208</v>
      </c>
      <c r="AG41">
        <v>1936</v>
      </c>
    </row>
    <row r="42" spans="1:33" x14ac:dyDescent="0.2">
      <c r="A42" s="1299">
        <f t="shared" si="0"/>
        <v>40948</v>
      </c>
      <c r="B42" s="99"/>
      <c r="C42" s="1210"/>
      <c r="D42" s="45"/>
      <c r="E42" s="1211"/>
      <c r="F42" s="45"/>
      <c r="G42" s="1202"/>
      <c r="H42" s="45"/>
      <c r="I42" s="1203"/>
      <c r="J42" s="45"/>
      <c r="K42" s="1204" t="s">
        <v>11198</v>
      </c>
      <c r="L42" s="45"/>
      <c r="M42" s="1205"/>
      <c r="N42" s="45"/>
      <c r="O42" s="1206"/>
      <c r="P42" s="45"/>
      <c r="Q42" s="1207"/>
      <c r="R42" s="45"/>
      <c r="S42" s="1208"/>
      <c r="T42" s="45"/>
      <c r="U42" s="1209"/>
      <c r="V42" s="45"/>
      <c r="W42" s="606" t="s">
        <v>1122</v>
      </c>
      <c r="X42" s="45">
        <v>1</v>
      </c>
      <c r="Y42" s="1919"/>
      <c r="Z42" s="1921"/>
      <c r="AA42" s="1163">
        <f t="shared" si="1"/>
        <v>43870</v>
      </c>
      <c r="AB42" s="21"/>
      <c r="AE42" s="146">
        <f t="shared" si="2"/>
        <v>14670</v>
      </c>
      <c r="AF42" s="21"/>
    </row>
    <row r="43" spans="1:33" x14ac:dyDescent="0.2">
      <c r="A43" s="1175">
        <f t="shared" si="0"/>
        <v>40949</v>
      </c>
      <c r="C43" s="1210"/>
      <c r="D43" s="45"/>
      <c r="E43" s="1211"/>
      <c r="F43" s="45"/>
      <c r="G43" s="1202"/>
      <c r="H43" s="45"/>
      <c r="I43" s="1203"/>
      <c r="J43" s="45"/>
      <c r="K43" s="1204"/>
      <c r="L43" s="45"/>
      <c r="M43" s="1205"/>
      <c r="N43" s="45"/>
      <c r="O43" s="1206"/>
      <c r="P43" s="45"/>
      <c r="Q43" s="1207"/>
      <c r="R43" s="45"/>
      <c r="S43" s="1208"/>
      <c r="T43" s="45"/>
      <c r="U43" s="1209" t="s">
        <v>203</v>
      </c>
      <c r="V43" s="45">
        <v>1</v>
      </c>
      <c r="W43" s="606"/>
      <c r="X43" s="45"/>
      <c r="Y43" s="1919"/>
      <c r="Z43" s="1921"/>
      <c r="AA43" s="1163">
        <f t="shared" si="1"/>
        <v>43871</v>
      </c>
      <c r="AB43" s="21"/>
      <c r="AE43" s="146">
        <f t="shared" si="2"/>
        <v>16131</v>
      </c>
      <c r="AF43" s="21"/>
    </row>
    <row r="44" spans="1:33" x14ac:dyDescent="0.2">
      <c r="A44" s="1165">
        <f t="shared" si="0"/>
        <v>40950</v>
      </c>
      <c r="C44" s="1210"/>
      <c r="D44" s="45"/>
      <c r="E44" s="1211"/>
      <c r="F44" s="45"/>
      <c r="G44" s="1202"/>
      <c r="H44" s="45"/>
      <c r="I44" s="1203" t="s">
        <v>5544</v>
      </c>
      <c r="J44" s="45">
        <v>1</v>
      </c>
      <c r="K44" s="1204"/>
      <c r="L44" s="45"/>
      <c r="M44" s="1205"/>
      <c r="N44" s="45"/>
      <c r="O44" s="1206"/>
      <c r="P44" s="45"/>
      <c r="Q44" s="1207"/>
      <c r="R44" s="45"/>
      <c r="S44" s="1208" t="s">
        <v>5544</v>
      </c>
      <c r="T44" s="45">
        <v>1</v>
      </c>
      <c r="U44" s="1209"/>
      <c r="V44" s="45"/>
      <c r="W44" s="606"/>
      <c r="X44" s="45"/>
      <c r="Y44" s="1919"/>
      <c r="Z44" s="1921"/>
      <c r="AA44" s="1163">
        <f t="shared" si="1"/>
        <v>43872</v>
      </c>
      <c r="AB44" s="21"/>
      <c r="AE44" s="146">
        <f t="shared" si="2"/>
        <v>17592</v>
      </c>
      <c r="AF44" s="21"/>
    </row>
    <row r="45" spans="1:33" x14ac:dyDescent="0.2">
      <c r="A45" s="11">
        <f t="shared" si="0"/>
        <v>40951</v>
      </c>
      <c r="B45" s="9">
        <v>2022</v>
      </c>
      <c r="C45" s="1210"/>
      <c r="D45" s="45"/>
      <c r="E45" s="1211"/>
      <c r="F45" s="45"/>
      <c r="G45" s="1202"/>
      <c r="H45" s="45"/>
      <c r="I45" s="1203"/>
      <c r="J45" s="45"/>
      <c r="K45" s="1204"/>
      <c r="L45" s="45"/>
      <c r="M45" s="1205"/>
      <c r="N45" s="45"/>
      <c r="O45" s="1206"/>
      <c r="P45" s="45"/>
      <c r="Q45" s="1207"/>
      <c r="R45" s="45"/>
      <c r="S45" s="1208"/>
      <c r="T45" s="45"/>
      <c r="U45" s="1209"/>
      <c r="V45" s="45"/>
      <c r="W45" s="606"/>
      <c r="X45" s="45"/>
      <c r="Y45" s="1919"/>
      <c r="Z45" s="1921"/>
      <c r="AA45" s="1163">
        <f t="shared" si="1"/>
        <v>43873</v>
      </c>
      <c r="AB45" s="21">
        <v>44604</v>
      </c>
      <c r="AE45" s="146">
        <f t="shared" si="2"/>
        <v>19053</v>
      </c>
      <c r="AF45" s="21"/>
    </row>
    <row r="46" spans="1:33" x14ac:dyDescent="0.2">
      <c r="A46" s="1166">
        <f t="shared" si="0"/>
        <v>40952</v>
      </c>
      <c r="C46" s="1210"/>
      <c r="D46" s="45"/>
      <c r="E46" s="1211"/>
      <c r="F46" s="45"/>
      <c r="G46" s="1202"/>
      <c r="H46" s="45"/>
      <c r="I46" s="1203"/>
      <c r="J46" s="45"/>
      <c r="K46" s="1204"/>
      <c r="L46" s="45"/>
      <c r="M46" s="1205"/>
      <c r="N46" s="45"/>
      <c r="O46" s="1206"/>
      <c r="P46" s="45"/>
      <c r="Q46" s="1207" t="s">
        <v>2147</v>
      </c>
      <c r="R46" s="45">
        <v>1</v>
      </c>
      <c r="S46" s="1208"/>
      <c r="T46" s="45"/>
      <c r="U46" s="1209"/>
      <c r="V46" s="45"/>
      <c r="W46" s="606"/>
      <c r="X46" s="45"/>
      <c r="Y46" s="1919"/>
      <c r="Z46" s="1921"/>
      <c r="AA46" s="1163">
        <f t="shared" si="1"/>
        <v>43874</v>
      </c>
      <c r="AB46" s="21"/>
      <c r="AE46" s="146">
        <f t="shared" ref="AE46:AE60" si="3">AE47-1461</f>
        <v>20514</v>
      </c>
      <c r="AF46" s="21"/>
    </row>
    <row r="47" spans="1:33" x14ac:dyDescent="0.2">
      <c r="A47" s="1167">
        <f t="shared" si="0"/>
        <v>40953</v>
      </c>
      <c r="C47" s="1210"/>
      <c r="D47" s="45"/>
      <c r="E47" s="1211"/>
      <c r="F47" s="45"/>
      <c r="G47" s="1202"/>
      <c r="H47" s="45"/>
      <c r="I47" s="1203"/>
      <c r="J47" s="45"/>
      <c r="K47" s="1204"/>
      <c r="L47" s="45"/>
      <c r="M47" s="1205"/>
      <c r="N47" s="45"/>
      <c r="O47" s="1206" t="s">
        <v>209</v>
      </c>
      <c r="P47" s="45">
        <v>1</v>
      </c>
      <c r="Q47" s="1207"/>
      <c r="R47" s="45"/>
      <c r="S47" s="1208"/>
      <c r="T47" s="45"/>
      <c r="U47" s="1209"/>
      <c r="V47" s="45"/>
      <c r="W47" s="606"/>
      <c r="X47" s="45"/>
      <c r="Y47" s="1919"/>
      <c r="Z47" s="1921"/>
      <c r="AA47" s="1163">
        <f t="shared" si="1"/>
        <v>43875</v>
      </c>
      <c r="AB47" s="21"/>
      <c r="AE47" s="146">
        <f t="shared" si="3"/>
        <v>21975</v>
      </c>
      <c r="AF47" s="21"/>
    </row>
    <row r="48" spans="1:33" x14ac:dyDescent="0.2">
      <c r="A48" s="1168">
        <f t="shared" si="0"/>
        <v>40954</v>
      </c>
      <c r="C48" s="1210"/>
      <c r="D48" s="45"/>
      <c r="E48" s="1211"/>
      <c r="F48" s="45"/>
      <c r="G48" s="1202"/>
      <c r="H48" s="45"/>
      <c r="I48" s="1203"/>
      <c r="J48" s="45"/>
      <c r="K48" s="1204"/>
      <c r="L48" s="45"/>
      <c r="M48" s="1205" t="s">
        <v>5544</v>
      </c>
      <c r="N48" s="45">
        <v>1</v>
      </c>
      <c r="O48" s="1206"/>
      <c r="P48" s="45"/>
      <c r="Q48" s="1207"/>
      <c r="R48" s="45"/>
      <c r="S48" s="1208"/>
      <c r="T48" s="45"/>
      <c r="U48" s="1209"/>
      <c r="V48" s="45"/>
      <c r="W48" s="606"/>
      <c r="X48" s="45"/>
      <c r="Y48" s="1919" t="s">
        <v>5453</v>
      </c>
      <c r="Z48" s="1921">
        <v>1</v>
      </c>
      <c r="AA48" s="1163">
        <f t="shared" si="1"/>
        <v>43876</v>
      </c>
      <c r="AB48" s="21"/>
      <c r="AE48" s="1233">
        <f t="shared" si="3"/>
        <v>23436</v>
      </c>
      <c r="AF48" s="21">
        <v>23435</v>
      </c>
      <c r="AG48">
        <v>1964</v>
      </c>
    </row>
    <row r="49" spans="1:33" x14ac:dyDescent="0.2">
      <c r="A49" s="1299">
        <f t="shared" si="0"/>
        <v>40955</v>
      </c>
      <c r="B49" s="99"/>
      <c r="C49" s="1210"/>
      <c r="D49" s="45"/>
      <c r="E49" s="1211"/>
      <c r="F49" s="45"/>
      <c r="G49" s="1202"/>
      <c r="H49" s="45"/>
      <c r="I49" s="1203"/>
      <c r="J49" s="45"/>
      <c r="K49" s="1212"/>
      <c r="L49" s="45"/>
      <c r="M49" s="1205"/>
      <c r="N49" s="45"/>
      <c r="O49" s="1206"/>
      <c r="P49" s="45"/>
      <c r="Q49" s="1207"/>
      <c r="R49" s="45"/>
      <c r="S49" s="1208"/>
      <c r="T49" s="45"/>
      <c r="U49" s="1209"/>
      <c r="V49" s="45"/>
      <c r="W49" s="606" t="s">
        <v>11009</v>
      </c>
      <c r="X49" s="45">
        <v>1</v>
      </c>
      <c r="Y49" s="1919"/>
      <c r="Z49" s="1906"/>
      <c r="AA49" s="1163">
        <f t="shared" si="1"/>
        <v>43877</v>
      </c>
      <c r="AB49" s="21"/>
      <c r="AE49" s="146">
        <f t="shared" si="3"/>
        <v>24897</v>
      </c>
      <c r="AF49" s="21"/>
    </row>
    <row r="50" spans="1:33" x14ac:dyDescent="0.2">
      <c r="A50" s="1175">
        <f t="shared" si="0"/>
        <v>40956</v>
      </c>
      <c r="C50" s="1210"/>
      <c r="D50" s="45"/>
      <c r="E50" s="1211"/>
      <c r="F50" s="45"/>
      <c r="G50" s="1202"/>
      <c r="H50" s="45"/>
      <c r="I50" s="1203"/>
      <c r="J50" s="45"/>
      <c r="K50" s="1204"/>
      <c r="L50" s="45"/>
      <c r="M50" s="1205"/>
      <c r="N50" s="45"/>
      <c r="O50" s="1206"/>
      <c r="P50" s="45"/>
      <c r="Q50" s="1207"/>
      <c r="R50" s="45"/>
      <c r="S50" s="1208"/>
      <c r="T50" s="45"/>
      <c r="U50" s="1209" t="s">
        <v>5544</v>
      </c>
      <c r="V50" s="45">
        <v>1</v>
      </c>
      <c r="W50" s="606"/>
      <c r="X50" s="45"/>
      <c r="Y50" s="1919"/>
      <c r="Z50" s="1906"/>
      <c r="AA50" s="1163">
        <f t="shared" si="1"/>
        <v>43878</v>
      </c>
      <c r="AB50" s="21"/>
      <c r="AE50" s="146">
        <f t="shared" si="3"/>
        <v>26358</v>
      </c>
      <c r="AF50" s="21"/>
    </row>
    <row r="51" spans="1:33" x14ac:dyDescent="0.2">
      <c r="A51" s="1165">
        <f t="shared" si="0"/>
        <v>40957</v>
      </c>
      <c r="C51" s="1210"/>
      <c r="D51" s="45"/>
      <c r="E51" s="1211"/>
      <c r="F51" s="45"/>
      <c r="G51" s="1202"/>
      <c r="H51" s="45"/>
      <c r="I51" s="1203" t="s">
        <v>5544</v>
      </c>
      <c r="J51" s="45">
        <v>1</v>
      </c>
      <c r="K51" s="1204"/>
      <c r="L51" s="45"/>
      <c r="M51" s="1205"/>
      <c r="N51" s="45"/>
      <c r="O51" s="1206"/>
      <c r="P51" s="45"/>
      <c r="Q51" s="1207"/>
      <c r="R51" s="45"/>
      <c r="S51" s="1208" t="s">
        <v>5544</v>
      </c>
      <c r="T51" s="45">
        <v>1</v>
      </c>
      <c r="U51" s="1209"/>
      <c r="V51" s="45"/>
      <c r="W51" s="606"/>
      <c r="X51" s="45"/>
      <c r="Y51" s="1919"/>
      <c r="Z51" s="1906"/>
      <c r="AA51" s="1163">
        <f t="shared" si="1"/>
        <v>43879</v>
      </c>
      <c r="AB51" s="21"/>
      <c r="AE51" s="146">
        <f t="shared" si="3"/>
        <v>27819</v>
      </c>
      <c r="AF51" s="21"/>
    </row>
    <row r="52" spans="1:33" x14ac:dyDescent="0.2">
      <c r="A52" s="11">
        <f t="shared" si="0"/>
        <v>40958</v>
      </c>
      <c r="B52" s="99">
        <v>2022</v>
      </c>
      <c r="C52" s="1210"/>
      <c r="D52" s="45"/>
      <c r="E52" s="1211"/>
      <c r="F52" s="45"/>
      <c r="G52" s="1202"/>
      <c r="H52" s="45"/>
      <c r="I52" s="1203"/>
      <c r="J52" s="45"/>
      <c r="K52" s="1204"/>
      <c r="L52" s="45"/>
      <c r="M52" s="1205"/>
      <c r="N52" s="45"/>
      <c r="O52" s="1206"/>
      <c r="P52" s="45"/>
      <c r="Q52" s="1207"/>
      <c r="R52" s="45"/>
      <c r="S52" s="1208"/>
      <c r="T52" s="45"/>
      <c r="U52" s="1209"/>
      <c r="V52" s="45"/>
      <c r="W52" s="606"/>
      <c r="X52" s="45"/>
      <c r="Y52" s="1919"/>
      <c r="Z52" s="1906"/>
      <c r="AA52" s="1163">
        <f t="shared" si="1"/>
        <v>43880</v>
      </c>
      <c r="AB52" s="21">
        <v>44611</v>
      </c>
      <c r="AE52" s="146">
        <f t="shared" si="3"/>
        <v>29280</v>
      </c>
      <c r="AF52" s="21"/>
    </row>
    <row r="53" spans="1:33" x14ac:dyDescent="0.2">
      <c r="A53" s="1166">
        <f t="shared" si="0"/>
        <v>40959</v>
      </c>
      <c r="C53" s="1210"/>
      <c r="D53" s="45"/>
      <c r="E53" s="1211"/>
      <c r="F53" s="45"/>
      <c r="G53" s="1202"/>
      <c r="H53" s="45"/>
      <c r="I53" s="1203"/>
      <c r="J53" s="45"/>
      <c r="K53" s="1204"/>
      <c r="L53" s="45"/>
      <c r="M53" s="1205"/>
      <c r="N53" s="45"/>
      <c r="O53" s="1206"/>
      <c r="P53" s="45"/>
      <c r="Q53" s="1207" t="s">
        <v>11134</v>
      </c>
      <c r="R53" s="45">
        <v>1</v>
      </c>
      <c r="S53" s="1208"/>
      <c r="T53" s="45"/>
      <c r="U53" s="1209"/>
      <c r="V53" s="45"/>
      <c r="W53" s="606"/>
      <c r="X53" s="45"/>
      <c r="Y53" s="1919"/>
      <c r="Z53" s="1906"/>
      <c r="AA53" s="1163">
        <f t="shared" si="1"/>
        <v>43881</v>
      </c>
      <c r="AB53" s="21"/>
      <c r="AE53" s="146">
        <f t="shared" si="3"/>
        <v>30741</v>
      </c>
      <c r="AF53" s="21"/>
    </row>
    <row r="54" spans="1:33" x14ac:dyDescent="0.2">
      <c r="A54" s="1167">
        <f t="shared" si="0"/>
        <v>40960</v>
      </c>
      <c r="C54" s="1210"/>
      <c r="D54" s="45"/>
      <c r="E54" s="1211"/>
      <c r="F54" s="45"/>
      <c r="G54" s="1202"/>
      <c r="H54" s="45"/>
      <c r="I54" s="1203"/>
      <c r="J54" s="45"/>
      <c r="K54" s="1204"/>
      <c r="L54" s="45"/>
      <c r="M54" s="1205"/>
      <c r="N54" s="45"/>
      <c r="O54" s="1206" t="s">
        <v>6020</v>
      </c>
      <c r="P54" s="45">
        <v>1</v>
      </c>
      <c r="Q54" s="1207"/>
      <c r="R54" s="45"/>
      <c r="S54" s="1208"/>
      <c r="T54" s="45"/>
      <c r="U54" s="1209"/>
      <c r="V54" s="45"/>
      <c r="W54" s="606"/>
      <c r="X54" s="45"/>
      <c r="Y54" s="1919"/>
      <c r="Z54" s="1906"/>
      <c r="AA54" s="1163">
        <f t="shared" si="1"/>
        <v>43882</v>
      </c>
      <c r="AB54" s="21"/>
      <c r="AE54" s="146">
        <f t="shared" si="3"/>
        <v>32202</v>
      </c>
      <c r="AF54" s="21"/>
    </row>
    <row r="55" spans="1:33" x14ac:dyDescent="0.2">
      <c r="A55" s="1170">
        <f t="shared" si="0"/>
        <v>40961</v>
      </c>
      <c r="C55" s="1210"/>
      <c r="D55" s="45"/>
      <c r="E55" s="1211"/>
      <c r="F55" s="45"/>
      <c r="G55" s="1202"/>
      <c r="H55" s="45"/>
      <c r="I55" s="1203"/>
      <c r="J55" s="45"/>
      <c r="K55" s="1204"/>
      <c r="L55" s="45"/>
      <c r="M55" s="1205" t="s">
        <v>5544</v>
      </c>
      <c r="N55" s="45">
        <v>1</v>
      </c>
      <c r="O55" s="1206"/>
      <c r="P55" s="45"/>
      <c r="Q55" s="1207"/>
      <c r="R55" s="45"/>
      <c r="S55" s="1208"/>
      <c r="T55" s="45"/>
      <c r="U55" s="1209"/>
      <c r="V55" s="45"/>
      <c r="W55" s="606"/>
      <c r="X55" s="45"/>
      <c r="Y55" s="1919" t="s">
        <v>9307</v>
      </c>
      <c r="Z55" s="1921">
        <v>1</v>
      </c>
      <c r="AA55" s="1163">
        <f t="shared" si="1"/>
        <v>43883</v>
      </c>
      <c r="AB55" s="21"/>
      <c r="AE55" s="1233">
        <f t="shared" si="3"/>
        <v>33663</v>
      </c>
      <c r="AF55" s="21">
        <v>33663</v>
      </c>
      <c r="AG55">
        <v>1992</v>
      </c>
    </row>
    <row r="56" spans="1:33" x14ac:dyDescent="0.2">
      <c r="A56" s="1291">
        <f t="shared" si="0"/>
        <v>40962</v>
      </c>
      <c r="C56" s="1210"/>
      <c r="D56" s="45"/>
      <c r="E56" s="1211"/>
      <c r="F56" s="45"/>
      <c r="G56" s="1202"/>
      <c r="H56" s="45"/>
      <c r="I56" s="1203"/>
      <c r="J56" s="45"/>
      <c r="K56" s="1204" t="s">
        <v>5544</v>
      </c>
      <c r="L56" s="45">
        <v>1</v>
      </c>
      <c r="M56" s="1205"/>
      <c r="N56" s="45"/>
      <c r="O56" s="1206"/>
      <c r="P56" s="45"/>
      <c r="Q56" s="1207"/>
      <c r="R56" s="45"/>
      <c r="S56" s="1208"/>
      <c r="T56" s="45"/>
      <c r="U56" s="1209"/>
      <c r="V56" s="45"/>
      <c r="W56" s="606" t="s">
        <v>11654</v>
      </c>
      <c r="X56" s="45">
        <v>1</v>
      </c>
      <c r="Y56" s="1919"/>
      <c r="Z56" s="1906"/>
      <c r="AA56" s="1163">
        <f t="shared" si="1"/>
        <v>43884</v>
      </c>
      <c r="AB56" s="21"/>
      <c r="AE56" s="146">
        <f t="shared" si="3"/>
        <v>35124</v>
      </c>
      <c r="AF56" s="21"/>
    </row>
    <row r="57" spans="1:33" x14ac:dyDescent="0.2">
      <c r="A57" s="1171">
        <f t="shared" si="0"/>
        <v>40963</v>
      </c>
      <c r="C57" s="1210"/>
      <c r="D57" s="45"/>
      <c r="E57" s="1211"/>
      <c r="F57" s="45"/>
      <c r="G57" s="1202"/>
      <c r="H57" s="45"/>
      <c r="I57" s="1203"/>
      <c r="J57" s="45"/>
      <c r="K57" s="1204"/>
      <c r="L57" s="45"/>
      <c r="M57" s="1205"/>
      <c r="N57" s="45"/>
      <c r="O57" s="1206"/>
      <c r="P57" s="45"/>
      <c r="Q57" s="1207"/>
      <c r="R57" s="45"/>
      <c r="S57" s="1208"/>
      <c r="T57" s="45"/>
      <c r="U57" s="1209" t="s">
        <v>4244</v>
      </c>
      <c r="V57" s="45">
        <v>1</v>
      </c>
      <c r="W57" s="606"/>
      <c r="X57" s="45"/>
      <c r="Y57" s="1919"/>
      <c r="Z57" s="1906"/>
      <c r="AA57" s="1163">
        <f t="shared" si="1"/>
        <v>43885</v>
      </c>
      <c r="AB57" s="21"/>
      <c r="AE57" s="146">
        <f t="shared" si="3"/>
        <v>36585</v>
      </c>
      <c r="AF57" s="21"/>
    </row>
    <row r="58" spans="1:33" x14ac:dyDescent="0.2">
      <c r="A58" s="1176">
        <f t="shared" si="0"/>
        <v>40964</v>
      </c>
      <c r="C58" s="1210"/>
      <c r="D58" s="45"/>
      <c r="E58" s="1211"/>
      <c r="F58" s="45"/>
      <c r="G58" s="1202"/>
      <c r="H58" s="45"/>
      <c r="I58" s="1203"/>
      <c r="J58" s="45"/>
      <c r="K58" s="1204"/>
      <c r="L58" s="45"/>
      <c r="M58" s="1205"/>
      <c r="N58" s="45"/>
      <c r="O58" s="1206"/>
      <c r="P58" s="45"/>
      <c r="Q58" s="1207"/>
      <c r="R58" s="45"/>
      <c r="S58" s="1208" t="s">
        <v>5544</v>
      </c>
      <c r="T58" s="45">
        <v>1</v>
      </c>
      <c r="U58" s="1209"/>
      <c r="V58" s="45"/>
      <c r="W58" s="606"/>
      <c r="X58" s="45"/>
      <c r="Y58" s="1919"/>
      <c r="Z58" s="1906"/>
      <c r="AA58" s="1163">
        <f t="shared" si="1"/>
        <v>43886</v>
      </c>
      <c r="AB58" s="21"/>
      <c r="AE58" s="146">
        <f t="shared" si="3"/>
        <v>38046</v>
      </c>
      <c r="AF58" s="21"/>
    </row>
    <row r="59" spans="1:33" x14ac:dyDescent="0.2">
      <c r="A59" s="1169">
        <f t="shared" si="0"/>
        <v>40965</v>
      </c>
      <c r="C59" s="1210"/>
      <c r="D59" s="45"/>
      <c r="E59" s="1211"/>
      <c r="F59" s="45"/>
      <c r="G59" s="1202" t="s">
        <v>8244</v>
      </c>
      <c r="H59" s="45">
        <v>1</v>
      </c>
      <c r="I59" s="1203"/>
      <c r="J59" s="45"/>
      <c r="K59" s="1204"/>
      <c r="L59" s="45"/>
      <c r="M59" s="1205"/>
      <c r="N59" s="45"/>
      <c r="O59" s="1206"/>
      <c r="P59" s="45"/>
      <c r="Q59" s="1207"/>
      <c r="R59" s="45"/>
      <c r="S59" s="1208"/>
      <c r="T59" s="45"/>
      <c r="U59" s="1209"/>
      <c r="V59" s="45"/>
      <c r="W59" s="606"/>
      <c r="X59" s="45"/>
      <c r="Y59" s="1919"/>
      <c r="Z59" s="1906"/>
      <c r="AA59" s="1163">
        <f t="shared" si="1"/>
        <v>43887</v>
      </c>
      <c r="AB59" s="21"/>
      <c r="AE59" s="146">
        <f t="shared" si="3"/>
        <v>39507</v>
      </c>
      <c r="AF59" s="21"/>
    </row>
    <row r="60" spans="1:33" x14ac:dyDescent="0.2">
      <c r="A60" s="1166">
        <f t="shared" si="0"/>
        <v>40966</v>
      </c>
      <c r="C60" s="1210"/>
      <c r="D60" s="45"/>
      <c r="E60" s="1211"/>
      <c r="F60" s="45"/>
      <c r="G60" s="1202"/>
      <c r="H60" s="45"/>
      <c r="I60" s="1203"/>
      <c r="J60" s="45"/>
      <c r="K60" s="1204"/>
      <c r="L60" s="45"/>
      <c r="M60" s="1205"/>
      <c r="N60" s="45"/>
      <c r="O60" s="1206"/>
      <c r="P60" s="45"/>
      <c r="Q60" s="1207" t="s">
        <v>5544</v>
      </c>
      <c r="R60" s="45">
        <v>1</v>
      </c>
      <c r="S60" s="1208"/>
      <c r="T60" s="45"/>
      <c r="U60" s="1209"/>
      <c r="V60" s="45"/>
      <c r="W60" s="606"/>
      <c r="X60" s="45"/>
      <c r="Y60" s="1919"/>
      <c r="Z60" s="1906"/>
      <c r="AA60" s="1163">
        <f t="shared" si="1"/>
        <v>43888</v>
      </c>
      <c r="AB60" s="21"/>
      <c r="AE60" s="146">
        <f t="shared" si="3"/>
        <v>40968</v>
      </c>
      <c r="AF60" s="21"/>
    </row>
    <row r="61" spans="1:33" x14ac:dyDescent="0.2">
      <c r="A61" s="1167">
        <f t="shared" si="0"/>
        <v>40967</v>
      </c>
      <c r="C61" s="1210"/>
      <c r="D61" s="45"/>
      <c r="E61" s="1211"/>
      <c r="F61" s="45"/>
      <c r="G61" s="1202"/>
      <c r="H61" s="45"/>
      <c r="I61" s="1203"/>
      <c r="J61" s="45"/>
      <c r="K61" s="1204"/>
      <c r="L61" s="45"/>
      <c r="M61" s="1205"/>
      <c r="N61" s="45"/>
      <c r="O61" s="1206" t="s">
        <v>5544</v>
      </c>
      <c r="P61" s="45">
        <v>1</v>
      </c>
      <c r="Q61" s="1207"/>
      <c r="R61" s="45"/>
      <c r="S61" s="1208"/>
      <c r="T61" s="45"/>
      <c r="U61" s="1209"/>
      <c r="V61" s="45"/>
      <c r="W61" s="606"/>
      <c r="X61" s="45"/>
      <c r="Y61" s="1919"/>
      <c r="Z61" s="1906"/>
      <c r="AA61" s="1163">
        <f t="shared" si="1"/>
        <v>43889</v>
      </c>
      <c r="AB61" s="21"/>
      <c r="AE61" s="146">
        <f>AE62-1461</f>
        <v>42429</v>
      </c>
      <c r="AF61" s="21"/>
    </row>
    <row r="62" spans="1:33" x14ac:dyDescent="0.2">
      <c r="A62" s="11">
        <f t="shared" si="0"/>
        <v>40968</v>
      </c>
      <c r="B62" s="1473"/>
      <c r="C62" s="45"/>
      <c r="D62" s="45"/>
      <c r="E62" s="45"/>
      <c r="F62" s="45"/>
      <c r="G62" s="45"/>
      <c r="H62" s="45"/>
      <c r="I62" s="1203"/>
      <c r="J62" s="45"/>
      <c r="K62" s="45"/>
      <c r="L62" s="45"/>
      <c r="M62" s="45">
        <v>14</v>
      </c>
      <c r="N62" s="45"/>
      <c r="O62" s="45"/>
      <c r="P62" s="45"/>
      <c r="Q62" s="1207"/>
      <c r="R62" s="45"/>
      <c r="S62" s="45"/>
      <c r="T62" s="45"/>
      <c r="U62" s="45"/>
      <c r="V62" s="45"/>
      <c r="W62" s="45"/>
      <c r="X62" s="45"/>
      <c r="Y62" s="1919" t="s">
        <v>16817</v>
      </c>
      <c r="Z62" s="1921">
        <v>1</v>
      </c>
      <c r="AA62" s="1186">
        <f t="shared" ref="AA62:AA125" si="4">AA61+1</f>
        <v>43890</v>
      </c>
      <c r="AB62" s="21">
        <f>AA62</f>
        <v>43890</v>
      </c>
      <c r="AE62" s="1233">
        <v>43890</v>
      </c>
      <c r="AF62" s="21">
        <v>43889</v>
      </c>
      <c r="AG62">
        <v>2020</v>
      </c>
    </row>
    <row r="63" spans="1:33" x14ac:dyDescent="0.2">
      <c r="A63" s="1170">
        <f t="shared" si="0"/>
        <v>40969</v>
      </c>
      <c r="C63" s="1210">
        <v>9</v>
      </c>
      <c r="D63" s="45"/>
      <c r="E63" s="1211">
        <v>10</v>
      </c>
      <c r="F63" s="45"/>
      <c r="G63" s="1202">
        <v>11</v>
      </c>
      <c r="H63" s="45"/>
      <c r="I63" s="1203">
        <v>12</v>
      </c>
      <c r="J63" s="45"/>
      <c r="K63" s="1204">
        <v>13</v>
      </c>
      <c r="L63" s="45"/>
      <c r="M63" s="1205" t="s">
        <v>11139</v>
      </c>
      <c r="N63" s="45">
        <v>1</v>
      </c>
      <c r="O63" s="1206">
        <v>15</v>
      </c>
      <c r="P63" s="45"/>
      <c r="Q63" s="1207">
        <v>16</v>
      </c>
      <c r="R63" s="45"/>
      <c r="S63" s="1208">
        <v>17</v>
      </c>
      <c r="T63" s="45"/>
      <c r="U63" s="1209">
        <v>18</v>
      </c>
      <c r="V63" s="45"/>
      <c r="W63" s="606">
        <v>19</v>
      </c>
      <c r="X63" s="45"/>
      <c r="Y63" s="1920">
        <v>20</v>
      </c>
      <c r="Z63" s="1906"/>
      <c r="AA63" s="1163">
        <f t="shared" si="4"/>
        <v>43891</v>
      </c>
      <c r="AE63" s="1232">
        <f>AE62+1461</f>
        <v>45351</v>
      </c>
      <c r="AF63" s="21"/>
    </row>
    <row r="64" spans="1:33" x14ac:dyDescent="0.2">
      <c r="A64" s="1291">
        <f t="shared" si="0"/>
        <v>40970</v>
      </c>
      <c r="C64" s="1210"/>
      <c r="D64" s="45"/>
      <c r="E64" s="1211"/>
      <c r="F64" s="45"/>
      <c r="G64" s="1202"/>
      <c r="H64" s="45"/>
      <c r="I64" s="1203"/>
      <c r="J64" s="45"/>
      <c r="K64" s="1204" t="s">
        <v>1827</v>
      </c>
      <c r="L64" s="45">
        <v>1</v>
      </c>
      <c r="M64" s="1205"/>
      <c r="N64" s="45"/>
      <c r="O64" s="1206"/>
      <c r="P64" s="45"/>
      <c r="Q64" s="1207"/>
      <c r="R64" s="45"/>
      <c r="S64" s="1208"/>
      <c r="T64" s="45"/>
      <c r="U64" s="1209"/>
      <c r="V64" s="45"/>
      <c r="W64" s="606" t="s">
        <v>10441</v>
      </c>
      <c r="X64" s="45">
        <v>1</v>
      </c>
      <c r="Y64" s="1919"/>
      <c r="Z64" s="1906"/>
      <c r="AA64" s="1163">
        <f t="shared" si="4"/>
        <v>43892</v>
      </c>
      <c r="AE64" s="1232">
        <f t="shared" ref="AE64:AE118" si="5">AE63+1461</f>
        <v>46812</v>
      </c>
      <c r="AF64" s="21"/>
    </row>
    <row r="65" spans="1:33" x14ac:dyDescent="0.2">
      <c r="A65" s="1175">
        <f t="shared" si="0"/>
        <v>40971</v>
      </c>
      <c r="C65" s="1210"/>
      <c r="D65" s="45"/>
      <c r="E65" s="1211"/>
      <c r="F65" s="45"/>
      <c r="G65" s="1202"/>
      <c r="H65" s="45"/>
      <c r="I65" s="1203" t="s">
        <v>5544</v>
      </c>
      <c r="J65" s="45">
        <v>1</v>
      </c>
      <c r="K65" s="1204">
        <v>-11</v>
      </c>
      <c r="L65" s="45"/>
      <c r="M65" s="1205"/>
      <c r="N65" s="45"/>
      <c r="O65" s="1206"/>
      <c r="P65" s="45"/>
      <c r="Q65" s="1207"/>
      <c r="R65" s="45"/>
      <c r="S65" s="1208"/>
      <c r="T65" s="45"/>
      <c r="U65" s="1209" t="s">
        <v>5453</v>
      </c>
      <c r="V65" s="45">
        <v>1</v>
      </c>
      <c r="W65" s="606"/>
      <c r="X65" s="45"/>
      <c r="Y65" s="1919"/>
      <c r="Z65" s="1906"/>
      <c r="AA65" s="1163">
        <f t="shared" si="4"/>
        <v>43893</v>
      </c>
      <c r="AE65" s="1232">
        <f t="shared" si="5"/>
        <v>48273</v>
      </c>
      <c r="AF65" s="21"/>
    </row>
    <row r="66" spans="1:33" x14ac:dyDescent="0.2">
      <c r="A66" s="1176">
        <f t="shared" si="0"/>
        <v>40972</v>
      </c>
      <c r="C66" s="1210"/>
      <c r="D66" s="45"/>
      <c r="E66" s="1211"/>
      <c r="F66" s="45"/>
      <c r="G66" s="1202"/>
      <c r="H66" s="45"/>
      <c r="I66" s="1203"/>
      <c r="J66" s="45"/>
      <c r="K66" s="1204"/>
      <c r="L66" s="45"/>
      <c r="M66" s="1205"/>
      <c r="N66" s="45"/>
      <c r="O66" s="1206"/>
      <c r="P66" s="45"/>
      <c r="Q66" s="1207"/>
      <c r="R66" s="45"/>
      <c r="S66" s="1208" t="s">
        <v>5544</v>
      </c>
      <c r="T66" s="45">
        <v>1</v>
      </c>
      <c r="U66" s="1209"/>
      <c r="V66" s="45"/>
      <c r="W66" s="606"/>
      <c r="X66" s="45"/>
      <c r="Y66" s="1919"/>
      <c r="Z66" s="1906"/>
      <c r="AA66" s="1163">
        <f t="shared" si="4"/>
        <v>43894</v>
      </c>
      <c r="AE66" s="1232">
        <f t="shared" si="5"/>
        <v>49734</v>
      </c>
      <c r="AF66" s="21"/>
    </row>
    <row r="67" spans="1:33" x14ac:dyDescent="0.2">
      <c r="A67" s="1166">
        <f t="shared" si="0"/>
        <v>40973</v>
      </c>
      <c r="C67" s="1210"/>
      <c r="D67" s="45"/>
      <c r="E67" s="1211"/>
      <c r="F67" s="45"/>
      <c r="G67" s="1202"/>
      <c r="H67" s="45"/>
      <c r="I67" s="1203"/>
      <c r="J67" s="45"/>
      <c r="K67" s="1204"/>
      <c r="L67" s="45"/>
      <c r="M67" s="1205"/>
      <c r="N67" s="45"/>
      <c r="O67" s="1206"/>
      <c r="P67" s="45"/>
      <c r="Q67" s="1207" t="s">
        <v>2872</v>
      </c>
      <c r="R67" s="45">
        <v>1</v>
      </c>
      <c r="S67" s="1208"/>
      <c r="T67" s="45"/>
      <c r="U67" s="1209"/>
      <c r="V67" s="45"/>
      <c r="W67" s="606"/>
      <c r="X67" s="45"/>
      <c r="Y67" s="1919"/>
      <c r="Z67" s="1906"/>
      <c r="AA67" s="1163">
        <f t="shared" si="4"/>
        <v>43895</v>
      </c>
      <c r="AE67" s="1232">
        <f t="shared" si="5"/>
        <v>51195</v>
      </c>
      <c r="AF67" s="21"/>
    </row>
    <row r="68" spans="1:33" x14ac:dyDescent="0.2">
      <c r="A68" s="11">
        <f t="shared" si="0"/>
        <v>40974</v>
      </c>
      <c r="B68" s="99">
        <v>2021</v>
      </c>
      <c r="C68" s="1210"/>
      <c r="D68" s="45"/>
      <c r="E68" s="1211"/>
      <c r="F68" s="45"/>
      <c r="G68" s="1202"/>
      <c r="H68" s="45"/>
      <c r="I68" s="1203"/>
      <c r="J68" s="45"/>
      <c r="K68" s="1204"/>
      <c r="L68" s="45"/>
      <c r="M68" s="1205"/>
      <c r="N68" s="45"/>
      <c r="O68" s="1206"/>
      <c r="P68" s="45"/>
      <c r="Q68" s="1207"/>
      <c r="R68" s="45"/>
      <c r="S68" s="1208"/>
      <c r="T68" s="45"/>
      <c r="U68" s="1209"/>
      <c r="V68" s="45"/>
      <c r="W68" s="606"/>
      <c r="X68" s="45"/>
      <c r="Y68" s="1919"/>
      <c r="Z68" s="1906"/>
      <c r="AA68" s="1163">
        <f t="shared" si="4"/>
        <v>43896</v>
      </c>
      <c r="AB68" s="21">
        <v>44261</v>
      </c>
      <c r="AE68" s="1232">
        <f t="shared" si="5"/>
        <v>52656</v>
      </c>
      <c r="AF68" s="21"/>
    </row>
    <row r="69" spans="1:33" x14ac:dyDescent="0.2">
      <c r="A69" s="12">
        <f t="shared" ref="A69:A132" si="6">A68+1</f>
        <v>40975</v>
      </c>
      <c r="B69" s="1473"/>
      <c r="C69" s="1210"/>
      <c r="D69" s="45"/>
      <c r="E69" s="1211"/>
      <c r="F69" s="45"/>
      <c r="G69" s="1202"/>
      <c r="H69" s="45"/>
      <c r="I69" s="1203"/>
      <c r="J69" s="45"/>
      <c r="K69" s="1204"/>
      <c r="L69" s="45"/>
      <c r="M69" s="1205"/>
      <c r="N69" s="45"/>
      <c r="O69" s="1218"/>
      <c r="P69" s="45"/>
      <c r="Q69" s="1207"/>
      <c r="R69" s="45"/>
      <c r="S69" s="1208"/>
      <c r="T69" s="45"/>
      <c r="U69" s="1209"/>
      <c r="V69" s="45"/>
      <c r="W69" s="606"/>
      <c r="X69" s="45"/>
      <c r="Y69" s="1919" t="s">
        <v>9307</v>
      </c>
      <c r="Z69" s="1921">
        <v>1</v>
      </c>
      <c r="AA69" s="1186">
        <f t="shared" si="4"/>
        <v>43897</v>
      </c>
      <c r="AB69" s="21">
        <v>43897</v>
      </c>
      <c r="AE69" s="1234">
        <f t="shared" si="5"/>
        <v>54117</v>
      </c>
      <c r="AF69" s="21">
        <v>54116</v>
      </c>
      <c r="AG69">
        <v>2048</v>
      </c>
    </row>
    <row r="70" spans="1:33" x14ac:dyDescent="0.2">
      <c r="A70" s="1170">
        <f t="shared" si="6"/>
        <v>40976</v>
      </c>
      <c r="C70" s="1210"/>
      <c r="D70" s="45"/>
      <c r="E70" s="1211"/>
      <c r="F70" s="45"/>
      <c r="G70" s="1202"/>
      <c r="H70" s="45"/>
      <c r="I70" s="1203"/>
      <c r="J70" s="45"/>
      <c r="K70" s="1204"/>
      <c r="L70" s="45"/>
      <c r="M70" s="1205" t="s">
        <v>5947</v>
      </c>
      <c r="N70" s="45">
        <v>1</v>
      </c>
      <c r="O70" s="1206"/>
      <c r="P70" s="45"/>
      <c r="Q70" s="1207"/>
      <c r="R70" s="45"/>
      <c r="S70" s="1208"/>
      <c r="T70" s="45"/>
      <c r="U70" s="1209"/>
      <c r="V70" s="45"/>
      <c r="W70" s="606"/>
      <c r="X70" s="45"/>
      <c r="Y70" s="1919"/>
      <c r="Z70" s="1906"/>
      <c r="AA70" s="1163">
        <f t="shared" si="4"/>
        <v>43898</v>
      </c>
      <c r="AB70" s="21"/>
      <c r="AE70" s="1232">
        <f t="shared" si="5"/>
        <v>55578</v>
      </c>
      <c r="AF70" s="21"/>
    </row>
    <row r="71" spans="1:33" x14ac:dyDescent="0.2">
      <c r="A71" s="1291">
        <f t="shared" si="6"/>
        <v>40977</v>
      </c>
      <c r="C71" s="1210"/>
      <c r="D71" s="45"/>
      <c r="E71" s="1211"/>
      <c r="F71" s="45"/>
      <c r="G71" s="1202"/>
      <c r="H71" s="45"/>
      <c r="I71" s="1203"/>
      <c r="J71" s="45"/>
      <c r="K71" s="1204" t="s">
        <v>5544</v>
      </c>
      <c r="L71" s="45">
        <v>1</v>
      </c>
      <c r="M71" s="1205"/>
      <c r="N71" s="45"/>
      <c r="O71" s="1206"/>
      <c r="P71" s="45"/>
      <c r="Q71" s="1207"/>
      <c r="R71" s="45"/>
      <c r="S71" s="1208"/>
      <c r="T71" s="45"/>
      <c r="U71" s="1209"/>
      <c r="V71" s="45"/>
      <c r="W71" s="606" t="s">
        <v>1719</v>
      </c>
      <c r="X71" s="45">
        <v>1</v>
      </c>
      <c r="Y71" s="1919"/>
      <c r="Z71" s="1906"/>
      <c r="AA71" s="1163">
        <f t="shared" si="4"/>
        <v>43899</v>
      </c>
      <c r="AB71" s="21"/>
      <c r="AE71" s="1232">
        <f t="shared" si="5"/>
        <v>57039</v>
      </c>
      <c r="AF71" s="21"/>
    </row>
    <row r="72" spans="1:33" x14ac:dyDescent="0.2">
      <c r="A72" s="1175">
        <f t="shared" si="6"/>
        <v>40978</v>
      </c>
      <c r="C72" s="1210"/>
      <c r="D72" s="45"/>
      <c r="E72" s="1211"/>
      <c r="F72" s="45"/>
      <c r="G72" s="1202"/>
      <c r="H72" s="45"/>
      <c r="I72" s="1203" t="s">
        <v>5544</v>
      </c>
      <c r="J72" s="45">
        <v>1</v>
      </c>
      <c r="K72" s="1204"/>
      <c r="L72" s="45"/>
      <c r="M72" s="1205"/>
      <c r="N72" s="45"/>
      <c r="O72" s="1206"/>
      <c r="P72" s="45"/>
      <c r="Q72" s="1207"/>
      <c r="R72" s="45"/>
      <c r="S72" s="1208"/>
      <c r="T72" s="45"/>
      <c r="U72" s="1209" t="s">
        <v>1822</v>
      </c>
      <c r="V72" s="45">
        <v>1</v>
      </c>
      <c r="W72" s="606"/>
      <c r="X72" s="45"/>
      <c r="Y72" s="1919"/>
      <c r="Z72" s="1906"/>
      <c r="AA72" s="1163">
        <f t="shared" si="4"/>
        <v>43900</v>
      </c>
      <c r="AB72" s="21"/>
      <c r="AE72" s="1232">
        <f t="shared" si="5"/>
        <v>58500</v>
      </c>
      <c r="AF72" s="21"/>
    </row>
    <row r="73" spans="1:33" x14ac:dyDescent="0.2">
      <c r="A73" s="1176">
        <f t="shared" si="6"/>
        <v>40979</v>
      </c>
      <c r="C73" s="1210"/>
      <c r="D73" s="45"/>
      <c r="E73" s="1211"/>
      <c r="F73" s="45"/>
      <c r="G73" s="1202"/>
      <c r="H73" s="45"/>
      <c r="I73" s="1203"/>
      <c r="J73" s="45"/>
      <c r="K73" s="1204"/>
      <c r="L73" s="45"/>
      <c r="M73" s="1205"/>
      <c r="N73" s="45"/>
      <c r="O73" s="1206"/>
      <c r="P73" s="45"/>
      <c r="Q73" s="1207"/>
      <c r="R73" s="45"/>
      <c r="S73" s="1208" t="s">
        <v>11144</v>
      </c>
      <c r="T73" s="45">
        <v>1</v>
      </c>
      <c r="U73" s="1209"/>
      <c r="V73" s="45"/>
      <c r="W73" s="606"/>
      <c r="X73" s="45"/>
      <c r="Y73" s="1919"/>
      <c r="Z73" s="1906"/>
      <c r="AA73" s="1163">
        <f t="shared" si="4"/>
        <v>43901</v>
      </c>
      <c r="AB73" s="21"/>
      <c r="AE73" s="1232">
        <f t="shared" si="5"/>
        <v>59961</v>
      </c>
      <c r="AF73" s="21"/>
    </row>
    <row r="74" spans="1:33" x14ac:dyDescent="0.2">
      <c r="A74" s="1169">
        <f t="shared" si="6"/>
        <v>40980</v>
      </c>
      <c r="C74" s="1210"/>
      <c r="D74" s="45"/>
      <c r="E74" s="1211"/>
      <c r="F74" s="45"/>
      <c r="G74" s="1202" t="s">
        <v>1122</v>
      </c>
      <c r="H74" s="45">
        <v>1</v>
      </c>
      <c r="I74" s="1203"/>
      <c r="J74" s="45"/>
      <c r="K74" s="1204"/>
      <c r="L74" s="45"/>
      <c r="M74" s="1205"/>
      <c r="N74" s="45"/>
      <c r="O74" s="1206"/>
      <c r="P74" s="45"/>
      <c r="Q74" s="1207" t="s">
        <v>4452</v>
      </c>
      <c r="R74" s="45">
        <v>1</v>
      </c>
      <c r="S74" s="1208"/>
      <c r="T74" s="45"/>
      <c r="U74" s="1209"/>
      <c r="V74" s="45"/>
      <c r="W74" s="606"/>
      <c r="X74" s="45"/>
      <c r="Y74" s="1919"/>
      <c r="Z74" s="1906"/>
      <c r="AA74" s="1163">
        <f t="shared" si="4"/>
        <v>43902</v>
      </c>
      <c r="AB74" s="21"/>
      <c r="AE74" s="1232">
        <f t="shared" si="5"/>
        <v>61422</v>
      </c>
      <c r="AF74" s="21"/>
    </row>
    <row r="75" spans="1:33" x14ac:dyDescent="0.2">
      <c r="A75" s="11">
        <f t="shared" si="6"/>
        <v>40981</v>
      </c>
      <c r="B75" s="99">
        <v>2021</v>
      </c>
      <c r="C75" s="1210"/>
      <c r="D75" s="45"/>
      <c r="E75" s="1211"/>
      <c r="F75" s="45"/>
      <c r="G75" s="1202"/>
      <c r="H75" s="45"/>
      <c r="I75" s="1203"/>
      <c r="J75" s="45"/>
      <c r="K75" s="1204"/>
      <c r="L75" s="45"/>
      <c r="M75" s="1205"/>
      <c r="N75" s="45"/>
      <c r="O75" s="1206"/>
      <c r="P75" s="45"/>
      <c r="Q75" s="1207"/>
      <c r="R75" s="45"/>
      <c r="S75" s="1208"/>
      <c r="T75" s="45"/>
      <c r="U75" s="1209"/>
      <c r="V75" s="45"/>
      <c r="W75" s="606"/>
      <c r="X75" s="45"/>
      <c r="Y75" s="1919"/>
      <c r="Z75" s="1906"/>
      <c r="AA75" s="1163">
        <f t="shared" si="4"/>
        <v>43903</v>
      </c>
      <c r="AB75" s="21">
        <v>44268</v>
      </c>
      <c r="AE75" s="1232">
        <f t="shared" si="5"/>
        <v>62883</v>
      </c>
      <c r="AF75" s="21"/>
    </row>
    <row r="76" spans="1:33" x14ac:dyDescent="0.2">
      <c r="A76" s="1167">
        <f t="shared" si="6"/>
        <v>40982</v>
      </c>
      <c r="C76" s="1210"/>
      <c r="D76" s="45"/>
      <c r="E76" s="1211"/>
      <c r="F76" s="45"/>
      <c r="G76" s="1202"/>
      <c r="H76" s="45"/>
      <c r="I76" s="1203"/>
      <c r="J76" s="45"/>
      <c r="K76" s="1204"/>
      <c r="L76" s="45"/>
      <c r="M76" s="1205"/>
      <c r="N76" s="45"/>
      <c r="O76" s="1206" t="s">
        <v>5544</v>
      </c>
      <c r="P76" s="45">
        <v>1</v>
      </c>
      <c r="Q76" s="1207"/>
      <c r="R76" s="45"/>
      <c r="S76" s="1208"/>
      <c r="T76" s="45"/>
      <c r="U76" s="1209"/>
      <c r="V76" s="45"/>
      <c r="W76" s="606"/>
      <c r="X76" s="45"/>
      <c r="Y76" s="1919" t="s">
        <v>5544</v>
      </c>
      <c r="Z76" s="1921">
        <v>1</v>
      </c>
      <c r="AA76" s="1163">
        <f t="shared" si="4"/>
        <v>43904</v>
      </c>
      <c r="AB76" s="21"/>
      <c r="AE76" s="1234">
        <f t="shared" si="5"/>
        <v>64344</v>
      </c>
      <c r="AF76" s="21">
        <v>64343</v>
      </c>
      <c r="AG76">
        <v>2076</v>
      </c>
    </row>
    <row r="77" spans="1:33" x14ac:dyDescent="0.2">
      <c r="A77" s="1170">
        <f t="shared" si="6"/>
        <v>40983</v>
      </c>
      <c r="C77" s="1210"/>
      <c r="D77" s="45"/>
      <c r="E77" s="1211"/>
      <c r="F77" s="45"/>
      <c r="G77" s="1202"/>
      <c r="H77" s="45"/>
      <c r="I77" s="1203"/>
      <c r="J77" s="45"/>
      <c r="K77" s="1204"/>
      <c r="L77" s="45"/>
      <c r="M77" s="1205" t="s">
        <v>449</v>
      </c>
      <c r="N77" s="45">
        <v>1</v>
      </c>
      <c r="O77" s="1206"/>
      <c r="P77" s="45"/>
      <c r="Q77" s="1207"/>
      <c r="R77" s="45"/>
      <c r="S77" s="1208"/>
      <c r="T77" s="45"/>
      <c r="U77" s="1209"/>
      <c r="V77" s="45"/>
      <c r="W77" s="606"/>
      <c r="X77" s="45"/>
      <c r="Y77" s="1919"/>
      <c r="Z77" s="1906"/>
      <c r="AA77" s="1163">
        <f t="shared" si="4"/>
        <v>43905</v>
      </c>
      <c r="AB77" s="21"/>
      <c r="AE77" s="1232">
        <f t="shared" si="5"/>
        <v>65805</v>
      </c>
      <c r="AF77" s="21"/>
    </row>
    <row r="78" spans="1:33" x14ac:dyDescent="0.2">
      <c r="A78" s="1291">
        <f t="shared" si="6"/>
        <v>40984</v>
      </c>
      <c r="C78" s="1210"/>
      <c r="D78" s="45"/>
      <c r="E78" s="1211"/>
      <c r="F78" s="45"/>
      <c r="G78" s="1202"/>
      <c r="H78" s="45"/>
      <c r="I78" s="1203"/>
      <c r="J78" s="45"/>
      <c r="K78" s="1204" t="s">
        <v>4556</v>
      </c>
      <c r="L78" s="45">
        <v>1</v>
      </c>
      <c r="M78" s="1205"/>
      <c r="N78" s="45"/>
      <c r="O78" s="1206"/>
      <c r="P78" s="45"/>
      <c r="Q78" s="1207"/>
      <c r="R78" s="45"/>
      <c r="S78" s="1208"/>
      <c r="T78" s="45"/>
      <c r="U78" s="1209"/>
      <c r="V78" s="45"/>
      <c r="W78" s="606" t="s">
        <v>4727</v>
      </c>
      <c r="X78" s="45">
        <v>1</v>
      </c>
      <c r="Y78" s="1919"/>
      <c r="Z78" s="1906"/>
      <c r="AA78" s="1163">
        <f t="shared" si="4"/>
        <v>43906</v>
      </c>
      <c r="AB78" s="21"/>
      <c r="AE78" s="1232">
        <f t="shared" si="5"/>
        <v>67266</v>
      </c>
      <c r="AF78" s="21"/>
    </row>
    <row r="79" spans="1:33" x14ac:dyDescent="0.2">
      <c r="A79" s="1175">
        <f t="shared" si="6"/>
        <v>40985</v>
      </c>
      <c r="C79" s="1210"/>
      <c r="D79" s="45"/>
      <c r="E79" s="1211"/>
      <c r="F79" s="45"/>
      <c r="G79" s="1202"/>
      <c r="H79" s="45"/>
      <c r="I79" s="1203" t="s">
        <v>5544</v>
      </c>
      <c r="J79" s="45">
        <v>1</v>
      </c>
      <c r="K79" s="1204">
        <v>-12</v>
      </c>
      <c r="L79" s="45"/>
      <c r="M79" s="1205"/>
      <c r="N79" s="45"/>
      <c r="O79" s="1206"/>
      <c r="P79" s="45"/>
      <c r="Q79" s="1207"/>
      <c r="R79" s="45"/>
      <c r="S79" s="1208"/>
      <c r="T79" s="45"/>
      <c r="U79" s="1209" t="s">
        <v>5544</v>
      </c>
      <c r="V79" s="45">
        <v>1</v>
      </c>
      <c r="W79" s="606"/>
      <c r="X79" s="45"/>
      <c r="Y79" s="1919"/>
      <c r="Z79" s="1906"/>
      <c r="AA79" s="1163">
        <f t="shared" si="4"/>
        <v>43907</v>
      </c>
      <c r="AB79" s="21"/>
      <c r="AE79" s="1232">
        <f t="shared" si="5"/>
        <v>68727</v>
      </c>
      <c r="AF79" s="21"/>
    </row>
    <row r="80" spans="1:33" x14ac:dyDescent="0.2">
      <c r="A80" s="1176">
        <f t="shared" si="6"/>
        <v>40986</v>
      </c>
      <c r="C80" s="1210"/>
      <c r="D80" s="45"/>
      <c r="E80" s="1211"/>
      <c r="F80" s="45"/>
      <c r="G80" s="1202"/>
      <c r="H80" s="45"/>
      <c r="I80" s="1203"/>
      <c r="J80" s="45"/>
      <c r="K80" s="1204"/>
      <c r="L80" s="45"/>
      <c r="M80" s="1205"/>
      <c r="N80" s="45"/>
      <c r="O80" s="1206"/>
      <c r="P80" s="45"/>
      <c r="Q80" s="1207"/>
      <c r="R80" s="45"/>
      <c r="S80" s="1208" t="s">
        <v>5544</v>
      </c>
      <c r="T80" s="45">
        <v>1</v>
      </c>
      <c r="U80" s="1209"/>
      <c r="V80" s="45"/>
      <c r="W80" s="606"/>
      <c r="X80" s="45"/>
      <c r="Y80" s="1919"/>
      <c r="Z80" s="1906"/>
      <c r="AA80" s="1163">
        <f t="shared" si="4"/>
        <v>43908</v>
      </c>
      <c r="AB80" s="21"/>
      <c r="AE80" s="1232">
        <f t="shared" si="5"/>
        <v>70188</v>
      </c>
      <c r="AF80" s="21"/>
    </row>
    <row r="81" spans="1:33" x14ac:dyDescent="0.2">
      <c r="A81" s="1166">
        <f t="shared" si="6"/>
        <v>40987</v>
      </c>
      <c r="C81" s="1210"/>
      <c r="D81" s="45"/>
      <c r="E81" s="1211"/>
      <c r="F81" s="45"/>
      <c r="G81" s="1202"/>
      <c r="H81" s="45"/>
      <c r="I81" s="1203"/>
      <c r="J81" s="45"/>
      <c r="K81" s="1204"/>
      <c r="L81" s="45"/>
      <c r="M81" s="1205"/>
      <c r="N81" s="45"/>
      <c r="O81" s="1206"/>
      <c r="P81" s="45"/>
      <c r="Q81" s="1207" t="s">
        <v>5544</v>
      </c>
      <c r="R81" s="45">
        <v>1</v>
      </c>
      <c r="S81" s="1208"/>
      <c r="T81" s="45"/>
      <c r="U81" s="1209"/>
      <c r="V81" s="45"/>
      <c r="W81" s="606"/>
      <c r="X81" s="45"/>
      <c r="Y81" s="1919"/>
      <c r="Z81" s="1906"/>
      <c r="AA81" s="1163">
        <f t="shared" si="4"/>
        <v>43909</v>
      </c>
      <c r="AB81" s="21"/>
      <c r="AE81" s="1232">
        <f t="shared" si="5"/>
        <v>71649</v>
      </c>
      <c r="AF81" s="21"/>
    </row>
    <row r="82" spans="1:33" x14ac:dyDescent="0.2">
      <c r="A82" s="11">
        <f t="shared" si="6"/>
        <v>40988</v>
      </c>
      <c r="B82" s="99">
        <v>2021</v>
      </c>
      <c r="C82" s="1210"/>
      <c r="D82" s="45"/>
      <c r="E82" s="1211"/>
      <c r="F82" s="45"/>
      <c r="G82" s="1202"/>
      <c r="H82" s="45"/>
      <c r="I82" s="1203"/>
      <c r="J82" s="45"/>
      <c r="K82" s="1204"/>
      <c r="L82" s="45"/>
      <c r="M82" s="1205"/>
      <c r="N82" s="45"/>
      <c r="O82" s="1206"/>
      <c r="P82" s="45"/>
      <c r="Q82" s="1207"/>
      <c r="R82" s="45"/>
      <c r="S82" s="1208"/>
      <c r="T82" s="45"/>
      <c r="U82" s="1209"/>
      <c r="V82" s="45"/>
      <c r="W82" s="606"/>
      <c r="X82" s="45"/>
      <c r="Y82" s="1919"/>
      <c r="Z82" s="1906"/>
      <c r="AA82" s="1163">
        <f t="shared" si="4"/>
        <v>43910</v>
      </c>
      <c r="AB82" s="21">
        <v>44275</v>
      </c>
      <c r="AE82" s="1232">
        <v>73109</v>
      </c>
      <c r="AF82" s="21">
        <v>73109</v>
      </c>
      <c r="AG82">
        <v>2100</v>
      </c>
    </row>
    <row r="83" spans="1:33" x14ac:dyDescent="0.2">
      <c r="A83" s="1167">
        <f t="shared" si="6"/>
        <v>40989</v>
      </c>
      <c r="C83" s="1210"/>
      <c r="D83" s="45"/>
      <c r="E83" s="1211"/>
      <c r="F83" s="45"/>
      <c r="G83" s="1202"/>
      <c r="H83" s="45"/>
      <c r="I83" s="1203"/>
      <c r="J83" s="45"/>
      <c r="K83" s="1204"/>
      <c r="L83" s="45"/>
      <c r="M83" s="1205"/>
      <c r="N83" s="45"/>
      <c r="O83" s="1206" t="s">
        <v>420</v>
      </c>
      <c r="P83" s="45">
        <v>1</v>
      </c>
      <c r="Q83" s="1207"/>
      <c r="R83" s="45"/>
      <c r="S83" s="1208"/>
      <c r="T83" s="45"/>
      <c r="U83" s="1209"/>
      <c r="V83" s="45"/>
      <c r="W83" s="606"/>
      <c r="X83" s="45"/>
      <c r="Y83" s="1919" t="s">
        <v>12218</v>
      </c>
      <c r="Z83" s="1906"/>
      <c r="AA83" s="1163">
        <f t="shared" si="4"/>
        <v>43911</v>
      </c>
      <c r="AB83" s="21"/>
      <c r="AE83" s="1232">
        <v>74570</v>
      </c>
      <c r="AF83" s="21"/>
    </row>
    <row r="84" spans="1:33" x14ac:dyDescent="0.2">
      <c r="A84" s="1170">
        <f t="shared" si="6"/>
        <v>40990</v>
      </c>
      <c r="B84" s="9">
        <v>2025</v>
      </c>
      <c r="C84" s="1210"/>
      <c r="D84" s="45"/>
      <c r="E84" s="1211"/>
      <c r="F84" s="45"/>
      <c r="G84" s="1202"/>
      <c r="H84" s="45"/>
      <c r="I84" s="1203"/>
      <c r="J84" s="45"/>
      <c r="K84" s="1204"/>
      <c r="L84" s="45"/>
      <c r="M84" s="1205" t="s">
        <v>11214</v>
      </c>
      <c r="N84" s="45"/>
      <c r="O84" s="1206"/>
      <c r="P84" s="45"/>
      <c r="Q84" s="1207"/>
      <c r="R84" s="45"/>
      <c r="S84" s="1208"/>
      <c r="T84" s="45"/>
      <c r="U84" s="1209"/>
      <c r="V84" s="45"/>
      <c r="W84" s="606"/>
      <c r="X84" s="45"/>
      <c r="Y84" s="1919"/>
      <c r="Z84" s="1906"/>
      <c r="AA84" s="1163">
        <f t="shared" si="4"/>
        <v>43912</v>
      </c>
      <c r="AB84" s="21">
        <v>45738</v>
      </c>
      <c r="AE84" s="1232">
        <v>76031</v>
      </c>
      <c r="AF84" s="21"/>
    </row>
    <row r="85" spans="1:33" x14ac:dyDescent="0.2">
      <c r="A85" s="1291">
        <f t="shared" si="6"/>
        <v>40991</v>
      </c>
      <c r="C85" s="1210"/>
      <c r="D85" s="45"/>
      <c r="E85" s="1211"/>
      <c r="F85" s="45"/>
      <c r="G85" s="1202"/>
      <c r="H85" s="45"/>
      <c r="I85" s="1203"/>
      <c r="J85" s="45"/>
      <c r="K85" s="1204" t="s">
        <v>11139</v>
      </c>
      <c r="L85" s="45">
        <v>1</v>
      </c>
      <c r="M85" s="1205"/>
      <c r="N85" s="45"/>
      <c r="O85" s="1206"/>
      <c r="P85" s="45"/>
      <c r="Q85" s="1207"/>
      <c r="R85" s="45"/>
      <c r="S85" s="1208"/>
      <c r="T85" s="45"/>
      <c r="U85" s="1209"/>
      <c r="V85" s="45"/>
      <c r="W85" s="606" t="s">
        <v>5544</v>
      </c>
      <c r="X85" s="45">
        <v>1</v>
      </c>
      <c r="Y85" s="1919"/>
      <c r="Z85" s="1906"/>
      <c r="AA85" s="1163">
        <f t="shared" si="4"/>
        <v>43913</v>
      </c>
      <c r="AB85" s="21"/>
      <c r="AE85" s="1232">
        <v>77492</v>
      </c>
      <c r="AF85" s="21"/>
    </row>
    <row r="86" spans="1:33" x14ac:dyDescent="0.2">
      <c r="A86" s="1175">
        <f t="shared" si="6"/>
        <v>40992</v>
      </c>
      <c r="C86" s="1210"/>
      <c r="D86" s="45"/>
      <c r="E86" s="1211"/>
      <c r="F86" s="45"/>
      <c r="G86" s="1202"/>
      <c r="H86" s="45"/>
      <c r="I86" s="1203"/>
      <c r="J86" s="45"/>
      <c r="K86" s="1204"/>
      <c r="L86" s="45"/>
      <c r="M86" s="1205"/>
      <c r="N86" s="45"/>
      <c r="O86" s="1206"/>
      <c r="P86" s="45"/>
      <c r="Q86" s="1207"/>
      <c r="R86" s="45"/>
      <c r="S86" s="1208"/>
      <c r="T86" s="45"/>
      <c r="U86" s="1209" t="s">
        <v>9307</v>
      </c>
      <c r="V86" s="45">
        <v>1</v>
      </c>
      <c r="W86" s="606"/>
      <c r="X86" s="45"/>
      <c r="Y86" s="1919"/>
      <c r="Z86" s="1906"/>
      <c r="AA86" s="1163">
        <f t="shared" si="4"/>
        <v>43914</v>
      </c>
      <c r="AB86" s="21"/>
      <c r="AE86" s="1234">
        <v>78953</v>
      </c>
      <c r="AF86" s="21">
        <v>78952</v>
      </c>
      <c r="AG86">
        <v>2116</v>
      </c>
    </row>
    <row r="87" spans="1:33" x14ac:dyDescent="0.2">
      <c r="A87" s="1176">
        <f t="shared" si="6"/>
        <v>40993</v>
      </c>
      <c r="C87" s="1210"/>
      <c r="D87" s="45"/>
      <c r="E87" s="1211"/>
      <c r="F87" s="45"/>
      <c r="G87" s="1202"/>
      <c r="H87" s="45"/>
      <c r="I87" s="1203"/>
      <c r="J87" s="45"/>
      <c r="K87" s="1204"/>
      <c r="L87" s="45"/>
      <c r="M87" s="1205"/>
      <c r="N87" s="45"/>
      <c r="O87" s="1206"/>
      <c r="P87" s="45"/>
      <c r="Q87" s="1207"/>
      <c r="R87" s="45"/>
      <c r="S87" s="1208" t="s">
        <v>5544</v>
      </c>
      <c r="T87" s="45">
        <v>1</v>
      </c>
      <c r="U87" s="1209"/>
      <c r="V87" s="45"/>
      <c r="W87" s="606"/>
      <c r="X87" s="45"/>
      <c r="Y87" s="1919"/>
      <c r="Z87" s="1906"/>
      <c r="AA87" s="1163">
        <f t="shared" si="4"/>
        <v>43915</v>
      </c>
      <c r="AB87" s="21"/>
      <c r="AE87" s="1232"/>
      <c r="AF87" s="21"/>
    </row>
    <row r="88" spans="1:33" x14ac:dyDescent="0.2">
      <c r="A88" s="1166">
        <f t="shared" si="6"/>
        <v>40994</v>
      </c>
      <c r="C88" s="1210"/>
      <c r="D88" s="45"/>
      <c r="E88" s="1211"/>
      <c r="F88" s="45"/>
      <c r="G88" s="1202"/>
      <c r="H88" s="45"/>
      <c r="I88" s="1203"/>
      <c r="J88" s="45"/>
      <c r="K88" s="1204"/>
      <c r="L88" s="45"/>
      <c r="M88" s="1205"/>
      <c r="N88" s="45"/>
      <c r="O88" s="1206"/>
      <c r="P88" s="45"/>
      <c r="Q88" s="1207" t="s">
        <v>4216</v>
      </c>
      <c r="R88" s="45">
        <v>1</v>
      </c>
      <c r="S88" s="1208"/>
      <c r="T88" s="45"/>
      <c r="U88" s="1209"/>
      <c r="V88" s="45"/>
      <c r="W88" s="606"/>
      <c r="X88" s="45"/>
      <c r="Y88" s="1919"/>
      <c r="Z88" s="1906"/>
      <c r="AA88" s="1163">
        <f t="shared" si="4"/>
        <v>43916</v>
      </c>
      <c r="AB88" s="21"/>
      <c r="AE88" s="1232"/>
    </row>
    <row r="89" spans="1:33" x14ac:dyDescent="0.2">
      <c r="A89" s="1172">
        <f t="shared" si="6"/>
        <v>40995</v>
      </c>
      <c r="C89" s="1210"/>
      <c r="D89" s="45"/>
      <c r="E89" s="1211" t="s">
        <v>1122</v>
      </c>
      <c r="F89" s="45">
        <v>1</v>
      </c>
      <c r="G89" s="1202"/>
      <c r="H89" s="45"/>
      <c r="I89" s="1203"/>
      <c r="J89" s="45"/>
      <c r="K89" s="1204"/>
      <c r="L89" s="45"/>
      <c r="M89" s="1205"/>
      <c r="N89" s="45"/>
      <c r="O89" s="1206"/>
      <c r="P89" s="45"/>
      <c r="Q89" s="1207"/>
      <c r="R89" s="45"/>
      <c r="S89" s="1208"/>
      <c r="T89" s="45"/>
      <c r="U89" s="1209"/>
      <c r="V89" s="45"/>
      <c r="W89" s="606"/>
      <c r="X89" s="45"/>
      <c r="Y89" s="1919"/>
      <c r="Z89" s="1906"/>
      <c r="AA89" s="1163">
        <f t="shared" si="4"/>
        <v>43917</v>
      </c>
      <c r="AB89" s="21"/>
      <c r="AE89" s="1232"/>
    </row>
    <row r="90" spans="1:33" x14ac:dyDescent="0.2">
      <c r="A90" s="1167">
        <f t="shared" si="6"/>
        <v>40996</v>
      </c>
      <c r="C90" s="1210"/>
      <c r="D90" s="45"/>
      <c r="E90" s="1211"/>
      <c r="F90" s="45"/>
      <c r="G90" s="1202"/>
      <c r="H90" s="45"/>
      <c r="I90" s="1203"/>
      <c r="J90" s="45"/>
      <c r="K90" s="1204"/>
      <c r="L90" s="45"/>
      <c r="M90" s="1205"/>
      <c r="N90" s="45"/>
      <c r="O90" s="1206" t="s">
        <v>4727</v>
      </c>
      <c r="P90" s="45">
        <v>1</v>
      </c>
      <c r="Q90" s="1207"/>
      <c r="R90" s="45"/>
      <c r="S90" s="1208"/>
      <c r="T90" s="45"/>
      <c r="U90" s="1209"/>
      <c r="V90" s="45"/>
      <c r="W90" s="606"/>
      <c r="X90" s="45"/>
      <c r="Y90" s="1919"/>
      <c r="Z90" s="1906"/>
      <c r="AA90" s="1163">
        <f t="shared" si="4"/>
        <v>43918</v>
      </c>
      <c r="AB90" s="21"/>
      <c r="AE90" s="1232"/>
    </row>
    <row r="91" spans="1:33" x14ac:dyDescent="0.2">
      <c r="A91" s="11">
        <f t="shared" si="6"/>
        <v>40997</v>
      </c>
      <c r="B91" s="9">
        <v>2025</v>
      </c>
      <c r="C91" s="1210"/>
      <c r="D91" s="45"/>
      <c r="E91" s="1211"/>
      <c r="F91" s="45"/>
      <c r="G91" s="1202"/>
      <c r="H91" s="45"/>
      <c r="I91" s="1203"/>
      <c r="J91" s="45"/>
      <c r="K91" s="1204"/>
      <c r="L91" s="45"/>
      <c r="M91" s="1216" t="s">
        <v>11233</v>
      </c>
      <c r="N91" s="45"/>
      <c r="O91" s="1206"/>
      <c r="P91" s="45"/>
      <c r="Q91" s="1207"/>
      <c r="R91" s="45"/>
      <c r="S91" s="1208"/>
      <c r="T91" s="45"/>
      <c r="U91" s="1209"/>
      <c r="V91" s="45"/>
      <c r="W91" s="606"/>
      <c r="X91" s="45"/>
      <c r="Y91" s="1919"/>
      <c r="Z91" s="1906"/>
      <c r="AA91" s="1163">
        <f t="shared" si="4"/>
        <v>43919</v>
      </c>
      <c r="AB91" s="21">
        <v>45745</v>
      </c>
      <c r="AE91" s="1232"/>
    </row>
    <row r="92" spans="1:33" x14ac:dyDescent="0.2">
      <c r="A92" s="1291">
        <f t="shared" si="6"/>
        <v>40998</v>
      </c>
      <c r="C92" s="1210"/>
      <c r="D92" s="45"/>
      <c r="E92" s="1211"/>
      <c r="F92" s="45"/>
      <c r="G92" s="1202"/>
      <c r="H92" s="45"/>
      <c r="I92" s="1203"/>
      <c r="J92" s="45"/>
      <c r="K92" s="1204" t="s">
        <v>5544</v>
      </c>
      <c r="L92" s="45">
        <v>1</v>
      </c>
      <c r="M92" s="1205"/>
      <c r="N92" s="45"/>
      <c r="O92" s="1206"/>
      <c r="P92" s="45"/>
      <c r="Q92" s="1207"/>
      <c r="R92" s="45"/>
      <c r="S92" s="1208"/>
      <c r="T92" s="45"/>
      <c r="U92" s="1209"/>
      <c r="V92" s="45"/>
      <c r="W92" s="606" t="s">
        <v>10482</v>
      </c>
      <c r="X92" s="45">
        <v>1</v>
      </c>
      <c r="Y92" s="1919"/>
      <c r="Z92" s="1906"/>
      <c r="AA92" s="1163">
        <f t="shared" si="4"/>
        <v>43920</v>
      </c>
      <c r="AB92" s="21"/>
      <c r="AE92" s="1232"/>
    </row>
    <row r="93" spans="1:33" x14ac:dyDescent="0.2">
      <c r="A93" s="1177">
        <f t="shared" si="6"/>
        <v>40999</v>
      </c>
      <c r="C93" s="1210"/>
      <c r="D93" s="45"/>
      <c r="E93" s="1211"/>
      <c r="F93" s="45"/>
      <c r="G93" s="1202"/>
      <c r="H93" s="45"/>
      <c r="I93" s="1203" t="s">
        <v>5544</v>
      </c>
      <c r="J93" s="45">
        <v>1</v>
      </c>
      <c r="K93" s="1204"/>
      <c r="L93" s="45"/>
      <c r="M93" s="1205"/>
      <c r="N93" s="45"/>
      <c r="O93" s="1206"/>
      <c r="P93" s="45"/>
      <c r="Q93" s="1207"/>
      <c r="R93" s="45"/>
      <c r="S93" s="1208"/>
      <c r="T93" s="45"/>
      <c r="U93" s="1209" t="s">
        <v>9304</v>
      </c>
      <c r="V93" s="45">
        <v>1</v>
      </c>
      <c r="W93" s="606"/>
      <c r="X93" s="45"/>
      <c r="Y93" s="1919"/>
      <c r="Z93" s="1906"/>
      <c r="AA93" s="1163">
        <f t="shared" si="4"/>
        <v>43921</v>
      </c>
      <c r="AB93" s="21"/>
      <c r="AE93" s="1232"/>
    </row>
    <row r="94" spans="1:33" x14ac:dyDescent="0.2">
      <c r="A94" s="1165">
        <f t="shared" si="6"/>
        <v>41000</v>
      </c>
      <c r="C94" s="1210"/>
      <c r="D94" s="45"/>
      <c r="E94" s="1211"/>
      <c r="F94" s="45"/>
      <c r="G94" s="1202"/>
      <c r="H94" s="45"/>
      <c r="I94" s="1203"/>
      <c r="J94" s="45"/>
      <c r="K94" s="1204"/>
      <c r="L94" s="45"/>
      <c r="M94" s="1205"/>
      <c r="N94" s="45"/>
      <c r="O94" s="1206"/>
      <c r="P94" s="45"/>
      <c r="Q94" s="1207"/>
      <c r="R94" s="45"/>
      <c r="S94" s="1208" t="s">
        <v>6393</v>
      </c>
      <c r="T94" s="45">
        <v>1</v>
      </c>
      <c r="U94" s="1209"/>
      <c r="V94" s="45"/>
      <c r="W94" s="606"/>
      <c r="X94" s="45"/>
      <c r="Y94" s="1919"/>
      <c r="Z94" s="1906"/>
      <c r="AA94" s="1163">
        <f t="shared" si="4"/>
        <v>43922</v>
      </c>
      <c r="AE94" s="1232"/>
    </row>
    <row r="95" spans="1:33" x14ac:dyDescent="0.2">
      <c r="A95" s="1169">
        <f t="shared" si="6"/>
        <v>41001</v>
      </c>
      <c r="C95" s="1210"/>
      <c r="D95" s="45"/>
      <c r="E95" s="1211"/>
      <c r="F95" s="45"/>
      <c r="G95" s="1202" t="s">
        <v>8244</v>
      </c>
      <c r="H95" s="45">
        <v>1</v>
      </c>
      <c r="I95" s="1203"/>
      <c r="J95" s="45"/>
      <c r="K95" s="1204"/>
      <c r="L95" s="45"/>
      <c r="M95" s="1205"/>
      <c r="N95" s="45"/>
      <c r="O95" s="1206"/>
      <c r="P95" s="45"/>
      <c r="Q95" s="1207" t="s">
        <v>6020</v>
      </c>
      <c r="R95" s="45">
        <v>1</v>
      </c>
      <c r="S95" s="1208"/>
      <c r="T95" s="45"/>
      <c r="U95" s="1209"/>
      <c r="V95" s="45"/>
      <c r="W95" s="606"/>
      <c r="X95" s="45"/>
      <c r="Y95" s="1919"/>
      <c r="Z95" s="1906"/>
      <c r="AA95" s="1163">
        <f t="shared" si="4"/>
        <v>43923</v>
      </c>
      <c r="AE95" s="1232"/>
    </row>
    <row r="96" spans="1:33" x14ac:dyDescent="0.2">
      <c r="A96" s="11">
        <f t="shared" si="6"/>
        <v>41002</v>
      </c>
      <c r="B96" s="99">
        <v>2021</v>
      </c>
      <c r="C96" s="1210"/>
      <c r="D96" s="45"/>
      <c r="E96" s="1211"/>
      <c r="F96" s="45"/>
      <c r="G96" s="1202"/>
      <c r="H96" s="45"/>
      <c r="I96" s="1203"/>
      <c r="J96" s="45"/>
      <c r="K96" s="1204"/>
      <c r="L96" s="45"/>
      <c r="M96" s="1205"/>
      <c r="N96" s="45"/>
      <c r="O96" s="1206"/>
      <c r="P96" s="45"/>
      <c r="Q96" s="1207"/>
      <c r="R96" s="45"/>
      <c r="S96" s="1208"/>
      <c r="T96" s="45"/>
      <c r="U96" s="1209"/>
      <c r="V96" s="45"/>
      <c r="W96" s="606"/>
      <c r="X96" s="45"/>
      <c r="Y96" s="1919"/>
      <c r="Z96" s="1906"/>
      <c r="AA96" s="1163">
        <f t="shared" si="4"/>
        <v>43924</v>
      </c>
      <c r="AB96" s="21">
        <v>44289</v>
      </c>
      <c r="AE96" s="1232"/>
    </row>
    <row r="97" spans="1:31" x14ac:dyDescent="0.2">
      <c r="A97" s="1167">
        <f t="shared" si="6"/>
        <v>41003</v>
      </c>
      <c r="C97" s="1210"/>
      <c r="D97" s="45"/>
      <c r="E97" s="1211"/>
      <c r="F97" s="45"/>
      <c r="G97" s="1202"/>
      <c r="H97" s="45"/>
      <c r="I97" s="1203"/>
      <c r="J97" s="45"/>
      <c r="K97" s="1204"/>
      <c r="L97" s="45"/>
      <c r="M97" s="1205"/>
      <c r="N97" s="45"/>
      <c r="O97" s="1206" t="s">
        <v>5544</v>
      </c>
      <c r="P97" s="45">
        <v>1</v>
      </c>
      <c r="Q97" s="1207"/>
      <c r="R97" s="45"/>
      <c r="S97" s="1208"/>
      <c r="T97" s="45"/>
      <c r="U97" s="1209"/>
      <c r="V97" s="45"/>
      <c r="W97" s="606"/>
      <c r="X97" s="45"/>
      <c r="Y97" s="1919"/>
      <c r="Z97" s="1906"/>
      <c r="AA97" s="1163">
        <f t="shared" si="4"/>
        <v>43925</v>
      </c>
      <c r="AE97" s="1232"/>
    </row>
    <row r="98" spans="1:31" x14ac:dyDescent="0.2">
      <c r="A98" s="1170">
        <f t="shared" si="6"/>
        <v>41004</v>
      </c>
      <c r="C98" s="1210"/>
      <c r="D98" s="45"/>
      <c r="E98" s="1211"/>
      <c r="F98" s="45"/>
      <c r="G98" s="1202"/>
      <c r="H98" s="45"/>
      <c r="I98" s="1203"/>
      <c r="J98" s="45"/>
      <c r="K98" s="1204"/>
      <c r="L98" s="45"/>
      <c r="M98" s="1205" t="s">
        <v>5544</v>
      </c>
      <c r="N98" s="45">
        <v>1</v>
      </c>
      <c r="O98" s="1206"/>
      <c r="P98" s="45"/>
      <c r="Q98" s="1207"/>
      <c r="R98" s="45"/>
      <c r="S98" s="1208"/>
      <c r="T98" s="45"/>
      <c r="U98" s="1209"/>
      <c r="V98" s="45"/>
      <c r="W98" s="606"/>
      <c r="X98" s="45"/>
      <c r="Y98" s="1919"/>
      <c r="Z98" s="1906"/>
      <c r="AA98" s="1163">
        <f t="shared" si="4"/>
        <v>43926</v>
      </c>
      <c r="AE98" s="1232"/>
    </row>
    <row r="99" spans="1:31" x14ac:dyDescent="0.2">
      <c r="A99" s="1291">
        <f t="shared" si="6"/>
        <v>41005</v>
      </c>
      <c r="C99" s="1210"/>
      <c r="D99" s="45"/>
      <c r="E99" s="1211"/>
      <c r="F99" s="45"/>
      <c r="G99" s="1202"/>
      <c r="H99" s="45"/>
      <c r="I99" s="1203"/>
      <c r="J99" s="45"/>
      <c r="K99" s="1204" t="s">
        <v>8244</v>
      </c>
      <c r="L99" s="45">
        <v>1</v>
      </c>
      <c r="M99" s="1205"/>
      <c r="N99" s="45"/>
      <c r="O99" s="1206"/>
      <c r="P99" s="45"/>
      <c r="Q99" s="1207"/>
      <c r="R99" s="45"/>
      <c r="S99" s="1208"/>
      <c r="T99" s="45"/>
      <c r="U99" s="1209"/>
      <c r="V99" s="45"/>
      <c r="W99" s="606" t="s">
        <v>12218</v>
      </c>
      <c r="X99" s="45">
        <v>1</v>
      </c>
      <c r="Y99" s="1919"/>
      <c r="Z99" s="1906"/>
      <c r="AA99" s="1163">
        <f t="shared" si="4"/>
        <v>43927</v>
      </c>
      <c r="AE99" s="1232"/>
    </row>
    <row r="100" spans="1:31" x14ac:dyDescent="0.2">
      <c r="A100" s="1171">
        <f t="shared" si="6"/>
        <v>41006</v>
      </c>
      <c r="C100" s="1210"/>
      <c r="D100" s="45"/>
      <c r="E100" s="1211"/>
      <c r="F100" s="45"/>
      <c r="G100" s="1202"/>
      <c r="H100" s="45"/>
      <c r="I100" s="1203" t="s">
        <v>5544</v>
      </c>
      <c r="J100" s="45">
        <v>1</v>
      </c>
      <c r="K100" s="1204"/>
      <c r="L100" s="45"/>
      <c r="M100" s="1205"/>
      <c r="N100" s="45"/>
      <c r="O100" s="1206"/>
      <c r="P100" s="45"/>
      <c r="Q100" s="1207"/>
      <c r="R100" s="45"/>
      <c r="S100" s="1208"/>
      <c r="T100" s="45"/>
      <c r="U100" s="1209" t="s">
        <v>8015</v>
      </c>
      <c r="V100" s="45">
        <v>1</v>
      </c>
      <c r="W100" s="606"/>
      <c r="X100" s="45"/>
      <c r="Y100" s="1919"/>
      <c r="Z100" s="1906"/>
      <c r="AA100" s="1163">
        <f t="shared" si="4"/>
        <v>43928</v>
      </c>
      <c r="AE100" s="1232"/>
    </row>
    <row r="101" spans="1:31" x14ac:dyDescent="0.2">
      <c r="A101" s="1165">
        <f t="shared" si="6"/>
        <v>41007</v>
      </c>
      <c r="C101" s="1210"/>
      <c r="D101" s="45"/>
      <c r="E101" s="1211"/>
      <c r="F101" s="45"/>
      <c r="G101" s="1202"/>
      <c r="H101" s="45"/>
      <c r="I101" s="1203"/>
      <c r="J101" s="45"/>
      <c r="K101" s="1204"/>
      <c r="L101" s="45"/>
      <c r="M101" s="1205"/>
      <c r="N101" s="45"/>
      <c r="O101" s="1206"/>
      <c r="P101" s="45"/>
      <c r="Q101" s="1207"/>
      <c r="R101" s="45"/>
      <c r="S101" s="1208" t="s">
        <v>6159</v>
      </c>
      <c r="T101" s="45">
        <v>1</v>
      </c>
      <c r="U101" s="1209"/>
      <c r="V101" s="45"/>
      <c r="W101" s="606"/>
      <c r="X101" s="45"/>
      <c r="Y101" s="1919"/>
      <c r="Z101" s="1906"/>
      <c r="AA101" s="1163">
        <f t="shared" si="4"/>
        <v>43929</v>
      </c>
      <c r="AE101" s="1232"/>
    </row>
    <row r="102" spans="1:31" x14ac:dyDescent="0.2">
      <c r="A102" s="1178">
        <f t="shared" si="6"/>
        <v>41008</v>
      </c>
      <c r="C102" s="1210"/>
      <c r="D102" s="45"/>
      <c r="E102" s="1211"/>
      <c r="F102" s="45"/>
      <c r="G102" s="1202"/>
      <c r="H102" s="45"/>
      <c r="I102" s="1203"/>
      <c r="J102" s="45"/>
      <c r="K102" s="1204"/>
      <c r="L102" s="45"/>
      <c r="M102" s="1205"/>
      <c r="N102" s="45"/>
      <c r="O102" s="1206"/>
      <c r="P102" s="45"/>
      <c r="Q102" s="1207" t="s">
        <v>11134</v>
      </c>
      <c r="R102" s="45">
        <v>1</v>
      </c>
      <c r="S102" s="1208"/>
      <c r="T102" s="45"/>
      <c r="U102" s="1209"/>
      <c r="V102" s="45"/>
      <c r="W102" s="606"/>
      <c r="X102" s="45"/>
      <c r="Y102" s="1919"/>
      <c r="Z102" s="1906"/>
      <c r="AA102" s="1163">
        <f t="shared" si="4"/>
        <v>43930</v>
      </c>
      <c r="AE102" s="1232"/>
    </row>
    <row r="103" spans="1:31" x14ac:dyDescent="0.2">
      <c r="A103" s="1172">
        <f t="shared" si="6"/>
        <v>41009</v>
      </c>
      <c r="C103" s="1210"/>
      <c r="D103" s="45"/>
      <c r="E103" s="1211" t="s">
        <v>1122</v>
      </c>
      <c r="F103" s="45">
        <v>1</v>
      </c>
      <c r="G103" s="1202"/>
      <c r="H103" s="45"/>
      <c r="I103" s="1203"/>
      <c r="J103" s="45"/>
      <c r="K103" s="1204"/>
      <c r="L103" s="45"/>
      <c r="M103" s="1205"/>
      <c r="N103" s="45"/>
      <c r="O103" s="1206"/>
      <c r="P103" s="45"/>
      <c r="Q103" s="1207"/>
      <c r="R103" s="45"/>
      <c r="S103" s="1208"/>
      <c r="T103" s="45"/>
      <c r="U103" s="1209"/>
      <c r="V103" s="45"/>
      <c r="W103" s="606"/>
      <c r="X103" s="45"/>
      <c r="Y103" s="1919"/>
      <c r="Z103" s="1906"/>
      <c r="AA103" s="1163">
        <f t="shared" si="4"/>
        <v>43931</v>
      </c>
      <c r="AE103" s="1232"/>
    </row>
    <row r="104" spans="1:31" x14ac:dyDescent="0.2">
      <c r="A104" s="1167">
        <f t="shared" si="6"/>
        <v>41010</v>
      </c>
      <c r="C104" s="1210"/>
      <c r="D104" s="45"/>
      <c r="E104" s="1211"/>
      <c r="F104" s="45"/>
      <c r="G104" s="1202"/>
      <c r="H104" s="45"/>
      <c r="I104" s="1203"/>
      <c r="J104" s="45"/>
      <c r="K104" s="1204"/>
      <c r="L104" s="45"/>
      <c r="M104" s="1205"/>
      <c r="N104" s="45"/>
      <c r="O104" s="1206" t="s">
        <v>6020</v>
      </c>
      <c r="P104" s="45">
        <v>1</v>
      </c>
      <c r="Q104" s="1207"/>
      <c r="R104" s="45"/>
      <c r="S104" s="1208"/>
      <c r="T104" s="45"/>
      <c r="U104" s="1209"/>
      <c r="V104" s="45"/>
      <c r="W104" s="606"/>
      <c r="X104" s="45"/>
      <c r="Y104" s="1919"/>
      <c r="Z104" s="1906"/>
      <c r="AA104" s="1163">
        <f t="shared" si="4"/>
        <v>43932</v>
      </c>
      <c r="AE104" s="1232"/>
    </row>
    <row r="105" spans="1:31" x14ac:dyDescent="0.2">
      <c r="A105" s="1170">
        <f t="shared" si="6"/>
        <v>41011</v>
      </c>
      <c r="C105" s="1210"/>
      <c r="D105" s="45"/>
      <c r="E105" s="1211"/>
      <c r="F105" s="45"/>
      <c r="G105" s="1202"/>
      <c r="H105" s="45"/>
      <c r="I105" s="1203"/>
      <c r="J105" s="45"/>
      <c r="K105" s="1204"/>
      <c r="L105" s="45"/>
      <c r="M105" s="1205" t="s">
        <v>10803</v>
      </c>
      <c r="N105" s="45">
        <v>1</v>
      </c>
      <c r="O105" s="1206"/>
      <c r="P105" s="45"/>
      <c r="Q105" s="1207"/>
      <c r="R105" s="45"/>
      <c r="S105" s="1208"/>
      <c r="T105" s="45"/>
      <c r="U105" s="1209"/>
      <c r="V105" s="45"/>
      <c r="W105" s="606"/>
      <c r="X105" s="45"/>
      <c r="Y105" s="1919"/>
      <c r="Z105" s="1906"/>
      <c r="AA105" s="1163">
        <f t="shared" si="4"/>
        <v>43933</v>
      </c>
      <c r="AE105" s="1232"/>
    </row>
    <row r="106" spans="1:31" x14ac:dyDescent="0.2">
      <c r="A106" s="1291">
        <f t="shared" si="6"/>
        <v>41012</v>
      </c>
      <c r="C106" s="1210"/>
      <c r="D106" s="45"/>
      <c r="E106" s="1211"/>
      <c r="F106" s="45"/>
      <c r="G106" s="1202"/>
      <c r="H106" s="45"/>
      <c r="I106" s="1203"/>
      <c r="J106" s="45"/>
      <c r="K106" s="1204" t="s">
        <v>5544</v>
      </c>
      <c r="L106" s="45">
        <v>1</v>
      </c>
      <c r="M106" s="1205"/>
      <c r="N106" s="45"/>
      <c r="O106" s="1206"/>
      <c r="P106" s="45"/>
      <c r="Q106" s="1207"/>
      <c r="R106" s="45"/>
      <c r="S106" s="1208"/>
      <c r="T106" s="45"/>
      <c r="U106" s="1209"/>
      <c r="V106" s="45"/>
      <c r="W106" s="606" t="s">
        <v>10983</v>
      </c>
      <c r="X106" s="45">
        <v>1</v>
      </c>
      <c r="Y106" s="1919"/>
      <c r="Z106" s="1906"/>
      <c r="AA106" s="1163">
        <f t="shared" si="4"/>
        <v>43934</v>
      </c>
      <c r="AE106" s="1232"/>
    </row>
    <row r="107" spans="1:31" x14ac:dyDescent="0.2">
      <c r="A107" s="1171">
        <f t="shared" si="6"/>
        <v>41013</v>
      </c>
      <c r="C107" s="1210"/>
      <c r="D107" s="45"/>
      <c r="E107" s="1211"/>
      <c r="F107" s="45"/>
      <c r="G107" s="1202"/>
      <c r="H107" s="45"/>
      <c r="I107" s="1203" t="s">
        <v>5544</v>
      </c>
      <c r="J107" s="45">
        <v>1</v>
      </c>
      <c r="K107" s="1204"/>
      <c r="L107" s="45"/>
      <c r="M107" s="1205"/>
      <c r="N107" s="45"/>
      <c r="O107" s="1206"/>
      <c r="P107" s="45"/>
      <c r="Q107" s="1207"/>
      <c r="R107" s="45"/>
      <c r="S107" s="1208"/>
      <c r="T107" s="45"/>
      <c r="U107" s="1209" t="s">
        <v>11148</v>
      </c>
      <c r="V107" s="45">
        <v>1</v>
      </c>
      <c r="W107" s="606"/>
      <c r="X107" s="45"/>
      <c r="Y107" s="1919"/>
      <c r="Z107" s="1906"/>
      <c r="AA107" s="1163">
        <f t="shared" si="4"/>
        <v>43935</v>
      </c>
      <c r="AE107" s="1232"/>
    </row>
    <row r="108" spans="1:31" x14ac:dyDescent="0.2">
      <c r="A108" s="1165">
        <f t="shared" si="6"/>
        <v>41014</v>
      </c>
      <c r="C108" s="1210"/>
      <c r="D108" s="45"/>
      <c r="E108" s="1211"/>
      <c r="F108" s="45"/>
      <c r="G108" s="1202"/>
      <c r="H108" s="45"/>
      <c r="I108" s="1203"/>
      <c r="J108" s="45"/>
      <c r="K108" s="1204"/>
      <c r="L108" s="45"/>
      <c r="M108" s="1205"/>
      <c r="N108" s="45"/>
      <c r="O108" s="1206"/>
      <c r="P108" s="45"/>
      <c r="Q108" s="1207"/>
      <c r="R108" s="45"/>
      <c r="S108" s="1208" t="s">
        <v>5544</v>
      </c>
      <c r="T108" s="45">
        <v>1</v>
      </c>
      <c r="U108" s="1209"/>
      <c r="V108" s="45"/>
      <c r="W108" s="606"/>
      <c r="X108" s="45"/>
      <c r="Y108" s="1919"/>
      <c r="Z108" s="1906"/>
      <c r="AA108" s="1163">
        <f t="shared" si="4"/>
        <v>43936</v>
      </c>
      <c r="AE108" s="1232"/>
    </row>
    <row r="109" spans="1:31" x14ac:dyDescent="0.2">
      <c r="A109" s="1169">
        <f t="shared" si="6"/>
        <v>41015</v>
      </c>
      <c r="C109" s="1210"/>
      <c r="D109" s="45"/>
      <c r="E109" s="1211"/>
      <c r="F109" s="45"/>
      <c r="G109" s="1202" t="s">
        <v>8244</v>
      </c>
      <c r="H109" s="45">
        <v>1</v>
      </c>
      <c r="I109" s="1203"/>
      <c r="J109" s="45"/>
      <c r="K109" s="1204"/>
      <c r="L109" s="45"/>
      <c r="M109" s="1205"/>
      <c r="N109" s="45"/>
      <c r="O109" s="1206"/>
      <c r="P109" s="45"/>
      <c r="Q109" s="1207" t="s">
        <v>11143</v>
      </c>
      <c r="R109" s="45">
        <v>1</v>
      </c>
      <c r="S109" s="1208"/>
      <c r="T109" s="45"/>
      <c r="U109" s="1209"/>
      <c r="V109" s="45"/>
      <c r="W109" s="606"/>
      <c r="X109" s="45"/>
      <c r="Y109" s="1919"/>
      <c r="Z109" s="1906"/>
      <c r="AA109" s="1163">
        <f t="shared" si="4"/>
        <v>43937</v>
      </c>
      <c r="AE109" s="1232"/>
    </row>
    <row r="110" spans="1:31" x14ac:dyDescent="0.2">
      <c r="A110" s="11">
        <f t="shared" si="6"/>
        <v>41016</v>
      </c>
      <c r="B110" s="99">
        <v>2021</v>
      </c>
      <c r="C110" s="1210"/>
      <c r="D110" s="45"/>
      <c r="E110" s="1211"/>
      <c r="F110" s="45"/>
      <c r="G110" s="1202"/>
      <c r="H110" s="45"/>
      <c r="I110" s="1203"/>
      <c r="J110" s="45"/>
      <c r="K110" s="1204"/>
      <c r="L110" s="45"/>
      <c r="M110" s="1205"/>
      <c r="N110" s="45"/>
      <c r="O110" s="1206"/>
      <c r="P110" s="45"/>
      <c r="Q110" s="1207"/>
      <c r="R110" s="45"/>
      <c r="S110" s="1208"/>
      <c r="T110" s="45"/>
      <c r="U110" s="1209"/>
      <c r="V110" s="45"/>
      <c r="W110" s="606"/>
      <c r="X110" s="45"/>
      <c r="Y110" s="1919"/>
      <c r="Z110" s="1906"/>
      <c r="AA110" s="1163">
        <f t="shared" si="4"/>
        <v>43938</v>
      </c>
      <c r="AB110" s="146">
        <v>44303</v>
      </c>
      <c r="AE110" s="1232"/>
    </row>
    <row r="111" spans="1:31" x14ac:dyDescent="0.2">
      <c r="A111" s="1167">
        <f t="shared" si="6"/>
        <v>41017</v>
      </c>
      <c r="C111" s="1210"/>
      <c r="D111" s="45"/>
      <c r="E111" s="1211"/>
      <c r="F111" s="45"/>
      <c r="G111" s="1202"/>
      <c r="H111" s="45"/>
      <c r="I111" s="1203"/>
      <c r="J111" s="45"/>
      <c r="K111" s="1204"/>
      <c r="L111" s="45"/>
      <c r="M111" s="1205"/>
      <c r="N111" s="45"/>
      <c r="O111" s="1206" t="s">
        <v>1569</v>
      </c>
      <c r="P111" s="45">
        <v>1</v>
      </c>
      <c r="Q111" s="1207"/>
      <c r="R111" s="45"/>
      <c r="S111" s="1208"/>
      <c r="T111" s="45"/>
      <c r="U111" s="1209"/>
      <c r="V111" s="45"/>
      <c r="W111" s="606"/>
      <c r="X111" s="45"/>
      <c r="Y111" s="1919"/>
      <c r="Z111" s="1906"/>
      <c r="AA111" s="1163">
        <f t="shared" si="4"/>
        <v>43939</v>
      </c>
      <c r="AB111" s="146"/>
      <c r="AE111" s="1232"/>
    </row>
    <row r="112" spans="1:31" x14ac:dyDescent="0.2">
      <c r="A112" s="1170">
        <f t="shared" si="6"/>
        <v>41018</v>
      </c>
      <c r="C112" s="1210"/>
      <c r="D112" s="45"/>
      <c r="E112" s="1211"/>
      <c r="F112" s="45"/>
      <c r="G112" s="1202"/>
      <c r="H112" s="45"/>
      <c r="I112" s="1203"/>
      <c r="J112" s="45"/>
      <c r="K112" s="1204"/>
      <c r="L112" s="45"/>
      <c r="M112" s="1205" t="s">
        <v>3612</v>
      </c>
      <c r="N112" s="45">
        <v>1</v>
      </c>
      <c r="O112" s="1206"/>
      <c r="P112" s="45"/>
      <c r="Q112" s="1207"/>
      <c r="R112" s="45"/>
      <c r="S112" s="1208"/>
      <c r="T112" s="45"/>
      <c r="U112" s="1209"/>
      <c r="V112" s="45"/>
      <c r="W112" s="606"/>
      <c r="X112" s="45"/>
      <c r="Y112" s="1919"/>
      <c r="Z112" s="1906"/>
      <c r="AA112" s="1163">
        <f t="shared" si="4"/>
        <v>43940</v>
      </c>
      <c r="AB112" s="146"/>
      <c r="AE112" s="1232"/>
    </row>
    <row r="113" spans="1:31" x14ac:dyDescent="0.2">
      <c r="A113" s="1291">
        <f t="shared" si="6"/>
        <v>41019</v>
      </c>
      <c r="C113" s="1210"/>
      <c r="D113" s="45"/>
      <c r="E113" s="1211"/>
      <c r="F113" s="45"/>
      <c r="G113" s="1202"/>
      <c r="H113" s="45"/>
      <c r="I113" s="1203"/>
      <c r="J113" s="45"/>
      <c r="K113" s="1204" t="s">
        <v>5484</v>
      </c>
      <c r="L113" s="45">
        <v>1</v>
      </c>
      <c r="M113" s="1205"/>
      <c r="N113" s="45"/>
      <c r="O113" s="1206"/>
      <c r="P113" s="45"/>
      <c r="Q113" s="1207"/>
      <c r="R113" s="45"/>
      <c r="S113" s="1208"/>
      <c r="T113" s="45"/>
      <c r="U113" s="1209"/>
      <c r="V113" s="45"/>
      <c r="W113" s="606" t="s">
        <v>10276</v>
      </c>
      <c r="X113" s="45">
        <v>1</v>
      </c>
      <c r="Y113" s="1919"/>
      <c r="Z113" s="1906"/>
      <c r="AA113" s="1163">
        <f t="shared" si="4"/>
        <v>43941</v>
      </c>
      <c r="AB113" s="146"/>
      <c r="AE113" s="1232"/>
    </row>
    <row r="114" spans="1:31" x14ac:dyDescent="0.2">
      <c r="A114" s="11">
        <f t="shared" si="6"/>
        <v>41020</v>
      </c>
      <c r="C114" s="1210"/>
      <c r="D114" s="45"/>
      <c r="E114" s="1211"/>
      <c r="F114" s="45"/>
      <c r="G114" s="1202"/>
      <c r="H114" s="45"/>
      <c r="I114" s="1203" t="s">
        <v>5544</v>
      </c>
      <c r="J114" s="45">
        <v>1</v>
      </c>
      <c r="K114" s="1204"/>
      <c r="L114" s="45"/>
      <c r="M114" s="1205"/>
      <c r="N114" s="45"/>
      <c r="O114" s="1206"/>
      <c r="P114" s="45"/>
      <c r="Q114" s="1207"/>
      <c r="R114" s="45"/>
      <c r="S114" s="1208"/>
      <c r="T114" s="45"/>
      <c r="U114" s="1242"/>
      <c r="V114" s="45"/>
      <c r="W114" s="606"/>
      <c r="X114" s="45"/>
      <c r="Y114" s="1919"/>
      <c r="Z114" s="1906"/>
      <c r="AA114" s="1163">
        <f t="shared" si="4"/>
        <v>43942</v>
      </c>
      <c r="AB114" s="146">
        <v>47229</v>
      </c>
      <c r="AE114" s="1232"/>
    </row>
    <row r="115" spans="1:31" x14ac:dyDescent="0.2">
      <c r="A115" s="1165">
        <f t="shared" si="6"/>
        <v>41021</v>
      </c>
      <c r="C115" s="1210"/>
      <c r="D115" s="45"/>
      <c r="E115" s="1211"/>
      <c r="F115" s="45"/>
      <c r="G115" s="1202"/>
      <c r="H115" s="45"/>
      <c r="I115" s="1203"/>
      <c r="J115" s="45"/>
      <c r="K115" s="1204"/>
      <c r="L115" s="45"/>
      <c r="M115" s="1205"/>
      <c r="N115" s="45"/>
      <c r="O115" s="1206"/>
      <c r="P115" s="45"/>
      <c r="Q115" s="1207"/>
      <c r="R115" s="45"/>
      <c r="S115" s="1208" t="s">
        <v>5453</v>
      </c>
      <c r="T115" s="45">
        <v>1</v>
      </c>
      <c r="U115" s="1209"/>
      <c r="V115" s="45"/>
      <c r="W115" s="606"/>
      <c r="X115" s="45"/>
      <c r="Y115" s="1919"/>
      <c r="Z115" s="1906"/>
      <c r="AA115" s="1163">
        <f t="shared" si="4"/>
        <v>43943</v>
      </c>
      <c r="AB115" s="146"/>
      <c r="AE115" s="1232"/>
    </row>
    <row r="116" spans="1:31" x14ac:dyDescent="0.2">
      <c r="A116" s="1169">
        <f t="shared" si="6"/>
        <v>41022</v>
      </c>
      <c r="C116" s="1210"/>
      <c r="D116" s="45"/>
      <c r="E116" s="1211"/>
      <c r="F116" s="45"/>
      <c r="G116" s="1202" t="s">
        <v>1122</v>
      </c>
      <c r="H116" s="45">
        <v>1</v>
      </c>
      <c r="I116" s="1203"/>
      <c r="J116" s="45"/>
      <c r="K116" s="1204"/>
      <c r="L116" s="45"/>
      <c r="M116" s="1205"/>
      <c r="N116" s="45"/>
      <c r="O116" s="1206"/>
      <c r="P116" s="45"/>
      <c r="Q116" s="1207" t="s">
        <v>5544</v>
      </c>
      <c r="R116" s="45">
        <v>1</v>
      </c>
      <c r="S116" s="1208"/>
      <c r="T116" s="45"/>
      <c r="U116" s="1209"/>
      <c r="V116" s="45"/>
      <c r="W116" s="606"/>
      <c r="X116" s="45"/>
      <c r="Y116" s="1919"/>
      <c r="Z116" s="1906"/>
      <c r="AA116" s="1163">
        <f t="shared" si="4"/>
        <v>43944</v>
      </c>
      <c r="AB116" s="146"/>
      <c r="AE116" s="1232">
        <f t="shared" si="5"/>
        <v>1461</v>
      </c>
    </row>
    <row r="117" spans="1:31" x14ac:dyDescent="0.2">
      <c r="A117" s="11">
        <f t="shared" si="6"/>
        <v>41023</v>
      </c>
      <c r="B117" s="99">
        <v>2021</v>
      </c>
      <c r="C117" s="1210"/>
      <c r="D117" s="45"/>
      <c r="E117" s="1211"/>
      <c r="F117" s="45"/>
      <c r="G117" s="1202"/>
      <c r="H117" s="45"/>
      <c r="I117" s="1203"/>
      <c r="J117" s="45"/>
      <c r="K117" s="1204"/>
      <c r="L117" s="45"/>
      <c r="M117" s="1205"/>
      <c r="N117" s="45"/>
      <c r="O117" s="1206"/>
      <c r="P117" s="45"/>
      <c r="Q117" s="1207"/>
      <c r="R117" s="45"/>
      <c r="S117" s="1208"/>
      <c r="T117" s="45"/>
      <c r="U117" s="1209"/>
      <c r="V117" s="45"/>
      <c r="W117" s="606"/>
      <c r="X117" s="45"/>
      <c r="Y117" s="1919"/>
      <c r="Z117" s="1906"/>
      <c r="AA117" s="1163">
        <f t="shared" si="4"/>
        <v>43945</v>
      </c>
      <c r="AB117" s="146">
        <v>44310</v>
      </c>
      <c r="AE117" s="1232">
        <f t="shared" si="5"/>
        <v>2922</v>
      </c>
    </row>
    <row r="118" spans="1:31" x14ac:dyDescent="0.2">
      <c r="A118" s="1167">
        <f t="shared" si="6"/>
        <v>41024</v>
      </c>
      <c r="C118" s="1210"/>
      <c r="D118" s="45"/>
      <c r="E118" s="1211"/>
      <c r="F118" s="45"/>
      <c r="G118" s="1202"/>
      <c r="H118" s="45"/>
      <c r="I118" s="1203"/>
      <c r="J118" s="45"/>
      <c r="K118" s="1204"/>
      <c r="L118" s="45"/>
      <c r="M118" s="1205"/>
      <c r="N118" s="45"/>
      <c r="O118" s="1206" t="s">
        <v>1805</v>
      </c>
      <c r="P118" s="45">
        <v>1</v>
      </c>
      <c r="Q118" s="1207"/>
      <c r="R118" s="45"/>
      <c r="S118" s="1208"/>
      <c r="T118" s="45"/>
      <c r="U118" s="1209"/>
      <c r="V118" s="45"/>
      <c r="W118" s="606"/>
      <c r="X118" s="45"/>
      <c r="Y118" s="1919"/>
      <c r="Z118" s="1906"/>
      <c r="AA118" s="1163">
        <f t="shared" si="4"/>
        <v>43946</v>
      </c>
      <c r="AE118" s="1232">
        <f t="shared" si="5"/>
        <v>4383</v>
      </c>
    </row>
    <row r="119" spans="1:31" x14ac:dyDescent="0.2">
      <c r="A119" s="1170">
        <f t="shared" si="6"/>
        <v>41025</v>
      </c>
      <c r="C119" s="1210"/>
      <c r="D119" s="45"/>
      <c r="E119" s="1211"/>
      <c r="F119" s="45"/>
      <c r="G119" s="1202"/>
      <c r="H119" s="45"/>
      <c r="I119" s="1203"/>
      <c r="J119" s="45"/>
      <c r="K119" s="1204"/>
      <c r="L119" s="45"/>
      <c r="M119" s="1205" t="s">
        <v>8895</v>
      </c>
      <c r="N119" s="45">
        <v>1</v>
      </c>
      <c r="O119" s="1206"/>
      <c r="P119" s="45"/>
      <c r="Q119" s="1207"/>
      <c r="R119" s="45"/>
      <c r="S119" s="1208"/>
      <c r="T119" s="45"/>
      <c r="U119" s="1209"/>
      <c r="V119" s="45"/>
      <c r="W119" s="606"/>
      <c r="X119" s="45"/>
      <c r="Y119" s="1919"/>
      <c r="Z119" s="1906"/>
      <c r="AA119" s="1163">
        <f t="shared" si="4"/>
        <v>43947</v>
      </c>
    </row>
    <row r="120" spans="1:31" x14ac:dyDescent="0.2">
      <c r="A120" s="1179">
        <f t="shared" si="6"/>
        <v>41026</v>
      </c>
      <c r="C120" s="1210"/>
      <c r="D120" s="45"/>
      <c r="E120" s="1211"/>
      <c r="F120" s="45"/>
      <c r="G120" s="1202"/>
      <c r="H120" s="45"/>
      <c r="I120" s="1203"/>
      <c r="J120" s="45"/>
      <c r="K120" s="1204" t="s">
        <v>5885</v>
      </c>
      <c r="L120" s="45">
        <v>1</v>
      </c>
      <c r="M120" s="1205"/>
      <c r="N120" s="45"/>
      <c r="O120" s="1206"/>
      <c r="P120" s="45"/>
      <c r="Q120" s="1207"/>
      <c r="R120" s="45"/>
      <c r="S120" s="1208"/>
      <c r="T120" s="45"/>
      <c r="U120" s="1209"/>
      <c r="V120" s="45"/>
      <c r="W120" s="1213" t="s">
        <v>11200</v>
      </c>
      <c r="X120" s="45"/>
      <c r="Y120" s="1919"/>
      <c r="Z120" s="1906"/>
      <c r="AA120" s="1163">
        <f t="shared" si="4"/>
        <v>43948</v>
      </c>
    </row>
    <row r="121" spans="1:31" x14ac:dyDescent="0.2">
      <c r="A121" s="1171">
        <f t="shared" si="6"/>
        <v>41027</v>
      </c>
      <c r="C121" s="1210"/>
      <c r="D121" s="45"/>
      <c r="E121" s="1211"/>
      <c r="F121" s="45"/>
      <c r="G121" s="1202"/>
      <c r="H121" s="45"/>
      <c r="I121" s="1203"/>
      <c r="J121" s="45"/>
      <c r="K121" s="1204"/>
      <c r="L121" s="45"/>
      <c r="M121" s="1205"/>
      <c r="N121" s="45"/>
      <c r="O121" s="1206"/>
      <c r="P121" s="45"/>
      <c r="Q121" s="1207"/>
      <c r="R121" s="45"/>
      <c r="S121" s="1208"/>
      <c r="T121" s="45"/>
      <c r="U121" s="1209" t="s">
        <v>9620</v>
      </c>
      <c r="V121" s="45">
        <v>1</v>
      </c>
      <c r="W121" s="1213" t="s">
        <v>11201</v>
      </c>
      <c r="X121" s="45"/>
      <c r="Y121" s="1919"/>
      <c r="Z121" s="1906"/>
      <c r="AA121" s="1163">
        <f t="shared" si="4"/>
        <v>43949</v>
      </c>
    </row>
    <row r="122" spans="1:31" x14ac:dyDescent="0.2">
      <c r="A122" s="11">
        <f t="shared" si="6"/>
        <v>41028</v>
      </c>
      <c r="B122" s="9">
        <v>2023</v>
      </c>
      <c r="C122" s="1210"/>
      <c r="D122" s="45"/>
      <c r="E122" s="1211"/>
      <c r="F122" s="45"/>
      <c r="G122" s="1202"/>
      <c r="H122" s="45"/>
      <c r="I122" s="1203"/>
      <c r="J122" s="45"/>
      <c r="K122" s="1204"/>
      <c r="L122" s="45"/>
      <c r="M122" s="1205"/>
      <c r="N122" s="45"/>
      <c r="O122" s="1206"/>
      <c r="P122" s="45"/>
      <c r="Q122" s="1207"/>
      <c r="R122" s="45"/>
      <c r="S122" s="1237"/>
      <c r="T122" s="45"/>
      <c r="U122" s="1209"/>
      <c r="V122" s="45"/>
      <c r="W122" s="1213" t="s">
        <v>11202</v>
      </c>
      <c r="X122" s="45"/>
      <c r="Y122" s="1919"/>
      <c r="Z122" s="1906"/>
      <c r="AA122" s="1163">
        <f t="shared" si="4"/>
        <v>43950</v>
      </c>
      <c r="AB122" s="146">
        <v>45045</v>
      </c>
    </row>
    <row r="123" spans="1:31" x14ac:dyDescent="0.2">
      <c r="A123" s="1178">
        <f t="shared" si="6"/>
        <v>41029</v>
      </c>
      <c r="C123" s="1210"/>
      <c r="D123" s="45"/>
      <c r="E123" s="1211"/>
      <c r="F123" s="45"/>
      <c r="G123" s="1202"/>
      <c r="H123" s="45"/>
      <c r="I123" s="1203"/>
      <c r="J123" s="45"/>
      <c r="K123" s="1204"/>
      <c r="L123" s="45"/>
      <c r="M123" s="1205"/>
      <c r="N123" s="45"/>
      <c r="O123" s="1206"/>
      <c r="P123" s="45"/>
      <c r="Q123" s="1207" t="s">
        <v>4936</v>
      </c>
      <c r="R123" s="45">
        <v>1</v>
      </c>
      <c r="S123" s="1208"/>
      <c r="T123" s="45"/>
      <c r="U123" s="1209"/>
      <c r="V123" s="45"/>
      <c r="W123" s="1213" t="s">
        <v>11203</v>
      </c>
      <c r="X123" s="45"/>
      <c r="Y123" s="1919"/>
      <c r="Z123" s="1906"/>
      <c r="AA123" s="1163">
        <f t="shared" si="4"/>
        <v>43951</v>
      </c>
    </row>
    <row r="124" spans="1:31" x14ac:dyDescent="0.2">
      <c r="A124" s="11">
        <f t="shared" si="6"/>
        <v>41030</v>
      </c>
      <c r="B124" s="99">
        <v>2021</v>
      </c>
      <c r="C124" s="1210"/>
      <c r="D124" s="45"/>
      <c r="E124" s="1211"/>
      <c r="F124" s="45"/>
      <c r="G124" s="1202"/>
      <c r="H124" s="45"/>
      <c r="I124" s="1203"/>
      <c r="J124" s="45"/>
      <c r="K124" s="1204"/>
      <c r="L124" s="45"/>
      <c r="M124" s="1205"/>
      <c r="N124" s="45"/>
      <c r="O124" s="1206"/>
      <c r="P124" s="45"/>
      <c r="Q124" s="1207"/>
      <c r="R124" s="45"/>
      <c r="S124" s="1208"/>
      <c r="T124" s="45"/>
      <c r="U124" s="1209"/>
      <c r="V124" s="45"/>
      <c r="W124" s="1213" t="s">
        <v>11204</v>
      </c>
      <c r="X124" s="45"/>
      <c r="Y124" s="1919"/>
      <c r="Z124" s="1907"/>
      <c r="AA124" s="1163">
        <f t="shared" si="4"/>
        <v>43952</v>
      </c>
      <c r="AB124" s="146">
        <v>44317</v>
      </c>
    </row>
    <row r="125" spans="1:31" x14ac:dyDescent="0.2">
      <c r="A125" s="1167">
        <f t="shared" si="6"/>
        <v>41031</v>
      </c>
      <c r="C125" s="1210"/>
      <c r="D125" s="45"/>
      <c r="E125" s="1211"/>
      <c r="F125" s="45"/>
      <c r="G125" s="1202"/>
      <c r="H125" s="45"/>
      <c r="I125" s="1203"/>
      <c r="J125" s="45"/>
      <c r="K125" s="1204"/>
      <c r="L125" s="45"/>
      <c r="M125" s="1205"/>
      <c r="N125" s="45"/>
      <c r="O125" s="1206" t="s">
        <v>2593</v>
      </c>
      <c r="P125" s="45">
        <v>1</v>
      </c>
      <c r="Q125" s="1207"/>
      <c r="R125" s="45"/>
      <c r="S125" s="1208"/>
      <c r="T125" s="45"/>
      <c r="U125" s="1209"/>
      <c r="V125" s="45"/>
      <c r="W125" s="1213" t="s">
        <v>10939</v>
      </c>
      <c r="X125" s="45"/>
      <c r="Y125" s="1919"/>
      <c r="Z125" s="1906"/>
      <c r="AA125" s="1163">
        <f t="shared" si="4"/>
        <v>43953</v>
      </c>
    </row>
    <row r="126" spans="1:31" x14ac:dyDescent="0.2">
      <c r="A126" s="1170">
        <f t="shared" si="6"/>
        <v>41032</v>
      </c>
      <c r="C126" s="1210"/>
      <c r="D126" s="45"/>
      <c r="E126" s="1211"/>
      <c r="F126" s="45"/>
      <c r="G126" s="1202"/>
      <c r="H126" s="45"/>
      <c r="I126" s="1203"/>
      <c r="J126" s="45"/>
      <c r="K126" s="1204"/>
      <c r="L126" s="45"/>
      <c r="M126" s="1205" t="s">
        <v>2431</v>
      </c>
      <c r="N126" s="45">
        <v>1</v>
      </c>
      <c r="O126" s="1206"/>
      <c r="P126" s="45"/>
      <c r="Q126" s="1207"/>
      <c r="R126" s="45"/>
      <c r="S126" s="1208"/>
      <c r="T126" s="45"/>
      <c r="U126" s="1209"/>
      <c r="V126" s="45"/>
      <c r="W126" s="1213"/>
      <c r="X126" s="45"/>
      <c r="Y126" s="1919"/>
      <c r="Z126" s="1906"/>
      <c r="AA126" s="1163">
        <f t="shared" ref="AA126:AA132" si="7">AA125+1</f>
        <v>43954</v>
      </c>
    </row>
    <row r="127" spans="1:31" x14ac:dyDescent="0.2">
      <c r="A127" s="12">
        <f t="shared" si="6"/>
        <v>41033</v>
      </c>
      <c r="B127" s="1236">
        <v>2030</v>
      </c>
      <c r="C127" s="1210"/>
      <c r="D127" s="45"/>
      <c r="E127" s="1211"/>
      <c r="F127" s="45"/>
      <c r="G127" s="1202"/>
      <c r="H127" s="45"/>
      <c r="I127" s="1203"/>
      <c r="J127" s="45"/>
      <c r="K127" s="1212"/>
      <c r="L127" s="45"/>
      <c r="M127" s="1205"/>
      <c r="N127" s="45"/>
      <c r="O127" s="1206"/>
      <c r="P127" s="45"/>
      <c r="Q127" s="1207"/>
      <c r="R127" s="45"/>
      <c r="S127" s="1208"/>
      <c r="T127" s="45"/>
      <c r="U127" s="1209"/>
      <c r="V127" s="45"/>
      <c r="W127" s="1213" t="s">
        <v>12082</v>
      </c>
      <c r="X127" s="45"/>
      <c r="Y127" s="1919"/>
      <c r="Z127" s="1906"/>
      <c r="AA127" s="1163">
        <f t="shared" si="7"/>
        <v>43955</v>
      </c>
    </row>
    <row r="128" spans="1:31" x14ac:dyDescent="0.2">
      <c r="A128" s="1182">
        <f t="shared" si="6"/>
        <v>41034</v>
      </c>
      <c r="C128" s="1210"/>
      <c r="D128" s="45"/>
      <c r="E128" s="1211"/>
      <c r="F128" s="45"/>
      <c r="G128" s="1202"/>
      <c r="H128" s="45"/>
      <c r="I128" s="1203" t="s">
        <v>8244</v>
      </c>
      <c r="J128" s="45">
        <v>1</v>
      </c>
      <c r="K128" s="1204"/>
      <c r="L128" s="45"/>
      <c r="M128" s="1205"/>
      <c r="N128" s="45"/>
      <c r="O128" s="1206"/>
      <c r="P128" s="45"/>
      <c r="Q128" s="1207"/>
      <c r="R128" s="45"/>
      <c r="S128" s="1208"/>
      <c r="T128" s="45"/>
      <c r="U128" s="1209" t="s">
        <v>5544</v>
      </c>
      <c r="V128" s="45">
        <v>1</v>
      </c>
      <c r="W128" s="1213" t="s">
        <v>12082</v>
      </c>
      <c r="X128" s="45"/>
      <c r="Y128" s="1919"/>
      <c r="Z128" s="1906"/>
      <c r="AA128" s="1163">
        <f t="shared" si="7"/>
        <v>43956</v>
      </c>
    </row>
    <row r="129" spans="1:28" x14ac:dyDescent="0.2">
      <c r="A129" s="1176">
        <f t="shared" si="6"/>
        <v>41035</v>
      </c>
      <c r="C129" s="1210"/>
      <c r="D129" s="45"/>
      <c r="E129" s="1211"/>
      <c r="F129" s="45"/>
      <c r="G129" s="1202"/>
      <c r="H129" s="45"/>
      <c r="I129" s="1203"/>
      <c r="J129" s="45"/>
      <c r="K129" s="1204"/>
      <c r="L129" s="45"/>
      <c r="M129" s="1205"/>
      <c r="N129" s="45"/>
      <c r="O129" s="1206"/>
      <c r="P129" s="45"/>
      <c r="Q129" s="1207"/>
      <c r="R129" s="45"/>
      <c r="S129" s="1208" t="s">
        <v>6393</v>
      </c>
      <c r="T129" s="45">
        <v>1</v>
      </c>
      <c r="U129" s="1209"/>
      <c r="V129" s="45"/>
      <c r="W129" s="1213"/>
      <c r="X129" s="45"/>
      <c r="Y129" s="1919"/>
      <c r="Z129" s="1906"/>
      <c r="AA129" s="1180">
        <f t="shared" si="7"/>
        <v>43957</v>
      </c>
    </row>
    <row r="130" spans="1:28" x14ac:dyDescent="0.2">
      <c r="A130" s="1178">
        <f t="shared" si="6"/>
        <v>41036</v>
      </c>
      <c r="C130" s="1210"/>
      <c r="D130" s="45"/>
      <c r="E130" s="1211"/>
      <c r="F130" s="45"/>
      <c r="G130" s="1202"/>
      <c r="H130" s="45"/>
      <c r="I130" s="1203"/>
      <c r="J130" s="45"/>
      <c r="K130" s="1204"/>
      <c r="L130" s="45"/>
      <c r="M130" s="1205"/>
      <c r="N130" s="45"/>
      <c r="O130" s="1206"/>
      <c r="P130" s="45"/>
      <c r="Q130" s="1214" t="s">
        <v>4510</v>
      </c>
      <c r="R130" s="45">
        <v>1</v>
      </c>
      <c r="S130" s="1208"/>
      <c r="T130" s="45"/>
      <c r="U130" s="1209"/>
      <c r="V130" s="45"/>
      <c r="W130" s="1213" t="s">
        <v>12284</v>
      </c>
      <c r="X130" s="45"/>
      <c r="Y130" s="1919"/>
      <c r="Z130" s="1906"/>
      <c r="AA130" s="1163">
        <f t="shared" si="7"/>
        <v>43958</v>
      </c>
    </row>
    <row r="131" spans="1:28" x14ac:dyDescent="0.2">
      <c r="A131" s="11">
        <f t="shared" si="6"/>
        <v>41037</v>
      </c>
      <c r="B131" s="99">
        <v>2021</v>
      </c>
      <c r="C131" s="1210"/>
      <c r="D131" s="45"/>
      <c r="E131" s="1211"/>
      <c r="F131" s="45"/>
      <c r="G131" s="1202"/>
      <c r="H131" s="45"/>
      <c r="I131" s="1203"/>
      <c r="J131" s="45"/>
      <c r="K131" s="1204"/>
      <c r="L131" s="45"/>
      <c r="M131" s="1205"/>
      <c r="N131" s="45"/>
      <c r="O131" s="1206"/>
      <c r="P131" s="45"/>
      <c r="Q131" s="1207"/>
      <c r="R131" s="45"/>
      <c r="S131" s="1208"/>
      <c r="T131" s="45"/>
      <c r="U131" s="1209"/>
      <c r="V131" s="45"/>
      <c r="W131" s="1213" t="s">
        <v>11207</v>
      </c>
      <c r="X131" s="45"/>
      <c r="Y131" s="1919"/>
      <c r="Z131" s="1907"/>
      <c r="AA131" s="1163">
        <f t="shared" si="7"/>
        <v>43959</v>
      </c>
      <c r="AB131" s="146">
        <v>44324</v>
      </c>
    </row>
    <row r="132" spans="1:28" x14ac:dyDescent="0.2">
      <c r="A132" s="1167">
        <f t="shared" si="6"/>
        <v>41038</v>
      </c>
      <c r="C132" s="1210"/>
      <c r="D132" s="45"/>
      <c r="E132" s="1211"/>
      <c r="F132" s="45"/>
      <c r="G132" s="1202"/>
      <c r="H132" s="45"/>
      <c r="I132" s="1203"/>
      <c r="J132" s="45"/>
      <c r="K132" s="1204"/>
      <c r="L132" s="45"/>
      <c r="M132" s="1205"/>
      <c r="N132" s="45"/>
      <c r="O132" s="1206" t="s">
        <v>6021</v>
      </c>
      <c r="P132" s="45">
        <v>1</v>
      </c>
      <c r="Q132" s="1207"/>
      <c r="R132" s="45"/>
      <c r="S132" s="1208"/>
      <c r="T132" s="45"/>
      <c r="U132" s="1209"/>
      <c r="V132" s="45"/>
      <c r="W132" s="1213" t="s">
        <v>11210</v>
      </c>
      <c r="X132" s="45"/>
      <c r="Y132" s="1919"/>
      <c r="Z132" s="1906"/>
      <c r="AA132" s="1163">
        <f t="shared" si="7"/>
        <v>43960</v>
      </c>
    </row>
    <row r="133" spans="1:28" x14ac:dyDescent="0.2">
      <c r="A133" s="1170">
        <f t="shared" ref="A133:A196" si="8">A132+1</f>
        <v>41039</v>
      </c>
      <c r="C133" s="1210"/>
      <c r="D133" s="45"/>
      <c r="E133" s="1211"/>
      <c r="F133" s="45"/>
      <c r="G133" s="1202"/>
      <c r="H133" s="45"/>
      <c r="I133" s="1203"/>
      <c r="J133" s="45"/>
      <c r="K133" s="1204"/>
      <c r="L133" s="45"/>
      <c r="M133" s="1205" t="s">
        <v>5544</v>
      </c>
      <c r="N133" s="45">
        <v>1</v>
      </c>
      <c r="O133" s="1206"/>
      <c r="P133" s="45"/>
      <c r="Q133" s="1207"/>
      <c r="R133" s="45"/>
      <c r="S133" s="1208"/>
      <c r="T133" s="45"/>
      <c r="U133" s="1209"/>
      <c r="V133" s="45"/>
      <c r="W133" s="1213" t="s">
        <v>11207</v>
      </c>
      <c r="X133" s="45"/>
      <c r="Y133" s="1919"/>
      <c r="Z133" s="1906"/>
      <c r="AA133" s="1163">
        <f t="shared" ref="AA133:AA196" si="9">AA132+1</f>
        <v>43961</v>
      </c>
    </row>
    <row r="134" spans="1:28" x14ac:dyDescent="0.2">
      <c r="A134" s="1173">
        <f t="shared" si="8"/>
        <v>41040</v>
      </c>
      <c r="C134" s="1210"/>
      <c r="D134" s="45"/>
      <c r="E134" s="1211"/>
      <c r="F134" s="45"/>
      <c r="G134" s="1202"/>
      <c r="H134" s="45"/>
      <c r="I134" s="1203"/>
      <c r="J134" s="45"/>
      <c r="K134" s="1204" t="s">
        <v>5544</v>
      </c>
      <c r="L134" s="45">
        <v>1</v>
      </c>
      <c r="M134" s="1205"/>
      <c r="N134" s="45"/>
      <c r="O134" s="1206"/>
      <c r="P134" s="45"/>
      <c r="Q134" s="1207"/>
      <c r="R134" s="45"/>
      <c r="S134" s="1208"/>
      <c r="T134" s="45"/>
      <c r="U134" s="1209"/>
      <c r="V134" s="45"/>
      <c r="W134" s="1213" t="s">
        <v>11205</v>
      </c>
      <c r="X134" s="45"/>
      <c r="Y134" s="1919"/>
      <c r="Z134" s="1906"/>
      <c r="AA134" s="1163">
        <f t="shared" si="9"/>
        <v>43962</v>
      </c>
    </row>
    <row r="135" spans="1:28" x14ac:dyDescent="0.2">
      <c r="A135" s="1165">
        <f t="shared" si="8"/>
        <v>41041</v>
      </c>
      <c r="C135" s="1210"/>
      <c r="D135" s="45"/>
      <c r="E135" s="1211"/>
      <c r="F135" s="45"/>
      <c r="G135" s="1202"/>
      <c r="H135" s="45"/>
      <c r="I135" s="1203" t="s">
        <v>5544</v>
      </c>
      <c r="J135" s="45">
        <v>1</v>
      </c>
      <c r="K135" s="1204"/>
      <c r="L135" s="45"/>
      <c r="M135" s="1205"/>
      <c r="N135" s="45"/>
      <c r="O135" s="1206"/>
      <c r="P135" s="45"/>
      <c r="Q135" s="1207"/>
      <c r="R135" s="45"/>
      <c r="S135" s="1208"/>
      <c r="T135" s="45"/>
      <c r="U135" s="1209" t="s">
        <v>9307</v>
      </c>
      <c r="V135" s="45">
        <v>1</v>
      </c>
      <c r="W135" s="606"/>
      <c r="X135" s="45"/>
      <c r="Y135" s="1919"/>
      <c r="Z135" s="1906"/>
      <c r="AA135" s="1163">
        <f t="shared" si="9"/>
        <v>43963</v>
      </c>
    </row>
    <row r="136" spans="1:28" x14ac:dyDescent="0.2">
      <c r="A136" s="1176">
        <f t="shared" si="8"/>
        <v>41042</v>
      </c>
      <c r="C136" s="1210"/>
      <c r="D136" s="45"/>
      <c r="E136" s="1211"/>
      <c r="F136" s="45"/>
      <c r="G136" s="1202"/>
      <c r="H136" s="45"/>
      <c r="I136" s="1203"/>
      <c r="J136" s="45"/>
      <c r="K136" s="1204"/>
      <c r="L136" s="45"/>
      <c r="M136" s="1205"/>
      <c r="N136" s="45"/>
      <c r="O136" s="1206"/>
      <c r="P136" s="45"/>
      <c r="Q136" s="1207"/>
      <c r="R136" s="45"/>
      <c r="S136" s="1208" t="s">
        <v>11139</v>
      </c>
      <c r="T136" s="45">
        <v>1</v>
      </c>
      <c r="U136" s="1209"/>
      <c r="V136" s="45"/>
      <c r="W136" s="606"/>
      <c r="X136" s="45"/>
      <c r="Y136" s="1919"/>
      <c r="Z136" s="1906"/>
      <c r="AA136" s="1180">
        <f t="shared" si="9"/>
        <v>43964</v>
      </c>
    </row>
    <row r="137" spans="1:28" x14ac:dyDescent="0.2">
      <c r="A137" s="1178">
        <f t="shared" si="8"/>
        <v>41043</v>
      </c>
      <c r="C137" s="1210"/>
      <c r="D137" s="45"/>
      <c r="E137" s="1211"/>
      <c r="F137" s="45"/>
      <c r="G137" s="1202"/>
      <c r="H137" s="45"/>
      <c r="I137" s="1203"/>
      <c r="J137" s="45"/>
      <c r="K137" s="1204"/>
      <c r="L137" s="45"/>
      <c r="M137" s="1205"/>
      <c r="N137" s="45"/>
      <c r="O137" s="1206"/>
      <c r="P137" s="45"/>
      <c r="Q137" s="1214" t="s">
        <v>5544</v>
      </c>
      <c r="R137" s="45">
        <v>1</v>
      </c>
      <c r="S137" s="1208"/>
      <c r="T137" s="45"/>
      <c r="U137" s="1209"/>
      <c r="V137" s="45"/>
      <c r="W137" s="606"/>
      <c r="X137" s="45"/>
      <c r="Y137" s="1919"/>
      <c r="Z137" s="1906"/>
      <c r="AA137" s="1163">
        <f t="shared" si="9"/>
        <v>43965</v>
      </c>
    </row>
    <row r="138" spans="1:28" x14ac:dyDescent="0.2">
      <c r="A138" s="1192">
        <f t="shared" si="8"/>
        <v>41044</v>
      </c>
      <c r="C138" s="1210"/>
      <c r="D138" s="45"/>
      <c r="E138" s="1211" t="s">
        <v>1122</v>
      </c>
      <c r="F138" s="45">
        <v>1</v>
      </c>
      <c r="G138" s="1202"/>
      <c r="H138" s="45"/>
      <c r="I138" s="1203"/>
      <c r="J138" s="45"/>
      <c r="K138" s="1204"/>
      <c r="L138" s="45"/>
      <c r="M138" s="1205"/>
      <c r="N138" s="45"/>
      <c r="O138" s="1206"/>
      <c r="P138" s="45"/>
      <c r="Q138" s="1207"/>
      <c r="R138" s="45"/>
      <c r="S138" s="1208"/>
      <c r="T138" s="45"/>
      <c r="U138" s="1209"/>
      <c r="V138" s="45"/>
      <c r="W138" s="606"/>
      <c r="X138" s="45"/>
      <c r="Y138" s="1919"/>
      <c r="Z138" s="1907"/>
      <c r="AA138" s="1163">
        <f t="shared" si="9"/>
        <v>43966</v>
      </c>
    </row>
    <row r="139" spans="1:28" x14ac:dyDescent="0.2">
      <c r="A139" s="1167">
        <f t="shared" si="8"/>
        <v>41045</v>
      </c>
      <c r="C139" s="1210"/>
      <c r="D139" s="45"/>
      <c r="E139" s="1211"/>
      <c r="F139" s="45"/>
      <c r="G139" s="1202"/>
      <c r="H139" s="45"/>
      <c r="I139" s="1203"/>
      <c r="J139" s="45"/>
      <c r="K139" s="1204"/>
      <c r="L139" s="45"/>
      <c r="M139" s="1205"/>
      <c r="N139" s="45"/>
      <c r="O139" s="1206" t="s">
        <v>1719</v>
      </c>
      <c r="P139" s="45">
        <v>1</v>
      </c>
      <c r="Q139" s="1207"/>
      <c r="R139" s="45"/>
      <c r="S139" s="1208"/>
      <c r="T139" s="45"/>
      <c r="U139" s="1209"/>
      <c r="V139" s="45"/>
      <c r="W139" s="606"/>
      <c r="X139" s="45"/>
      <c r="Y139" s="1919"/>
      <c r="Z139" s="1906"/>
      <c r="AA139" s="1163">
        <f t="shared" si="9"/>
        <v>43967</v>
      </c>
    </row>
    <row r="140" spans="1:28" x14ac:dyDescent="0.2">
      <c r="A140" s="1170">
        <f t="shared" si="8"/>
        <v>41046</v>
      </c>
      <c r="C140" s="1210"/>
      <c r="D140" s="45"/>
      <c r="E140" s="1211"/>
      <c r="F140" s="45"/>
      <c r="G140" s="1202"/>
      <c r="H140" s="45"/>
      <c r="I140" s="1203"/>
      <c r="J140" s="45"/>
      <c r="K140" s="1204" t="s">
        <v>1212</v>
      </c>
      <c r="L140" s="45"/>
      <c r="M140" s="1205" t="s">
        <v>4622</v>
      </c>
      <c r="N140" s="45">
        <v>1</v>
      </c>
      <c r="O140" s="1206"/>
      <c r="P140" s="45"/>
      <c r="Q140" s="1207"/>
      <c r="R140" s="45"/>
      <c r="S140" s="1208"/>
      <c r="T140" s="45"/>
      <c r="U140" s="1209"/>
      <c r="V140" s="45"/>
      <c r="W140" s="606"/>
      <c r="X140" s="45"/>
      <c r="Y140" s="1919"/>
      <c r="Z140" s="1906"/>
      <c r="AA140" s="1163">
        <f t="shared" si="9"/>
        <v>43968</v>
      </c>
    </row>
    <row r="141" spans="1:28" x14ac:dyDescent="0.2">
      <c r="A141" s="1291">
        <f t="shared" si="8"/>
        <v>41047</v>
      </c>
      <c r="C141" s="1210"/>
      <c r="D141" s="45"/>
      <c r="E141" s="1211"/>
      <c r="F141" s="45"/>
      <c r="G141" s="1202"/>
      <c r="H141" s="45"/>
      <c r="I141" s="1203"/>
      <c r="J141" s="45"/>
      <c r="K141" s="1204" t="s">
        <v>3948</v>
      </c>
      <c r="L141" s="45">
        <v>1</v>
      </c>
      <c r="M141" s="1205"/>
      <c r="N141" s="45"/>
      <c r="O141" s="1206"/>
      <c r="P141" s="45"/>
      <c r="Q141" s="1207"/>
      <c r="R141" s="45"/>
      <c r="S141" s="1208"/>
      <c r="T141" s="45"/>
      <c r="U141" s="1209"/>
      <c r="V141" s="45"/>
      <c r="W141" s="606" t="s">
        <v>9307</v>
      </c>
      <c r="X141" s="45">
        <v>1</v>
      </c>
      <c r="Y141" s="1919"/>
      <c r="Z141" s="1906"/>
      <c r="AA141" s="1163">
        <f t="shared" si="9"/>
        <v>43969</v>
      </c>
    </row>
    <row r="142" spans="1:28" x14ac:dyDescent="0.2">
      <c r="A142" s="1165">
        <f t="shared" si="8"/>
        <v>41048</v>
      </c>
      <c r="C142" s="1210"/>
      <c r="D142" s="45"/>
      <c r="E142" s="1211"/>
      <c r="F142" s="45"/>
      <c r="G142" s="1202"/>
      <c r="H142" s="45"/>
      <c r="I142" s="1203" t="s">
        <v>5544</v>
      </c>
      <c r="J142" s="45">
        <v>1</v>
      </c>
      <c r="K142" s="1204"/>
      <c r="L142" s="45"/>
      <c r="M142" s="1205"/>
      <c r="N142" s="45"/>
      <c r="O142" s="1206"/>
      <c r="P142" s="45"/>
      <c r="Q142" s="1207"/>
      <c r="R142" s="45"/>
      <c r="S142" s="1208"/>
      <c r="T142" s="45"/>
      <c r="U142" s="1209" t="s">
        <v>5544</v>
      </c>
      <c r="V142" s="45">
        <v>1</v>
      </c>
      <c r="W142" s="606"/>
      <c r="X142" s="45"/>
      <c r="Y142" s="1919"/>
      <c r="Z142" s="1906"/>
      <c r="AA142" s="1163">
        <f t="shared" si="9"/>
        <v>43970</v>
      </c>
    </row>
    <row r="143" spans="1:28" x14ac:dyDescent="0.2">
      <c r="A143" s="1176">
        <f t="shared" si="8"/>
        <v>41049</v>
      </c>
      <c r="C143" s="1210"/>
      <c r="D143" s="45"/>
      <c r="E143" s="1211"/>
      <c r="F143" s="45"/>
      <c r="G143" s="1202"/>
      <c r="H143" s="45"/>
      <c r="I143" s="1203"/>
      <c r="J143" s="45"/>
      <c r="K143" s="1204"/>
      <c r="L143" s="45"/>
      <c r="M143" s="1205"/>
      <c r="N143" s="45"/>
      <c r="O143" s="1206"/>
      <c r="P143" s="45"/>
      <c r="Q143" s="1207"/>
      <c r="R143" s="45"/>
      <c r="S143" s="1208" t="s">
        <v>5544</v>
      </c>
      <c r="T143" s="45">
        <v>1</v>
      </c>
      <c r="U143" s="1209"/>
      <c r="V143" s="45"/>
      <c r="W143" s="606"/>
      <c r="X143" s="45"/>
      <c r="Y143" s="1919"/>
      <c r="Z143" s="1906"/>
      <c r="AA143" s="1180">
        <f t="shared" si="9"/>
        <v>43971</v>
      </c>
    </row>
    <row r="144" spans="1:28" x14ac:dyDescent="0.2">
      <c r="A144" s="1178">
        <f t="shared" si="8"/>
        <v>41050</v>
      </c>
      <c r="C144" s="1210"/>
      <c r="D144" s="45"/>
      <c r="E144" s="1211"/>
      <c r="F144" s="45"/>
      <c r="G144" s="1202"/>
      <c r="H144" s="45"/>
      <c r="I144" s="1203"/>
      <c r="J144" s="45"/>
      <c r="K144" s="1204"/>
      <c r="L144" s="45"/>
      <c r="M144" s="1205"/>
      <c r="N144" s="45"/>
      <c r="O144" s="1206"/>
      <c r="P144" s="45"/>
      <c r="Q144" s="1214" t="s">
        <v>3669</v>
      </c>
      <c r="R144" s="45">
        <v>1</v>
      </c>
      <c r="S144" s="1208"/>
      <c r="T144" s="45"/>
      <c r="U144" s="1209"/>
      <c r="V144" s="45"/>
      <c r="W144" s="606"/>
      <c r="X144" s="45"/>
      <c r="Y144" s="1919"/>
      <c r="Z144" s="1906"/>
      <c r="AA144" s="1163">
        <f t="shared" si="9"/>
        <v>43972</v>
      </c>
    </row>
    <row r="145" spans="1:28" x14ac:dyDescent="0.2">
      <c r="A145" s="11">
        <f t="shared" si="8"/>
        <v>41051</v>
      </c>
      <c r="B145" s="99">
        <v>2021</v>
      </c>
      <c r="C145" s="1210"/>
      <c r="D145" s="45"/>
      <c r="E145" s="1211"/>
      <c r="F145" s="45"/>
      <c r="G145" s="1202"/>
      <c r="H145" s="45"/>
      <c r="I145" s="1203"/>
      <c r="J145" s="45"/>
      <c r="K145" s="1204"/>
      <c r="L145" s="45"/>
      <c r="M145" s="1205"/>
      <c r="N145" s="45"/>
      <c r="O145" s="1206"/>
      <c r="P145" s="45"/>
      <c r="Q145" s="1207"/>
      <c r="R145" s="45"/>
      <c r="S145" s="1208"/>
      <c r="T145" s="45"/>
      <c r="U145" s="1209"/>
      <c r="V145" s="45"/>
      <c r="W145" s="606"/>
      <c r="X145" s="45"/>
      <c r="Y145" s="1919"/>
      <c r="Z145" s="1907"/>
      <c r="AA145" s="1163">
        <f t="shared" si="9"/>
        <v>43973</v>
      </c>
      <c r="AB145" s="146">
        <v>44338</v>
      </c>
    </row>
    <row r="146" spans="1:28" x14ac:dyDescent="0.2">
      <c r="A146" s="1167">
        <f t="shared" si="8"/>
        <v>41052</v>
      </c>
      <c r="C146" s="1210"/>
      <c r="D146" s="45"/>
      <c r="E146" s="1211"/>
      <c r="F146" s="45"/>
      <c r="G146" s="1202"/>
      <c r="H146" s="45"/>
      <c r="I146" s="1203"/>
      <c r="J146" s="45"/>
      <c r="K146" s="1204"/>
      <c r="L146" s="45"/>
      <c r="M146" s="1205"/>
      <c r="N146" s="45"/>
      <c r="O146" s="1206" t="s">
        <v>5544</v>
      </c>
      <c r="P146" s="45">
        <v>1</v>
      </c>
      <c r="Q146" s="1207"/>
      <c r="R146" s="45"/>
      <c r="S146" s="1208"/>
      <c r="T146" s="45"/>
      <c r="U146" s="1209"/>
      <c r="V146" s="45"/>
      <c r="W146" s="606"/>
      <c r="X146" s="45"/>
      <c r="Y146" s="1919"/>
      <c r="Z146" s="1906"/>
      <c r="AA146" s="1163">
        <f t="shared" si="9"/>
        <v>43974</v>
      </c>
    </row>
    <row r="147" spans="1:28" x14ac:dyDescent="0.2">
      <c r="A147" s="1170">
        <f t="shared" si="8"/>
        <v>41053</v>
      </c>
      <c r="C147" s="1210"/>
      <c r="D147" s="45"/>
      <c r="E147" s="1211"/>
      <c r="F147" s="45"/>
      <c r="G147" s="1202"/>
      <c r="H147" s="45"/>
      <c r="I147" s="1203"/>
      <c r="J147" s="45"/>
      <c r="K147" s="1204"/>
      <c r="L147" s="45"/>
      <c r="M147" s="1205" t="s">
        <v>2827</v>
      </c>
      <c r="N147" s="45">
        <v>1</v>
      </c>
      <c r="O147" s="1206"/>
      <c r="P147" s="45"/>
      <c r="Q147" s="1207"/>
      <c r="R147" s="45"/>
      <c r="S147" s="1208"/>
      <c r="T147" s="45"/>
      <c r="U147" s="1209"/>
      <c r="V147" s="45"/>
      <c r="W147" s="606"/>
      <c r="X147" s="45"/>
      <c r="Y147" s="1919"/>
      <c r="Z147" s="1906"/>
      <c r="AA147" s="1163">
        <f t="shared" si="9"/>
        <v>43975</v>
      </c>
    </row>
    <row r="148" spans="1:28" x14ac:dyDescent="0.2">
      <c r="A148" s="1291">
        <f t="shared" si="8"/>
        <v>41054</v>
      </c>
      <c r="C148" s="1210"/>
      <c r="D148" s="45"/>
      <c r="E148" s="1211"/>
      <c r="F148" s="45"/>
      <c r="G148" s="1202"/>
      <c r="H148" s="45"/>
      <c r="I148" s="1203"/>
      <c r="J148" s="45"/>
      <c r="K148" s="1204" t="s">
        <v>1003</v>
      </c>
      <c r="L148" s="45">
        <v>1</v>
      </c>
      <c r="M148" s="1205"/>
      <c r="N148" s="45"/>
      <c r="O148" s="1206"/>
      <c r="P148" s="45"/>
      <c r="Q148" s="1207"/>
      <c r="R148" s="45"/>
      <c r="S148" s="1208"/>
      <c r="T148" s="45"/>
      <c r="U148" s="1209"/>
      <c r="V148" s="45"/>
      <c r="W148" s="606" t="s">
        <v>12510</v>
      </c>
      <c r="X148" s="45">
        <v>1</v>
      </c>
      <c r="Y148" s="1919"/>
      <c r="Z148" s="1906"/>
      <c r="AA148" s="1163">
        <f t="shared" si="9"/>
        <v>43976</v>
      </c>
    </row>
    <row r="149" spans="1:28" x14ac:dyDescent="0.2">
      <c r="A149" s="1165">
        <f t="shared" si="8"/>
        <v>41055</v>
      </c>
      <c r="C149" s="1210"/>
      <c r="D149" s="45"/>
      <c r="E149" s="1211"/>
      <c r="F149" s="45"/>
      <c r="G149" s="1202"/>
      <c r="H149" s="45"/>
      <c r="I149" s="1203" t="s">
        <v>3167</v>
      </c>
      <c r="J149" s="45">
        <v>1</v>
      </c>
      <c r="K149" s="1204"/>
      <c r="L149" s="45"/>
      <c r="M149" s="1205"/>
      <c r="N149" s="45"/>
      <c r="O149" s="1206"/>
      <c r="P149" s="45"/>
      <c r="Q149" s="1207"/>
      <c r="R149" s="45"/>
      <c r="S149" s="1208"/>
      <c r="T149" s="45"/>
      <c r="U149" s="1209"/>
      <c r="V149" s="45"/>
      <c r="W149" s="606"/>
      <c r="X149" s="45"/>
      <c r="Y149" s="1919"/>
      <c r="Z149" s="1906"/>
      <c r="AA149" s="1163">
        <f t="shared" si="9"/>
        <v>43977</v>
      </c>
      <c r="AB149" s="146">
        <v>47264</v>
      </c>
    </row>
    <row r="150" spans="1:28" x14ac:dyDescent="0.2">
      <c r="A150" s="1176">
        <f t="shared" si="8"/>
        <v>41056</v>
      </c>
      <c r="C150" s="1210"/>
      <c r="D150" s="45"/>
      <c r="E150" s="1211"/>
      <c r="F150" s="45"/>
      <c r="G150" s="1202"/>
      <c r="H150" s="45"/>
      <c r="I150" s="1203"/>
      <c r="J150" s="45"/>
      <c r="K150" s="1204"/>
      <c r="L150" s="45"/>
      <c r="M150" s="1205"/>
      <c r="N150" s="45"/>
      <c r="O150" s="1206"/>
      <c r="P150" s="45"/>
      <c r="Q150" s="1207"/>
      <c r="R150" s="45"/>
      <c r="S150" s="1208" t="s">
        <v>5544</v>
      </c>
      <c r="T150" s="45">
        <v>1</v>
      </c>
      <c r="U150" s="1209"/>
      <c r="V150" s="45"/>
      <c r="W150" s="606"/>
      <c r="X150" s="45"/>
      <c r="Y150" s="1919"/>
      <c r="Z150" s="1906"/>
      <c r="AA150" s="1180">
        <f t="shared" si="9"/>
        <v>43978</v>
      </c>
    </row>
    <row r="151" spans="1:28" x14ac:dyDescent="0.2">
      <c r="A151" s="1178">
        <f t="shared" si="8"/>
        <v>41057</v>
      </c>
      <c r="C151" s="1210"/>
      <c r="D151" s="45"/>
      <c r="E151" s="1211"/>
      <c r="F151" s="45"/>
      <c r="G151" s="1202"/>
      <c r="H151" s="45"/>
      <c r="I151" s="1203"/>
      <c r="J151" s="45"/>
      <c r="K151" s="1204"/>
      <c r="L151" s="45"/>
      <c r="M151" s="1205"/>
      <c r="N151" s="45"/>
      <c r="O151" s="1206"/>
      <c r="P151" s="45"/>
      <c r="Q151" s="1207" t="s">
        <v>3470</v>
      </c>
      <c r="R151" s="45">
        <v>1</v>
      </c>
      <c r="S151" s="1208"/>
      <c r="T151" s="45"/>
      <c r="U151" s="1209"/>
      <c r="V151" s="45"/>
      <c r="W151" s="606"/>
      <c r="X151" s="45"/>
      <c r="Y151" s="1919"/>
      <c r="Z151" s="1906"/>
      <c r="AA151" s="1163">
        <f t="shared" si="9"/>
        <v>43979</v>
      </c>
    </row>
    <row r="152" spans="1:28" x14ac:dyDescent="0.2">
      <c r="A152" s="11">
        <f t="shared" si="8"/>
        <v>41058</v>
      </c>
      <c r="B152" s="99">
        <v>2021</v>
      </c>
      <c r="C152" s="1210"/>
      <c r="D152" s="45"/>
      <c r="E152" s="1211"/>
      <c r="F152" s="45"/>
      <c r="G152" s="1202"/>
      <c r="H152" s="45"/>
      <c r="I152" s="1203"/>
      <c r="J152" s="45"/>
      <c r="K152" s="1204"/>
      <c r="L152" s="45"/>
      <c r="M152" s="1205"/>
      <c r="N152" s="45"/>
      <c r="O152" s="1206"/>
      <c r="P152" s="45"/>
      <c r="Q152" s="1207"/>
      <c r="R152" s="45"/>
      <c r="S152" s="1208"/>
      <c r="T152" s="45"/>
      <c r="U152" s="1209"/>
      <c r="V152" s="45"/>
      <c r="W152" s="606"/>
      <c r="X152" s="45"/>
      <c r="Y152" s="1919"/>
      <c r="Z152" s="1907"/>
      <c r="AA152" s="1163">
        <f t="shared" si="9"/>
        <v>43980</v>
      </c>
      <c r="AB152" s="146">
        <v>44345</v>
      </c>
    </row>
    <row r="153" spans="1:28" x14ac:dyDescent="0.2">
      <c r="A153" s="11">
        <f t="shared" si="8"/>
        <v>41059</v>
      </c>
      <c r="B153" s="1926">
        <v>2020</v>
      </c>
      <c r="C153" s="1210"/>
      <c r="D153" s="45"/>
      <c r="E153" s="1211"/>
      <c r="F153" s="45"/>
      <c r="G153" s="1202"/>
      <c r="H153" s="45"/>
      <c r="I153" s="1203"/>
      <c r="J153" s="45"/>
      <c r="K153" s="1204"/>
      <c r="L153" s="45"/>
      <c r="M153" s="1205"/>
      <c r="N153" s="45"/>
      <c r="O153" s="1206"/>
      <c r="P153" s="45"/>
      <c r="Q153" s="1207"/>
      <c r="R153" s="45"/>
      <c r="S153" s="1208"/>
      <c r="T153" s="45"/>
      <c r="U153" s="1209"/>
      <c r="V153" s="45"/>
      <c r="W153" s="606"/>
      <c r="X153" s="45"/>
      <c r="Y153" s="1919"/>
      <c r="Z153" s="1906"/>
      <c r="AA153" s="1186">
        <f t="shared" si="9"/>
        <v>43981</v>
      </c>
      <c r="AB153" s="1662">
        <v>43981</v>
      </c>
    </row>
    <row r="154" spans="1:28" x14ac:dyDescent="0.2">
      <c r="A154" s="11">
        <f t="shared" si="8"/>
        <v>41060</v>
      </c>
      <c r="B154" s="9">
        <v>2025</v>
      </c>
      <c r="C154" s="1210"/>
      <c r="D154" s="45"/>
      <c r="E154" s="1211"/>
      <c r="F154" s="45"/>
      <c r="G154" s="1202"/>
      <c r="H154" s="45"/>
      <c r="I154" s="1203"/>
      <c r="J154" s="45"/>
      <c r="K154" s="1204"/>
      <c r="L154" s="45"/>
      <c r="M154" s="1198" t="s">
        <v>11232</v>
      </c>
      <c r="N154" s="45"/>
      <c r="O154" s="1206"/>
      <c r="P154" s="45"/>
      <c r="Q154" s="1207"/>
      <c r="R154" s="45"/>
      <c r="S154" s="1208"/>
      <c r="T154" s="45"/>
      <c r="U154" s="1209"/>
      <c r="V154" s="45"/>
      <c r="W154" s="606"/>
      <c r="X154" s="45"/>
      <c r="Y154" s="1919"/>
      <c r="Z154" s="1906"/>
      <c r="AA154" s="1163">
        <f t="shared" si="9"/>
        <v>43982</v>
      </c>
      <c r="AB154" s="146">
        <v>45808</v>
      </c>
    </row>
    <row r="155" spans="1:28" x14ac:dyDescent="0.2">
      <c r="A155" s="1291">
        <f t="shared" si="8"/>
        <v>41061</v>
      </c>
      <c r="C155" s="1210"/>
      <c r="D155" s="45"/>
      <c r="E155" s="1211"/>
      <c r="F155" s="45"/>
      <c r="G155" s="1202"/>
      <c r="H155" s="45"/>
      <c r="I155" s="1203"/>
      <c r="J155" s="45"/>
      <c r="K155" s="1204" t="s">
        <v>11135</v>
      </c>
      <c r="L155" s="45">
        <v>1</v>
      </c>
      <c r="M155" s="1205"/>
      <c r="N155" s="45"/>
      <c r="O155" s="1206"/>
      <c r="P155" s="45"/>
      <c r="Q155" s="1207"/>
      <c r="R155" s="45"/>
      <c r="S155" s="1208"/>
      <c r="T155" s="45"/>
      <c r="U155" s="1209"/>
      <c r="V155" s="45"/>
      <c r="W155" s="606" t="s">
        <v>12833</v>
      </c>
      <c r="X155" s="45">
        <v>1</v>
      </c>
      <c r="Y155" s="1919"/>
      <c r="Z155" s="1906"/>
      <c r="AA155" s="1163">
        <f t="shared" si="9"/>
        <v>43983</v>
      </c>
    </row>
    <row r="156" spans="1:28" x14ac:dyDescent="0.2">
      <c r="A156" s="1182">
        <f t="shared" si="8"/>
        <v>41062</v>
      </c>
      <c r="C156" s="1210"/>
      <c r="D156" s="45"/>
      <c r="E156" s="1211"/>
      <c r="F156" s="45"/>
      <c r="G156" s="1202"/>
      <c r="H156" s="45"/>
      <c r="I156" s="1203" t="s">
        <v>5544</v>
      </c>
      <c r="J156" s="45">
        <v>1</v>
      </c>
      <c r="K156" s="1204"/>
      <c r="L156" s="45"/>
      <c r="M156" s="1205"/>
      <c r="N156" s="45"/>
      <c r="O156" s="1206"/>
      <c r="P156" s="45"/>
      <c r="Q156" s="1207"/>
      <c r="R156" s="45"/>
      <c r="S156" s="1208"/>
      <c r="T156" s="45"/>
      <c r="U156" s="1209" t="s">
        <v>11149</v>
      </c>
      <c r="V156" s="45">
        <v>1</v>
      </c>
      <c r="W156" s="606"/>
      <c r="X156" s="45"/>
      <c r="Y156" s="1919"/>
      <c r="Z156" s="1906"/>
      <c r="AA156" s="1163">
        <f t="shared" si="9"/>
        <v>43984</v>
      </c>
    </row>
    <row r="157" spans="1:28" x14ac:dyDescent="0.2">
      <c r="A157" s="11">
        <f t="shared" si="8"/>
        <v>41063</v>
      </c>
      <c r="B157" s="9">
        <v>2023</v>
      </c>
      <c r="C157" s="1210"/>
      <c r="D157" s="45"/>
      <c r="E157" s="1211"/>
      <c r="F157" s="45"/>
      <c r="G157" s="1202"/>
      <c r="H157" s="45"/>
      <c r="I157" s="1203"/>
      <c r="J157" s="45"/>
      <c r="K157" s="1204"/>
      <c r="L157" s="45"/>
      <c r="M157" s="1205"/>
      <c r="N157" s="45"/>
      <c r="O157" s="1206"/>
      <c r="P157" s="45"/>
      <c r="Q157" s="1207"/>
      <c r="R157" s="45"/>
      <c r="S157" s="1198" t="s">
        <v>11212</v>
      </c>
      <c r="T157" s="45"/>
      <c r="U157" s="1209"/>
      <c r="V157" s="45"/>
      <c r="W157" s="606"/>
      <c r="X157" s="45"/>
      <c r="Y157" s="1919"/>
      <c r="Z157" s="1906"/>
      <c r="AA157" s="1163">
        <f t="shared" si="9"/>
        <v>43985</v>
      </c>
      <c r="AB157" s="21">
        <v>45080</v>
      </c>
    </row>
    <row r="158" spans="1:28" x14ac:dyDescent="0.2">
      <c r="A158" s="1178">
        <f t="shared" si="8"/>
        <v>41064</v>
      </c>
      <c r="C158" s="1210"/>
      <c r="D158" s="45"/>
      <c r="E158" s="1211"/>
      <c r="F158" s="45"/>
      <c r="G158" s="1202"/>
      <c r="H158" s="45"/>
      <c r="I158" s="1203"/>
      <c r="J158" s="45"/>
      <c r="K158" s="1204"/>
      <c r="L158" s="45"/>
      <c r="M158" s="1205"/>
      <c r="N158" s="45"/>
      <c r="O158" s="1206"/>
      <c r="P158" s="45"/>
      <c r="Q158" s="1207" t="s">
        <v>5544</v>
      </c>
      <c r="R158" s="45">
        <v>1</v>
      </c>
      <c r="S158" s="1208"/>
      <c r="T158" s="45"/>
      <c r="U158" s="1209"/>
      <c r="V158" s="45"/>
      <c r="W158" s="606"/>
      <c r="X158" s="45"/>
      <c r="Y158" s="1919"/>
      <c r="Z158" s="1906"/>
      <c r="AA158" s="1163">
        <f t="shared" si="9"/>
        <v>43986</v>
      </c>
      <c r="AB158" s="21"/>
    </row>
    <row r="159" spans="1:28" x14ac:dyDescent="0.2">
      <c r="A159" s="1192">
        <f t="shared" si="8"/>
        <v>41065</v>
      </c>
      <c r="C159" s="1210"/>
      <c r="D159" s="45"/>
      <c r="E159" s="1211" t="s">
        <v>1122</v>
      </c>
      <c r="F159" s="45">
        <v>1</v>
      </c>
      <c r="G159" s="1202"/>
      <c r="H159" s="45"/>
      <c r="I159" s="1203"/>
      <c r="J159" s="45"/>
      <c r="K159" s="1204"/>
      <c r="L159" s="45"/>
      <c r="M159" s="1205"/>
      <c r="N159" s="45"/>
      <c r="O159" s="1206"/>
      <c r="P159" s="45"/>
      <c r="Q159" s="1207"/>
      <c r="R159" s="45"/>
      <c r="S159" s="1208"/>
      <c r="T159" s="45"/>
      <c r="U159" s="1209"/>
      <c r="V159" s="45"/>
      <c r="W159" s="606"/>
      <c r="X159" s="45"/>
      <c r="Y159" s="1919"/>
      <c r="Z159" s="1906"/>
      <c r="AA159" s="1163">
        <f t="shared" si="9"/>
        <v>43987</v>
      </c>
      <c r="AB159" s="21"/>
    </row>
    <row r="160" spans="1:28" x14ac:dyDescent="0.2">
      <c r="A160" s="1167">
        <f t="shared" si="8"/>
        <v>41066</v>
      </c>
      <c r="C160" s="1210"/>
      <c r="D160" s="45"/>
      <c r="E160" s="1211"/>
      <c r="F160" s="45"/>
      <c r="G160" s="1202"/>
      <c r="H160" s="45"/>
      <c r="I160" s="1203"/>
      <c r="J160" s="45"/>
      <c r="K160" s="1204"/>
      <c r="L160" s="45"/>
      <c r="M160" s="1205"/>
      <c r="N160" s="45"/>
      <c r="O160" s="1206" t="s">
        <v>1627</v>
      </c>
      <c r="P160" s="45">
        <v>1</v>
      </c>
      <c r="Q160" s="1207"/>
      <c r="R160" s="45"/>
      <c r="S160" s="1208"/>
      <c r="T160" s="45"/>
      <c r="U160" s="1209"/>
      <c r="V160" s="45"/>
      <c r="W160" s="606"/>
      <c r="X160" s="45"/>
      <c r="Y160" s="1919"/>
      <c r="Z160" s="1906"/>
      <c r="AA160" s="1163">
        <f t="shared" si="9"/>
        <v>43988</v>
      </c>
      <c r="AB160" s="21"/>
    </row>
    <row r="161" spans="1:28" x14ac:dyDescent="0.2">
      <c r="A161" s="1170">
        <f t="shared" si="8"/>
        <v>41067</v>
      </c>
      <c r="C161" s="1210"/>
      <c r="D161" s="45"/>
      <c r="E161" s="1211"/>
      <c r="F161" s="45"/>
      <c r="G161" s="1202"/>
      <c r="H161" s="45"/>
      <c r="I161" s="1203"/>
      <c r="J161" s="45"/>
      <c r="K161" s="1204"/>
      <c r="L161" s="45"/>
      <c r="M161" s="1205" t="s">
        <v>6003</v>
      </c>
      <c r="N161" s="45">
        <v>1</v>
      </c>
      <c r="O161" s="1206"/>
      <c r="P161" s="45"/>
      <c r="Q161" s="1207"/>
      <c r="R161" s="45"/>
      <c r="S161" s="1208"/>
      <c r="T161" s="45"/>
      <c r="U161" s="1209"/>
      <c r="V161" s="45"/>
      <c r="W161" s="606"/>
      <c r="X161" s="45"/>
      <c r="Y161" s="1919"/>
      <c r="Z161" s="1906"/>
      <c r="AA161" s="1163">
        <f t="shared" si="9"/>
        <v>43989</v>
      </c>
      <c r="AB161" s="21"/>
    </row>
    <row r="162" spans="1:28" x14ac:dyDescent="0.2">
      <c r="A162" s="1291">
        <f t="shared" si="8"/>
        <v>41068</v>
      </c>
      <c r="C162" s="1210"/>
      <c r="D162" s="45"/>
      <c r="E162" s="1211"/>
      <c r="F162" s="45"/>
      <c r="G162" s="1202"/>
      <c r="H162" s="45"/>
      <c r="I162" s="1203"/>
      <c r="J162" s="45"/>
      <c r="K162" s="1204" t="s">
        <v>5544</v>
      </c>
      <c r="L162" s="45">
        <v>1</v>
      </c>
      <c r="M162" s="1205"/>
      <c r="N162" s="45"/>
      <c r="O162" s="1206"/>
      <c r="P162" s="45"/>
      <c r="Q162" s="1207"/>
      <c r="R162" s="45"/>
      <c r="S162" s="1208"/>
      <c r="T162" s="45"/>
      <c r="U162" s="1209"/>
      <c r="V162" s="45"/>
      <c r="W162" s="606" t="s">
        <v>10441</v>
      </c>
      <c r="X162" s="45">
        <v>1</v>
      </c>
      <c r="Y162" s="1919"/>
      <c r="Z162" s="1906"/>
      <c r="AA162" s="1163">
        <f t="shared" si="9"/>
        <v>43990</v>
      </c>
      <c r="AB162" s="21"/>
    </row>
    <row r="163" spans="1:28" x14ac:dyDescent="0.2">
      <c r="A163" s="1182">
        <f t="shared" si="8"/>
        <v>41069</v>
      </c>
      <c r="C163" s="1210"/>
      <c r="D163" s="45"/>
      <c r="E163" s="1211"/>
      <c r="F163" s="45"/>
      <c r="G163" s="1202"/>
      <c r="H163" s="45"/>
      <c r="I163" s="1203" t="s">
        <v>5544</v>
      </c>
      <c r="J163" s="45">
        <v>1</v>
      </c>
      <c r="K163" s="1204"/>
      <c r="L163" s="45"/>
      <c r="M163" s="1205"/>
      <c r="N163" s="45"/>
      <c r="O163" s="1206"/>
      <c r="P163" s="45"/>
      <c r="Q163" s="1207"/>
      <c r="R163" s="45"/>
      <c r="S163" s="1208"/>
      <c r="T163" s="45"/>
      <c r="U163" s="1209" t="s">
        <v>5544</v>
      </c>
      <c r="V163" s="45">
        <v>1</v>
      </c>
      <c r="W163" s="606"/>
      <c r="X163" s="45"/>
      <c r="Y163" s="1919"/>
      <c r="Z163" s="1906"/>
      <c r="AA163" s="1163">
        <f t="shared" si="9"/>
        <v>43991</v>
      </c>
      <c r="AB163" s="21"/>
    </row>
    <row r="164" spans="1:28" x14ac:dyDescent="0.2">
      <c r="A164" s="1176">
        <f t="shared" si="8"/>
        <v>41070</v>
      </c>
      <c r="C164" s="1210"/>
      <c r="D164" s="45"/>
      <c r="E164" s="1211"/>
      <c r="F164" s="45"/>
      <c r="G164" s="1202"/>
      <c r="H164" s="45"/>
      <c r="I164" s="1203"/>
      <c r="J164" s="45"/>
      <c r="K164" s="1204"/>
      <c r="L164" s="45"/>
      <c r="M164" s="1205"/>
      <c r="N164" s="45"/>
      <c r="O164" s="1206"/>
      <c r="P164" s="45"/>
      <c r="Q164" s="1207"/>
      <c r="R164" s="45"/>
      <c r="S164" s="1208" t="s">
        <v>11145</v>
      </c>
      <c r="T164" s="45">
        <v>1</v>
      </c>
      <c r="U164" s="1209"/>
      <c r="V164" s="45"/>
      <c r="W164" s="606"/>
      <c r="X164" s="45"/>
      <c r="Y164" s="1919"/>
      <c r="Z164" s="1906"/>
      <c r="AA164" s="1163">
        <f t="shared" si="9"/>
        <v>43992</v>
      </c>
      <c r="AB164" s="21"/>
    </row>
    <row r="165" spans="1:28" x14ac:dyDescent="0.2">
      <c r="A165" s="1178">
        <f t="shared" si="8"/>
        <v>41071</v>
      </c>
      <c r="C165" s="1210"/>
      <c r="D165" s="45"/>
      <c r="E165" s="1211"/>
      <c r="F165" s="45"/>
      <c r="G165" s="1202"/>
      <c r="H165" s="45"/>
      <c r="I165" s="1203"/>
      <c r="J165" s="45"/>
      <c r="K165" s="1204"/>
      <c r="L165" s="45"/>
      <c r="M165" s="1205"/>
      <c r="N165" s="45"/>
      <c r="O165" s="1206"/>
      <c r="P165" s="45"/>
      <c r="Q165" s="1207" t="s">
        <v>11136</v>
      </c>
      <c r="R165" s="45">
        <v>1</v>
      </c>
      <c r="S165" s="1208"/>
      <c r="T165" s="45"/>
      <c r="U165" s="1209"/>
      <c r="V165" s="45"/>
      <c r="W165" s="606"/>
      <c r="X165" s="45"/>
      <c r="Y165" s="1919"/>
      <c r="Z165" s="1906"/>
      <c r="AA165" s="1163">
        <f t="shared" si="9"/>
        <v>43993</v>
      </c>
      <c r="AB165" s="21"/>
    </row>
    <row r="166" spans="1:28" x14ac:dyDescent="0.2">
      <c r="A166" s="11">
        <f t="shared" si="8"/>
        <v>41072</v>
      </c>
      <c r="B166" s="99">
        <v>2021</v>
      </c>
      <c r="C166" s="1210"/>
      <c r="D166" s="45"/>
      <c r="E166" s="1211"/>
      <c r="F166" s="45"/>
      <c r="G166" s="1202"/>
      <c r="H166" s="45"/>
      <c r="I166" s="1203"/>
      <c r="J166" s="45"/>
      <c r="K166" s="1204"/>
      <c r="L166" s="45"/>
      <c r="M166" s="1205"/>
      <c r="N166" s="45"/>
      <c r="O166" s="1206"/>
      <c r="P166" s="45"/>
      <c r="Q166" s="1207"/>
      <c r="R166" s="45"/>
      <c r="S166" s="1208"/>
      <c r="T166" s="45"/>
      <c r="U166" s="1209"/>
      <c r="V166" s="45"/>
      <c r="W166" s="606"/>
      <c r="X166" s="45"/>
      <c r="Y166" s="1919"/>
      <c r="Z166" s="1906"/>
      <c r="AA166" s="1163">
        <f t="shared" si="9"/>
        <v>43994</v>
      </c>
      <c r="AB166" s="21">
        <v>44359</v>
      </c>
    </row>
    <row r="167" spans="1:28" x14ac:dyDescent="0.2">
      <c r="A167" s="1167">
        <f t="shared" si="8"/>
        <v>41073</v>
      </c>
      <c r="C167" s="1210"/>
      <c r="D167" s="45"/>
      <c r="E167" s="1211"/>
      <c r="F167" s="45"/>
      <c r="G167" s="1202"/>
      <c r="H167" s="45"/>
      <c r="I167" s="1203"/>
      <c r="J167" s="45"/>
      <c r="K167" s="1204"/>
      <c r="L167" s="45"/>
      <c r="M167" s="1205"/>
      <c r="N167" s="45"/>
      <c r="O167" s="1206" t="s">
        <v>5544</v>
      </c>
      <c r="P167" s="45">
        <v>1</v>
      </c>
      <c r="Q167" s="1207"/>
      <c r="R167" s="45"/>
      <c r="S167" s="1208"/>
      <c r="T167" s="45"/>
      <c r="U167" s="1209"/>
      <c r="V167" s="45"/>
      <c r="W167" s="606"/>
      <c r="X167" s="45"/>
      <c r="Y167" s="1919"/>
      <c r="Z167" s="1906"/>
      <c r="AA167" s="1163">
        <f t="shared" si="9"/>
        <v>43995</v>
      </c>
      <c r="AB167" s="21"/>
    </row>
    <row r="168" spans="1:28" x14ac:dyDescent="0.2">
      <c r="A168" s="1170">
        <f t="shared" si="8"/>
        <v>41074</v>
      </c>
      <c r="C168" s="1210"/>
      <c r="D168" s="45"/>
      <c r="E168" s="1211"/>
      <c r="F168" s="45"/>
      <c r="G168" s="1202"/>
      <c r="H168" s="45"/>
      <c r="I168" s="1203"/>
      <c r="J168" s="45"/>
      <c r="K168" s="1204"/>
      <c r="L168" s="45"/>
      <c r="M168" s="1205" t="s">
        <v>6022</v>
      </c>
      <c r="N168" s="45">
        <v>1</v>
      </c>
      <c r="O168" s="1206"/>
      <c r="P168" s="45"/>
      <c r="Q168" s="1207"/>
      <c r="R168" s="45"/>
      <c r="S168" s="1208"/>
      <c r="T168" s="45"/>
      <c r="U168" s="1209"/>
      <c r="V168" s="45"/>
      <c r="W168" s="606"/>
      <c r="X168" s="45"/>
      <c r="Y168" s="1919"/>
      <c r="Z168" s="1906"/>
      <c r="AA168" s="1163">
        <f t="shared" si="9"/>
        <v>43996</v>
      </c>
      <c r="AB168" s="21"/>
    </row>
    <row r="169" spans="1:28" x14ac:dyDescent="0.2">
      <c r="A169" s="1292">
        <f t="shared" si="8"/>
        <v>41075</v>
      </c>
      <c r="B169" s="1473"/>
      <c r="C169" s="1210"/>
      <c r="D169" s="45"/>
      <c r="E169" s="1211"/>
      <c r="F169" s="45"/>
      <c r="G169" s="1202"/>
      <c r="H169" s="45"/>
      <c r="I169" s="1203"/>
      <c r="J169" s="45"/>
      <c r="K169" s="1212" t="s">
        <v>11198</v>
      </c>
      <c r="L169" s="45"/>
      <c r="M169" s="1205"/>
      <c r="N169" s="45"/>
      <c r="O169" s="1206"/>
      <c r="P169" s="45"/>
      <c r="Q169" s="1207"/>
      <c r="R169" s="45"/>
      <c r="S169" s="1208"/>
      <c r="T169" s="45"/>
      <c r="U169" s="1209"/>
      <c r="V169" s="45"/>
      <c r="W169" s="606" t="s">
        <v>12897</v>
      </c>
      <c r="X169" s="45">
        <v>1</v>
      </c>
      <c r="Y169" s="1919"/>
      <c r="Z169" s="1906"/>
      <c r="AA169" s="1163">
        <f t="shared" si="9"/>
        <v>43997</v>
      </c>
      <c r="AB169" s="21"/>
    </row>
    <row r="170" spans="1:28" x14ac:dyDescent="0.2">
      <c r="A170" s="1182">
        <f t="shared" si="8"/>
        <v>41076</v>
      </c>
      <c r="C170" s="1210"/>
      <c r="D170" s="45"/>
      <c r="E170" s="1211"/>
      <c r="F170" s="45"/>
      <c r="G170" s="1202"/>
      <c r="H170" s="45"/>
      <c r="I170" s="1203" t="s">
        <v>5544</v>
      </c>
      <c r="J170" s="45">
        <v>1</v>
      </c>
      <c r="K170" s="1204"/>
      <c r="L170" s="45"/>
      <c r="M170" s="1205"/>
      <c r="N170" s="45"/>
      <c r="O170" s="1206"/>
      <c r="P170" s="45"/>
      <c r="Q170" s="1207"/>
      <c r="R170" s="45"/>
      <c r="S170" s="1208"/>
      <c r="T170" s="45"/>
      <c r="U170" s="1209" t="s">
        <v>4556</v>
      </c>
      <c r="V170" s="45">
        <v>1</v>
      </c>
      <c r="W170" s="606"/>
      <c r="X170" s="45"/>
      <c r="Y170" s="1919"/>
      <c r="Z170" s="1906"/>
      <c r="AA170" s="1163">
        <f t="shared" si="9"/>
        <v>43998</v>
      </c>
      <c r="AB170" s="21"/>
    </row>
    <row r="171" spans="1:28" x14ac:dyDescent="0.2">
      <c r="A171" s="1176">
        <f t="shared" si="8"/>
        <v>41077</v>
      </c>
      <c r="C171" s="1210"/>
      <c r="D171" s="45"/>
      <c r="E171" s="1211"/>
      <c r="F171" s="45"/>
      <c r="G171" s="1202"/>
      <c r="H171" s="45"/>
      <c r="I171" s="1203"/>
      <c r="J171" s="45"/>
      <c r="K171" s="1204"/>
      <c r="L171" s="45"/>
      <c r="M171" s="1205"/>
      <c r="N171" s="45"/>
      <c r="O171" s="1206"/>
      <c r="P171" s="45"/>
      <c r="Q171" s="1207"/>
      <c r="R171" s="45"/>
      <c r="S171" s="1208" t="s">
        <v>2627</v>
      </c>
      <c r="T171" s="45">
        <v>1</v>
      </c>
      <c r="U171" s="1209"/>
      <c r="V171" s="45"/>
      <c r="W171" s="606"/>
      <c r="X171" s="45"/>
      <c r="Y171" s="1919"/>
      <c r="Z171" s="1906"/>
      <c r="AA171" s="1163">
        <f t="shared" si="9"/>
        <v>43999</v>
      </c>
      <c r="AB171" s="21"/>
    </row>
    <row r="172" spans="1:28" x14ac:dyDescent="0.2">
      <c r="A172" s="1178">
        <f t="shared" si="8"/>
        <v>41078</v>
      </c>
      <c r="C172" s="1210"/>
      <c r="D172" s="45"/>
      <c r="E172" s="1211"/>
      <c r="F172" s="45"/>
      <c r="G172" s="1202"/>
      <c r="H172" s="45"/>
      <c r="I172" s="1203"/>
      <c r="J172" s="45"/>
      <c r="K172" s="1204"/>
      <c r="L172" s="45"/>
      <c r="M172" s="1205"/>
      <c r="N172" s="45"/>
      <c r="O172" s="1206"/>
      <c r="P172" s="45"/>
      <c r="Q172" s="1207" t="s">
        <v>2048</v>
      </c>
      <c r="R172" s="45">
        <v>1</v>
      </c>
      <c r="S172" s="1208"/>
      <c r="T172" s="45"/>
      <c r="U172" s="1209"/>
      <c r="V172" s="45"/>
      <c r="W172" s="606"/>
      <c r="X172" s="45"/>
      <c r="Y172" s="1919"/>
      <c r="Z172" s="1906"/>
      <c r="AA172" s="1163">
        <f t="shared" si="9"/>
        <v>44000</v>
      </c>
      <c r="AB172" s="21"/>
    </row>
    <row r="173" spans="1:28" x14ac:dyDescent="0.2">
      <c r="A173" s="11">
        <f t="shared" si="8"/>
        <v>41079</v>
      </c>
      <c r="B173" s="99">
        <v>2021</v>
      </c>
      <c r="C173" s="1210"/>
      <c r="D173" s="45"/>
      <c r="E173" s="1211"/>
      <c r="F173" s="45"/>
      <c r="G173" s="1202"/>
      <c r="H173" s="45"/>
      <c r="I173" s="1203"/>
      <c r="J173" s="45"/>
      <c r="K173" s="1204"/>
      <c r="L173" s="45"/>
      <c r="M173" s="1205"/>
      <c r="N173" s="45"/>
      <c r="O173" s="1206"/>
      <c r="P173" s="45"/>
      <c r="Q173" s="1207"/>
      <c r="R173" s="45"/>
      <c r="S173" s="1208"/>
      <c r="T173" s="45"/>
      <c r="U173" s="1209"/>
      <c r="V173" s="45"/>
      <c r="W173" s="606"/>
      <c r="X173" s="45"/>
      <c r="Y173" s="1919"/>
      <c r="Z173" s="1906"/>
      <c r="AA173" s="1163">
        <f t="shared" si="9"/>
        <v>44001</v>
      </c>
      <c r="AB173" s="21">
        <v>44366</v>
      </c>
    </row>
    <row r="174" spans="1:28" x14ac:dyDescent="0.2">
      <c r="A174" s="1167">
        <f t="shared" si="8"/>
        <v>41080</v>
      </c>
      <c r="C174" s="1210"/>
      <c r="D174" s="45"/>
      <c r="E174" s="1211"/>
      <c r="F174" s="45"/>
      <c r="G174" s="1202"/>
      <c r="H174" s="45"/>
      <c r="I174" s="1203"/>
      <c r="J174" s="45"/>
      <c r="K174" s="1204"/>
      <c r="L174" s="45"/>
      <c r="M174" s="1205"/>
      <c r="N174" s="45"/>
      <c r="O174" s="1206" t="s">
        <v>4861</v>
      </c>
      <c r="P174" s="45">
        <v>1</v>
      </c>
      <c r="Q174" s="1207"/>
      <c r="R174" s="45"/>
      <c r="S174" s="1208"/>
      <c r="T174" s="45"/>
      <c r="U174" s="1209"/>
      <c r="V174" s="45"/>
      <c r="W174" s="606"/>
      <c r="X174" s="45"/>
      <c r="Y174" s="1919"/>
      <c r="Z174" s="1906"/>
      <c r="AA174" s="1163">
        <f t="shared" si="9"/>
        <v>44002</v>
      </c>
      <c r="AB174" s="21"/>
    </row>
    <row r="175" spans="1:28" x14ac:dyDescent="0.2">
      <c r="A175" s="1170">
        <f t="shared" si="8"/>
        <v>41081</v>
      </c>
      <c r="C175" s="1210"/>
      <c r="D175" s="45"/>
      <c r="E175" s="1211"/>
      <c r="F175" s="45"/>
      <c r="G175" s="1202"/>
      <c r="H175" s="45"/>
      <c r="I175" s="1203"/>
      <c r="J175" s="45"/>
      <c r="K175" s="1204"/>
      <c r="L175" s="45"/>
      <c r="M175" s="1205" t="s">
        <v>5784</v>
      </c>
      <c r="N175" s="45">
        <v>1</v>
      </c>
      <c r="O175" s="1206"/>
      <c r="P175" s="45"/>
      <c r="Q175" s="1207"/>
      <c r="R175" s="45"/>
      <c r="S175" s="1208"/>
      <c r="T175" s="45"/>
      <c r="U175" s="1209"/>
      <c r="V175" s="45"/>
      <c r="W175" s="606"/>
      <c r="X175" s="45"/>
      <c r="Y175" s="1919"/>
      <c r="Z175" s="1906"/>
      <c r="AA175" s="1163">
        <f t="shared" si="9"/>
        <v>44003</v>
      </c>
      <c r="AB175" s="21"/>
    </row>
    <row r="176" spans="1:28" x14ac:dyDescent="0.2">
      <c r="A176" s="1291">
        <f t="shared" si="8"/>
        <v>41082</v>
      </c>
      <c r="C176" s="1210"/>
      <c r="D176" s="45"/>
      <c r="E176" s="1211"/>
      <c r="F176" s="45"/>
      <c r="G176" s="1202"/>
      <c r="H176" s="45"/>
      <c r="I176" s="1203"/>
      <c r="J176" s="45"/>
      <c r="K176" s="1204" t="s">
        <v>5544</v>
      </c>
      <c r="L176" s="45">
        <v>1</v>
      </c>
      <c r="M176" s="1205"/>
      <c r="N176" s="45"/>
      <c r="O176" s="1206"/>
      <c r="P176" s="45"/>
      <c r="Q176" s="1207"/>
      <c r="R176" s="45"/>
      <c r="S176" s="1208"/>
      <c r="T176" s="45"/>
      <c r="U176" s="1209"/>
      <c r="V176" s="45"/>
      <c r="W176" s="606" t="s">
        <v>10441</v>
      </c>
      <c r="X176" s="45">
        <v>1</v>
      </c>
      <c r="Y176" s="1919"/>
      <c r="Z176" s="1906"/>
      <c r="AA176" s="1163">
        <f t="shared" si="9"/>
        <v>44004</v>
      </c>
      <c r="AB176" s="21"/>
    </row>
    <row r="177" spans="1:28" x14ac:dyDescent="0.2">
      <c r="A177" s="1182">
        <f t="shared" si="8"/>
        <v>41083</v>
      </c>
      <c r="C177" s="1210"/>
      <c r="D177" s="45"/>
      <c r="E177" s="1211"/>
      <c r="F177" s="45"/>
      <c r="G177" s="1202"/>
      <c r="H177" s="45"/>
      <c r="I177" s="1203" t="s">
        <v>5544</v>
      </c>
      <c r="J177" s="45">
        <v>1</v>
      </c>
      <c r="K177" s="1204"/>
      <c r="L177" s="45"/>
      <c r="M177" s="1205"/>
      <c r="N177" s="45"/>
      <c r="O177" s="1206"/>
      <c r="P177" s="45"/>
      <c r="Q177" s="1207"/>
      <c r="R177" s="45"/>
      <c r="S177" s="1208"/>
      <c r="T177" s="45"/>
      <c r="U177" s="1209" t="s">
        <v>8248</v>
      </c>
      <c r="V177" s="45">
        <v>1</v>
      </c>
      <c r="W177" s="606"/>
      <c r="X177" s="45"/>
      <c r="Y177" s="1919"/>
      <c r="Z177" s="1906"/>
      <c r="AA177" s="1163">
        <f t="shared" si="9"/>
        <v>44005</v>
      </c>
      <c r="AB177" s="21"/>
    </row>
    <row r="178" spans="1:28" x14ac:dyDescent="0.2">
      <c r="A178" s="1176">
        <f t="shared" si="8"/>
        <v>41084</v>
      </c>
      <c r="C178" s="1210"/>
      <c r="D178" s="45"/>
      <c r="E178" s="1211"/>
      <c r="F178" s="45"/>
      <c r="G178" s="1202"/>
      <c r="H178" s="45"/>
      <c r="I178" s="1203"/>
      <c r="J178" s="45"/>
      <c r="K178" s="1204"/>
      <c r="L178" s="45"/>
      <c r="M178" s="1205"/>
      <c r="N178" s="45"/>
      <c r="O178" s="1206"/>
      <c r="P178" s="45"/>
      <c r="Q178" s="1207"/>
      <c r="R178" s="45"/>
      <c r="S178" s="1208" t="s">
        <v>7938</v>
      </c>
      <c r="T178" s="45">
        <v>1</v>
      </c>
      <c r="U178" s="1209"/>
      <c r="V178" s="45"/>
      <c r="W178" s="606"/>
      <c r="X178" s="45"/>
      <c r="Y178" s="1919"/>
      <c r="Z178" s="1906"/>
      <c r="AA178" s="1163">
        <f t="shared" si="9"/>
        <v>44006</v>
      </c>
      <c r="AB178" s="21"/>
    </row>
    <row r="179" spans="1:28" x14ac:dyDescent="0.2">
      <c r="A179" s="1178">
        <f t="shared" si="8"/>
        <v>41085</v>
      </c>
      <c r="C179" s="1210"/>
      <c r="D179" s="45"/>
      <c r="E179" s="1211"/>
      <c r="F179" s="45"/>
      <c r="G179" s="1202"/>
      <c r="H179" s="45"/>
      <c r="I179" s="1203"/>
      <c r="J179" s="45"/>
      <c r="K179" s="1204"/>
      <c r="L179" s="45"/>
      <c r="M179" s="1205"/>
      <c r="N179" s="45"/>
      <c r="O179" s="1206"/>
      <c r="P179" s="45"/>
      <c r="Q179" s="1207" t="s">
        <v>5544</v>
      </c>
      <c r="R179" s="45">
        <v>1</v>
      </c>
      <c r="S179" s="1208"/>
      <c r="T179" s="45"/>
      <c r="U179" s="1209"/>
      <c r="V179" s="45"/>
      <c r="W179" s="606"/>
      <c r="X179" s="45"/>
      <c r="Y179" s="1919"/>
      <c r="Z179" s="1906"/>
      <c r="AA179" s="1163">
        <f t="shared" si="9"/>
        <v>44007</v>
      </c>
      <c r="AB179" s="21"/>
    </row>
    <row r="180" spans="1:28" x14ac:dyDescent="0.2">
      <c r="A180" s="1175">
        <f t="shared" si="8"/>
        <v>41086</v>
      </c>
      <c r="C180" s="1210"/>
      <c r="D180" s="45"/>
      <c r="E180" s="1211" t="s">
        <v>1122</v>
      </c>
      <c r="F180" s="45">
        <v>1</v>
      </c>
      <c r="G180" s="1202"/>
      <c r="H180" s="45"/>
      <c r="I180" s="1203"/>
      <c r="J180" s="45"/>
      <c r="K180" s="1204"/>
      <c r="L180" s="45"/>
      <c r="M180" s="1198"/>
      <c r="N180" s="45"/>
      <c r="O180" s="1206"/>
      <c r="P180" s="45"/>
      <c r="Q180" s="1207"/>
      <c r="R180" s="45"/>
      <c r="S180" s="1208"/>
      <c r="T180" s="45"/>
      <c r="U180" s="1209"/>
      <c r="V180" s="45"/>
      <c r="W180" s="606"/>
      <c r="X180" s="45"/>
      <c r="Y180" s="1919"/>
      <c r="Z180" s="1906"/>
      <c r="AA180" s="1163">
        <f t="shared" si="9"/>
        <v>44008</v>
      </c>
      <c r="AB180" s="21"/>
    </row>
    <row r="181" spans="1:28" x14ac:dyDescent="0.2">
      <c r="A181" s="1167">
        <f t="shared" si="8"/>
        <v>41087</v>
      </c>
      <c r="C181" s="1210"/>
      <c r="D181" s="45"/>
      <c r="E181" s="1211"/>
      <c r="F181" s="45"/>
      <c r="G181" s="1202"/>
      <c r="H181" s="45"/>
      <c r="I181" s="1203"/>
      <c r="J181" s="45"/>
      <c r="K181" s="1204"/>
      <c r="L181" s="45"/>
      <c r="M181" s="1198" t="s">
        <v>11200</v>
      </c>
      <c r="N181" s="45"/>
      <c r="O181" s="1206" t="s">
        <v>8896</v>
      </c>
      <c r="P181" s="45">
        <v>1</v>
      </c>
      <c r="Q181" s="1207"/>
      <c r="R181" s="45"/>
      <c r="S181" s="1208"/>
      <c r="T181" s="45"/>
      <c r="U181" s="1209"/>
      <c r="V181" s="45"/>
      <c r="W181" s="606"/>
      <c r="X181" s="45"/>
      <c r="Y181" s="1919"/>
      <c r="Z181" s="1906"/>
      <c r="AA181" s="1163">
        <f t="shared" si="9"/>
        <v>44009</v>
      </c>
      <c r="AB181" s="21"/>
    </row>
    <row r="182" spans="1:28" x14ac:dyDescent="0.2">
      <c r="A182" s="11">
        <f t="shared" si="8"/>
        <v>41088</v>
      </c>
      <c r="B182" s="99">
        <v>2025</v>
      </c>
      <c r="C182" s="1210"/>
      <c r="D182" s="45"/>
      <c r="E182" s="1211"/>
      <c r="F182" s="45"/>
      <c r="G182" s="1202"/>
      <c r="H182" s="45"/>
      <c r="I182" s="1203"/>
      <c r="J182" s="45"/>
      <c r="K182" s="1204"/>
      <c r="L182" s="45"/>
      <c r="M182" s="1198" t="s">
        <v>11201</v>
      </c>
      <c r="N182" s="45"/>
      <c r="O182" s="1206"/>
      <c r="P182" s="45"/>
      <c r="Q182" s="1207"/>
      <c r="R182" s="45"/>
      <c r="S182" s="1208"/>
      <c r="T182" s="45"/>
      <c r="U182" s="1209"/>
      <c r="V182" s="45"/>
      <c r="W182" s="606"/>
      <c r="X182" s="45"/>
      <c r="Y182" s="1919"/>
      <c r="Z182" s="1906"/>
      <c r="AA182" s="1163">
        <f t="shared" si="9"/>
        <v>44010</v>
      </c>
      <c r="AB182" s="21">
        <v>45836</v>
      </c>
    </row>
    <row r="183" spans="1:28" x14ac:dyDescent="0.2">
      <c r="A183" s="1291">
        <f t="shared" si="8"/>
        <v>41089</v>
      </c>
      <c r="C183" s="1210"/>
      <c r="D183" s="45"/>
      <c r="E183" s="1211"/>
      <c r="F183" s="45"/>
      <c r="G183" s="1202"/>
      <c r="H183" s="45"/>
      <c r="I183" s="1203"/>
      <c r="J183" s="45"/>
      <c r="K183" s="1204" t="s">
        <v>861</v>
      </c>
      <c r="L183" s="45">
        <v>1</v>
      </c>
      <c r="M183" s="1198" t="s">
        <v>11202</v>
      </c>
      <c r="N183" s="45"/>
      <c r="O183" s="1206"/>
      <c r="P183" s="45"/>
      <c r="Q183" s="1207"/>
      <c r="R183" s="45"/>
      <c r="S183" s="1208"/>
      <c r="T183" s="45"/>
      <c r="U183" s="1209"/>
      <c r="V183" s="45"/>
      <c r="W183" s="606" t="s">
        <v>9307</v>
      </c>
      <c r="X183" s="45">
        <v>1</v>
      </c>
      <c r="Y183" s="1919"/>
      <c r="Z183" s="1906"/>
      <c r="AA183" s="1163">
        <f t="shared" si="9"/>
        <v>44011</v>
      </c>
      <c r="AB183" s="21"/>
    </row>
    <row r="184" spans="1:28" x14ac:dyDescent="0.2">
      <c r="A184" s="1165">
        <f t="shared" si="8"/>
        <v>41090</v>
      </c>
      <c r="C184" s="1210"/>
      <c r="D184" s="45"/>
      <c r="E184" s="1211"/>
      <c r="F184" s="45"/>
      <c r="G184" s="1202"/>
      <c r="H184" s="45"/>
      <c r="I184" s="1203" t="s">
        <v>5048</v>
      </c>
      <c r="J184" s="45">
        <v>1</v>
      </c>
      <c r="K184" s="1204"/>
      <c r="L184" s="45"/>
      <c r="M184" s="1198" t="s">
        <v>11203</v>
      </c>
      <c r="N184" s="45"/>
      <c r="O184" s="1206"/>
      <c r="P184" s="45"/>
      <c r="Q184" s="1207"/>
      <c r="R184" s="45"/>
      <c r="S184" s="1208"/>
      <c r="T184" s="45"/>
      <c r="U184" s="1209" t="s">
        <v>5544</v>
      </c>
      <c r="V184" s="45">
        <v>1</v>
      </c>
      <c r="W184" s="606"/>
      <c r="X184" s="45"/>
      <c r="Y184" s="1919"/>
      <c r="Z184" s="1906"/>
      <c r="AA184" s="1163">
        <f t="shared" si="9"/>
        <v>44012</v>
      </c>
      <c r="AB184" s="21"/>
    </row>
    <row r="185" spans="1:28" x14ac:dyDescent="0.2">
      <c r="A185" s="1176">
        <f t="shared" si="8"/>
        <v>41091</v>
      </c>
      <c r="C185" s="1210"/>
      <c r="D185" s="45"/>
      <c r="E185" s="1211"/>
      <c r="F185" s="45"/>
      <c r="G185" s="1202"/>
      <c r="H185" s="45"/>
      <c r="I185" s="1203"/>
      <c r="J185" s="45"/>
      <c r="K185" s="1204"/>
      <c r="L185" s="45"/>
      <c r="M185" s="1198" t="s">
        <v>11204</v>
      </c>
      <c r="N185" s="45"/>
      <c r="O185" s="1206"/>
      <c r="P185" s="45"/>
      <c r="Q185" s="1207"/>
      <c r="R185" s="45"/>
      <c r="S185" s="1208" t="s">
        <v>5885</v>
      </c>
      <c r="T185" s="45">
        <v>1</v>
      </c>
      <c r="U185" s="1209"/>
      <c r="V185" s="45"/>
      <c r="W185" s="606"/>
      <c r="X185" s="45"/>
      <c r="Y185" s="1919"/>
      <c r="Z185" s="1906"/>
      <c r="AA185" s="1163">
        <f t="shared" si="9"/>
        <v>44013</v>
      </c>
    </row>
    <row r="186" spans="1:28" x14ac:dyDescent="0.2">
      <c r="A186" s="1178">
        <f t="shared" si="8"/>
        <v>41092</v>
      </c>
      <c r="C186" s="1210"/>
      <c r="D186" s="45"/>
      <c r="E186" s="1211"/>
      <c r="F186" s="45"/>
      <c r="G186" s="1202"/>
      <c r="H186" s="45"/>
      <c r="I186" s="1203"/>
      <c r="J186" s="45"/>
      <c r="K186" s="1204"/>
      <c r="L186" s="45"/>
      <c r="M186" s="1198" t="s">
        <v>10939</v>
      </c>
      <c r="N186" s="45"/>
      <c r="O186" s="1206"/>
      <c r="P186" s="45"/>
      <c r="Q186" s="1207" t="s">
        <v>11135</v>
      </c>
      <c r="R186" s="45">
        <v>1</v>
      </c>
      <c r="S186" s="1208"/>
      <c r="T186" s="45"/>
      <c r="U186" s="1209"/>
      <c r="V186" s="45"/>
      <c r="W186" s="606"/>
      <c r="X186" s="45"/>
      <c r="Y186" s="1919"/>
      <c r="Z186" s="1906"/>
      <c r="AA186" s="1163">
        <f t="shared" si="9"/>
        <v>44014</v>
      </c>
    </row>
    <row r="187" spans="1:28" x14ac:dyDescent="0.2">
      <c r="A187" s="11">
        <f t="shared" si="8"/>
        <v>41093</v>
      </c>
      <c r="B187" s="99">
        <v>2021</v>
      </c>
      <c r="C187" s="1210"/>
      <c r="D187" s="45"/>
      <c r="E187" s="1211"/>
      <c r="F187" s="45"/>
      <c r="G187" s="1202"/>
      <c r="H187" s="45"/>
      <c r="I187" s="1203"/>
      <c r="J187" s="45"/>
      <c r="K187" s="1204"/>
      <c r="L187" s="45"/>
      <c r="M187" s="1198"/>
      <c r="N187" s="45"/>
      <c r="O187" s="1206"/>
      <c r="P187" s="45"/>
      <c r="Q187" s="1207"/>
      <c r="R187" s="45"/>
      <c r="S187" s="1208"/>
      <c r="T187" s="45"/>
      <c r="U187" s="1209"/>
      <c r="V187" s="45"/>
      <c r="W187" s="606"/>
      <c r="X187" s="45"/>
      <c r="Y187" s="1919"/>
      <c r="Z187" s="1906"/>
      <c r="AA187" s="1163">
        <f t="shared" si="9"/>
        <v>44015</v>
      </c>
      <c r="AB187" s="21">
        <v>44380</v>
      </c>
    </row>
    <row r="188" spans="1:28" x14ac:dyDescent="0.2">
      <c r="A188" s="11">
        <f t="shared" si="8"/>
        <v>41094</v>
      </c>
      <c r="B188" s="1926">
        <v>2020</v>
      </c>
      <c r="C188" s="1210"/>
      <c r="D188" s="45"/>
      <c r="E188" s="1211"/>
      <c r="F188" s="45"/>
      <c r="G188" s="1202"/>
      <c r="H188" s="45"/>
      <c r="I188" s="1203"/>
      <c r="J188" s="45"/>
      <c r="K188" s="1204"/>
      <c r="L188" s="45"/>
      <c r="M188" s="1198"/>
      <c r="N188" s="45"/>
      <c r="O188" s="1206"/>
      <c r="P188" s="45"/>
      <c r="Q188" s="1198"/>
      <c r="R188" s="45"/>
      <c r="S188" s="1208"/>
      <c r="T188" s="45"/>
      <c r="U188" s="1209"/>
      <c r="V188" s="45"/>
      <c r="W188" s="606"/>
      <c r="X188" s="45"/>
      <c r="Y188" s="1919"/>
      <c r="Z188" s="1906"/>
      <c r="AA188" s="1163">
        <f t="shared" si="9"/>
        <v>44016</v>
      </c>
      <c r="AB188" s="1247">
        <v>44016</v>
      </c>
    </row>
    <row r="189" spans="1:28" x14ac:dyDescent="0.2">
      <c r="A189" s="11">
        <f t="shared" si="8"/>
        <v>41095</v>
      </c>
      <c r="B189" s="9">
        <v>2025</v>
      </c>
      <c r="C189" s="1210"/>
      <c r="D189" s="45"/>
      <c r="E189" s="1211"/>
      <c r="F189" s="45"/>
      <c r="G189" s="1202"/>
      <c r="H189" s="45"/>
      <c r="I189" s="1203"/>
      <c r="J189" s="45"/>
      <c r="K189" s="1204"/>
      <c r="L189" s="45"/>
      <c r="M189" s="1198"/>
      <c r="N189" s="45"/>
      <c r="O189" s="1206"/>
      <c r="P189" s="45"/>
      <c r="Q189" s="1198"/>
      <c r="R189" s="45"/>
      <c r="S189" s="1208"/>
      <c r="T189" s="45"/>
      <c r="U189" s="1209"/>
      <c r="V189" s="45"/>
      <c r="W189" s="606"/>
      <c r="X189" s="45"/>
      <c r="Y189" s="1919"/>
      <c r="Z189" s="1906"/>
      <c r="AA189" s="1163">
        <f t="shared" si="9"/>
        <v>44017</v>
      </c>
      <c r="AB189" s="21">
        <v>45843</v>
      </c>
    </row>
    <row r="190" spans="1:28" x14ac:dyDescent="0.2">
      <c r="A190" s="1173">
        <f t="shared" si="8"/>
        <v>41096</v>
      </c>
      <c r="C190" s="1210"/>
      <c r="D190" s="45"/>
      <c r="E190" s="1211"/>
      <c r="F190" s="45"/>
      <c r="G190" s="1202"/>
      <c r="H190" s="45"/>
      <c r="I190" s="1203"/>
      <c r="J190" s="45"/>
      <c r="K190" s="1204" t="s">
        <v>5544</v>
      </c>
      <c r="L190" s="45">
        <v>1</v>
      </c>
      <c r="M190" s="1198"/>
      <c r="N190" s="45"/>
      <c r="O190" s="1206"/>
      <c r="P190" s="45"/>
      <c r="Q190" s="1198" t="s">
        <v>11200</v>
      </c>
      <c r="R190" s="45"/>
      <c r="S190" s="1208"/>
      <c r="T190" s="45"/>
      <c r="U190" s="1209"/>
      <c r="V190" s="45"/>
      <c r="W190" s="1576" t="s">
        <v>13117</v>
      </c>
      <c r="X190" s="45"/>
      <c r="Y190" s="1919"/>
      <c r="Z190" s="1906"/>
      <c r="AA190" s="1163">
        <f t="shared" si="9"/>
        <v>44018</v>
      </c>
      <c r="AB190" s="21"/>
    </row>
    <row r="191" spans="1:28" x14ac:dyDescent="0.2">
      <c r="A191" s="1182">
        <f t="shared" si="8"/>
        <v>41097</v>
      </c>
      <c r="C191" s="1210"/>
      <c r="D191" s="45"/>
      <c r="E191" s="1211"/>
      <c r="F191" s="45"/>
      <c r="G191" s="1202"/>
      <c r="H191" s="45"/>
      <c r="I191" s="1203" t="s">
        <v>5544</v>
      </c>
      <c r="J191" s="45">
        <v>1</v>
      </c>
      <c r="K191" s="1204"/>
      <c r="L191" s="45"/>
      <c r="M191" s="1198"/>
      <c r="N191" s="45"/>
      <c r="O191" s="1206"/>
      <c r="P191" s="45"/>
      <c r="Q191" s="1198" t="s">
        <v>11201</v>
      </c>
      <c r="R191" s="45"/>
      <c r="S191" s="1208"/>
      <c r="T191" s="45"/>
      <c r="U191" s="1209" t="s">
        <v>5885</v>
      </c>
      <c r="V191" s="45">
        <v>1</v>
      </c>
      <c r="W191" s="606"/>
      <c r="X191" s="45"/>
      <c r="Y191" s="1919"/>
      <c r="Z191" s="1906"/>
      <c r="AA191" s="1163">
        <f t="shared" si="9"/>
        <v>44019</v>
      </c>
      <c r="AB191" s="21"/>
    </row>
    <row r="192" spans="1:28" x14ac:dyDescent="0.2">
      <c r="A192" s="1176">
        <f t="shared" si="8"/>
        <v>41098</v>
      </c>
      <c r="C192" s="1210"/>
      <c r="D192" s="45"/>
      <c r="E192" s="1211"/>
      <c r="F192" s="45"/>
      <c r="G192" s="1202"/>
      <c r="H192" s="45"/>
      <c r="I192" s="1203"/>
      <c r="J192" s="45"/>
      <c r="K192" s="1204"/>
      <c r="L192" s="45"/>
      <c r="M192" s="1205"/>
      <c r="N192" s="45"/>
      <c r="O192" s="1206"/>
      <c r="P192" s="45"/>
      <c r="Q192" s="1198" t="s">
        <v>11202</v>
      </c>
      <c r="R192" s="45"/>
      <c r="S192" s="1208" t="s">
        <v>5544</v>
      </c>
      <c r="T192" s="45">
        <v>1</v>
      </c>
      <c r="U192" s="1209"/>
      <c r="V192" s="45"/>
      <c r="W192" s="606"/>
      <c r="X192" s="45"/>
      <c r="Y192" s="1919"/>
      <c r="Z192" s="1906"/>
      <c r="AA192" s="1163">
        <f t="shared" si="9"/>
        <v>44020</v>
      </c>
      <c r="AB192" s="21"/>
    </row>
    <row r="193" spans="1:28" x14ac:dyDescent="0.2">
      <c r="A193" s="11">
        <f t="shared" si="8"/>
        <v>41099</v>
      </c>
      <c r="B193" s="9">
        <v>2022</v>
      </c>
      <c r="C193" s="1210"/>
      <c r="D193" s="45"/>
      <c r="E193" s="1211"/>
      <c r="F193" s="45"/>
      <c r="G193" s="1202"/>
      <c r="H193" s="45"/>
      <c r="I193" s="1203"/>
      <c r="J193" s="45"/>
      <c r="K193" s="1204"/>
      <c r="L193" s="45"/>
      <c r="M193" s="1205"/>
      <c r="N193" s="45"/>
      <c r="O193" s="1206"/>
      <c r="P193" s="45"/>
      <c r="Q193" s="1198" t="s">
        <v>11203</v>
      </c>
      <c r="R193" s="45"/>
      <c r="S193" s="1208"/>
      <c r="T193" s="45"/>
      <c r="U193" s="1209"/>
      <c r="V193" s="45"/>
      <c r="W193" s="606"/>
      <c r="X193" s="45"/>
      <c r="Y193" s="1919"/>
      <c r="Z193" s="1906"/>
      <c r="AA193" s="1163">
        <f t="shared" si="9"/>
        <v>44021</v>
      </c>
      <c r="AB193" s="21">
        <v>44751</v>
      </c>
    </row>
    <row r="194" spans="1:28" x14ac:dyDescent="0.2">
      <c r="A194" s="11">
        <f t="shared" si="8"/>
        <v>41100</v>
      </c>
      <c r="B194" s="99">
        <v>2021</v>
      </c>
      <c r="C194" s="1210"/>
      <c r="D194" s="45"/>
      <c r="E194" s="1211"/>
      <c r="F194" s="45"/>
      <c r="G194" s="1202"/>
      <c r="H194" s="45"/>
      <c r="I194" s="1203"/>
      <c r="J194" s="45"/>
      <c r="K194" s="1204"/>
      <c r="L194" s="45"/>
      <c r="M194" s="1205"/>
      <c r="N194" s="45"/>
      <c r="O194" s="1206"/>
      <c r="P194" s="45"/>
      <c r="Q194" s="1198" t="s">
        <v>11204</v>
      </c>
      <c r="R194" s="45"/>
      <c r="S194" s="1208"/>
      <c r="T194" s="45"/>
      <c r="U194" s="1209"/>
      <c r="V194" s="45"/>
      <c r="W194" s="606"/>
      <c r="X194" s="45"/>
      <c r="Y194" s="1919"/>
      <c r="Z194" s="1906"/>
      <c r="AA194" s="1163">
        <f t="shared" si="9"/>
        <v>44022</v>
      </c>
      <c r="AB194" s="21">
        <v>44387</v>
      </c>
    </row>
    <row r="195" spans="1:28" x14ac:dyDescent="0.2">
      <c r="A195" s="11">
        <f t="shared" si="8"/>
        <v>41101</v>
      </c>
      <c r="B195" s="1926">
        <v>2020</v>
      </c>
      <c r="C195" s="1210"/>
      <c r="D195" s="45"/>
      <c r="E195" s="1211"/>
      <c r="F195" s="45"/>
      <c r="G195" s="1202"/>
      <c r="H195" s="45"/>
      <c r="I195" s="1203"/>
      <c r="J195" s="45"/>
      <c r="K195" s="1204"/>
      <c r="L195" s="45"/>
      <c r="M195" s="1205"/>
      <c r="N195" s="45"/>
      <c r="O195" s="1198" t="s">
        <v>11225</v>
      </c>
      <c r="P195" s="45"/>
      <c r="Q195" s="1198" t="s">
        <v>10939</v>
      </c>
      <c r="R195" s="45"/>
      <c r="S195" s="1208"/>
      <c r="T195" s="45"/>
      <c r="U195" s="1209"/>
      <c r="V195" s="45"/>
      <c r="W195" s="606"/>
      <c r="X195" s="45"/>
      <c r="Y195" s="1919"/>
      <c r="Z195" s="1906"/>
      <c r="AA195" s="1163">
        <f t="shared" si="9"/>
        <v>44023</v>
      </c>
      <c r="AB195" s="1247">
        <v>44023</v>
      </c>
    </row>
    <row r="196" spans="1:28" x14ac:dyDescent="0.2">
      <c r="A196" s="1170">
        <f t="shared" si="8"/>
        <v>41102</v>
      </c>
      <c r="C196" s="1210"/>
      <c r="D196" s="45"/>
      <c r="E196" s="1211"/>
      <c r="F196" s="45"/>
      <c r="G196" s="1202"/>
      <c r="H196" s="45"/>
      <c r="I196" s="1203"/>
      <c r="J196" s="45"/>
      <c r="K196" s="1204"/>
      <c r="L196" s="45"/>
      <c r="M196" s="1205" t="s">
        <v>5544</v>
      </c>
      <c r="N196" s="45">
        <v>1</v>
      </c>
      <c r="O196" s="1206"/>
      <c r="P196" s="45"/>
      <c r="Q196" s="1198"/>
      <c r="R196" s="45"/>
      <c r="S196" s="1208"/>
      <c r="T196" s="45"/>
      <c r="U196" s="1209"/>
      <c r="V196" s="45"/>
      <c r="W196" s="606"/>
      <c r="X196" s="45"/>
      <c r="Y196" s="1919"/>
      <c r="Z196" s="1906"/>
      <c r="AA196" s="1163">
        <f t="shared" si="9"/>
        <v>44024</v>
      </c>
      <c r="AB196" s="21"/>
    </row>
    <row r="197" spans="1:28" x14ac:dyDescent="0.2">
      <c r="A197" s="1292">
        <f t="shared" ref="A197:A260" si="10">A196+1</f>
        <v>41103</v>
      </c>
      <c r="B197" s="1473"/>
      <c r="C197" s="1210"/>
      <c r="D197" s="45"/>
      <c r="E197" s="1211"/>
      <c r="F197" s="45"/>
      <c r="G197" s="1202"/>
      <c r="H197" s="45"/>
      <c r="I197" s="1203"/>
      <c r="J197" s="45"/>
      <c r="K197" s="1198" t="s">
        <v>11226</v>
      </c>
      <c r="L197" s="45"/>
      <c r="M197" s="1205"/>
      <c r="N197" s="45"/>
      <c r="O197" s="1206"/>
      <c r="P197" s="45"/>
      <c r="Q197" s="1198" t="s">
        <v>11200</v>
      </c>
      <c r="R197" s="45"/>
      <c r="S197" s="1208"/>
      <c r="T197" s="45"/>
      <c r="U197" s="1209"/>
      <c r="V197" s="45"/>
      <c r="W197" s="606" t="s">
        <v>9307</v>
      </c>
      <c r="X197" s="45">
        <v>1</v>
      </c>
      <c r="Y197" s="1919"/>
      <c r="Z197" s="1906"/>
      <c r="AA197" s="1163">
        <f t="shared" ref="AA197:AA260" si="11">AA196+1</f>
        <v>44025</v>
      </c>
      <c r="AB197" s="21"/>
    </row>
    <row r="198" spans="1:28" x14ac:dyDescent="0.2">
      <c r="A198" s="1171">
        <f t="shared" si="10"/>
        <v>41104</v>
      </c>
      <c r="B198" s="99"/>
      <c r="C198" s="1210"/>
      <c r="D198" s="45"/>
      <c r="E198" s="1211"/>
      <c r="F198" s="45"/>
      <c r="G198" s="1202"/>
      <c r="H198" s="45"/>
      <c r="I198" s="1203"/>
      <c r="J198" s="45"/>
      <c r="K198" s="1204"/>
      <c r="L198" s="45"/>
      <c r="M198" s="1205"/>
      <c r="N198" s="45"/>
      <c r="O198" s="1206"/>
      <c r="P198" s="45"/>
      <c r="Q198" s="1198" t="s">
        <v>11201</v>
      </c>
      <c r="R198" s="45"/>
      <c r="S198" s="1208"/>
      <c r="T198" s="45"/>
      <c r="U198" s="1209" t="s">
        <v>9745</v>
      </c>
      <c r="V198" s="45">
        <v>1</v>
      </c>
      <c r="W198" s="606"/>
      <c r="X198" s="45"/>
      <c r="Y198" s="1919"/>
      <c r="Z198" s="1906"/>
      <c r="AA198" s="1163">
        <f t="shared" si="11"/>
        <v>44026</v>
      </c>
      <c r="AB198" s="21"/>
    </row>
    <row r="199" spans="1:28" x14ac:dyDescent="0.2">
      <c r="A199" s="1176">
        <f t="shared" si="10"/>
        <v>41105</v>
      </c>
      <c r="C199" s="1210"/>
      <c r="D199" s="45"/>
      <c r="E199" s="1211"/>
      <c r="F199" s="45"/>
      <c r="G199" s="1202"/>
      <c r="H199" s="45"/>
      <c r="I199" s="1203"/>
      <c r="J199" s="45"/>
      <c r="K199" s="1204"/>
      <c r="L199" s="45"/>
      <c r="M199" s="1205"/>
      <c r="N199" s="45"/>
      <c r="O199" s="1206"/>
      <c r="P199" s="45"/>
      <c r="Q199" s="1198" t="s">
        <v>11202</v>
      </c>
      <c r="R199" s="45"/>
      <c r="S199" s="1208" t="s">
        <v>11134</v>
      </c>
      <c r="T199" s="45">
        <v>1</v>
      </c>
      <c r="U199" s="1209"/>
      <c r="V199" s="45"/>
      <c r="W199" s="606"/>
      <c r="X199" s="45"/>
      <c r="Y199" s="1919"/>
      <c r="Z199" s="1906"/>
      <c r="AA199" s="1163">
        <f t="shared" si="11"/>
        <v>44027</v>
      </c>
      <c r="AB199" s="21"/>
    </row>
    <row r="200" spans="1:28" x14ac:dyDescent="0.2">
      <c r="A200" s="11">
        <f t="shared" si="10"/>
        <v>41106</v>
      </c>
      <c r="B200" s="9">
        <v>2022</v>
      </c>
      <c r="C200" s="1210"/>
      <c r="D200" s="45"/>
      <c r="E200" s="1211"/>
      <c r="F200" s="45"/>
      <c r="G200" s="1202"/>
      <c r="H200" s="45"/>
      <c r="I200" s="1203"/>
      <c r="J200" s="45"/>
      <c r="K200" s="1204"/>
      <c r="L200" s="45"/>
      <c r="M200" s="1205"/>
      <c r="N200" s="45"/>
      <c r="O200" s="1206"/>
      <c r="P200" s="45"/>
      <c r="Q200" s="1198" t="s">
        <v>11203</v>
      </c>
      <c r="R200" s="45"/>
      <c r="S200" s="1208"/>
      <c r="T200" s="45"/>
      <c r="U200" s="1209"/>
      <c r="V200" s="45"/>
      <c r="W200" s="606"/>
      <c r="X200" s="45"/>
      <c r="Y200" s="1919"/>
      <c r="Z200" s="1906"/>
      <c r="AA200" s="1163">
        <f t="shared" si="11"/>
        <v>44028</v>
      </c>
      <c r="AB200" s="21">
        <v>44758</v>
      </c>
    </row>
    <row r="201" spans="1:28" x14ac:dyDescent="0.2">
      <c r="A201" s="11">
        <f t="shared" si="10"/>
        <v>41107</v>
      </c>
      <c r="B201" s="1473">
        <v>2021</v>
      </c>
      <c r="C201" s="1210"/>
      <c r="D201" s="45"/>
      <c r="E201" s="1211"/>
      <c r="F201" s="45"/>
      <c r="G201" s="1202"/>
      <c r="H201" s="45"/>
      <c r="I201" s="1203"/>
      <c r="J201" s="45"/>
      <c r="K201" s="1204"/>
      <c r="L201" s="45"/>
      <c r="M201" s="1205"/>
      <c r="N201" s="45"/>
      <c r="O201" s="1206"/>
      <c r="P201" s="45"/>
      <c r="Q201" s="1198" t="s">
        <v>11204</v>
      </c>
      <c r="R201" s="45"/>
      <c r="S201" s="1208"/>
      <c r="T201" s="45"/>
      <c r="U201" s="1209"/>
      <c r="V201" s="45"/>
      <c r="W201" s="606"/>
      <c r="X201" s="45"/>
      <c r="Y201" s="1919"/>
      <c r="Z201" s="1906"/>
      <c r="AA201" s="1163">
        <f t="shared" si="11"/>
        <v>44029</v>
      </c>
      <c r="AB201" s="21">
        <v>44394</v>
      </c>
    </row>
    <row r="202" spans="1:28" x14ac:dyDescent="0.2">
      <c r="A202" s="1167">
        <f t="shared" si="10"/>
        <v>41108</v>
      </c>
      <c r="C202" s="1210"/>
      <c r="D202" s="45"/>
      <c r="E202" s="1211"/>
      <c r="F202" s="45"/>
      <c r="G202" s="1202"/>
      <c r="H202" s="45"/>
      <c r="I202" s="1203"/>
      <c r="J202" s="45"/>
      <c r="K202" s="1204"/>
      <c r="L202" s="45"/>
      <c r="M202" s="1205"/>
      <c r="N202" s="45"/>
      <c r="O202" s="1206" t="s">
        <v>5821</v>
      </c>
      <c r="P202" s="45">
        <v>1</v>
      </c>
      <c r="Q202" s="1198" t="s">
        <v>10939</v>
      </c>
      <c r="R202" s="45"/>
      <c r="S202" s="1208"/>
      <c r="T202" s="45"/>
      <c r="U202" s="1209"/>
      <c r="V202" s="45"/>
      <c r="W202" s="606"/>
      <c r="X202" s="45"/>
      <c r="Y202" s="1919"/>
      <c r="Z202" s="1906"/>
      <c r="AA202" s="1163">
        <f t="shared" si="11"/>
        <v>44030</v>
      </c>
      <c r="AB202" s="21"/>
    </row>
    <row r="203" spans="1:28" x14ac:dyDescent="0.2">
      <c r="A203" s="1194">
        <f t="shared" si="10"/>
        <v>41109</v>
      </c>
      <c r="C203" s="1210"/>
      <c r="D203" s="45"/>
      <c r="E203" s="1211"/>
      <c r="F203" s="45"/>
      <c r="G203" s="1202"/>
      <c r="H203" s="45"/>
      <c r="I203" s="1203"/>
      <c r="J203" s="45"/>
      <c r="K203" s="1204"/>
      <c r="L203" s="45"/>
      <c r="M203" s="1215" t="s">
        <v>4544</v>
      </c>
      <c r="N203" s="45">
        <v>1</v>
      </c>
      <c r="O203" s="1206"/>
      <c r="P203" s="45"/>
      <c r="Q203" s="1198"/>
      <c r="R203" s="45"/>
      <c r="S203" s="1208"/>
      <c r="T203" s="45"/>
      <c r="U203" s="1209"/>
      <c r="V203" s="45"/>
      <c r="W203" s="606"/>
      <c r="X203" s="45"/>
      <c r="Y203" s="1919"/>
      <c r="Z203" s="1906"/>
      <c r="AA203" s="1163">
        <f t="shared" si="11"/>
        <v>44031</v>
      </c>
      <c r="AB203" s="21"/>
    </row>
    <row r="204" spans="1:28" x14ac:dyDescent="0.2">
      <c r="A204" s="1291">
        <f t="shared" si="10"/>
        <v>41110</v>
      </c>
      <c r="C204" s="1210"/>
      <c r="D204" s="45"/>
      <c r="E204" s="1211"/>
      <c r="F204" s="45"/>
      <c r="G204" s="1202"/>
      <c r="H204" s="45"/>
      <c r="I204" s="1203"/>
      <c r="J204" s="45"/>
      <c r="K204" s="1204" t="s">
        <v>4625</v>
      </c>
      <c r="L204" s="45">
        <v>1</v>
      </c>
      <c r="M204" s="1205"/>
      <c r="N204" s="45"/>
      <c r="O204" s="1206"/>
      <c r="P204" s="45"/>
      <c r="Q204" s="1198"/>
      <c r="R204" s="45"/>
      <c r="S204" s="1208"/>
      <c r="T204" s="45"/>
      <c r="U204" s="1209"/>
      <c r="V204" s="45"/>
      <c r="W204" s="606" t="s">
        <v>10441</v>
      </c>
      <c r="X204" s="45">
        <v>1</v>
      </c>
      <c r="Y204" s="1919"/>
      <c r="Z204" s="1906"/>
      <c r="AA204" s="1163">
        <f t="shared" si="11"/>
        <v>44032</v>
      </c>
      <c r="AB204" s="21"/>
    </row>
    <row r="205" spans="1:28" x14ac:dyDescent="0.2">
      <c r="A205" s="1171">
        <f t="shared" si="10"/>
        <v>41111</v>
      </c>
      <c r="C205" s="1210"/>
      <c r="D205" s="45"/>
      <c r="E205" s="1211"/>
      <c r="F205" s="45"/>
      <c r="G205" s="1202"/>
      <c r="H205" s="45"/>
      <c r="I205" s="1203"/>
      <c r="J205" s="45"/>
      <c r="K205" s="1204"/>
      <c r="L205" s="45"/>
      <c r="M205" s="1205"/>
      <c r="N205" s="45"/>
      <c r="O205" s="1206"/>
      <c r="P205" s="45"/>
      <c r="Q205" s="1207"/>
      <c r="R205" s="45"/>
      <c r="S205" s="1208"/>
      <c r="T205" s="45"/>
      <c r="U205" s="1209" t="s">
        <v>5544</v>
      </c>
      <c r="V205" s="45">
        <v>1</v>
      </c>
      <c r="W205" s="606"/>
      <c r="X205" s="45"/>
      <c r="Y205" s="1919"/>
      <c r="Z205" s="1906"/>
      <c r="AA205" s="1163">
        <f t="shared" si="11"/>
        <v>44033</v>
      </c>
      <c r="AB205" s="21"/>
    </row>
    <row r="206" spans="1:28" x14ac:dyDescent="0.2">
      <c r="A206" s="1176">
        <f t="shared" si="10"/>
        <v>41112</v>
      </c>
      <c r="C206" s="1210"/>
      <c r="D206" s="45"/>
      <c r="E206" s="1211"/>
      <c r="F206" s="45"/>
      <c r="G206" s="1202"/>
      <c r="H206" s="45"/>
      <c r="I206" s="1203"/>
      <c r="J206" s="45"/>
      <c r="K206" s="1204"/>
      <c r="L206" s="45"/>
      <c r="M206" s="1205"/>
      <c r="N206" s="45"/>
      <c r="O206" s="1206"/>
      <c r="P206" s="45"/>
      <c r="Q206" s="1207"/>
      <c r="R206" s="45"/>
      <c r="S206" s="1208" t="s">
        <v>11144</v>
      </c>
      <c r="T206" s="45">
        <v>1</v>
      </c>
      <c r="U206" s="1209"/>
      <c r="V206" s="45"/>
      <c r="W206" s="606"/>
      <c r="X206" s="45"/>
      <c r="Y206" s="1919"/>
      <c r="Z206" s="1906"/>
      <c r="AA206" s="1163">
        <f t="shared" si="11"/>
        <v>44034</v>
      </c>
      <c r="AB206" s="21"/>
    </row>
    <row r="207" spans="1:28" x14ac:dyDescent="0.2">
      <c r="A207" s="1166">
        <f t="shared" si="10"/>
        <v>41113</v>
      </c>
      <c r="C207" s="1210"/>
      <c r="D207" s="45"/>
      <c r="E207" s="1211"/>
      <c r="F207" s="45"/>
      <c r="G207" s="1202"/>
      <c r="H207" s="45"/>
      <c r="I207" s="1203"/>
      <c r="J207" s="45"/>
      <c r="K207" s="1204"/>
      <c r="L207" s="45"/>
      <c r="M207" s="1205"/>
      <c r="N207" s="45"/>
      <c r="O207" s="1206"/>
      <c r="P207" s="45"/>
      <c r="Q207" s="1207" t="s">
        <v>5544</v>
      </c>
      <c r="R207" s="45">
        <v>1</v>
      </c>
      <c r="S207" s="1208"/>
      <c r="T207" s="45"/>
      <c r="U207" s="1209"/>
      <c r="V207" s="45"/>
      <c r="W207" s="606"/>
      <c r="X207" s="45"/>
      <c r="Y207" s="1919"/>
      <c r="Z207" s="1906"/>
      <c r="AA207" s="1163">
        <f t="shared" si="11"/>
        <v>44035</v>
      </c>
      <c r="AB207" s="21"/>
    </row>
    <row r="208" spans="1:28" x14ac:dyDescent="0.2">
      <c r="A208" s="11">
        <f t="shared" si="10"/>
        <v>41114</v>
      </c>
      <c r="B208" s="99">
        <v>2021</v>
      </c>
      <c r="C208" s="1210"/>
      <c r="D208" s="45"/>
      <c r="E208" s="1211"/>
      <c r="F208" s="45"/>
      <c r="G208" s="1202"/>
      <c r="H208" s="45"/>
      <c r="I208" s="1203"/>
      <c r="J208" s="45"/>
      <c r="K208" s="1204"/>
      <c r="L208" s="45"/>
      <c r="M208" s="1205"/>
      <c r="N208" s="45"/>
      <c r="O208" s="1206"/>
      <c r="P208" s="45"/>
      <c r="Q208" s="1207"/>
      <c r="R208" s="45"/>
      <c r="S208" s="1208"/>
      <c r="T208" s="45"/>
      <c r="U208" s="1209"/>
      <c r="V208" s="45"/>
      <c r="W208" s="606"/>
      <c r="X208" s="45"/>
      <c r="Y208" s="1919"/>
      <c r="Z208" s="1906"/>
      <c r="AA208" s="1163">
        <f t="shared" si="11"/>
        <v>44036</v>
      </c>
      <c r="AB208" s="21">
        <v>44401</v>
      </c>
    </row>
    <row r="209" spans="1:28" x14ac:dyDescent="0.2">
      <c r="A209" s="1167">
        <f t="shared" si="10"/>
        <v>41115</v>
      </c>
      <c r="C209" s="1210"/>
      <c r="D209" s="45"/>
      <c r="E209" s="1211"/>
      <c r="F209" s="45"/>
      <c r="G209" s="1202"/>
      <c r="H209" s="45"/>
      <c r="I209" s="1203"/>
      <c r="J209" s="45"/>
      <c r="K209" s="1204"/>
      <c r="L209" s="45"/>
      <c r="M209" s="1205"/>
      <c r="N209" s="45"/>
      <c r="O209" s="1206" t="s">
        <v>11137</v>
      </c>
      <c r="P209" s="45">
        <v>1</v>
      </c>
      <c r="Q209" s="1207"/>
      <c r="R209" s="45"/>
      <c r="S209" s="1208"/>
      <c r="T209" s="45"/>
      <c r="U209" s="1209"/>
      <c r="V209" s="45"/>
      <c r="W209" s="606"/>
      <c r="X209" s="45"/>
      <c r="Y209" s="1919"/>
      <c r="Z209" s="1906"/>
      <c r="AA209" s="1163">
        <f t="shared" si="11"/>
        <v>44037</v>
      </c>
      <c r="AB209" s="21"/>
    </row>
    <row r="210" spans="1:28" x14ac:dyDescent="0.2">
      <c r="A210" s="11">
        <f t="shared" si="10"/>
        <v>41116</v>
      </c>
      <c r="B210" s="9">
        <v>2025</v>
      </c>
      <c r="C210" s="1210"/>
      <c r="D210" s="45"/>
      <c r="E210" s="1211"/>
      <c r="F210" s="45"/>
      <c r="G210" s="1202"/>
      <c r="H210" s="45"/>
      <c r="I210" s="1203"/>
      <c r="J210" s="45"/>
      <c r="K210" s="1204"/>
      <c r="L210" s="45"/>
      <c r="M210" s="1205" t="s">
        <v>11198</v>
      </c>
      <c r="N210" s="45"/>
      <c r="O210" s="1206"/>
      <c r="P210" s="45"/>
      <c r="Q210" s="1207"/>
      <c r="R210" s="45"/>
      <c r="S210" s="1208"/>
      <c r="T210" s="45"/>
      <c r="U210" s="1209"/>
      <c r="V210" s="45"/>
      <c r="W210" s="606"/>
      <c r="X210" s="45"/>
      <c r="Y210" s="1919"/>
      <c r="Z210" s="1906"/>
      <c r="AA210" s="1163">
        <f t="shared" si="11"/>
        <v>44038</v>
      </c>
      <c r="AB210" s="21">
        <v>45864</v>
      </c>
    </row>
    <row r="211" spans="1:28" x14ac:dyDescent="0.2">
      <c r="A211" s="1291">
        <f t="shared" si="10"/>
        <v>41117</v>
      </c>
      <c r="C211" s="1210"/>
      <c r="D211" s="45"/>
      <c r="E211" s="1211"/>
      <c r="F211" s="45"/>
      <c r="G211" s="1202"/>
      <c r="H211" s="45"/>
      <c r="I211" s="1203"/>
      <c r="J211" s="45"/>
      <c r="K211" s="1204" t="s">
        <v>5544</v>
      </c>
      <c r="L211" s="45">
        <v>1</v>
      </c>
      <c r="M211" s="1205"/>
      <c r="N211" s="45"/>
      <c r="O211" s="1206"/>
      <c r="P211" s="45"/>
      <c r="Q211" s="1207"/>
      <c r="R211" s="45"/>
      <c r="S211" s="1208"/>
      <c r="T211" s="45"/>
      <c r="U211" s="1209"/>
      <c r="V211" s="45"/>
      <c r="W211" s="606" t="s">
        <v>12958</v>
      </c>
      <c r="X211" s="45">
        <v>1</v>
      </c>
      <c r="Y211" s="1919"/>
      <c r="Z211" s="1906"/>
      <c r="AA211" s="1163">
        <f t="shared" si="11"/>
        <v>44039</v>
      </c>
      <c r="AB211" s="21"/>
    </row>
    <row r="212" spans="1:28" x14ac:dyDescent="0.2">
      <c r="A212" s="1171">
        <f t="shared" si="10"/>
        <v>41118</v>
      </c>
      <c r="C212" s="1210"/>
      <c r="D212" s="45"/>
      <c r="E212" s="1211"/>
      <c r="F212" s="45"/>
      <c r="G212" s="1202"/>
      <c r="H212" s="45"/>
      <c r="I212" s="1203"/>
      <c r="J212" s="45"/>
      <c r="K212" s="1204"/>
      <c r="L212" s="45"/>
      <c r="M212" s="1205"/>
      <c r="N212" s="45"/>
      <c r="O212" s="1206"/>
      <c r="P212" s="45"/>
      <c r="Q212" s="1207"/>
      <c r="R212" s="45"/>
      <c r="S212" s="1208"/>
      <c r="T212" s="45"/>
      <c r="U212" s="1209" t="s">
        <v>10276</v>
      </c>
      <c r="V212" s="45">
        <v>1</v>
      </c>
      <c r="W212" s="606"/>
      <c r="X212" s="45"/>
      <c r="Y212" s="1919"/>
      <c r="Z212" s="1906"/>
      <c r="AA212" s="1163">
        <f t="shared" si="11"/>
        <v>44040</v>
      </c>
      <c r="AB212" s="21"/>
    </row>
    <row r="213" spans="1:28" x14ac:dyDescent="0.2">
      <c r="A213" s="1176">
        <f t="shared" si="10"/>
        <v>41119</v>
      </c>
      <c r="C213" s="1210"/>
      <c r="D213" s="45"/>
      <c r="E213" s="1211"/>
      <c r="F213" s="45"/>
      <c r="G213" s="1202"/>
      <c r="H213" s="45"/>
      <c r="I213" s="1203"/>
      <c r="J213" s="45"/>
      <c r="K213" s="1204"/>
      <c r="L213" s="45"/>
      <c r="M213" s="1205"/>
      <c r="N213" s="45"/>
      <c r="O213" s="1206"/>
      <c r="P213" s="45"/>
      <c r="Q213" s="1207"/>
      <c r="R213" s="45"/>
      <c r="S213" s="1208" t="s">
        <v>5544</v>
      </c>
      <c r="T213" s="45">
        <v>1</v>
      </c>
      <c r="U213" s="1209"/>
      <c r="V213" s="45"/>
      <c r="W213" s="606"/>
      <c r="X213" s="45"/>
      <c r="Y213" s="1919"/>
      <c r="Z213" s="1906"/>
      <c r="AA213" s="1163">
        <f t="shared" si="11"/>
        <v>44041</v>
      </c>
      <c r="AB213" s="21"/>
    </row>
    <row r="214" spans="1:28" x14ac:dyDescent="0.2">
      <c r="A214" s="1166">
        <f t="shared" si="10"/>
        <v>41120</v>
      </c>
      <c r="C214" s="1210"/>
      <c r="D214" s="45"/>
      <c r="E214" s="1211"/>
      <c r="F214" s="45"/>
      <c r="G214" s="1202"/>
      <c r="H214" s="45"/>
      <c r="I214" s="1203"/>
      <c r="J214" s="45"/>
      <c r="K214" s="1204"/>
      <c r="L214" s="45"/>
      <c r="M214" s="1205"/>
      <c r="N214" s="45"/>
      <c r="O214" s="1206"/>
      <c r="P214" s="45"/>
      <c r="Q214" s="1207" t="s">
        <v>5885</v>
      </c>
      <c r="R214" s="45">
        <v>1</v>
      </c>
      <c r="S214" s="1208"/>
      <c r="T214" s="45"/>
      <c r="U214" s="1209"/>
      <c r="V214" s="45"/>
      <c r="W214" s="606"/>
      <c r="X214" s="45"/>
      <c r="Y214" s="1919"/>
      <c r="Z214" s="1906"/>
      <c r="AA214" s="1163">
        <f t="shared" si="11"/>
        <v>44042</v>
      </c>
      <c r="AB214" s="21"/>
    </row>
    <row r="215" spans="1:28" x14ac:dyDescent="0.2">
      <c r="A215" s="11">
        <f t="shared" si="10"/>
        <v>41121</v>
      </c>
      <c r="B215" s="99">
        <v>2021</v>
      </c>
      <c r="C215" s="1210"/>
      <c r="D215" s="45"/>
      <c r="E215" s="1211"/>
      <c r="F215" s="45"/>
      <c r="G215" s="1202"/>
      <c r="H215" s="45"/>
      <c r="I215" s="1203"/>
      <c r="J215" s="45"/>
      <c r="K215" s="1204"/>
      <c r="L215" s="45"/>
      <c r="M215" s="1205"/>
      <c r="N215" s="45"/>
      <c r="O215" s="1206"/>
      <c r="P215" s="45"/>
      <c r="Q215" s="1207"/>
      <c r="R215" s="45"/>
      <c r="S215" s="1208"/>
      <c r="T215" s="45"/>
      <c r="U215" s="1209"/>
      <c r="V215" s="45"/>
      <c r="W215" s="606"/>
      <c r="X215" s="45"/>
      <c r="Y215" s="1919"/>
      <c r="Z215" s="1906"/>
      <c r="AA215" s="1163">
        <f t="shared" si="11"/>
        <v>44043</v>
      </c>
      <c r="AB215" s="21">
        <v>44408</v>
      </c>
    </row>
    <row r="216" spans="1:28" x14ac:dyDescent="0.2">
      <c r="A216" s="1167">
        <f t="shared" si="10"/>
        <v>41122</v>
      </c>
      <c r="C216" s="1210"/>
      <c r="D216" s="45"/>
      <c r="E216" s="1211"/>
      <c r="F216" s="45"/>
      <c r="G216" s="1202"/>
      <c r="H216" s="45"/>
      <c r="I216" s="1203"/>
      <c r="J216" s="45"/>
      <c r="K216" s="1204"/>
      <c r="L216" s="45"/>
      <c r="M216" s="1205"/>
      <c r="N216" s="45"/>
      <c r="O216" s="1206" t="s">
        <v>5544</v>
      </c>
      <c r="P216" s="45">
        <v>1</v>
      </c>
      <c r="Q216" s="1207"/>
      <c r="R216" s="45"/>
      <c r="S216" s="1208"/>
      <c r="T216" s="45"/>
      <c r="U216" s="1209"/>
      <c r="V216" s="45"/>
      <c r="W216" s="606"/>
      <c r="X216" s="45"/>
      <c r="Y216" s="1919"/>
      <c r="Z216" s="1906"/>
      <c r="AA216" s="1163">
        <f t="shared" si="11"/>
        <v>44044</v>
      </c>
      <c r="AB216" s="21"/>
    </row>
    <row r="217" spans="1:28" x14ac:dyDescent="0.2">
      <c r="A217" s="1170">
        <f t="shared" si="10"/>
        <v>41123</v>
      </c>
      <c r="C217" s="1210"/>
      <c r="D217" s="45"/>
      <c r="E217" s="1211"/>
      <c r="F217" s="45"/>
      <c r="G217" s="1202"/>
      <c r="H217" s="45"/>
      <c r="I217" s="1203"/>
      <c r="J217" s="45"/>
      <c r="K217" s="1204"/>
      <c r="L217" s="45"/>
      <c r="M217" s="1205" t="s">
        <v>4205</v>
      </c>
      <c r="N217" s="45">
        <v>1</v>
      </c>
      <c r="O217" s="1206"/>
      <c r="P217" s="45"/>
      <c r="Q217" s="1207"/>
      <c r="R217" s="45"/>
      <c r="S217" s="1208"/>
      <c r="T217" s="45"/>
      <c r="U217" s="1209"/>
      <c r="V217" s="45"/>
      <c r="W217" s="606"/>
      <c r="X217" s="45"/>
      <c r="Y217" s="1919"/>
      <c r="Z217" s="1906"/>
      <c r="AA217" s="1163">
        <f t="shared" si="11"/>
        <v>44045</v>
      </c>
      <c r="AB217" s="21"/>
    </row>
    <row r="218" spans="1:28" x14ac:dyDescent="0.2">
      <c r="A218" s="1291">
        <f t="shared" si="10"/>
        <v>41124</v>
      </c>
      <c r="C218" s="1210"/>
      <c r="D218" s="45"/>
      <c r="E218" s="1211"/>
      <c r="F218" s="45"/>
      <c r="G218" s="1202"/>
      <c r="H218" s="45"/>
      <c r="I218" s="1203"/>
      <c r="J218" s="45"/>
      <c r="K218" s="1204" t="s">
        <v>3072</v>
      </c>
      <c r="L218" s="45">
        <v>1</v>
      </c>
      <c r="M218" s="1205"/>
      <c r="N218" s="45"/>
      <c r="O218" s="1206"/>
      <c r="P218" s="45"/>
      <c r="Q218" s="1207"/>
      <c r="R218" s="45"/>
      <c r="S218" s="1208"/>
      <c r="T218" s="45"/>
      <c r="U218" s="1209"/>
      <c r="V218" s="45"/>
      <c r="W218" s="606" t="s">
        <v>5885</v>
      </c>
      <c r="X218" s="45">
        <v>1</v>
      </c>
      <c r="Y218" s="1919"/>
      <c r="Z218" s="1906"/>
      <c r="AA218" s="1163">
        <f t="shared" si="11"/>
        <v>44046</v>
      </c>
      <c r="AB218" s="21"/>
    </row>
    <row r="219" spans="1:28" x14ac:dyDescent="0.2">
      <c r="A219" s="1171">
        <f t="shared" si="10"/>
        <v>41125</v>
      </c>
      <c r="C219" s="1210"/>
      <c r="D219" s="45"/>
      <c r="E219" s="1211"/>
      <c r="F219" s="45"/>
      <c r="G219" s="1202"/>
      <c r="H219" s="45"/>
      <c r="I219" s="1203"/>
      <c r="J219" s="45"/>
      <c r="K219" s="1204"/>
      <c r="L219" s="45"/>
      <c r="M219" s="1205"/>
      <c r="N219" s="45"/>
      <c r="O219" s="1206"/>
      <c r="P219" s="45"/>
      <c r="Q219" s="1207"/>
      <c r="R219" s="45"/>
      <c r="S219" s="1208"/>
      <c r="T219" s="45"/>
      <c r="U219" s="1209" t="s">
        <v>5544</v>
      </c>
      <c r="V219" s="45">
        <v>1</v>
      </c>
      <c r="W219" s="606"/>
      <c r="X219" s="45"/>
      <c r="Y219" s="1919"/>
      <c r="Z219" s="1906"/>
      <c r="AA219" s="1163">
        <f t="shared" si="11"/>
        <v>44047</v>
      </c>
      <c r="AB219" s="21"/>
    </row>
    <row r="220" spans="1:28" x14ac:dyDescent="0.2">
      <c r="A220" s="1176">
        <f t="shared" si="10"/>
        <v>41126</v>
      </c>
      <c r="C220" s="1210"/>
      <c r="D220" s="45"/>
      <c r="E220" s="1211"/>
      <c r="F220" s="45"/>
      <c r="G220" s="1202"/>
      <c r="H220" s="45"/>
      <c r="I220" s="1203"/>
      <c r="J220" s="45"/>
      <c r="K220" s="1204"/>
      <c r="L220" s="45"/>
      <c r="M220" s="1205"/>
      <c r="N220" s="45"/>
      <c r="O220" s="1206"/>
      <c r="P220" s="45"/>
      <c r="Q220" s="1207"/>
      <c r="R220" s="45"/>
      <c r="S220" s="1208" t="s">
        <v>5095</v>
      </c>
      <c r="T220" s="45">
        <v>1</v>
      </c>
      <c r="U220" s="1209"/>
      <c r="V220" s="45"/>
      <c r="W220" s="606"/>
      <c r="X220" s="45"/>
      <c r="Y220" s="1919"/>
      <c r="Z220" s="1906"/>
      <c r="AA220" s="1163">
        <f t="shared" si="11"/>
        <v>44048</v>
      </c>
      <c r="AB220" s="21"/>
    </row>
    <row r="221" spans="1:28" x14ac:dyDescent="0.2">
      <c r="A221" s="1166">
        <f t="shared" si="10"/>
        <v>41127</v>
      </c>
      <c r="C221" s="1210"/>
      <c r="D221" s="45"/>
      <c r="E221" s="1211"/>
      <c r="F221" s="45"/>
      <c r="G221" s="1202"/>
      <c r="H221" s="45"/>
      <c r="I221" s="1203"/>
      <c r="J221" s="45"/>
      <c r="K221" s="1204"/>
      <c r="L221" s="45"/>
      <c r="M221" s="1205"/>
      <c r="N221" s="45"/>
      <c r="O221" s="1206"/>
      <c r="P221" s="45"/>
      <c r="Q221" s="1207" t="s">
        <v>5239</v>
      </c>
      <c r="R221" s="45">
        <v>1</v>
      </c>
      <c r="S221" s="1208"/>
      <c r="T221" s="45"/>
      <c r="U221" s="1209"/>
      <c r="V221" s="45"/>
      <c r="W221" s="606"/>
      <c r="X221" s="45"/>
      <c r="Y221" s="1919"/>
      <c r="Z221" s="1906"/>
      <c r="AA221" s="1163">
        <f t="shared" si="11"/>
        <v>44049</v>
      </c>
      <c r="AB221" s="21"/>
    </row>
    <row r="222" spans="1:28" x14ac:dyDescent="0.2">
      <c r="A222" s="11">
        <f t="shared" si="10"/>
        <v>41128</v>
      </c>
      <c r="B222" s="99">
        <v>2021</v>
      </c>
      <c r="C222" s="1210"/>
      <c r="D222" s="45"/>
      <c r="E222" s="1211"/>
      <c r="F222" s="45"/>
      <c r="G222" s="1202"/>
      <c r="H222" s="45"/>
      <c r="I222" s="1203"/>
      <c r="J222" s="45"/>
      <c r="K222" s="1204"/>
      <c r="L222" s="45"/>
      <c r="M222" s="1205"/>
      <c r="N222" s="45"/>
      <c r="O222" s="1206"/>
      <c r="P222" s="45"/>
      <c r="Q222" s="1207"/>
      <c r="R222" s="45"/>
      <c r="S222" s="1208"/>
      <c r="T222" s="45"/>
      <c r="U222" s="1209"/>
      <c r="V222" s="45"/>
      <c r="W222" s="606"/>
      <c r="X222" s="45"/>
      <c r="Y222" s="1919"/>
      <c r="Z222" s="1906"/>
      <c r="AA222" s="1163">
        <f t="shared" si="11"/>
        <v>44050</v>
      </c>
      <c r="AB222" s="21">
        <v>44415</v>
      </c>
    </row>
    <row r="223" spans="1:28" x14ac:dyDescent="0.2">
      <c r="A223" s="1167">
        <f t="shared" si="10"/>
        <v>41129</v>
      </c>
      <c r="C223" s="1210"/>
      <c r="D223" s="45"/>
      <c r="E223" s="1211"/>
      <c r="F223" s="45"/>
      <c r="G223" s="1202"/>
      <c r="H223" s="45"/>
      <c r="I223" s="1203"/>
      <c r="J223" s="45"/>
      <c r="K223" s="1204"/>
      <c r="L223" s="45"/>
      <c r="M223" s="1205"/>
      <c r="N223" s="45"/>
      <c r="O223" s="1206" t="s">
        <v>4694</v>
      </c>
      <c r="P223" s="45">
        <v>1</v>
      </c>
      <c r="Q223" s="1207"/>
      <c r="R223" s="45"/>
      <c r="S223" s="1208"/>
      <c r="T223" s="45"/>
      <c r="U223" s="1209"/>
      <c r="V223" s="45"/>
      <c r="W223" s="606"/>
      <c r="X223" s="45"/>
      <c r="Y223" s="1919"/>
      <c r="Z223" s="1906"/>
      <c r="AA223" s="1163">
        <f t="shared" si="11"/>
        <v>44051</v>
      </c>
      <c r="AB223" s="21"/>
    </row>
    <row r="224" spans="1:28" x14ac:dyDescent="0.2">
      <c r="A224" s="1170">
        <f t="shared" si="10"/>
        <v>41130</v>
      </c>
      <c r="C224" s="1210"/>
      <c r="D224" s="45"/>
      <c r="E224" s="1211"/>
      <c r="F224" s="45"/>
      <c r="G224" s="1202"/>
      <c r="H224" s="45"/>
      <c r="I224" s="1203"/>
      <c r="J224" s="45"/>
      <c r="K224" s="1204"/>
      <c r="L224" s="45"/>
      <c r="M224" s="1205" t="s">
        <v>11141</v>
      </c>
      <c r="N224" s="45">
        <v>1</v>
      </c>
      <c r="O224" s="1206"/>
      <c r="P224" s="45"/>
      <c r="Q224" s="1207"/>
      <c r="R224" s="45"/>
      <c r="S224" s="1208"/>
      <c r="T224" s="45"/>
      <c r="U224" s="1209"/>
      <c r="V224" s="45"/>
      <c r="W224" s="606"/>
      <c r="X224" s="45"/>
      <c r="Y224" s="1919"/>
      <c r="Z224" s="1906"/>
      <c r="AA224" s="1163">
        <f t="shared" si="11"/>
        <v>44052</v>
      </c>
      <c r="AB224" s="21"/>
    </row>
    <row r="225" spans="1:28" x14ac:dyDescent="0.2">
      <c r="A225" s="1291">
        <f t="shared" si="10"/>
        <v>41131</v>
      </c>
      <c r="C225" s="1210"/>
      <c r="D225" s="45"/>
      <c r="E225" s="1211"/>
      <c r="F225" s="45"/>
      <c r="G225" s="1202"/>
      <c r="H225" s="45"/>
      <c r="I225" s="1203"/>
      <c r="J225" s="45"/>
      <c r="K225" s="1204" t="s">
        <v>5544</v>
      </c>
      <c r="L225" s="45">
        <v>1</v>
      </c>
      <c r="M225" s="1205"/>
      <c r="N225" s="45"/>
      <c r="O225" s="1206"/>
      <c r="P225" s="45"/>
      <c r="Q225" s="1207"/>
      <c r="R225" s="45"/>
      <c r="S225" s="1208"/>
      <c r="T225" s="45"/>
      <c r="U225" s="1209"/>
      <c r="V225" s="45"/>
      <c r="W225" s="606" t="s">
        <v>4625</v>
      </c>
      <c r="X225" s="45">
        <v>1</v>
      </c>
      <c r="Y225" s="1919"/>
      <c r="Z225" s="1906"/>
      <c r="AA225" s="1163">
        <f t="shared" si="11"/>
        <v>44053</v>
      </c>
      <c r="AB225" s="21"/>
    </row>
    <row r="226" spans="1:28" x14ac:dyDescent="0.2">
      <c r="A226" s="1182">
        <f t="shared" si="10"/>
        <v>41132</v>
      </c>
      <c r="C226" s="1210"/>
      <c r="D226" s="45"/>
      <c r="E226" s="1211"/>
      <c r="F226" s="45"/>
      <c r="G226" s="1202"/>
      <c r="H226" s="45"/>
      <c r="I226" s="1203" t="s">
        <v>999</v>
      </c>
      <c r="J226" s="45">
        <v>1</v>
      </c>
      <c r="K226" s="1204"/>
      <c r="L226" s="45"/>
      <c r="M226" s="1205"/>
      <c r="N226" s="45"/>
      <c r="O226" s="1206"/>
      <c r="P226" s="45"/>
      <c r="Q226" s="1207"/>
      <c r="R226" s="45"/>
      <c r="S226" s="1208"/>
      <c r="T226" s="45"/>
      <c r="U226" s="1209"/>
      <c r="V226" s="45"/>
      <c r="W226" s="606"/>
      <c r="X226" s="45"/>
      <c r="Y226" s="1919"/>
      <c r="Z226" s="1906"/>
      <c r="AA226" s="1163">
        <f t="shared" si="11"/>
        <v>44054</v>
      </c>
      <c r="AB226" s="21"/>
    </row>
    <row r="227" spans="1:28" x14ac:dyDescent="0.2">
      <c r="A227" s="1176">
        <f t="shared" si="10"/>
        <v>41133</v>
      </c>
      <c r="C227" s="1210"/>
      <c r="D227" s="45"/>
      <c r="E227" s="1211"/>
      <c r="F227" s="45"/>
      <c r="G227" s="1202"/>
      <c r="H227" s="45"/>
      <c r="I227" s="1203"/>
      <c r="J227" s="45"/>
      <c r="K227" s="1204"/>
      <c r="L227" s="45"/>
      <c r="M227" s="1205"/>
      <c r="N227" s="45"/>
      <c r="O227" s="1206"/>
      <c r="P227" s="45"/>
      <c r="Q227" s="1207"/>
      <c r="R227" s="45"/>
      <c r="S227" s="1208" t="s">
        <v>8111</v>
      </c>
      <c r="T227" s="45">
        <v>1</v>
      </c>
      <c r="U227" s="1209"/>
      <c r="V227" s="45"/>
      <c r="W227" s="606"/>
      <c r="X227" s="45"/>
      <c r="Y227" s="1919"/>
      <c r="Z227" s="1906"/>
      <c r="AA227" s="1163">
        <f t="shared" si="11"/>
        <v>44055</v>
      </c>
      <c r="AB227" s="21"/>
    </row>
    <row r="228" spans="1:28" x14ac:dyDescent="0.2">
      <c r="A228" s="11">
        <f t="shared" si="10"/>
        <v>41134</v>
      </c>
      <c r="B228" s="9">
        <v>2022</v>
      </c>
      <c r="C228" s="1210"/>
      <c r="D228" s="45"/>
      <c r="E228" s="1211"/>
      <c r="F228" s="45"/>
      <c r="G228" s="1202"/>
      <c r="H228" s="45"/>
      <c r="I228" s="1203"/>
      <c r="J228" s="45"/>
      <c r="K228" s="1204"/>
      <c r="L228" s="45"/>
      <c r="M228" s="1205"/>
      <c r="N228" s="45"/>
      <c r="O228" s="1206"/>
      <c r="P228" s="45"/>
      <c r="Q228" s="1207"/>
      <c r="R228" s="45"/>
      <c r="S228" s="1208"/>
      <c r="T228" s="45"/>
      <c r="U228" s="1209"/>
      <c r="V228" s="45"/>
      <c r="W228" s="606"/>
      <c r="X228" s="45"/>
      <c r="Y228" s="1919"/>
      <c r="Z228" s="1906"/>
      <c r="AA228" s="1163">
        <f t="shared" si="11"/>
        <v>44056</v>
      </c>
      <c r="AB228" s="21">
        <v>44786</v>
      </c>
    </row>
    <row r="229" spans="1:28" x14ac:dyDescent="0.2">
      <c r="A229" s="11">
        <f t="shared" si="10"/>
        <v>41135</v>
      </c>
      <c r="B229" s="99">
        <v>2021</v>
      </c>
      <c r="C229" s="1210"/>
      <c r="D229" s="45"/>
      <c r="E229" s="1211"/>
      <c r="F229" s="45"/>
      <c r="G229" s="1202"/>
      <c r="H229" s="45"/>
      <c r="I229" s="1203"/>
      <c r="J229" s="45"/>
      <c r="K229" s="1204"/>
      <c r="L229" s="45"/>
      <c r="M229" s="1205"/>
      <c r="N229" s="45"/>
      <c r="O229" s="1206"/>
      <c r="P229" s="45"/>
      <c r="Q229" s="1207"/>
      <c r="R229" s="45"/>
      <c r="S229" s="1208"/>
      <c r="T229" s="45"/>
      <c r="U229" s="1209"/>
      <c r="V229" s="45"/>
      <c r="W229" s="606"/>
      <c r="X229" s="45"/>
      <c r="Y229" s="1919"/>
      <c r="Z229" s="1906"/>
      <c r="AA229" s="1163">
        <f t="shared" si="11"/>
        <v>44057</v>
      </c>
      <c r="AB229" s="21">
        <v>44422</v>
      </c>
    </row>
    <row r="230" spans="1:28" x14ac:dyDescent="0.2">
      <c r="A230" s="1167">
        <f t="shared" si="10"/>
        <v>41136</v>
      </c>
      <c r="C230" s="1210"/>
      <c r="D230" s="45"/>
      <c r="E230" s="1211"/>
      <c r="F230" s="45"/>
      <c r="G230" s="1202"/>
      <c r="H230" s="45"/>
      <c r="I230" s="1203"/>
      <c r="J230" s="45"/>
      <c r="K230" s="1204"/>
      <c r="L230" s="45"/>
      <c r="M230" s="1205"/>
      <c r="N230" s="45"/>
      <c r="O230" s="1206" t="s">
        <v>6016</v>
      </c>
      <c r="P230" s="45">
        <v>1</v>
      </c>
      <c r="Q230" s="1207"/>
      <c r="R230" s="45"/>
      <c r="S230" s="1208"/>
      <c r="T230" s="45"/>
      <c r="U230" s="1209"/>
      <c r="V230" s="45"/>
      <c r="W230" s="606"/>
      <c r="X230" s="45"/>
      <c r="Y230" s="1919"/>
      <c r="Z230" s="1906"/>
      <c r="AA230" s="1163">
        <f t="shared" si="11"/>
        <v>44058</v>
      </c>
      <c r="AB230" s="21"/>
    </row>
    <row r="231" spans="1:28" x14ac:dyDescent="0.2">
      <c r="A231" s="1170">
        <f t="shared" si="10"/>
        <v>41137</v>
      </c>
      <c r="C231" s="1210"/>
      <c r="D231" s="45"/>
      <c r="E231" s="1211"/>
      <c r="F231" s="45"/>
      <c r="G231" s="1202"/>
      <c r="H231" s="45"/>
      <c r="I231" s="1203"/>
      <c r="J231" s="45"/>
      <c r="K231" s="1204"/>
      <c r="L231" s="45"/>
      <c r="M231" s="1205" t="s">
        <v>5198</v>
      </c>
      <c r="N231" s="45">
        <v>1</v>
      </c>
      <c r="O231" s="1206"/>
      <c r="P231" s="45"/>
      <c r="Q231" s="1207"/>
      <c r="R231" s="45"/>
      <c r="S231" s="1208"/>
      <c r="T231" s="45"/>
      <c r="U231" s="1209"/>
      <c r="V231" s="45"/>
      <c r="W231" s="606"/>
      <c r="X231" s="45"/>
      <c r="Y231" s="1919"/>
      <c r="Z231" s="1906"/>
      <c r="AA231" s="1163">
        <f t="shared" si="11"/>
        <v>44059</v>
      </c>
      <c r="AB231" s="21"/>
    </row>
    <row r="232" spans="1:28" x14ac:dyDescent="0.2">
      <c r="A232" s="1291">
        <f t="shared" si="10"/>
        <v>41138</v>
      </c>
      <c r="C232" s="1210"/>
      <c r="D232" s="45"/>
      <c r="E232" s="1211"/>
      <c r="F232" s="45"/>
      <c r="G232" s="1202"/>
      <c r="H232" s="45"/>
      <c r="I232" s="1203"/>
      <c r="J232" s="45"/>
      <c r="K232" s="1204" t="s">
        <v>8244</v>
      </c>
      <c r="L232" s="45">
        <v>1</v>
      </c>
      <c r="M232" s="1205"/>
      <c r="N232" s="45"/>
      <c r="O232" s="1206"/>
      <c r="P232" s="45"/>
      <c r="Q232" s="1207"/>
      <c r="R232" s="45"/>
      <c r="S232" s="1208"/>
      <c r="T232" s="45"/>
      <c r="U232" s="1209"/>
      <c r="V232" s="45"/>
      <c r="W232" s="606" t="s">
        <v>5544</v>
      </c>
      <c r="X232" s="45">
        <v>1</v>
      </c>
      <c r="Y232" s="1919"/>
      <c r="Z232" s="1906"/>
      <c r="AA232" s="1163">
        <f t="shared" si="11"/>
        <v>44060</v>
      </c>
      <c r="AB232" s="21"/>
    </row>
    <row r="233" spans="1:28" x14ac:dyDescent="0.2">
      <c r="A233" s="1182">
        <f t="shared" si="10"/>
        <v>41139</v>
      </c>
      <c r="C233" s="1210"/>
      <c r="D233" s="45"/>
      <c r="E233" s="1211"/>
      <c r="F233" s="45"/>
      <c r="G233" s="1202"/>
      <c r="H233" s="45"/>
      <c r="I233" s="1203" t="s">
        <v>129</v>
      </c>
      <c r="J233" s="45">
        <v>1</v>
      </c>
      <c r="K233" s="1204"/>
      <c r="L233" s="45"/>
      <c r="M233" s="1205"/>
      <c r="N233" s="45"/>
      <c r="O233" s="1206"/>
      <c r="P233" s="45"/>
      <c r="Q233" s="1207"/>
      <c r="R233" s="45"/>
      <c r="S233" s="1208"/>
      <c r="T233" s="45"/>
      <c r="U233" s="1209" t="s">
        <v>11150</v>
      </c>
      <c r="V233" s="45">
        <v>1</v>
      </c>
      <c r="W233" s="606"/>
      <c r="X233" s="45"/>
      <c r="Y233" s="1919"/>
      <c r="Z233" s="1906"/>
      <c r="AA233" s="1163">
        <f t="shared" si="11"/>
        <v>44061</v>
      </c>
      <c r="AB233" s="21"/>
    </row>
    <row r="234" spans="1:28" x14ac:dyDescent="0.2">
      <c r="A234" s="1176">
        <f t="shared" si="10"/>
        <v>41140</v>
      </c>
      <c r="C234" s="1210"/>
      <c r="D234" s="45"/>
      <c r="E234" s="1211"/>
      <c r="F234" s="45"/>
      <c r="G234" s="1202"/>
      <c r="H234" s="45"/>
      <c r="I234" s="1203"/>
      <c r="J234" s="45"/>
      <c r="K234" s="1204"/>
      <c r="L234" s="45"/>
      <c r="M234" s="1205"/>
      <c r="N234" s="45"/>
      <c r="O234" s="1206"/>
      <c r="P234" s="45"/>
      <c r="Q234" s="1207"/>
      <c r="R234" s="45"/>
      <c r="S234" s="1208" t="s">
        <v>5544</v>
      </c>
      <c r="T234" s="45">
        <v>1</v>
      </c>
      <c r="U234" s="1209"/>
      <c r="V234" s="45"/>
      <c r="W234" s="606"/>
      <c r="X234" s="45"/>
      <c r="Y234" s="1919"/>
      <c r="Z234" s="1906"/>
      <c r="AA234" s="1163">
        <f t="shared" si="11"/>
        <v>44062</v>
      </c>
      <c r="AB234" s="21"/>
    </row>
    <row r="235" spans="1:28" x14ac:dyDescent="0.2">
      <c r="A235" s="1178">
        <f t="shared" si="10"/>
        <v>41141</v>
      </c>
      <c r="C235" s="1210"/>
      <c r="D235" s="45"/>
      <c r="E235" s="1211"/>
      <c r="F235" s="45"/>
      <c r="G235" s="1202"/>
      <c r="H235" s="45"/>
      <c r="I235" s="1203"/>
      <c r="J235" s="45"/>
      <c r="K235" s="1204"/>
      <c r="L235" s="45"/>
      <c r="M235" s="1205"/>
      <c r="N235" s="45"/>
      <c r="O235" s="1206"/>
      <c r="P235" s="45"/>
      <c r="Q235" s="1207" t="s">
        <v>998</v>
      </c>
      <c r="R235" s="45">
        <v>1</v>
      </c>
      <c r="S235" s="1208"/>
      <c r="T235" s="45"/>
      <c r="U235" s="1209"/>
      <c r="V235" s="45"/>
      <c r="W235" s="606"/>
      <c r="X235" s="45"/>
      <c r="Y235" s="1919"/>
      <c r="Z235" s="1906"/>
      <c r="AA235" s="1163">
        <f t="shared" si="11"/>
        <v>44063</v>
      </c>
      <c r="AB235" s="21"/>
    </row>
    <row r="236" spans="1:28" x14ac:dyDescent="0.2">
      <c r="A236" s="1172">
        <f t="shared" si="10"/>
        <v>41142</v>
      </c>
      <c r="C236" s="1210"/>
      <c r="D236" s="45"/>
      <c r="E236" s="1211" t="s">
        <v>8244</v>
      </c>
      <c r="F236" s="45">
        <v>1</v>
      </c>
      <c r="G236" s="1202"/>
      <c r="H236" s="45"/>
      <c r="I236" s="1203"/>
      <c r="J236" s="45"/>
      <c r="K236" s="1204"/>
      <c r="L236" s="45"/>
      <c r="M236" s="1205"/>
      <c r="N236" s="45"/>
      <c r="O236" s="1206"/>
      <c r="P236" s="45"/>
      <c r="Q236" s="1207"/>
      <c r="R236" s="45"/>
      <c r="S236" s="1208"/>
      <c r="T236" s="45"/>
      <c r="U236" s="1209"/>
      <c r="V236" s="45"/>
      <c r="W236" s="606"/>
      <c r="X236" s="45"/>
      <c r="Y236" s="1919"/>
      <c r="Z236" s="1906"/>
      <c r="AA236" s="1163">
        <f t="shared" si="11"/>
        <v>44064</v>
      </c>
      <c r="AB236" s="21"/>
    </row>
    <row r="237" spans="1:28" x14ac:dyDescent="0.2">
      <c r="A237" s="1167">
        <f t="shared" si="10"/>
        <v>41143</v>
      </c>
      <c r="C237" s="1210"/>
      <c r="D237" s="45"/>
      <c r="E237" s="1230" t="s">
        <v>11218</v>
      </c>
      <c r="F237" s="45"/>
      <c r="G237" s="1202"/>
      <c r="H237" s="45"/>
      <c r="I237" s="1203"/>
      <c r="J237" s="45"/>
      <c r="K237" s="1204"/>
      <c r="L237" s="45"/>
      <c r="M237" s="1205"/>
      <c r="N237" s="45"/>
      <c r="O237" s="1206" t="s">
        <v>3167</v>
      </c>
      <c r="P237" s="45">
        <v>1</v>
      </c>
      <c r="Q237" s="1207"/>
      <c r="R237" s="45"/>
      <c r="S237" s="1208"/>
      <c r="T237" s="45"/>
      <c r="U237" s="1209"/>
      <c r="V237" s="45"/>
      <c r="W237" s="606"/>
      <c r="X237" s="45"/>
      <c r="Y237" s="1919"/>
      <c r="Z237" s="1906"/>
      <c r="AA237" s="1163">
        <f t="shared" si="11"/>
        <v>44065</v>
      </c>
      <c r="AB237" s="21"/>
    </row>
    <row r="238" spans="1:28" x14ac:dyDescent="0.2">
      <c r="A238" s="1195">
        <f t="shared" si="10"/>
        <v>41144</v>
      </c>
      <c r="C238" s="1210"/>
      <c r="D238" s="45"/>
      <c r="E238" s="1211"/>
      <c r="F238" s="45"/>
      <c r="G238" s="1202"/>
      <c r="H238" s="45"/>
      <c r="I238" s="1203"/>
      <c r="J238" s="45"/>
      <c r="K238" s="1204"/>
      <c r="L238" s="45"/>
      <c r="M238" s="1205" t="s">
        <v>1783</v>
      </c>
      <c r="N238" s="45">
        <v>1</v>
      </c>
      <c r="O238" s="1206"/>
      <c r="P238" s="45"/>
      <c r="Q238" s="1207"/>
      <c r="R238" s="45"/>
      <c r="S238" s="1208"/>
      <c r="T238" s="45"/>
      <c r="U238" s="1209"/>
      <c r="V238" s="45"/>
      <c r="W238" s="606"/>
      <c r="X238" s="45"/>
      <c r="Y238" s="1919"/>
      <c r="Z238" s="1906"/>
      <c r="AA238" s="1163">
        <f t="shared" si="11"/>
        <v>44066</v>
      </c>
      <c r="AB238" s="21"/>
    </row>
    <row r="239" spans="1:28" x14ac:dyDescent="0.2">
      <c r="A239" s="1292">
        <f t="shared" si="10"/>
        <v>41145</v>
      </c>
      <c r="B239" s="1473"/>
      <c r="C239" s="1210"/>
      <c r="D239" s="45"/>
      <c r="E239" s="1211"/>
      <c r="F239" s="45"/>
      <c r="G239" s="1202"/>
      <c r="H239" s="45"/>
      <c r="I239" s="1203"/>
      <c r="J239" s="45"/>
      <c r="K239" s="1212"/>
      <c r="L239" s="45"/>
      <c r="M239" s="1205"/>
      <c r="N239" s="45"/>
      <c r="O239" s="1206"/>
      <c r="P239" s="45"/>
      <c r="Q239" s="1207"/>
      <c r="R239" s="45"/>
      <c r="S239" s="1208"/>
      <c r="T239" s="45"/>
      <c r="U239" s="1209"/>
      <c r="V239" s="45"/>
      <c r="W239" s="606" t="s">
        <v>10441</v>
      </c>
      <c r="X239" s="45">
        <v>1</v>
      </c>
      <c r="Y239" s="1919"/>
      <c r="Z239" s="1906"/>
      <c r="AA239" s="1163">
        <f t="shared" si="11"/>
        <v>44067</v>
      </c>
      <c r="AB239" s="21"/>
    </row>
    <row r="240" spans="1:28" x14ac:dyDescent="0.2">
      <c r="A240" s="1165">
        <f t="shared" si="10"/>
        <v>41146</v>
      </c>
      <c r="C240" s="1210"/>
      <c r="D240" s="45"/>
      <c r="E240" s="1211"/>
      <c r="F240" s="45"/>
      <c r="G240" s="1202"/>
      <c r="H240" s="45"/>
      <c r="I240" s="1203" t="s">
        <v>5544</v>
      </c>
      <c r="J240" s="45">
        <v>1</v>
      </c>
      <c r="K240" s="1204"/>
      <c r="L240" s="45"/>
      <c r="M240" s="1205"/>
      <c r="N240" s="45"/>
      <c r="O240" s="1206"/>
      <c r="P240" s="45"/>
      <c r="Q240" s="1207"/>
      <c r="R240" s="45"/>
      <c r="S240" s="1208"/>
      <c r="T240" s="45"/>
      <c r="U240" s="1209" t="s">
        <v>11151</v>
      </c>
      <c r="V240" s="45">
        <v>1</v>
      </c>
      <c r="W240" s="606"/>
      <c r="X240" s="45"/>
      <c r="Y240" s="1919"/>
      <c r="Z240" s="1906"/>
      <c r="AA240" s="1163">
        <f t="shared" si="11"/>
        <v>44068</v>
      </c>
      <c r="AB240" s="21"/>
    </row>
    <row r="241" spans="1:28" x14ac:dyDescent="0.2">
      <c r="A241" s="1176">
        <f t="shared" si="10"/>
        <v>41147</v>
      </c>
      <c r="C241" s="1210"/>
      <c r="D241" s="45"/>
      <c r="E241" s="1211"/>
      <c r="F241" s="45"/>
      <c r="G241" s="1202"/>
      <c r="H241" s="45"/>
      <c r="I241" s="1203"/>
      <c r="J241" s="45"/>
      <c r="K241" s="1204"/>
      <c r="L241" s="45"/>
      <c r="M241" s="1205"/>
      <c r="N241" s="45"/>
      <c r="O241" s="1206"/>
      <c r="P241" s="45"/>
      <c r="Q241" s="1207"/>
      <c r="R241" s="45"/>
      <c r="S241" s="1208" t="s">
        <v>8009</v>
      </c>
      <c r="T241" s="45">
        <v>1</v>
      </c>
      <c r="U241" s="1209"/>
      <c r="V241" s="45"/>
      <c r="W241" s="606"/>
      <c r="X241" s="45"/>
      <c r="Y241" s="1919"/>
      <c r="Z241" s="1906"/>
      <c r="AA241" s="1163">
        <f t="shared" si="11"/>
        <v>44069</v>
      </c>
      <c r="AB241" s="21"/>
    </row>
    <row r="242" spans="1:28" x14ac:dyDescent="0.2">
      <c r="A242" s="1169">
        <f t="shared" si="10"/>
        <v>41148</v>
      </c>
      <c r="C242" s="1210"/>
      <c r="D242" s="45"/>
      <c r="E242" s="1211"/>
      <c r="F242" s="45"/>
      <c r="G242" s="1202" t="s">
        <v>8244</v>
      </c>
      <c r="H242" s="45">
        <v>1</v>
      </c>
      <c r="I242" s="1203"/>
      <c r="J242" s="45"/>
      <c r="K242" s="1204"/>
      <c r="L242" s="45"/>
      <c r="M242" s="1205"/>
      <c r="N242" s="45"/>
      <c r="O242" s="1206"/>
      <c r="P242" s="45"/>
      <c r="Q242" s="1198" t="s">
        <v>11211</v>
      </c>
      <c r="R242" s="45"/>
      <c r="S242" s="1208"/>
      <c r="T242" s="45"/>
      <c r="U242" s="1209"/>
      <c r="V242" s="45"/>
      <c r="W242" s="606"/>
      <c r="X242" s="45"/>
      <c r="Y242" s="1919"/>
      <c r="Z242" s="1906"/>
      <c r="AA242" s="1163">
        <f t="shared" si="11"/>
        <v>44070</v>
      </c>
      <c r="AB242" s="21"/>
    </row>
    <row r="243" spans="1:28" x14ac:dyDescent="0.2">
      <c r="A243" s="11">
        <f t="shared" si="10"/>
        <v>41149</v>
      </c>
      <c r="B243" s="99">
        <v>2021</v>
      </c>
      <c r="C243" s="1210"/>
      <c r="D243" s="45"/>
      <c r="E243" s="1211"/>
      <c r="F243" s="45"/>
      <c r="G243" s="1202"/>
      <c r="H243" s="45"/>
      <c r="I243" s="1203"/>
      <c r="J243" s="45"/>
      <c r="K243" s="1204"/>
      <c r="L243" s="45"/>
      <c r="M243" s="1205"/>
      <c r="N243" s="45"/>
      <c r="O243" s="1206"/>
      <c r="P243" s="45"/>
      <c r="Q243" s="1207"/>
      <c r="R243" s="45"/>
      <c r="S243" s="1208"/>
      <c r="T243" s="45"/>
      <c r="U243" s="1209"/>
      <c r="V243" s="45"/>
      <c r="W243" s="606"/>
      <c r="X243" s="45"/>
      <c r="Y243" s="1919"/>
      <c r="Z243" s="1906"/>
      <c r="AA243" s="1163">
        <f t="shared" si="11"/>
        <v>44071</v>
      </c>
      <c r="AB243" s="21">
        <v>44436</v>
      </c>
    </row>
    <row r="244" spans="1:28" x14ac:dyDescent="0.2">
      <c r="A244" s="1167">
        <f t="shared" si="10"/>
        <v>41150</v>
      </c>
      <c r="C244" s="1210"/>
      <c r="D244" s="45"/>
      <c r="E244" s="1211"/>
      <c r="F244" s="45"/>
      <c r="G244" s="1202"/>
      <c r="H244" s="45"/>
      <c r="I244" s="1203"/>
      <c r="J244" s="45"/>
      <c r="K244" s="1204"/>
      <c r="L244" s="45"/>
      <c r="M244" s="1205"/>
      <c r="N244" s="45"/>
      <c r="O244" s="1206" t="s">
        <v>5544</v>
      </c>
      <c r="P244" s="45">
        <v>1</v>
      </c>
      <c r="Q244" s="1207"/>
      <c r="R244" s="45"/>
      <c r="S244" s="1208"/>
      <c r="T244" s="45"/>
      <c r="U244" s="1209"/>
      <c r="V244" s="45"/>
      <c r="W244" s="606"/>
      <c r="X244" s="45"/>
      <c r="Y244" s="1919"/>
      <c r="Z244" s="1906"/>
      <c r="AA244" s="1163">
        <f t="shared" si="11"/>
        <v>44072</v>
      </c>
      <c r="AB244" s="21"/>
    </row>
    <row r="245" spans="1:28" x14ac:dyDescent="0.2">
      <c r="A245" s="1170">
        <f t="shared" si="10"/>
        <v>41151</v>
      </c>
      <c r="C245" s="1210"/>
      <c r="D245" s="45"/>
      <c r="E245" s="1211"/>
      <c r="F245" s="45"/>
      <c r="G245" s="1202"/>
      <c r="H245" s="45"/>
      <c r="I245" s="1203"/>
      <c r="J245" s="45"/>
      <c r="K245" s="1204"/>
      <c r="L245" s="45"/>
      <c r="M245" s="1205" t="s">
        <v>11142</v>
      </c>
      <c r="N245" s="45">
        <v>1</v>
      </c>
      <c r="O245" s="1206"/>
      <c r="P245" s="45"/>
      <c r="Q245" s="1207"/>
      <c r="R245" s="45"/>
      <c r="S245" s="1208"/>
      <c r="T245" s="45"/>
      <c r="U245" s="1209"/>
      <c r="V245" s="45"/>
      <c r="W245" s="606"/>
      <c r="X245" s="45"/>
      <c r="Y245" s="1919"/>
      <c r="Z245" s="1906"/>
      <c r="AA245" s="1163">
        <f t="shared" si="11"/>
        <v>44073</v>
      </c>
      <c r="AB245" s="21"/>
    </row>
    <row r="246" spans="1:28" x14ac:dyDescent="0.2">
      <c r="A246" s="1292">
        <f t="shared" si="10"/>
        <v>41152</v>
      </c>
      <c r="B246" s="1473"/>
      <c r="C246" s="1210"/>
      <c r="D246" s="45"/>
      <c r="E246" s="1211"/>
      <c r="F246" s="45"/>
      <c r="G246" s="1202"/>
      <c r="H246" s="45"/>
      <c r="I246" s="1203"/>
      <c r="J246" s="45"/>
      <c r="K246" s="1204" t="s">
        <v>11199</v>
      </c>
      <c r="L246" s="45"/>
      <c r="M246" s="1205"/>
      <c r="N246" s="45"/>
      <c r="O246" s="1206"/>
      <c r="P246" s="45"/>
      <c r="Q246" s="1207"/>
      <c r="R246" s="45"/>
      <c r="S246" s="1208"/>
      <c r="T246" s="45"/>
      <c r="U246" s="1209"/>
      <c r="V246" s="45"/>
      <c r="W246" s="606" t="s">
        <v>9406</v>
      </c>
      <c r="X246" s="45">
        <v>1</v>
      </c>
      <c r="Y246" s="1919"/>
      <c r="Z246" s="1906"/>
      <c r="AA246" s="1163">
        <f t="shared" si="11"/>
        <v>44074</v>
      </c>
      <c r="AB246" s="21"/>
    </row>
    <row r="247" spans="1:28" x14ac:dyDescent="0.2">
      <c r="A247" s="1165">
        <f t="shared" si="10"/>
        <v>41153</v>
      </c>
      <c r="C247" s="1210"/>
      <c r="D247" s="45"/>
      <c r="E247" s="1211"/>
      <c r="F247" s="45"/>
      <c r="G247" s="1202"/>
      <c r="H247" s="45"/>
      <c r="I247" s="1203" t="s">
        <v>5544</v>
      </c>
      <c r="J247" s="45">
        <v>1</v>
      </c>
      <c r="K247" s="1204"/>
      <c r="L247" s="45"/>
      <c r="M247" s="1205"/>
      <c r="N247" s="45"/>
      <c r="O247" s="1206"/>
      <c r="P247" s="45"/>
      <c r="Q247" s="1207"/>
      <c r="R247" s="45"/>
      <c r="S247" s="1208"/>
      <c r="T247" s="45"/>
      <c r="U247" s="1209" t="s">
        <v>11139</v>
      </c>
      <c r="V247" s="45">
        <v>1</v>
      </c>
      <c r="W247" s="606"/>
      <c r="X247" s="45"/>
      <c r="Y247" s="1919"/>
      <c r="Z247" s="1906"/>
      <c r="AA247" s="1163">
        <f t="shared" si="11"/>
        <v>44075</v>
      </c>
      <c r="AB247" s="21"/>
    </row>
    <row r="248" spans="1:28" x14ac:dyDescent="0.2">
      <c r="A248" s="1196">
        <f t="shared" si="10"/>
        <v>41154</v>
      </c>
      <c r="C248" s="1210"/>
      <c r="D248" s="45"/>
      <c r="E248" s="1211"/>
      <c r="F248" s="45"/>
      <c r="G248" s="1202"/>
      <c r="H248" s="45"/>
      <c r="I248" s="1203"/>
      <c r="J248" s="45"/>
      <c r="K248" s="1204"/>
      <c r="L248" s="45"/>
      <c r="M248" s="1205"/>
      <c r="N248" s="45"/>
      <c r="O248" s="1206"/>
      <c r="P248" s="45"/>
      <c r="Q248" s="1207"/>
      <c r="R248" s="45"/>
      <c r="S248" s="1208" t="s">
        <v>8244</v>
      </c>
      <c r="T248" s="45">
        <v>1</v>
      </c>
      <c r="U248" s="1209"/>
      <c r="V248" s="45"/>
      <c r="W248" s="606"/>
      <c r="X248" s="45"/>
      <c r="Y248" s="1919"/>
      <c r="Z248" s="1906"/>
      <c r="AA248" s="1163">
        <f t="shared" si="11"/>
        <v>44076</v>
      </c>
      <c r="AB248" s="21"/>
    </row>
    <row r="249" spans="1:28" x14ac:dyDescent="0.2">
      <c r="A249" s="1169">
        <f t="shared" si="10"/>
        <v>41155</v>
      </c>
      <c r="C249" s="1210"/>
      <c r="D249" s="45"/>
      <c r="E249" s="1211"/>
      <c r="F249" s="45"/>
      <c r="G249" s="1202" t="s">
        <v>1122</v>
      </c>
      <c r="H249" s="45">
        <v>1</v>
      </c>
      <c r="I249" s="1203"/>
      <c r="J249" s="45"/>
      <c r="K249" s="1204"/>
      <c r="L249" s="45"/>
      <c r="M249" s="1205"/>
      <c r="N249" s="45"/>
      <c r="O249" s="1206"/>
      <c r="P249" s="45"/>
      <c r="Q249" s="1207" t="s">
        <v>5544</v>
      </c>
      <c r="R249" s="45">
        <v>1</v>
      </c>
      <c r="S249" s="1208"/>
      <c r="T249" s="45"/>
      <c r="U249" s="1209"/>
      <c r="V249" s="45"/>
      <c r="W249" s="606"/>
      <c r="X249" s="45"/>
      <c r="Y249" s="1919"/>
      <c r="Z249" s="1906"/>
      <c r="AA249" s="1163">
        <f t="shared" si="11"/>
        <v>44077</v>
      </c>
      <c r="AB249" s="21"/>
    </row>
    <row r="250" spans="1:28" x14ac:dyDescent="0.2">
      <c r="A250" s="11">
        <f t="shared" si="10"/>
        <v>41156</v>
      </c>
      <c r="B250" s="99">
        <v>2021</v>
      </c>
      <c r="C250" s="1210"/>
      <c r="D250" s="45"/>
      <c r="E250" s="1211"/>
      <c r="F250" s="45"/>
      <c r="G250" s="1202"/>
      <c r="H250" s="45"/>
      <c r="I250" s="1203"/>
      <c r="J250" s="45"/>
      <c r="K250" s="1204"/>
      <c r="L250" s="45"/>
      <c r="M250" s="1205"/>
      <c r="N250" s="45"/>
      <c r="O250" s="1206"/>
      <c r="P250" s="45"/>
      <c r="Q250" s="1207"/>
      <c r="R250" s="45"/>
      <c r="S250" s="1208"/>
      <c r="T250" s="45"/>
      <c r="U250" s="1209"/>
      <c r="V250" s="45"/>
      <c r="W250" s="606"/>
      <c r="X250" s="45"/>
      <c r="Y250" s="1919"/>
      <c r="Z250" s="1906"/>
      <c r="AA250" s="1163">
        <f t="shared" si="11"/>
        <v>44078</v>
      </c>
      <c r="AB250" s="21">
        <v>44443</v>
      </c>
    </row>
    <row r="251" spans="1:28" x14ac:dyDescent="0.2">
      <c r="A251" s="1167">
        <f t="shared" si="10"/>
        <v>41157</v>
      </c>
      <c r="C251" s="1210"/>
      <c r="D251" s="45"/>
      <c r="E251" s="1211"/>
      <c r="F251" s="45"/>
      <c r="G251" s="1202"/>
      <c r="H251" s="45"/>
      <c r="I251" s="1203"/>
      <c r="J251" s="45"/>
      <c r="K251" s="1204"/>
      <c r="L251" s="45"/>
      <c r="M251" s="1205"/>
      <c r="N251" s="45"/>
      <c r="O251" s="1206" t="s">
        <v>4727</v>
      </c>
      <c r="P251" s="45">
        <v>1</v>
      </c>
      <c r="Q251" s="1207"/>
      <c r="R251" s="45"/>
      <c r="S251" s="1208"/>
      <c r="T251" s="45"/>
      <c r="U251" s="1209"/>
      <c r="V251" s="45"/>
      <c r="W251" s="606"/>
      <c r="X251" s="45"/>
      <c r="Y251" s="1919"/>
      <c r="Z251" s="1906"/>
      <c r="AA251" s="1527">
        <f t="shared" si="11"/>
        <v>44079</v>
      </c>
      <c r="AB251" s="21"/>
    </row>
    <row r="252" spans="1:28" x14ac:dyDescent="0.2">
      <c r="A252" s="1170">
        <f t="shared" si="10"/>
        <v>41158</v>
      </c>
      <c r="C252" s="1210"/>
      <c r="D252" s="45"/>
      <c r="E252" s="1211"/>
      <c r="F252" s="45"/>
      <c r="G252" s="1202"/>
      <c r="H252" s="45"/>
      <c r="I252" s="1203"/>
      <c r="J252" s="45"/>
      <c r="K252" s="1204"/>
      <c r="L252" s="45"/>
      <c r="M252" s="1205" t="s">
        <v>5544</v>
      </c>
      <c r="N252" s="45">
        <v>1</v>
      </c>
      <c r="O252" s="1206"/>
      <c r="P252" s="45"/>
      <c r="Q252" s="1207"/>
      <c r="R252" s="45"/>
      <c r="S252" s="1208"/>
      <c r="T252" s="45"/>
      <c r="U252" s="1209"/>
      <c r="V252" s="45"/>
      <c r="W252" s="606"/>
      <c r="X252" s="45"/>
      <c r="Y252" s="1919"/>
      <c r="Z252" s="1906"/>
      <c r="AA252" s="1163">
        <f t="shared" si="11"/>
        <v>44080</v>
      </c>
      <c r="AB252" s="21"/>
    </row>
    <row r="253" spans="1:28" x14ac:dyDescent="0.2">
      <c r="A253" s="1173">
        <f t="shared" si="10"/>
        <v>41159</v>
      </c>
      <c r="C253" s="1210"/>
      <c r="D253" s="45"/>
      <c r="E253" s="1211"/>
      <c r="F253" s="45"/>
      <c r="G253" s="1202"/>
      <c r="H253" s="45"/>
      <c r="I253" s="1203"/>
      <c r="J253" s="45"/>
      <c r="K253" s="1204" t="s">
        <v>5544</v>
      </c>
      <c r="L253" s="45">
        <v>1</v>
      </c>
      <c r="M253" s="1205"/>
      <c r="N253" s="45"/>
      <c r="O253" s="1206"/>
      <c r="P253" s="45"/>
      <c r="Q253" s="1207"/>
      <c r="R253" s="45"/>
      <c r="S253" s="1208"/>
      <c r="T253" s="45"/>
      <c r="U253" s="1209"/>
      <c r="V253" s="45"/>
      <c r="W253" s="1198" t="s">
        <v>7853</v>
      </c>
      <c r="X253" s="45"/>
      <c r="Y253" s="1924" t="s">
        <v>11204</v>
      </c>
      <c r="Z253" s="1906"/>
      <c r="AA253" s="1163">
        <f t="shared" si="11"/>
        <v>44081</v>
      </c>
      <c r="AB253" s="21"/>
    </row>
    <row r="254" spans="1:28" x14ac:dyDescent="0.2">
      <c r="A254" s="1165">
        <f t="shared" si="10"/>
        <v>41160</v>
      </c>
      <c r="C254" s="1210"/>
      <c r="D254" s="45"/>
      <c r="E254" s="1211"/>
      <c r="F254" s="45"/>
      <c r="G254" s="1202"/>
      <c r="H254" s="45"/>
      <c r="I254" s="1203" t="s">
        <v>1122</v>
      </c>
      <c r="J254" s="45">
        <v>1</v>
      </c>
      <c r="K254" s="1204"/>
      <c r="L254" s="45"/>
      <c r="M254" s="1205"/>
      <c r="N254" s="45"/>
      <c r="O254" s="1206"/>
      <c r="P254" s="45"/>
      <c r="Q254" s="1207"/>
      <c r="R254" s="45"/>
      <c r="S254" s="1208"/>
      <c r="T254" s="45"/>
      <c r="U254" s="1209" t="s">
        <v>5544</v>
      </c>
      <c r="V254" s="45">
        <v>1</v>
      </c>
      <c r="W254" s="606"/>
      <c r="X254" s="45"/>
      <c r="Y254" s="1924" t="s">
        <v>11207</v>
      </c>
      <c r="Z254" s="1906"/>
      <c r="AA254" s="1163">
        <f t="shared" si="11"/>
        <v>44082</v>
      </c>
      <c r="AB254" s="21"/>
    </row>
    <row r="255" spans="1:28" x14ac:dyDescent="0.2">
      <c r="A255" s="1176">
        <f t="shared" si="10"/>
        <v>41161</v>
      </c>
      <c r="C255" s="1210"/>
      <c r="D255" s="45"/>
      <c r="E255" s="1211"/>
      <c r="F255" s="45"/>
      <c r="G255" s="1202"/>
      <c r="H255" s="45"/>
      <c r="I255" s="1203"/>
      <c r="J255" s="45"/>
      <c r="K255" s="1204"/>
      <c r="L255" s="45"/>
      <c r="M255" s="1205"/>
      <c r="N255" s="45"/>
      <c r="O255" s="1206"/>
      <c r="P255" s="45"/>
      <c r="Q255" s="1207"/>
      <c r="R255" s="45"/>
      <c r="S255" s="1208" t="s">
        <v>11146</v>
      </c>
      <c r="T255" s="45">
        <v>1</v>
      </c>
      <c r="U255" s="1209"/>
      <c r="V255" s="45"/>
      <c r="W255" s="606"/>
      <c r="X255" s="45"/>
      <c r="Y255" s="1924" t="s">
        <v>11206</v>
      </c>
      <c r="Z255" s="1906"/>
      <c r="AA255" s="1163">
        <f t="shared" si="11"/>
        <v>44083</v>
      </c>
      <c r="AB255" s="21"/>
    </row>
    <row r="256" spans="1:28" x14ac:dyDescent="0.2">
      <c r="A256" s="1178">
        <f t="shared" si="10"/>
        <v>41162</v>
      </c>
      <c r="C256" s="1210"/>
      <c r="D256" s="45"/>
      <c r="E256" s="1211"/>
      <c r="F256" s="45"/>
      <c r="G256" s="1202"/>
      <c r="H256" s="45"/>
      <c r="I256" s="1203"/>
      <c r="J256" s="45"/>
      <c r="K256" s="1204"/>
      <c r="L256" s="45"/>
      <c r="M256" s="1205"/>
      <c r="N256" s="45"/>
      <c r="O256" s="1206"/>
      <c r="P256" s="45"/>
      <c r="Q256" s="1207" t="s">
        <v>4625</v>
      </c>
      <c r="R256" s="45">
        <v>1</v>
      </c>
      <c r="S256" s="1208"/>
      <c r="T256" s="45"/>
      <c r="U256" s="1209"/>
      <c r="V256" s="45"/>
      <c r="W256" s="606"/>
      <c r="X256" s="45"/>
      <c r="Y256" s="1924" t="s">
        <v>11207</v>
      </c>
      <c r="Z256" s="1906"/>
      <c r="AA256" s="1163">
        <f t="shared" si="11"/>
        <v>44084</v>
      </c>
      <c r="AB256" s="21"/>
    </row>
    <row r="257" spans="1:28" x14ac:dyDescent="0.2">
      <c r="A257" s="11">
        <f t="shared" si="10"/>
        <v>41163</v>
      </c>
      <c r="B257" s="99">
        <v>2021</v>
      </c>
      <c r="C257" s="1210"/>
      <c r="D257" s="45"/>
      <c r="E257" s="1211"/>
      <c r="F257" s="45"/>
      <c r="G257" s="1198" t="s">
        <v>7853</v>
      </c>
      <c r="H257" s="45"/>
      <c r="I257" s="1203"/>
      <c r="J257" s="45"/>
      <c r="K257" s="1204"/>
      <c r="L257" s="45"/>
      <c r="M257" s="1205"/>
      <c r="N257" s="45"/>
      <c r="O257" s="1206"/>
      <c r="P257" s="45"/>
      <c r="Q257" s="1207"/>
      <c r="R257" s="45"/>
      <c r="S257" s="1208"/>
      <c r="T257" s="45"/>
      <c r="U257" s="1209"/>
      <c r="V257" s="45"/>
      <c r="W257" s="606"/>
      <c r="X257" s="45"/>
      <c r="Y257" s="1924"/>
      <c r="Z257" s="1906"/>
      <c r="AA257" s="1163">
        <f t="shared" si="11"/>
        <v>44085</v>
      </c>
      <c r="AB257" s="21">
        <v>44450</v>
      </c>
    </row>
    <row r="258" spans="1:28" x14ac:dyDescent="0.2">
      <c r="A258" s="11">
        <f t="shared" si="10"/>
        <v>41164</v>
      </c>
      <c r="B258" s="1926">
        <v>2020</v>
      </c>
      <c r="C258" s="1210"/>
      <c r="D258" s="45"/>
      <c r="E258" s="1211"/>
      <c r="F258" s="45"/>
      <c r="G258" s="1202"/>
      <c r="H258" s="45"/>
      <c r="I258" s="1203"/>
      <c r="J258" s="45"/>
      <c r="K258" s="1204"/>
      <c r="L258" s="45"/>
      <c r="M258" s="1205"/>
      <c r="N258" s="45"/>
      <c r="O258" s="1206"/>
      <c r="P258" s="45"/>
      <c r="Q258" s="1207"/>
      <c r="R258" s="45"/>
      <c r="S258" s="1208"/>
      <c r="T258" s="45"/>
      <c r="U258" s="1209"/>
      <c r="V258" s="45"/>
      <c r="W258" s="606"/>
      <c r="X258" s="45"/>
      <c r="Y258" s="1924" t="s">
        <v>11200</v>
      </c>
      <c r="Z258" s="1906"/>
      <c r="AA258" s="1186">
        <f t="shared" si="11"/>
        <v>44086</v>
      </c>
      <c r="AB258" s="21" t="s">
        <v>13119</v>
      </c>
    </row>
    <row r="259" spans="1:28" x14ac:dyDescent="0.2">
      <c r="A259" s="1170">
        <f t="shared" si="10"/>
        <v>41165</v>
      </c>
      <c r="C259" s="1210"/>
      <c r="D259" s="45"/>
      <c r="E259" s="1211"/>
      <c r="F259" s="45"/>
      <c r="G259" s="1202"/>
      <c r="H259" s="45"/>
      <c r="I259" s="1203"/>
      <c r="J259" s="45"/>
      <c r="K259" s="1204"/>
      <c r="L259" s="45"/>
      <c r="M259" s="1205" t="s">
        <v>3139</v>
      </c>
      <c r="N259" s="45">
        <v>1</v>
      </c>
      <c r="O259" s="1206"/>
      <c r="P259" s="45"/>
      <c r="Q259" s="1207"/>
      <c r="R259" s="45"/>
      <c r="S259" s="1208"/>
      <c r="T259" s="45"/>
      <c r="U259" s="1209"/>
      <c r="V259" s="45"/>
      <c r="W259" s="606"/>
      <c r="X259" s="45"/>
      <c r="Y259" s="1924" t="s">
        <v>11201</v>
      </c>
      <c r="Z259" s="1906"/>
      <c r="AA259" s="1163">
        <f t="shared" si="11"/>
        <v>44087</v>
      </c>
      <c r="AB259" s="21"/>
    </row>
    <row r="260" spans="1:28" x14ac:dyDescent="0.2">
      <c r="A260" s="1292">
        <f t="shared" si="10"/>
        <v>41166</v>
      </c>
      <c r="B260" s="1453"/>
      <c r="C260" s="1210"/>
      <c r="D260" s="45"/>
      <c r="E260" s="1211"/>
      <c r="F260" s="45"/>
      <c r="G260" s="1202"/>
      <c r="H260" s="45"/>
      <c r="I260" s="1203"/>
      <c r="J260" s="45"/>
      <c r="K260" s="1212" t="s">
        <v>11755</v>
      </c>
      <c r="L260" s="45"/>
      <c r="M260" s="1205"/>
      <c r="N260" s="45"/>
      <c r="O260" s="1206"/>
      <c r="P260" s="45"/>
      <c r="Q260" s="1207"/>
      <c r="R260" s="45"/>
      <c r="S260" s="1208"/>
      <c r="T260" s="45"/>
      <c r="U260" s="1209"/>
      <c r="V260" s="45"/>
      <c r="W260" s="606" t="s">
        <v>9307</v>
      </c>
      <c r="X260" s="45">
        <v>1</v>
      </c>
      <c r="Y260" s="1924" t="s">
        <v>11202</v>
      </c>
      <c r="Z260" s="1906"/>
      <c r="AA260" s="1163">
        <f t="shared" si="11"/>
        <v>44088</v>
      </c>
      <c r="AB260" s="21"/>
    </row>
    <row r="261" spans="1:28" x14ac:dyDescent="0.2">
      <c r="A261" s="1165">
        <f t="shared" ref="A261:A324" si="12">A260+1</f>
        <v>41167</v>
      </c>
      <c r="C261" s="1210"/>
      <c r="D261" s="45"/>
      <c r="E261" s="1211"/>
      <c r="F261" s="45"/>
      <c r="G261" s="1202"/>
      <c r="H261" s="45"/>
      <c r="I261" s="1203" t="s">
        <v>5544</v>
      </c>
      <c r="J261" s="45">
        <v>1</v>
      </c>
      <c r="K261" s="1204"/>
      <c r="L261" s="45"/>
      <c r="M261" s="1205"/>
      <c r="N261" s="45"/>
      <c r="O261" s="1206"/>
      <c r="P261" s="45"/>
      <c r="Q261" s="1207"/>
      <c r="R261" s="45"/>
      <c r="S261" s="1208"/>
      <c r="T261" s="45"/>
      <c r="U261" s="1209" t="s">
        <v>10441</v>
      </c>
      <c r="V261" s="45">
        <v>1</v>
      </c>
      <c r="W261" s="606"/>
      <c r="X261" s="45"/>
      <c r="Y261" s="1924" t="s">
        <v>11203</v>
      </c>
      <c r="Z261" s="1906"/>
      <c r="AA261" s="1163">
        <f t="shared" ref="AA261:AA324" si="13">AA260+1</f>
        <v>44089</v>
      </c>
      <c r="AB261" s="21"/>
    </row>
    <row r="262" spans="1:28" x14ac:dyDescent="0.2">
      <c r="A262" s="1176">
        <f t="shared" si="12"/>
        <v>41168</v>
      </c>
      <c r="C262" s="1210"/>
      <c r="D262" s="45"/>
      <c r="E262" s="1211"/>
      <c r="F262" s="45"/>
      <c r="G262" s="1202"/>
      <c r="H262" s="45"/>
      <c r="I262" s="1203"/>
      <c r="J262" s="45"/>
      <c r="K262" s="1204"/>
      <c r="L262" s="45"/>
      <c r="M262" s="1205"/>
      <c r="N262" s="45"/>
      <c r="O262" s="1206"/>
      <c r="P262" s="45"/>
      <c r="Q262" s="1207"/>
      <c r="R262" s="45"/>
      <c r="S262" s="1208" t="s">
        <v>5544</v>
      </c>
      <c r="T262" s="45">
        <v>1</v>
      </c>
      <c r="U262" s="1209"/>
      <c r="V262" s="45"/>
      <c r="W262" s="606"/>
      <c r="X262" s="45"/>
      <c r="Y262" s="1924" t="s">
        <v>11204</v>
      </c>
      <c r="Z262" s="1906"/>
      <c r="AA262" s="1163">
        <f t="shared" si="13"/>
        <v>44090</v>
      </c>
      <c r="AB262" s="21"/>
    </row>
    <row r="263" spans="1:28" x14ac:dyDescent="0.2">
      <c r="A263" s="1178">
        <f t="shared" si="12"/>
        <v>41169</v>
      </c>
      <c r="C263" s="1210"/>
      <c r="D263" s="45"/>
      <c r="E263" s="1211"/>
      <c r="F263" s="45"/>
      <c r="G263" s="1202"/>
      <c r="H263" s="45"/>
      <c r="I263" s="1203"/>
      <c r="J263" s="45"/>
      <c r="K263" s="1204"/>
      <c r="L263" s="45"/>
      <c r="M263" s="1205"/>
      <c r="N263" s="45"/>
      <c r="O263" s="1206"/>
      <c r="P263" s="45"/>
      <c r="Q263" s="1207" t="s">
        <v>5453</v>
      </c>
      <c r="R263" s="45">
        <v>1</v>
      </c>
      <c r="S263" s="1208"/>
      <c r="T263" s="45"/>
      <c r="U263" s="1198"/>
      <c r="V263" s="45"/>
      <c r="W263" s="606"/>
      <c r="X263" s="45"/>
      <c r="Y263" s="1924" t="s">
        <v>10939</v>
      </c>
      <c r="Z263" s="1906"/>
      <c r="AA263" s="1163">
        <f t="shared" si="13"/>
        <v>44091</v>
      </c>
      <c r="AB263" s="21"/>
    </row>
    <row r="264" spans="1:28" x14ac:dyDescent="0.2">
      <c r="A264" s="1192">
        <f t="shared" si="12"/>
        <v>41170</v>
      </c>
      <c r="C264" s="1210"/>
      <c r="D264" s="45"/>
      <c r="E264" s="1211" t="s">
        <v>8244</v>
      </c>
      <c r="F264" s="45">
        <v>1</v>
      </c>
      <c r="G264" s="1202"/>
      <c r="H264" s="45"/>
      <c r="I264" s="1203"/>
      <c r="J264" s="45"/>
      <c r="K264" s="1204"/>
      <c r="L264" s="45"/>
      <c r="M264" s="1205"/>
      <c r="N264" s="45"/>
      <c r="O264" s="1206"/>
      <c r="P264" s="45"/>
      <c r="Q264" s="1207"/>
      <c r="R264" s="45"/>
      <c r="S264" s="1208"/>
      <c r="T264" s="45"/>
      <c r="U264" s="1198"/>
      <c r="V264" s="45"/>
      <c r="W264" s="606"/>
      <c r="X264" s="45"/>
      <c r="Y264" s="1924"/>
      <c r="Z264" s="1906"/>
      <c r="AA264" s="1163">
        <f t="shared" si="13"/>
        <v>44092</v>
      </c>
      <c r="AB264" s="21"/>
    </row>
    <row r="265" spans="1:28" x14ac:dyDescent="0.2">
      <c r="A265" s="1167">
        <f t="shared" si="12"/>
        <v>41171</v>
      </c>
      <c r="C265" s="1210"/>
      <c r="D265" s="45"/>
      <c r="E265" s="1211"/>
      <c r="F265" s="45"/>
      <c r="G265" s="1202"/>
      <c r="H265" s="45"/>
      <c r="I265" s="1203"/>
      <c r="J265" s="45"/>
      <c r="K265" s="1204"/>
      <c r="L265" s="45"/>
      <c r="M265" s="1205"/>
      <c r="N265" s="45"/>
      <c r="O265" s="1206" t="s">
        <v>209</v>
      </c>
      <c r="P265" s="45">
        <v>1</v>
      </c>
      <c r="Q265" s="1207"/>
      <c r="R265" s="45"/>
      <c r="S265" s="1208"/>
      <c r="T265" s="45"/>
      <c r="U265" s="1198" t="s">
        <v>11200</v>
      </c>
      <c r="V265" s="45"/>
      <c r="W265" s="606"/>
      <c r="X265" s="45"/>
      <c r="Y265" s="1919"/>
      <c r="Z265" s="1906"/>
      <c r="AA265" s="1163">
        <f t="shared" si="13"/>
        <v>44093</v>
      </c>
      <c r="AB265" s="21"/>
    </row>
    <row r="266" spans="1:28" x14ac:dyDescent="0.2">
      <c r="A266" s="1170">
        <f t="shared" si="12"/>
        <v>41172</v>
      </c>
      <c r="C266" s="1210"/>
      <c r="D266" s="45"/>
      <c r="E266" s="1211"/>
      <c r="F266" s="45"/>
      <c r="G266" s="1202"/>
      <c r="H266" s="45"/>
      <c r="I266" s="1203"/>
      <c r="J266" s="45"/>
      <c r="K266" s="1204"/>
      <c r="L266" s="45"/>
      <c r="M266" s="1205" t="s">
        <v>5544</v>
      </c>
      <c r="N266" s="45">
        <v>1</v>
      </c>
      <c r="O266" s="1206"/>
      <c r="P266" s="45"/>
      <c r="Q266" s="1207"/>
      <c r="R266" s="45"/>
      <c r="S266" s="1208"/>
      <c r="T266" s="45"/>
      <c r="U266" s="1198" t="s">
        <v>11201</v>
      </c>
      <c r="V266" s="45"/>
      <c r="W266" s="606"/>
      <c r="X266" s="45"/>
      <c r="Y266" s="1919"/>
      <c r="Z266" s="1906"/>
      <c r="AA266" s="1163">
        <f t="shared" si="13"/>
        <v>44094</v>
      </c>
      <c r="AB266" s="21"/>
    </row>
    <row r="267" spans="1:28" x14ac:dyDescent="0.2">
      <c r="A267" s="1291">
        <f t="shared" si="12"/>
        <v>41173</v>
      </c>
      <c r="C267" s="1210"/>
      <c r="D267" s="45"/>
      <c r="E267" s="1211"/>
      <c r="F267" s="45"/>
      <c r="G267" s="1202"/>
      <c r="H267" s="45"/>
      <c r="I267" s="1203"/>
      <c r="J267" s="45"/>
      <c r="K267" s="1204" t="s">
        <v>4625</v>
      </c>
      <c r="L267" s="45">
        <v>1</v>
      </c>
      <c r="M267" s="1205"/>
      <c r="N267" s="45"/>
      <c r="O267" s="1206"/>
      <c r="P267" s="45"/>
      <c r="Q267" s="1207"/>
      <c r="R267" s="45"/>
      <c r="S267" s="1208"/>
      <c r="T267" s="45"/>
      <c r="U267" s="1198" t="s">
        <v>11202</v>
      </c>
      <c r="V267" s="45"/>
      <c r="W267" s="606" t="s">
        <v>442</v>
      </c>
      <c r="X267" s="45">
        <v>1</v>
      </c>
      <c r="Y267" s="1919"/>
      <c r="Z267" s="1906"/>
      <c r="AA267" s="1163">
        <f t="shared" si="13"/>
        <v>44095</v>
      </c>
      <c r="AB267" s="21"/>
    </row>
    <row r="268" spans="1:28" x14ac:dyDescent="0.2">
      <c r="A268" s="11">
        <f t="shared" si="12"/>
        <v>41174</v>
      </c>
      <c r="B268" s="9">
        <v>2029</v>
      </c>
      <c r="C268" s="1210"/>
      <c r="D268" s="45"/>
      <c r="E268" s="1211"/>
      <c r="F268" s="45"/>
      <c r="G268" s="1202"/>
      <c r="H268" s="45"/>
      <c r="I268" s="1203"/>
      <c r="J268" s="45"/>
      <c r="K268" s="1204"/>
      <c r="L268" s="45"/>
      <c r="M268" s="1205"/>
      <c r="N268" s="45"/>
      <c r="O268" s="1206"/>
      <c r="P268" s="45"/>
      <c r="Q268" s="1207"/>
      <c r="R268" s="45"/>
      <c r="S268" s="1208"/>
      <c r="T268" s="45"/>
      <c r="U268" s="1198" t="s">
        <v>11203</v>
      </c>
      <c r="V268" s="45"/>
      <c r="W268" s="606"/>
      <c r="X268" s="45"/>
      <c r="Y268" s="1919"/>
      <c r="Z268" s="1906"/>
      <c r="AA268" s="1163">
        <f t="shared" si="13"/>
        <v>44096</v>
      </c>
      <c r="AB268" s="21">
        <v>47383</v>
      </c>
    </row>
    <row r="269" spans="1:28" x14ac:dyDescent="0.2">
      <c r="A269" s="11">
        <f t="shared" si="12"/>
        <v>41175</v>
      </c>
      <c r="B269" s="9">
        <v>2023</v>
      </c>
      <c r="C269" s="1210"/>
      <c r="D269" s="45"/>
      <c r="E269" s="1211"/>
      <c r="F269" s="45"/>
      <c r="G269" s="1202"/>
      <c r="H269" s="45"/>
      <c r="I269" s="1203"/>
      <c r="J269" s="45"/>
      <c r="K269" s="1204"/>
      <c r="L269" s="45"/>
      <c r="M269" s="1205"/>
      <c r="N269" s="45"/>
      <c r="O269" s="1206"/>
      <c r="P269" s="45"/>
      <c r="Q269" s="1207"/>
      <c r="R269" s="45"/>
      <c r="S269" s="1198" t="s">
        <v>11223</v>
      </c>
      <c r="T269" s="45"/>
      <c r="U269" s="1198" t="s">
        <v>11204</v>
      </c>
      <c r="V269" s="45"/>
      <c r="W269" s="606"/>
      <c r="X269" s="45"/>
      <c r="Y269" s="1919"/>
      <c r="Z269" s="1906"/>
      <c r="AA269" s="1163">
        <f t="shared" si="13"/>
        <v>44097</v>
      </c>
      <c r="AB269" s="21">
        <v>45192</v>
      </c>
    </row>
    <row r="270" spans="1:28" x14ac:dyDescent="0.2">
      <c r="A270" s="11">
        <f t="shared" si="12"/>
        <v>41176</v>
      </c>
      <c r="B270" s="9">
        <v>2022</v>
      </c>
      <c r="C270" s="1210"/>
      <c r="D270" s="45"/>
      <c r="E270" s="1211"/>
      <c r="F270" s="45"/>
      <c r="G270" s="1202"/>
      <c r="H270" s="45"/>
      <c r="I270" s="1203"/>
      <c r="J270" s="45"/>
      <c r="K270" s="1204"/>
      <c r="L270" s="45"/>
      <c r="M270" s="1205"/>
      <c r="N270" s="45"/>
      <c r="O270" s="1206"/>
      <c r="P270" s="45"/>
      <c r="Q270" s="1207"/>
      <c r="R270" s="45"/>
      <c r="S270" s="1208"/>
      <c r="T270" s="45"/>
      <c r="U270" s="1198" t="s">
        <v>10939</v>
      </c>
      <c r="V270" s="45"/>
      <c r="W270" s="606"/>
      <c r="X270" s="45"/>
      <c r="Y270" s="1919"/>
      <c r="Z270" s="1906"/>
      <c r="AA270" s="1163">
        <f t="shared" si="13"/>
        <v>44098</v>
      </c>
      <c r="AB270" s="21">
        <v>44828</v>
      </c>
    </row>
    <row r="271" spans="1:28" x14ac:dyDescent="0.2">
      <c r="A271" s="11">
        <f t="shared" si="12"/>
        <v>41177</v>
      </c>
      <c r="B271" s="99">
        <v>2021</v>
      </c>
      <c r="C271" s="1210"/>
      <c r="D271" s="45"/>
      <c r="E271" s="1211"/>
      <c r="F271" s="45"/>
      <c r="G271" s="1202"/>
      <c r="H271" s="45"/>
      <c r="I271" s="1203"/>
      <c r="J271" s="45"/>
      <c r="K271" s="1204"/>
      <c r="L271" s="45"/>
      <c r="M271" s="1205"/>
      <c r="N271" s="45"/>
      <c r="O271" s="1206"/>
      <c r="P271" s="45"/>
      <c r="Q271" s="1207"/>
      <c r="R271" s="45"/>
      <c r="S271" s="1208"/>
      <c r="T271" s="45"/>
      <c r="U271" s="1213"/>
      <c r="V271" s="111"/>
      <c r="W271" s="606"/>
      <c r="X271" s="45"/>
      <c r="Y271" s="1919"/>
      <c r="Z271" s="1906"/>
      <c r="AA271" s="1163">
        <f t="shared" si="13"/>
        <v>44099</v>
      </c>
      <c r="AB271" s="21">
        <v>44464</v>
      </c>
    </row>
    <row r="272" spans="1:28" x14ac:dyDescent="0.2">
      <c r="A272" s="1167">
        <f t="shared" si="12"/>
        <v>41178</v>
      </c>
      <c r="C272" s="1210"/>
      <c r="D272" s="45"/>
      <c r="E272" s="1211"/>
      <c r="F272" s="45"/>
      <c r="G272" s="1202"/>
      <c r="H272" s="45"/>
      <c r="I272" s="1203"/>
      <c r="J272" s="45"/>
      <c r="K272" s="1204"/>
      <c r="L272" s="45"/>
      <c r="M272" s="1205"/>
      <c r="N272" s="45"/>
      <c r="O272" s="1206" t="s">
        <v>6021</v>
      </c>
      <c r="P272" s="45">
        <v>1</v>
      </c>
      <c r="Q272" s="1207"/>
      <c r="R272" s="45"/>
      <c r="S272" s="1208"/>
      <c r="T272" s="45"/>
      <c r="U272" s="1213"/>
      <c r="V272" s="111"/>
      <c r="W272" s="606"/>
      <c r="X272" s="45"/>
      <c r="Y272" s="1919"/>
      <c r="Z272" s="1906"/>
      <c r="AA272" s="1163">
        <f t="shared" si="13"/>
        <v>44100</v>
      </c>
      <c r="AB272" s="21"/>
    </row>
    <row r="273" spans="1:28" x14ac:dyDescent="0.2">
      <c r="A273" s="1170">
        <f t="shared" si="12"/>
        <v>41179</v>
      </c>
      <c r="C273" s="1210"/>
      <c r="D273" s="45"/>
      <c r="E273" s="1211"/>
      <c r="F273" s="45"/>
      <c r="G273" s="1202"/>
      <c r="H273" s="45"/>
      <c r="I273" s="1203"/>
      <c r="J273" s="45"/>
      <c r="K273" s="1204"/>
      <c r="L273" s="45"/>
      <c r="M273" s="1205" t="s">
        <v>6019</v>
      </c>
      <c r="N273" s="45">
        <v>1</v>
      </c>
      <c r="O273" s="1206"/>
      <c r="P273" s="45"/>
      <c r="Q273" s="1207"/>
      <c r="R273" s="45"/>
      <c r="S273" s="1208"/>
      <c r="T273" s="45"/>
      <c r="U273" s="1213"/>
      <c r="V273" s="111"/>
      <c r="W273" s="606"/>
      <c r="X273" s="45"/>
      <c r="Y273" s="1919"/>
      <c r="Z273" s="1906"/>
      <c r="AA273" s="1163">
        <f t="shared" si="13"/>
        <v>44101</v>
      </c>
      <c r="AB273" s="21"/>
    </row>
    <row r="274" spans="1:28" x14ac:dyDescent="0.2">
      <c r="A274" s="1291">
        <f t="shared" si="12"/>
        <v>41180</v>
      </c>
      <c r="C274" s="1210"/>
      <c r="D274" s="45"/>
      <c r="E274" s="1211"/>
      <c r="F274" s="45"/>
      <c r="G274" s="1202"/>
      <c r="H274" s="45"/>
      <c r="I274" s="1203"/>
      <c r="J274" s="45"/>
      <c r="K274" s="1204" t="s">
        <v>5453</v>
      </c>
      <c r="L274" s="45">
        <v>1</v>
      </c>
      <c r="M274" s="1205"/>
      <c r="N274" s="45"/>
      <c r="O274" s="1206"/>
      <c r="P274" s="45"/>
      <c r="Q274" s="1207"/>
      <c r="R274" s="45"/>
      <c r="S274" s="1208"/>
      <c r="T274" s="45"/>
      <c r="U274" s="1213"/>
      <c r="V274" s="111"/>
      <c r="W274" s="606" t="s">
        <v>3072</v>
      </c>
      <c r="X274" s="45">
        <v>1</v>
      </c>
      <c r="Y274" s="1919"/>
      <c r="Z274" s="1906"/>
      <c r="AA274" s="1163">
        <f t="shared" si="13"/>
        <v>44102</v>
      </c>
      <c r="AB274" s="21"/>
    </row>
    <row r="275" spans="1:28" x14ac:dyDescent="0.2">
      <c r="A275" s="1165">
        <f t="shared" si="12"/>
        <v>41181</v>
      </c>
      <c r="C275" s="1210"/>
      <c r="D275" s="45"/>
      <c r="E275" s="1211"/>
      <c r="F275" s="45"/>
      <c r="G275" s="1202"/>
      <c r="H275" s="45"/>
      <c r="I275" s="1203" t="s">
        <v>5544</v>
      </c>
      <c r="J275" s="45">
        <v>1</v>
      </c>
      <c r="K275" s="1204"/>
      <c r="L275" s="45"/>
      <c r="M275" s="1205"/>
      <c r="N275" s="45"/>
      <c r="O275" s="1206"/>
      <c r="P275" s="45"/>
      <c r="Q275" s="1207"/>
      <c r="R275" s="45"/>
      <c r="S275" s="1208"/>
      <c r="T275" s="45"/>
      <c r="U275" s="1198" t="s">
        <v>7853</v>
      </c>
      <c r="V275" s="45"/>
      <c r="W275" s="606"/>
      <c r="X275" s="45"/>
      <c r="Y275" s="1919"/>
      <c r="Z275" s="1906"/>
      <c r="AA275" s="1163">
        <f t="shared" si="13"/>
        <v>44103</v>
      </c>
      <c r="AB275" s="21"/>
    </row>
    <row r="276" spans="1:28" x14ac:dyDescent="0.2">
      <c r="A276" s="1176">
        <f t="shared" si="12"/>
        <v>41182</v>
      </c>
      <c r="C276" s="1210"/>
      <c r="D276" s="45"/>
      <c r="E276" s="1211"/>
      <c r="F276" s="45"/>
      <c r="G276" s="1202"/>
      <c r="H276" s="45"/>
      <c r="I276" s="1203"/>
      <c r="J276" s="45"/>
      <c r="K276" s="1204"/>
      <c r="L276" s="45"/>
      <c r="M276" s="1205"/>
      <c r="N276" s="45"/>
      <c r="O276" s="1206"/>
      <c r="P276" s="45"/>
      <c r="Q276" s="1207"/>
      <c r="R276" s="45"/>
      <c r="S276" s="1208" t="s">
        <v>8373</v>
      </c>
      <c r="T276" s="45">
        <v>1</v>
      </c>
      <c r="U276" s="1198"/>
      <c r="V276" s="45"/>
      <c r="W276" s="606"/>
      <c r="X276" s="45"/>
      <c r="Y276" s="1919"/>
      <c r="Z276" s="1906"/>
      <c r="AA276" s="1163">
        <f t="shared" si="13"/>
        <v>44104</v>
      </c>
      <c r="AB276" s="21"/>
    </row>
    <row r="277" spans="1:28" x14ac:dyDescent="0.2">
      <c r="A277" s="1178">
        <f t="shared" si="12"/>
        <v>41183</v>
      </c>
      <c r="C277" s="1210"/>
      <c r="D277" s="45"/>
      <c r="E277" s="1211"/>
      <c r="F277" s="45"/>
      <c r="G277" s="1202"/>
      <c r="H277" s="45"/>
      <c r="I277" s="1203"/>
      <c r="J277" s="45"/>
      <c r="K277" s="1204"/>
      <c r="L277" s="45"/>
      <c r="M277" s="1205"/>
      <c r="N277" s="45"/>
      <c r="O277" s="1206"/>
      <c r="P277" s="45"/>
      <c r="Q277" s="1207" t="s">
        <v>5544</v>
      </c>
      <c r="R277" s="45">
        <v>1</v>
      </c>
      <c r="S277" s="1208"/>
      <c r="T277" s="45"/>
      <c r="U277" s="1209"/>
      <c r="V277" s="45"/>
      <c r="W277" s="606"/>
      <c r="X277" s="45"/>
      <c r="Y277" s="1919"/>
      <c r="Z277" s="1906"/>
      <c r="AA277" s="1163">
        <f t="shared" si="13"/>
        <v>44105</v>
      </c>
      <c r="AB277" s="21"/>
    </row>
    <row r="278" spans="1:28" x14ac:dyDescent="0.2">
      <c r="A278" s="522">
        <f t="shared" si="12"/>
        <v>41184</v>
      </c>
      <c r="B278" s="99">
        <v>2021</v>
      </c>
      <c r="C278" s="1210"/>
      <c r="D278" s="45"/>
      <c r="E278" s="1211"/>
      <c r="F278" s="45"/>
      <c r="G278" s="1202"/>
      <c r="H278" s="45"/>
      <c r="I278" s="1203"/>
      <c r="J278" s="45"/>
      <c r="K278" s="1204"/>
      <c r="L278" s="45"/>
      <c r="M278" s="1205"/>
      <c r="N278" s="45"/>
      <c r="O278" s="1206"/>
      <c r="P278" s="45"/>
      <c r="Q278" s="1207"/>
      <c r="R278" s="45"/>
      <c r="S278" s="1208"/>
      <c r="T278" s="45"/>
      <c r="U278" s="1209"/>
      <c r="V278" s="45"/>
      <c r="W278" s="606"/>
      <c r="X278" s="45"/>
      <c r="Y278" s="1919"/>
      <c r="Z278" s="1906"/>
      <c r="AA278" s="1163">
        <f t="shared" si="13"/>
        <v>44106</v>
      </c>
      <c r="AB278" s="21">
        <v>44471</v>
      </c>
    </row>
    <row r="279" spans="1:28" x14ac:dyDescent="0.2">
      <c r="A279" s="1167">
        <f t="shared" si="12"/>
        <v>41185</v>
      </c>
      <c r="C279" s="1210"/>
      <c r="D279" s="45"/>
      <c r="E279" s="1211"/>
      <c r="F279" s="45"/>
      <c r="G279" s="1202"/>
      <c r="H279" s="45"/>
      <c r="I279" s="1203"/>
      <c r="J279" s="45"/>
      <c r="K279" s="1204"/>
      <c r="L279" s="45"/>
      <c r="M279" s="1205"/>
      <c r="N279" s="45"/>
      <c r="O279" s="1206" t="s">
        <v>5544</v>
      </c>
      <c r="P279" s="45">
        <v>1</v>
      </c>
      <c r="Q279" s="1207"/>
      <c r="R279" s="45"/>
      <c r="S279" s="1208"/>
      <c r="T279" s="45"/>
      <c r="U279" s="1209"/>
      <c r="V279" s="45"/>
      <c r="W279" s="606"/>
      <c r="X279" s="45"/>
      <c r="Y279" s="1919"/>
      <c r="Z279" s="1906"/>
      <c r="AA279" s="1163">
        <f t="shared" si="13"/>
        <v>44107</v>
      </c>
      <c r="AB279" s="21"/>
    </row>
    <row r="280" spans="1:28" x14ac:dyDescent="0.2">
      <c r="A280" s="1170">
        <f t="shared" si="12"/>
        <v>41186</v>
      </c>
      <c r="C280" s="1210"/>
      <c r="D280" s="45"/>
      <c r="E280" s="1211"/>
      <c r="F280" s="45"/>
      <c r="G280" s="1202"/>
      <c r="H280" s="45"/>
      <c r="I280" s="1203"/>
      <c r="J280" s="45"/>
      <c r="K280" s="1204"/>
      <c r="L280" s="45"/>
      <c r="M280" s="1205" t="s">
        <v>4862</v>
      </c>
      <c r="N280" s="45">
        <v>1</v>
      </c>
      <c r="O280" s="1206"/>
      <c r="P280" s="45"/>
      <c r="Q280" s="1207"/>
      <c r="R280" s="45"/>
      <c r="S280" s="1208"/>
      <c r="T280" s="45"/>
      <c r="U280" s="1209"/>
      <c r="V280" s="45"/>
      <c r="W280" s="606"/>
      <c r="X280" s="45"/>
      <c r="Y280" s="1919"/>
      <c r="Z280" s="1906"/>
      <c r="AA280" s="1163">
        <f t="shared" si="13"/>
        <v>44108</v>
      </c>
      <c r="AB280" s="21"/>
    </row>
    <row r="281" spans="1:28" x14ac:dyDescent="0.2">
      <c r="A281" s="1291">
        <f t="shared" si="12"/>
        <v>41187</v>
      </c>
      <c r="C281" s="1210"/>
      <c r="D281" s="45"/>
      <c r="E281" s="1211"/>
      <c r="F281" s="45"/>
      <c r="G281" s="1202"/>
      <c r="H281" s="45"/>
      <c r="I281" s="1203"/>
      <c r="J281" s="45"/>
      <c r="K281" s="1204" t="s">
        <v>5544</v>
      </c>
      <c r="L281" s="45">
        <v>1</v>
      </c>
      <c r="M281" s="1205"/>
      <c r="N281" s="45"/>
      <c r="O281" s="1206"/>
      <c r="P281" s="45"/>
      <c r="Q281" s="1207"/>
      <c r="R281" s="45"/>
      <c r="S281" s="1208"/>
      <c r="T281" s="45"/>
      <c r="U281" s="1209"/>
      <c r="V281" s="45"/>
      <c r="W281" s="606" t="s">
        <v>11009</v>
      </c>
      <c r="X281" s="45">
        <v>1</v>
      </c>
      <c r="Y281" s="1919"/>
      <c r="Z281" s="1906"/>
      <c r="AA281" s="1163">
        <f t="shared" si="13"/>
        <v>44109</v>
      </c>
      <c r="AB281" s="21"/>
    </row>
    <row r="282" spans="1:28" x14ac:dyDescent="0.2">
      <c r="A282" s="1177">
        <f t="shared" si="12"/>
        <v>41188</v>
      </c>
      <c r="C282" s="1210"/>
      <c r="D282" s="45"/>
      <c r="E282" s="1211"/>
      <c r="F282" s="45"/>
      <c r="G282" s="1202"/>
      <c r="H282" s="45"/>
      <c r="I282" s="1203" t="s">
        <v>11216</v>
      </c>
      <c r="J282" s="45">
        <v>1</v>
      </c>
      <c r="K282" s="1204"/>
      <c r="L282" s="45"/>
      <c r="M282" s="1205"/>
      <c r="N282" s="45"/>
      <c r="O282" s="1206"/>
      <c r="P282" s="45"/>
      <c r="Q282" s="1207"/>
      <c r="R282" s="45"/>
      <c r="S282" s="1208"/>
      <c r="T282" s="45"/>
      <c r="U282" s="1209" t="s">
        <v>5544</v>
      </c>
      <c r="V282" s="45">
        <v>1</v>
      </c>
      <c r="W282" s="606"/>
      <c r="X282" s="45"/>
      <c r="Y282" s="1919"/>
      <c r="Z282" s="1906"/>
      <c r="AA282" s="1163">
        <f t="shared" si="13"/>
        <v>44110</v>
      </c>
      <c r="AB282" s="21"/>
    </row>
    <row r="283" spans="1:28" x14ac:dyDescent="0.2">
      <c r="A283" s="1176">
        <f t="shared" si="12"/>
        <v>41189</v>
      </c>
      <c r="C283" s="1210"/>
      <c r="D283" s="45"/>
      <c r="E283" s="1211"/>
      <c r="F283" s="45"/>
      <c r="G283" s="1202"/>
      <c r="H283" s="45"/>
      <c r="I283" s="1203"/>
      <c r="J283" s="45"/>
      <c r="K283" s="1204"/>
      <c r="L283" s="45"/>
      <c r="M283" s="1205"/>
      <c r="N283" s="45"/>
      <c r="O283" s="1206"/>
      <c r="P283" s="45"/>
      <c r="Q283" s="1207"/>
      <c r="R283" s="45"/>
      <c r="S283" s="1208" t="s">
        <v>5544</v>
      </c>
      <c r="T283" s="45">
        <v>1</v>
      </c>
      <c r="U283" s="1209"/>
      <c r="V283" s="45"/>
      <c r="W283" s="606"/>
      <c r="X283" s="45"/>
      <c r="Y283" s="1919"/>
      <c r="Z283" s="1906"/>
      <c r="AA283" s="1163">
        <f t="shared" si="13"/>
        <v>44111</v>
      </c>
      <c r="AB283" s="21"/>
    </row>
    <row r="284" spans="1:28" x14ac:dyDescent="0.2">
      <c r="A284" s="1178">
        <f t="shared" si="12"/>
        <v>41190</v>
      </c>
      <c r="C284" s="1210"/>
      <c r="D284" s="45"/>
      <c r="E284" s="1211"/>
      <c r="F284" s="45"/>
      <c r="G284" s="1202"/>
      <c r="H284" s="45"/>
      <c r="I284" s="1203"/>
      <c r="J284" s="45"/>
      <c r="K284" s="1204"/>
      <c r="L284" s="45"/>
      <c r="M284" s="1205"/>
      <c r="N284" s="45"/>
      <c r="O284" s="1206"/>
      <c r="P284" s="45"/>
      <c r="Q284" s="1207" t="s">
        <v>2995</v>
      </c>
      <c r="R284" s="45">
        <v>1</v>
      </c>
      <c r="S284" s="1208"/>
      <c r="T284" s="45"/>
      <c r="U284" s="1209"/>
      <c r="V284" s="45"/>
      <c r="W284" s="606"/>
      <c r="X284" s="45"/>
      <c r="Y284" s="1919"/>
      <c r="Z284" s="1906"/>
      <c r="AA284" s="1163">
        <f t="shared" si="13"/>
        <v>44112</v>
      </c>
      <c r="AB284" s="21"/>
    </row>
    <row r="285" spans="1:28" x14ac:dyDescent="0.2">
      <c r="A285" s="522">
        <f t="shared" si="12"/>
        <v>41191</v>
      </c>
      <c r="B285" s="99">
        <v>2021</v>
      </c>
      <c r="C285" s="1210"/>
      <c r="D285" s="45"/>
      <c r="E285" s="1211"/>
      <c r="F285" s="45"/>
      <c r="G285" s="1202"/>
      <c r="H285" s="45"/>
      <c r="I285" s="1203"/>
      <c r="J285" s="45"/>
      <c r="K285" s="1204"/>
      <c r="L285" s="45"/>
      <c r="M285" s="1205"/>
      <c r="N285" s="45"/>
      <c r="O285" s="1206"/>
      <c r="P285" s="45"/>
      <c r="Q285" s="1207"/>
      <c r="R285" s="45"/>
      <c r="S285" s="1208"/>
      <c r="T285" s="45"/>
      <c r="U285" s="1209"/>
      <c r="V285" s="45"/>
      <c r="W285" s="606"/>
      <c r="X285" s="45"/>
      <c r="Y285" s="1919"/>
      <c r="Z285" s="1906"/>
      <c r="AA285" s="1163">
        <f t="shared" si="13"/>
        <v>44113</v>
      </c>
      <c r="AB285" s="21">
        <v>44478</v>
      </c>
    </row>
    <row r="286" spans="1:28" x14ac:dyDescent="0.2">
      <c r="A286" s="1175">
        <f t="shared" si="12"/>
        <v>41192</v>
      </c>
      <c r="C286" s="1210" t="s">
        <v>1122</v>
      </c>
      <c r="D286" s="45">
        <v>1</v>
      </c>
      <c r="E286" s="1211"/>
      <c r="F286" s="45"/>
      <c r="G286" s="1202"/>
      <c r="H286" s="45"/>
      <c r="I286" s="1203"/>
      <c r="J286" s="45"/>
      <c r="K286" s="1204"/>
      <c r="L286" s="45"/>
      <c r="M286" s="1205"/>
      <c r="N286" s="45"/>
      <c r="O286" s="1206" t="s">
        <v>1719</v>
      </c>
      <c r="P286" s="45">
        <v>1</v>
      </c>
      <c r="Q286" s="1207"/>
      <c r="R286" s="45"/>
      <c r="S286" s="1208"/>
      <c r="T286" s="45"/>
      <c r="U286" s="1209"/>
      <c r="V286" s="45"/>
      <c r="W286" s="606"/>
      <c r="X286" s="45"/>
      <c r="Y286" s="1919"/>
      <c r="Z286" s="1906"/>
      <c r="AA286" s="1163">
        <f t="shared" si="13"/>
        <v>44114</v>
      </c>
      <c r="AB286" s="21"/>
    </row>
    <row r="287" spans="1:28" x14ac:dyDescent="0.2">
      <c r="A287" s="1168">
        <f t="shared" si="12"/>
        <v>41193</v>
      </c>
      <c r="C287" s="1229" t="s">
        <v>11217</v>
      </c>
      <c r="D287" s="45"/>
      <c r="E287" s="1211"/>
      <c r="F287" s="45"/>
      <c r="G287" s="1202"/>
      <c r="H287" s="45"/>
      <c r="I287" s="1203"/>
      <c r="J287" s="45"/>
      <c r="K287" s="1204"/>
      <c r="L287" s="45"/>
      <c r="M287" s="1205" t="s">
        <v>5544</v>
      </c>
      <c r="N287" s="45">
        <v>1</v>
      </c>
      <c r="O287" s="1206"/>
      <c r="P287" s="45"/>
      <c r="Q287" s="1207"/>
      <c r="R287" s="45"/>
      <c r="S287" s="1208"/>
      <c r="T287" s="45"/>
      <c r="U287" s="1209"/>
      <c r="V287" s="45"/>
      <c r="W287" s="606"/>
      <c r="X287" s="45"/>
      <c r="Y287" s="1919"/>
      <c r="Z287" s="1906"/>
      <c r="AA287" s="1163">
        <f t="shared" si="13"/>
        <v>44115</v>
      </c>
      <c r="AB287" s="21"/>
    </row>
    <row r="288" spans="1:28" x14ac:dyDescent="0.2">
      <c r="A288" s="1173">
        <f t="shared" si="12"/>
        <v>41194</v>
      </c>
      <c r="C288" s="1210"/>
      <c r="D288" s="45"/>
      <c r="E288" s="1211"/>
      <c r="F288" s="45"/>
      <c r="G288" s="1202"/>
      <c r="H288" s="45"/>
      <c r="I288" s="1203"/>
      <c r="J288" s="45"/>
      <c r="K288" s="1204" t="s">
        <v>2827</v>
      </c>
      <c r="L288" s="45">
        <v>1</v>
      </c>
      <c r="M288" s="1205"/>
      <c r="N288" s="45"/>
      <c r="O288" s="1206"/>
      <c r="P288" s="45"/>
      <c r="Q288" s="1207"/>
      <c r="R288" s="45"/>
      <c r="S288" s="1208"/>
      <c r="T288" s="45"/>
      <c r="U288" s="1209"/>
      <c r="V288" s="45"/>
      <c r="W288" s="606" t="s">
        <v>5453</v>
      </c>
      <c r="X288" s="45">
        <v>1</v>
      </c>
      <c r="Y288" s="1919"/>
      <c r="Z288" s="1906"/>
      <c r="AA288" s="1163">
        <f t="shared" si="13"/>
        <v>44116</v>
      </c>
      <c r="AB288" s="21"/>
    </row>
    <row r="289" spans="1:28" x14ac:dyDescent="0.2">
      <c r="A289" s="1175">
        <f t="shared" si="12"/>
        <v>41195</v>
      </c>
      <c r="C289" s="1210"/>
      <c r="D289" s="45"/>
      <c r="E289" s="1211"/>
      <c r="F289" s="45"/>
      <c r="G289" s="1202"/>
      <c r="H289" s="45"/>
      <c r="I289" s="1203"/>
      <c r="J289" s="45"/>
      <c r="K289" s="1204"/>
      <c r="L289" s="45"/>
      <c r="M289" s="1205"/>
      <c r="N289" s="45"/>
      <c r="O289" s="1206"/>
      <c r="P289" s="45"/>
      <c r="Q289" s="1207"/>
      <c r="R289" s="45"/>
      <c r="S289" s="1208"/>
      <c r="T289" s="45"/>
      <c r="U289" s="1209" t="s">
        <v>9620</v>
      </c>
      <c r="V289" s="45">
        <v>1</v>
      </c>
      <c r="W289" s="606"/>
      <c r="X289" s="45"/>
      <c r="Y289" s="1919"/>
      <c r="Z289" s="1906"/>
      <c r="AA289" s="1163">
        <f t="shared" si="13"/>
        <v>44117</v>
      </c>
      <c r="AB289" s="21"/>
    </row>
    <row r="290" spans="1:28" x14ac:dyDescent="0.2">
      <c r="A290" s="1176">
        <f t="shared" si="12"/>
        <v>41196</v>
      </c>
      <c r="C290" s="1210"/>
      <c r="D290" s="45"/>
      <c r="E290" s="1211"/>
      <c r="F290" s="45"/>
      <c r="G290" s="1202"/>
      <c r="H290" s="45"/>
      <c r="I290" s="1203"/>
      <c r="J290" s="45"/>
      <c r="K290" s="1204"/>
      <c r="L290" s="45"/>
      <c r="M290" s="1205"/>
      <c r="N290" s="45"/>
      <c r="O290" s="1206"/>
      <c r="P290" s="45"/>
      <c r="Q290" s="1207"/>
      <c r="R290" s="45"/>
      <c r="S290" s="1208" t="s">
        <v>8216</v>
      </c>
      <c r="T290" s="45">
        <v>1</v>
      </c>
      <c r="U290" s="1209"/>
      <c r="V290" s="45"/>
      <c r="W290" s="606"/>
      <c r="X290" s="45"/>
      <c r="Y290" s="1919"/>
      <c r="Z290" s="1906"/>
      <c r="AA290" s="1163">
        <f t="shared" si="13"/>
        <v>44118</v>
      </c>
      <c r="AB290" s="21"/>
    </row>
    <row r="291" spans="1:28" x14ac:dyDescent="0.2">
      <c r="A291" s="1178">
        <f t="shared" si="12"/>
        <v>41197</v>
      </c>
      <c r="C291" s="1210"/>
      <c r="D291" s="45"/>
      <c r="E291" s="1211"/>
      <c r="F291" s="45"/>
      <c r="G291" s="1202"/>
      <c r="H291" s="45"/>
      <c r="I291" s="1203"/>
      <c r="J291" s="45"/>
      <c r="K291" s="1204"/>
      <c r="L291" s="45"/>
      <c r="M291" s="1205"/>
      <c r="N291" s="45"/>
      <c r="O291" s="1206"/>
      <c r="P291" s="45"/>
      <c r="Q291" s="1207" t="s">
        <v>2048</v>
      </c>
      <c r="R291" s="45">
        <v>1</v>
      </c>
      <c r="S291" s="1208"/>
      <c r="T291" s="45"/>
      <c r="U291" s="1209"/>
      <c r="V291" s="45"/>
      <c r="W291" s="606"/>
      <c r="X291" s="45"/>
      <c r="Y291" s="1919"/>
      <c r="Z291" s="1906"/>
      <c r="AA291" s="1163">
        <f t="shared" si="13"/>
        <v>44119</v>
      </c>
      <c r="AB291" s="21"/>
    </row>
    <row r="292" spans="1:28" x14ac:dyDescent="0.2">
      <c r="A292" s="1172">
        <f t="shared" si="12"/>
        <v>41198</v>
      </c>
      <c r="C292" s="1210"/>
      <c r="D292" s="45"/>
      <c r="E292" s="1211" t="s">
        <v>1122</v>
      </c>
      <c r="F292" s="45">
        <v>1</v>
      </c>
      <c r="G292" s="1202"/>
      <c r="H292" s="45"/>
      <c r="I292" s="1203"/>
      <c r="J292" s="45"/>
      <c r="K292" s="1204"/>
      <c r="L292" s="45"/>
      <c r="M292" s="1205"/>
      <c r="N292" s="45"/>
      <c r="O292" s="1206"/>
      <c r="P292" s="45"/>
      <c r="Q292" s="1207"/>
      <c r="R292" s="45"/>
      <c r="S292" s="1208"/>
      <c r="T292" s="45"/>
      <c r="U292" s="1209"/>
      <c r="V292" s="45"/>
      <c r="W292" s="606"/>
      <c r="X292" s="45"/>
      <c r="Y292" s="1919"/>
      <c r="Z292" s="1906"/>
      <c r="AA292" s="1163">
        <f t="shared" si="13"/>
        <v>44120</v>
      </c>
      <c r="AB292" s="21"/>
    </row>
    <row r="293" spans="1:28" x14ac:dyDescent="0.2">
      <c r="A293" s="1167">
        <f t="shared" si="12"/>
        <v>41199</v>
      </c>
      <c r="C293" s="1210" t="s">
        <v>1122</v>
      </c>
      <c r="D293" s="45">
        <v>1</v>
      </c>
      <c r="E293" s="1211"/>
      <c r="F293" s="45"/>
      <c r="G293" s="1202"/>
      <c r="H293" s="45"/>
      <c r="I293" s="1203"/>
      <c r="J293" s="45"/>
      <c r="K293" s="1204"/>
      <c r="L293" s="45"/>
      <c r="M293" s="1205"/>
      <c r="N293" s="45"/>
      <c r="O293" s="1206" t="s">
        <v>2048</v>
      </c>
      <c r="P293" s="45">
        <v>1</v>
      </c>
      <c r="Q293" s="1207"/>
      <c r="R293" s="45"/>
      <c r="S293" s="1208"/>
      <c r="T293" s="45"/>
      <c r="U293" s="1209"/>
      <c r="V293" s="45"/>
      <c r="W293" s="606"/>
      <c r="X293" s="45"/>
      <c r="Y293" s="1919"/>
      <c r="Z293" s="1906"/>
      <c r="AA293" s="1163">
        <f t="shared" si="13"/>
        <v>44121</v>
      </c>
      <c r="AB293" s="21"/>
    </row>
    <row r="294" spans="1:28" x14ac:dyDescent="0.2">
      <c r="A294" s="1170">
        <f t="shared" si="12"/>
        <v>41200</v>
      </c>
      <c r="C294" s="1210"/>
      <c r="D294" s="45"/>
      <c r="E294" s="1211"/>
      <c r="F294" s="45"/>
      <c r="G294" s="1202"/>
      <c r="H294" s="45"/>
      <c r="I294" s="1203"/>
      <c r="J294" s="45"/>
      <c r="K294" s="1204"/>
      <c r="L294" s="45"/>
      <c r="M294" s="1205" t="s">
        <v>2048</v>
      </c>
      <c r="N294" s="45">
        <v>1</v>
      </c>
      <c r="O294" s="1206"/>
      <c r="P294" s="45"/>
      <c r="Q294" s="1207"/>
      <c r="R294" s="45"/>
      <c r="S294" s="1208"/>
      <c r="T294" s="45"/>
      <c r="U294" s="1209"/>
      <c r="V294" s="45"/>
      <c r="W294" s="606"/>
      <c r="X294" s="45"/>
      <c r="Y294" s="1919"/>
      <c r="Z294" s="1906"/>
      <c r="AA294" s="1163">
        <f t="shared" si="13"/>
        <v>44122</v>
      </c>
      <c r="AB294" s="21"/>
    </row>
    <row r="295" spans="1:28" x14ac:dyDescent="0.2">
      <c r="A295" s="1173">
        <f t="shared" si="12"/>
        <v>41201</v>
      </c>
      <c r="C295" s="1210"/>
      <c r="D295" s="45"/>
      <c r="E295" s="1211"/>
      <c r="F295" s="45"/>
      <c r="G295" s="1202"/>
      <c r="H295" s="45"/>
      <c r="I295" s="1203"/>
      <c r="J295" s="45"/>
      <c r="K295" s="1204" t="s">
        <v>2048</v>
      </c>
      <c r="L295" s="45">
        <v>1</v>
      </c>
      <c r="M295" s="1205"/>
      <c r="N295" s="45"/>
      <c r="O295" s="1206"/>
      <c r="P295" s="45"/>
      <c r="Q295" s="1207"/>
      <c r="R295" s="45"/>
      <c r="S295" s="1208"/>
      <c r="T295" s="45"/>
      <c r="U295" s="1209"/>
      <c r="V295" s="45"/>
      <c r="W295" s="1716" t="s">
        <v>15836</v>
      </c>
      <c r="X295" s="45"/>
      <c r="Y295" s="1919"/>
      <c r="Z295" s="1906"/>
      <c r="AA295" s="1163">
        <f t="shared" si="13"/>
        <v>44123</v>
      </c>
      <c r="AB295" s="21"/>
    </row>
    <row r="296" spans="1:28" x14ac:dyDescent="0.2">
      <c r="A296" s="1177">
        <f t="shared" si="12"/>
        <v>41202</v>
      </c>
      <c r="C296" s="1210"/>
      <c r="D296" s="45"/>
      <c r="E296" s="1211"/>
      <c r="F296" s="45"/>
      <c r="G296" s="1202"/>
      <c r="H296" s="45"/>
      <c r="I296" s="1203"/>
      <c r="J296" s="45"/>
      <c r="K296" s="1204"/>
      <c r="L296" s="45"/>
      <c r="M296" s="1205"/>
      <c r="N296" s="45"/>
      <c r="O296" s="1206"/>
      <c r="P296" s="45"/>
      <c r="Q296" s="1207"/>
      <c r="R296" s="45"/>
      <c r="S296" s="1208"/>
      <c r="T296" s="45"/>
      <c r="U296" s="1209" t="s">
        <v>11152</v>
      </c>
      <c r="V296" s="45">
        <v>1</v>
      </c>
      <c r="W296" s="606"/>
      <c r="X296" s="45"/>
      <c r="Y296" s="1919"/>
      <c r="Z296" s="1906"/>
      <c r="AA296" s="1163">
        <f t="shared" si="13"/>
        <v>44124</v>
      </c>
      <c r="AB296" s="21"/>
    </row>
    <row r="297" spans="1:28" x14ac:dyDescent="0.2">
      <c r="A297" s="1176">
        <f t="shared" si="12"/>
        <v>41203</v>
      </c>
      <c r="C297" s="1210"/>
      <c r="D297" s="45"/>
      <c r="E297" s="1211"/>
      <c r="F297" s="45"/>
      <c r="G297" s="1202"/>
      <c r="H297" s="45"/>
      <c r="I297" s="1203"/>
      <c r="J297" s="45"/>
      <c r="K297" s="1204"/>
      <c r="L297" s="45"/>
      <c r="M297" s="1205"/>
      <c r="N297" s="45"/>
      <c r="O297" s="1206"/>
      <c r="P297" s="45"/>
      <c r="Q297" s="1207"/>
      <c r="R297" s="45"/>
      <c r="S297" s="1208" t="s">
        <v>1003</v>
      </c>
      <c r="T297" s="45">
        <v>1</v>
      </c>
      <c r="U297" s="1209"/>
      <c r="V297" s="45"/>
      <c r="W297" s="606"/>
      <c r="X297" s="45"/>
      <c r="Y297" s="1919"/>
      <c r="Z297" s="1906"/>
      <c r="AA297" s="1163">
        <f t="shared" si="13"/>
        <v>44125</v>
      </c>
      <c r="AB297" s="21"/>
    </row>
    <row r="298" spans="1:28" x14ac:dyDescent="0.2">
      <c r="A298" s="1169">
        <f t="shared" si="12"/>
        <v>41204</v>
      </c>
      <c r="C298" s="1210"/>
      <c r="D298" s="45"/>
      <c r="E298" s="1211"/>
      <c r="F298" s="45"/>
      <c r="G298" s="1202" t="s">
        <v>8244</v>
      </c>
      <c r="H298" s="45">
        <v>1</v>
      </c>
      <c r="I298" s="1203"/>
      <c r="J298" s="45"/>
      <c r="K298" s="1204"/>
      <c r="L298" s="45"/>
      <c r="M298" s="1205"/>
      <c r="N298" s="45"/>
      <c r="O298" s="1206"/>
      <c r="P298" s="45"/>
      <c r="Q298" s="1207" t="s">
        <v>74</v>
      </c>
      <c r="R298" s="45">
        <v>1</v>
      </c>
      <c r="S298" s="1208"/>
      <c r="T298" s="45"/>
      <c r="U298" s="1209"/>
      <c r="V298" s="45"/>
      <c r="W298" s="606"/>
      <c r="X298" s="45"/>
      <c r="Y298" s="1919"/>
      <c r="Z298" s="1906"/>
      <c r="AA298" s="1163">
        <f t="shared" si="13"/>
        <v>44126</v>
      </c>
      <c r="AB298" s="21"/>
    </row>
    <row r="299" spans="1:28" x14ac:dyDescent="0.2">
      <c r="A299" s="522">
        <f t="shared" si="12"/>
        <v>41205</v>
      </c>
      <c r="B299" s="99">
        <v>2021</v>
      </c>
      <c r="C299" s="1210"/>
      <c r="D299" s="45"/>
      <c r="E299" s="1211"/>
      <c r="F299" s="45"/>
      <c r="G299" s="1202"/>
      <c r="H299" s="45"/>
      <c r="I299" s="1203"/>
      <c r="J299" s="45"/>
      <c r="K299" s="1204"/>
      <c r="L299" s="45"/>
      <c r="M299" s="1205"/>
      <c r="N299" s="45"/>
      <c r="O299" s="1206"/>
      <c r="P299" s="45"/>
      <c r="Q299" s="1207"/>
      <c r="R299" s="45"/>
      <c r="S299" s="1208"/>
      <c r="T299" s="45"/>
      <c r="U299" s="1209"/>
      <c r="V299" s="45"/>
      <c r="W299" s="606"/>
      <c r="X299" s="45"/>
      <c r="Y299" s="1919"/>
      <c r="Z299" s="1906"/>
      <c r="AA299" s="1163">
        <f t="shared" si="13"/>
        <v>44127</v>
      </c>
      <c r="AB299" s="21">
        <v>44492</v>
      </c>
    </row>
    <row r="300" spans="1:28" x14ac:dyDescent="0.2">
      <c r="A300" s="1177">
        <f t="shared" si="12"/>
        <v>41206</v>
      </c>
      <c r="C300" s="1210" t="s">
        <v>1122</v>
      </c>
      <c r="D300" s="45">
        <v>1</v>
      </c>
      <c r="E300" s="1211"/>
      <c r="F300" s="45"/>
      <c r="G300" s="1202"/>
      <c r="H300" s="45"/>
      <c r="I300" s="1203"/>
      <c r="J300" s="45"/>
      <c r="K300" s="1204"/>
      <c r="L300" s="45"/>
      <c r="M300" s="1205"/>
      <c r="N300" s="45"/>
      <c r="O300" s="1206"/>
      <c r="P300" s="45"/>
      <c r="Q300" s="1207"/>
      <c r="R300" s="45"/>
      <c r="S300" s="1208"/>
      <c r="T300" s="45"/>
      <c r="U300" s="1209"/>
      <c r="V300" s="45"/>
      <c r="W300" s="1213"/>
      <c r="X300" s="45"/>
      <c r="Y300" s="1919"/>
      <c r="Z300" s="1906"/>
      <c r="AA300" s="1163">
        <f t="shared" si="13"/>
        <v>44128</v>
      </c>
      <c r="AB300" s="21"/>
    </row>
    <row r="301" spans="1:28" x14ac:dyDescent="0.2">
      <c r="A301" s="1170">
        <f t="shared" si="12"/>
        <v>41207</v>
      </c>
      <c r="C301" s="1210"/>
      <c r="D301" s="45"/>
      <c r="E301" s="1211"/>
      <c r="F301" s="45"/>
      <c r="G301" s="1202"/>
      <c r="H301" s="45"/>
      <c r="I301" s="1203"/>
      <c r="J301" s="45"/>
      <c r="K301" s="1204"/>
      <c r="L301" s="45"/>
      <c r="M301" s="1205" t="s">
        <v>5544</v>
      </c>
      <c r="N301" s="45">
        <v>1</v>
      </c>
      <c r="O301" s="1206"/>
      <c r="P301" s="45"/>
      <c r="Q301" s="1207"/>
      <c r="R301" s="45"/>
      <c r="S301" s="1208"/>
      <c r="T301" s="45"/>
      <c r="U301" s="1209"/>
      <c r="V301" s="45"/>
      <c r="W301" s="1213" t="s">
        <v>15837</v>
      </c>
      <c r="X301" s="45"/>
      <c r="Y301" s="1919"/>
      <c r="Z301" s="1906"/>
      <c r="AA301" s="1163">
        <f t="shared" si="13"/>
        <v>44129</v>
      </c>
      <c r="AB301" s="21"/>
    </row>
    <row r="302" spans="1:28" x14ac:dyDescent="0.2">
      <c r="A302" s="1173">
        <f t="shared" si="12"/>
        <v>41208</v>
      </c>
      <c r="C302" s="1210"/>
      <c r="D302" s="45"/>
      <c r="E302" s="1211"/>
      <c r="F302" s="45"/>
      <c r="G302" s="1202"/>
      <c r="H302" s="45"/>
      <c r="I302" s="1203"/>
      <c r="J302" s="45"/>
      <c r="K302" s="1204" t="s">
        <v>5544</v>
      </c>
      <c r="L302" s="45">
        <v>1</v>
      </c>
      <c r="M302" s="1205"/>
      <c r="N302" s="45"/>
      <c r="O302" s="1206"/>
      <c r="P302" s="45"/>
      <c r="Q302" s="1207"/>
      <c r="R302" s="45"/>
      <c r="S302" s="1208"/>
      <c r="T302" s="45"/>
      <c r="U302" s="1209"/>
      <c r="V302" s="45"/>
      <c r="W302" s="1213" t="s">
        <v>15838</v>
      </c>
      <c r="X302" s="45"/>
      <c r="Y302" s="1919"/>
      <c r="Z302" s="1906"/>
      <c r="AA302" s="1163">
        <f t="shared" si="13"/>
        <v>44130</v>
      </c>
      <c r="AB302" s="21"/>
    </row>
    <row r="303" spans="1:28" x14ac:dyDescent="0.2">
      <c r="A303" s="1177">
        <f t="shared" si="12"/>
        <v>41209</v>
      </c>
      <c r="C303" s="1210"/>
      <c r="D303" s="45"/>
      <c r="E303" s="1211"/>
      <c r="F303" s="45"/>
      <c r="G303" s="1202"/>
      <c r="H303" s="45"/>
      <c r="I303" s="1203" t="s">
        <v>5544</v>
      </c>
      <c r="J303" s="45">
        <v>1</v>
      </c>
      <c r="K303" s="1204"/>
      <c r="L303" s="45"/>
      <c r="M303" s="1205"/>
      <c r="N303" s="45"/>
      <c r="O303" s="1206"/>
      <c r="P303" s="45"/>
      <c r="Q303" s="1207"/>
      <c r="R303" s="45"/>
      <c r="S303" s="1208"/>
      <c r="T303" s="45"/>
      <c r="U303" s="1209" t="s">
        <v>5544</v>
      </c>
      <c r="V303" s="45">
        <v>1</v>
      </c>
      <c r="W303" s="1213"/>
      <c r="X303" s="45"/>
      <c r="Y303" s="1919"/>
      <c r="Z303" s="1906"/>
      <c r="AA303" s="1163">
        <f t="shared" si="13"/>
        <v>44131</v>
      </c>
      <c r="AB303" s="21"/>
    </row>
    <row r="304" spans="1:28" x14ac:dyDescent="0.2">
      <c r="A304" s="1165">
        <f t="shared" si="12"/>
        <v>41210</v>
      </c>
      <c r="C304" s="1210"/>
      <c r="D304" s="45"/>
      <c r="E304" s="1211"/>
      <c r="F304" s="45"/>
      <c r="G304" s="1202"/>
      <c r="H304" s="45"/>
      <c r="I304" s="1203"/>
      <c r="J304" s="45"/>
      <c r="K304" s="1204"/>
      <c r="L304" s="45"/>
      <c r="M304" s="1205"/>
      <c r="N304" s="45"/>
      <c r="O304" s="1206"/>
      <c r="P304" s="45"/>
      <c r="Q304" s="1207"/>
      <c r="R304" s="45"/>
      <c r="S304" s="1208" t="s">
        <v>5544</v>
      </c>
      <c r="T304" s="45">
        <v>1</v>
      </c>
      <c r="U304" s="1209"/>
      <c r="V304" s="45"/>
      <c r="W304" s="1213" t="s">
        <v>11200</v>
      </c>
      <c r="X304" s="45"/>
      <c r="Y304" s="1919"/>
      <c r="Z304" s="1906"/>
      <c r="AA304" s="1163">
        <f t="shared" si="13"/>
        <v>44132</v>
      </c>
      <c r="AB304" s="21"/>
    </row>
    <row r="305" spans="1:28" x14ac:dyDescent="0.2">
      <c r="A305" s="1169">
        <f t="shared" si="12"/>
        <v>41211</v>
      </c>
      <c r="C305" s="1210"/>
      <c r="D305" s="45"/>
      <c r="E305" s="1211"/>
      <c r="F305" s="45"/>
      <c r="G305" s="1202" t="s">
        <v>5544</v>
      </c>
      <c r="H305" s="45">
        <v>1</v>
      </c>
      <c r="I305" s="1203"/>
      <c r="J305" s="45"/>
      <c r="K305" s="1204"/>
      <c r="L305" s="45"/>
      <c r="M305" s="1205"/>
      <c r="N305" s="45"/>
      <c r="O305" s="1206"/>
      <c r="P305" s="45"/>
      <c r="Q305" s="1207" t="s">
        <v>5544</v>
      </c>
      <c r="R305" s="45">
        <v>1</v>
      </c>
      <c r="S305" s="1208"/>
      <c r="T305" s="45"/>
      <c r="U305" s="1209"/>
      <c r="V305" s="45"/>
      <c r="W305" s="1213" t="s">
        <v>11201</v>
      </c>
      <c r="X305" s="45"/>
      <c r="Y305" s="1919"/>
      <c r="Z305" s="1906"/>
      <c r="AA305" s="1163">
        <f t="shared" si="13"/>
        <v>44133</v>
      </c>
      <c r="AB305" s="21"/>
    </row>
    <row r="306" spans="1:28" x14ac:dyDescent="0.2">
      <c r="A306" s="522">
        <f t="shared" si="12"/>
        <v>41212</v>
      </c>
      <c r="B306" s="99">
        <v>2021</v>
      </c>
      <c r="C306" s="1210"/>
      <c r="D306" s="45"/>
      <c r="E306" s="1211"/>
      <c r="F306" s="45"/>
      <c r="G306" s="1231" t="s">
        <v>11219</v>
      </c>
      <c r="H306" s="45"/>
      <c r="I306" s="1203"/>
      <c r="J306" s="45"/>
      <c r="K306" s="1204"/>
      <c r="L306" s="45"/>
      <c r="M306" s="1205"/>
      <c r="N306" s="45"/>
      <c r="O306" s="1206"/>
      <c r="P306" s="45"/>
      <c r="Q306" s="1207"/>
      <c r="R306" s="45"/>
      <c r="S306" s="1208"/>
      <c r="T306" s="45"/>
      <c r="U306" s="1209"/>
      <c r="V306" s="45"/>
      <c r="W306" s="1213" t="s">
        <v>11202</v>
      </c>
      <c r="X306" s="45"/>
      <c r="Y306" s="1919"/>
      <c r="Z306" s="1906"/>
      <c r="AA306" s="1163">
        <f t="shared" si="13"/>
        <v>44134</v>
      </c>
      <c r="AB306" s="21">
        <v>44499</v>
      </c>
    </row>
    <row r="307" spans="1:28" x14ac:dyDescent="0.2">
      <c r="A307" s="1171">
        <f t="shared" si="12"/>
        <v>41213</v>
      </c>
      <c r="C307" s="1210" t="s">
        <v>1122</v>
      </c>
      <c r="D307" s="45">
        <v>1</v>
      </c>
      <c r="E307" s="1211"/>
      <c r="F307" s="45"/>
      <c r="G307" s="1202"/>
      <c r="H307" s="45"/>
      <c r="I307" s="1203"/>
      <c r="J307" s="45"/>
      <c r="K307" s="1204"/>
      <c r="L307" s="45"/>
      <c r="M307" s="1205"/>
      <c r="N307" s="45"/>
      <c r="O307" s="1206" t="s">
        <v>5544</v>
      </c>
      <c r="P307" s="45">
        <v>1</v>
      </c>
      <c r="Q307" s="1207"/>
      <c r="R307" s="45"/>
      <c r="S307" s="1208"/>
      <c r="T307" s="45"/>
      <c r="U307" s="1209"/>
      <c r="V307" s="45"/>
      <c r="W307" s="1213" t="s">
        <v>11203</v>
      </c>
      <c r="X307" s="45"/>
      <c r="Y307" s="1919"/>
      <c r="Z307" s="1906"/>
      <c r="AA307" s="1163">
        <f t="shared" si="13"/>
        <v>44135</v>
      </c>
      <c r="AB307" s="21"/>
    </row>
    <row r="308" spans="1:28" x14ac:dyDescent="0.2">
      <c r="A308" s="1170">
        <f t="shared" si="12"/>
        <v>41214</v>
      </c>
      <c r="C308" s="1210"/>
      <c r="D308" s="45"/>
      <c r="E308" s="1211"/>
      <c r="F308" s="45"/>
      <c r="G308" s="1202"/>
      <c r="H308" s="45"/>
      <c r="I308" s="1203"/>
      <c r="J308" s="45"/>
      <c r="K308" s="1204"/>
      <c r="L308" s="45"/>
      <c r="M308" s="1205" t="s">
        <v>5544</v>
      </c>
      <c r="N308" s="45">
        <v>1</v>
      </c>
      <c r="O308" s="1206"/>
      <c r="P308" s="45"/>
      <c r="Q308" s="1207"/>
      <c r="R308" s="45"/>
      <c r="S308" s="1208"/>
      <c r="T308" s="45"/>
      <c r="U308" s="1209"/>
      <c r="V308" s="45"/>
      <c r="W308" s="1213" t="s">
        <v>11204</v>
      </c>
      <c r="X308" s="45"/>
      <c r="Y308" s="1919"/>
      <c r="Z308" s="1906"/>
      <c r="AA308" s="1163">
        <f t="shared" si="13"/>
        <v>44136</v>
      </c>
      <c r="AB308" s="21"/>
    </row>
    <row r="309" spans="1:28" x14ac:dyDescent="0.2">
      <c r="A309" s="1173">
        <f t="shared" si="12"/>
        <v>41215</v>
      </c>
      <c r="C309" s="1210"/>
      <c r="D309" s="45"/>
      <c r="E309" s="1211"/>
      <c r="F309" s="45"/>
      <c r="G309" s="1202"/>
      <c r="H309" s="45"/>
      <c r="I309" s="1203"/>
      <c r="J309" s="45"/>
      <c r="K309" s="1204" t="s">
        <v>5544</v>
      </c>
      <c r="L309" s="45">
        <v>1</v>
      </c>
      <c r="M309" s="1205"/>
      <c r="N309" s="45"/>
      <c r="O309" s="1206"/>
      <c r="P309" s="45"/>
      <c r="Q309" s="1207"/>
      <c r="R309" s="45"/>
      <c r="S309" s="1208"/>
      <c r="T309" s="45"/>
      <c r="U309" s="1209"/>
      <c r="V309" s="45"/>
      <c r="W309" s="1213" t="s">
        <v>10939</v>
      </c>
      <c r="X309" s="45"/>
      <c r="Y309" s="1919"/>
      <c r="Z309" s="1906"/>
      <c r="AA309" s="1163">
        <f t="shared" si="13"/>
        <v>44137</v>
      </c>
      <c r="AB309" s="21"/>
    </row>
    <row r="310" spans="1:28" x14ac:dyDescent="0.2">
      <c r="A310" s="522">
        <f t="shared" si="12"/>
        <v>41216</v>
      </c>
      <c r="B310" s="173">
        <v>2029</v>
      </c>
      <c r="C310" s="1210"/>
      <c r="D310" s="45"/>
      <c r="E310" s="1211"/>
      <c r="F310" s="45"/>
      <c r="G310" s="1202"/>
      <c r="H310" s="45"/>
      <c r="I310" s="1203"/>
      <c r="J310" s="45"/>
      <c r="K310" s="1204"/>
      <c r="L310" s="45"/>
      <c r="M310" s="1205"/>
      <c r="N310" s="45"/>
      <c r="O310" s="1206"/>
      <c r="P310" s="45"/>
      <c r="Q310" s="1207"/>
      <c r="R310" s="45"/>
      <c r="S310" s="1208"/>
      <c r="T310" s="45"/>
      <c r="U310" s="1242"/>
      <c r="V310" s="45"/>
      <c r="W310" s="1213"/>
      <c r="X310" s="45"/>
      <c r="Y310" s="1919"/>
      <c r="Z310" s="1906"/>
      <c r="AA310" s="1163">
        <f t="shared" si="13"/>
        <v>44138</v>
      </c>
      <c r="AB310" s="21">
        <v>47425</v>
      </c>
    </row>
    <row r="311" spans="1:28" x14ac:dyDescent="0.2">
      <c r="A311" s="1176">
        <f t="shared" si="12"/>
        <v>41217</v>
      </c>
      <c r="C311" s="1210"/>
      <c r="D311" s="45"/>
      <c r="E311" s="1211"/>
      <c r="F311" s="45"/>
      <c r="G311" s="1202"/>
      <c r="H311" s="45"/>
      <c r="I311" s="1203"/>
      <c r="J311" s="45"/>
      <c r="K311" s="1204"/>
      <c r="L311" s="45"/>
      <c r="M311" s="1205"/>
      <c r="N311" s="45"/>
      <c r="O311" s="1206"/>
      <c r="P311" s="45"/>
      <c r="Q311" s="1207"/>
      <c r="R311" s="45"/>
      <c r="S311" s="1208" t="s">
        <v>5544</v>
      </c>
      <c r="T311" s="45">
        <v>1</v>
      </c>
      <c r="U311" s="1209"/>
      <c r="V311" s="45"/>
      <c r="W311" s="1213" t="s">
        <v>11204</v>
      </c>
      <c r="X311" s="45"/>
      <c r="Y311" s="1919"/>
      <c r="Z311" s="1906"/>
      <c r="AA311" s="1163">
        <f t="shared" si="13"/>
        <v>44139</v>
      </c>
      <c r="AB311" s="21"/>
    </row>
    <row r="312" spans="1:28" x14ac:dyDescent="0.2">
      <c r="A312" s="1169">
        <f t="shared" si="12"/>
        <v>41218</v>
      </c>
      <c r="C312" s="1210"/>
      <c r="D312" s="45"/>
      <c r="E312" s="1211"/>
      <c r="F312" s="45"/>
      <c r="G312" s="1202" t="s">
        <v>5544</v>
      </c>
      <c r="H312" s="45">
        <v>1</v>
      </c>
      <c r="I312" s="1203"/>
      <c r="J312" s="45"/>
      <c r="K312" s="1204"/>
      <c r="L312" s="45"/>
      <c r="M312" s="1205"/>
      <c r="N312" s="45"/>
      <c r="O312" s="1206"/>
      <c r="P312" s="45"/>
      <c r="Q312" s="1207" t="s">
        <v>1982</v>
      </c>
      <c r="R312" s="45">
        <v>1</v>
      </c>
      <c r="S312" s="1208"/>
      <c r="T312" s="45"/>
      <c r="U312" s="1209"/>
      <c r="V312" s="45"/>
      <c r="W312" s="1213" t="s">
        <v>11210</v>
      </c>
      <c r="X312" s="45"/>
      <c r="Y312" s="1919"/>
      <c r="Z312" s="1906"/>
      <c r="AA312" s="1163">
        <f t="shared" si="13"/>
        <v>44140</v>
      </c>
      <c r="AB312" s="21"/>
    </row>
    <row r="313" spans="1:28" x14ac:dyDescent="0.2">
      <c r="A313" s="522">
        <f t="shared" si="12"/>
        <v>41219</v>
      </c>
      <c r="B313" s="99">
        <v>2021</v>
      </c>
      <c r="C313" s="1210"/>
      <c r="D313" s="45"/>
      <c r="E313" s="1211"/>
      <c r="F313" s="45"/>
      <c r="G313" s="1202"/>
      <c r="H313" s="45"/>
      <c r="I313" s="1203"/>
      <c r="J313" s="45"/>
      <c r="K313" s="1204"/>
      <c r="L313" s="45"/>
      <c r="M313" s="1205"/>
      <c r="N313" s="45"/>
      <c r="O313" s="1206"/>
      <c r="P313" s="45"/>
      <c r="Q313" s="1207"/>
      <c r="R313" s="45"/>
      <c r="S313" s="1208"/>
      <c r="T313" s="45"/>
      <c r="U313" s="1209"/>
      <c r="V313" s="45"/>
      <c r="W313" s="1213" t="s">
        <v>11207</v>
      </c>
      <c r="X313" s="45"/>
      <c r="Y313" s="1919"/>
      <c r="Z313" s="1906"/>
      <c r="AA313" s="1163">
        <f t="shared" si="13"/>
        <v>44141</v>
      </c>
      <c r="AB313" s="21">
        <v>44506</v>
      </c>
    </row>
    <row r="314" spans="1:28" x14ac:dyDescent="0.2">
      <c r="A314" s="1171">
        <f t="shared" si="12"/>
        <v>41220</v>
      </c>
      <c r="C314" s="1210" t="s">
        <v>1122</v>
      </c>
      <c r="D314" s="45">
        <v>1</v>
      </c>
      <c r="E314" s="1211"/>
      <c r="F314" s="45"/>
      <c r="G314" s="1202"/>
      <c r="H314" s="45"/>
      <c r="I314" s="1203"/>
      <c r="J314" s="45"/>
      <c r="K314" s="1204"/>
      <c r="L314" s="45"/>
      <c r="M314" s="1205"/>
      <c r="N314" s="45"/>
      <c r="O314" s="1206" t="s">
        <v>5821</v>
      </c>
      <c r="P314" s="45">
        <v>1</v>
      </c>
      <c r="Q314" s="1207"/>
      <c r="R314" s="45"/>
      <c r="S314" s="1208"/>
      <c r="T314" s="45"/>
      <c r="U314" s="1209"/>
      <c r="V314" s="45"/>
      <c r="W314" s="1213" t="s">
        <v>11203</v>
      </c>
      <c r="X314" s="45"/>
      <c r="Y314" s="1919"/>
      <c r="Z314" s="1906"/>
      <c r="AA314" s="1163">
        <f t="shared" si="13"/>
        <v>44142</v>
      </c>
      <c r="AB314" s="21"/>
    </row>
    <row r="315" spans="1:28" x14ac:dyDescent="0.2">
      <c r="A315" s="1170">
        <f t="shared" si="12"/>
        <v>41221</v>
      </c>
      <c r="C315" s="1210"/>
      <c r="D315" s="45"/>
      <c r="E315" s="1211"/>
      <c r="F315" s="45"/>
      <c r="G315" s="1202"/>
      <c r="H315" s="45"/>
      <c r="I315" s="1203"/>
      <c r="J315" s="45"/>
      <c r="K315" s="1204"/>
      <c r="L315" s="45"/>
      <c r="M315" s="1205" t="s">
        <v>1405</v>
      </c>
      <c r="N315" s="45">
        <v>1</v>
      </c>
      <c r="O315" s="1206"/>
      <c r="P315" s="45"/>
      <c r="Q315" s="1207"/>
      <c r="R315" s="45"/>
      <c r="S315" s="1208"/>
      <c r="T315" s="45"/>
      <c r="U315" s="1209"/>
      <c r="V315" s="45"/>
      <c r="W315" s="1213" t="s">
        <v>11205</v>
      </c>
      <c r="X315" s="45"/>
      <c r="Y315" s="1919"/>
      <c r="Z315" s="1906"/>
      <c r="AA315" s="1163">
        <f t="shared" si="13"/>
        <v>44143</v>
      </c>
      <c r="AB315" s="21"/>
    </row>
    <row r="316" spans="1:28" x14ac:dyDescent="0.2">
      <c r="A316" s="1299">
        <f t="shared" si="12"/>
        <v>41222</v>
      </c>
      <c r="B316" s="1473"/>
      <c r="C316" s="1210"/>
      <c r="D316" s="45"/>
      <c r="E316" s="1211"/>
      <c r="F316" s="45"/>
      <c r="G316" s="1202"/>
      <c r="H316" s="45"/>
      <c r="I316" s="1203"/>
      <c r="J316" s="45"/>
      <c r="K316" s="1212" t="s">
        <v>11213</v>
      </c>
      <c r="L316" s="45"/>
      <c r="M316" s="1205"/>
      <c r="N316" s="45"/>
      <c r="O316" s="1206"/>
      <c r="P316" s="45"/>
      <c r="Q316" s="1207"/>
      <c r="R316" s="45"/>
      <c r="S316" s="1208"/>
      <c r="T316" s="45"/>
      <c r="U316" s="1209"/>
      <c r="V316" s="45"/>
      <c r="W316" s="606" t="s">
        <v>5544</v>
      </c>
      <c r="X316" s="45">
        <v>1</v>
      </c>
      <c r="Y316" s="1919"/>
      <c r="Z316" s="1906"/>
      <c r="AA316" s="1163">
        <f t="shared" si="13"/>
        <v>44144</v>
      </c>
      <c r="AB316" s="21"/>
    </row>
    <row r="317" spans="1:28" x14ac:dyDescent="0.2">
      <c r="A317" s="1171">
        <f t="shared" si="12"/>
        <v>41223</v>
      </c>
      <c r="C317" s="1210"/>
      <c r="D317" s="45"/>
      <c r="E317" s="1211"/>
      <c r="F317" s="45"/>
      <c r="G317" s="1202"/>
      <c r="H317" s="45"/>
      <c r="I317" s="1203"/>
      <c r="J317" s="45"/>
      <c r="K317" s="1204"/>
      <c r="L317" s="45"/>
      <c r="M317" s="1205"/>
      <c r="N317" s="45"/>
      <c r="O317" s="1206"/>
      <c r="P317" s="45"/>
      <c r="Q317" s="1207"/>
      <c r="R317" s="45"/>
      <c r="S317" s="1208"/>
      <c r="T317" s="45"/>
      <c r="U317" s="1209" t="s">
        <v>559</v>
      </c>
      <c r="V317" s="45">
        <v>1</v>
      </c>
      <c r="W317" s="606"/>
      <c r="X317" s="45"/>
      <c r="Y317" s="1919"/>
      <c r="Z317" s="1906"/>
      <c r="AA317" s="1163">
        <f t="shared" si="13"/>
        <v>44145</v>
      </c>
      <c r="AB317" s="21"/>
    </row>
    <row r="318" spans="1:28" x14ac:dyDescent="0.2">
      <c r="A318" s="1176">
        <f t="shared" si="12"/>
        <v>41224</v>
      </c>
      <c r="C318" s="1210"/>
      <c r="D318" s="45"/>
      <c r="E318" s="1211"/>
      <c r="F318" s="45"/>
      <c r="G318" s="1202"/>
      <c r="H318" s="45"/>
      <c r="I318" s="1203"/>
      <c r="J318" s="45"/>
      <c r="K318" s="1204"/>
      <c r="L318" s="45"/>
      <c r="M318" s="1205"/>
      <c r="N318" s="45"/>
      <c r="O318" s="1206"/>
      <c r="P318" s="45"/>
      <c r="Q318" s="1207"/>
      <c r="R318" s="45"/>
      <c r="S318" s="1208" t="s">
        <v>5544</v>
      </c>
      <c r="T318" s="45">
        <v>1</v>
      </c>
      <c r="U318" s="1209"/>
      <c r="V318" s="45"/>
      <c r="W318" s="606"/>
      <c r="X318" s="45"/>
      <c r="Y318" s="1919"/>
      <c r="Z318" s="1906"/>
      <c r="AA318" s="1163">
        <f t="shared" si="13"/>
        <v>44146</v>
      </c>
      <c r="AB318" s="21"/>
    </row>
    <row r="319" spans="1:28" x14ac:dyDescent="0.2">
      <c r="A319" s="1169">
        <f t="shared" si="12"/>
        <v>41225</v>
      </c>
      <c r="C319" s="1210"/>
      <c r="D319" s="45"/>
      <c r="E319" s="1211"/>
      <c r="F319" s="45"/>
      <c r="G319" s="1202" t="s">
        <v>5544</v>
      </c>
      <c r="H319" s="45">
        <v>1</v>
      </c>
      <c r="I319" s="1203"/>
      <c r="J319" s="45"/>
      <c r="K319" s="1204"/>
      <c r="L319" s="45"/>
      <c r="M319" s="1205"/>
      <c r="N319" s="45"/>
      <c r="O319" s="1206"/>
      <c r="P319" s="45"/>
      <c r="Q319" s="1207" t="s">
        <v>5484</v>
      </c>
      <c r="R319" s="45">
        <v>1</v>
      </c>
      <c r="S319" s="1198" t="s">
        <v>11200</v>
      </c>
      <c r="T319" s="45"/>
      <c r="U319" s="1209"/>
      <c r="V319" s="45"/>
      <c r="W319" s="606"/>
      <c r="X319" s="45"/>
      <c r="Y319" s="1919"/>
      <c r="Z319" s="1906"/>
      <c r="AA319" s="1163">
        <f t="shared" si="13"/>
        <v>44147</v>
      </c>
      <c r="AB319" s="21"/>
    </row>
    <row r="320" spans="1:28" x14ac:dyDescent="0.2">
      <c r="A320" s="522">
        <f t="shared" si="12"/>
        <v>41226</v>
      </c>
      <c r="B320" s="99">
        <v>2021</v>
      </c>
      <c r="C320" s="1210"/>
      <c r="D320" s="45"/>
      <c r="E320" s="1211"/>
      <c r="F320" s="45"/>
      <c r="G320" s="1202"/>
      <c r="H320" s="45"/>
      <c r="I320" s="1203"/>
      <c r="J320" s="45"/>
      <c r="K320" s="1204"/>
      <c r="L320" s="45"/>
      <c r="M320" s="1205"/>
      <c r="N320" s="45"/>
      <c r="O320" s="1206"/>
      <c r="P320" s="45"/>
      <c r="Q320" s="1207"/>
      <c r="R320" s="45"/>
      <c r="S320" s="1198" t="s">
        <v>7942</v>
      </c>
      <c r="T320" s="45"/>
      <c r="U320" s="1209"/>
      <c r="V320" s="45"/>
      <c r="W320" s="606"/>
      <c r="X320" s="45"/>
      <c r="Y320" s="1919"/>
      <c r="Z320" s="1906"/>
      <c r="AA320" s="1163">
        <f t="shared" si="13"/>
        <v>44148</v>
      </c>
      <c r="AB320" s="21">
        <v>44513</v>
      </c>
    </row>
    <row r="321" spans="1:28" x14ac:dyDescent="0.2">
      <c r="A321" s="1167">
        <f t="shared" si="12"/>
        <v>41227</v>
      </c>
      <c r="C321" s="1210"/>
      <c r="D321" s="45"/>
      <c r="E321" s="1211"/>
      <c r="F321" s="45"/>
      <c r="G321" s="1202"/>
      <c r="H321" s="45"/>
      <c r="I321" s="1203"/>
      <c r="J321" s="45"/>
      <c r="K321" s="1204"/>
      <c r="L321" s="45"/>
      <c r="M321" s="1205"/>
      <c r="N321" s="45"/>
      <c r="O321" s="1206" t="s">
        <v>1827</v>
      </c>
      <c r="P321" s="45">
        <v>1</v>
      </c>
      <c r="Q321" s="1207"/>
      <c r="R321" s="45"/>
      <c r="S321" s="1198" t="s">
        <v>11210</v>
      </c>
      <c r="T321" s="45"/>
      <c r="U321" s="1209"/>
      <c r="V321" s="45"/>
      <c r="W321" s="606"/>
      <c r="X321" s="45"/>
      <c r="Y321" s="1919"/>
      <c r="Z321" s="1906"/>
      <c r="AA321" s="1163">
        <f t="shared" si="13"/>
        <v>44149</v>
      </c>
      <c r="AB321" s="21"/>
    </row>
    <row r="322" spans="1:28" x14ac:dyDescent="0.2">
      <c r="A322" s="1168">
        <f t="shared" si="12"/>
        <v>41228</v>
      </c>
      <c r="C322" s="1210"/>
      <c r="D322" s="45"/>
      <c r="E322" s="1211"/>
      <c r="F322" s="45"/>
      <c r="G322" s="1202"/>
      <c r="H322" s="45"/>
      <c r="I322" s="1203"/>
      <c r="J322" s="45"/>
      <c r="K322" s="1204"/>
      <c r="L322" s="45"/>
      <c r="M322" s="1205" t="s">
        <v>1893</v>
      </c>
      <c r="N322" s="45">
        <v>1</v>
      </c>
      <c r="O322" s="1206"/>
      <c r="P322" s="45"/>
      <c r="Q322" s="1207"/>
      <c r="R322" s="45"/>
      <c r="S322" s="1198" t="s">
        <v>11201</v>
      </c>
      <c r="T322" s="45"/>
      <c r="U322" s="1209"/>
      <c r="V322" s="45"/>
      <c r="W322" s="606"/>
      <c r="X322" s="45"/>
      <c r="Y322" s="1919"/>
      <c r="Z322" s="1906"/>
      <c r="AA322" s="1163">
        <f t="shared" si="13"/>
        <v>44150</v>
      </c>
      <c r="AB322" s="21"/>
    </row>
    <row r="323" spans="1:28" x14ac:dyDescent="0.2">
      <c r="A323" s="1173">
        <f t="shared" si="12"/>
        <v>41229</v>
      </c>
      <c r="C323" s="1210"/>
      <c r="D323" s="45"/>
      <c r="E323" s="1211"/>
      <c r="F323" s="45"/>
      <c r="G323" s="1202"/>
      <c r="H323" s="45"/>
      <c r="I323" s="1203"/>
      <c r="J323" s="45"/>
      <c r="K323" s="1204" t="s">
        <v>2048</v>
      </c>
      <c r="L323" s="45">
        <v>1</v>
      </c>
      <c r="M323" s="1205"/>
      <c r="N323" s="45"/>
      <c r="O323" s="1206"/>
      <c r="P323" s="45"/>
      <c r="Q323" s="1207"/>
      <c r="R323" s="45"/>
      <c r="S323" s="1198" t="s">
        <v>11202</v>
      </c>
      <c r="T323" s="45"/>
      <c r="U323" s="1209"/>
      <c r="V323" s="45"/>
      <c r="W323" s="606" t="s">
        <v>5883</v>
      </c>
      <c r="X323" s="45"/>
      <c r="Y323" s="1919"/>
      <c r="Z323" s="1906"/>
      <c r="AA323" s="1163">
        <f t="shared" si="13"/>
        <v>44151</v>
      </c>
      <c r="AB323" s="21"/>
    </row>
    <row r="324" spans="1:28" x14ac:dyDescent="0.2">
      <c r="A324" s="1182">
        <f t="shared" si="12"/>
        <v>41230</v>
      </c>
      <c r="C324" s="1210"/>
      <c r="D324" s="45"/>
      <c r="E324" s="1211"/>
      <c r="F324" s="45"/>
      <c r="G324" s="1202"/>
      <c r="H324" s="45"/>
      <c r="I324" s="1203" t="s">
        <v>2147</v>
      </c>
      <c r="J324" s="45">
        <v>1</v>
      </c>
      <c r="K324" s="1204"/>
      <c r="L324" s="45"/>
      <c r="M324" s="1205"/>
      <c r="N324" s="45"/>
      <c r="O324" s="1206"/>
      <c r="P324" s="45"/>
      <c r="Q324" s="1207"/>
      <c r="R324" s="45"/>
      <c r="S324" s="1198" t="s">
        <v>11204</v>
      </c>
      <c r="T324" s="45"/>
      <c r="U324" s="1209" t="s">
        <v>11153</v>
      </c>
      <c r="V324" s="45">
        <v>1</v>
      </c>
      <c r="W324" s="606" t="s">
        <v>16140</v>
      </c>
      <c r="X324" s="45"/>
      <c r="Y324" s="1919"/>
      <c r="Z324" s="1906"/>
      <c r="AA324" s="1163">
        <f t="shared" si="13"/>
        <v>44152</v>
      </c>
      <c r="AB324" s="21"/>
    </row>
    <row r="325" spans="1:28" x14ac:dyDescent="0.2">
      <c r="A325" s="11">
        <f t="shared" ref="A325:A368" si="14">A324+1</f>
        <v>41231</v>
      </c>
      <c r="B325" s="9">
        <v>2023</v>
      </c>
      <c r="C325" s="1210"/>
      <c r="D325" s="45"/>
      <c r="E325" s="1211"/>
      <c r="F325" s="45"/>
      <c r="G325" s="1202"/>
      <c r="H325" s="45"/>
      <c r="I325" s="1203"/>
      <c r="J325" s="45"/>
      <c r="K325" s="1204"/>
      <c r="L325" s="45"/>
      <c r="M325" s="1205"/>
      <c r="N325" s="45"/>
      <c r="O325" s="1206"/>
      <c r="P325" s="45"/>
      <c r="Q325" s="1207"/>
      <c r="R325" s="45"/>
      <c r="S325" s="1216"/>
      <c r="T325" s="45"/>
      <c r="U325" s="1209"/>
      <c r="V325" s="45"/>
      <c r="W325" s="606"/>
      <c r="X325" s="45"/>
      <c r="Y325" s="1919"/>
      <c r="Z325" s="1906"/>
      <c r="AA325" s="1163">
        <f t="shared" ref="AA325:AA369" si="15">AA324+1</f>
        <v>44153</v>
      </c>
      <c r="AB325" s="21">
        <v>45248</v>
      </c>
    </row>
    <row r="326" spans="1:28" x14ac:dyDescent="0.2">
      <c r="A326" s="1169">
        <f t="shared" si="14"/>
        <v>41232</v>
      </c>
      <c r="B326" s="9">
        <v>2022</v>
      </c>
      <c r="C326" s="1210"/>
      <c r="D326" s="45"/>
      <c r="E326" s="1211"/>
      <c r="F326" s="45"/>
      <c r="G326" s="1217" t="s">
        <v>11198</v>
      </c>
      <c r="H326" s="45"/>
      <c r="I326" s="1203"/>
      <c r="J326" s="45"/>
      <c r="K326" s="1204"/>
      <c r="L326" s="45"/>
      <c r="M326" s="1205"/>
      <c r="N326" s="45"/>
      <c r="O326" s="1206"/>
      <c r="P326" s="45"/>
      <c r="Q326" s="1198" t="s">
        <v>11224</v>
      </c>
      <c r="R326" s="45"/>
      <c r="S326" s="1208"/>
      <c r="T326" s="45"/>
      <c r="U326" s="1209"/>
      <c r="V326" s="45"/>
      <c r="W326" s="606"/>
      <c r="X326" s="45"/>
      <c r="Y326" s="1919"/>
      <c r="Z326" s="1906"/>
      <c r="AA326" s="1163">
        <f t="shared" si="15"/>
        <v>44154</v>
      </c>
      <c r="AB326" s="21">
        <v>44884</v>
      </c>
    </row>
    <row r="327" spans="1:28" x14ac:dyDescent="0.2">
      <c r="A327" s="522">
        <f t="shared" si="14"/>
        <v>41233</v>
      </c>
      <c r="B327" s="99">
        <v>2021</v>
      </c>
      <c r="C327" s="1210"/>
      <c r="D327" s="45"/>
      <c r="E327" s="1211"/>
      <c r="F327" s="45"/>
      <c r="G327" s="1202"/>
      <c r="H327" s="45"/>
      <c r="I327" s="1203"/>
      <c r="J327" s="45"/>
      <c r="K327" s="1204"/>
      <c r="L327" s="45"/>
      <c r="M327" s="1205"/>
      <c r="N327" s="45"/>
      <c r="O327" s="1206"/>
      <c r="P327" s="45"/>
      <c r="Q327" s="1207"/>
      <c r="R327" s="45"/>
      <c r="S327" s="1208"/>
      <c r="T327" s="45"/>
      <c r="U327" s="1209"/>
      <c r="V327" s="45"/>
      <c r="W327" s="606"/>
      <c r="X327" s="45"/>
      <c r="Y327" s="1919"/>
      <c r="Z327" s="1906"/>
      <c r="AA327" s="1163">
        <f t="shared" si="15"/>
        <v>44155</v>
      </c>
      <c r="AB327" s="21">
        <v>44520</v>
      </c>
    </row>
    <row r="328" spans="1:28" x14ac:dyDescent="0.2">
      <c r="A328" s="1171">
        <f t="shared" si="14"/>
        <v>41234</v>
      </c>
      <c r="C328" s="1210" t="s">
        <v>1122</v>
      </c>
      <c r="D328" s="45">
        <v>1</v>
      </c>
      <c r="E328" s="1211"/>
      <c r="F328" s="45"/>
      <c r="G328" s="1202"/>
      <c r="H328" s="45"/>
      <c r="I328" s="1203"/>
      <c r="J328" s="45"/>
      <c r="K328" s="1204"/>
      <c r="L328" s="45"/>
      <c r="M328" s="1205"/>
      <c r="N328" s="45"/>
      <c r="O328" s="1206" t="s">
        <v>11221</v>
      </c>
      <c r="P328" s="45"/>
      <c r="Q328" s="1207"/>
      <c r="R328" s="45"/>
      <c r="S328" s="1208"/>
      <c r="T328" s="45"/>
      <c r="U328" s="1209"/>
      <c r="V328" s="45"/>
      <c r="W328" s="606"/>
      <c r="X328" s="45"/>
      <c r="Y328" s="1919"/>
      <c r="Z328" s="1906"/>
      <c r="AA328" s="1163">
        <f t="shared" si="15"/>
        <v>44156</v>
      </c>
      <c r="AB328" s="21"/>
    </row>
    <row r="329" spans="1:28" x14ac:dyDescent="0.2">
      <c r="A329" s="1170">
        <f t="shared" si="14"/>
        <v>41235</v>
      </c>
      <c r="C329" s="1210"/>
      <c r="D329" s="45"/>
      <c r="E329" s="1211"/>
      <c r="F329" s="45"/>
      <c r="G329" s="1202"/>
      <c r="H329" s="45"/>
      <c r="I329" s="1203"/>
      <c r="J329" s="45"/>
      <c r="K329" s="1204"/>
      <c r="L329" s="45"/>
      <c r="M329" s="1205" t="s">
        <v>2830</v>
      </c>
      <c r="N329" s="45">
        <v>1</v>
      </c>
      <c r="O329" s="1206"/>
      <c r="P329" s="45"/>
      <c r="Q329" s="1207"/>
      <c r="R329" s="45"/>
      <c r="S329" s="1208"/>
      <c r="T329" s="45"/>
      <c r="U329" s="1209"/>
      <c r="V329" s="45"/>
      <c r="W329" s="606"/>
      <c r="X329" s="45"/>
      <c r="Y329" s="1919"/>
      <c r="Z329" s="1906"/>
      <c r="AA329" s="1163">
        <f t="shared" si="15"/>
        <v>44157</v>
      </c>
      <c r="AB329" s="21"/>
    </row>
    <row r="330" spans="1:28" x14ac:dyDescent="0.2">
      <c r="A330" s="1173">
        <f t="shared" si="14"/>
        <v>41236</v>
      </c>
      <c r="C330" s="1210"/>
      <c r="D330" s="45"/>
      <c r="E330" s="1211"/>
      <c r="F330" s="45"/>
      <c r="G330" s="1202"/>
      <c r="H330" s="45"/>
      <c r="I330" s="1203"/>
      <c r="J330" s="45"/>
      <c r="K330" s="1204" t="s">
        <v>11184</v>
      </c>
      <c r="L330" s="45">
        <v>1</v>
      </c>
      <c r="M330" s="1205"/>
      <c r="N330" s="45"/>
      <c r="O330" s="1206"/>
      <c r="P330" s="45"/>
      <c r="Q330" s="1207"/>
      <c r="R330" s="45"/>
      <c r="S330" s="1208"/>
      <c r="T330" s="45"/>
      <c r="U330" s="1209"/>
      <c r="V330" s="45"/>
      <c r="W330" s="606" t="s">
        <v>5544</v>
      </c>
      <c r="X330" s="45"/>
      <c r="Y330" s="1919"/>
      <c r="Z330" s="1906"/>
      <c r="AA330" s="1163">
        <f t="shared" si="15"/>
        <v>44158</v>
      </c>
      <c r="AB330" s="21"/>
    </row>
    <row r="331" spans="1:28" x14ac:dyDescent="0.2">
      <c r="A331" s="1182">
        <f t="shared" si="14"/>
        <v>41237</v>
      </c>
      <c r="C331" s="1210"/>
      <c r="D331" s="45"/>
      <c r="E331" s="1211"/>
      <c r="F331" s="45"/>
      <c r="G331" s="1202"/>
      <c r="H331" s="45"/>
      <c r="I331" s="1203" t="s">
        <v>5544</v>
      </c>
      <c r="J331" s="45">
        <v>1</v>
      </c>
      <c r="K331" s="1204"/>
      <c r="L331" s="45"/>
      <c r="M331" s="1205"/>
      <c r="N331" s="45"/>
      <c r="O331" s="1206"/>
      <c r="P331" s="45"/>
      <c r="Q331" s="1207"/>
      <c r="R331" s="45"/>
      <c r="S331" s="1208"/>
      <c r="T331" s="45"/>
      <c r="U331" s="1209" t="s">
        <v>5544</v>
      </c>
      <c r="V331" s="45">
        <v>1</v>
      </c>
      <c r="W331" s="606" t="s">
        <v>16140</v>
      </c>
      <c r="X331" s="45"/>
      <c r="Y331" s="1919"/>
      <c r="Z331" s="1906"/>
      <c r="AA331" s="1163">
        <f t="shared" si="15"/>
        <v>44159</v>
      </c>
      <c r="AB331" s="21"/>
    </row>
    <row r="332" spans="1:28" x14ac:dyDescent="0.2">
      <c r="A332" s="1176">
        <f t="shared" si="14"/>
        <v>41238</v>
      </c>
      <c r="C332" s="1210"/>
      <c r="D332" s="45"/>
      <c r="E332" s="1211"/>
      <c r="F332" s="45"/>
      <c r="G332" s="1202"/>
      <c r="H332" s="45"/>
      <c r="I332" s="1203"/>
      <c r="J332" s="45"/>
      <c r="K332" s="1204"/>
      <c r="L332" s="45"/>
      <c r="M332" s="1205"/>
      <c r="N332" s="45"/>
      <c r="O332" s="1206"/>
      <c r="P332" s="45"/>
      <c r="Q332" s="1207"/>
      <c r="R332" s="45"/>
      <c r="S332" s="1208" t="s">
        <v>11139</v>
      </c>
      <c r="T332" s="45">
        <v>1</v>
      </c>
      <c r="U332" s="1209"/>
      <c r="V332" s="45"/>
      <c r="W332" s="606"/>
      <c r="X332" s="45"/>
      <c r="Y332" s="1919"/>
      <c r="Z332" s="1906"/>
      <c r="AA332" s="1163">
        <f t="shared" si="15"/>
        <v>44160</v>
      </c>
      <c r="AB332" s="21"/>
    </row>
    <row r="333" spans="1:28" x14ac:dyDescent="0.2">
      <c r="A333" s="1169">
        <f t="shared" si="14"/>
        <v>41239</v>
      </c>
      <c r="C333" s="1210"/>
      <c r="D333" s="45"/>
      <c r="E333" s="1211"/>
      <c r="F333" s="45"/>
      <c r="G333" s="1202" t="s">
        <v>5544</v>
      </c>
      <c r="H333" s="45">
        <v>1</v>
      </c>
      <c r="I333" s="1203"/>
      <c r="J333" s="45"/>
      <c r="K333" s="1204"/>
      <c r="L333" s="45"/>
      <c r="M333" s="1205"/>
      <c r="N333" s="45"/>
      <c r="O333" s="1206"/>
      <c r="P333" s="45"/>
      <c r="Q333" s="1207" t="s">
        <v>1122</v>
      </c>
      <c r="R333" s="45">
        <v>1</v>
      </c>
      <c r="S333" s="1208"/>
      <c r="T333" s="45"/>
      <c r="U333" s="1209"/>
      <c r="V333" s="45"/>
      <c r="W333" s="606"/>
      <c r="X333" s="45"/>
      <c r="Y333" s="1919"/>
      <c r="Z333" s="1906"/>
      <c r="AA333" s="1163">
        <f t="shared" si="15"/>
        <v>44161</v>
      </c>
      <c r="AB333" s="21"/>
    </row>
    <row r="334" spans="1:28" x14ac:dyDescent="0.2">
      <c r="A334" s="11">
        <f t="shared" si="14"/>
        <v>41240</v>
      </c>
      <c r="B334" s="99">
        <v>2021</v>
      </c>
      <c r="C334" s="1210"/>
      <c r="D334" s="45"/>
      <c r="E334" s="1211"/>
      <c r="F334" s="45"/>
      <c r="G334" s="1202"/>
      <c r="H334" s="45"/>
      <c r="I334" s="1203"/>
      <c r="J334" s="45"/>
      <c r="K334" s="1204"/>
      <c r="L334" s="45"/>
      <c r="M334" s="1205"/>
      <c r="N334" s="45"/>
      <c r="O334" s="1206"/>
      <c r="P334" s="45"/>
      <c r="Q334" s="1207"/>
      <c r="R334" s="45"/>
      <c r="S334" s="1208"/>
      <c r="T334" s="45"/>
      <c r="U334" s="1209"/>
      <c r="V334" s="45"/>
      <c r="W334" s="606"/>
      <c r="X334" s="45"/>
      <c r="Y334" s="1919"/>
      <c r="Z334" s="1906"/>
      <c r="AA334" s="1163">
        <f t="shared" si="15"/>
        <v>44162</v>
      </c>
      <c r="AB334" s="21">
        <v>44527</v>
      </c>
    </row>
    <row r="335" spans="1:28" x14ac:dyDescent="0.2">
      <c r="A335" s="1183">
        <f t="shared" si="14"/>
        <v>41241</v>
      </c>
      <c r="C335" s="1210" t="s">
        <v>1122</v>
      </c>
      <c r="D335" s="45">
        <v>1</v>
      </c>
      <c r="E335" s="1211"/>
      <c r="F335" s="45"/>
      <c r="G335" s="1202"/>
      <c r="H335" s="45"/>
      <c r="I335" s="1203"/>
      <c r="J335" s="45"/>
      <c r="K335" s="1204"/>
      <c r="L335" s="45"/>
      <c r="M335" s="1205"/>
      <c r="N335" s="45"/>
      <c r="O335" s="1206" t="s">
        <v>5544</v>
      </c>
      <c r="P335" s="45">
        <v>1</v>
      </c>
      <c r="Q335" s="1207"/>
      <c r="R335" s="45"/>
      <c r="S335" s="1208"/>
      <c r="T335" s="45"/>
      <c r="U335" s="1209"/>
      <c r="V335" s="45"/>
      <c r="W335" s="606"/>
      <c r="X335" s="45"/>
      <c r="Y335" s="1919"/>
      <c r="Z335" s="1906"/>
      <c r="AA335" s="1163">
        <f t="shared" si="15"/>
        <v>44163</v>
      </c>
      <c r="AB335" s="21"/>
    </row>
    <row r="336" spans="1:28" x14ac:dyDescent="0.2">
      <c r="A336" s="1168">
        <f t="shared" si="14"/>
        <v>41242</v>
      </c>
      <c r="C336" s="1210"/>
      <c r="D336" s="45"/>
      <c r="E336" s="1211"/>
      <c r="F336" s="45"/>
      <c r="G336" s="1202"/>
      <c r="H336" s="45"/>
      <c r="I336" s="1203"/>
      <c r="J336" s="45"/>
      <c r="K336" s="1204"/>
      <c r="L336" s="45"/>
      <c r="M336" s="1205" t="s">
        <v>5544</v>
      </c>
      <c r="N336" s="45">
        <v>1</v>
      </c>
      <c r="O336" s="1206"/>
      <c r="P336" s="45"/>
      <c r="Q336" s="1207"/>
      <c r="R336" s="45"/>
      <c r="S336" s="1208"/>
      <c r="T336" s="45"/>
      <c r="U336" s="1209"/>
      <c r="V336" s="45"/>
      <c r="W336" s="606"/>
      <c r="X336" s="45"/>
      <c r="Y336" s="1919"/>
      <c r="Z336" s="1906"/>
      <c r="AA336" s="1163">
        <f t="shared" si="15"/>
        <v>44164</v>
      </c>
      <c r="AB336" s="21"/>
    </row>
    <row r="337" spans="1:28" x14ac:dyDescent="0.2">
      <c r="A337" s="1173">
        <f t="shared" si="14"/>
        <v>41243</v>
      </c>
      <c r="C337" s="1210"/>
      <c r="D337" s="45"/>
      <c r="E337" s="1211"/>
      <c r="F337" s="45"/>
      <c r="G337" s="1202"/>
      <c r="H337" s="45"/>
      <c r="I337" s="1203"/>
      <c r="J337" s="45"/>
      <c r="K337" s="1204" t="s">
        <v>5095</v>
      </c>
      <c r="L337" s="45">
        <v>1</v>
      </c>
      <c r="M337" s="1205"/>
      <c r="N337" s="45"/>
      <c r="O337" s="1206"/>
      <c r="P337" s="45"/>
      <c r="Q337" s="1207"/>
      <c r="R337" s="45"/>
      <c r="S337" s="1208"/>
      <c r="T337" s="45"/>
      <c r="U337" s="1209"/>
      <c r="V337" s="45"/>
      <c r="W337" s="606"/>
      <c r="X337" s="45"/>
      <c r="Y337" s="1919"/>
      <c r="Z337" s="1906"/>
      <c r="AA337" s="1163">
        <f t="shared" si="15"/>
        <v>44165</v>
      </c>
      <c r="AB337" s="21"/>
    </row>
    <row r="338" spans="1:28" x14ac:dyDescent="0.2">
      <c r="A338" s="1181">
        <f t="shared" si="14"/>
        <v>41244</v>
      </c>
      <c r="B338" s="173"/>
      <c r="C338" s="1210"/>
      <c r="D338" s="45"/>
      <c r="E338" s="1211"/>
      <c r="F338" s="45"/>
      <c r="G338" s="1202"/>
      <c r="H338" s="45"/>
      <c r="I338" s="1203" t="s">
        <v>5544</v>
      </c>
      <c r="J338" s="45">
        <v>1</v>
      </c>
      <c r="K338" s="1204"/>
      <c r="L338" s="45"/>
      <c r="M338" s="1205"/>
      <c r="N338" s="45"/>
      <c r="O338" s="1206"/>
      <c r="P338" s="45"/>
      <c r="Q338" s="1207"/>
      <c r="R338" s="45"/>
      <c r="S338" s="1208"/>
      <c r="T338" s="45"/>
      <c r="U338" s="1209" t="s">
        <v>2048</v>
      </c>
      <c r="V338" s="45">
        <v>1</v>
      </c>
      <c r="W338" s="606"/>
      <c r="X338" s="45"/>
      <c r="Y338" s="1919"/>
      <c r="Z338" s="1906"/>
      <c r="AA338" s="1163">
        <f t="shared" si="15"/>
        <v>44166</v>
      </c>
      <c r="AB338" s="21"/>
    </row>
    <row r="339" spans="1:28" x14ac:dyDescent="0.2">
      <c r="A339" s="1182">
        <f t="shared" si="14"/>
        <v>41245</v>
      </c>
      <c r="C339" s="1210"/>
      <c r="D339" s="45"/>
      <c r="E339" s="1211"/>
      <c r="F339" s="45"/>
      <c r="G339" s="1202"/>
      <c r="H339" s="45"/>
      <c r="I339" s="1203"/>
      <c r="J339" s="45"/>
      <c r="K339" s="1204"/>
      <c r="L339" s="45"/>
      <c r="M339" s="1205"/>
      <c r="N339" s="45"/>
      <c r="O339" s="1206"/>
      <c r="P339" s="45"/>
      <c r="Q339" s="1207"/>
      <c r="R339" s="45"/>
      <c r="S339" s="1208" t="s">
        <v>5544</v>
      </c>
      <c r="T339" s="45">
        <v>1</v>
      </c>
      <c r="U339" s="1209"/>
      <c r="V339" s="45"/>
      <c r="W339" s="606"/>
      <c r="X339" s="45"/>
      <c r="Y339" s="1919"/>
      <c r="Z339" s="1906"/>
      <c r="AA339" s="1163">
        <f t="shared" si="15"/>
        <v>44167</v>
      </c>
      <c r="AB339" s="21"/>
    </row>
    <row r="340" spans="1:28" x14ac:dyDescent="0.2">
      <c r="A340" s="1169">
        <f t="shared" si="14"/>
        <v>41246</v>
      </c>
      <c r="C340" s="1210"/>
      <c r="D340" s="45"/>
      <c r="E340" s="1211"/>
      <c r="F340" s="45"/>
      <c r="G340" s="1202" t="s">
        <v>5544</v>
      </c>
      <c r="H340" s="45">
        <v>1</v>
      </c>
      <c r="I340" s="1203"/>
      <c r="J340" s="45"/>
      <c r="K340" s="1204"/>
      <c r="L340" s="45"/>
      <c r="M340" s="1205"/>
      <c r="N340" s="45"/>
      <c r="O340" s="1206"/>
      <c r="P340" s="45"/>
      <c r="Q340" s="1207" t="s">
        <v>5544</v>
      </c>
      <c r="R340" s="45">
        <v>1</v>
      </c>
      <c r="S340" s="1208"/>
      <c r="T340" s="45"/>
      <c r="U340" s="1209"/>
      <c r="V340" s="45"/>
      <c r="W340" s="606"/>
      <c r="X340" s="45"/>
      <c r="Y340" s="1919"/>
      <c r="Z340" s="1906"/>
      <c r="AA340" s="1163">
        <f t="shared" si="15"/>
        <v>44168</v>
      </c>
      <c r="AB340" s="21"/>
    </row>
    <row r="341" spans="1:28" x14ac:dyDescent="0.2">
      <c r="A341" s="522">
        <f t="shared" si="14"/>
        <v>41247</v>
      </c>
      <c r="B341" s="99">
        <v>2021</v>
      </c>
      <c r="C341" s="1210"/>
      <c r="D341" s="45"/>
      <c r="E341" s="1211"/>
      <c r="F341" s="45"/>
      <c r="G341" s="1202"/>
      <c r="H341" s="45"/>
      <c r="I341" s="1203"/>
      <c r="J341" s="45"/>
      <c r="K341" s="1204"/>
      <c r="L341" s="45"/>
      <c r="M341" s="1205"/>
      <c r="N341" s="45"/>
      <c r="O341" s="1206"/>
      <c r="P341" s="45"/>
      <c r="Q341" s="1207"/>
      <c r="R341" s="45"/>
      <c r="S341" s="1208"/>
      <c r="T341" s="45"/>
      <c r="U341" s="1209"/>
      <c r="V341" s="45"/>
      <c r="W341" s="606"/>
      <c r="X341" s="45"/>
      <c r="Y341" s="1919"/>
      <c r="Z341" s="1906"/>
      <c r="AA341" s="1163">
        <f t="shared" si="15"/>
        <v>44169</v>
      </c>
      <c r="AB341" s="21">
        <v>44534</v>
      </c>
    </row>
    <row r="342" spans="1:28" x14ac:dyDescent="0.2">
      <c r="A342" s="1199">
        <f t="shared" si="14"/>
        <v>41248</v>
      </c>
      <c r="B342" s="1926">
        <v>2020</v>
      </c>
      <c r="C342" s="1210"/>
      <c r="D342" s="45"/>
      <c r="E342" s="1211"/>
      <c r="F342" s="45"/>
      <c r="G342" s="1202"/>
      <c r="H342" s="45"/>
      <c r="I342" s="1203"/>
      <c r="J342" s="45"/>
      <c r="K342" s="1204"/>
      <c r="L342" s="45"/>
      <c r="M342" s="1205"/>
      <c r="N342" s="45"/>
      <c r="O342" s="1218" t="s">
        <v>11198</v>
      </c>
      <c r="P342" s="45"/>
      <c r="Q342" s="1207"/>
      <c r="R342" s="45"/>
      <c r="S342" s="1208"/>
      <c r="T342" s="45"/>
      <c r="U342" s="1209"/>
      <c r="V342" s="45"/>
      <c r="W342" s="606"/>
      <c r="X342" s="45"/>
      <c r="Y342" s="1919"/>
      <c r="Z342" s="1906"/>
      <c r="AA342" s="1186">
        <f t="shared" si="15"/>
        <v>44170</v>
      </c>
      <c r="AB342" s="21"/>
    </row>
    <row r="343" spans="1:28" x14ac:dyDescent="0.2">
      <c r="A343" s="1168">
        <f t="shared" si="14"/>
        <v>41249</v>
      </c>
      <c r="C343" s="1210"/>
      <c r="D343" s="45"/>
      <c r="E343" s="1211"/>
      <c r="F343" s="45"/>
      <c r="G343" s="1202"/>
      <c r="H343" s="45"/>
      <c r="I343" s="1203"/>
      <c r="J343" s="45"/>
      <c r="K343" s="1204"/>
      <c r="L343" s="45"/>
      <c r="M343" s="1205" t="s">
        <v>5544</v>
      </c>
      <c r="N343" s="45">
        <v>1</v>
      </c>
      <c r="O343" s="1206"/>
      <c r="P343" s="45"/>
      <c r="Q343" s="1207"/>
      <c r="R343" s="45"/>
      <c r="S343" s="1208"/>
      <c r="T343" s="45"/>
      <c r="U343" s="1209"/>
      <c r="V343" s="45"/>
      <c r="W343" s="606"/>
      <c r="X343" s="45"/>
      <c r="Y343" s="1919"/>
      <c r="Z343" s="1906"/>
      <c r="AA343" s="1163">
        <f t="shared" si="15"/>
        <v>44171</v>
      </c>
      <c r="AB343" s="21"/>
    </row>
    <row r="344" spans="1:28" x14ac:dyDescent="0.2">
      <c r="A344" s="1173">
        <f t="shared" si="14"/>
        <v>41250</v>
      </c>
      <c r="C344" s="1210"/>
      <c r="D344" s="45"/>
      <c r="E344" s="1211"/>
      <c r="F344" s="45"/>
      <c r="G344" s="1202"/>
      <c r="H344" s="45"/>
      <c r="I344" s="1203"/>
      <c r="J344" s="45"/>
      <c r="K344" s="1204" t="s">
        <v>5544</v>
      </c>
      <c r="L344" s="45">
        <v>1</v>
      </c>
      <c r="M344" s="1205"/>
      <c r="N344" s="45"/>
      <c r="O344" s="1206"/>
      <c r="P344" s="45"/>
      <c r="Q344" s="1207"/>
      <c r="R344" s="45"/>
      <c r="S344" s="1208"/>
      <c r="T344" s="45"/>
      <c r="U344" s="1209"/>
      <c r="V344" s="45"/>
      <c r="W344" s="606"/>
      <c r="X344" s="45"/>
      <c r="Y344" s="1919"/>
      <c r="Z344" s="1906"/>
      <c r="AA344" s="1163">
        <f t="shared" si="15"/>
        <v>44172</v>
      </c>
      <c r="AB344" s="21"/>
    </row>
    <row r="345" spans="1:28" x14ac:dyDescent="0.2">
      <c r="A345" s="1189">
        <f t="shared" si="14"/>
        <v>41251</v>
      </c>
      <c r="B345" s="173"/>
      <c r="C345" s="1210"/>
      <c r="D345" s="45"/>
      <c r="E345" s="1211"/>
      <c r="F345" s="45"/>
      <c r="G345" s="1202"/>
      <c r="H345" s="45"/>
      <c r="I345" s="1203" t="s">
        <v>5544</v>
      </c>
      <c r="J345" s="45">
        <v>1</v>
      </c>
      <c r="K345" s="1204"/>
      <c r="L345" s="45"/>
      <c r="M345" s="1205"/>
      <c r="N345" s="45"/>
      <c r="O345" s="1206"/>
      <c r="P345" s="45"/>
      <c r="Q345" s="1207"/>
      <c r="R345" s="45"/>
      <c r="S345" s="1208"/>
      <c r="T345" s="45"/>
      <c r="U345" s="1209" t="s">
        <v>5544</v>
      </c>
      <c r="V345" s="45">
        <v>1</v>
      </c>
      <c r="W345" s="606"/>
      <c r="X345" s="45"/>
      <c r="Y345" s="1919"/>
      <c r="Z345" s="1906"/>
      <c r="AA345" s="1163">
        <f t="shared" si="15"/>
        <v>44173</v>
      </c>
      <c r="AB345" s="21"/>
    </row>
    <row r="346" spans="1:28" x14ac:dyDescent="0.2">
      <c r="A346" s="1176">
        <f t="shared" si="14"/>
        <v>41252</v>
      </c>
      <c r="C346" s="1210"/>
      <c r="D346" s="45"/>
      <c r="E346" s="1211"/>
      <c r="F346" s="45"/>
      <c r="G346" s="1202"/>
      <c r="H346" s="45"/>
      <c r="I346" s="1203"/>
      <c r="J346" s="45"/>
      <c r="K346" s="1204"/>
      <c r="L346" s="45"/>
      <c r="M346" s="1205"/>
      <c r="N346" s="45"/>
      <c r="O346" s="1206"/>
      <c r="P346" s="45"/>
      <c r="Q346" s="1207"/>
      <c r="R346" s="45"/>
      <c r="S346" s="1208" t="s">
        <v>1122</v>
      </c>
      <c r="T346" s="45">
        <v>1</v>
      </c>
      <c r="U346" s="1209"/>
      <c r="V346" s="45"/>
      <c r="W346" s="606"/>
      <c r="X346" s="45"/>
      <c r="Y346" s="1919"/>
      <c r="Z346" s="1906"/>
      <c r="AA346" s="1163">
        <f t="shared" si="15"/>
        <v>44174</v>
      </c>
      <c r="AB346" s="21"/>
    </row>
    <row r="347" spans="1:28" x14ac:dyDescent="0.2">
      <c r="A347" s="1169">
        <f t="shared" si="14"/>
        <v>41253</v>
      </c>
      <c r="C347" s="1210"/>
      <c r="D347" s="45"/>
      <c r="E347" s="1211"/>
      <c r="F347" s="45"/>
      <c r="G347" s="1202" t="s">
        <v>5544</v>
      </c>
      <c r="H347" s="45">
        <v>1</v>
      </c>
      <c r="I347" s="1203"/>
      <c r="J347" s="45"/>
      <c r="K347" s="1204"/>
      <c r="L347" s="45"/>
      <c r="M347" s="1205"/>
      <c r="N347" s="45"/>
      <c r="O347" s="1206"/>
      <c r="P347" s="45"/>
      <c r="Q347" s="1207" t="s">
        <v>999</v>
      </c>
      <c r="R347" s="45">
        <v>1</v>
      </c>
      <c r="S347" s="1208"/>
      <c r="T347" s="45"/>
      <c r="U347" s="1209"/>
      <c r="V347" s="45"/>
      <c r="W347" s="606"/>
      <c r="X347" s="45"/>
      <c r="Y347" s="1919"/>
      <c r="Z347" s="1906"/>
      <c r="AA347" s="1163">
        <f t="shared" si="15"/>
        <v>44175</v>
      </c>
      <c r="AB347" s="21"/>
    </row>
    <row r="348" spans="1:28" s="2" customFormat="1" x14ac:dyDescent="0.2">
      <c r="A348" s="522">
        <f t="shared" si="14"/>
        <v>41254</v>
      </c>
      <c r="B348" s="99">
        <v>2021</v>
      </c>
      <c r="C348" s="1210"/>
      <c r="D348" s="45"/>
      <c r="E348" s="1211"/>
      <c r="F348" s="45"/>
      <c r="G348" s="1202"/>
      <c r="H348" s="45"/>
      <c r="I348" s="1203"/>
      <c r="J348" s="45"/>
      <c r="K348" s="1204"/>
      <c r="L348" s="45"/>
      <c r="M348" s="1205"/>
      <c r="N348" s="45"/>
      <c r="O348" s="1206"/>
      <c r="P348" s="45"/>
      <c r="Q348" s="1207"/>
      <c r="R348" s="45"/>
      <c r="S348" s="1208"/>
      <c r="T348" s="45"/>
      <c r="U348" s="1209"/>
      <c r="V348" s="45"/>
      <c r="W348" s="606"/>
      <c r="X348" s="45"/>
      <c r="Y348" s="1919"/>
      <c r="Z348" s="1236"/>
      <c r="AA348" s="1163">
        <f t="shared" si="15"/>
        <v>44176</v>
      </c>
      <c r="AB348" s="1197">
        <v>44541</v>
      </c>
    </row>
    <row r="349" spans="1:28" x14ac:dyDescent="0.2">
      <c r="A349" s="1167">
        <f t="shared" si="14"/>
        <v>41255</v>
      </c>
      <c r="C349" s="1210" t="s">
        <v>1122</v>
      </c>
      <c r="D349" s="45">
        <v>1</v>
      </c>
      <c r="E349" s="1211"/>
      <c r="F349" s="45"/>
      <c r="G349" s="1202"/>
      <c r="H349" s="45"/>
      <c r="I349" s="1203"/>
      <c r="J349" s="45"/>
      <c r="K349" s="1204"/>
      <c r="L349" s="45"/>
      <c r="M349" s="1205"/>
      <c r="N349" s="45"/>
      <c r="O349" s="1206" t="s">
        <v>1122</v>
      </c>
      <c r="P349" s="45">
        <v>1</v>
      </c>
      <c r="Q349" s="1207"/>
      <c r="R349" s="45"/>
      <c r="S349" s="1208"/>
      <c r="T349" s="45"/>
      <c r="U349" s="1209"/>
      <c r="V349" s="45"/>
      <c r="W349" s="606"/>
      <c r="X349" s="45"/>
      <c r="Y349" s="1919"/>
      <c r="Z349" s="1906"/>
      <c r="AA349" s="1163">
        <f t="shared" si="15"/>
        <v>44177</v>
      </c>
      <c r="AB349" s="21"/>
    </row>
    <row r="350" spans="1:28" x14ac:dyDescent="0.2">
      <c r="A350" s="1168">
        <f t="shared" si="14"/>
        <v>41256</v>
      </c>
      <c r="C350" s="1210"/>
      <c r="D350" s="45"/>
      <c r="E350" s="1211"/>
      <c r="F350" s="45"/>
      <c r="G350" s="1202"/>
      <c r="H350" s="45"/>
      <c r="I350" s="1203"/>
      <c r="J350" s="45"/>
      <c r="K350" s="1204"/>
      <c r="L350" s="45"/>
      <c r="M350" s="1205" t="s">
        <v>5544</v>
      </c>
      <c r="N350" s="45">
        <v>1</v>
      </c>
      <c r="O350" s="1206"/>
      <c r="P350" s="45"/>
      <c r="Q350" s="1207"/>
      <c r="R350" s="45"/>
      <c r="S350" s="1208"/>
      <c r="T350" s="45"/>
      <c r="U350" s="1209"/>
      <c r="V350" s="45"/>
      <c r="W350" s="606"/>
      <c r="X350" s="45"/>
      <c r="Y350" s="1919"/>
      <c r="Z350" s="1906"/>
      <c r="AA350" s="1163">
        <f t="shared" si="15"/>
        <v>44178</v>
      </c>
      <c r="AB350" s="21"/>
    </row>
    <row r="351" spans="1:28" x14ac:dyDescent="0.2">
      <c r="A351" s="1173">
        <f t="shared" si="14"/>
        <v>41257</v>
      </c>
      <c r="C351" s="1210"/>
      <c r="D351" s="45"/>
      <c r="E351" s="1211"/>
      <c r="F351" s="45"/>
      <c r="G351" s="1202"/>
      <c r="H351" s="45"/>
      <c r="I351" s="1203"/>
      <c r="J351" s="45"/>
      <c r="K351" s="1204" t="s">
        <v>5544</v>
      </c>
      <c r="L351" s="45">
        <v>1</v>
      </c>
      <c r="M351" s="1205"/>
      <c r="N351" s="45"/>
      <c r="O351" s="1206"/>
      <c r="P351" s="45"/>
      <c r="Q351" s="1207"/>
      <c r="R351" s="45"/>
      <c r="S351" s="1208"/>
      <c r="T351" s="45"/>
      <c r="U351" s="1209"/>
      <c r="V351" s="45"/>
      <c r="W351" s="606" t="s">
        <v>5544</v>
      </c>
      <c r="X351" s="45"/>
      <c r="Y351" s="1919"/>
      <c r="Z351" s="1906"/>
      <c r="AA351" s="1163">
        <f t="shared" si="15"/>
        <v>44179</v>
      </c>
      <c r="AB351" s="21"/>
    </row>
    <row r="352" spans="1:28" x14ac:dyDescent="0.2">
      <c r="A352" s="1182">
        <f t="shared" si="14"/>
        <v>41258</v>
      </c>
      <c r="C352" s="1210"/>
      <c r="D352" s="45"/>
      <c r="E352" s="1211"/>
      <c r="F352" s="45"/>
      <c r="G352" s="1202"/>
      <c r="H352" s="45"/>
      <c r="I352" s="1203" t="s">
        <v>5544</v>
      </c>
      <c r="J352" s="45">
        <v>1</v>
      </c>
      <c r="K352" s="1204"/>
      <c r="L352" s="45"/>
      <c r="M352" s="1205"/>
      <c r="N352" s="45"/>
      <c r="O352" s="1206"/>
      <c r="P352" s="45"/>
      <c r="Q352" s="1207"/>
      <c r="R352" s="45"/>
      <c r="S352" s="1208"/>
      <c r="T352" s="45"/>
      <c r="U352" s="1209" t="s">
        <v>5544</v>
      </c>
      <c r="V352" s="45">
        <v>1</v>
      </c>
      <c r="W352" s="606" t="s">
        <v>16140</v>
      </c>
      <c r="X352" s="45"/>
      <c r="Y352" s="1919"/>
      <c r="Z352" s="1906"/>
      <c r="AA352" s="1163">
        <f t="shared" si="15"/>
        <v>44180</v>
      </c>
      <c r="AB352" s="21"/>
    </row>
    <row r="353" spans="1:28" x14ac:dyDescent="0.2">
      <c r="A353" s="1176">
        <f t="shared" si="14"/>
        <v>41259</v>
      </c>
      <c r="C353" s="1210"/>
      <c r="D353" s="45"/>
      <c r="E353" s="1211"/>
      <c r="F353" s="45"/>
      <c r="G353" s="1202"/>
      <c r="H353" s="45"/>
      <c r="I353" s="1203"/>
      <c r="J353" s="45"/>
      <c r="K353" s="1204"/>
      <c r="L353" s="45"/>
      <c r="M353" s="1205"/>
      <c r="N353" s="45"/>
      <c r="O353" s="1206"/>
      <c r="P353" s="45"/>
      <c r="Q353" s="1207"/>
      <c r="R353" s="45"/>
      <c r="S353" s="1208" t="s">
        <v>5544</v>
      </c>
      <c r="T353" s="45">
        <v>1</v>
      </c>
      <c r="U353" s="1209"/>
      <c r="V353" s="45"/>
      <c r="W353" s="606"/>
      <c r="X353" s="45"/>
      <c r="Y353" s="1919"/>
      <c r="Z353" s="1906"/>
      <c r="AA353" s="1163">
        <f t="shared" si="15"/>
        <v>44181</v>
      </c>
      <c r="AB353" s="21"/>
    </row>
    <row r="354" spans="1:28" x14ac:dyDescent="0.2">
      <c r="A354" s="1178">
        <f t="shared" si="14"/>
        <v>41260</v>
      </c>
      <c r="C354" s="1210"/>
      <c r="D354" s="45"/>
      <c r="E354" s="1211"/>
      <c r="F354" s="45"/>
      <c r="G354" s="1217" t="s">
        <v>11198</v>
      </c>
      <c r="H354" s="45"/>
      <c r="I354" s="1203"/>
      <c r="J354" s="45"/>
      <c r="K354" s="1204"/>
      <c r="L354" s="45"/>
      <c r="M354" s="1205"/>
      <c r="N354" s="45"/>
      <c r="O354" s="1206"/>
      <c r="P354" s="45"/>
      <c r="Q354" s="1207" t="s">
        <v>5544</v>
      </c>
      <c r="R354" s="45">
        <v>1</v>
      </c>
      <c r="S354" s="1208"/>
      <c r="T354" s="45"/>
      <c r="U354" s="1209"/>
      <c r="V354" s="45"/>
      <c r="W354" s="606"/>
      <c r="X354" s="45"/>
      <c r="Y354" s="1919"/>
      <c r="Z354" s="1906"/>
      <c r="AA354" s="1163">
        <f t="shared" si="15"/>
        <v>44182</v>
      </c>
      <c r="AB354" s="21"/>
    </row>
    <row r="355" spans="1:28" x14ac:dyDescent="0.2">
      <c r="A355" s="522">
        <f t="shared" si="14"/>
        <v>41261</v>
      </c>
      <c r="B355" s="99">
        <v>2021</v>
      </c>
      <c r="C355" s="1210"/>
      <c r="D355" s="45"/>
      <c r="E355" s="1211"/>
      <c r="F355" s="45"/>
      <c r="G355" s="1202"/>
      <c r="H355" s="45"/>
      <c r="I355" s="1203"/>
      <c r="J355" s="45"/>
      <c r="K355" s="1204"/>
      <c r="L355" s="45"/>
      <c r="M355" s="1205"/>
      <c r="N355" s="45"/>
      <c r="O355" s="1206"/>
      <c r="P355" s="45"/>
      <c r="Q355" s="1207"/>
      <c r="R355" s="45"/>
      <c r="S355" s="1208"/>
      <c r="T355" s="45"/>
      <c r="U355" s="1209"/>
      <c r="V355" s="45"/>
      <c r="W355" s="606"/>
      <c r="X355" s="45"/>
      <c r="Y355" s="1919"/>
      <c r="AA355" s="1163">
        <f t="shared" si="15"/>
        <v>44183</v>
      </c>
      <c r="AB355" s="21">
        <v>44548</v>
      </c>
    </row>
    <row r="356" spans="1:28" x14ac:dyDescent="0.2">
      <c r="A356" s="1167">
        <f t="shared" si="14"/>
        <v>41262</v>
      </c>
      <c r="C356" s="1210"/>
      <c r="D356" s="45"/>
      <c r="E356" s="1211"/>
      <c r="F356" s="45"/>
      <c r="G356" s="1202"/>
      <c r="H356" s="45"/>
      <c r="I356" s="1203"/>
      <c r="J356" s="45"/>
      <c r="K356" s="1204"/>
      <c r="L356" s="45"/>
      <c r="M356" s="1205"/>
      <c r="N356" s="45"/>
      <c r="O356" s="1206" t="s">
        <v>5544</v>
      </c>
      <c r="P356" s="45">
        <v>1</v>
      </c>
      <c r="Q356" s="1207"/>
      <c r="R356" s="45"/>
      <c r="S356" s="1208"/>
      <c r="T356" s="45"/>
      <c r="U356" s="1209"/>
      <c r="V356" s="45"/>
      <c r="W356" s="606"/>
      <c r="X356" s="45"/>
      <c r="Y356" s="1919"/>
      <c r="Z356" s="1906"/>
      <c r="AA356" s="1163">
        <f t="shared" si="15"/>
        <v>44184</v>
      </c>
      <c r="AB356" s="21"/>
    </row>
    <row r="357" spans="1:28" x14ac:dyDescent="0.2">
      <c r="A357" s="1168">
        <f t="shared" si="14"/>
        <v>41263</v>
      </c>
      <c r="C357" s="1210"/>
      <c r="D357" s="45"/>
      <c r="E357" s="1211"/>
      <c r="F357" s="45"/>
      <c r="G357" s="1202"/>
      <c r="H357" s="45"/>
      <c r="I357" s="1203"/>
      <c r="J357" s="45"/>
      <c r="K357" s="1204"/>
      <c r="L357" s="45"/>
      <c r="M357" s="1205" t="s">
        <v>1122</v>
      </c>
      <c r="N357" s="45">
        <v>1</v>
      </c>
      <c r="O357" s="1206"/>
      <c r="P357" s="45"/>
      <c r="Q357" s="1207"/>
      <c r="R357" s="45"/>
      <c r="S357" s="1208"/>
      <c r="T357" s="45"/>
      <c r="U357" s="1209"/>
      <c r="V357" s="45"/>
      <c r="W357" s="606"/>
      <c r="X357" s="45"/>
      <c r="Y357" s="1919"/>
      <c r="Z357" s="1906"/>
      <c r="AA357" s="1163">
        <f t="shared" si="15"/>
        <v>44185</v>
      </c>
      <c r="AB357" s="21"/>
    </row>
    <row r="358" spans="1:28" x14ac:dyDescent="0.2">
      <c r="A358" s="1173">
        <f t="shared" si="14"/>
        <v>41264</v>
      </c>
      <c r="C358" s="1210"/>
      <c r="D358" s="45"/>
      <c r="E358" s="1211"/>
      <c r="F358" s="45"/>
      <c r="G358" s="1202"/>
      <c r="H358" s="45"/>
      <c r="I358" s="1203"/>
      <c r="J358" s="45"/>
      <c r="K358" s="1204" t="s">
        <v>2048</v>
      </c>
      <c r="L358" s="45">
        <v>1</v>
      </c>
      <c r="M358" s="1205"/>
      <c r="N358" s="45"/>
      <c r="O358" s="1206"/>
      <c r="P358" s="45"/>
      <c r="Q358" s="1207"/>
      <c r="R358" s="45"/>
      <c r="S358" s="1208"/>
      <c r="T358" s="45"/>
      <c r="U358" s="1209"/>
      <c r="V358" s="45"/>
      <c r="W358" s="606" t="s">
        <v>5544</v>
      </c>
      <c r="X358" s="45"/>
      <c r="Y358" s="1919"/>
      <c r="Z358" s="1906"/>
      <c r="AA358" s="1163">
        <f t="shared" si="15"/>
        <v>44186</v>
      </c>
      <c r="AB358" s="21"/>
    </row>
    <row r="359" spans="1:28" x14ac:dyDescent="0.2">
      <c r="A359" s="1188">
        <f t="shared" si="14"/>
        <v>41265</v>
      </c>
      <c r="B359" s="173"/>
      <c r="C359" s="1210"/>
      <c r="D359" s="45"/>
      <c r="E359" s="1211"/>
      <c r="F359" s="45"/>
      <c r="G359" s="1202"/>
      <c r="H359" s="45"/>
      <c r="I359" s="1203" t="s">
        <v>5544</v>
      </c>
      <c r="J359" s="45">
        <v>1</v>
      </c>
      <c r="K359" s="1204"/>
      <c r="L359" s="45"/>
      <c r="M359" s="1205"/>
      <c r="N359" s="45"/>
      <c r="O359" s="1206"/>
      <c r="P359" s="45"/>
      <c r="Q359" s="1207"/>
      <c r="R359" s="45"/>
      <c r="S359" s="1208"/>
      <c r="T359" s="45"/>
      <c r="U359" s="1209" t="s">
        <v>1122</v>
      </c>
      <c r="V359" s="45">
        <v>1</v>
      </c>
      <c r="W359" s="606" t="s">
        <v>16140</v>
      </c>
      <c r="X359" s="45"/>
      <c r="Y359" s="1919"/>
      <c r="Z359" s="1906"/>
      <c r="AA359" s="1163">
        <f t="shared" si="15"/>
        <v>44187</v>
      </c>
      <c r="AB359" s="21"/>
    </row>
    <row r="360" spans="1:28" x14ac:dyDescent="0.2">
      <c r="A360" s="1176">
        <f t="shared" si="14"/>
        <v>41266</v>
      </c>
      <c r="C360" s="1210"/>
      <c r="D360" s="45"/>
      <c r="E360" s="1211"/>
      <c r="F360" s="45"/>
      <c r="G360" s="1202"/>
      <c r="H360" s="45"/>
      <c r="I360" s="1203"/>
      <c r="J360" s="45"/>
      <c r="K360" s="1204"/>
      <c r="L360" s="45"/>
      <c r="M360" s="1205"/>
      <c r="N360" s="45"/>
      <c r="O360" s="1206"/>
      <c r="P360" s="45"/>
      <c r="Q360" s="1207"/>
      <c r="R360" s="45"/>
      <c r="S360" s="1208" t="s">
        <v>2048</v>
      </c>
      <c r="T360" s="45">
        <v>1</v>
      </c>
      <c r="U360" s="1209"/>
      <c r="V360" s="45"/>
      <c r="W360" s="606"/>
      <c r="X360" s="45"/>
      <c r="Y360" s="1919"/>
      <c r="Z360" s="1906"/>
      <c r="AA360" s="1163">
        <f t="shared" si="15"/>
        <v>44188</v>
      </c>
      <c r="AB360" s="21"/>
    </row>
    <row r="361" spans="1:28" x14ac:dyDescent="0.2">
      <c r="A361" s="1178">
        <f t="shared" si="14"/>
        <v>41267</v>
      </c>
      <c r="C361" s="1210"/>
      <c r="D361" s="45"/>
      <c r="E361" s="1211"/>
      <c r="F361" s="45"/>
      <c r="G361" s="1217"/>
      <c r="H361" s="45"/>
      <c r="I361" s="1203"/>
      <c r="J361" s="45"/>
      <c r="K361" s="1204"/>
      <c r="L361" s="45"/>
      <c r="M361" s="1205"/>
      <c r="N361" s="45"/>
      <c r="O361" s="1206"/>
      <c r="P361" s="45"/>
      <c r="Q361" s="1207" t="s">
        <v>2048</v>
      </c>
      <c r="R361" s="45">
        <v>1</v>
      </c>
      <c r="S361" s="1208"/>
      <c r="T361" s="45"/>
      <c r="U361" s="1209"/>
      <c r="V361" s="45"/>
      <c r="W361" s="606"/>
      <c r="X361" s="45"/>
      <c r="Y361" s="1919"/>
      <c r="Z361" s="1906"/>
      <c r="AA361" s="1163">
        <f t="shared" si="15"/>
        <v>44189</v>
      </c>
      <c r="AB361" s="21"/>
    </row>
    <row r="362" spans="1:28" s="2" customFormat="1" x14ac:dyDescent="0.2">
      <c r="A362" s="12">
        <f t="shared" si="14"/>
        <v>41268</v>
      </c>
      <c r="B362" s="1926">
        <v>2020</v>
      </c>
      <c r="C362" s="1200"/>
      <c r="D362" s="356"/>
      <c r="E362" s="1201"/>
      <c r="F362" s="356"/>
      <c r="G362" s="1219"/>
      <c r="H362" s="356"/>
      <c r="I362" s="1220"/>
      <c r="J362" s="356"/>
      <c r="K362" s="1221"/>
      <c r="L362" s="356"/>
      <c r="M362" s="1222"/>
      <c r="N362" s="356"/>
      <c r="O362" s="1223"/>
      <c r="P362" s="356"/>
      <c r="Q362" s="1224"/>
      <c r="R362" s="356"/>
      <c r="S362" s="1225"/>
      <c r="T362" s="356"/>
      <c r="U362" s="1228"/>
      <c r="V362" s="356"/>
      <c r="W362" s="1226"/>
      <c r="X362" s="356"/>
      <c r="Y362" s="1922"/>
      <c r="Z362" s="1908"/>
      <c r="AA362" s="1163">
        <f t="shared" si="15"/>
        <v>44190</v>
      </c>
      <c r="AB362" s="1193">
        <v>44555</v>
      </c>
    </row>
    <row r="363" spans="1:28" s="2" customFormat="1" x14ac:dyDescent="0.2">
      <c r="A363" s="522">
        <f t="shared" si="14"/>
        <v>41269</v>
      </c>
      <c r="B363" s="1926">
        <v>2020</v>
      </c>
      <c r="C363" s="1200"/>
      <c r="D363" s="356"/>
      <c r="E363" s="1201"/>
      <c r="F363" s="356"/>
      <c r="G363" s="1219"/>
      <c r="H363" s="356"/>
      <c r="I363" s="1220"/>
      <c r="J363" s="356"/>
      <c r="K363" s="1221"/>
      <c r="L363" s="356"/>
      <c r="M363" s="1222"/>
      <c r="N363" s="356"/>
      <c r="O363" s="1227"/>
      <c r="P363" s="356"/>
      <c r="Q363" s="1224"/>
      <c r="R363" s="356"/>
      <c r="S363" s="1225"/>
      <c r="T363" s="356"/>
      <c r="U363" s="1228"/>
      <c r="V363" s="356"/>
      <c r="W363" s="1226"/>
      <c r="X363" s="356"/>
      <c r="Y363" s="1919"/>
      <c r="Z363" s="1236"/>
      <c r="AA363" s="1186">
        <f t="shared" si="15"/>
        <v>44191</v>
      </c>
      <c r="AB363" s="1193"/>
    </row>
    <row r="364" spans="1:28" x14ac:dyDescent="0.2">
      <c r="A364" s="1168">
        <f t="shared" si="14"/>
        <v>41270</v>
      </c>
      <c r="C364" s="1210"/>
      <c r="D364" s="45"/>
      <c r="E364" s="1211"/>
      <c r="F364" s="45"/>
      <c r="G364" s="1202"/>
      <c r="H364" s="45"/>
      <c r="I364" s="1203"/>
      <c r="J364" s="45"/>
      <c r="K364" s="1204"/>
      <c r="L364" s="45"/>
      <c r="M364" s="1205" t="s">
        <v>2048</v>
      </c>
      <c r="N364" s="45">
        <v>1</v>
      </c>
      <c r="O364" s="1206"/>
      <c r="P364" s="45"/>
      <c r="Q364" s="1207"/>
      <c r="R364" s="45"/>
      <c r="S364" s="1208"/>
      <c r="T364" s="45"/>
      <c r="U364" s="1209"/>
      <c r="V364" s="45"/>
      <c r="W364" s="606"/>
      <c r="X364" s="45"/>
      <c r="Y364" s="1919"/>
      <c r="AA364" s="1163">
        <f t="shared" si="15"/>
        <v>44192</v>
      </c>
      <c r="AB364" s="21"/>
    </row>
    <row r="365" spans="1:28" x14ac:dyDescent="0.2">
      <c r="A365" s="1173">
        <f t="shared" si="14"/>
        <v>41271</v>
      </c>
      <c r="C365" s="1210"/>
      <c r="D365" s="45"/>
      <c r="E365" s="1211"/>
      <c r="F365" s="45"/>
      <c r="G365" s="1202"/>
      <c r="H365" s="45"/>
      <c r="I365" s="1203"/>
      <c r="J365" s="45"/>
      <c r="K365" s="1204" t="s">
        <v>11267</v>
      </c>
      <c r="L365" s="45">
        <v>1</v>
      </c>
      <c r="M365" s="1205"/>
      <c r="N365" s="45"/>
      <c r="O365" s="1206"/>
      <c r="P365" s="45"/>
      <c r="Q365" s="1207"/>
      <c r="R365" s="45"/>
      <c r="S365" s="1208"/>
      <c r="T365" s="45"/>
      <c r="U365" s="1209"/>
      <c r="V365" s="45"/>
      <c r="W365" s="606" t="s">
        <v>5544</v>
      </c>
      <c r="X365" s="45"/>
      <c r="Y365" s="1919"/>
      <c r="Z365" s="1906"/>
      <c r="AA365" s="1163">
        <f t="shared" si="15"/>
        <v>44193</v>
      </c>
      <c r="AB365" s="21"/>
    </row>
    <row r="366" spans="1:28" x14ac:dyDescent="0.2">
      <c r="A366" s="1187">
        <f t="shared" si="14"/>
        <v>41272</v>
      </c>
      <c r="B366" s="99"/>
      <c r="C366" s="1210"/>
      <c r="D366" s="45"/>
      <c r="E366" s="1211"/>
      <c r="F366" s="45"/>
      <c r="G366" s="1202"/>
      <c r="H366" s="45"/>
      <c r="I366" s="1203" t="s">
        <v>5544</v>
      </c>
      <c r="J366" s="45">
        <v>1</v>
      </c>
      <c r="K366" s="1204"/>
      <c r="L366" s="45"/>
      <c r="M366" s="1205"/>
      <c r="N366" s="45"/>
      <c r="O366" s="1206"/>
      <c r="P366" s="45"/>
      <c r="Q366" s="1207"/>
      <c r="R366" s="45"/>
      <c r="S366" s="1208"/>
      <c r="T366" s="45"/>
      <c r="U366" s="1209" t="s">
        <v>5095</v>
      </c>
      <c r="V366" s="45">
        <v>1</v>
      </c>
      <c r="W366" s="606" t="s">
        <v>16140</v>
      </c>
      <c r="X366" s="45"/>
      <c r="Y366" s="1919"/>
      <c r="AA366" s="1163">
        <f t="shared" si="15"/>
        <v>44194</v>
      </c>
      <c r="AB366" s="21"/>
    </row>
    <row r="367" spans="1:28" x14ac:dyDescent="0.2">
      <c r="A367" s="1176">
        <f t="shared" si="14"/>
        <v>41273</v>
      </c>
      <c r="C367" s="1210"/>
      <c r="D367" s="45"/>
      <c r="E367" s="1211"/>
      <c r="F367" s="45"/>
      <c r="G367" s="1202"/>
      <c r="H367" s="45"/>
      <c r="I367" s="1203" t="s">
        <v>1212</v>
      </c>
      <c r="J367" s="45"/>
      <c r="K367" s="1204"/>
      <c r="L367" s="45"/>
      <c r="M367" s="1205"/>
      <c r="N367" s="45"/>
      <c r="O367" s="1206"/>
      <c r="P367" s="45"/>
      <c r="Q367" s="1207"/>
      <c r="R367" s="45"/>
      <c r="S367" s="1208" t="s">
        <v>5544</v>
      </c>
      <c r="T367" s="45">
        <v>1</v>
      </c>
      <c r="U367" s="1209"/>
      <c r="V367" s="45"/>
      <c r="W367" s="606"/>
      <c r="X367" s="45"/>
      <c r="Y367" s="1919"/>
      <c r="AA367" s="1163">
        <f t="shared" si="15"/>
        <v>44195</v>
      </c>
      <c r="AB367" s="21"/>
    </row>
    <row r="368" spans="1:28" x14ac:dyDescent="0.2">
      <c r="A368" s="1169">
        <f t="shared" si="14"/>
        <v>41274</v>
      </c>
      <c r="C368" s="1210"/>
      <c r="D368" s="45"/>
      <c r="E368" s="1211"/>
      <c r="F368" s="45"/>
      <c r="G368" s="1202" t="s">
        <v>5544</v>
      </c>
      <c r="H368" s="45">
        <v>1</v>
      </c>
      <c r="I368" s="1203"/>
      <c r="J368" s="45"/>
      <c r="K368" s="1204"/>
      <c r="L368" s="45"/>
      <c r="M368" s="1205"/>
      <c r="N368" s="45"/>
      <c r="O368" s="1206"/>
      <c r="P368" s="45"/>
      <c r="Q368" s="1207" t="s">
        <v>5544</v>
      </c>
      <c r="R368" s="45">
        <v>1</v>
      </c>
      <c r="S368" s="1208"/>
      <c r="T368" s="45"/>
      <c r="U368" s="1209"/>
      <c r="V368" s="45"/>
      <c r="W368" s="606"/>
      <c r="X368" s="45"/>
      <c r="Y368" s="1919"/>
      <c r="AA368" s="1163">
        <f t="shared" si="15"/>
        <v>44196</v>
      </c>
      <c r="AB368" s="21"/>
    </row>
    <row r="369" spans="1:28" x14ac:dyDescent="0.2">
      <c r="A369" s="522" t="s">
        <v>15455</v>
      </c>
      <c r="B369" s="1675">
        <f>COUNT(B3:B368)</f>
        <v>74</v>
      </c>
      <c r="C369" s="1210">
        <v>2009</v>
      </c>
      <c r="D369" s="45"/>
      <c r="E369" s="1211">
        <v>2010</v>
      </c>
      <c r="F369" s="45"/>
      <c r="G369" s="1202">
        <v>2011</v>
      </c>
      <c r="H369" s="45"/>
      <c r="I369" s="1203">
        <v>2012</v>
      </c>
      <c r="J369" s="45"/>
      <c r="K369" s="1204">
        <v>2013</v>
      </c>
      <c r="L369" s="45"/>
      <c r="M369" s="1205">
        <v>2014</v>
      </c>
      <c r="N369" s="45"/>
      <c r="O369" s="1206">
        <v>2015</v>
      </c>
      <c r="P369" s="45"/>
      <c r="Q369" s="1207">
        <v>2016</v>
      </c>
      <c r="R369" s="45"/>
      <c r="S369" s="1208">
        <v>2017</v>
      </c>
      <c r="T369" s="45"/>
      <c r="U369" s="1209">
        <v>2018</v>
      </c>
      <c r="V369" s="45"/>
      <c r="W369" s="606">
        <v>2019</v>
      </c>
      <c r="X369" s="45"/>
      <c r="Y369" s="1923">
        <v>2020</v>
      </c>
      <c r="AA369" s="1163">
        <f t="shared" si="15"/>
        <v>44197</v>
      </c>
      <c r="AB369" s="21"/>
    </row>
    <row r="370" spans="1:28" x14ac:dyDescent="0.2">
      <c r="A370" s="9">
        <v>2020</v>
      </c>
      <c r="B370" s="9">
        <v>7</v>
      </c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1163"/>
      <c r="AA370" s="1163"/>
      <c r="AB370" s="21"/>
    </row>
    <row r="371" spans="1:28" x14ac:dyDescent="0.2">
      <c r="A371" s="9">
        <v>2021</v>
      </c>
      <c r="B371" s="9">
        <v>36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1163"/>
      <c r="AA371" s="1163"/>
      <c r="AB371" s="21"/>
    </row>
    <row r="372" spans="1:28" x14ac:dyDescent="0.2">
      <c r="A372" s="11"/>
      <c r="B372" s="1965">
        <f>(366-B369)/366</f>
        <v>0.79781420765027322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1163"/>
      <c r="AA372" s="1163"/>
      <c r="AB372" s="21"/>
    </row>
    <row r="373" spans="1:28" ht="15.75" x14ac:dyDescent="0.25">
      <c r="A373" s="1966">
        <f>Z375</f>
        <v>382</v>
      </c>
      <c r="C373" s="1200">
        <v>2009</v>
      </c>
      <c r="D373" s="356"/>
      <c r="E373" s="1201">
        <v>2010</v>
      </c>
      <c r="F373" s="356"/>
      <c r="G373" s="1219">
        <v>2011</v>
      </c>
      <c r="H373" s="356"/>
      <c r="I373" s="1220">
        <v>2012</v>
      </c>
      <c r="J373" s="356"/>
      <c r="K373" s="1221">
        <v>2013</v>
      </c>
      <c r="L373" s="356"/>
      <c r="M373" s="1222">
        <v>2014</v>
      </c>
      <c r="N373" s="356"/>
      <c r="O373" s="1223">
        <v>2015</v>
      </c>
      <c r="P373" s="356"/>
      <c r="Q373" s="1224">
        <v>2016</v>
      </c>
      <c r="R373" s="356"/>
      <c r="S373" s="1225">
        <v>2017</v>
      </c>
      <c r="T373" s="356"/>
      <c r="U373" s="1228">
        <v>2018</v>
      </c>
      <c r="V373" s="356"/>
      <c r="W373" s="1226">
        <v>2019</v>
      </c>
      <c r="X373" s="45"/>
      <c r="Y373" s="1920">
        <v>2020</v>
      </c>
      <c r="AA373" s="1163"/>
      <c r="AB373" s="21"/>
    </row>
    <row r="374" spans="1:28" s="185" customFormat="1" x14ac:dyDescent="0.25">
      <c r="A374" s="1157"/>
      <c r="B374" s="1243"/>
      <c r="D374" s="185">
        <f>SUM(D3:D369)</f>
        <v>8</v>
      </c>
      <c r="F374" s="185">
        <f t="shared" ref="F374:Z374" si="16">SUM(F3:F369)</f>
        <v>9</v>
      </c>
      <c r="H374" s="185">
        <f t="shared" si="16"/>
        <v>17</v>
      </c>
      <c r="J374" s="185">
        <f t="shared" si="16"/>
        <v>40</v>
      </c>
      <c r="L374" s="185">
        <f t="shared" si="16"/>
        <v>42</v>
      </c>
      <c r="N374" s="185">
        <f t="shared" si="16"/>
        <v>46</v>
      </c>
      <c r="P374" s="185">
        <f t="shared" si="16"/>
        <v>40</v>
      </c>
      <c r="R374" s="185">
        <f t="shared" si="16"/>
        <v>46</v>
      </c>
      <c r="T374" s="185">
        <f t="shared" si="16"/>
        <v>46</v>
      </c>
      <c r="V374" s="185">
        <f t="shared" si="16"/>
        <v>45</v>
      </c>
      <c r="X374" s="185">
        <f t="shared" si="16"/>
        <v>36</v>
      </c>
      <c r="Z374" s="185">
        <f t="shared" si="16"/>
        <v>7</v>
      </c>
    </row>
    <row r="375" spans="1:28" s="185" customFormat="1" x14ac:dyDescent="0.25">
      <c r="A375" s="1157"/>
      <c r="B375" s="1243"/>
      <c r="D375" s="185">
        <f>SUM(D4:D369)</f>
        <v>8</v>
      </c>
      <c r="F375" s="185">
        <f>D375+F374</f>
        <v>17</v>
      </c>
      <c r="H375" s="185">
        <f t="shared" ref="H375:J375" si="17">F375+H374</f>
        <v>34</v>
      </c>
      <c r="J375" s="185">
        <f t="shared" si="17"/>
        <v>74</v>
      </c>
      <c r="L375" s="185">
        <f t="shared" ref="L375" si="18">J375+L374</f>
        <v>116</v>
      </c>
      <c r="N375" s="185">
        <f t="shared" ref="N375" si="19">L375+N374</f>
        <v>162</v>
      </c>
      <c r="P375" s="185">
        <f t="shared" ref="P375" si="20">N375+P374</f>
        <v>202</v>
      </c>
      <c r="R375" s="185">
        <f t="shared" ref="R375" si="21">P375+R374</f>
        <v>248</v>
      </c>
      <c r="T375" s="185">
        <f t="shared" ref="T375" si="22">R375+T374</f>
        <v>294</v>
      </c>
      <c r="V375" s="185">
        <f t="shared" ref="V375" si="23">T375+V374</f>
        <v>339</v>
      </c>
      <c r="X375" s="185">
        <f>V375+X374</f>
        <v>375</v>
      </c>
      <c r="Z375" s="1909">
        <f>X375+Z374</f>
        <v>382</v>
      </c>
    </row>
    <row r="376" spans="1:28" x14ac:dyDescent="0.2">
      <c r="A376" s="80" t="s">
        <v>11431</v>
      </c>
      <c r="B376" s="99"/>
      <c r="C376" s="80" t="s">
        <v>1122</v>
      </c>
      <c r="E376" s="80" t="s">
        <v>11215</v>
      </c>
      <c r="G376" s="80" t="s">
        <v>5544</v>
      </c>
      <c r="I376" s="80" t="s">
        <v>3167</v>
      </c>
      <c r="K376" s="80" t="s">
        <v>1214</v>
      </c>
      <c r="M376" s="80" t="s">
        <v>559</v>
      </c>
      <c r="N376" s="80"/>
      <c r="O376" s="80" t="s">
        <v>209</v>
      </c>
      <c r="Q376" s="80" t="s">
        <v>1849</v>
      </c>
      <c r="S376" s="80" t="s">
        <v>3741</v>
      </c>
      <c r="U376" s="80" t="s">
        <v>203</v>
      </c>
      <c r="W376" s="80" t="s">
        <v>11009</v>
      </c>
      <c r="X376">
        <v>1</v>
      </c>
    </row>
    <row r="377" spans="1:28" x14ac:dyDescent="0.2">
      <c r="A377" s="80" t="s">
        <v>5821</v>
      </c>
      <c r="B377" s="99"/>
      <c r="E377" s="80"/>
      <c r="H377" s="80"/>
      <c r="I377" s="80" t="s">
        <v>5048</v>
      </c>
      <c r="K377" s="80" t="s">
        <v>1827</v>
      </c>
      <c r="M377" s="80" t="s">
        <v>11222</v>
      </c>
      <c r="N377" s="80"/>
      <c r="O377" s="80" t="s">
        <v>6020</v>
      </c>
      <c r="Q377" s="80" t="s">
        <v>2872</v>
      </c>
      <c r="S377" s="80" t="s">
        <v>6393</v>
      </c>
      <c r="U377" s="80" t="s">
        <v>4244</v>
      </c>
      <c r="W377" s="80" t="s">
        <v>12231</v>
      </c>
      <c r="X377">
        <v>1</v>
      </c>
    </row>
    <row r="378" spans="1:28" x14ac:dyDescent="0.2">
      <c r="A378" s="80" t="s">
        <v>999</v>
      </c>
      <c r="B378" s="99"/>
      <c r="C378" s="173"/>
      <c r="G378">
        <v>0</v>
      </c>
      <c r="I378" s="80" t="s">
        <v>999</v>
      </c>
      <c r="K378" s="80" t="s">
        <v>4556</v>
      </c>
      <c r="M378" s="80" t="s">
        <v>11268</v>
      </c>
      <c r="N378" s="80"/>
      <c r="O378" s="80" t="s">
        <v>420</v>
      </c>
      <c r="Q378" s="80" t="s">
        <v>4452</v>
      </c>
      <c r="S378" s="80" t="s">
        <v>11323</v>
      </c>
      <c r="U378" s="80" t="s">
        <v>1822</v>
      </c>
      <c r="W378" s="80" t="s">
        <v>12218</v>
      </c>
      <c r="X378">
        <v>1</v>
      </c>
    </row>
    <row r="379" spans="1:28" x14ac:dyDescent="0.2">
      <c r="A379" s="80" t="s">
        <v>11432</v>
      </c>
      <c r="B379" s="99"/>
      <c r="C379" s="173"/>
      <c r="G379">
        <v>1</v>
      </c>
      <c r="I379" s="80" t="s">
        <v>8245</v>
      </c>
      <c r="K379" s="80" t="s">
        <v>3346</v>
      </c>
      <c r="M379" s="80" t="s">
        <v>5889</v>
      </c>
      <c r="N379" s="80"/>
      <c r="O379" s="80" t="s">
        <v>4727</v>
      </c>
      <c r="Q379" s="80" t="s">
        <v>4216</v>
      </c>
      <c r="S379" s="80" t="s">
        <v>4053</v>
      </c>
      <c r="U379" s="80" t="s">
        <v>9307</v>
      </c>
      <c r="W379" s="80" t="s">
        <v>10983</v>
      </c>
      <c r="X379">
        <v>1</v>
      </c>
    </row>
    <row r="380" spans="1:28" x14ac:dyDescent="0.2">
      <c r="A380" s="80" t="s">
        <v>5239</v>
      </c>
      <c r="B380" s="99"/>
      <c r="C380" s="173"/>
      <c r="G380" s="1066"/>
      <c r="I380" s="80" t="s">
        <v>5183</v>
      </c>
      <c r="K380" s="80" t="s">
        <v>5484</v>
      </c>
      <c r="M380" s="80" t="s">
        <v>5947</v>
      </c>
      <c r="N380" s="80"/>
      <c r="O380" s="80" t="s">
        <v>1569</v>
      </c>
      <c r="Q380" s="80" t="s">
        <v>10937</v>
      </c>
      <c r="S380" s="80" t="s">
        <v>2627</v>
      </c>
      <c r="U380" s="80" t="s">
        <v>11325</v>
      </c>
      <c r="W380" s="80" t="s">
        <v>12510</v>
      </c>
      <c r="X380">
        <v>1</v>
      </c>
    </row>
    <row r="381" spans="1:28" x14ac:dyDescent="0.2">
      <c r="A381" s="80" t="s">
        <v>1783</v>
      </c>
      <c r="B381" s="99"/>
      <c r="C381" s="173"/>
      <c r="G381">
        <v>3</v>
      </c>
      <c r="I381" s="80" t="s">
        <v>2147</v>
      </c>
      <c r="K381" s="80" t="s">
        <v>1120</v>
      </c>
      <c r="M381" s="80" t="s">
        <v>449</v>
      </c>
      <c r="N381" s="80"/>
      <c r="O381" s="80" t="s">
        <v>1805</v>
      </c>
      <c r="Q381" s="80" t="s">
        <v>4936</v>
      </c>
      <c r="S381" s="80" t="s">
        <v>7938</v>
      </c>
      <c r="U381" s="80" t="s">
        <v>8015</v>
      </c>
      <c r="W381" s="80" t="s">
        <v>12834</v>
      </c>
      <c r="X381">
        <v>1</v>
      </c>
    </row>
    <row r="382" spans="1:28" x14ac:dyDescent="0.2">
      <c r="A382" s="80" t="s">
        <v>1822</v>
      </c>
      <c r="B382" s="99"/>
      <c r="C382" s="173"/>
      <c r="G382">
        <v>4</v>
      </c>
      <c r="I382" s="80"/>
      <c r="K382" s="80" t="s">
        <v>11220</v>
      </c>
      <c r="M382" s="80" t="s">
        <v>11269</v>
      </c>
      <c r="N382" s="80"/>
      <c r="O382" s="80" t="s">
        <v>2593</v>
      </c>
      <c r="Q382" s="80" t="s">
        <v>4510</v>
      </c>
      <c r="S382" s="80" t="s">
        <v>8111</v>
      </c>
      <c r="U382" s="80" t="s">
        <v>9406</v>
      </c>
      <c r="W382" s="80" t="s">
        <v>11665</v>
      </c>
      <c r="X382">
        <v>1</v>
      </c>
    </row>
    <row r="383" spans="1:28" x14ac:dyDescent="0.2">
      <c r="A383" s="80" t="s">
        <v>3741</v>
      </c>
      <c r="B383" s="99"/>
      <c r="C383" s="173"/>
      <c r="G383">
        <v>5</v>
      </c>
      <c r="I383" s="80"/>
      <c r="K383" s="80" t="s">
        <v>1003</v>
      </c>
      <c r="M383" s="80" t="s">
        <v>3612</v>
      </c>
      <c r="N383" s="80"/>
      <c r="O383" s="80" t="s">
        <v>6021</v>
      </c>
      <c r="P383" s="80"/>
      <c r="Q383" s="80" t="s">
        <v>3669</v>
      </c>
      <c r="S383" s="80" t="s">
        <v>8055</v>
      </c>
      <c r="U383" s="80" t="s">
        <v>9620</v>
      </c>
      <c r="W383" s="80" t="s">
        <v>12958</v>
      </c>
      <c r="X383">
        <v>1</v>
      </c>
    </row>
    <row r="384" spans="1:28" x14ac:dyDescent="0.2">
      <c r="A384" s="80" t="s">
        <v>6003</v>
      </c>
      <c r="B384" s="99"/>
      <c r="C384" s="173"/>
      <c r="G384">
        <v>6</v>
      </c>
      <c r="I384" s="80"/>
      <c r="K384" s="80" t="s">
        <v>5845</v>
      </c>
      <c r="M384" s="80" t="s">
        <v>5147</v>
      </c>
      <c r="N384" s="80"/>
      <c r="O384" s="80" t="s">
        <v>1719</v>
      </c>
      <c r="Q384" s="80" t="s">
        <v>3470</v>
      </c>
      <c r="S384" s="80" t="s">
        <v>4302</v>
      </c>
      <c r="U384" s="80" t="s">
        <v>11326</v>
      </c>
      <c r="W384" s="80" t="s">
        <v>15555</v>
      </c>
      <c r="X384">
        <v>1</v>
      </c>
    </row>
    <row r="385" spans="1:23" x14ac:dyDescent="0.2">
      <c r="A385" s="80" t="s">
        <v>3346</v>
      </c>
      <c r="B385" s="99"/>
      <c r="C385" s="99"/>
      <c r="G385">
        <v>7</v>
      </c>
      <c r="I385" s="80"/>
      <c r="K385" s="80" t="s">
        <v>4625</v>
      </c>
      <c r="M385" s="80" t="s">
        <v>2431</v>
      </c>
      <c r="N385" s="80"/>
      <c r="O385" s="80" t="s">
        <v>1627</v>
      </c>
      <c r="Q385" s="80" t="s">
        <v>11320</v>
      </c>
      <c r="S385" s="80" t="s">
        <v>11324</v>
      </c>
      <c r="U385" s="80" t="s">
        <v>8248</v>
      </c>
    </row>
    <row r="386" spans="1:23" x14ac:dyDescent="0.2">
      <c r="A386" s="532" t="s">
        <v>12833</v>
      </c>
      <c r="B386" s="99"/>
      <c r="C386" s="173"/>
      <c r="G386">
        <v>8</v>
      </c>
      <c r="I386" s="80"/>
      <c r="K386" s="80" t="s">
        <v>406</v>
      </c>
      <c r="M386" s="80" t="s">
        <v>4622</v>
      </c>
      <c r="N386" s="80"/>
      <c r="O386" s="80" t="s">
        <v>4861</v>
      </c>
      <c r="Q386" s="80" t="s">
        <v>5239</v>
      </c>
      <c r="S386" s="80" t="s">
        <v>8216</v>
      </c>
      <c r="U386" s="80" t="s">
        <v>11327</v>
      </c>
    </row>
    <row r="387" spans="1:23" x14ac:dyDescent="0.2">
      <c r="A387" s="80" t="s">
        <v>4544</v>
      </c>
      <c r="B387" s="99"/>
      <c r="C387" s="173"/>
      <c r="G387" s="1066"/>
      <c r="I387" s="80"/>
      <c r="K387" s="80" t="s">
        <v>5453</v>
      </c>
      <c r="M387" s="80" t="s">
        <v>6003</v>
      </c>
      <c r="N387" s="80"/>
      <c r="O387" s="80" t="s">
        <v>5483</v>
      </c>
      <c r="Q387" s="80" t="s">
        <v>2995</v>
      </c>
      <c r="U387" s="80" t="s">
        <v>11328</v>
      </c>
    </row>
    <row r="388" spans="1:23" x14ac:dyDescent="0.2">
      <c r="A388" s="80" t="s">
        <v>8015</v>
      </c>
      <c r="B388" s="99"/>
      <c r="C388" s="9"/>
      <c r="G388">
        <v>10</v>
      </c>
      <c r="K388" s="80" t="s">
        <v>2827</v>
      </c>
      <c r="M388" s="80" t="s">
        <v>6022</v>
      </c>
      <c r="N388" s="80"/>
      <c r="O388" s="80" t="s">
        <v>5821</v>
      </c>
      <c r="Q388" s="80" t="s">
        <v>11321</v>
      </c>
      <c r="T388" s="80"/>
      <c r="U388" s="80" t="s">
        <v>11329</v>
      </c>
    </row>
    <row r="389" spans="1:23" x14ac:dyDescent="0.2">
      <c r="A389" s="80" t="s">
        <v>3347</v>
      </c>
      <c r="B389" s="99"/>
      <c r="C389" s="173"/>
      <c r="G389">
        <v>11</v>
      </c>
      <c r="K389" s="80" t="s">
        <v>2048</v>
      </c>
      <c r="M389" s="80" t="s">
        <v>11147</v>
      </c>
      <c r="N389" s="80"/>
      <c r="O389" s="80" t="s">
        <v>4694</v>
      </c>
      <c r="Q389" s="80" t="s">
        <v>1982</v>
      </c>
      <c r="U389" s="80" t="s">
        <v>10441</v>
      </c>
    </row>
    <row r="390" spans="1:23" x14ac:dyDescent="0.2">
      <c r="A390" s="80" t="s">
        <v>4936</v>
      </c>
      <c r="B390" s="99"/>
      <c r="C390" s="173"/>
      <c r="G390">
        <v>12</v>
      </c>
      <c r="K390" s="80" t="s">
        <v>992</v>
      </c>
      <c r="M390" s="80" t="s">
        <v>4544</v>
      </c>
      <c r="N390" s="80"/>
      <c r="O390">
        <v>65</v>
      </c>
      <c r="Q390">
        <v>79</v>
      </c>
      <c r="S390">
        <v>90</v>
      </c>
      <c r="U390">
        <v>104</v>
      </c>
      <c r="W390" s="2">
        <f>U390+COUNT(X376:X389)</f>
        <v>113</v>
      </c>
    </row>
    <row r="391" spans="1:23" x14ac:dyDescent="0.2">
      <c r="A391" s="80" t="s">
        <v>4510</v>
      </c>
      <c r="B391" s="99"/>
      <c r="C391" s="173"/>
      <c r="G391">
        <v>13</v>
      </c>
      <c r="K391" s="80" t="s">
        <v>3347</v>
      </c>
      <c r="L391" s="80"/>
      <c r="M391" s="80" t="s">
        <v>4205</v>
      </c>
      <c r="N391" s="80"/>
    </row>
    <row r="392" spans="1:23" x14ac:dyDescent="0.2">
      <c r="A392" s="80" t="s">
        <v>1893</v>
      </c>
      <c r="B392" s="99"/>
      <c r="C392" s="173"/>
      <c r="G392">
        <v>14</v>
      </c>
      <c r="I392">
        <v>9</v>
      </c>
      <c r="K392">
        <v>25</v>
      </c>
      <c r="M392" s="80" t="s">
        <v>11270</v>
      </c>
      <c r="N392" s="80"/>
      <c r="W392" s="919" t="s">
        <v>12285</v>
      </c>
    </row>
    <row r="393" spans="1:23" x14ac:dyDescent="0.2">
      <c r="A393" s="80" t="s">
        <v>2830</v>
      </c>
      <c r="B393" s="99"/>
      <c r="C393" s="173"/>
      <c r="G393">
        <v>15</v>
      </c>
      <c r="M393" s="80" t="s">
        <v>5198</v>
      </c>
      <c r="N393" s="80"/>
      <c r="W393" s="532"/>
    </row>
    <row r="394" spans="1:23" x14ac:dyDescent="0.2">
      <c r="A394" s="532" t="s">
        <v>10983</v>
      </c>
      <c r="B394" s="99"/>
      <c r="C394" s="173"/>
      <c r="G394">
        <v>16</v>
      </c>
      <c r="M394" s="80" t="s">
        <v>1783</v>
      </c>
      <c r="N394" s="80"/>
      <c r="W394" s="532" t="s">
        <v>8144</v>
      </c>
    </row>
    <row r="395" spans="1:23" x14ac:dyDescent="0.2">
      <c r="A395" s="80" t="s">
        <v>4625</v>
      </c>
      <c r="B395" s="99"/>
      <c r="C395" s="173"/>
      <c r="G395">
        <v>17</v>
      </c>
      <c r="M395" s="80" t="s">
        <v>11142</v>
      </c>
      <c r="N395" s="80"/>
      <c r="W395" s="532" t="s">
        <v>9842</v>
      </c>
    </row>
    <row r="396" spans="1:23" x14ac:dyDescent="0.2">
      <c r="A396" s="80" t="s">
        <v>1120</v>
      </c>
      <c r="B396" s="99"/>
      <c r="C396" s="9"/>
      <c r="G396">
        <v>18</v>
      </c>
      <c r="M396" s="80" t="s">
        <v>11271</v>
      </c>
      <c r="N396" s="80"/>
      <c r="W396" s="532" t="s">
        <v>8143</v>
      </c>
    </row>
    <row r="397" spans="1:23" x14ac:dyDescent="0.2">
      <c r="A397" s="80" t="s">
        <v>11433</v>
      </c>
      <c r="B397" s="173"/>
      <c r="C397" s="173"/>
      <c r="F397" s="2"/>
      <c r="G397">
        <v>19</v>
      </c>
      <c r="M397" s="80" t="s">
        <v>6019</v>
      </c>
      <c r="N397" s="80"/>
      <c r="W397" s="532" t="s">
        <v>9134</v>
      </c>
    </row>
    <row r="398" spans="1:23" x14ac:dyDescent="0.2">
      <c r="A398" s="80" t="s">
        <v>2593</v>
      </c>
      <c r="C398" s="173"/>
      <c r="D398" s="80"/>
      <c r="F398" s="1162"/>
      <c r="G398">
        <v>20</v>
      </c>
      <c r="M398" s="80" t="s">
        <v>4862</v>
      </c>
      <c r="N398" s="80"/>
      <c r="W398" s="532" t="s">
        <v>9655</v>
      </c>
    </row>
    <row r="399" spans="1:23" x14ac:dyDescent="0.2">
      <c r="A399" s="80" t="s">
        <v>9620</v>
      </c>
      <c r="C399" s="173"/>
      <c r="D399" s="80"/>
      <c r="F399" s="1163"/>
      <c r="G399">
        <v>21</v>
      </c>
      <c r="M399" s="80" t="s">
        <v>5785</v>
      </c>
      <c r="N399" s="80"/>
      <c r="W399" s="1370"/>
    </row>
    <row r="400" spans="1:23" x14ac:dyDescent="0.2">
      <c r="A400" s="80" t="s">
        <v>9406</v>
      </c>
      <c r="C400" s="173"/>
      <c r="D400" s="80"/>
      <c r="F400" s="1163"/>
      <c r="G400">
        <v>22</v>
      </c>
      <c r="M400" s="80" t="s">
        <v>1893</v>
      </c>
      <c r="N400" s="80"/>
      <c r="W400" s="1370"/>
    </row>
    <row r="401" spans="1:17" x14ac:dyDescent="0.2">
      <c r="A401" s="80" t="s">
        <v>8245</v>
      </c>
      <c r="C401" s="173"/>
      <c r="D401" s="80"/>
      <c r="F401" s="1163"/>
      <c r="G401">
        <v>23</v>
      </c>
      <c r="M401" s="80" t="s">
        <v>2830</v>
      </c>
      <c r="N401" s="80"/>
    </row>
    <row r="402" spans="1:17" x14ac:dyDescent="0.2">
      <c r="A402" s="80" t="s">
        <v>11142</v>
      </c>
      <c r="C402" s="173"/>
      <c r="D402" s="80"/>
      <c r="F402" s="1163"/>
      <c r="G402">
        <v>24</v>
      </c>
      <c r="M402">
        <v>51</v>
      </c>
    </row>
    <row r="403" spans="1:17" x14ac:dyDescent="0.2">
      <c r="A403" s="80" t="s">
        <v>11434</v>
      </c>
      <c r="C403" s="173"/>
      <c r="D403" s="80"/>
      <c r="F403" s="1163"/>
      <c r="G403">
        <v>25</v>
      </c>
    </row>
    <row r="404" spans="1:17" x14ac:dyDescent="0.2">
      <c r="A404" s="80" t="s">
        <v>11327</v>
      </c>
      <c r="C404" s="173"/>
      <c r="D404" s="80"/>
      <c r="F404" s="1163"/>
      <c r="G404">
        <v>26</v>
      </c>
    </row>
    <row r="405" spans="1:17" x14ac:dyDescent="0.2">
      <c r="A405" s="532" t="s">
        <v>10192</v>
      </c>
      <c r="C405" s="173"/>
      <c r="G405">
        <v>27</v>
      </c>
    </row>
    <row r="406" spans="1:17" x14ac:dyDescent="0.2">
      <c r="A406" s="80" t="s">
        <v>209</v>
      </c>
      <c r="C406" s="173"/>
      <c r="G406">
        <v>28</v>
      </c>
    </row>
    <row r="407" spans="1:17" x14ac:dyDescent="0.2">
      <c r="A407" s="80" t="s">
        <v>11435</v>
      </c>
      <c r="C407" s="9"/>
      <c r="G407">
        <v>29</v>
      </c>
      <c r="P407" s="80" t="s">
        <v>11272</v>
      </c>
      <c r="Q407" s="80"/>
    </row>
    <row r="408" spans="1:17" x14ac:dyDescent="0.2">
      <c r="A408" s="80" t="s">
        <v>5889</v>
      </c>
      <c r="C408" s="173"/>
      <c r="G408">
        <v>30</v>
      </c>
    </row>
    <row r="409" spans="1:17" x14ac:dyDescent="0.2">
      <c r="A409" s="80" t="s">
        <v>3470</v>
      </c>
      <c r="C409" s="173"/>
      <c r="G409">
        <v>31</v>
      </c>
    </row>
    <row r="410" spans="1:17" x14ac:dyDescent="0.2">
      <c r="A410" s="80" t="s">
        <v>11436</v>
      </c>
      <c r="C410" s="173"/>
      <c r="G410">
        <v>32</v>
      </c>
    </row>
    <row r="411" spans="1:17" x14ac:dyDescent="0.2">
      <c r="A411" s="80" t="s">
        <v>11328</v>
      </c>
      <c r="C411" s="173"/>
      <c r="G411">
        <v>33</v>
      </c>
    </row>
    <row r="412" spans="1:17" x14ac:dyDescent="0.2">
      <c r="A412" s="80" t="s">
        <v>4302</v>
      </c>
      <c r="C412" s="173"/>
      <c r="E412" s="34"/>
      <c r="G412">
        <v>34</v>
      </c>
    </row>
    <row r="413" spans="1:17" x14ac:dyDescent="0.2">
      <c r="A413" s="80" t="s">
        <v>2048</v>
      </c>
      <c r="C413" s="173"/>
      <c r="E413" s="34"/>
      <c r="G413">
        <v>35</v>
      </c>
    </row>
    <row r="414" spans="1:17" x14ac:dyDescent="0.2">
      <c r="A414" s="80" t="s">
        <v>11437</v>
      </c>
      <c r="C414" s="173"/>
      <c r="E414" s="34"/>
      <c r="G414">
        <v>36</v>
      </c>
    </row>
    <row r="415" spans="1:17" x14ac:dyDescent="0.2">
      <c r="A415" s="80" t="s">
        <v>1827</v>
      </c>
      <c r="C415" s="173"/>
      <c r="E415" s="34"/>
      <c r="G415">
        <v>37</v>
      </c>
    </row>
    <row r="416" spans="1:17" x14ac:dyDescent="0.2">
      <c r="A416" s="80" t="s">
        <v>9136</v>
      </c>
      <c r="C416" s="173"/>
      <c r="E416" s="34"/>
      <c r="G416">
        <v>38</v>
      </c>
    </row>
    <row r="417" spans="1:7" x14ac:dyDescent="0.2">
      <c r="A417" s="80" t="s">
        <v>559</v>
      </c>
      <c r="C417" s="173"/>
      <c r="E417" s="34"/>
      <c r="G417">
        <v>39</v>
      </c>
    </row>
    <row r="418" spans="1:7" x14ac:dyDescent="0.2">
      <c r="A418" s="80" t="s">
        <v>4556</v>
      </c>
      <c r="C418" s="9"/>
      <c r="E418" s="34"/>
      <c r="G418">
        <v>40</v>
      </c>
    </row>
    <row r="419" spans="1:7" x14ac:dyDescent="0.2">
      <c r="A419" s="80" t="s">
        <v>5947</v>
      </c>
      <c r="C419" s="173"/>
      <c r="E419" s="34"/>
      <c r="G419">
        <v>41</v>
      </c>
    </row>
    <row r="420" spans="1:7" x14ac:dyDescent="0.2">
      <c r="A420" s="80" t="s">
        <v>5544</v>
      </c>
      <c r="E420" s="34"/>
      <c r="G420">
        <v>42</v>
      </c>
    </row>
    <row r="421" spans="1:7" x14ac:dyDescent="0.2">
      <c r="A421" s="80" t="s">
        <v>4861</v>
      </c>
      <c r="E421" s="34"/>
      <c r="G421">
        <v>43</v>
      </c>
    </row>
    <row r="422" spans="1:7" x14ac:dyDescent="0.2">
      <c r="A422" s="80" t="s">
        <v>11438</v>
      </c>
      <c r="E422" s="34"/>
      <c r="G422">
        <v>45</v>
      </c>
    </row>
    <row r="423" spans="1:7" x14ac:dyDescent="0.2">
      <c r="A423" s="80" t="s">
        <v>11269</v>
      </c>
      <c r="E423" s="34"/>
      <c r="G423">
        <v>46</v>
      </c>
    </row>
    <row r="424" spans="1:7" x14ac:dyDescent="0.2">
      <c r="A424" s="532" t="s">
        <v>12510</v>
      </c>
      <c r="E424" s="34"/>
      <c r="G424">
        <v>47</v>
      </c>
    </row>
    <row r="425" spans="1:7" x14ac:dyDescent="0.2">
      <c r="A425" s="80" t="s">
        <v>1719</v>
      </c>
      <c r="E425" s="34"/>
      <c r="G425">
        <v>48</v>
      </c>
    </row>
    <row r="426" spans="1:7" x14ac:dyDescent="0.2">
      <c r="A426" s="80" t="s">
        <v>6022</v>
      </c>
      <c r="E426" s="34"/>
      <c r="G426">
        <v>49</v>
      </c>
    </row>
    <row r="427" spans="1:7" x14ac:dyDescent="0.2">
      <c r="A427" s="80" t="s">
        <v>9307</v>
      </c>
      <c r="E427" s="34"/>
      <c r="G427">
        <v>50</v>
      </c>
    </row>
    <row r="428" spans="1:7" x14ac:dyDescent="0.2">
      <c r="A428" s="80" t="s">
        <v>8216</v>
      </c>
      <c r="E428" s="34"/>
      <c r="G428">
        <v>51</v>
      </c>
    </row>
    <row r="429" spans="1:7" x14ac:dyDescent="0.2">
      <c r="A429" s="80" t="s">
        <v>10441</v>
      </c>
      <c r="E429" s="34"/>
      <c r="G429">
        <v>52</v>
      </c>
    </row>
    <row r="430" spans="1:7" x14ac:dyDescent="0.2">
      <c r="A430" s="80" t="s">
        <v>992</v>
      </c>
      <c r="E430" s="34"/>
      <c r="G430">
        <v>53</v>
      </c>
    </row>
    <row r="431" spans="1:7" x14ac:dyDescent="0.2">
      <c r="A431" s="80" t="s">
        <v>11222</v>
      </c>
      <c r="E431" s="34"/>
      <c r="G431">
        <v>54</v>
      </c>
    </row>
    <row r="432" spans="1:7" x14ac:dyDescent="0.2">
      <c r="A432" s="80" t="s">
        <v>8111</v>
      </c>
      <c r="E432" s="34"/>
      <c r="G432">
        <v>55</v>
      </c>
    </row>
    <row r="433" spans="1:10" x14ac:dyDescent="0.2">
      <c r="A433" s="80" t="s">
        <v>11329</v>
      </c>
      <c r="E433" s="34"/>
      <c r="G433">
        <v>56</v>
      </c>
    </row>
    <row r="434" spans="1:10" x14ac:dyDescent="0.2">
      <c r="A434" s="80" t="s">
        <v>1982</v>
      </c>
      <c r="C434" s="1244"/>
      <c r="E434" s="34"/>
      <c r="G434">
        <f>G433+1</f>
        <v>57</v>
      </c>
      <c r="J434" s="1244"/>
    </row>
    <row r="435" spans="1:10" x14ac:dyDescent="0.2">
      <c r="A435" s="80" t="s">
        <v>15555</v>
      </c>
      <c r="C435" s="1244"/>
      <c r="E435" s="34"/>
      <c r="G435">
        <v>58</v>
      </c>
      <c r="J435" s="1244"/>
    </row>
    <row r="436" spans="1:10" x14ac:dyDescent="0.2">
      <c r="A436" s="2" t="s">
        <v>11203</v>
      </c>
      <c r="C436" s="1245"/>
      <c r="E436" s="34"/>
      <c r="G436">
        <v>59</v>
      </c>
      <c r="J436" s="1245"/>
    </row>
    <row r="437" spans="1:10" x14ac:dyDescent="0.2">
      <c r="A437" s="567" t="s">
        <v>11841</v>
      </c>
      <c r="C437" s="80"/>
      <c r="E437" s="34"/>
    </row>
    <row r="438" spans="1:10" x14ac:dyDescent="0.2">
      <c r="A438" s="80" t="s">
        <v>11439</v>
      </c>
      <c r="C438" s="2"/>
      <c r="E438" s="34"/>
    </row>
    <row r="439" spans="1:10" x14ac:dyDescent="0.2">
      <c r="A439" s="80" t="s">
        <v>11440</v>
      </c>
      <c r="C439" s="80"/>
      <c r="E439" s="34"/>
    </row>
    <row r="440" spans="1:10" x14ac:dyDescent="0.2">
      <c r="A440" s="80" t="s">
        <v>3612</v>
      </c>
      <c r="C440" s="80"/>
      <c r="E440" s="34"/>
    </row>
    <row r="441" spans="1:10" x14ac:dyDescent="0.2">
      <c r="A441" s="80" t="s">
        <v>3669</v>
      </c>
      <c r="C441" s="80"/>
      <c r="E441" s="34"/>
    </row>
    <row r="442" spans="1:10" x14ac:dyDescent="0.2">
      <c r="A442" s="80" t="s">
        <v>11441</v>
      </c>
      <c r="C442" s="80"/>
      <c r="E442" s="34"/>
    </row>
    <row r="443" spans="1:10" x14ac:dyDescent="0.2">
      <c r="A443" s="80" t="s">
        <v>4862</v>
      </c>
      <c r="C443" s="80"/>
      <c r="D443" s="1244"/>
      <c r="E443" s="34"/>
    </row>
    <row r="444" spans="1:10" ht="15" x14ac:dyDescent="0.2">
      <c r="A444" s="80" t="s">
        <v>449</v>
      </c>
      <c r="C444" s="2"/>
      <c r="D444" s="1246"/>
      <c r="E444" s="34"/>
    </row>
    <row r="445" spans="1:10" x14ac:dyDescent="0.2">
      <c r="A445" s="80" t="s">
        <v>8248</v>
      </c>
      <c r="C445" s="80"/>
      <c r="E445" s="34"/>
      <c r="F445" s="34"/>
    </row>
    <row r="446" spans="1:10" x14ac:dyDescent="0.2">
      <c r="A446" s="80" t="s">
        <v>11442</v>
      </c>
      <c r="C446" s="80"/>
      <c r="E446" s="34"/>
      <c r="F446" s="34"/>
    </row>
    <row r="447" spans="1:10" x14ac:dyDescent="0.2">
      <c r="A447" s="80" t="s">
        <v>11147</v>
      </c>
      <c r="C447" s="80"/>
      <c r="E447" s="34"/>
      <c r="F447" s="34"/>
    </row>
    <row r="448" spans="1:10" x14ac:dyDescent="0.2">
      <c r="A448" s="80" t="s">
        <v>11443</v>
      </c>
      <c r="C448" s="80"/>
      <c r="E448" s="34"/>
      <c r="F448" s="34"/>
    </row>
    <row r="449" spans="1:6" x14ac:dyDescent="0.2">
      <c r="A449" s="80" t="s">
        <v>11215</v>
      </c>
      <c r="C449" s="80"/>
      <c r="E449" s="34"/>
      <c r="F449" s="34"/>
    </row>
    <row r="450" spans="1:6" x14ac:dyDescent="0.2">
      <c r="A450" s="80" t="s">
        <v>1805</v>
      </c>
      <c r="C450" s="80"/>
      <c r="E450" s="34"/>
      <c r="F450" s="34"/>
    </row>
    <row r="451" spans="1:6" x14ac:dyDescent="0.2">
      <c r="A451" s="80" t="s">
        <v>5453</v>
      </c>
      <c r="C451" s="80"/>
      <c r="E451" s="34"/>
      <c r="F451" s="34"/>
    </row>
    <row r="452" spans="1:6" x14ac:dyDescent="0.2">
      <c r="A452" s="80" t="s">
        <v>11444</v>
      </c>
      <c r="C452" s="80"/>
      <c r="E452" s="34"/>
      <c r="F452" s="34"/>
    </row>
    <row r="453" spans="1:6" x14ac:dyDescent="0.2">
      <c r="A453" s="80" t="s">
        <v>5785</v>
      </c>
      <c r="C453" s="2"/>
      <c r="E453" s="34"/>
      <c r="F453" s="34"/>
    </row>
    <row r="454" spans="1:6" x14ac:dyDescent="0.2">
      <c r="A454" s="80" t="s">
        <v>6020</v>
      </c>
      <c r="C454" s="80"/>
      <c r="E454" s="34"/>
      <c r="F454" s="34"/>
    </row>
    <row r="455" spans="1:6" x14ac:dyDescent="0.2">
      <c r="A455" s="80" t="s">
        <v>11445</v>
      </c>
      <c r="C455" s="80"/>
      <c r="E455" s="34"/>
      <c r="F455" s="34"/>
    </row>
    <row r="456" spans="1:6" x14ac:dyDescent="0.2">
      <c r="A456" s="80" t="s">
        <v>11446</v>
      </c>
      <c r="E456" s="34"/>
      <c r="F456" s="34"/>
    </row>
    <row r="457" spans="1:6" x14ac:dyDescent="0.2">
      <c r="A457" s="80" t="s">
        <v>3167</v>
      </c>
      <c r="E457" s="34"/>
      <c r="F457" s="34"/>
    </row>
    <row r="458" spans="1:6" x14ac:dyDescent="0.2">
      <c r="A458" s="80" t="s">
        <v>4216</v>
      </c>
      <c r="E458" s="34"/>
      <c r="F458" s="34"/>
    </row>
    <row r="459" spans="1:6" x14ac:dyDescent="0.2">
      <c r="A459" s="80" t="s">
        <v>1122</v>
      </c>
      <c r="E459" s="34"/>
      <c r="F459" s="34"/>
    </row>
    <row r="460" spans="1:6" x14ac:dyDescent="0.2">
      <c r="A460" s="80" t="s">
        <v>6393</v>
      </c>
      <c r="E460" s="34"/>
      <c r="F460" s="34"/>
    </row>
    <row r="461" spans="1:6" x14ac:dyDescent="0.2">
      <c r="A461" s="80" t="s">
        <v>6021</v>
      </c>
      <c r="E461" s="34"/>
      <c r="F461" s="34"/>
    </row>
    <row r="462" spans="1:6" x14ac:dyDescent="0.2">
      <c r="A462" s="80" t="s">
        <v>11323</v>
      </c>
      <c r="E462" s="34"/>
      <c r="F462" s="34"/>
    </row>
    <row r="463" spans="1:6" x14ac:dyDescent="0.2">
      <c r="A463" s="80" t="s">
        <v>4205</v>
      </c>
      <c r="E463" s="34"/>
      <c r="F463" s="34"/>
    </row>
    <row r="464" spans="1:6" x14ac:dyDescent="0.2">
      <c r="A464" s="80" t="s">
        <v>11320</v>
      </c>
      <c r="E464" s="34"/>
      <c r="F464" s="34"/>
    </row>
    <row r="465" spans="1:6" x14ac:dyDescent="0.2">
      <c r="A465" s="80" t="s">
        <v>2431</v>
      </c>
      <c r="E465" s="34"/>
      <c r="F465" s="34"/>
    </row>
    <row r="466" spans="1:6" x14ac:dyDescent="0.2">
      <c r="A466" s="80" t="s">
        <v>11447</v>
      </c>
      <c r="E466" s="34"/>
      <c r="F466" s="34"/>
    </row>
    <row r="467" spans="1:6" x14ac:dyDescent="0.2">
      <c r="A467" s="80" t="s">
        <v>10937</v>
      </c>
      <c r="E467" s="34"/>
      <c r="F467" s="34"/>
    </row>
    <row r="468" spans="1:6" x14ac:dyDescent="0.2">
      <c r="A468" s="80" t="s">
        <v>1569</v>
      </c>
      <c r="E468" s="34"/>
      <c r="F468" s="34"/>
    </row>
    <row r="469" spans="1:6" x14ac:dyDescent="0.2">
      <c r="A469" s="80" t="s">
        <v>2827</v>
      </c>
      <c r="E469" s="34"/>
      <c r="F469" s="34"/>
    </row>
    <row r="470" spans="1:6" x14ac:dyDescent="0.2">
      <c r="A470" s="80" t="s">
        <v>4452</v>
      </c>
      <c r="E470" s="34"/>
      <c r="F470" s="34"/>
    </row>
    <row r="471" spans="1:6" x14ac:dyDescent="0.2">
      <c r="A471" s="80" t="s">
        <v>203</v>
      </c>
      <c r="E471" s="34"/>
      <c r="F471" s="34"/>
    </row>
    <row r="472" spans="1:6" x14ac:dyDescent="0.2">
      <c r="A472" s="80" t="s">
        <v>8055</v>
      </c>
      <c r="E472" s="34"/>
      <c r="F472" s="34"/>
    </row>
    <row r="473" spans="1:6" x14ac:dyDescent="0.2">
      <c r="A473" s="532" t="s">
        <v>12218</v>
      </c>
      <c r="E473" s="34"/>
      <c r="F473" s="34"/>
    </row>
    <row r="474" spans="1:6" x14ac:dyDescent="0.2">
      <c r="A474" s="80" t="s">
        <v>11326</v>
      </c>
      <c r="E474" s="34"/>
      <c r="F474" s="34"/>
    </row>
    <row r="475" spans="1:6" x14ac:dyDescent="0.2">
      <c r="A475" s="80" t="s">
        <v>11448</v>
      </c>
      <c r="E475" s="34"/>
      <c r="F475" s="34"/>
    </row>
    <row r="476" spans="1:6" x14ac:dyDescent="0.2">
      <c r="A476" s="80" t="s">
        <v>1849</v>
      </c>
      <c r="E476" s="34"/>
      <c r="F476" s="34"/>
    </row>
    <row r="477" spans="1:6" x14ac:dyDescent="0.2">
      <c r="A477" s="80" t="s">
        <v>11449</v>
      </c>
      <c r="B477" s="173"/>
      <c r="E477" s="34"/>
      <c r="F477" s="34"/>
    </row>
    <row r="478" spans="1:6" x14ac:dyDescent="0.2">
      <c r="A478" s="80" t="s">
        <v>11450</v>
      </c>
      <c r="E478" s="34"/>
      <c r="F478" s="34"/>
    </row>
    <row r="479" spans="1:6" x14ac:dyDescent="0.2">
      <c r="A479" s="80" t="s">
        <v>12152</v>
      </c>
      <c r="E479" s="34"/>
      <c r="F479" s="34"/>
    </row>
    <row r="480" spans="1:6" x14ac:dyDescent="0.2">
      <c r="A480" s="80" t="s">
        <v>11451</v>
      </c>
      <c r="B480" s="1398"/>
      <c r="E480" s="34"/>
      <c r="F480" s="34"/>
    </row>
    <row r="481" spans="1:6" x14ac:dyDescent="0.2">
      <c r="A481" s="80" t="s">
        <v>4622</v>
      </c>
      <c r="E481" s="34"/>
      <c r="F481" s="34"/>
    </row>
    <row r="482" spans="1:6" x14ac:dyDescent="0.2">
      <c r="A482" s="532" t="s">
        <v>10479</v>
      </c>
      <c r="E482" s="34"/>
      <c r="F482" s="34"/>
    </row>
    <row r="483" spans="1:6" x14ac:dyDescent="0.2">
      <c r="A483" s="80" t="s">
        <v>7938</v>
      </c>
      <c r="E483" s="34"/>
      <c r="F483" s="34"/>
    </row>
    <row r="484" spans="1:6" x14ac:dyDescent="0.2">
      <c r="A484" s="80" t="s">
        <v>5484</v>
      </c>
      <c r="E484" s="34"/>
      <c r="F484" s="34"/>
    </row>
    <row r="485" spans="1:6" x14ac:dyDescent="0.2">
      <c r="A485" s="80" t="s">
        <v>5198</v>
      </c>
      <c r="E485" s="34"/>
      <c r="F485" s="34"/>
    </row>
    <row r="486" spans="1:6" x14ac:dyDescent="0.2">
      <c r="A486" s="80" t="s">
        <v>4053</v>
      </c>
      <c r="E486" s="34"/>
      <c r="F486" s="34"/>
    </row>
    <row r="487" spans="1:6" x14ac:dyDescent="0.2">
      <c r="A487" s="80" t="s">
        <v>1214</v>
      </c>
      <c r="E487" s="34"/>
      <c r="F487" s="34"/>
    </row>
    <row r="488" spans="1:6" x14ac:dyDescent="0.2">
      <c r="A488" s="80" t="s">
        <v>5048</v>
      </c>
      <c r="E488" s="34"/>
      <c r="F488" s="34"/>
    </row>
    <row r="489" spans="1:6" x14ac:dyDescent="0.2">
      <c r="A489" s="80" t="s">
        <v>5183</v>
      </c>
      <c r="E489" s="34"/>
      <c r="F489" s="34"/>
    </row>
    <row r="490" spans="1:6" x14ac:dyDescent="0.2">
      <c r="A490" s="2" t="s">
        <v>4356</v>
      </c>
      <c r="E490" s="34"/>
      <c r="F490" s="34"/>
    </row>
    <row r="491" spans="1:6" x14ac:dyDescent="0.2">
      <c r="A491" s="2" t="s">
        <v>7942</v>
      </c>
      <c r="E491" s="34"/>
      <c r="F491" s="34"/>
    </row>
    <row r="492" spans="1:6" x14ac:dyDescent="0.2">
      <c r="A492" s="2" t="s">
        <v>11452</v>
      </c>
      <c r="E492" s="34"/>
      <c r="F492" s="34"/>
    </row>
    <row r="493" spans="1:6" x14ac:dyDescent="0.2">
      <c r="A493" s="2"/>
      <c r="E493" s="34"/>
      <c r="F493" s="34"/>
    </row>
    <row r="494" spans="1:6" x14ac:dyDescent="0.2">
      <c r="A494" s="2"/>
      <c r="E494" s="34"/>
      <c r="F494" s="34"/>
    </row>
    <row r="495" spans="1:6" ht="13.5" thickBot="1" x14ac:dyDescent="0.25">
      <c r="A495" s="2" t="s">
        <v>11632</v>
      </c>
      <c r="B495" s="2"/>
      <c r="C495" s="2"/>
      <c r="D495" s="80"/>
      <c r="E495" s="523"/>
      <c r="F495" s="34"/>
    </row>
    <row r="496" spans="1:6" ht="13.5" thickBot="1" x14ac:dyDescent="0.25">
      <c r="A496" s="879" t="s">
        <v>9620</v>
      </c>
      <c r="B496" s="1283">
        <v>1</v>
      </c>
      <c r="D496" s="1264"/>
      <c r="E496" s="1267">
        <f t="shared" ref="E496:E544" si="24">E495+1</f>
        <v>1</v>
      </c>
      <c r="F496" s="1263"/>
    </row>
    <row r="497" spans="1:6" ht="13.5" thickBot="1" x14ac:dyDescent="0.25">
      <c r="A497" s="879" t="s">
        <v>2048</v>
      </c>
      <c r="B497" s="1284">
        <v>1</v>
      </c>
      <c r="C497" s="1263"/>
      <c r="D497" s="1257"/>
      <c r="E497" s="1267">
        <f t="shared" si="24"/>
        <v>2</v>
      </c>
      <c r="F497" s="1258"/>
    </row>
    <row r="498" spans="1:6" ht="13.5" thickBot="1" x14ac:dyDescent="0.25">
      <c r="A498" s="879" t="s">
        <v>5544</v>
      </c>
      <c r="B498" s="1284">
        <v>1</v>
      </c>
      <c r="C498" s="1256"/>
      <c r="D498" s="1260"/>
      <c r="E498" s="1267">
        <f t="shared" si="24"/>
        <v>3</v>
      </c>
      <c r="F498" s="1258"/>
    </row>
    <row r="499" spans="1:6" ht="13.5" thickBot="1" x14ac:dyDescent="0.25">
      <c r="A499" s="879" t="s">
        <v>5784</v>
      </c>
      <c r="B499" s="1283">
        <v>1</v>
      </c>
      <c r="E499" s="1267">
        <f t="shared" si="24"/>
        <v>4</v>
      </c>
    </row>
    <row r="500" spans="1:6" ht="13.5" thickBot="1" x14ac:dyDescent="0.25">
      <c r="A500" s="879" t="s">
        <v>11633</v>
      </c>
      <c r="B500" s="1284">
        <v>1</v>
      </c>
      <c r="C500" s="1256"/>
      <c r="E500" s="1267">
        <f t="shared" si="24"/>
        <v>5</v>
      </c>
    </row>
    <row r="501" spans="1:6" ht="13.5" thickBot="1" x14ac:dyDescent="0.25">
      <c r="A501" s="879" t="s">
        <v>11659</v>
      </c>
      <c r="B501" s="1283">
        <v>1</v>
      </c>
      <c r="D501" s="1260"/>
      <c r="E501" s="1267">
        <f t="shared" si="24"/>
        <v>6</v>
      </c>
      <c r="F501" s="1258"/>
    </row>
    <row r="502" spans="1:6" ht="13.5" thickBot="1" x14ac:dyDescent="0.25">
      <c r="A502" s="879" t="s">
        <v>2431</v>
      </c>
      <c r="B502" s="1283">
        <v>1</v>
      </c>
      <c r="D502" s="1260"/>
      <c r="E502" s="1267">
        <f t="shared" si="24"/>
        <v>7</v>
      </c>
      <c r="F502" s="1258"/>
    </row>
    <row r="503" spans="1:6" ht="13.5" thickBot="1" x14ac:dyDescent="0.25">
      <c r="A503" s="879" t="s">
        <v>5198</v>
      </c>
      <c r="B503" s="1283">
        <v>1</v>
      </c>
      <c r="E503" s="1267">
        <f t="shared" si="24"/>
        <v>8</v>
      </c>
    </row>
    <row r="504" spans="1:6" ht="13.5" thickBot="1" x14ac:dyDescent="0.25">
      <c r="A504" s="879" t="s">
        <v>12713</v>
      </c>
      <c r="B504" s="1283">
        <v>2</v>
      </c>
      <c r="E504" s="1267">
        <f t="shared" si="24"/>
        <v>9</v>
      </c>
      <c r="F504" s="1258"/>
    </row>
    <row r="505" spans="1:6" ht="13.5" thickBot="1" x14ac:dyDescent="0.25">
      <c r="A505" s="879" t="s">
        <v>3470</v>
      </c>
      <c r="B505" s="1283">
        <v>2</v>
      </c>
      <c r="D505" s="1257"/>
      <c r="E505" s="1267">
        <f t="shared" si="24"/>
        <v>10</v>
      </c>
    </row>
    <row r="506" spans="1:6" ht="13.5" thickBot="1" x14ac:dyDescent="0.25">
      <c r="A506" s="879" t="s">
        <v>10276</v>
      </c>
      <c r="B506" s="1283">
        <v>2</v>
      </c>
      <c r="E506" s="1267">
        <f t="shared" si="24"/>
        <v>11</v>
      </c>
      <c r="F506" s="1258"/>
    </row>
    <row r="507" spans="1:6" ht="13.5" thickBot="1" x14ac:dyDescent="0.25">
      <c r="A507" s="879" t="s">
        <v>5544</v>
      </c>
      <c r="B507" s="1284">
        <v>2</v>
      </c>
      <c r="C507" s="1256"/>
      <c r="D507" s="1260"/>
      <c r="E507" s="1267">
        <f t="shared" si="24"/>
        <v>12</v>
      </c>
      <c r="F507" s="1258"/>
    </row>
    <row r="508" spans="1:6" ht="13.5" thickBot="1" x14ac:dyDescent="0.25">
      <c r="A508" s="879" t="s">
        <v>3246</v>
      </c>
      <c r="B508" s="1283">
        <v>2</v>
      </c>
      <c r="D508" s="1260"/>
      <c r="E508" s="1267">
        <f t="shared" si="24"/>
        <v>13</v>
      </c>
    </row>
    <row r="509" spans="1:6" ht="13.5" thickBot="1" x14ac:dyDescent="0.25">
      <c r="A509" s="879" t="s">
        <v>9307</v>
      </c>
      <c r="B509" s="1283">
        <v>2</v>
      </c>
      <c r="E509" s="1267">
        <f t="shared" si="24"/>
        <v>14</v>
      </c>
      <c r="F509" s="1258"/>
    </row>
    <row r="510" spans="1:6" ht="13.5" thickBot="1" x14ac:dyDescent="0.25">
      <c r="A510" s="879" t="s">
        <v>4727</v>
      </c>
      <c r="B510" s="1283">
        <v>2</v>
      </c>
      <c r="D510" s="1260"/>
      <c r="E510" s="1267">
        <f t="shared" si="24"/>
        <v>15</v>
      </c>
    </row>
    <row r="511" spans="1:6" ht="13.5" thickBot="1" x14ac:dyDescent="0.25">
      <c r="A511" s="919" t="s">
        <v>12218</v>
      </c>
      <c r="B511" s="1365">
        <v>2</v>
      </c>
      <c r="E511" s="1267">
        <f t="shared" si="24"/>
        <v>16</v>
      </c>
      <c r="F511" s="1258"/>
    </row>
    <row r="512" spans="1:6" ht="13.5" thickBot="1" x14ac:dyDescent="0.25">
      <c r="A512" s="879" t="s">
        <v>11655</v>
      </c>
      <c r="B512" s="1283">
        <v>3</v>
      </c>
      <c r="D512" s="1260"/>
      <c r="E512" s="1267">
        <f t="shared" si="24"/>
        <v>17</v>
      </c>
    </row>
    <row r="513" spans="1:6" ht="13.5" thickBot="1" x14ac:dyDescent="0.25">
      <c r="A513" s="879" t="s">
        <v>5544</v>
      </c>
      <c r="B513" s="1284">
        <v>3</v>
      </c>
      <c r="C513" s="1256"/>
      <c r="E513" s="1267">
        <f t="shared" si="24"/>
        <v>18</v>
      </c>
    </row>
    <row r="514" spans="1:6" ht="13.5" thickBot="1" x14ac:dyDescent="0.25">
      <c r="A514" s="879" t="s">
        <v>11640</v>
      </c>
      <c r="B514" s="1283">
        <v>3</v>
      </c>
      <c r="E514" s="1267">
        <f t="shared" si="24"/>
        <v>19</v>
      </c>
    </row>
    <row r="515" spans="1:6" ht="13.5" thickBot="1" x14ac:dyDescent="0.25">
      <c r="A515" s="879" t="s">
        <v>10225</v>
      </c>
      <c r="B515" s="1283">
        <v>4</v>
      </c>
      <c r="E515" s="1267">
        <f t="shared" si="24"/>
        <v>20</v>
      </c>
    </row>
    <row r="516" spans="1:6" ht="13.5" thickBot="1" x14ac:dyDescent="0.25">
      <c r="A516" s="879" t="s">
        <v>11324</v>
      </c>
      <c r="B516" s="1283">
        <v>4</v>
      </c>
      <c r="E516" s="1267">
        <f t="shared" si="24"/>
        <v>21</v>
      </c>
      <c r="F516" s="1258"/>
    </row>
    <row r="517" spans="1:6" ht="13.5" thickBot="1" x14ac:dyDescent="0.25">
      <c r="A517" s="879" t="s">
        <v>12716</v>
      </c>
      <c r="B517" s="1283">
        <v>4</v>
      </c>
      <c r="D517" s="1260"/>
      <c r="E517" s="1267">
        <f t="shared" si="24"/>
        <v>22</v>
      </c>
      <c r="F517" s="1263"/>
    </row>
    <row r="518" spans="1:6" ht="13.5" thickBot="1" x14ac:dyDescent="0.25">
      <c r="A518" s="879" t="s">
        <v>1982</v>
      </c>
      <c r="B518" s="1283">
        <v>4</v>
      </c>
      <c r="D518" s="1264"/>
      <c r="E518" s="1267">
        <f t="shared" si="24"/>
        <v>23</v>
      </c>
      <c r="F518" s="1258"/>
    </row>
    <row r="519" spans="1:6" ht="13.5" thickBot="1" x14ac:dyDescent="0.25">
      <c r="A519" s="879" t="s">
        <v>1849</v>
      </c>
      <c r="B519" s="1283">
        <v>4</v>
      </c>
      <c r="D519" s="1257"/>
      <c r="E519" s="1267">
        <f t="shared" si="24"/>
        <v>24</v>
      </c>
      <c r="F519" s="1258"/>
    </row>
    <row r="520" spans="1:6" ht="13.5" thickBot="1" x14ac:dyDescent="0.25">
      <c r="A520" s="879" t="s">
        <v>5821</v>
      </c>
      <c r="B520" s="1283">
        <v>5</v>
      </c>
      <c r="D520" s="1260"/>
      <c r="E520" s="1267">
        <f t="shared" si="24"/>
        <v>25</v>
      </c>
      <c r="F520" s="1258"/>
    </row>
    <row r="521" spans="1:6" ht="13.5" thickBot="1" x14ac:dyDescent="0.25">
      <c r="A521" s="879" t="s">
        <v>2048</v>
      </c>
      <c r="B521" s="1284">
        <v>5</v>
      </c>
      <c r="C521" s="1263"/>
      <c r="D521" s="1260"/>
      <c r="E521" s="1267">
        <f t="shared" si="24"/>
        <v>26</v>
      </c>
    </row>
    <row r="522" spans="1:6" ht="13.5" thickBot="1" x14ac:dyDescent="0.25">
      <c r="A522" s="879" t="s">
        <v>5544</v>
      </c>
      <c r="B522" s="1284">
        <v>5</v>
      </c>
      <c r="C522" s="1256"/>
      <c r="E522" s="1267">
        <f t="shared" si="24"/>
        <v>27</v>
      </c>
      <c r="F522" s="1258"/>
    </row>
    <row r="523" spans="1:6" ht="13.5" thickBot="1" x14ac:dyDescent="0.25">
      <c r="A523" s="879" t="s">
        <v>10441</v>
      </c>
      <c r="B523" s="1283">
        <v>5</v>
      </c>
      <c r="D523" s="1260"/>
      <c r="E523" s="1267">
        <f t="shared" si="24"/>
        <v>28</v>
      </c>
      <c r="F523" s="1258"/>
    </row>
    <row r="524" spans="1:6" ht="13.5" thickBot="1" x14ac:dyDescent="0.25">
      <c r="A524" s="879" t="s">
        <v>8111</v>
      </c>
      <c r="B524" s="1283">
        <v>5</v>
      </c>
      <c r="D524" s="1260"/>
      <c r="E524" s="1267">
        <f t="shared" si="24"/>
        <v>29</v>
      </c>
      <c r="F524" s="1258"/>
    </row>
    <row r="525" spans="1:6" ht="13.5" thickBot="1" x14ac:dyDescent="0.25">
      <c r="A525" s="879" t="s">
        <v>11633</v>
      </c>
      <c r="B525" s="1284">
        <v>5</v>
      </c>
      <c r="C525" s="1256"/>
      <c r="D525" s="1260"/>
      <c r="E525" s="1267">
        <f t="shared" si="24"/>
        <v>30</v>
      </c>
    </row>
    <row r="526" spans="1:6" ht="13.5" thickBot="1" x14ac:dyDescent="0.25">
      <c r="A526" s="879" t="s">
        <v>5453</v>
      </c>
      <c r="B526" s="1285">
        <v>5</v>
      </c>
      <c r="E526" s="1267">
        <f t="shared" si="24"/>
        <v>31</v>
      </c>
      <c r="F526" s="1258"/>
    </row>
    <row r="527" spans="1:6" ht="13.5" thickBot="1" x14ac:dyDescent="0.25">
      <c r="A527" s="879" t="s">
        <v>6393</v>
      </c>
      <c r="B527" s="1283">
        <v>5</v>
      </c>
      <c r="D527" s="1260"/>
      <c r="E527" s="1267">
        <f t="shared" si="24"/>
        <v>32</v>
      </c>
      <c r="F527" s="1258"/>
    </row>
    <row r="528" spans="1:6" ht="13.5" thickBot="1" x14ac:dyDescent="0.25">
      <c r="A528" s="879" t="s">
        <v>5544</v>
      </c>
      <c r="B528" s="1284">
        <v>6</v>
      </c>
      <c r="C528" s="1256"/>
      <c r="D528" s="1260"/>
      <c r="E528" s="1267">
        <f t="shared" si="24"/>
        <v>33</v>
      </c>
      <c r="F528" s="1258"/>
    </row>
    <row r="529" spans="1:6" ht="13.5" thickBot="1" x14ac:dyDescent="0.25">
      <c r="A529" s="879" t="s">
        <v>1627</v>
      </c>
      <c r="B529" s="1283">
        <v>6</v>
      </c>
      <c r="D529" s="1260"/>
      <c r="E529" s="1267">
        <f t="shared" si="24"/>
        <v>34</v>
      </c>
    </row>
    <row r="530" spans="1:6" ht="13.5" thickBot="1" x14ac:dyDescent="0.25">
      <c r="A530" s="879" t="s">
        <v>2827</v>
      </c>
      <c r="B530" s="1283">
        <v>6</v>
      </c>
      <c r="E530" s="1267">
        <f t="shared" si="24"/>
        <v>35</v>
      </c>
    </row>
    <row r="531" spans="1:6" ht="13.5" thickBot="1" x14ac:dyDescent="0.25">
      <c r="A531" s="879" t="s">
        <v>5544</v>
      </c>
      <c r="B531" s="1284">
        <v>7</v>
      </c>
      <c r="C531" s="1256"/>
      <c r="E531" s="1267">
        <f t="shared" si="24"/>
        <v>36</v>
      </c>
    </row>
    <row r="532" spans="1:6" ht="13.5" thickBot="1" x14ac:dyDescent="0.25">
      <c r="A532" s="879" t="s">
        <v>11641</v>
      </c>
      <c r="B532" s="1283">
        <v>8</v>
      </c>
      <c r="E532" s="1267">
        <f t="shared" si="24"/>
        <v>37</v>
      </c>
    </row>
    <row r="533" spans="1:6" ht="13.5" thickBot="1" x14ac:dyDescent="0.25">
      <c r="A533" s="879" t="s">
        <v>9307</v>
      </c>
      <c r="B533" s="1283">
        <v>9</v>
      </c>
      <c r="E533" s="1267">
        <f t="shared" si="24"/>
        <v>38</v>
      </c>
      <c r="F533" s="1258"/>
    </row>
    <row r="534" spans="1:6" ht="13.5" thickBot="1" x14ac:dyDescent="0.25">
      <c r="A534" s="879" t="s">
        <v>2593</v>
      </c>
      <c r="B534" s="1283">
        <v>10</v>
      </c>
      <c r="D534" s="1257"/>
      <c r="E534" s="1267">
        <f t="shared" si="24"/>
        <v>39</v>
      </c>
    </row>
    <row r="535" spans="1:6" ht="13.5" thickBot="1" x14ac:dyDescent="0.25">
      <c r="A535" s="879" t="s">
        <v>9745</v>
      </c>
      <c r="B535" s="1283">
        <v>10</v>
      </c>
      <c r="E535" s="1267">
        <f t="shared" si="24"/>
        <v>40</v>
      </c>
      <c r="F535" s="1258"/>
    </row>
    <row r="536" spans="1:6" ht="13.5" thickBot="1" x14ac:dyDescent="0.25">
      <c r="A536" s="879" t="s">
        <v>2048</v>
      </c>
      <c r="B536" s="1284">
        <v>10</v>
      </c>
      <c r="C536" s="1263"/>
      <c r="D536" s="1260"/>
      <c r="E536" s="1267">
        <f t="shared" si="24"/>
        <v>41</v>
      </c>
    </row>
    <row r="537" spans="1:6" ht="13.5" thickBot="1" x14ac:dyDescent="0.25">
      <c r="A537" s="879" t="s">
        <v>5544</v>
      </c>
      <c r="B537" s="1284">
        <v>10</v>
      </c>
      <c r="C537" s="1256"/>
      <c r="E537" s="1267">
        <f t="shared" si="24"/>
        <v>42</v>
      </c>
    </row>
    <row r="538" spans="1:6" ht="13.5" thickBot="1" x14ac:dyDescent="0.25">
      <c r="A538" s="879" t="s">
        <v>6393</v>
      </c>
      <c r="B538" s="1283">
        <v>10</v>
      </c>
      <c r="E538" s="1267">
        <f t="shared" si="24"/>
        <v>43</v>
      </c>
      <c r="F538" s="1258"/>
    </row>
    <row r="539" spans="1:6" ht="13.5" thickBot="1" x14ac:dyDescent="0.25">
      <c r="A539" s="879" t="s">
        <v>5183</v>
      </c>
      <c r="B539" s="1283">
        <v>10</v>
      </c>
      <c r="D539" s="1260"/>
      <c r="E539" s="1267">
        <f t="shared" si="24"/>
        <v>44</v>
      </c>
    </row>
    <row r="540" spans="1:6" ht="13.5" thickBot="1" x14ac:dyDescent="0.25">
      <c r="A540" s="879" t="s">
        <v>129</v>
      </c>
      <c r="B540" s="1283">
        <v>11</v>
      </c>
      <c r="E540" s="1267">
        <f t="shared" si="24"/>
        <v>45</v>
      </c>
    </row>
    <row r="541" spans="1:6" ht="13.5" thickBot="1" x14ac:dyDescent="0.25">
      <c r="A541" s="879" t="s">
        <v>5544</v>
      </c>
      <c r="B541" s="1284">
        <v>11</v>
      </c>
      <c r="C541" s="1256"/>
      <c r="E541" s="1267">
        <f t="shared" si="24"/>
        <v>46</v>
      </c>
    </row>
    <row r="542" spans="1:6" ht="13.5" thickBot="1" x14ac:dyDescent="0.25">
      <c r="A542" s="879" t="s">
        <v>8216</v>
      </c>
      <c r="B542" s="1283">
        <v>11</v>
      </c>
      <c r="E542" s="1267">
        <f t="shared" si="24"/>
        <v>47</v>
      </c>
      <c r="F542" s="1258"/>
    </row>
    <row r="543" spans="1:6" ht="13.5" thickBot="1" x14ac:dyDescent="0.25">
      <c r="A543" s="879" t="s">
        <v>1849</v>
      </c>
      <c r="B543" s="1283">
        <v>11</v>
      </c>
      <c r="D543" s="1260"/>
      <c r="E543" s="1267">
        <f t="shared" si="24"/>
        <v>48</v>
      </c>
      <c r="F543" s="1258"/>
    </row>
    <row r="544" spans="1:6" ht="13.5" thickBot="1" x14ac:dyDescent="0.25">
      <c r="A544" s="879" t="s">
        <v>5544</v>
      </c>
      <c r="B544" s="1284">
        <v>12</v>
      </c>
      <c r="C544" s="1256"/>
      <c r="D544" s="1260"/>
      <c r="E544" s="1267">
        <f t="shared" si="24"/>
        <v>49</v>
      </c>
      <c r="F544" s="1258"/>
    </row>
    <row r="545" spans="1:13" ht="13.5" thickBot="1" x14ac:dyDescent="0.25">
      <c r="A545" s="879" t="s">
        <v>11666</v>
      </c>
      <c r="B545" s="1283">
        <v>12</v>
      </c>
      <c r="D545" s="1260"/>
      <c r="E545" s="1267">
        <f>E544+1</f>
        <v>50</v>
      </c>
    </row>
    <row r="546" spans="1:13" ht="13.5" thickBot="1" x14ac:dyDescent="0.25">
      <c r="A546" s="879" t="s">
        <v>11662</v>
      </c>
      <c r="B546" s="1283">
        <v>12</v>
      </c>
      <c r="E546" s="1267">
        <f t="shared" ref="E546:E547" si="25">E545+1</f>
        <v>51</v>
      </c>
      <c r="G546" s="80"/>
      <c r="I546" s="1272"/>
      <c r="J546" s="80"/>
      <c r="K546" s="53"/>
      <c r="L546" s="53"/>
      <c r="M546" s="1276"/>
    </row>
    <row r="547" spans="1:13" ht="13.5" thickBot="1" x14ac:dyDescent="0.25">
      <c r="A547" s="879" t="s">
        <v>1569</v>
      </c>
      <c r="B547" s="1283">
        <v>12</v>
      </c>
      <c r="E547" s="1267">
        <f t="shared" si="25"/>
        <v>52</v>
      </c>
      <c r="F547" s="1258"/>
    </row>
    <row r="548" spans="1:13" ht="13.5" thickBot="1" x14ac:dyDescent="0.25">
      <c r="A548" s="879" t="s">
        <v>5544</v>
      </c>
      <c r="B548" s="1284">
        <v>13</v>
      </c>
      <c r="C548" s="1256"/>
      <c r="D548" s="1260"/>
      <c r="E548" s="1267">
        <f t="shared" ref="E548:E567" si="26">E547+1</f>
        <v>53</v>
      </c>
      <c r="F548" s="1258"/>
    </row>
    <row r="549" spans="1:13" ht="13.5" thickBot="1" x14ac:dyDescent="0.25">
      <c r="A549" s="1103" t="s">
        <v>11009</v>
      </c>
      <c r="B549" s="1703">
        <v>14</v>
      </c>
      <c r="D549" s="1260"/>
      <c r="E549" s="1267">
        <f t="shared" si="26"/>
        <v>54</v>
      </c>
    </row>
    <row r="550" spans="1:13" ht="13.5" thickBot="1" x14ac:dyDescent="0.25">
      <c r="A550" s="879" t="s">
        <v>5544</v>
      </c>
      <c r="B550" s="1284">
        <v>15</v>
      </c>
      <c r="C550" s="1256"/>
      <c r="E550" s="1267">
        <f t="shared" si="26"/>
        <v>55</v>
      </c>
    </row>
    <row r="551" spans="1:13" ht="13.5" thickBot="1" x14ac:dyDescent="0.25">
      <c r="A551" s="879" t="s">
        <v>8248</v>
      </c>
      <c r="B551" s="1283">
        <v>15</v>
      </c>
      <c r="E551" s="1267">
        <f t="shared" si="26"/>
        <v>56</v>
      </c>
    </row>
    <row r="552" spans="1:13" ht="13.5" thickBot="1" x14ac:dyDescent="0.25">
      <c r="A552" s="879" t="s">
        <v>11639</v>
      </c>
      <c r="B552" s="1283">
        <v>16</v>
      </c>
      <c r="E552" s="1267">
        <f t="shared" si="26"/>
        <v>57</v>
      </c>
      <c r="F552" s="1258"/>
    </row>
    <row r="553" spans="1:13" ht="13.5" thickBot="1" x14ac:dyDescent="0.25">
      <c r="A553" s="879" t="s">
        <v>5544</v>
      </c>
      <c r="B553" s="1284">
        <v>16</v>
      </c>
      <c r="C553" s="1256"/>
      <c r="D553" s="1260"/>
      <c r="E553" s="1267">
        <f t="shared" si="26"/>
        <v>58</v>
      </c>
    </row>
    <row r="554" spans="1:13" ht="13.5" thickBot="1" x14ac:dyDescent="0.25">
      <c r="A554" s="879" t="s">
        <v>5544</v>
      </c>
      <c r="B554" s="1284">
        <v>17</v>
      </c>
      <c r="C554" s="1256"/>
      <c r="E554" s="1267">
        <f t="shared" si="26"/>
        <v>59</v>
      </c>
    </row>
    <row r="555" spans="1:13" ht="13.5" thickBot="1" x14ac:dyDescent="0.25">
      <c r="A555" s="879" t="s">
        <v>11633</v>
      </c>
      <c r="B555" s="1284">
        <v>18</v>
      </c>
      <c r="C555" s="1256"/>
      <c r="E555" s="1267">
        <f t="shared" si="26"/>
        <v>60</v>
      </c>
      <c r="F555" s="1258"/>
    </row>
    <row r="556" spans="1:13" ht="13.5" thickBot="1" x14ac:dyDescent="0.25">
      <c r="A556" s="879" t="s">
        <v>5544</v>
      </c>
      <c r="B556" s="1284">
        <v>19</v>
      </c>
      <c r="C556" s="1256"/>
      <c r="D556" s="1260"/>
      <c r="E556" s="1267">
        <f t="shared" si="26"/>
        <v>61</v>
      </c>
      <c r="F556" s="1258"/>
    </row>
    <row r="557" spans="1:13" ht="13.5" thickBot="1" x14ac:dyDescent="0.25">
      <c r="A557" s="879" t="s">
        <v>1214</v>
      </c>
      <c r="B557" s="1283">
        <v>19</v>
      </c>
      <c r="D557" s="1257"/>
      <c r="E557" s="1267">
        <f t="shared" si="26"/>
        <v>62</v>
      </c>
      <c r="F557" s="1258"/>
    </row>
    <row r="558" spans="1:13" ht="13.5" thickBot="1" x14ac:dyDescent="0.25">
      <c r="A558" s="879" t="s">
        <v>5544</v>
      </c>
      <c r="B558" s="1284">
        <v>20</v>
      </c>
      <c r="C558" s="1256"/>
      <c r="D558" s="1260"/>
      <c r="E558" s="1267">
        <f t="shared" si="26"/>
        <v>63</v>
      </c>
      <c r="F558" s="1258"/>
      <c r="G558" s="80"/>
      <c r="I558" s="1272"/>
      <c r="J558" s="80"/>
      <c r="K558" s="53"/>
      <c r="L558" s="53"/>
      <c r="M558" s="1276"/>
    </row>
    <row r="559" spans="1:13" ht="13.5" thickBot="1" x14ac:dyDescent="0.25">
      <c r="A559" s="879" t="s">
        <v>5821</v>
      </c>
      <c r="B559" s="1283">
        <v>21</v>
      </c>
      <c r="D559" s="1260"/>
      <c r="E559" s="1267">
        <f t="shared" si="26"/>
        <v>64</v>
      </c>
      <c r="F559" s="1263"/>
    </row>
    <row r="560" spans="1:13" ht="13.5" thickBot="1" x14ac:dyDescent="0.25">
      <c r="A560" s="919" t="s">
        <v>5544</v>
      </c>
      <c r="B560" s="1420">
        <v>21</v>
      </c>
      <c r="C560" s="1419"/>
      <c r="D560" s="1264"/>
      <c r="E560" s="1267">
        <f t="shared" si="26"/>
        <v>65</v>
      </c>
    </row>
    <row r="561" spans="1:13" ht="13.5" thickBot="1" x14ac:dyDescent="0.25">
      <c r="A561" s="919" t="s">
        <v>11633</v>
      </c>
      <c r="B561" s="1420">
        <v>21</v>
      </c>
      <c r="C561" s="1256"/>
      <c r="E561" s="1267">
        <f t="shared" si="26"/>
        <v>66</v>
      </c>
      <c r="F561" s="1258"/>
    </row>
    <row r="562" spans="1:13" ht="13.5" thickBot="1" x14ac:dyDescent="0.25">
      <c r="A562" s="919" t="s">
        <v>1405</v>
      </c>
      <c r="B562" s="1365">
        <v>21</v>
      </c>
      <c r="D562" s="1257"/>
      <c r="E562" s="1267">
        <f t="shared" si="26"/>
        <v>67</v>
      </c>
      <c r="F562" s="1258"/>
    </row>
    <row r="563" spans="1:13" ht="13.5" thickBot="1" x14ac:dyDescent="0.25">
      <c r="A563" s="919" t="s">
        <v>2872</v>
      </c>
      <c r="B563" s="1365">
        <v>21</v>
      </c>
      <c r="D563" s="1260"/>
      <c r="E563" s="1267">
        <f t="shared" si="26"/>
        <v>68</v>
      </c>
    </row>
    <row r="564" spans="1:13" ht="13.5" thickBot="1" x14ac:dyDescent="0.25">
      <c r="A564" s="1103" t="s">
        <v>10983</v>
      </c>
      <c r="B564" s="1703">
        <v>22</v>
      </c>
      <c r="E564" s="1267">
        <f t="shared" si="26"/>
        <v>69</v>
      </c>
    </row>
    <row r="565" spans="1:13" ht="13.5" thickBot="1" x14ac:dyDescent="0.25">
      <c r="A565" s="919" t="s">
        <v>9620</v>
      </c>
      <c r="B565" s="1365">
        <v>23</v>
      </c>
      <c r="E565" s="1267">
        <f t="shared" si="26"/>
        <v>70</v>
      </c>
      <c r="F565" s="1258"/>
    </row>
    <row r="566" spans="1:13" ht="13.5" thickBot="1" x14ac:dyDescent="0.25">
      <c r="A566" s="919" t="s">
        <v>5544</v>
      </c>
      <c r="B566" s="1420">
        <v>23</v>
      </c>
      <c r="C566" s="1256"/>
      <c r="D566" s="1260"/>
      <c r="E566" s="1267">
        <f t="shared" si="26"/>
        <v>71</v>
      </c>
    </row>
    <row r="567" spans="1:13" ht="13.5" thickBot="1" x14ac:dyDescent="0.25">
      <c r="A567" s="919" t="s">
        <v>3246</v>
      </c>
      <c r="B567" s="1365">
        <v>23</v>
      </c>
      <c r="E567" s="1267">
        <f t="shared" si="26"/>
        <v>72</v>
      </c>
      <c r="F567" s="1258"/>
    </row>
    <row r="568" spans="1:13" ht="13.5" thickBot="1" x14ac:dyDescent="0.25">
      <c r="A568" s="919" t="s">
        <v>4727</v>
      </c>
      <c r="B568" s="1365">
        <v>23</v>
      </c>
      <c r="D568" s="1260"/>
      <c r="E568" s="1267">
        <f>E567+1</f>
        <v>73</v>
      </c>
    </row>
    <row r="569" spans="1:13" ht="13.5" thickBot="1" x14ac:dyDescent="0.25">
      <c r="A569" s="919" t="s">
        <v>5544</v>
      </c>
      <c r="B569" s="1420">
        <v>24</v>
      </c>
      <c r="C569" s="1256"/>
      <c r="E569" s="1267">
        <f t="shared" ref="E569:E570" si="27">E568+1</f>
        <v>74</v>
      </c>
      <c r="G569" s="80"/>
      <c r="H569" s="2"/>
      <c r="I569" s="1272"/>
      <c r="K569" s="80"/>
      <c r="M569" s="1272"/>
    </row>
    <row r="570" spans="1:13" ht="13.5" thickBot="1" x14ac:dyDescent="0.25">
      <c r="A570" s="919" t="s">
        <v>11633</v>
      </c>
      <c r="B570" s="1420">
        <v>24</v>
      </c>
      <c r="C570" s="1256"/>
      <c r="E570" s="1267">
        <f t="shared" si="27"/>
        <v>75</v>
      </c>
      <c r="G570" s="80"/>
      <c r="I570" s="1272"/>
    </row>
    <row r="571" spans="1:13" ht="13.5" thickBot="1" x14ac:dyDescent="0.25">
      <c r="A571" s="919" t="s">
        <v>5544</v>
      </c>
      <c r="B571" s="1420">
        <v>25</v>
      </c>
      <c r="C571" s="1256"/>
      <c r="E571" s="1267">
        <f t="shared" ref="E571:E589" si="28">E570+1</f>
        <v>76</v>
      </c>
    </row>
    <row r="572" spans="1:13" ht="13.5" thickBot="1" x14ac:dyDescent="0.25">
      <c r="A572" s="919" t="s">
        <v>5544</v>
      </c>
      <c r="B572" s="1420">
        <v>26</v>
      </c>
      <c r="C572" s="1256"/>
      <c r="E572" s="1267">
        <f t="shared" si="28"/>
        <v>77</v>
      </c>
      <c r="F572" s="1258"/>
    </row>
    <row r="573" spans="1:13" ht="13.5" thickBot="1" x14ac:dyDescent="0.25">
      <c r="A573" s="1103" t="s">
        <v>10441</v>
      </c>
      <c r="B573" s="1703">
        <v>27</v>
      </c>
      <c r="C573" s="57"/>
      <c r="E573" s="1267">
        <f t="shared" si="28"/>
        <v>78</v>
      </c>
      <c r="F573" s="1258"/>
    </row>
    <row r="574" spans="1:13" ht="13.5" thickBot="1" x14ac:dyDescent="0.25">
      <c r="A574" s="1103" t="s">
        <v>12231</v>
      </c>
      <c r="B574" s="1703">
        <v>28</v>
      </c>
      <c r="D574" s="1260"/>
      <c r="E574" s="1267">
        <f t="shared" si="28"/>
        <v>79</v>
      </c>
      <c r="F574" s="1263"/>
    </row>
    <row r="575" spans="1:13" ht="13.5" thickBot="1" x14ac:dyDescent="0.25">
      <c r="A575" s="919" t="s">
        <v>5544</v>
      </c>
      <c r="B575" s="1420">
        <v>29</v>
      </c>
      <c r="C575" s="1259"/>
      <c r="D575" s="1260"/>
      <c r="E575" s="1267">
        <f t="shared" si="28"/>
        <v>80</v>
      </c>
      <c r="F575" s="1258"/>
    </row>
    <row r="576" spans="1:13" ht="13.5" thickBot="1" x14ac:dyDescent="0.25">
      <c r="A576" s="919" t="s">
        <v>11633</v>
      </c>
      <c r="B576" s="1420">
        <v>29</v>
      </c>
      <c r="C576" s="1259"/>
      <c r="D576" s="1264"/>
      <c r="E576" s="1267">
        <f t="shared" si="28"/>
        <v>81</v>
      </c>
    </row>
    <row r="577" spans="1:13" ht="13.5" thickBot="1" x14ac:dyDescent="0.25">
      <c r="A577" s="919" t="s">
        <v>5544</v>
      </c>
      <c r="B577" s="1420">
        <v>30</v>
      </c>
      <c r="C577" s="1259"/>
      <c r="D577" s="1260"/>
      <c r="E577" s="1267">
        <f t="shared" si="28"/>
        <v>82</v>
      </c>
    </row>
    <row r="578" spans="1:13" ht="13.5" thickBot="1" x14ac:dyDescent="0.25">
      <c r="A578" s="919" t="s">
        <v>11633</v>
      </c>
      <c r="B578" s="1420">
        <v>31</v>
      </c>
      <c r="C578" s="1259"/>
      <c r="E578" s="1267">
        <f t="shared" si="28"/>
        <v>83</v>
      </c>
      <c r="F578" s="1258"/>
    </row>
    <row r="579" spans="1:13" ht="13.5" thickBot="1" x14ac:dyDescent="0.25">
      <c r="A579" s="919" t="s">
        <v>5544</v>
      </c>
      <c r="B579" s="1420">
        <v>32</v>
      </c>
      <c r="C579" s="1259"/>
      <c r="E579" s="1267">
        <f t="shared" si="28"/>
        <v>84</v>
      </c>
      <c r="F579" s="1258"/>
    </row>
    <row r="580" spans="1:13" ht="13.5" thickBot="1" x14ac:dyDescent="0.25">
      <c r="A580" s="919" t="s">
        <v>5544</v>
      </c>
      <c r="B580" s="1420">
        <v>33</v>
      </c>
      <c r="C580" s="1259"/>
      <c r="D580" s="1257"/>
      <c r="E580" s="1267">
        <f t="shared" si="28"/>
        <v>85</v>
      </c>
      <c r="F580" s="1258"/>
    </row>
    <row r="581" spans="1:13" ht="13.5" thickBot="1" x14ac:dyDescent="0.25">
      <c r="A581" s="919" t="s">
        <v>999</v>
      </c>
      <c r="B581" s="1365">
        <v>34</v>
      </c>
      <c r="D581" s="1260"/>
      <c r="E581" s="1267">
        <f t="shared" si="28"/>
        <v>86</v>
      </c>
      <c r="G581" s="80"/>
      <c r="I581" s="1272"/>
    </row>
    <row r="582" spans="1:13" ht="13.5" thickBot="1" x14ac:dyDescent="0.25">
      <c r="A582" s="919" t="s">
        <v>5544</v>
      </c>
      <c r="B582" s="1420">
        <v>34</v>
      </c>
      <c r="C582" s="1259"/>
      <c r="D582" s="1260"/>
      <c r="E582" s="1267">
        <f t="shared" si="28"/>
        <v>87</v>
      </c>
      <c r="F582" s="1258"/>
      <c r="G582" s="80"/>
      <c r="I582" s="1272"/>
    </row>
    <row r="583" spans="1:13" ht="13.5" thickBot="1" x14ac:dyDescent="0.25">
      <c r="A583" s="919" t="s">
        <v>11639</v>
      </c>
      <c r="B583" s="1365">
        <v>35</v>
      </c>
      <c r="E583" s="1267">
        <f t="shared" si="28"/>
        <v>88</v>
      </c>
    </row>
    <row r="584" spans="1:13" ht="13.5" thickBot="1" x14ac:dyDescent="0.25">
      <c r="A584" s="919" t="s">
        <v>5544</v>
      </c>
      <c r="B584" s="1420">
        <v>35</v>
      </c>
      <c r="C584" s="1419"/>
      <c r="D584" s="1260"/>
      <c r="E584" s="1267">
        <f t="shared" si="28"/>
        <v>89</v>
      </c>
    </row>
    <row r="585" spans="1:13" ht="13.5" thickBot="1" x14ac:dyDescent="0.25">
      <c r="A585" s="919" t="s">
        <v>3072</v>
      </c>
      <c r="B585" s="1365">
        <v>35</v>
      </c>
      <c r="E585" s="1267">
        <f t="shared" si="28"/>
        <v>90</v>
      </c>
    </row>
    <row r="586" spans="1:13" ht="13.5" thickBot="1" x14ac:dyDescent="0.25">
      <c r="A586" s="1103" t="s">
        <v>12499</v>
      </c>
      <c r="B586" s="1703">
        <v>36</v>
      </c>
      <c r="E586" s="1267">
        <f t="shared" si="28"/>
        <v>91</v>
      </c>
      <c r="G586" s="80"/>
      <c r="H586" s="80"/>
      <c r="I586" s="1273"/>
      <c r="K586" s="80"/>
      <c r="M586" s="1272"/>
    </row>
    <row r="587" spans="1:13" ht="13.5" thickBot="1" x14ac:dyDescent="0.25">
      <c r="A587" s="919" t="s">
        <v>1827</v>
      </c>
      <c r="B587" s="1365">
        <v>37</v>
      </c>
      <c r="E587" s="1267">
        <f t="shared" si="28"/>
        <v>92</v>
      </c>
      <c r="F587" s="1258"/>
      <c r="G587" s="80"/>
      <c r="H587" s="80"/>
      <c r="I587" s="1273"/>
      <c r="K587" s="80"/>
      <c r="M587" s="1272"/>
    </row>
    <row r="588" spans="1:13" ht="13.5" thickBot="1" x14ac:dyDescent="0.25">
      <c r="A588" s="919" t="s">
        <v>5544</v>
      </c>
      <c r="B588" s="1420">
        <v>37</v>
      </c>
      <c r="C588" s="1261"/>
      <c r="E588" s="1267">
        <f t="shared" si="28"/>
        <v>93</v>
      </c>
      <c r="G588" s="80"/>
      <c r="H588" s="80"/>
      <c r="I588" s="1273"/>
      <c r="K588" s="80"/>
      <c r="M588" s="1272"/>
    </row>
    <row r="589" spans="1:13" ht="13.5" thickBot="1" x14ac:dyDescent="0.25">
      <c r="A589" s="1103" t="s">
        <v>10225</v>
      </c>
      <c r="B589" s="1703">
        <v>38</v>
      </c>
      <c r="D589" s="1260"/>
      <c r="E589" s="1267">
        <f t="shared" si="28"/>
        <v>94</v>
      </c>
      <c r="F589" s="1258"/>
      <c r="G589" s="80"/>
      <c r="H589" s="80"/>
      <c r="I589" s="1273"/>
      <c r="K589" s="80"/>
      <c r="M589" s="1272"/>
    </row>
    <row r="590" spans="1:13" ht="13.5" thickBot="1" x14ac:dyDescent="0.25">
      <c r="A590" s="919" t="s">
        <v>2827</v>
      </c>
      <c r="B590" s="1365">
        <v>39</v>
      </c>
      <c r="C590" s="1504"/>
      <c r="E590" s="1267">
        <f>E589+1</f>
        <v>95</v>
      </c>
      <c r="F590" s="1258"/>
      <c r="G590" s="80"/>
      <c r="H590" s="80"/>
      <c r="I590" s="1273"/>
      <c r="K590" s="80"/>
      <c r="M590" s="1272"/>
    </row>
    <row r="591" spans="1:13" ht="13.5" thickBot="1" x14ac:dyDescent="0.25">
      <c r="A591" s="1704" t="s">
        <v>10441</v>
      </c>
      <c r="B591" s="1705">
        <v>40</v>
      </c>
      <c r="C591" s="1390"/>
      <c r="D591" s="2"/>
      <c r="E591" s="1267">
        <f t="shared" ref="E591:E594" si="29">E590+1</f>
        <v>96</v>
      </c>
      <c r="G591" s="1370"/>
      <c r="H591" s="1371"/>
      <c r="I591" s="1518"/>
    </row>
    <row r="592" spans="1:13" ht="13.5" thickBot="1" x14ac:dyDescent="0.25">
      <c r="A592" s="1704" t="s">
        <v>10441</v>
      </c>
      <c r="B592" s="1705">
        <v>41</v>
      </c>
      <c r="C592" s="2"/>
      <c r="D592" s="1260"/>
      <c r="E592" s="1267">
        <f t="shared" si="29"/>
        <v>97</v>
      </c>
    </row>
    <row r="593" spans="1:20" ht="13.5" thickBot="1" x14ac:dyDescent="0.25">
      <c r="A593" s="879" t="s">
        <v>8015</v>
      </c>
      <c r="B593" s="1283">
        <v>42</v>
      </c>
      <c r="D593" s="1260"/>
      <c r="E593" s="1267">
        <f t="shared" si="29"/>
        <v>98</v>
      </c>
    </row>
    <row r="594" spans="1:20" ht="13.5" thickBot="1" x14ac:dyDescent="0.25">
      <c r="A594" s="879" t="s">
        <v>4625</v>
      </c>
      <c r="B594" s="1283">
        <v>43</v>
      </c>
      <c r="E594" s="1267">
        <f t="shared" si="29"/>
        <v>99</v>
      </c>
    </row>
    <row r="595" spans="1:20" ht="13.5" thickBot="1" x14ac:dyDescent="0.25">
      <c r="A595" s="879" t="s">
        <v>5544</v>
      </c>
      <c r="B595" s="1284">
        <v>43</v>
      </c>
      <c r="C595" s="1261"/>
      <c r="D595" s="1257"/>
      <c r="E595" s="1267">
        <f t="shared" ref="E595" si="30">E594+1</f>
        <v>100</v>
      </c>
      <c r="G595" s="80"/>
      <c r="I595" s="1272"/>
      <c r="K595" s="80"/>
      <c r="M595" s="1272"/>
    </row>
    <row r="596" spans="1:20" ht="13.5" thickBot="1" x14ac:dyDescent="0.25">
      <c r="A596" s="879" t="s">
        <v>5544</v>
      </c>
      <c r="B596" s="1284">
        <v>44</v>
      </c>
      <c r="C596" s="1419"/>
      <c r="D596" s="1371"/>
      <c r="E596" s="1561">
        <f t="shared" ref="E596:E666" si="31">E595+1</f>
        <v>101</v>
      </c>
      <c r="F596" s="1371"/>
      <c r="G596" s="1370"/>
      <c r="H596" s="1371"/>
      <c r="I596" s="1518"/>
    </row>
    <row r="597" spans="1:20" ht="14.25" thickBot="1" x14ac:dyDescent="0.3">
      <c r="A597" s="1103" t="s">
        <v>10441</v>
      </c>
      <c r="B597" s="1703">
        <v>45</v>
      </c>
      <c r="D597" s="2"/>
      <c r="E597" s="1267">
        <f t="shared" si="31"/>
        <v>102</v>
      </c>
      <c r="H597" s="185"/>
    </row>
    <row r="598" spans="1:20" ht="13.5" thickBot="1" x14ac:dyDescent="0.25">
      <c r="A598" s="879" t="s">
        <v>5544</v>
      </c>
      <c r="B598" s="1284">
        <v>46</v>
      </c>
      <c r="C598" s="1419"/>
      <c r="D598" s="1371"/>
      <c r="E598" s="1561">
        <f t="shared" si="31"/>
        <v>103</v>
      </c>
      <c r="F598" s="1371"/>
      <c r="G598" s="1370"/>
      <c r="H598" s="1371"/>
      <c r="I598" s="1518"/>
    </row>
    <row r="599" spans="1:20" ht="13.5" thickBot="1" x14ac:dyDescent="0.25">
      <c r="A599" s="879" t="s">
        <v>11633</v>
      </c>
      <c r="B599" s="1284">
        <v>46</v>
      </c>
      <c r="C599" s="1419"/>
      <c r="E599" s="1267">
        <f t="shared" si="31"/>
        <v>104</v>
      </c>
      <c r="F599" s="1258"/>
      <c r="G599" s="1370"/>
      <c r="H599" s="1371"/>
      <c r="I599" s="1518"/>
      <c r="K599" s="80"/>
      <c r="L599" s="80"/>
      <c r="M599" s="1273"/>
      <c r="O599" s="80" t="s">
        <v>1212</v>
      </c>
      <c r="Q599" s="1272" t="s">
        <v>1212</v>
      </c>
    </row>
    <row r="600" spans="1:20" ht="13.5" thickBot="1" x14ac:dyDescent="0.25">
      <c r="A600" s="879" t="s">
        <v>11009</v>
      </c>
      <c r="B600" s="1284">
        <v>47</v>
      </c>
      <c r="C600" s="1419"/>
      <c r="E600" s="1267">
        <f t="shared" si="31"/>
        <v>105</v>
      </c>
      <c r="F600" s="1258"/>
      <c r="G600" s="1370"/>
      <c r="H600" s="1371"/>
      <c r="I600" s="1518"/>
      <c r="K600" s="80"/>
      <c r="L600" s="80"/>
      <c r="M600" s="1273"/>
      <c r="O600" s="80"/>
      <c r="Q600" s="1272"/>
    </row>
    <row r="601" spans="1:20" ht="13.5" thickBot="1" x14ac:dyDescent="0.25">
      <c r="A601" s="879" t="s">
        <v>5544</v>
      </c>
      <c r="B601" s="1284">
        <v>48</v>
      </c>
      <c r="C601" s="1419"/>
      <c r="D601" s="1260"/>
      <c r="E601" s="1267">
        <f t="shared" si="31"/>
        <v>106</v>
      </c>
      <c r="F601" s="1258"/>
      <c r="G601" s="1370"/>
      <c r="H601" s="1371"/>
      <c r="I601" s="1518"/>
      <c r="K601" s="1370"/>
      <c r="L601" s="1370"/>
      <c r="M601" s="1471"/>
      <c r="O601" s="80"/>
      <c r="Q601" s="11"/>
    </row>
    <row r="602" spans="1:20" ht="13.5" thickBot="1" x14ac:dyDescent="0.25">
      <c r="A602" s="1103" t="s">
        <v>10441</v>
      </c>
      <c r="B602" s="1706">
        <v>49</v>
      </c>
      <c r="C602" s="1419"/>
      <c r="D602" s="1260"/>
      <c r="E602" s="1267">
        <f t="shared" si="31"/>
        <v>107</v>
      </c>
      <c r="F602" s="1258"/>
      <c r="G602" s="1370"/>
      <c r="H602" s="1371"/>
      <c r="I602" s="1518"/>
      <c r="K602" s="1370"/>
      <c r="L602" s="1370"/>
      <c r="M602" s="1471"/>
      <c r="O602" s="80"/>
      <c r="Q602" s="11"/>
    </row>
    <row r="603" spans="1:20" ht="13.5" thickBot="1" x14ac:dyDescent="0.25">
      <c r="A603" s="1704" t="s">
        <v>12905</v>
      </c>
      <c r="B603" s="1705">
        <v>50</v>
      </c>
      <c r="C603" s="1517">
        <v>51</v>
      </c>
      <c r="D603" s="1260"/>
      <c r="E603" s="1267">
        <f t="shared" si="31"/>
        <v>108</v>
      </c>
      <c r="F603" s="1258"/>
      <c r="G603" s="1370"/>
      <c r="H603" s="1371"/>
      <c r="I603" s="1471"/>
      <c r="R603">
        <v>1</v>
      </c>
      <c r="T603">
        <f t="shared" ref="T603:T623" si="32">T602+R603</f>
        <v>1</v>
      </c>
    </row>
    <row r="604" spans="1:20" ht="13.5" thickBot="1" x14ac:dyDescent="0.25">
      <c r="A604" s="80" t="s">
        <v>4625</v>
      </c>
      <c r="B604" s="1280">
        <v>52</v>
      </c>
      <c r="D604" s="1260"/>
      <c r="E604" s="1267">
        <f t="shared" si="31"/>
        <v>109</v>
      </c>
      <c r="F604" s="1258"/>
      <c r="T604">
        <f t="shared" si="32"/>
        <v>1</v>
      </c>
    </row>
    <row r="605" spans="1:20" ht="13.5" thickBot="1" x14ac:dyDescent="0.25">
      <c r="A605" s="80" t="s">
        <v>4694</v>
      </c>
      <c r="B605" s="1280">
        <v>52</v>
      </c>
      <c r="D605" s="1260"/>
      <c r="E605" s="1267">
        <f t="shared" si="31"/>
        <v>110</v>
      </c>
      <c r="T605">
        <f t="shared" si="32"/>
        <v>1</v>
      </c>
    </row>
    <row r="606" spans="1:20" ht="13.5" thickBot="1" x14ac:dyDescent="0.25">
      <c r="A606" s="80" t="s">
        <v>5544</v>
      </c>
      <c r="B606" s="1255">
        <v>52</v>
      </c>
      <c r="C606" s="1261"/>
      <c r="E606" s="1267">
        <f t="shared" si="31"/>
        <v>111</v>
      </c>
      <c r="T606">
        <f t="shared" si="32"/>
        <v>1</v>
      </c>
    </row>
    <row r="607" spans="1:20" ht="13.5" thickBot="1" x14ac:dyDescent="0.25">
      <c r="A607" s="80" t="s">
        <v>2048</v>
      </c>
      <c r="B607" s="1255">
        <v>53</v>
      </c>
      <c r="C607" s="1263"/>
      <c r="E607" s="1267">
        <f t="shared" si="31"/>
        <v>112</v>
      </c>
      <c r="F607" s="1263"/>
      <c r="T607">
        <f t="shared" si="32"/>
        <v>1</v>
      </c>
    </row>
    <row r="608" spans="1:20" ht="13.5" thickBot="1" x14ac:dyDescent="0.25">
      <c r="A608" s="80" t="s">
        <v>11633</v>
      </c>
      <c r="B608" s="1255">
        <v>54</v>
      </c>
      <c r="C608" s="1261"/>
      <c r="D608" s="1264"/>
      <c r="E608" s="1267">
        <f t="shared" si="31"/>
        <v>113</v>
      </c>
      <c r="T608">
        <f t="shared" si="32"/>
        <v>1</v>
      </c>
    </row>
    <row r="609" spans="1:20" ht="13.5" thickBot="1" x14ac:dyDescent="0.25">
      <c r="A609" s="80" t="s">
        <v>11654</v>
      </c>
      <c r="B609" s="1280">
        <v>55</v>
      </c>
      <c r="E609" s="1267">
        <f t="shared" si="31"/>
        <v>114</v>
      </c>
      <c r="T609">
        <f t="shared" si="32"/>
        <v>1</v>
      </c>
    </row>
    <row r="610" spans="1:20" ht="13.5" thickBot="1" x14ac:dyDescent="0.25">
      <c r="A610" s="80" t="s">
        <v>5544</v>
      </c>
      <c r="B610" s="1255">
        <v>56</v>
      </c>
      <c r="C610" s="1261"/>
      <c r="E610" s="1267">
        <f t="shared" si="31"/>
        <v>115</v>
      </c>
      <c r="F610" s="1258"/>
      <c r="T610">
        <f t="shared" si="32"/>
        <v>1</v>
      </c>
    </row>
    <row r="611" spans="1:20" ht="13.5" thickBot="1" x14ac:dyDescent="0.25">
      <c r="A611" s="80" t="s">
        <v>5544</v>
      </c>
      <c r="B611" s="1255">
        <v>57</v>
      </c>
      <c r="C611" s="1261"/>
      <c r="D611" s="1260"/>
      <c r="E611" s="1267">
        <f t="shared" si="31"/>
        <v>116</v>
      </c>
      <c r="F611" s="1258"/>
      <c r="T611">
        <f t="shared" si="32"/>
        <v>1</v>
      </c>
    </row>
    <row r="612" spans="1:20" ht="13.5" thickBot="1" x14ac:dyDescent="0.25">
      <c r="A612" s="80" t="s">
        <v>5544</v>
      </c>
      <c r="B612" s="1255">
        <v>58</v>
      </c>
      <c r="C612" s="1261"/>
      <c r="D612" s="1260"/>
      <c r="E612" s="1267">
        <f t="shared" si="31"/>
        <v>117</v>
      </c>
      <c r="T612">
        <f t="shared" si="32"/>
        <v>1</v>
      </c>
    </row>
    <row r="613" spans="1:20" ht="13.5" thickBot="1" x14ac:dyDescent="0.25">
      <c r="A613" s="80" t="s">
        <v>4936</v>
      </c>
      <c r="B613" s="1280">
        <v>59</v>
      </c>
      <c r="E613" s="1267">
        <f t="shared" si="31"/>
        <v>118</v>
      </c>
      <c r="F613" s="1258"/>
      <c r="T613">
        <f t="shared" si="32"/>
        <v>1</v>
      </c>
    </row>
    <row r="614" spans="1:20" ht="13.5" thickBot="1" x14ac:dyDescent="0.25">
      <c r="A614" s="80" t="s">
        <v>5544</v>
      </c>
      <c r="B614" s="1255">
        <v>59</v>
      </c>
      <c r="C614" s="1261"/>
      <c r="D614" s="1257"/>
      <c r="E614" s="1267">
        <f t="shared" si="31"/>
        <v>119</v>
      </c>
      <c r="F614" s="1258"/>
      <c r="T614">
        <f t="shared" si="32"/>
        <v>1</v>
      </c>
    </row>
    <row r="615" spans="1:20" ht="13.5" thickBot="1" x14ac:dyDescent="0.25">
      <c r="A615" s="80" t="s">
        <v>3669</v>
      </c>
      <c r="B615" s="1280">
        <v>59</v>
      </c>
      <c r="D615" s="1260"/>
      <c r="E615" s="1267">
        <f t="shared" si="31"/>
        <v>120</v>
      </c>
      <c r="F615" s="1258"/>
      <c r="T615">
        <f t="shared" si="32"/>
        <v>1</v>
      </c>
    </row>
    <row r="616" spans="1:20" ht="13.5" thickBot="1" x14ac:dyDescent="0.25">
      <c r="A616" s="80" t="s">
        <v>7938</v>
      </c>
      <c r="B616" s="1280">
        <v>59</v>
      </c>
      <c r="D616" s="1260"/>
      <c r="E616" s="1267">
        <f t="shared" si="31"/>
        <v>121</v>
      </c>
      <c r="F616" s="1258"/>
      <c r="G616" s="80"/>
      <c r="I616" s="1273"/>
      <c r="T616">
        <f t="shared" si="32"/>
        <v>1</v>
      </c>
    </row>
    <row r="617" spans="1:20" ht="13.5" thickBot="1" x14ac:dyDescent="0.25">
      <c r="A617" s="1370" t="s">
        <v>5544</v>
      </c>
      <c r="B617" s="1658">
        <v>60</v>
      </c>
      <c r="C617" s="1261"/>
      <c r="D617" s="1260"/>
      <c r="E617" s="1267">
        <f t="shared" si="31"/>
        <v>122</v>
      </c>
      <c r="F617" s="1258"/>
      <c r="G617" s="1370"/>
      <c r="H617" s="1371"/>
      <c r="I617" s="1471"/>
      <c r="T617">
        <f t="shared" si="32"/>
        <v>1</v>
      </c>
    </row>
    <row r="618" spans="1:20" ht="13.5" thickBot="1" x14ac:dyDescent="0.25">
      <c r="A618" s="80" t="s">
        <v>5544</v>
      </c>
      <c r="B618" s="1255">
        <v>61</v>
      </c>
      <c r="C618" s="1419"/>
      <c r="D618" s="1260"/>
      <c r="E618" s="1267">
        <f t="shared" si="31"/>
        <v>123</v>
      </c>
      <c r="T618">
        <f t="shared" si="32"/>
        <v>1</v>
      </c>
    </row>
    <row r="619" spans="1:20" ht="13.5" thickBot="1" x14ac:dyDescent="0.25">
      <c r="A619" s="1103" t="s">
        <v>9307</v>
      </c>
      <c r="B619" s="1703">
        <v>62</v>
      </c>
      <c r="E619" s="1267">
        <f t="shared" si="31"/>
        <v>124</v>
      </c>
      <c r="T619">
        <f t="shared" si="32"/>
        <v>1</v>
      </c>
    </row>
    <row r="620" spans="1:20" ht="13.5" thickBot="1" x14ac:dyDescent="0.25">
      <c r="A620" s="80" t="s">
        <v>5239</v>
      </c>
      <c r="B620" s="1280">
        <v>63</v>
      </c>
      <c r="E620" s="1267">
        <f t="shared" si="31"/>
        <v>125</v>
      </c>
      <c r="T620">
        <f t="shared" si="32"/>
        <v>1</v>
      </c>
    </row>
    <row r="621" spans="1:20" ht="13.5" thickBot="1" x14ac:dyDescent="0.25">
      <c r="A621" s="80" t="s">
        <v>2048</v>
      </c>
      <c r="B621" s="1255">
        <v>64</v>
      </c>
      <c r="C621" s="1263"/>
      <c r="E621" s="1267">
        <f t="shared" si="31"/>
        <v>126</v>
      </c>
      <c r="T621">
        <f t="shared" si="32"/>
        <v>1</v>
      </c>
    </row>
    <row r="622" spans="1:20" ht="13.5" thickBot="1" x14ac:dyDescent="0.25">
      <c r="A622" s="80" t="s">
        <v>5544</v>
      </c>
      <c r="B622" s="1255">
        <v>64</v>
      </c>
      <c r="C622" s="1261"/>
      <c r="E622" s="1267">
        <f t="shared" si="31"/>
        <v>127</v>
      </c>
      <c r="G622" s="80"/>
      <c r="I622" s="1272"/>
      <c r="K622" s="80"/>
      <c r="M622" s="1272"/>
      <c r="T622">
        <f t="shared" si="32"/>
        <v>1</v>
      </c>
    </row>
    <row r="623" spans="1:20" ht="13.5" thickBot="1" x14ac:dyDescent="0.25">
      <c r="A623" s="80" t="s">
        <v>5544</v>
      </c>
      <c r="B623" s="1255">
        <v>65</v>
      </c>
      <c r="C623" s="1261"/>
      <c r="E623" s="1267">
        <f t="shared" si="31"/>
        <v>128</v>
      </c>
      <c r="G623" s="80"/>
      <c r="I623" s="1272"/>
      <c r="K623" s="1370"/>
      <c r="L623" s="1371"/>
      <c r="M623" s="1518"/>
      <c r="T623">
        <f t="shared" si="32"/>
        <v>1</v>
      </c>
    </row>
    <row r="624" spans="1:20" ht="13.5" thickBot="1" x14ac:dyDescent="0.25">
      <c r="A624" s="80" t="s">
        <v>11633</v>
      </c>
      <c r="B624" s="1255">
        <v>66</v>
      </c>
      <c r="C624" s="1419"/>
      <c r="D624" s="1371"/>
      <c r="E624" s="1561">
        <f t="shared" si="31"/>
        <v>129</v>
      </c>
      <c r="F624" s="1371"/>
      <c r="G624" s="1370"/>
      <c r="H624" s="1371"/>
      <c r="I624" s="1518"/>
      <c r="K624" s="1370"/>
      <c r="L624" s="1371"/>
      <c r="M624" s="1518"/>
      <c r="T624">
        <f>T623+R624</f>
        <v>1</v>
      </c>
    </row>
    <row r="625" spans="1:20" ht="13.5" thickBot="1" x14ac:dyDescent="0.25">
      <c r="A625" s="1103" t="s">
        <v>11148</v>
      </c>
      <c r="B625" s="1706">
        <v>67</v>
      </c>
      <c r="C625" s="1419"/>
      <c r="D625" s="1371"/>
      <c r="E625" s="1561">
        <f t="shared" si="31"/>
        <v>130</v>
      </c>
      <c r="F625" s="1371"/>
      <c r="G625" s="1370"/>
      <c r="H625" s="1371"/>
      <c r="I625" s="1518"/>
      <c r="K625" s="1370"/>
      <c r="L625" s="1371"/>
      <c r="M625" s="1518"/>
      <c r="T625">
        <f>T624+R625</f>
        <v>1</v>
      </c>
    </row>
    <row r="626" spans="1:20" ht="13.5" thickBot="1" x14ac:dyDescent="0.25">
      <c r="A626" s="1103" t="s">
        <v>9307</v>
      </c>
      <c r="B626" s="1703">
        <v>68</v>
      </c>
      <c r="E626" s="1267">
        <f t="shared" si="31"/>
        <v>131</v>
      </c>
      <c r="G626" s="1370"/>
      <c r="H626" s="1370"/>
      <c r="I626" s="1471"/>
      <c r="T626">
        <f t="shared" ref="T626:T657" si="33">T625+R626</f>
        <v>1</v>
      </c>
    </row>
    <row r="627" spans="1:20" ht="13.5" thickBot="1" x14ac:dyDescent="0.25">
      <c r="A627" s="80" t="s">
        <v>5544</v>
      </c>
      <c r="B627" s="1255">
        <v>69</v>
      </c>
      <c r="C627" s="1419"/>
      <c r="D627" s="1371"/>
      <c r="E627" s="1267">
        <f t="shared" si="31"/>
        <v>132</v>
      </c>
      <c r="F627" s="1371"/>
      <c r="G627" s="1370"/>
      <c r="H627" s="1370"/>
      <c r="I627" s="1471"/>
      <c r="T627">
        <f t="shared" si="33"/>
        <v>1</v>
      </c>
    </row>
    <row r="628" spans="1:20" ht="13.5" thickBot="1" x14ac:dyDescent="0.25">
      <c r="A628" s="1103" t="s">
        <v>9307</v>
      </c>
      <c r="B628" s="1703">
        <v>70</v>
      </c>
      <c r="E628" s="1267">
        <f t="shared" si="31"/>
        <v>133</v>
      </c>
      <c r="F628" s="1258"/>
      <c r="I628" s="1067"/>
      <c r="T628">
        <f t="shared" si="33"/>
        <v>1</v>
      </c>
    </row>
    <row r="629" spans="1:20" ht="13.5" thickBot="1" x14ac:dyDescent="0.25">
      <c r="A629" s="80" t="s">
        <v>5544</v>
      </c>
      <c r="B629" s="1255">
        <v>71</v>
      </c>
      <c r="C629" s="1261"/>
      <c r="D629" s="1260"/>
      <c r="E629" s="1267">
        <f t="shared" si="31"/>
        <v>134</v>
      </c>
      <c r="F629" s="1258"/>
      <c r="G629" s="80"/>
      <c r="I629" s="1067"/>
      <c r="T629">
        <f t="shared" si="33"/>
        <v>1</v>
      </c>
    </row>
    <row r="630" spans="1:20" ht="13.5" thickBot="1" x14ac:dyDescent="0.25">
      <c r="A630" s="80" t="s">
        <v>11650</v>
      </c>
      <c r="B630" s="1280">
        <v>71</v>
      </c>
      <c r="D630" s="1260"/>
      <c r="E630" s="1267">
        <f t="shared" si="31"/>
        <v>135</v>
      </c>
      <c r="I630" s="1430"/>
      <c r="T630">
        <f t="shared" si="33"/>
        <v>1</v>
      </c>
    </row>
    <row r="631" spans="1:20" ht="13.5" thickBot="1" x14ac:dyDescent="0.25">
      <c r="A631" s="80" t="s">
        <v>6016</v>
      </c>
      <c r="B631" s="1280">
        <v>72</v>
      </c>
      <c r="C631" s="2"/>
      <c r="E631" s="1267">
        <f t="shared" si="31"/>
        <v>136</v>
      </c>
      <c r="I631" s="1528"/>
      <c r="T631">
        <f t="shared" si="33"/>
        <v>1</v>
      </c>
    </row>
    <row r="632" spans="1:20" ht="13.5" thickBot="1" x14ac:dyDescent="0.25">
      <c r="A632" s="80" t="s">
        <v>4510</v>
      </c>
      <c r="B632" s="1280">
        <v>73</v>
      </c>
      <c r="E632" s="1267">
        <f t="shared" si="31"/>
        <v>137</v>
      </c>
      <c r="F632" s="1258"/>
      <c r="I632" s="1528"/>
      <c r="T632">
        <f t="shared" si="33"/>
        <v>1</v>
      </c>
    </row>
    <row r="633" spans="1:20" ht="13.5" thickBot="1" x14ac:dyDescent="0.25">
      <c r="A633" s="80" t="s">
        <v>5544</v>
      </c>
      <c r="B633" s="1255">
        <v>74</v>
      </c>
      <c r="C633" s="1419"/>
      <c r="D633" s="1616"/>
      <c r="E633" s="1561">
        <f t="shared" si="31"/>
        <v>138</v>
      </c>
      <c r="F633" s="1371"/>
      <c r="G633" s="1371"/>
      <c r="H633" s="1371"/>
      <c r="I633" s="1617"/>
      <c r="T633">
        <f t="shared" si="33"/>
        <v>1</v>
      </c>
    </row>
    <row r="634" spans="1:20" ht="13.5" thickBot="1" x14ac:dyDescent="0.25">
      <c r="A634" s="1103" t="s">
        <v>12958</v>
      </c>
      <c r="B634" s="1703">
        <v>75</v>
      </c>
      <c r="E634" s="1267">
        <f t="shared" si="31"/>
        <v>139</v>
      </c>
      <c r="G634" s="80"/>
      <c r="I634" s="1430"/>
      <c r="T634">
        <f t="shared" si="33"/>
        <v>1</v>
      </c>
    </row>
    <row r="635" spans="1:20" ht="13.5" thickBot="1" x14ac:dyDescent="0.25">
      <c r="A635" s="80" t="s">
        <v>2995</v>
      </c>
      <c r="B635" s="1280">
        <v>76</v>
      </c>
      <c r="E635" s="1267">
        <f t="shared" si="31"/>
        <v>140</v>
      </c>
      <c r="F635" s="1258"/>
      <c r="G635" s="80"/>
      <c r="I635" s="1430"/>
      <c r="T635">
        <f t="shared" si="33"/>
        <v>1</v>
      </c>
    </row>
    <row r="636" spans="1:20" ht="13.5" thickBot="1" x14ac:dyDescent="0.25">
      <c r="A636" s="80" t="s">
        <v>5544</v>
      </c>
      <c r="B636" s="1255">
        <v>76</v>
      </c>
      <c r="C636" s="1261"/>
      <c r="D636" s="1260"/>
      <c r="E636" s="1267">
        <f t="shared" si="31"/>
        <v>141</v>
      </c>
      <c r="F636" s="1258"/>
      <c r="G636" s="80"/>
      <c r="I636" s="1272"/>
      <c r="T636">
        <f>T635+R636</f>
        <v>1</v>
      </c>
    </row>
    <row r="637" spans="1:20" ht="13.5" thickBot="1" x14ac:dyDescent="0.25">
      <c r="A637" s="80" t="s">
        <v>1849</v>
      </c>
      <c r="B637" s="1280">
        <v>77</v>
      </c>
      <c r="C637" s="1419"/>
      <c r="D637" s="1616"/>
      <c r="E637" s="1561">
        <f t="shared" si="31"/>
        <v>142</v>
      </c>
      <c r="F637" s="1371"/>
      <c r="G637" s="1370"/>
      <c r="H637" s="1371"/>
      <c r="I637" s="1518"/>
      <c r="T637">
        <f t="shared" si="33"/>
        <v>1</v>
      </c>
    </row>
    <row r="638" spans="1:20" ht="13.5" thickBot="1" x14ac:dyDescent="0.25">
      <c r="A638" s="80" t="s">
        <v>9307</v>
      </c>
      <c r="B638" s="1280">
        <v>78</v>
      </c>
      <c r="C638" s="1419"/>
      <c r="D638" s="1616"/>
      <c r="E638" s="1561">
        <f t="shared" si="31"/>
        <v>143</v>
      </c>
      <c r="F638" s="1371"/>
      <c r="G638" s="1370"/>
      <c r="H638" s="1371"/>
      <c r="I638" s="1518"/>
      <c r="T638">
        <f t="shared" si="33"/>
        <v>1</v>
      </c>
    </row>
    <row r="639" spans="1:20" ht="13.5" thickBot="1" x14ac:dyDescent="0.25">
      <c r="A639" s="80" t="s">
        <v>11633</v>
      </c>
      <c r="B639" s="1255">
        <v>79</v>
      </c>
      <c r="C639" s="1261"/>
      <c r="E639" s="1561">
        <f t="shared" si="31"/>
        <v>144</v>
      </c>
      <c r="F639" s="1258"/>
      <c r="I639" s="1067"/>
      <c r="T639">
        <f t="shared" si="33"/>
        <v>1</v>
      </c>
    </row>
    <row r="640" spans="1:20" ht="13.5" thickBot="1" x14ac:dyDescent="0.25">
      <c r="A640" s="532" t="s">
        <v>5544</v>
      </c>
      <c r="B640" s="1287">
        <v>80</v>
      </c>
      <c r="C640" s="1282">
        <v>81</v>
      </c>
      <c r="D640" s="1260"/>
      <c r="E640" s="1561">
        <f t="shared" si="31"/>
        <v>145</v>
      </c>
      <c r="G640" s="1370"/>
      <c r="H640" s="1371"/>
      <c r="I640" s="1518"/>
      <c r="R640">
        <v>1</v>
      </c>
      <c r="T640">
        <f t="shared" si="33"/>
        <v>2</v>
      </c>
    </row>
    <row r="641" spans="1:20" ht="13.5" thickBot="1" x14ac:dyDescent="0.25">
      <c r="A641" s="80" t="s">
        <v>11654</v>
      </c>
      <c r="B641" s="1280">
        <v>82</v>
      </c>
      <c r="C641" s="1517">
        <v>83</v>
      </c>
      <c r="E641" s="1267">
        <f t="shared" si="31"/>
        <v>146</v>
      </c>
      <c r="F641" s="1258"/>
      <c r="G641" s="1370"/>
      <c r="H641" s="1371"/>
      <c r="I641" s="1518"/>
      <c r="R641">
        <v>1</v>
      </c>
      <c r="T641">
        <f t="shared" si="33"/>
        <v>3</v>
      </c>
    </row>
    <row r="642" spans="1:20" ht="13.5" thickBot="1" x14ac:dyDescent="0.25">
      <c r="A642" s="80" t="s">
        <v>5544</v>
      </c>
      <c r="B642" s="1255">
        <v>84</v>
      </c>
      <c r="C642" s="1282">
        <v>85</v>
      </c>
      <c r="D642" s="1260"/>
      <c r="E642" s="1267">
        <f t="shared" si="31"/>
        <v>147</v>
      </c>
      <c r="F642" s="1258"/>
      <c r="G642" s="1370"/>
      <c r="H642" s="1371"/>
      <c r="I642" s="1518"/>
      <c r="R642">
        <v>1</v>
      </c>
      <c r="T642">
        <f t="shared" si="33"/>
        <v>4</v>
      </c>
    </row>
    <row r="643" spans="1:20" ht="13.5" thickBot="1" x14ac:dyDescent="0.25">
      <c r="A643" s="80" t="s">
        <v>11653</v>
      </c>
      <c r="B643" s="1280">
        <v>84</v>
      </c>
      <c r="D643" s="1260"/>
      <c r="E643" s="1267">
        <f t="shared" si="31"/>
        <v>148</v>
      </c>
      <c r="F643" s="1258"/>
      <c r="I643" s="1272"/>
      <c r="T643">
        <f t="shared" si="33"/>
        <v>4</v>
      </c>
    </row>
    <row r="644" spans="1:20" ht="13.5" thickBot="1" x14ac:dyDescent="0.25">
      <c r="A644" s="80" t="s">
        <v>5544</v>
      </c>
      <c r="B644" s="1255">
        <v>86</v>
      </c>
      <c r="C644" s="1261"/>
      <c r="D644" s="1260"/>
      <c r="E644" s="1267">
        <f t="shared" si="31"/>
        <v>149</v>
      </c>
      <c r="I644" s="1272"/>
      <c r="T644">
        <f t="shared" si="33"/>
        <v>4</v>
      </c>
    </row>
    <row r="645" spans="1:20" ht="13.5" thickBot="1" x14ac:dyDescent="0.25">
      <c r="A645" s="80" t="s">
        <v>129</v>
      </c>
      <c r="B645" s="1280">
        <v>87</v>
      </c>
      <c r="E645" s="1267">
        <f t="shared" si="31"/>
        <v>150</v>
      </c>
      <c r="I645" s="1272"/>
      <c r="T645">
        <f t="shared" si="33"/>
        <v>4</v>
      </c>
    </row>
    <row r="646" spans="1:20" ht="13.5" thickBot="1" x14ac:dyDescent="0.25">
      <c r="A646" s="80" t="s">
        <v>5544</v>
      </c>
      <c r="B646" s="1255">
        <v>88</v>
      </c>
      <c r="C646" s="1261"/>
      <c r="E646" s="1267">
        <f t="shared" si="31"/>
        <v>151</v>
      </c>
      <c r="F646" s="1258"/>
      <c r="I646" s="1272"/>
      <c r="T646">
        <f t="shared" si="33"/>
        <v>4</v>
      </c>
    </row>
    <row r="647" spans="1:20" ht="13.5" thickBot="1" x14ac:dyDescent="0.25">
      <c r="A647" s="80" t="s">
        <v>203</v>
      </c>
      <c r="B647" s="1280">
        <v>89</v>
      </c>
      <c r="C647" s="1390"/>
      <c r="D647" s="1260"/>
      <c r="E647" s="1267">
        <f t="shared" si="31"/>
        <v>152</v>
      </c>
      <c r="F647" s="1258"/>
      <c r="G647" s="1682"/>
      <c r="H647" s="1444"/>
      <c r="I647" s="1683"/>
      <c r="T647">
        <f t="shared" si="33"/>
        <v>4</v>
      </c>
    </row>
    <row r="648" spans="1:20" ht="13.5" thickBot="1" x14ac:dyDescent="0.25">
      <c r="A648" s="1103" t="s">
        <v>8897</v>
      </c>
      <c r="B648" s="1703">
        <v>90</v>
      </c>
      <c r="C648" s="1390"/>
      <c r="D648" s="1260"/>
      <c r="E648" s="1267">
        <f t="shared" si="31"/>
        <v>153</v>
      </c>
      <c r="F648" s="1258"/>
      <c r="G648" s="1682"/>
      <c r="H648" s="1444"/>
      <c r="I648" s="1683"/>
      <c r="T648">
        <f>T647+R648</f>
        <v>4</v>
      </c>
    </row>
    <row r="649" spans="1:20" ht="13.5" thickBot="1" x14ac:dyDescent="0.25">
      <c r="A649" s="80" t="s">
        <v>5544</v>
      </c>
      <c r="B649" s="1255">
        <v>91</v>
      </c>
      <c r="C649" s="1261"/>
      <c r="D649" s="1260"/>
      <c r="E649" s="1267">
        <f t="shared" si="31"/>
        <v>154</v>
      </c>
      <c r="T649">
        <f t="shared" si="33"/>
        <v>4</v>
      </c>
    </row>
    <row r="650" spans="1:20" ht="13.5" thickBot="1" x14ac:dyDescent="0.25">
      <c r="A650" s="80" t="s">
        <v>1003</v>
      </c>
      <c r="B650" s="1280">
        <v>92</v>
      </c>
      <c r="E650" s="1267">
        <f t="shared" si="31"/>
        <v>155</v>
      </c>
      <c r="F650" s="1258"/>
      <c r="T650">
        <f t="shared" si="33"/>
        <v>4</v>
      </c>
    </row>
    <row r="651" spans="1:20" ht="13.5" thickBot="1" x14ac:dyDescent="0.25">
      <c r="A651" s="80" t="s">
        <v>5544</v>
      </c>
      <c r="B651" s="1255">
        <v>93</v>
      </c>
      <c r="C651" s="2027" t="s">
        <v>11634</v>
      </c>
      <c r="D651" s="1260"/>
      <c r="E651" s="1267">
        <f t="shared" si="31"/>
        <v>156</v>
      </c>
      <c r="F651" s="1258"/>
      <c r="G651" s="1370"/>
      <c r="H651" s="1444">
        <v>94</v>
      </c>
      <c r="I651" s="1518"/>
      <c r="K651" s="80"/>
      <c r="L651">
        <v>95</v>
      </c>
      <c r="M651" s="1638"/>
      <c r="R651">
        <v>2</v>
      </c>
      <c r="T651">
        <f>T650+R651</f>
        <v>6</v>
      </c>
    </row>
    <row r="652" spans="1:20" ht="13.5" thickBot="1" x14ac:dyDescent="0.25">
      <c r="A652" s="80" t="s">
        <v>5544</v>
      </c>
      <c r="B652" s="1255">
        <v>96</v>
      </c>
      <c r="C652" s="1939"/>
      <c r="D652" s="1260"/>
      <c r="E652" s="1267">
        <f t="shared" si="31"/>
        <v>157</v>
      </c>
      <c r="G652" s="1370"/>
      <c r="H652" s="1444"/>
      <c r="I652" s="1518"/>
      <c r="M652" s="1272"/>
      <c r="O652" s="1370"/>
      <c r="P652" s="1371"/>
      <c r="Q652" s="1682"/>
      <c r="T652">
        <f t="shared" si="33"/>
        <v>6</v>
      </c>
    </row>
    <row r="653" spans="1:20" ht="13.5" thickBot="1" x14ac:dyDescent="0.25">
      <c r="A653" s="862" t="s">
        <v>9307</v>
      </c>
      <c r="B653" s="2001">
        <v>97</v>
      </c>
      <c r="C653" s="2027">
        <v>98</v>
      </c>
      <c r="D653" s="1260"/>
      <c r="E653" s="1267">
        <f t="shared" si="31"/>
        <v>158</v>
      </c>
      <c r="G653" s="1370"/>
      <c r="H653" s="1444">
        <v>98</v>
      </c>
      <c r="I653" s="1518"/>
      <c r="M653" s="1272"/>
      <c r="O653" s="1370"/>
      <c r="P653" s="1371"/>
      <c r="Q653" s="1682"/>
      <c r="R653">
        <v>1</v>
      </c>
      <c r="T653">
        <f t="shared" si="33"/>
        <v>7</v>
      </c>
    </row>
    <row r="654" spans="1:20" ht="13.5" thickBot="1" x14ac:dyDescent="0.25">
      <c r="A654" s="862" t="s">
        <v>9307</v>
      </c>
      <c r="B654" s="2001">
        <v>99</v>
      </c>
      <c r="C654" s="1939"/>
      <c r="D654" s="1260"/>
      <c r="E654" s="1267">
        <f t="shared" si="31"/>
        <v>159</v>
      </c>
      <c r="G654" s="1370"/>
      <c r="H654" s="1444"/>
      <c r="I654" s="1518"/>
      <c r="M654" s="1272"/>
      <c r="O654" s="1370"/>
      <c r="P654" s="1371"/>
      <c r="Q654" s="1682"/>
    </row>
    <row r="655" spans="1:20" ht="14.25" thickBot="1" x14ac:dyDescent="0.3">
      <c r="A655" s="879" t="s">
        <v>5947</v>
      </c>
      <c r="B655" s="1283">
        <v>100</v>
      </c>
      <c r="E655" s="1267">
        <f t="shared" si="31"/>
        <v>160</v>
      </c>
      <c r="G655" s="80"/>
      <c r="H655" s="185"/>
      <c r="I655" s="1272"/>
      <c r="K655" s="80"/>
      <c r="L655" s="187"/>
      <c r="M655" s="1272"/>
      <c r="T655">
        <f>T653+R655</f>
        <v>7</v>
      </c>
    </row>
    <row r="656" spans="1:20" ht="14.25" thickBot="1" x14ac:dyDescent="0.3">
      <c r="A656" s="890" t="s">
        <v>5544</v>
      </c>
      <c r="B656" s="1991">
        <v>100</v>
      </c>
      <c r="C656" s="1262"/>
      <c r="E656" s="1267">
        <f t="shared" si="31"/>
        <v>161</v>
      </c>
      <c r="H656" s="185"/>
      <c r="I656" s="1637"/>
      <c r="J656" s="45"/>
      <c r="K656" s="45"/>
      <c r="L656" s="45"/>
      <c r="M656" s="1272"/>
      <c r="T656">
        <f t="shared" si="33"/>
        <v>7</v>
      </c>
    </row>
    <row r="657" spans="1:20" ht="14.25" thickBot="1" x14ac:dyDescent="0.3">
      <c r="A657" s="879" t="s">
        <v>4862</v>
      </c>
      <c r="B657" s="1283">
        <v>100</v>
      </c>
      <c r="C657" s="2028">
        <v>101102</v>
      </c>
      <c r="E657" s="1267">
        <f t="shared" si="31"/>
        <v>162</v>
      </c>
      <c r="F657" s="1258"/>
      <c r="G657" s="80"/>
      <c r="H657" s="185">
        <v>101</v>
      </c>
      <c r="I657" s="1272"/>
      <c r="K657" s="80"/>
      <c r="L657" s="45">
        <v>102</v>
      </c>
      <c r="M657" s="1272"/>
      <c r="R657">
        <v>2</v>
      </c>
      <c r="T657">
        <f t="shared" si="33"/>
        <v>9</v>
      </c>
    </row>
    <row r="658" spans="1:20" ht="13.5" thickBot="1" x14ac:dyDescent="0.25">
      <c r="A658" s="80" t="s">
        <v>5544</v>
      </c>
      <c r="B658" s="1255">
        <v>103</v>
      </c>
      <c r="C658" s="1261"/>
      <c r="D658" s="1260"/>
      <c r="E658" s="1267">
        <f t="shared" si="31"/>
        <v>163</v>
      </c>
      <c r="F658" s="1258"/>
    </row>
    <row r="659" spans="1:20" ht="13.5" thickBot="1" x14ac:dyDescent="0.25">
      <c r="A659" s="80" t="s">
        <v>11654</v>
      </c>
      <c r="B659" s="1280">
        <v>103</v>
      </c>
      <c r="D659" s="1260"/>
      <c r="E659" s="1267">
        <f t="shared" si="31"/>
        <v>164</v>
      </c>
      <c r="F659" s="1258"/>
    </row>
    <row r="660" spans="1:20" ht="13.5" thickBot="1" x14ac:dyDescent="0.25">
      <c r="A660" s="80" t="s">
        <v>5544</v>
      </c>
      <c r="B660" s="1255">
        <v>104</v>
      </c>
      <c r="C660" s="1261"/>
      <c r="D660" s="1260"/>
      <c r="E660" s="1267">
        <f t="shared" si="31"/>
        <v>165</v>
      </c>
    </row>
    <row r="661" spans="1:20" ht="13.5" thickBot="1" x14ac:dyDescent="0.25">
      <c r="A661" s="80" t="s">
        <v>1122</v>
      </c>
      <c r="B661" s="1255">
        <v>104</v>
      </c>
      <c r="C661" s="1261"/>
      <c r="E661" s="1267">
        <f t="shared" si="31"/>
        <v>166</v>
      </c>
      <c r="F661" s="1258"/>
    </row>
    <row r="662" spans="1:20" ht="13.5" thickBot="1" x14ac:dyDescent="0.25">
      <c r="A662" s="80" t="s">
        <v>6003</v>
      </c>
      <c r="B662" s="1280">
        <v>105</v>
      </c>
      <c r="D662" s="1260"/>
      <c r="E662" s="1267">
        <f t="shared" si="31"/>
        <v>167</v>
      </c>
    </row>
    <row r="663" spans="1:20" ht="13.5" thickBot="1" x14ac:dyDescent="0.25">
      <c r="A663" s="80" t="s">
        <v>1122</v>
      </c>
      <c r="B663" s="1255">
        <v>105</v>
      </c>
      <c r="C663" s="1261"/>
      <c r="E663" s="1267">
        <f t="shared" si="31"/>
        <v>168</v>
      </c>
      <c r="F663" s="1258"/>
    </row>
    <row r="664" spans="1:20" ht="13.5" thickBot="1" x14ac:dyDescent="0.25">
      <c r="A664" s="80" t="s">
        <v>11642</v>
      </c>
      <c r="B664" s="1280">
        <v>106</v>
      </c>
      <c r="D664" s="1260"/>
      <c r="E664" s="1267">
        <f t="shared" si="31"/>
        <v>169</v>
      </c>
      <c r="F664" s="1258"/>
    </row>
    <row r="665" spans="1:20" ht="13.5" thickBot="1" x14ac:dyDescent="0.25">
      <c r="A665" s="80" t="s">
        <v>1122</v>
      </c>
      <c r="B665" s="1255">
        <v>106</v>
      </c>
      <c r="C665" s="1261"/>
      <c r="D665" s="1260"/>
      <c r="E665" s="1267">
        <f t="shared" si="31"/>
        <v>170</v>
      </c>
    </row>
    <row r="666" spans="1:20" ht="13.5" thickBot="1" x14ac:dyDescent="0.25">
      <c r="A666" s="80" t="s">
        <v>2048</v>
      </c>
      <c r="B666" s="1255">
        <v>107</v>
      </c>
      <c r="C666" s="1263"/>
      <c r="E666" s="1267">
        <f t="shared" si="31"/>
        <v>171</v>
      </c>
      <c r="F666" s="1258"/>
    </row>
    <row r="667" spans="1:20" ht="13.5" thickBot="1" x14ac:dyDescent="0.25">
      <c r="A667" s="80" t="s">
        <v>11137</v>
      </c>
      <c r="B667" s="1280">
        <v>107</v>
      </c>
      <c r="D667" s="1260"/>
      <c r="E667" s="1267">
        <f t="shared" ref="E667:E730" si="34">E666+1</f>
        <v>172</v>
      </c>
    </row>
    <row r="668" spans="1:20" ht="13.5" thickBot="1" x14ac:dyDescent="0.25">
      <c r="A668" s="80" t="s">
        <v>1122</v>
      </c>
      <c r="B668" s="1255">
        <v>107</v>
      </c>
      <c r="C668" s="1261"/>
      <c r="E668" s="1267">
        <f t="shared" si="34"/>
        <v>173</v>
      </c>
    </row>
    <row r="669" spans="1:20" ht="13.5" thickBot="1" x14ac:dyDescent="0.25">
      <c r="A669" s="80" t="s">
        <v>11660</v>
      </c>
      <c r="B669" s="1280">
        <v>108</v>
      </c>
      <c r="E669" s="1267">
        <f t="shared" si="34"/>
        <v>174</v>
      </c>
      <c r="F669" s="1258"/>
    </row>
    <row r="670" spans="1:20" ht="13.5" thickBot="1" x14ac:dyDescent="0.25">
      <c r="A670" s="80" t="s">
        <v>1122</v>
      </c>
      <c r="B670" s="1255">
        <v>108</v>
      </c>
      <c r="C670" s="1261"/>
      <c r="D670" s="1260"/>
      <c r="E670" s="1267">
        <f t="shared" si="34"/>
        <v>175</v>
      </c>
      <c r="F670" s="1258"/>
    </row>
    <row r="671" spans="1:20" ht="13.5" thickBot="1" x14ac:dyDescent="0.25">
      <c r="A671" s="80" t="s">
        <v>5544</v>
      </c>
      <c r="B671" s="1255">
        <v>109</v>
      </c>
      <c r="C671" s="1261"/>
      <c r="D671" s="1260"/>
      <c r="E671" s="1267">
        <f t="shared" si="34"/>
        <v>176</v>
      </c>
      <c r="F671" s="1258"/>
    </row>
    <row r="672" spans="1:20" ht="13.5" thickBot="1" x14ac:dyDescent="0.25">
      <c r="A672" s="80" t="s">
        <v>11661</v>
      </c>
      <c r="B672" s="1280">
        <v>109</v>
      </c>
      <c r="D672" s="1260"/>
      <c r="E672" s="1267">
        <f t="shared" si="34"/>
        <v>177</v>
      </c>
    </row>
    <row r="673" spans="1:20" ht="13.5" thickBot="1" x14ac:dyDescent="0.25">
      <c r="A673" s="532" t="s">
        <v>11651</v>
      </c>
      <c r="B673" s="1300">
        <v>110</v>
      </c>
      <c r="E673" s="1267">
        <f t="shared" si="34"/>
        <v>178</v>
      </c>
      <c r="F673" s="1258"/>
    </row>
    <row r="674" spans="1:20" ht="13.5" thickBot="1" x14ac:dyDescent="0.25">
      <c r="A674" s="532" t="s">
        <v>5544</v>
      </c>
      <c r="B674" s="1287">
        <v>110</v>
      </c>
      <c r="C674" s="1261"/>
      <c r="D674" s="1260"/>
      <c r="E674" s="1267">
        <f t="shared" si="34"/>
        <v>179</v>
      </c>
      <c r="F674" s="1258"/>
    </row>
    <row r="675" spans="1:20" ht="13.5" thickBot="1" x14ac:dyDescent="0.25">
      <c r="A675" s="532" t="s">
        <v>1122</v>
      </c>
      <c r="B675" s="1287">
        <v>110</v>
      </c>
      <c r="C675" s="1261"/>
      <c r="D675" s="1260"/>
      <c r="E675" s="1267">
        <f t="shared" si="34"/>
        <v>180</v>
      </c>
    </row>
    <row r="676" spans="1:20" ht="13.5" thickBot="1" x14ac:dyDescent="0.25">
      <c r="A676" s="80" t="s">
        <v>449</v>
      </c>
      <c r="B676" s="1280">
        <v>111</v>
      </c>
      <c r="E676" s="1267">
        <f t="shared" si="34"/>
        <v>181</v>
      </c>
      <c r="F676" s="1258"/>
      <c r="I676" s="38"/>
      <c r="K676" s="80"/>
      <c r="O676" s="80"/>
    </row>
    <row r="677" spans="1:20" ht="13.5" thickBot="1" x14ac:dyDescent="0.25">
      <c r="A677" s="80" t="s">
        <v>1122</v>
      </c>
      <c r="B677" s="1255">
        <v>111</v>
      </c>
      <c r="C677" s="1261"/>
      <c r="D677" s="1260"/>
      <c r="E677" s="1267">
        <f t="shared" si="34"/>
        <v>182</v>
      </c>
      <c r="F677" s="1258"/>
      <c r="K677" s="80"/>
      <c r="O677" s="80"/>
    </row>
    <row r="678" spans="1:20" ht="13.5" thickBot="1" x14ac:dyDescent="0.25">
      <c r="A678" s="80" t="s">
        <v>11268</v>
      </c>
      <c r="B678" s="1280">
        <v>112</v>
      </c>
      <c r="D678" s="1260"/>
      <c r="E678" s="1267">
        <f t="shared" si="34"/>
        <v>183</v>
      </c>
      <c r="F678" s="1258"/>
    </row>
    <row r="679" spans="1:20" ht="13.5" thickBot="1" x14ac:dyDescent="0.25">
      <c r="A679" s="80" t="s">
        <v>5544</v>
      </c>
      <c r="B679" s="1255">
        <v>113</v>
      </c>
      <c r="C679" s="1261"/>
      <c r="D679" s="1257"/>
      <c r="E679" s="1267">
        <f t="shared" si="34"/>
        <v>184</v>
      </c>
      <c r="F679" s="1258"/>
    </row>
    <row r="680" spans="1:20" ht="14.25" thickBot="1" x14ac:dyDescent="0.3">
      <c r="A680" s="80" t="s">
        <v>1122</v>
      </c>
      <c r="B680" s="1255">
        <v>113</v>
      </c>
      <c r="C680" s="1939" t="s">
        <v>11635</v>
      </c>
      <c r="D680" s="1260"/>
      <c r="E680" s="1267">
        <f t="shared" si="34"/>
        <v>185</v>
      </c>
      <c r="H680" s="1982">
        <v>114</v>
      </c>
      <c r="I680" s="1272"/>
      <c r="L680" s="1982">
        <v>115</v>
      </c>
      <c r="P680" s="2042">
        <v>116</v>
      </c>
      <c r="Q680" s="45"/>
      <c r="R680" s="45"/>
      <c r="S680" s="45"/>
      <c r="T680" s="2042">
        <v>117</v>
      </c>
    </row>
    <row r="681" spans="1:20" ht="14.25" thickBot="1" x14ac:dyDescent="0.3">
      <c r="A681" s="80" t="s">
        <v>1122</v>
      </c>
      <c r="B681" s="1255">
        <v>118</v>
      </c>
      <c r="C681" s="1261"/>
      <c r="E681" s="1267">
        <f t="shared" si="34"/>
        <v>186</v>
      </c>
      <c r="F681" s="1258"/>
      <c r="H681" s="185"/>
      <c r="I681" s="1272"/>
      <c r="L681" s="185"/>
    </row>
    <row r="682" spans="1:20" ht="14.25" thickBot="1" x14ac:dyDescent="0.3">
      <c r="A682" s="80" t="s">
        <v>5544</v>
      </c>
      <c r="B682" s="1253">
        <v>119</v>
      </c>
      <c r="C682" s="1254"/>
      <c r="D682" s="1252"/>
      <c r="E682" s="1267">
        <f t="shared" si="34"/>
        <v>187</v>
      </c>
      <c r="H682" s="185"/>
      <c r="I682" s="1272"/>
      <c r="K682" s="80"/>
      <c r="L682" s="185"/>
    </row>
    <row r="683" spans="1:20" ht="14.25" thickBot="1" x14ac:dyDescent="0.3">
      <c r="A683" s="532" t="s">
        <v>5544</v>
      </c>
      <c r="B683" s="1570">
        <v>120</v>
      </c>
      <c r="C683" s="1470">
        <v>121122</v>
      </c>
      <c r="D683" s="1266"/>
      <c r="E683" s="1267">
        <f t="shared" si="34"/>
        <v>188</v>
      </c>
      <c r="F683" s="1251"/>
      <c r="G683" s="80"/>
      <c r="H683" s="185">
        <v>121</v>
      </c>
      <c r="I683" s="1272"/>
      <c r="K683" s="80"/>
      <c r="L683" s="185">
        <v>122</v>
      </c>
      <c r="M683" s="1067"/>
    </row>
    <row r="684" spans="1:20" ht="14.25" thickBot="1" x14ac:dyDescent="0.3">
      <c r="A684" s="80" t="s">
        <v>11633</v>
      </c>
      <c r="B684" s="1253">
        <v>123</v>
      </c>
      <c r="C684" s="1470">
        <v>124125</v>
      </c>
      <c r="D684" s="1252"/>
      <c r="E684" s="1267">
        <f t="shared" si="34"/>
        <v>189</v>
      </c>
      <c r="F684" s="1251"/>
      <c r="H684" s="185">
        <v>123</v>
      </c>
      <c r="I684" s="1272"/>
      <c r="L684" s="185">
        <v>124</v>
      </c>
    </row>
    <row r="685" spans="1:20" ht="13.5" thickBot="1" x14ac:dyDescent="0.25">
      <c r="A685" s="80" t="s">
        <v>5544</v>
      </c>
      <c r="B685" s="1253">
        <v>126</v>
      </c>
      <c r="C685" s="1254"/>
      <c r="D685" s="1252"/>
      <c r="E685" s="1267">
        <f t="shared" si="34"/>
        <v>190</v>
      </c>
      <c r="F685" s="1251"/>
      <c r="I685" s="1272"/>
    </row>
    <row r="686" spans="1:20" ht="13.5" thickBot="1" x14ac:dyDescent="0.25">
      <c r="A686" s="80" t="s">
        <v>4544</v>
      </c>
      <c r="B686" s="1281">
        <v>127</v>
      </c>
      <c r="C686" s="1266"/>
      <c r="D686" s="1252"/>
      <c r="E686" s="1267">
        <f t="shared" si="34"/>
        <v>191</v>
      </c>
      <c r="F686" s="1266"/>
      <c r="I686" s="1272"/>
    </row>
    <row r="687" spans="1:20" ht="14.25" thickBot="1" x14ac:dyDescent="0.3">
      <c r="A687" s="80" t="s">
        <v>1122</v>
      </c>
      <c r="B687" s="1253">
        <v>127</v>
      </c>
      <c r="C687" s="1947">
        <v>128</v>
      </c>
      <c r="D687" s="1266"/>
      <c r="E687" s="1267">
        <f t="shared" si="34"/>
        <v>192</v>
      </c>
      <c r="F687" s="1251"/>
      <c r="H687" s="185">
        <v>128</v>
      </c>
      <c r="I687" s="1272"/>
    </row>
    <row r="688" spans="1:20" ht="14.25" thickBot="1" x14ac:dyDescent="0.3">
      <c r="A688" s="80" t="s">
        <v>1122</v>
      </c>
      <c r="B688" s="1253">
        <v>129</v>
      </c>
      <c r="C688" s="1947">
        <v>130</v>
      </c>
      <c r="D688" s="1252"/>
      <c r="E688" s="1267">
        <f t="shared" si="34"/>
        <v>193</v>
      </c>
      <c r="F688" s="1251"/>
      <c r="H688" s="185">
        <v>130</v>
      </c>
      <c r="I688" s="1272"/>
    </row>
    <row r="689" spans="1:9" ht="13.5" thickBot="1" x14ac:dyDescent="0.25">
      <c r="A689" s="80" t="s">
        <v>4556</v>
      </c>
      <c r="B689" s="1281">
        <v>131</v>
      </c>
      <c r="C689" s="1948"/>
      <c r="D689" s="1268"/>
      <c r="E689" s="1267">
        <f t="shared" si="34"/>
        <v>194</v>
      </c>
      <c r="F689" s="1251"/>
      <c r="I689" s="1272"/>
    </row>
    <row r="690" spans="1:9" ht="13.5" thickBot="1" x14ac:dyDescent="0.25">
      <c r="A690" s="80" t="s">
        <v>5544</v>
      </c>
      <c r="B690" s="1253">
        <v>131</v>
      </c>
      <c r="C690" s="1949">
        <v>132133</v>
      </c>
      <c r="D690" s="1252"/>
      <c r="E690" s="1267">
        <f t="shared" si="34"/>
        <v>195</v>
      </c>
      <c r="F690" s="1266"/>
      <c r="I690" s="1272"/>
    </row>
    <row r="691" spans="1:9" ht="13.5" thickBot="1" x14ac:dyDescent="0.25">
      <c r="A691" s="80" t="s">
        <v>1122</v>
      </c>
      <c r="B691" s="1253">
        <v>134</v>
      </c>
      <c r="C691" s="1949">
        <v>135136</v>
      </c>
      <c r="D691" s="1266"/>
      <c r="E691" s="1267">
        <f t="shared" si="34"/>
        <v>196</v>
      </c>
      <c r="F691" s="1251"/>
      <c r="I691" s="1272"/>
    </row>
    <row r="692" spans="1:9" ht="13.5" thickBot="1" x14ac:dyDescent="0.25">
      <c r="A692" s="80" t="s">
        <v>2147</v>
      </c>
      <c r="B692" s="1281">
        <v>137</v>
      </c>
      <c r="C692" s="1948"/>
      <c r="D692" s="1268"/>
      <c r="E692" s="1267">
        <f t="shared" si="34"/>
        <v>197</v>
      </c>
      <c r="F692" s="1251"/>
      <c r="I692" s="1272"/>
    </row>
    <row r="693" spans="1:9" ht="13.5" thickBot="1" x14ac:dyDescent="0.25">
      <c r="A693" s="80" t="s">
        <v>1805</v>
      </c>
      <c r="B693" s="1281">
        <v>137</v>
      </c>
      <c r="C693" s="1948"/>
      <c r="D693" s="1252"/>
      <c r="E693" s="1267">
        <f t="shared" si="34"/>
        <v>198</v>
      </c>
      <c r="F693" s="1266"/>
      <c r="I693" s="1272"/>
    </row>
    <row r="694" spans="1:9" ht="13.5" thickBot="1" x14ac:dyDescent="0.25">
      <c r="A694" s="80" t="s">
        <v>3167</v>
      </c>
      <c r="B694" s="1485">
        <v>137</v>
      </c>
      <c r="C694" s="1950"/>
      <c r="D694" s="1486"/>
      <c r="E694" s="1267">
        <f t="shared" si="34"/>
        <v>199</v>
      </c>
      <c r="F694" s="1251"/>
      <c r="I694" s="1272"/>
    </row>
    <row r="695" spans="1:9" x14ac:dyDescent="0.2">
      <c r="A695" s="80" t="s">
        <v>1122</v>
      </c>
      <c r="B695" s="1421">
        <v>137</v>
      </c>
      <c r="C695" s="1938"/>
      <c r="D695" s="1502"/>
      <c r="E695" s="1267">
        <f t="shared" si="34"/>
        <v>200</v>
      </c>
      <c r="F695" s="1571"/>
      <c r="I695" s="1272"/>
    </row>
    <row r="696" spans="1:9" x14ac:dyDescent="0.2">
      <c r="A696" s="80" t="s">
        <v>11633</v>
      </c>
      <c r="B696" s="1421">
        <v>138</v>
      </c>
      <c r="C696" s="1938">
        <v>139</v>
      </c>
      <c r="D696" s="1502"/>
      <c r="E696" s="1267">
        <f t="shared" si="34"/>
        <v>201</v>
      </c>
      <c r="F696" s="1503"/>
      <c r="I696" s="1272"/>
    </row>
    <row r="697" spans="1:9" x14ac:dyDescent="0.2">
      <c r="A697" s="532" t="s">
        <v>5544</v>
      </c>
      <c r="B697" s="1531">
        <v>140</v>
      </c>
      <c r="C697" s="1938" t="s">
        <v>11636</v>
      </c>
      <c r="D697" s="1264"/>
      <c r="E697" s="1267">
        <f t="shared" si="34"/>
        <v>202</v>
      </c>
      <c r="I697" s="1272"/>
    </row>
    <row r="698" spans="1:9" x14ac:dyDescent="0.2">
      <c r="A698" s="80" t="s">
        <v>1122</v>
      </c>
      <c r="B698" s="1421">
        <v>140</v>
      </c>
      <c r="C698" s="1938"/>
      <c r="E698" s="1267">
        <f t="shared" si="34"/>
        <v>203</v>
      </c>
      <c r="F698" s="1258"/>
      <c r="I698" s="1272"/>
    </row>
    <row r="699" spans="1:9" x14ac:dyDescent="0.2">
      <c r="A699" s="80" t="s">
        <v>2048</v>
      </c>
      <c r="B699" s="1421">
        <v>144</v>
      </c>
      <c r="C699" s="1938" t="s">
        <v>11637</v>
      </c>
      <c r="D699" s="1260"/>
      <c r="E699" s="1267">
        <f t="shared" si="34"/>
        <v>204</v>
      </c>
      <c r="F699" s="1258"/>
      <c r="I699" s="1272"/>
    </row>
    <row r="700" spans="1:9" ht="13.5" x14ac:dyDescent="0.25">
      <c r="A700" s="80" t="s">
        <v>5544</v>
      </c>
      <c r="B700" s="1421">
        <v>147</v>
      </c>
      <c r="C700" s="1938">
        <v>148</v>
      </c>
      <c r="D700" s="1260"/>
      <c r="E700" s="1267">
        <f t="shared" si="34"/>
        <v>205</v>
      </c>
      <c r="H700" s="185"/>
      <c r="I700" s="1272"/>
    </row>
    <row r="701" spans="1:9" ht="13.5" x14ac:dyDescent="0.25">
      <c r="A701" s="80" t="s">
        <v>5544</v>
      </c>
      <c r="B701" s="1421">
        <v>149</v>
      </c>
      <c r="C701" s="1951">
        <v>150</v>
      </c>
      <c r="E701" s="1267">
        <f t="shared" si="34"/>
        <v>206</v>
      </c>
      <c r="H701" s="1982">
        <v>150</v>
      </c>
      <c r="I701" s="1272"/>
    </row>
    <row r="702" spans="1:9" x14ac:dyDescent="0.2">
      <c r="A702" s="80" t="s">
        <v>209</v>
      </c>
      <c r="B702" s="1485">
        <v>151</v>
      </c>
      <c r="C702" s="1950"/>
      <c r="E702" s="1267">
        <f t="shared" si="34"/>
        <v>207</v>
      </c>
    </row>
    <row r="703" spans="1:9" x14ac:dyDescent="0.2">
      <c r="A703" s="80" t="s">
        <v>5544</v>
      </c>
      <c r="B703" s="1421">
        <v>152</v>
      </c>
      <c r="C703" s="1422">
        <v>153</v>
      </c>
      <c r="E703" s="1267">
        <f t="shared" si="34"/>
        <v>208</v>
      </c>
      <c r="F703" s="1258"/>
    </row>
    <row r="704" spans="1:9" x14ac:dyDescent="0.2">
      <c r="A704" s="80" t="s">
        <v>5544</v>
      </c>
      <c r="B704" s="1421">
        <v>154</v>
      </c>
      <c r="C704" s="1422"/>
      <c r="D704" s="1257"/>
      <c r="E704" s="1267">
        <f t="shared" si="34"/>
        <v>209</v>
      </c>
      <c r="F704" s="1258"/>
    </row>
    <row r="705" spans="1:6" x14ac:dyDescent="0.2">
      <c r="A705" s="80" t="s">
        <v>5544</v>
      </c>
      <c r="B705" s="1421">
        <v>155</v>
      </c>
      <c r="C705" s="1422"/>
      <c r="D705" s="1260"/>
      <c r="E705" s="1267">
        <f t="shared" si="34"/>
        <v>210</v>
      </c>
      <c r="F705" s="1258"/>
    </row>
    <row r="706" spans="1:6" x14ac:dyDescent="0.2">
      <c r="A706" s="80" t="s">
        <v>11269</v>
      </c>
      <c r="B706" s="9">
        <v>155</v>
      </c>
      <c r="D706" s="1260"/>
      <c r="E706" s="1267">
        <f t="shared" si="34"/>
        <v>211</v>
      </c>
    </row>
    <row r="707" spans="1:6" x14ac:dyDescent="0.2">
      <c r="A707" s="80" t="s">
        <v>5453</v>
      </c>
      <c r="B707" s="9">
        <v>156</v>
      </c>
      <c r="E707" s="1267">
        <f t="shared" si="34"/>
        <v>212</v>
      </c>
      <c r="F707" s="1258"/>
    </row>
    <row r="708" spans="1:6" x14ac:dyDescent="0.2">
      <c r="A708" s="80" t="s">
        <v>1122</v>
      </c>
      <c r="B708" s="1265">
        <v>156</v>
      </c>
      <c r="C708" s="1262"/>
      <c r="D708" s="1260"/>
      <c r="E708" s="1267">
        <f t="shared" si="34"/>
        <v>213</v>
      </c>
      <c r="F708" s="1263"/>
    </row>
    <row r="709" spans="1:6" x14ac:dyDescent="0.2">
      <c r="A709" s="80" t="s">
        <v>6016</v>
      </c>
      <c r="B709" s="9">
        <v>157</v>
      </c>
      <c r="C709" s="2">
        <v>158</v>
      </c>
      <c r="D709" s="1264"/>
      <c r="E709" s="1267">
        <f t="shared" si="34"/>
        <v>214</v>
      </c>
    </row>
    <row r="710" spans="1:6" x14ac:dyDescent="0.2">
      <c r="A710" s="80" t="s">
        <v>5544</v>
      </c>
      <c r="B710" s="1265">
        <v>159</v>
      </c>
      <c r="C710" s="1261"/>
      <c r="E710" s="1267">
        <f t="shared" si="34"/>
        <v>215</v>
      </c>
    </row>
    <row r="711" spans="1:6" x14ac:dyDescent="0.2">
      <c r="A711" s="80" t="s">
        <v>11652</v>
      </c>
      <c r="B711" s="9">
        <v>159</v>
      </c>
      <c r="E711" s="1267">
        <f t="shared" si="34"/>
        <v>216</v>
      </c>
      <c r="F711" s="1258"/>
    </row>
    <row r="712" spans="1:6" x14ac:dyDescent="0.2">
      <c r="A712" s="532" t="s">
        <v>5544</v>
      </c>
      <c r="B712" s="1288">
        <v>160</v>
      </c>
      <c r="C712" s="1261"/>
      <c r="D712" s="1260"/>
      <c r="E712" s="1267">
        <f t="shared" si="34"/>
        <v>217</v>
      </c>
      <c r="F712" s="1258"/>
    </row>
    <row r="713" spans="1:6" x14ac:dyDescent="0.2">
      <c r="A713" s="80" t="s">
        <v>5850</v>
      </c>
      <c r="B713" s="9">
        <v>160</v>
      </c>
      <c r="D713" s="1260"/>
      <c r="E713" s="1267">
        <f t="shared" si="34"/>
        <v>218</v>
      </c>
    </row>
    <row r="714" spans="1:6" x14ac:dyDescent="0.2">
      <c r="A714" s="80" t="s">
        <v>2048</v>
      </c>
      <c r="B714" s="1265">
        <v>161</v>
      </c>
      <c r="C714" s="1263"/>
      <c r="E714" s="1267">
        <f t="shared" si="34"/>
        <v>219</v>
      </c>
      <c r="F714" s="1258"/>
    </row>
    <row r="715" spans="1:6" x14ac:dyDescent="0.2">
      <c r="A715" s="80" t="s">
        <v>5544</v>
      </c>
      <c r="B715" s="1265">
        <v>161</v>
      </c>
      <c r="C715" s="1262">
        <v>162163</v>
      </c>
      <c r="D715" s="1260"/>
      <c r="E715" s="1267">
        <f t="shared" si="34"/>
        <v>220</v>
      </c>
      <c r="F715" s="1258"/>
    </row>
    <row r="716" spans="1:6" x14ac:dyDescent="0.2">
      <c r="A716" s="80" t="s">
        <v>10937</v>
      </c>
      <c r="B716" s="9">
        <v>161</v>
      </c>
      <c r="D716" s="1257"/>
      <c r="E716" s="1267">
        <f t="shared" si="34"/>
        <v>221</v>
      </c>
    </row>
    <row r="717" spans="1:6" x14ac:dyDescent="0.2">
      <c r="A717" s="80" t="s">
        <v>5544</v>
      </c>
      <c r="B717" s="1265">
        <v>164</v>
      </c>
      <c r="C717" s="1261">
        <v>165</v>
      </c>
      <c r="E717" s="1267">
        <f t="shared" si="34"/>
        <v>222</v>
      </c>
    </row>
    <row r="718" spans="1:6" x14ac:dyDescent="0.2">
      <c r="A718" s="80" t="s">
        <v>5544</v>
      </c>
      <c r="B718" s="1265">
        <v>166</v>
      </c>
      <c r="C718" s="1262">
        <v>167168</v>
      </c>
      <c r="E718" s="1267">
        <f t="shared" si="34"/>
        <v>223</v>
      </c>
      <c r="F718" s="1258"/>
    </row>
    <row r="719" spans="1:6" x14ac:dyDescent="0.2">
      <c r="A719" s="80" t="s">
        <v>5544</v>
      </c>
      <c r="B719" s="1265">
        <v>169</v>
      </c>
      <c r="C719" s="1262"/>
      <c r="D719" s="1260"/>
      <c r="E719" s="1267">
        <f t="shared" si="34"/>
        <v>224</v>
      </c>
      <c r="F719" s="1258"/>
    </row>
    <row r="720" spans="1:6" x14ac:dyDescent="0.2">
      <c r="A720" s="532" t="s">
        <v>2048</v>
      </c>
      <c r="B720" s="1288">
        <v>170</v>
      </c>
      <c r="C720" s="1256">
        <v>171</v>
      </c>
      <c r="D720" s="1257"/>
      <c r="E720" s="1267">
        <f t="shared" si="34"/>
        <v>225</v>
      </c>
      <c r="F720" s="1258"/>
    </row>
    <row r="721" spans="1:6" x14ac:dyDescent="0.2">
      <c r="A721" s="80" t="s">
        <v>5544</v>
      </c>
      <c r="B721" s="1265">
        <v>172</v>
      </c>
      <c r="C721" s="1261">
        <v>173</v>
      </c>
      <c r="D721" s="1260"/>
      <c r="E721" s="1267">
        <f t="shared" si="34"/>
        <v>226</v>
      </c>
      <c r="F721" s="1258"/>
    </row>
    <row r="722" spans="1:6" x14ac:dyDescent="0.2">
      <c r="A722" s="80" t="s">
        <v>5544</v>
      </c>
      <c r="B722" s="1265">
        <v>174</v>
      </c>
      <c r="C722" s="1261">
        <v>175</v>
      </c>
      <c r="D722" s="1260"/>
      <c r="E722" s="1267">
        <f t="shared" si="34"/>
        <v>227</v>
      </c>
      <c r="F722" s="1258"/>
    </row>
    <row r="723" spans="1:6" x14ac:dyDescent="0.2">
      <c r="A723" s="80" t="s">
        <v>1122</v>
      </c>
      <c r="B723" s="1265">
        <v>176</v>
      </c>
      <c r="C723" s="1261"/>
      <c r="D723" s="1260"/>
      <c r="E723" s="1267">
        <f t="shared" si="34"/>
        <v>228</v>
      </c>
      <c r="F723" s="1258"/>
    </row>
    <row r="724" spans="1:6" x14ac:dyDescent="0.2">
      <c r="A724" s="80" t="s">
        <v>5544</v>
      </c>
      <c r="B724" s="1265">
        <v>177</v>
      </c>
      <c r="C724" s="1261"/>
      <c r="D724" s="1260"/>
      <c r="E724" s="1267">
        <f t="shared" si="34"/>
        <v>229</v>
      </c>
      <c r="F724" s="1258"/>
    </row>
    <row r="725" spans="1:6" x14ac:dyDescent="0.2">
      <c r="A725" s="80" t="s">
        <v>11658</v>
      </c>
      <c r="B725" s="9">
        <v>177</v>
      </c>
      <c r="C725" s="1939" t="s">
        <v>11656</v>
      </c>
      <c r="D725" s="1260"/>
      <c r="E725" s="1267">
        <f t="shared" si="34"/>
        <v>230</v>
      </c>
    </row>
    <row r="726" spans="1:6" x14ac:dyDescent="0.2">
      <c r="A726" s="532" t="s">
        <v>1827</v>
      </c>
      <c r="B726" s="541">
        <v>180</v>
      </c>
      <c r="E726" s="1267">
        <f t="shared" si="34"/>
        <v>231</v>
      </c>
    </row>
    <row r="727" spans="1:6" x14ac:dyDescent="0.2">
      <c r="A727" s="80" t="s">
        <v>11151</v>
      </c>
      <c r="B727" s="9">
        <v>181</v>
      </c>
      <c r="E727" s="1267">
        <f t="shared" si="34"/>
        <v>232</v>
      </c>
      <c r="F727" s="1263"/>
    </row>
    <row r="728" spans="1:6" x14ac:dyDescent="0.2">
      <c r="A728" s="80" t="s">
        <v>209</v>
      </c>
      <c r="B728" s="9">
        <v>182</v>
      </c>
      <c r="D728" s="1264"/>
      <c r="E728" s="1267">
        <f t="shared" si="34"/>
        <v>233</v>
      </c>
    </row>
    <row r="729" spans="1:6" x14ac:dyDescent="0.2">
      <c r="A729" s="80" t="s">
        <v>1122</v>
      </c>
      <c r="B729" s="1265">
        <v>182</v>
      </c>
      <c r="C729" s="1261"/>
      <c r="E729" s="1267">
        <f t="shared" si="34"/>
        <v>234</v>
      </c>
    </row>
    <row r="730" spans="1:6" x14ac:dyDescent="0.2">
      <c r="A730" s="80" t="s">
        <v>4626</v>
      </c>
      <c r="B730" s="9">
        <v>183</v>
      </c>
      <c r="E730" s="1267">
        <f t="shared" si="34"/>
        <v>235</v>
      </c>
    </row>
    <row r="731" spans="1:6" x14ac:dyDescent="0.2">
      <c r="A731" s="80" t="s">
        <v>4244</v>
      </c>
      <c r="B731" s="9">
        <v>183</v>
      </c>
      <c r="E731" s="1267">
        <f t="shared" ref="E731:E794" si="35">E730+1</f>
        <v>236</v>
      </c>
    </row>
    <row r="732" spans="1:6" x14ac:dyDescent="0.2">
      <c r="A732" s="80" t="s">
        <v>5544</v>
      </c>
      <c r="B732" s="1265">
        <v>184</v>
      </c>
      <c r="C732" s="1262">
        <v>185186</v>
      </c>
      <c r="E732" s="1267">
        <f t="shared" si="35"/>
        <v>237</v>
      </c>
    </row>
    <row r="733" spans="1:6" x14ac:dyDescent="0.2">
      <c r="A733" s="80" t="s">
        <v>5544</v>
      </c>
      <c r="B733" s="1265">
        <v>187</v>
      </c>
      <c r="C733" s="1261">
        <v>188</v>
      </c>
      <c r="E733" s="1267">
        <f t="shared" si="35"/>
        <v>238</v>
      </c>
    </row>
    <row r="734" spans="1:6" x14ac:dyDescent="0.2">
      <c r="A734" s="80" t="s">
        <v>3612</v>
      </c>
      <c r="B734" s="9">
        <v>187</v>
      </c>
      <c r="E734" s="1267">
        <f t="shared" si="35"/>
        <v>239</v>
      </c>
      <c r="F734" s="1258"/>
    </row>
    <row r="735" spans="1:6" x14ac:dyDescent="0.2">
      <c r="A735" s="80" t="s">
        <v>5453</v>
      </c>
      <c r="B735" s="9">
        <v>187</v>
      </c>
      <c r="D735" s="1257"/>
      <c r="E735" s="1267">
        <f t="shared" si="35"/>
        <v>240</v>
      </c>
    </row>
    <row r="736" spans="1:6" x14ac:dyDescent="0.2">
      <c r="A736" s="80" t="s">
        <v>4861</v>
      </c>
      <c r="B736" s="9">
        <v>189</v>
      </c>
      <c r="C736" s="16"/>
      <c r="E736" s="1267">
        <f t="shared" si="35"/>
        <v>241</v>
      </c>
    </row>
    <row r="737" spans="1:9" x14ac:dyDescent="0.2">
      <c r="A737" s="532" t="s">
        <v>129</v>
      </c>
      <c r="B737" s="541">
        <v>190</v>
      </c>
      <c r="C737" s="4" t="s">
        <v>11638</v>
      </c>
      <c r="E737" s="1267">
        <f t="shared" si="35"/>
        <v>242</v>
      </c>
    </row>
    <row r="738" spans="1:9" x14ac:dyDescent="0.2">
      <c r="A738" s="80" t="s">
        <v>5784</v>
      </c>
      <c r="B738" s="9">
        <v>191</v>
      </c>
      <c r="C738" s="16"/>
      <c r="E738" s="1267">
        <f t="shared" si="35"/>
        <v>243</v>
      </c>
      <c r="F738" s="1258"/>
    </row>
    <row r="739" spans="1:9" x14ac:dyDescent="0.2">
      <c r="A739" s="80" t="s">
        <v>5544</v>
      </c>
      <c r="B739" s="1265">
        <v>194</v>
      </c>
      <c r="C739" s="1946" t="s">
        <v>11657</v>
      </c>
      <c r="D739" s="1257"/>
      <c r="E739" s="1267">
        <f t="shared" si="35"/>
        <v>244</v>
      </c>
      <c r="F739" s="1258"/>
    </row>
    <row r="740" spans="1:9" x14ac:dyDescent="0.2">
      <c r="A740" s="80" t="s">
        <v>8895</v>
      </c>
      <c r="B740" s="9">
        <v>197</v>
      </c>
      <c r="C740" s="16"/>
      <c r="D740" s="1260"/>
      <c r="E740" s="1267">
        <f t="shared" si="35"/>
        <v>245</v>
      </c>
      <c r="F740" s="1258"/>
    </row>
    <row r="741" spans="1:9" x14ac:dyDescent="0.2">
      <c r="A741" s="80" t="s">
        <v>11137</v>
      </c>
      <c r="B741" s="9">
        <v>197</v>
      </c>
      <c r="D741" s="1257"/>
      <c r="E741" s="1267">
        <f t="shared" si="35"/>
        <v>246</v>
      </c>
      <c r="F741" s="1258"/>
      <c r="I741" s="1272"/>
    </row>
    <row r="742" spans="1:9" x14ac:dyDescent="0.2">
      <c r="A742" s="80" t="s">
        <v>3346</v>
      </c>
      <c r="B742" s="9">
        <v>198</v>
      </c>
      <c r="D742" s="1260"/>
      <c r="E742" s="1267">
        <f t="shared" si="35"/>
        <v>247</v>
      </c>
      <c r="F742" s="1258"/>
    </row>
    <row r="743" spans="1:9" x14ac:dyDescent="0.2">
      <c r="A743" s="80" t="s">
        <v>5544</v>
      </c>
      <c r="B743" s="1265">
        <v>198</v>
      </c>
      <c r="C743" s="1339">
        <v>199</v>
      </c>
      <c r="D743" s="1260"/>
      <c r="E743" s="1267">
        <f t="shared" si="35"/>
        <v>248</v>
      </c>
    </row>
    <row r="744" spans="1:9" x14ac:dyDescent="0.2">
      <c r="A744" s="914" t="s">
        <v>1719</v>
      </c>
      <c r="B744" s="1340">
        <v>200</v>
      </c>
      <c r="E744" s="1267">
        <f t="shared" si="35"/>
        <v>249</v>
      </c>
      <c r="F744" s="1258"/>
    </row>
    <row r="745" spans="1:9" x14ac:dyDescent="0.2">
      <c r="A745" s="80" t="s">
        <v>1893</v>
      </c>
      <c r="B745" s="9">
        <v>201</v>
      </c>
      <c r="D745" s="1260"/>
      <c r="E745" s="1267">
        <f t="shared" si="35"/>
        <v>250</v>
      </c>
      <c r="F745" s="1258"/>
    </row>
    <row r="746" spans="1:9" x14ac:dyDescent="0.2">
      <c r="A746" s="80" t="s">
        <v>4625</v>
      </c>
      <c r="B746" s="9">
        <v>201</v>
      </c>
      <c r="D746" s="1260"/>
      <c r="E746" s="1267">
        <f t="shared" si="35"/>
        <v>251</v>
      </c>
    </row>
    <row r="747" spans="1:9" x14ac:dyDescent="0.2">
      <c r="A747" s="80" t="s">
        <v>6020</v>
      </c>
      <c r="B747" s="9">
        <v>201</v>
      </c>
      <c r="E747" s="1267">
        <f t="shared" si="35"/>
        <v>252</v>
      </c>
    </row>
    <row r="748" spans="1:9" x14ac:dyDescent="0.2">
      <c r="A748" s="80" t="s">
        <v>1122</v>
      </c>
      <c r="B748" s="1265">
        <v>201</v>
      </c>
      <c r="C748" s="1261"/>
      <c r="E748" s="1267">
        <f t="shared" si="35"/>
        <v>253</v>
      </c>
      <c r="F748" s="1258"/>
    </row>
    <row r="749" spans="1:9" x14ac:dyDescent="0.2">
      <c r="A749" s="80" t="s">
        <v>559</v>
      </c>
      <c r="B749" s="9">
        <v>202</v>
      </c>
      <c r="C749" s="57"/>
      <c r="D749" s="1260"/>
      <c r="E749" s="1267">
        <f t="shared" si="35"/>
        <v>254</v>
      </c>
    </row>
    <row r="750" spans="1:9" x14ac:dyDescent="0.2">
      <c r="A750" s="80" t="s">
        <v>5544</v>
      </c>
      <c r="B750" s="1265">
        <v>202</v>
      </c>
      <c r="C750" s="1261">
        <v>203</v>
      </c>
      <c r="E750" s="1267">
        <f t="shared" si="35"/>
        <v>255</v>
      </c>
    </row>
    <row r="751" spans="1:9" x14ac:dyDescent="0.2">
      <c r="A751" s="80" t="s">
        <v>11142</v>
      </c>
      <c r="B751" s="9">
        <v>204</v>
      </c>
      <c r="C751" s="2">
        <v>205</v>
      </c>
      <c r="E751" s="1267">
        <f t="shared" si="35"/>
        <v>256</v>
      </c>
      <c r="F751" s="1258"/>
    </row>
    <row r="752" spans="1:9" x14ac:dyDescent="0.2">
      <c r="A752" s="80" t="s">
        <v>5544</v>
      </c>
      <c r="B752" s="1265">
        <v>206</v>
      </c>
      <c r="C752" s="1261">
        <v>207</v>
      </c>
      <c r="D752" s="1260"/>
      <c r="E752" s="1267">
        <f t="shared" si="35"/>
        <v>257</v>
      </c>
    </row>
    <row r="753" spans="1:8" x14ac:dyDescent="0.2">
      <c r="A753" s="80" t="s">
        <v>4727</v>
      </c>
      <c r="B753" s="9">
        <v>208</v>
      </c>
      <c r="E753" s="1267">
        <f t="shared" si="35"/>
        <v>258</v>
      </c>
      <c r="F753" s="1258"/>
    </row>
    <row r="754" spans="1:8" x14ac:dyDescent="0.2">
      <c r="A754" s="80" t="s">
        <v>6020</v>
      </c>
      <c r="B754" s="9">
        <v>208</v>
      </c>
      <c r="C754" s="2">
        <v>209</v>
      </c>
      <c r="D754" s="1260"/>
      <c r="E754" s="1267">
        <f t="shared" si="35"/>
        <v>259</v>
      </c>
      <c r="F754" s="1258"/>
    </row>
    <row r="755" spans="1:8" x14ac:dyDescent="0.2">
      <c r="A755" s="532" t="s">
        <v>5544</v>
      </c>
      <c r="B755" s="1288">
        <v>210</v>
      </c>
      <c r="C755" s="1261"/>
      <c r="D755" s="1260"/>
      <c r="E755" s="1267">
        <f t="shared" si="35"/>
        <v>260</v>
      </c>
      <c r="F755" s="1258"/>
    </row>
    <row r="756" spans="1:8" x14ac:dyDescent="0.2">
      <c r="A756" s="80" t="s">
        <v>6021</v>
      </c>
      <c r="B756" s="9">
        <v>211</v>
      </c>
      <c r="C756" s="2">
        <v>212</v>
      </c>
      <c r="D756" s="1260"/>
      <c r="E756" s="1267">
        <f t="shared" si="35"/>
        <v>261</v>
      </c>
    </row>
    <row r="757" spans="1:8" x14ac:dyDescent="0.2">
      <c r="A757" s="80" t="s">
        <v>5544</v>
      </c>
      <c r="B757" s="1265">
        <v>213</v>
      </c>
      <c r="C757" s="1261">
        <v>214</v>
      </c>
      <c r="E757" s="1267">
        <f t="shared" si="35"/>
        <v>262</v>
      </c>
      <c r="F757" s="1258"/>
    </row>
    <row r="758" spans="1:8" x14ac:dyDescent="0.2">
      <c r="A758" s="80" t="s">
        <v>5544</v>
      </c>
      <c r="B758" s="1265">
        <v>215</v>
      </c>
      <c r="C758" s="1261"/>
      <c r="D758" s="1260"/>
      <c r="E758" s="1267">
        <f t="shared" si="35"/>
        <v>263</v>
      </c>
      <c r="F758" s="1258"/>
    </row>
    <row r="759" spans="1:8" x14ac:dyDescent="0.2">
      <c r="A759" s="80" t="s">
        <v>420</v>
      </c>
      <c r="B759" s="9">
        <v>215</v>
      </c>
      <c r="C759" s="1261">
        <v>216</v>
      </c>
      <c r="D759" s="1260"/>
      <c r="E759" s="1267">
        <f t="shared" si="35"/>
        <v>264</v>
      </c>
      <c r="F759" s="1258"/>
    </row>
    <row r="760" spans="1:8" x14ac:dyDescent="0.2">
      <c r="A760" s="80" t="s">
        <v>5544</v>
      </c>
      <c r="B760" s="1265">
        <v>217</v>
      </c>
      <c r="C760" s="1939" t="s">
        <v>12297</v>
      </c>
      <c r="D760" s="1260"/>
      <c r="E760" s="1267">
        <f t="shared" si="35"/>
        <v>265</v>
      </c>
      <c r="F760" s="1258"/>
    </row>
    <row r="761" spans="1:8" x14ac:dyDescent="0.2">
      <c r="A761" s="532" t="s">
        <v>4452</v>
      </c>
      <c r="B761" s="541">
        <v>220</v>
      </c>
      <c r="D761" s="1260"/>
      <c r="E761" s="1267">
        <f t="shared" si="35"/>
        <v>266</v>
      </c>
    </row>
    <row r="762" spans="1:8" x14ac:dyDescent="0.2">
      <c r="A762" s="80" t="s">
        <v>2048</v>
      </c>
      <c r="B762" s="1265">
        <v>221</v>
      </c>
      <c r="C762" s="1263"/>
      <c r="E762" s="1267">
        <f t="shared" si="35"/>
        <v>267</v>
      </c>
    </row>
    <row r="763" spans="1:8" x14ac:dyDescent="0.2">
      <c r="A763" s="80" t="s">
        <v>5453</v>
      </c>
      <c r="B763" s="9">
        <v>222</v>
      </c>
      <c r="E763" s="1267">
        <f t="shared" si="35"/>
        <v>268</v>
      </c>
      <c r="F763" s="1258"/>
    </row>
    <row r="764" spans="1:8" x14ac:dyDescent="0.2">
      <c r="A764" s="80" t="s">
        <v>5889</v>
      </c>
      <c r="B764" s="9">
        <v>223</v>
      </c>
      <c r="D764" s="1260"/>
      <c r="E764" s="1267">
        <f t="shared" si="35"/>
        <v>269</v>
      </c>
      <c r="F764" s="1258"/>
    </row>
    <row r="765" spans="1:8" ht="13.5" x14ac:dyDescent="0.25">
      <c r="A765" s="80" t="s">
        <v>5544</v>
      </c>
      <c r="B765" s="1265">
        <v>223</v>
      </c>
      <c r="C765" s="1939" t="s">
        <v>11643</v>
      </c>
      <c r="D765" s="1260"/>
      <c r="E765" s="1267">
        <f t="shared" si="35"/>
        <v>270</v>
      </c>
      <c r="F765" s="1258"/>
      <c r="H765" s="185"/>
    </row>
    <row r="766" spans="1:8" x14ac:dyDescent="0.2">
      <c r="A766" s="80" t="s">
        <v>5544</v>
      </c>
      <c r="B766" s="1265">
        <v>226</v>
      </c>
      <c r="C766" s="1940" t="s">
        <v>11644</v>
      </c>
      <c r="D766" s="1260"/>
      <c r="E766" s="1267">
        <f t="shared" si="35"/>
        <v>271</v>
      </c>
      <c r="F766" s="1258"/>
    </row>
    <row r="767" spans="1:8" x14ac:dyDescent="0.2">
      <c r="A767" s="80" t="s">
        <v>5544</v>
      </c>
      <c r="B767" s="1265">
        <v>231</v>
      </c>
      <c r="C767" s="1940"/>
      <c r="D767" s="1257"/>
      <c r="E767" s="1267">
        <f t="shared" si="35"/>
        <v>272</v>
      </c>
    </row>
    <row r="768" spans="1:8" x14ac:dyDescent="0.2">
      <c r="A768" s="80" t="s">
        <v>5453</v>
      </c>
      <c r="B768" s="9">
        <v>231</v>
      </c>
      <c r="C768" s="1941"/>
      <c r="E768" s="1267">
        <f t="shared" si="35"/>
        <v>273</v>
      </c>
    </row>
    <row r="769" spans="1:9" x14ac:dyDescent="0.2">
      <c r="A769" s="80" t="s">
        <v>6021</v>
      </c>
      <c r="B769" s="9">
        <v>231</v>
      </c>
      <c r="C769" s="1942">
        <v>232233</v>
      </c>
      <c r="E769" s="1267">
        <f t="shared" si="35"/>
        <v>274</v>
      </c>
    </row>
    <row r="770" spans="1:9" x14ac:dyDescent="0.2">
      <c r="A770" s="80" t="s">
        <v>5544</v>
      </c>
      <c r="B770" s="1265">
        <v>234</v>
      </c>
      <c r="C770" s="1943">
        <v>235236</v>
      </c>
      <c r="E770" s="1267">
        <f t="shared" si="35"/>
        <v>275</v>
      </c>
    </row>
    <row r="771" spans="1:9" x14ac:dyDescent="0.2">
      <c r="A771" s="80" t="s">
        <v>5544</v>
      </c>
      <c r="B771" s="1265">
        <v>237</v>
      </c>
      <c r="C771" s="1943">
        <v>238239</v>
      </c>
      <c r="E771" s="1267">
        <f t="shared" si="35"/>
        <v>276</v>
      </c>
      <c r="F771" s="1258"/>
    </row>
    <row r="772" spans="1:9" x14ac:dyDescent="0.2">
      <c r="A772" s="532" t="s">
        <v>5544</v>
      </c>
      <c r="B772" s="1288">
        <v>240</v>
      </c>
      <c r="C772" s="1940" t="s">
        <v>11645</v>
      </c>
      <c r="D772" s="1260"/>
      <c r="E772" s="1267">
        <f t="shared" si="35"/>
        <v>277</v>
      </c>
    </row>
    <row r="773" spans="1:9" x14ac:dyDescent="0.2">
      <c r="A773" s="80" t="s">
        <v>5544</v>
      </c>
      <c r="B773" s="1265">
        <v>244</v>
      </c>
      <c r="C773" s="1943">
        <v>245246</v>
      </c>
      <c r="E773" s="1267">
        <f t="shared" si="35"/>
        <v>278</v>
      </c>
      <c r="F773" s="1258"/>
    </row>
    <row r="774" spans="1:9" x14ac:dyDescent="0.2">
      <c r="A774" s="80" t="s">
        <v>3346</v>
      </c>
      <c r="B774" s="9">
        <v>247</v>
      </c>
      <c r="C774" s="1944">
        <v>248249</v>
      </c>
      <c r="D774" s="1260"/>
      <c r="E774" s="1267">
        <f t="shared" si="35"/>
        <v>279</v>
      </c>
      <c r="F774" s="1258"/>
    </row>
    <row r="775" spans="1:9" x14ac:dyDescent="0.2">
      <c r="A775" s="879" t="s">
        <v>5544</v>
      </c>
      <c r="B775" s="1060">
        <v>250</v>
      </c>
      <c r="C775" s="1943">
        <v>251252</v>
      </c>
      <c r="D775" s="1260"/>
      <c r="E775" s="1267">
        <f t="shared" si="35"/>
        <v>280</v>
      </c>
    </row>
    <row r="776" spans="1:9" x14ac:dyDescent="0.2">
      <c r="A776" s="80" t="s">
        <v>1122</v>
      </c>
      <c r="B776" s="1265">
        <v>253</v>
      </c>
      <c r="C776" s="1940"/>
      <c r="E776" s="1267">
        <f t="shared" si="35"/>
        <v>281</v>
      </c>
    </row>
    <row r="777" spans="1:9" x14ac:dyDescent="0.2">
      <c r="A777" s="80" t="s">
        <v>5544</v>
      </c>
      <c r="B777" s="1265">
        <v>254</v>
      </c>
      <c r="C777" s="1940"/>
      <c r="E777" s="1267">
        <f t="shared" si="35"/>
        <v>282</v>
      </c>
    </row>
    <row r="778" spans="1:9" x14ac:dyDescent="0.2">
      <c r="A778" s="80" t="s">
        <v>999</v>
      </c>
      <c r="B778" s="9">
        <v>255</v>
      </c>
      <c r="C778" s="1942">
        <v>256257</v>
      </c>
      <c r="E778" s="1267">
        <f t="shared" si="35"/>
        <v>283</v>
      </c>
      <c r="F778" s="1258"/>
    </row>
    <row r="779" spans="1:9" x14ac:dyDescent="0.2">
      <c r="A779" s="80" t="s">
        <v>2830</v>
      </c>
      <c r="B779" s="9">
        <v>258</v>
      </c>
      <c r="C779" s="1945"/>
      <c r="D779" s="1257"/>
      <c r="E779" s="1267">
        <f t="shared" si="35"/>
        <v>284</v>
      </c>
    </row>
    <row r="780" spans="1:9" ht="13.5" x14ac:dyDescent="0.25">
      <c r="A780" s="80" t="s">
        <v>5544</v>
      </c>
      <c r="B780" s="1265">
        <v>258</v>
      </c>
      <c r="C780" s="1940"/>
      <c r="E780" s="1267">
        <f t="shared" si="35"/>
        <v>285</v>
      </c>
      <c r="F780" s="1258"/>
      <c r="H780" s="185"/>
    </row>
    <row r="781" spans="1:9" ht="13.5" x14ac:dyDescent="0.25">
      <c r="A781" s="80" t="s">
        <v>6020</v>
      </c>
      <c r="B781" s="9">
        <v>258</v>
      </c>
      <c r="C781" s="1945" t="s">
        <v>12296</v>
      </c>
      <c r="D781" s="1260"/>
      <c r="E781" s="1267">
        <f t="shared" si="35"/>
        <v>286</v>
      </c>
      <c r="F781" s="1258"/>
      <c r="G781" s="585"/>
      <c r="H781" s="1676">
        <v>260</v>
      </c>
      <c r="I781" s="585"/>
    </row>
    <row r="782" spans="1:9" x14ac:dyDescent="0.2">
      <c r="A782" s="80" t="s">
        <v>5095</v>
      </c>
      <c r="B782" s="9">
        <v>262</v>
      </c>
      <c r="D782" s="1260"/>
      <c r="E782" s="1267">
        <f t="shared" si="35"/>
        <v>287</v>
      </c>
      <c r="F782" s="1258"/>
    </row>
    <row r="783" spans="1:9" x14ac:dyDescent="0.2">
      <c r="A783" s="80" t="s">
        <v>5544</v>
      </c>
      <c r="B783" s="1265">
        <v>263</v>
      </c>
      <c r="C783" s="1261"/>
      <c r="D783" s="1260"/>
      <c r="E783" s="1267">
        <f t="shared" si="35"/>
        <v>288</v>
      </c>
      <c r="F783" s="1258"/>
    </row>
    <row r="784" spans="1:9" x14ac:dyDescent="0.2">
      <c r="A784" s="80" t="s">
        <v>2048</v>
      </c>
      <c r="B784" s="1265">
        <v>264</v>
      </c>
      <c r="C784" s="1263"/>
      <c r="D784" s="1260"/>
      <c r="E784" s="1267">
        <f t="shared" si="35"/>
        <v>289</v>
      </c>
      <c r="F784" s="1258"/>
    </row>
    <row r="785" spans="1:9" x14ac:dyDescent="0.2">
      <c r="A785" s="80" t="s">
        <v>5544</v>
      </c>
      <c r="B785" s="1265">
        <v>265</v>
      </c>
      <c r="C785" s="1261"/>
      <c r="D785" s="1260"/>
      <c r="E785" s="1267">
        <f t="shared" si="35"/>
        <v>290</v>
      </c>
      <c r="F785" s="1258"/>
    </row>
    <row r="786" spans="1:9" x14ac:dyDescent="0.2">
      <c r="A786" s="80" t="s">
        <v>11633</v>
      </c>
      <c r="B786" s="1265">
        <v>265</v>
      </c>
      <c r="C786" s="1422"/>
      <c r="D786" s="1260"/>
      <c r="E786" s="1267">
        <f t="shared" si="35"/>
        <v>291</v>
      </c>
      <c r="F786" s="1263"/>
    </row>
    <row r="787" spans="1:9" x14ac:dyDescent="0.2">
      <c r="A787" s="80" t="s">
        <v>11654</v>
      </c>
      <c r="B787" s="9">
        <v>265</v>
      </c>
      <c r="C787" s="1634">
        <v>266</v>
      </c>
      <c r="D787" s="1264"/>
      <c r="E787" s="1267">
        <f t="shared" si="35"/>
        <v>292</v>
      </c>
      <c r="F787" s="1258"/>
    </row>
    <row r="788" spans="1:9" x14ac:dyDescent="0.2">
      <c r="A788" s="80" t="s">
        <v>5544</v>
      </c>
      <c r="B788" s="1265">
        <v>267</v>
      </c>
      <c r="C788" s="1635"/>
      <c r="D788" s="1260"/>
      <c r="E788" s="1267">
        <f t="shared" si="35"/>
        <v>293</v>
      </c>
      <c r="F788" s="1258"/>
    </row>
    <row r="789" spans="1:9" ht="13.5" x14ac:dyDescent="0.25">
      <c r="A789" s="80" t="s">
        <v>5544</v>
      </c>
      <c r="B789" s="1265">
        <v>268</v>
      </c>
      <c r="C789" s="1635"/>
      <c r="D789" s="1260"/>
      <c r="E789" s="1267">
        <f t="shared" si="35"/>
        <v>294</v>
      </c>
      <c r="H789" s="185"/>
    </row>
    <row r="790" spans="1:9" ht="13.5" x14ac:dyDescent="0.25">
      <c r="A790" s="80" t="s">
        <v>2048</v>
      </c>
      <c r="B790" s="1265">
        <v>269</v>
      </c>
      <c r="C790" s="1635">
        <v>270</v>
      </c>
      <c r="E790" s="1267">
        <f t="shared" si="35"/>
        <v>295</v>
      </c>
      <c r="F790" s="1258"/>
      <c r="H790" s="185">
        <v>270</v>
      </c>
    </row>
    <row r="791" spans="1:9" x14ac:dyDescent="0.2">
      <c r="A791" s="80" t="s">
        <v>5544</v>
      </c>
      <c r="B791" s="1265">
        <v>269</v>
      </c>
      <c r="C791" s="1635"/>
      <c r="D791" s="1260"/>
      <c r="E791" s="1267">
        <f t="shared" si="35"/>
        <v>296</v>
      </c>
      <c r="F791" s="1258"/>
    </row>
    <row r="792" spans="1:9" x14ac:dyDescent="0.2">
      <c r="A792" s="80" t="s">
        <v>4205</v>
      </c>
      <c r="B792" s="9">
        <v>271</v>
      </c>
      <c r="C792" s="1634">
        <v>272</v>
      </c>
      <c r="D792" s="1260"/>
      <c r="E792" s="1267">
        <f t="shared" si="35"/>
        <v>297</v>
      </c>
      <c r="F792" s="1258"/>
    </row>
    <row r="793" spans="1:9" x14ac:dyDescent="0.2">
      <c r="A793" s="80" t="s">
        <v>5544</v>
      </c>
      <c r="B793" s="1265">
        <v>273</v>
      </c>
      <c r="C793" s="1635"/>
      <c r="D793" s="1260"/>
      <c r="E793" s="1267">
        <f t="shared" si="35"/>
        <v>298</v>
      </c>
    </row>
    <row r="794" spans="1:9" x14ac:dyDescent="0.2">
      <c r="A794" s="80" t="s">
        <v>5453</v>
      </c>
      <c r="B794" s="9">
        <v>273</v>
      </c>
      <c r="C794" s="1404"/>
      <c r="E794" s="1267">
        <f t="shared" si="35"/>
        <v>299</v>
      </c>
      <c r="F794" s="1258"/>
    </row>
    <row r="795" spans="1:9" x14ac:dyDescent="0.2">
      <c r="A795" s="80" t="s">
        <v>5544</v>
      </c>
      <c r="B795" s="1265">
        <v>274</v>
      </c>
      <c r="C795" s="1635"/>
      <c r="D795" s="1260"/>
      <c r="E795" s="1267">
        <f t="shared" ref="E795:E864" si="36">E794+1</f>
        <v>300</v>
      </c>
    </row>
    <row r="796" spans="1:9" x14ac:dyDescent="0.2">
      <c r="A796" s="80" t="s">
        <v>5544</v>
      </c>
      <c r="B796" s="1265">
        <v>275</v>
      </c>
      <c r="C796" s="1635"/>
      <c r="E796" s="1267">
        <f t="shared" si="36"/>
        <v>301</v>
      </c>
    </row>
    <row r="797" spans="1:9" x14ac:dyDescent="0.2">
      <c r="A797" s="80" t="s">
        <v>5544</v>
      </c>
      <c r="B797" s="1265">
        <v>276</v>
      </c>
      <c r="C797" s="1635">
        <v>277</v>
      </c>
      <c r="E797" s="1267">
        <f t="shared" si="36"/>
        <v>302</v>
      </c>
      <c r="F797" s="1258"/>
    </row>
    <row r="798" spans="1:9" ht="13.5" x14ac:dyDescent="0.25">
      <c r="A798" s="80" t="s">
        <v>5544</v>
      </c>
      <c r="B798" s="1265">
        <v>278</v>
      </c>
      <c r="C798" s="1635"/>
      <c r="D798" s="1260"/>
      <c r="E798" s="1267">
        <f t="shared" si="36"/>
        <v>303</v>
      </c>
      <c r="H798" s="185"/>
    </row>
    <row r="799" spans="1:9" ht="13.5" x14ac:dyDescent="0.25">
      <c r="A799" s="80" t="s">
        <v>5544</v>
      </c>
      <c r="B799" s="1265">
        <v>279</v>
      </c>
      <c r="C799" s="1635" t="s">
        <v>11646</v>
      </c>
      <c r="E799" s="1267">
        <f t="shared" si="36"/>
        <v>304</v>
      </c>
      <c r="F799" s="1258"/>
      <c r="G799" s="585"/>
      <c r="H799" s="1676">
        <v>280</v>
      </c>
      <c r="I799" s="585"/>
    </row>
    <row r="800" spans="1:9" x14ac:dyDescent="0.2">
      <c r="A800" s="80" t="s">
        <v>5544</v>
      </c>
      <c r="B800" s="1265">
        <v>282</v>
      </c>
      <c r="C800" s="1635" t="s">
        <v>11647</v>
      </c>
      <c r="D800" s="1260"/>
      <c r="E800" s="1267">
        <f t="shared" si="36"/>
        <v>305</v>
      </c>
    </row>
    <row r="801" spans="1:8" ht="13.5" x14ac:dyDescent="0.25">
      <c r="A801" s="80" t="s">
        <v>5544</v>
      </c>
      <c r="B801" s="1265">
        <v>287</v>
      </c>
      <c r="C801" s="1635"/>
      <c r="E801" s="1267">
        <f t="shared" si="36"/>
        <v>306</v>
      </c>
      <c r="H801" s="185"/>
    </row>
    <row r="802" spans="1:8" ht="13.5" x14ac:dyDescent="0.25">
      <c r="A802" s="80" t="s">
        <v>5544</v>
      </c>
      <c r="B802" s="1265">
        <v>288</v>
      </c>
      <c r="C802" s="1635" t="s">
        <v>11648</v>
      </c>
      <c r="E802" s="1267">
        <f t="shared" si="36"/>
        <v>307</v>
      </c>
      <c r="F802" s="1258"/>
      <c r="H802" s="185">
        <v>290</v>
      </c>
    </row>
    <row r="803" spans="1:8" x14ac:dyDescent="0.2">
      <c r="A803" s="80" t="s">
        <v>3167</v>
      </c>
      <c r="B803" s="9">
        <v>293</v>
      </c>
      <c r="C803" s="1404"/>
      <c r="D803" s="1260"/>
      <c r="E803" s="1267">
        <f t="shared" si="36"/>
        <v>308</v>
      </c>
      <c r="F803" s="1258"/>
    </row>
    <row r="804" spans="1:8" x14ac:dyDescent="0.2">
      <c r="A804" s="80" t="s">
        <v>5544</v>
      </c>
      <c r="B804" s="1265">
        <v>294</v>
      </c>
      <c r="C804" s="1635"/>
      <c r="D804" s="1260"/>
      <c r="E804" s="1267">
        <f t="shared" si="36"/>
        <v>309</v>
      </c>
    </row>
    <row r="805" spans="1:8" x14ac:dyDescent="0.2">
      <c r="A805" s="80" t="s">
        <v>11633</v>
      </c>
      <c r="B805" s="1265">
        <v>295</v>
      </c>
      <c r="C805" s="1635">
        <v>296</v>
      </c>
      <c r="E805" s="1267">
        <f t="shared" si="36"/>
        <v>310</v>
      </c>
      <c r="F805" s="1263"/>
    </row>
    <row r="806" spans="1:8" x14ac:dyDescent="0.2">
      <c r="A806" s="80" t="s">
        <v>5544</v>
      </c>
      <c r="B806" s="1265">
        <v>297</v>
      </c>
      <c r="C806" s="1635" t="s">
        <v>11649</v>
      </c>
      <c r="D806" s="1264"/>
      <c r="E806" s="1267">
        <f t="shared" si="36"/>
        <v>311</v>
      </c>
      <c r="F806" s="1258"/>
    </row>
    <row r="807" spans="1:8" x14ac:dyDescent="0.2">
      <c r="A807" s="914" t="s">
        <v>5544</v>
      </c>
      <c r="B807" s="1309">
        <v>300</v>
      </c>
      <c r="C807" s="1636">
        <v>301302</v>
      </c>
      <c r="D807" s="1260"/>
      <c r="E807" s="1267">
        <f t="shared" si="36"/>
        <v>312</v>
      </c>
      <c r="F807" s="1258"/>
    </row>
    <row r="808" spans="1:8" ht="13.5" x14ac:dyDescent="0.25">
      <c r="A808" s="80" t="s">
        <v>5544</v>
      </c>
      <c r="B808" s="1265">
        <v>303</v>
      </c>
      <c r="C808" s="1636">
        <v>304305</v>
      </c>
      <c r="D808" s="1260"/>
      <c r="E808" s="1267">
        <f t="shared" si="36"/>
        <v>313</v>
      </c>
      <c r="F808" s="1258"/>
      <c r="H808" s="185"/>
    </row>
    <row r="809" spans="1:8" ht="13.5" x14ac:dyDescent="0.25">
      <c r="A809" s="80" t="s">
        <v>5544</v>
      </c>
      <c r="B809" s="1265">
        <v>306</v>
      </c>
      <c r="C809" s="1636">
        <v>307308</v>
      </c>
      <c r="D809" s="1260"/>
      <c r="E809" s="1267">
        <f t="shared" si="36"/>
        <v>314</v>
      </c>
      <c r="H809" s="185"/>
    </row>
    <row r="810" spans="1:8" ht="13.5" x14ac:dyDescent="0.25">
      <c r="A810" s="80" t="s">
        <v>5544</v>
      </c>
      <c r="B810" s="1265">
        <v>309</v>
      </c>
      <c r="C810" s="1635"/>
      <c r="E810" s="1267">
        <f t="shared" si="36"/>
        <v>315</v>
      </c>
      <c r="F810" s="1258"/>
      <c r="H810" s="185"/>
    </row>
    <row r="811" spans="1:8" ht="13.5" x14ac:dyDescent="0.25">
      <c r="A811" s="80" t="s">
        <v>5544</v>
      </c>
      <c r="B811" s="1265">
        <v>310</v>
      </c>
      <c r="C811" s="1635"/>
      <c r="D811" s="1260"/>
      <c r="E811" s="1267">
        <f t="shared" si="36"/>
        <v>316</v>
      </c>
      <c r="F811" s="1258"/>
      <c r="H811" s="185"/>
    </row>
    <row r="812" spans="1:8" ht="13.5" x14ac:dyDescent="0.25">
      <c r="A812" s="532" t="s">
        <v>2147</v>
      </c>
      <c r="B812" s="541">
        <v>310</v>
      </c>
      <c r="C812" s="1404"/>
      <c r="D812" s="1260"/>
      <c r="E812" s="1267">
        <f t="shared" si="36"/>
        <v>317</v>
      </c>
      <c r="F812" s="1258"/>
      <c r="H812" s="185"/>
    </row>
    <row r="813" spans="1:8" ht="13.5" x14ac:dyDescent="0.25">
      <c r="A813" s="80" t="s">
        <v>5544</v>
      </c>
      <c r="B813" s="1265">
        <v>311</v>
      </c>
      <c r="C813" s="1636"/>
      <c r="D813" s="1260"/>
      <c r="E813" s="1267">
        <f t="shared" si="36"/>
        <v>318</v>
      </c>
      <c r="F813" s="1258"/>
      <c r="H813" s="185"/>
    </row>
    <row r="814" spans="1:8" ht="13.5" x14ac:dyDescent="0.25">
      <c r="A814" s="80" t="s">
        <v>5453</v>
      </c>
      <c r="B814" s="1265">
        <v>312</v>
      </c>
      <c r="C814" s="1636">
        <v>313</v>
      </c>
      <c r="D814" s="1260"/>
      <c r="E814" s="1267">
        <f t="shared" si="36"/>
        <v>319</v>
      </c>
      <c r="F814" s="1258"/>
      <c r="H814" s="185"/>
    </row>
    <row r="815" spans="1:8" ht="13.5" x14ac:dyDescent="0.25">
      <c r="A815" s="80" t="s">
        <v>5544</v>
      </c>
      <c r="B815" s="1265">
        <v>314</v>
      </c>
      <c r="C815" s="1635"/>
      <c r="D815" s="1260"/>
      <c r="E815" s="1267">
        <f t="shared" si="36"/>
        <v>320</v>
      </c>
      <c r="F815" s="1263"/>
      <c r="H815" s="185"/>
    </row>
    <row r="816" spans="1:8" ht="13.5" x14ac:dyDescent="0.25">
      <c r="A816" s="80" t="s">
        <v>449</v>
      </c>
      <c r="B816" s="9">
        <v>314</v>
      </c>
      <c r="C816" s="1524">
        <v>315</v>
      </c>
      <c r="D816" s="1264"/>
      <c r="E816" s="1267">
        <f t="shared" si="36"/>
        <v>321</v>
      </c>
      <c r="F816" s="1258"/>
      <c r="H816" s="185"/>
    </row>
    <row r="817" spans="1:21" ht="13.5" x14ac:dyDescent="0.25">
      <c r="A817" s="80" t="s">
        <v>5544</v>
      </c>
      <c r="B817" s="1265">
        <v>316</v>
      </c>
      <c r="C817" s="1635">
        <v>317</v>
      </c>
      <c r="D817" s="1260"/>
      <c r="E817" s="1267">
        <f t="shared" si="36"/>
        <v>322</v>
      </c>
      <c r="F817" s="1258"/>
      <c r="H817" s="185"/>
    </row>
    <row r="818" spans="1:21" ht="13.5" x14ac:dyDescent="0.25">
      <c r="A818" s="80" t="s">
        <v>5544</v>
      </c>
      <c r="B818" s="1265">
        <v>318</v>
      </c>
      <c r="C818" s="1635">
        <v>319</v>
      </c>
      <c r="D818" s="1260"/>
      <c r="E818" s="1267">
        <f t="shared" si="36"/>
        <v>323</v>
      </c>
      <c r="F818" s="1258"/>
      <c r="H818" s="185"/>
    </row>
    <row r="819" spans="1:21" ht="13.5" x14ac:dyDescent="0.25">
      <c r="A819" s="532" t="s">
        <v>1003</v>
      </c>
      <c r="B819" s="541">
        <v>320</v>
      </c>
      <c r="C819" s="1635">
        <v>321</v>
      </c>
      <c r="D819" s="1260"/>
      <c r="E819" s="1267">
        <f t="shared" si="36"/>
        <v>324</v>
      </c>
      <c r="H819" s="185"/>
    </row>
    <row r="820" spans="1:21" ht="13.5" x14ac:dyDescent="0.25">
      <c r="A820" s="80" t="s">
        <v>5544</v>
      </c>
      <c r="B820" s="1265">
        <v>322</v>
      </c>
      <c r="C820" s="1635"/>
      <c r="E820" s="1267">
        <f t="shared" si="36"/>
        <v>325</v>
      </c>
      <c r="F820" s="1258"/>
      <c r="H820" s="185"/>
    </row>
    <row r="821" spans="1:21" ht="13.5" x14ac:dyDescent="0.25">
      <c r="A821" s="80" t="s">
        <v>1122</v>
      </c>
      <c r="B821" s="1265">
        <v>323</v>
      </c>
      <c r="C821" s="1635">
        <v>324</v>
      </c>
      <c r="D821" s="1260"/>
      <c r="E821" s="1267">
        <f t="shared" si="36"/>
        <v>326</v>
      </c>
      <c r="G821" s="80" t="s">
        <v>1212</v>
      </c>
      <c r="H821" s="185"/>
      <c r="I821" s="1272" t="s">
        <v>1212</v>
      </c>
    </row>
    <row r="822" spans="1:21" ht="13.5" x14ac:dyDescent="0.25">
      <c r="A822" s="80" t="s">
        <v>5544</v>
      </c>
      <c r="B822" s="1265">
        <v>325</v>
      </c>
      <c r="C822" s="1636">
        <v>326327</v>
      </c>
      <c r="D822" s="1486"/>
      <c r="E822" s="1267">
        <f t="shared" si="36"/>
        <v>327</v>
      </c>
      <c r="H822" s="185"/>
    </row>
    <row r="823" spans="1:21" ht="13.5" x14ac:dyDescent="0.25">
      <c r="A823" s="80" t="s">
        <v>5544</v>
      </c>
      <c r="B823" s="1265">
        <v>328</v>
      </c>
      <c r="C823" s="1635"/>
      <c r="D823" s="1486"/>
      <c r="E823" s="1267">
        <f>E822+1</f>
        <v>328</v>
      </c>
      <c r="H823" s="185"/>
    </row>
    <row r="824" spans="1:21" ht="13.5" x14ac:dyDescent="0.25">
      <c r="A824" s="80" t="s">
        <v>5484</v>
      </c>
      <c r="B824" s="9">
        <v>328</v>
      </c>
      <c r="C824" s="1524"/>
      <c r="D824" s="1486"/>
      <c r="E824" s="1267">
        <f>E823+1</f>
        <v>329</v>
      </c>
      <c r="H824" s="185"/>
    </row>
    <row r="825" spans="1:21" ht="12.75" customHeight="1" x14ac:dyDescent="0.25">
      <c r="A825" s="862" t="s">
        <v>5453</v>
      </c>
      <c r="B825" s="1937">
        <v>329</v>
      </c>
      <c r="C825" s="1938"/>
      <c r="D825" s="1486"/>
      <c r="E825" s="1267">
        <f t="shared" ref="E825:E829" si="37">E824+1</f>
        <v>330</v>
      </c>
      <c r="G825" s="1">
        <v>6.1111111111111114E-3</v>
      </c>
      <c r="H825" s="1962"/>
      <c r="I825" s="1">
        <v>6.1342592592592594E-3</v>
      </c>
      <c r="J825" s="1"/>
      <c r="K825" s="1">
        <v>6.3541666666666668E-3</v>
      </c>
      <c r="L825" s="334" t="s">
        <v>1212</v>
      </c>
      <c r="M825" s="1">
        <v>6.3888888888888884E-3</v>
      </c>
      <c r="N825" s="1"/>
      <c r="O825" s="1">
        <v>6.5856481481481469E-3</v>
      </c>
      <c r="P825" s="1"/>
      <c r="Q825" s="1">
        <f>S825-(G825+I825+K825+M825+O825)</f>
        <v>4.9768518518518434E-4</v>
      </c>
      <c r="R825" s="1"/>
      <c r="S825" s="1">
        <v>3.2071759259259258E-2</v>
      </c>
    </row>
    <row r="826" spans="1:21" ht="12.75" customHeight="1" x14ac:dyDescent="0.25">
      <c r="A826" s="862" t="s">
        <v>5453</v>
      </c>
      <c r="B826" s="1937">
        <v>330</v>
      </c>
      <c r="C826" s="1938" t="s">
        <v>16986</v>
      </c>
      <c r="D826" s="1486"/>
      <c r="E826" s="1267">
        <f t="shared" si="37"/>
        <v>331</v>
      </c>
      <c r="G826" s="1">
        <v>5.8680555555555543E-3</v>
      </c>
      <c r="H826" s="1962"/>
      <c r="I826" s="1">
        <v>6.2731481481481484E-3</v>
      </c>
      <c r="J826" s="1"/>
      <c r="K826" s="1">
        <v>6.4930555555555549E-3</v>
      </c>
      <c r="L826" s="1"/>
      <c r="M826" s="1">
        <v>6.4467592592592597E-3</v>
      </c>
      <c r="N826" s="1"/>
      <c r="O826" s="1">
        <v>6.5277777777777782E-3</v>
      </c>
      <c r="P826" s="1"/>
      <c r="Q826" s="1">
        <f>S826-(G826+I826+K826+M826+O826)</f>
        <v>5.671296296296327E-4</v>
      </c>
      <c r="R826" s="1"/>
      <c r="S826" s="1">
        <v>3.2175925925925927E-2</v>
      </c>
      <c r="U826" s="80" t="s">
        <v>16987</v>
      </c>
    </row>
    <row r="827" spans="1:21" ht="13.5" x14ac:dyDescent="0.25">
      <c r="A827" s="80" t="s">
        <v>5544</v>
      </c>
      <c r="B827" s="1265">
        <v>335</v>
      </c>
      <c r="C827" s="1635">
        <v>336</v>
      </c>
      <c r="D827" s="1486"/>
      <c r="E827" s="1267">
        <f t="shared" si="37"/>
        <v>332</v>
      </c>
      <c r="F827" s="1258"/>
      <c r="H827" s="185"/>
    </row>
    <row r="828" spans="1:21" ht="13.5" x14ac:dyDescent="0.25">
      <c r="A828" s="80" t="s">
        <v>5544</v>
      </c>
      <c r="B828" s="1265">
        <v>337</v>
      </c>
      <c r="C828" s="1636">
        <v>338339</v>
      </c>
      <c r="D828" s="1502"/>
      <c r="E828" s="1267">
        <f t="shared" si="37"/>
        <v>333</v>
      </c>
      <c r="F828" s="1258"/>
      <c r="H828" s="185"/>
    </row>
    <row r="829" spans="1:21" ht="13.5" x14ac:dyDescent="0.25">
      <c r="A829" s="532" t="s">
        <v>5544</v>
      </c>
      <c r="B829" s="1288">
        <v>340</v>
      </c>
      <c r="C829" s="1636">
        <v>341342</v>
      </c>
      <c r="D829" s="1502"/>
      <c r="E829" s="1267">
        <f t="shared" si="37"/>
        <v>334</v>
      </c>
      <c r="H829" s="185"/>
    </row>
    <row r="830" spans="1:21" ht="13.5" x14ac:dyDescent="0.25">
      <c r="A830" s="80" t="s">
        <v>5544</v>
      </c>
      <c r="B830" s="1265">
        <v>343</v>
      </c>
      <c r="C830" s="1635"/>
      <c r="D830" s="1486"/>
      <c r="E830" s="1267">
        <f t="shared" si="36"/>
        <v>335</v>
      </c>
      <c r="F830" s="1258"/>
      <c r="H830" s="185"/>
    </row>
    <row r="831" spans="1:21" ht="13.5" x14ac:dyDescent="0.25">
      <c r="A831" s="80" t="s">
        <v>5544</v>
      </c>
      <c r="B831" s="1265">
        <v>344</v>
      </c>
      <c r="C831" s="1635">
        <v>345</v>
      </c>
      <c r="D831" s="1632"/>
      <c r="E831" s="1267">
        <f t="shared" si="36"/>
        <v>336</v>
      </c>
      <c r="F831" s="1258"/>
      <c r="G831" s="80"/>
      <c r="H831" s="185"/>
      <c r="I831" s="1513"/>
    </row>
    <row r="832" spans="1:21" ht="13.5" x14ac:dyDescent="0.25">
      <c r="A832" s="80" t="s">
        <v>5544</v>
      </c>
      <c r="B832" s="1265">
        <v>346</v>
      </c>
      <c r="C832" s="1635" t="s">
        <v>13412</v>
      </c>
      <c r="D832" s="1502"/>
      <c r="E832" s="1267">
        <f t="shared" si="36"/>
        <v>337</v>
      </c>
      <c r="G832" s="80" t="s">
        <v>1212</v>
      </c>
      <c r="H832" s="185"/>
      <c r="I832" s="1513"/>
    </row>
    <row r="833" spans="1:24" ht="13.5" x14ac:dyDescent="0.25">
      <c r="A833" s="1370" t="s">
        <v>4625</v>
      </c>
      <c r="B833" s="1453">
        <v>349</v>
      </c>
      <c r="D833" s="1486"/>
      <c r="E833" s="1267">
        <f t="shared" si="36"/>
        <v>338</v>
      </c>
      <c r="F833" s="1258"/>
      <c r="H833" s="185"/>
    </row>
    <row r="834" spans="1:24" ht="13.5" x14ac:dyDescent="0.25">
      <c r="A834" s="879" t="s">
        <v>11633</v>
      </c>
      <c r="B834" s="1060">
        <v>350</v>
      </c>
      <c r="C834" s="1635"/>
      <c r="D834" s="1502"/>
      <c r="E834" s="1267">
        <f t="shared" si="36"/>
        <v>339</v>
      </c>
      <c r="H834" s="185"/>
    </row>
    <row r="835" spans="1:24" ht="13.5" x14ac:dyDescent="0.25">
      <c r="A835" s="1370" t="s">
        <v>3072</v>
      </c>
      <c r="B835" s="1685">
        <v>351</v>
      </c>
      <c r="C835" s="1635"/>
      <c r="D835" s="1502"/>
      <c r="E835" s="1267">
        <f t="shared" si="36"/>
        <v>340</v>
      </c>
      <c r="H835" s="185"/>
    </row>
    <row r="836" spans="1:24" ht="13.5" x14ac:dyDescent="0.25">
      <c r="A836" s="80" t="s">
        <v>5544</v>
      </c>
      <c r="B836" s="1265">
        <v>351</v>
      </c>
      <c r="C836" s="1635" t="s">
        <v>13453</v>
      </c>
      <c r="D836" s="1486"/>
      <c r="E836" s="1267">
        <f t="shared" si="36"/>
        <v>341</v>
      </c>
      <c r="G836" s="80" t="s">
        <v>1212</v>
      </c>
      <c r="H836" s="185" t="s">
        <v>1212</v>
      </c>
      <c r="I836" s="1589" t="s">
        <v>1212</v>
      </c>
    </row>
    <row r="837" spans="1:24" ht="13.5" x14ac:dyDescent="0.25">
      <c r="A837" s="80" t="s">
        <v>5544</v>
      </c>
      <c r="B837" s="1265">
        <v>355</v>
      </c>
      <c r="C837" s="1635" t="s">
        <v>13454</v>
      </c>
      <c r="D837" s="1486"/>
      <c r="E837" s="1267">
        <f t="shared" si="36"/>
        <v>342</v>
      </c>
      <c r="H837" s="185"/>
    </row>
    <row r="838" spans="1:24" ht="13.5" x14ac:dyDescent="0.25">
      <c r="A838" s="80" t="s">
        <v>5544</v>
      </c>
      <c r="B838" s="1265">
        <v>358</v>
      </c>
      <c r="C838" s="1635" t="s">
        <v>13455</v>
      </c>
      <c r="D838" s="1486"/>
      <c r="E838" s="1267">
        <f t="shared" si="36"/>
        <v>343</v>
      </c>
      <c r="F838" s="1263"/>
      <c r="G838" s="585"/>
      <c r="H838" s="1676">
        <v>360</v>
      </c>
      <c r="I838" s="585"/>
      <c r="X838">
        <v>77</v>
      </c>
    </row>
    <row r="839" spans="1:24" ht="13.5" x14ac:dyDescent="0.25">
      <c r="A839" s="80" t="s">
        <v>5544</v>
      </c>
      <c r="B839" s="1265">
        <v>362</v>
      </c>
      <c r="C839" s="1635">
        <v>363</v>
      </c>
      <c r="D839" s="1633"/>
      <c r="E839" s="1267">
        <f t="shared" si="36"/>
        <v>344</v>
      </c>
      <c r="F839" s="1258"/>
      <c r="H839" s="185"/>
    </row>
    <row r="840" spans="1:24" ht="13.5" x14ac:dyDescent="0.25">
      <c r="A840" s="80" t="s">
        <v>5544</v>
      </c>
      <c r="B840" s="1265">
        <v>364</v>
      </c>
      <c r="C840" s="1635"/>
      <c r="D840" s="1502"/>
      <c r="E840" s="1267">
        <f t="shared" si="36"/>
        <v>345</v>
      </c>
      <c r="F840" s="1258"/>
      <c r="H840" s="185"/>
    </row>
    <row r="841" spans="1:24" ht="12.75" customHeight="1" x14ac:dyDescent="0.25">
      <c r="A841" s="80" t="s">
        <v>5544</v>
      </c>
      <c r="B841" s="1265">
        <v>365</v>
      </c>
      <c r="C841" s="1635" t="s">
        <v>13456</v>
      </c>
      <c r="D841" s="1632"/>
      <c r="E841" s="1267">
        <f t="shared" si="36"/>
        <v>346</v>
      </c>
      <c r="H841" s="185">
        <v>370</v>
      </c>
    </row>
    <row r="842" spans="1:24" ht="12.75" customHeight="1" x14ac:dyDescent="0.25">
      <c r="A842" s="80" t="s">
        <v>1122</v>
      </c>
      <c r="B842" s="1265">
        <v>375</v>
      </c>
      <c r="C842" s="1635" t="s">
        <v>13457</v>
      </c>
      <c r="E842" s="1267">
        <f t="shared" si="36"/>
        <v>347</v>
      </c>
      <c r="G842" s="80"/>
      <c r="H842" s="185"/>
      <c r="I842" s="1273"/>
    </row>
    <row r="843" spans="1:24" ht="12.75" customHeight="1" x14ac:dyDescent="0.25">
      <c r="A843" s="80" t="s">
        <v>12167</v>
      </c>
      <c r="B843" s="9">
        <v>379</v>
      </c>
      <c r="C843" s="1635" t="s">
        <v>13458</v>
      </c>
      <c r="E843" s="1267">
        <f t="shared" si="36"/>
        <v>348</v>
      </c>
      <c r="F843" s="1258"/>
      <c r="G843" s="585"/>
      <c r="H843" s="1676">
        <v>380</v>
      </c>
      <c r="I843" s="585"/>
    </row>
    <row r="844" spans="1:24" ht="12.75" customHeight="1" x14ac:dyDescent="0.25">
      <c r="A844" s="80" t="s">
        <v>5095</v>
      </c>
      <c r="B844" s="9">
        <v>391</v>
      </c>
      <c r="C844" s="1635" t="s">
        <v>13459</v>
      </c>
      <c r="D844" s="1257"/>
      <c r="E844" s="1267">
        <f t="shared" si="36"/>
        <v>349</v>
      </c>
      <c r="H844" s="185"/>
    </row>
    <row r="845" spans="1:24" ht="12.75" customHeight="1" x14ac:dyDescent="0.25">
      <c r="A845" s="80" t="s">
        <v>4302</v>
      </c>
      <c r="B845" s="9">
        <v>395</v>
      </c>
      <c r="C845" s="1635" t="s">
        <v>13460</v>
      </c>
      <c r="E845" s="1267">
        <f t="shared" si="36"/>
        <v>350</v>
      </c>
      <c r="H845" s="185"/>
    </row>
    <row r="846" spans="1:24" ht="12.75" customHeight="1" x14ac:dyDescent="0.25">
      <c r="A846" s="1318" t="s">
        <v>11135</v>
      </c>
      <c r="B846" s="1286">
        <v>400</v>
      </c>
      <c r="C846" s="1256"/>
      <c r="E846" s="1267">
        <f t="shared" si="36"/>
        <v>351</v>
      </c>
      <c r="F846" s="1258"/>
      <c r="H846" s="185"/>
    </row>
    <row r="847" spans="1:24" ht="12.75" customHeight="1" x14ac:dyDescent="0.25">
      <c r="A847" s="890" t="s">
        <v>5544</v>
      </c>
      <c r="B847" s="1286">
        <v>400</v>
      </c>
      <c r="D847" s="1257"/>
      <c r="E847" s="1267">
        <f t="shared" si="36"/>
        <v>352</v>
      </c>
      <c r="H847" s="185"/>
    </row>
    <row r="848" spans="1:24" ht="12.75" customHeight="1" x14ac:dyDescent="0.25">
      <c r="A848" s="80" t="s">
        <v>11633</v>
      </c>
      <c r="B848" s="1265">
        <v>401</v>
      </c>
      <c r="E848" s="1267">
        <f t="shared" si="36"/>
        <v>353</v>
      </c>
      <c r="H848" s="185"/>
    </row>
    <row r="849" spans="1:28" ht="12.75" customHeight="1" x14ac:dyDescent="0.25">
      <c r="A849" s="80" t="s">
        <v>3346</v>
      </c>
      <c r="B849" s="9">
        <v>408</v>
      </c>
      <c r="E849" s="1267">
        <f t="shared" si="36"/>
        <v>354</v>
      </c>
      <c r="G849" s="187"/>
      <c r="H849" s="185">
        <v>410</v>
      </c>
      <c r="I849" s="1529"/>
      <c r="AB849">
        <f>1.81*1.81</f>
        <v>3.2761</v>
      </c>
    </row>
    <row r="850" spans="1:28" ht="14.25" customHeight="1" x14ac:dyDescent="0.25">
      <c r="A850" s="80" t="s">
        <v>4556</v>
      </c>
      <c r="B850" s="9">
        <v>412</v>
      </c>
      <c r="C850" s="1261"/>
      <c r="E850" s="1267">
        <f t="shared" si="36"/>
        <v>355</v>
      </c>
      <c r="G850" s="1371"/>
      <c r="H850" s="1418"/>
      <c r="I850" s="1371"/>
      <c r="AB850">
        <v>82</v>
      </c>
    </row>
    <row r="851" spans="1:28" ht="14.25" customHeight="1" x14ac:dyDescent="0.25">
      <c r="A851" s="80" t="s">
        <v>5544</v>
      </c>
      <c r="B851" s="9">
        <v>412</v>
      </c>
      <c r="C851" s="1261"/>
      <c r="E851" s="1267">
        <f t="shared" si="36"/>
        <v>356</v>
      </c>
      <c r="G851" s="585"/>
      <c r="H851" s="1676">
        <v>420</v>
      </c>
      <c r="I851" s="585"/>
    </row>
    <row r="852" spans="1:28" ht="14.25" customHeight="1" x14ac:dyDescent="0.25">
      <c r="A852" s="80" t="s">
        <v>8244</v>
      </c>
      <c r="B852" s="1265">
        <v>421</v>
      </c>
      <c r="E852" s="1267">
        <f t="shared" si="36"/>
        <v>357</v>
      </c>
      <c r="F852" s="1263"/>
      <c r="H852" s="185"/>
      <c r="AB852">
        <f>AB850/AB849</f>
        <v>25.029760996306585</v>
      </c>
    </row>
    <row r="853" spans="1:28" ht="14.25" customHeight="1" x14ac:dyDescent="0.25">
      <c r="A853" s="80" t="s">
        <v>5483</v>
      </c>
      <c r="B853" s="9">
        <v>423</v>
      </c>
      <c r="D853" s="1264"/>
      <c r="E853" s="1267">
        <f t="shared" si="36"/>
        <v>358</v>
      </c>
      <c r="F853" s="1263"/>
      <c r="H853" s="185"/>
      <c r="W853" s="80"/>
    </row>
    <row r="854" spans="1:28" ht="14.25" customHeight="1" x14ac:dyDescent="0.25">
      <c r="A854" s="862" t="s">
        <v>5544</v>
      </c>
      <c r="B854" s="1855">
        <v>423</v>
      </c>
      <c r="D854" s="1264"/>
      <c r="E854" s="1267">
        <f t="shared" si="36"/>
        <v>359</v>
      </c>
      <c r="F854" s="1263"/>
      <c r="H854" s="185"/>
      <c r="W854" s="80"/>
    </row>
    <row r="855" spans="1:28" ht="14.25" customHeight="1" x14ac:dyDescent="0.25">
      <c r="A855" s="80" t="s">
        <v>8244</v>
      </c>
      <c r="B855" s="9">
        <v>426</v>
      </c>
      <c r="C855" s="1261"/>
      <c r="D855" s="1257"/>
      <c r="E855" s="1267">
        <f t="shared" si="36"/>
        <v>360</v>
      </c>
      <c r="H855" s="185"/>
    </row>
    <row r="856" spans="1:28" ht="14.25" customHeight="1" x14ac:dyDescent="0.25">
      <c r="A856" s="80" t="s">
        <v>5095</v>
      </c>
      <c r="B856" s="9">
        <v>427</v>
      </c>
      <c r="E856" s="1267">
        <f t="shared" si="36"/>
        <v>361</v>
      </c>
      <c r="H856" s="185"/>
    </row>
    <row r="857" spans="1:28" ht="14.25" customHeight="1" x14ac:dyDescent="0.25">
      <c r="A857" s="80" t="s">
        <v>1122</v>
      </c>
      <c r="B857" s="1265">
        <v>428</v>
      </c>
      <c r="E857" s="1267">
        <f t="shared" si="36"/>
        <v>362</v>
      </c>
      <c r="H857" s="185"/>
    </row>
    <row r="858" spans="1:28" ht="14.25" customHeight="1" x14ac:dyDescent="0.25">
      <c r="A858" s="862" t="s">
        <v>5544</v>
      </c>
      <c r="B858" s="1937">
        <v>430</v>
      </c>
      <c r="E858" s="1267">
        <f t="shared" si="36"/>
        <v>363</v>
      </c>
      <c r="H858" s="185"/>
    </row>
    <row r="859" spans="1:28" ht="14.25" customHeight="1" x14ac:dyDescent="0.25">
      <c r="A859" s="80" t="s">
        <v>3346</v>
      </c>
      <c r="B859" s="1398">
        <v>436</v>
      </c>
      <c r="E859" s="1267">
        <f t="shared" si="36"/>
        <v>364</v>
      </c>
      <c r="G859" s="585"/>
      <c r="H859" s="1676">
        <v>440</v>
      </c>
      <c r="I859" s="585"/>
      <c r="L859" s="1449"/>
    </row>
    <row r="860" spans="1:28" ht="14.25" customHeight="1" x14ac:dyDescent="0.25">
      <c r="A860" s="80" t="s">
        <v>4626</v>
      </c>
      <c r="B860" s="9">
        <v>442</v>
      </c>
      <c r="E860" s="1267">
        <f t="shared" si="36"/>
        <v>365</v>
      </c>
      <c r="G860" s="585"/>
      <c r="H860" s="1676">
        <v>460</v>
      </c>
      <c r="I860" s="585"/>
    </row>
    <row r="861" spans="1:28" ht="14.25" customHeight="1" x14ac:dyDescent="0.25">
      <c r="A861" s="80" t="s">
        <v>5885</v>
      </c>
      <c r="B861" s="9">
        <v>461</v>
      </c>
      <c r="E861" s="1267">
        <f t="shared" si="36"/>
        <v>366</v>
      </c>
      <c r="H861" s="185"/>
    </row>
    <row r="862" spans="1:28" ht="14.25" customHeight="1" x14ac:dyDescent="0.25">
      <c r="A862" s="80" t="s">
        <v>559</v>
      </c>
      <c r="B862" s="9">
        <v>463</v>
      </c>
      <c r="C862" s="1261"/>
      <c r="E862" s="1267">
        <f t="shared" si="36"/>
        <v>367</v>
      </c>
      <c r="H862" s="185"/>
      <c r="Q862" t="s">
        <v>1212</v>
      </c>
    </row>
    <row r="863" spans="1:28" ht="14.25" customHeight="1" x14ac:dyDescent="0.25">
      <c r="A863" s="80" t="s">
        <v>3346</v>
      </c>
      <c r="B863" s="9">
        <v>474</v>
      </c>
      <c r="E863" s="1267">
        <f t="shared" si="36"/>
        <v>368</v>
      </c>
      <c r="H863" s="185"/>
    </row>
    <row r="864" spans="1:28" ht="14.25" customHeight="1" x14ac:dyDescent="0.25">
      <c r="A864" s="532" t="s">
        <v>1122</v>
      </c>
      <c r="B864" s="1288">
        <v>480</v>
      </c>
      <c r="E864" s="1267">
        <f t="shared" si="36"/>
        <v>369</v>
      </c>
      <c r="H864" s="185"/>
    </row>
    <row r="865" spans="1:27" ht="14.25" customHeight="1" x14ac:dyDescent="0.25">
      <c r="A865" s="890" t="s">
        <v>5095</v>
      </c>
      <c r="B865" s="1286">
        <v>500</v>
      </c>
      <c r="E865" s="1267">
        <f t="shared" ref="E865:E877" si="38">E864+1</f>
        <v>370</v>
      </c>
      <c r="H865" s="185"/>
    </row>
    <row r="866" spans="1:27" ht="13.5" x14ac:dyDescent="0.25">
      <c r="A866" s="80" t="s">
        <v>2704</v>
      </c>
      <c r="B866" s="9">
        <v>512</v>
      </c>
      <c r="E866" s="1267">
        <f t="shared" si="38"/>
        <v>371</v>
      </c>
      <c r="H866" s="185"/>
    </row>
    <row r="867" spans="1:27" ht="13.5" x14ac:dyDescent="0.25">
      <c r="A867" s="80" t="s">
        <v>5484</v>
      </c>
      <c r="B867" s="9">
        <v>519</v>
      </c>
      <c r="E867" s="1267">
        <f t="shared" si="38"/>
        <v>372</v>
      </c>
      <c r="G867" s="585"/>
      <c r="H867" s="1676">
        <v>520</v>
      </c>
      <c r="I867" s="585"/>
    </row>
    <row r="868" spans="1:27" ht="13.5" x14ac:dyDescent="0.25">
      <c r="A868" s="80" t="s">
        <v>1822</v>
      </c>
      <c r="B868" s="9">
        <v>525</v>
      </c>
      <c r="C868" s="1256"/>
      <c r="D868" s="2"/>
      <c r="E868" s="1267">
        <f t="shared" si="38"/>
        <v>373</v>
      </c>
      <c r="H868" s="185"/>
    </row>
    <row r="869" spans="1:27" ht="13.5" x14ac:dyDescent="0.25">
      <c r="A869" s="80" t="s">
        <v>5484</v>
      </c>
      <c r="B869" s="9">
        <v>528</v>
      </c>
      <c r="C869" s="1256"/>
      <c r="D869" s="2"/>
      <c r="E869" s="1267">
        <f t="shared" si="38"/>
        <v>374</v>
      </c>
      <c r="H869" s="185"/>
    </row>
    <row r="870" spans="1:27" ht="13.5" x14ac:dyDescent="0.25">
      <c r="A870" s="80" t="s">
        <v>1122</v>
      </c>
      <c r="B870" s="1265">
        <v>536</v>
      </c>
      <c r="D870" s="2"/>
      <c r="E870" s="1267">
        <f t="shared" si="38"/>
        <v>375</v>
      </c>
      <c r="G870" s="585"/>
      <c r="H870" s="1676">
        <v>540</v>
      </c>
      <c r="I870" s="585"/>
      <c r="K870" s="1404"/>
      <c r="L870" s="1999"/>
      <c r="M870" s="1404"/>
      <c r="N870" s="1404"/>
      <c r="O870" s="1404"/>
      <c r="P870" s="1999"/>
      <c r="Q870" s="1404"/>
    </row>
    <row r="871" spans="1:27" ht="13.5" x14ac:dyDescent="0.25">
      <c r="A871" s="862" t="s">
        <v>17138</v>
      </c>
      <c r="B871" s="1937">
        <v>550</v>
      </c>
      <c r="D871" s="2"/>
      <c r="E871" s="1267">
        <f t="shared" si="38"/>
        <v>376</v>
      </c>
      <c r="G871" s="585"/>
      <c r="H871" s="1676">
        <v>560</v>
      </c>
      <c r="I871" s="585"/>
      <c r="K871" s="585"/>
      <c r="L871" s="1679">
        <v>580</v>
      </c>
      <c r="M871" s="585"/>
      <c r="V871" s="9"/>
      <c r="Z871"/>
    </row>
    <row r="872" spans="1:27" ht="13.5" x14ac:dyDescent="0.25">
      <c r="A872" s="80" t="s">
        <v>1122</v>
      </c>
      <c r="B872" s="1265">
        <v>592</v>
      </c>
      <c r="D872" s="2"/>
      <c r="E872" s="1267">
        <f t="shared" si="38"/>
        <v>377</v>
      </c>
      <c r="H872" s="185"/>
    </row>
    <row r="873" spans="1:27" ht="13.5" x14ac:dyDescent="0.25">
      <c r="A873" s="890" t="s">
        <v>1122</v>
      </c>
      <c r="B873" s="1286">
        <v>600</v>
      </c>
      <c r="D873" s="2"/>
      <c r="E873" s="1267">
        <f t="shared" si="38"/>
        <v>378</v>
      </c>
      <c r="H873" s="1676">
        <v>620</v>
      </c>
    </row>
    <row r="874" spans="1:27" ht="13.5" x14ac:dyDescent="0.25">
      <c r="A874" s="80" t="s">
        <v>5885</v>
      </c>
      <c r="B874" s="9">
        <v>637</v>
      </c>
      <c r="D874" s="2"/>
      <c r="E874" s="1267">
        <f t="shared" si="38"/>
        <v>379</v>
      </c>
      <c r="G874" t="s">
        <v>1212</v>
      </c>
      <c r="H874" s="1676">
        <v>640</v>
      </c>
      <c r="L874" s="1679">
        <v>660</v>
      </c>
      <c r="P874" s="1679">
        <v>680</v>
      </c>
    </row>
    <row r="875" spans="1:27" ht="13.5" x14ac:dyDescent="0.25">
      <c r="A875" s="80" t="s">
        <v>5885</v>
      </c>
      <c r="B875" s="9">
        <v>687</v>
      </c>
      <c r="D875" s="2"/>
      <c r="E875" s="1267">
        <f t="shared" si="38"/>
        <v>380</v>
      </c>
      <c r="H875" s="185"/>
    </row>
    <row r="876" spans="1:27" ht="13.5" x14ac:dyDescent="0.25">
      <c r="A876" s="80" t="s">
        <v>5885</v>
      </c>
      <c r="B876" s="9">
        <v>742</v>
      </c>
      <c r="D876" s="2"/>
      <c r="E876" s="1267">
        <f t="shared" si="38"/>
        <v>381</v>
      </c>
      <c r="H876" s="185"/>
    </row>
    <row r="877" spans="1:27" ht="13.5" x14ac:dyDescent="0.25">
      <c r="A877" s="890" t="s">
        <v>5885</v>
      </c>
      <c r="B877" s="1286">
        <v>800</v>
      </c>
      <c r="D877" s="2"/>
      <c r="E877" s="1267">
        <f t="shared" si="38"/>
        <v>382</v>
      </c>
      <c r="H877" s="185"/>
    </row>
    <row r="878" spans="1:27" ht="13.5" x14ac:dyDescent="0.25">
      <c r="A878" s="1645"/>
      <c r="B878" s="1646"/>
      <c r="D878" s="2"/>
      <c r="E878" s="1267"/>
      <c r="H878" s="185"/>
    </row>
    <row r="879" spans="1:27" ht="13.5" x14ac:dyDescent="0.25">
      <c r="A879" s="332"/>
      <c r="C879" s="80"/>
      <c r="E879" s="70"/>
      <c r="H879" s="185"/>
      <c r="M879" s="80"/>
      <c r="S879" s="80"/>
      <c r="U879" s="45" t="s">
        <v>12705</v>
      </c>
      <c r="V879" s="80"/>
      <c r="W879" s="80"/>
      <c r="X879" s="2"/>
    </row>
    <row r="880" spans="1:27" x14ac:dyDescent="0.2">
      <c r="A880" s="332"/>
      <c r="B880" s="99"/>
      <c r="C880" s="80"/>
      <c r="E880" s="6"/>
      <c r="G880" s="1370"/>
      <c r="M880" s="80" t="s">
        <v>17333</v>
      </c>
      <c r="S880" s="80"/>
      <c r="U880" s="45" t="s">
        <v>12706</v>
      </c>
      <c r="W880" s="80"/>
      <c r="X880" s="2"/>
      <c r="AA880" s="34"/>
    </row>
    <row r="881" spans="1:31" x14ac:dyDescent="0.2">
      <c r="A881" s="332" t="s">
        <v>11663</v>
      </c>
      <c r="C881" s="1370"/>
      <c r="E881" s="6"/>
      <c r="G881" s="1370" t="s">
        <v>17176</v>
      </c>
      <c r="H881" s="2"/>
      <c r="I881" s="80"/>
      <c r="J881" s="2"/>
      <c r="K881" s="80" t="s">
        <v>11907</v>
      </c>
      <c r="L881" s="80">
        <v>-5</v>
      </c>
      <c r="M881" s="80" t="s">
        <v>17174</v>
      </c>
      <c r="N881" s="80"/>
      <c r="O881" s="80" t="s">
        <v>10620</v>
      </c>
      <c r="Q881" s="1129" t="s">
        <v>17269</v>
      </c>
      <c r="S881" s="80"/>
      <c r="U881" s="80"/>
      <c r="W881" s="1370"/>
      <c r="X881" s="2"/>
      <c r="AA881" s="34"/>
    </row>
    <row r="882" spans="1:31" ht="13.5" x14ac:dyDescent="0.25">
      <c r="A882" s="34">
        <v>43911</v>
      </c>
      <c r="B882" s="9">
        <v>51</v>
      </c>
      <c r="C882" s="80" t="s">
        <v>12218</v>
      </c>
      <c r="G882" s="568" t="s">
        <v>15976</v>
      </c>
      <c r="H882" s="185">
        <v>110</v>
      </c>
      <c r="I882" s="1903" t="s">
        <v>10441</v>
      </c>
      <c r="J882" s="1489">
        <v>66</v>
      </c>
      <c r="K882" s="1507" t="s">
        <v>10983</v>
      </c>
      <c r="L882" s="1514">
        <v>63</v>
      </c>
      <c r="M882" s="80" t="s">
        <v>12716</v>
      </c>
      <c r="N882" s="1370">
        <v>47</v>
      </c>
      <c r="O882" s="80" t="s">
        <v>11907</v>
      </c>
      <c r="P882" s="1370">
        <v>58</v>
      </c>
      <c r="Q882" s="1129" t="s">
        <v>11908</v>
      </c>
      <c r="R882" s="80">
        <v>91</v>
      </c>
      <c r="S882" s="940" t="s">
        <v>9406</v>
      </c>
      <c r="T882" s="1370">
        <v>92</v>
      </c>
      <c r="U882" s="862" t="s">
        <v>11325</v>
      </c>
      <c r="V882" s="1390">
        <v>94</v>
      </c>
      <c r="W882" s="80" t="s">
        <v>9307</v>
      </c>
      <c r="X882" s="185">
        <v>101</v>
      </c>
      <c r="Y882">
        <v>51</v>
      </c>
      <c r="AA882" s="11">
        <v>43911</v>
      </c>
      <c r="AB882" s="80"/>
    </row>
    <row r="883" spans="1:31" ht="13.5" x14ac:dyDescent="0.25">
      <c r="A883" s="34">
        <f t="shared" ref="A883:A901" si="39">A882+7</f>
        <v>43918</v>
      </c>
      <c r="B883" s="1398">
        <v>95</v>
      </c>
      <c r="C883" s="80" t="s">
        <v>11325</v>
      </c>
      <c r="H883" s="185">
        <f t="shared" ref="H883:H901" si="40">H882+1</f>
        <v>111</v>
      </c>
      <c r="I883" s="1489"/>
      <c r="J883" s="1489">
        <f t="shared" ref="J883:J901" si="41">J882+1</f>
        <v>67</v>
      </c>
      <c r="K883" s="1489"/>
      <c r="L883" s="1514">
        <f t="shared" ref="L883:L901" si="42">L882+1</f>
        <v>64</v>
      </c>
      <c r="M883" s="80"/>
      <c r="N883" s="80">
        <f t="shared" ref="N883:N901" si="43">N882+1</f>
        <v>48</v>
      </c>
      <c r="P883" s="1370">
        <f t="shared" ref="P883:P901" si="44">P882+1</f>
        <v>59</v>
      </c>
      <c r="R883" s="80">
        <f t="shared" ref="R883:R901" si="45">R882+1</f>
        <v>92</v>
      </c>
      <c r="T883" s="1370">
        <f t="shared" ref="T883:T901" si="46">T882+1</f>
        <v>93</v>
      </c>
      <c r="V883" s="844">
        <f t="shared" ref="V883:V901" si="47">V882+1</f>
        <v>95</v>
      </c>
      <c r="X883" s="185">
        <f t="shared" ref="X883:X901" si="48">X882+1</f>
        <v>102</v>
      </c>
      <c r="Y883">
        <v>81</v>
      </c>
      <c r="AA883" s="11"/>
      <c r="AB883" s="80"/>
      <c r="AE883" s="80"/>
    </row>
    <row r="884" spans="1:31" ht="13.5" x14ac:dyDescent="0.25">
      <c r="A884" s="523">
        <f t="shared" si="39"/>
        <v>43925</v>
      </c>
      <c r="B884" s="1453">
        <v>700</v>
      </c>
      <c r="C884" s="1370" t="s">
        <v>5484</v>
      </c>
      <c r="D884" s="1371"/>
      <c r="E884" s="1371"/>
      <c r="F884" s="1371"/>
      <c r="G884" s="1371"/>
      <c r="H884" s="1418">
        <f t="shared" si="40"/>
        <v>112</v>
      </c>
      <c r="I884" s="1489"/>
      <c r="J884" s="1489">
        <f t="shared" si="41"/>
        <v>68</v>
      </c>
      <c r="K884" s="1489"/>
      <c r="L884" s="1489">
        <f t="shared" si="42"/>
        <v>65</v>
      </c>
      <c r="M884" s="1370"/>
      <c r="N884" s="1370">
        <f t="shared" si="43"/>
        <v>49</v>
      </c>
      <c r="O884" s="1371"/>
      <c r="P884" s="1370">
        <f t="shared" si="44"/>
        <v>60</v>
      </c>
      <c r="Q884" s="1371"/>
      <c r="R884" s="1370">
        <f t="shared" si="45"/>
        <v>93</v>
      </c>
      <c r="S884" s="1371"/>
      <c r="T884" s="1390">
        <f t="shared" si="46"/>
        <v>94</v>
      </c>
      <c r="U884" s="1371"/>
      <c r="V884" s="1370">
        <f t="shared" si="47"/>
        <v>96</v>
      </c>
      <c r="W884" s="1371"/>
      <c r="X884" s="1418">
        <f t="shared" si="48"/>
        <v>103</v>
      </c>
      <c r="Y884" s="1435">
        <v>83</v>
      </c>
      <c r="Z884" s="1910"/>
      <c r="AA884" s="522"/>
      <c r="AB884" s="1370"/>
    </row>
    <row r="885" spans="1:31" ht="13.5" x14ac:dyDescent="0.25">
      <c r="A885" s="34">
        <f t="shared" si="39"/>
        <v>43932</v>
      </c>
      <c r="B885" s="1453">
        <v>94</v>
      </c>
      <c r="C885" s="1370" t="s">
        <v>11908</v>
      </c>
      <c r="D885" s="1371"/>
      <c r="E885" s="1371" t="s">
        <v>2498</v>
      </c>
      <c r="F885" s="1371"/>
      <c r="G885" s="1371"/>
      <c r="H885" s="1418">
        <f t="shared" si="40"/>
        <v>113</v>
      </c>
      <c r="I885" s="1489"/>
      <c r="J885" s="1489">
        <f t="shared" si="41"/>
        <v>69</v>
      </c>
      <c r="K885" s="1489"/>
      <c r="L885" s="1489">
        <f t="shared" si="42"/>
        <v>66</v>
      </c>
      <c r="M885" s="1370"/>
      <c r="N885" s="1370">
        <f t="shared" si="43"/>
        <v>50</v>
      </c>
      <c r="O885" s="1371"/>
      <c r="P885" s="1370">
        <f t="shared" si="44"/>
        <v>61</v>
      </c>
      <c r="Q885" s="1127"/>
      <c r="R885" s="2026">
        <f t="shared" si="45"/>
        <v>94</v>
      </c>
      <c r="S885" s="1371"/>
      <c r="T885" s="1370">
        <f t="shared" si="46"/>
        <v>95</v>
      </c>
      <c r="U885" s="1371"/>
      <c r="V885" s="1370">
        <f t="shared" si="47"/>
        <v>97</v>
      </c>
      <c r="W885" s="1371"/>
      <c r="X885" s="1418">
        <f t="shared" si="48"/>
        <v>104</v>
      </c>
      <c r="Y885" s="1435">
        <v>85</v>
      </c>
      <c r="Z885" s="1910"/>
      <c r="AA885" s="11"/>
      <c r="AB885" s="80"/>
    </row>
    <row r="886" spans="1:31" ht="13.5" x14ac:dyDescent="0.25">
      <c r="A886" s="34">
        <f t="shared" si="39"/>
        <v>43939</v>
      </c>
      <c r="B886" s="173">
        <v>98</v>
      </c>
      <c r="C886" s="80" t="s">
        <v>11325</v>
      </c>
      <c r="H886" s="1992">
        <f t="shared" si="40"/>
        <v>114</v>
      </c>
      <c r="I886" s="1489"/>
      <c r="J886" s="1489">
        <f t="shared" si="41"/>
        <v>70</v>
      </c>
      <c r="K886" s="1524"/>
      <c r="L886" s="1514">
        <f t="shared" si="42"/>
        <v>67</v>
      </c>
      <c r="M886" s="80"/>
      <c r="N886" s="2">
        <f t="shared" si="43"/>
        <v>51</v>
      </c>
      <c r="P886" s="1370">
        <f t="shared" si="44"/>
        <v>62</v>
      </c>
      <c r="Q886" s="1371"/>
      <c r="R886" s="1390">
        <f t="shared" si="45"/>
        <v>95</v>
      </c>
      <c r="T886" s="1370">
        <f t="shared" si="46"/>
        <v>96</v>
      </c>
      <c r="V886" s="844">
        <f t="shared" si="47"/>
        <v>98</v>
      </c>
      <c r="X886" s="185">
        <f t="shared" si="48"/>
        <v>105</v>
      </c>
      <c r="Y886" s="1435">
        <v>94</v>
      </c>
      <c r="Z886" s="1910"/>
      <c r="AA886" s="522"/>
      <c r="AB886" s="80"/>
    </row>
    <row r="887" spans="1:31" ht="13.5" x14ac:dyDescent="0.25">
      <c r="A887" s="34">
        <f t="shared" si="39"/>
        <v>43946</v>
      </c>
      <c r="B887" s="173" t="s">
        <v>1212</v>
      </c>
      <c r="C887" s="80" t="s">
        <v>1212</v>
      </c>
      <c r="H887" s="1992">
        <f t="shared" si="40"/>
        <v>115</v>
      </c>
      <c r="I887" s="1489"/>
      <c r="J887" s="1489">
        <f t="shared" si="41"/>
        <v>71</v>
      </c>
      <c r="K887" s="1489"/>
      <c r="L887" s="1514">
        <f t="shared" si="42"/>
        <v>68</v>
      </c>
      <c r="M887" s="80" t="s">
        <v>1212</v>
      </c>
      <c r="N887" s="80">
        <f t="shared" si="43"/>
        <v>52</v>
      </c>
      <c r="P887" s="1370">
        <f t="shared" si="44"/>
        <v>63</v>
      </c>
      <c r="R887" s="80">
        <f t="shared" si="45"/>
        <v>96</v>
      </c>
      <c r="T887" s="1370">
        <f t="shared" si="46"/>
        <v>97</v>
      </c>
      <c r="V887" s="1390">
        <v>99</v>
      </c>
      <c r="X887" s="185">
        <f t="shared" si="48"/>
        <v>106</v>
      </c>
      <c r="Y887" s="1435">
        <v>95</v>
      </c>
      <c r="Z887" s="1910"/>
      <c r="AA887" s="522">
        <v>43918</v>
      </c>
      <c r="AB887" s="80" t="s">
        <v>1212</v>
      </c>
    </row>
    <row r="888" spans="1:31" ht="13.5" x14ac:dyDescent="0.25">
      <c r="A888" s="34">
        <f t="shared" si="39"/>
        <v>43953</v>
      </c>
      <c r="H888" s="1992">
        <f t="shared" si="40"/>
        <v>116</v>
      </c>
      <c r="I888" s="1489"/>
      <c r="J888" s="1489">
        <f t="shared" si="41"/>
        <v>72</v>
      </c>
      <c r="K888" s="1489"/>
      <c r="L888" s="1514">
        <f t="shared" si="42"/>
        <v>69</v>
      </c>
      <c r="M888" s="80"/>
      <c r="N888" s="80">
        <f t="shared" si="43"/>
        <v>53</v>
      </c>
      <c r="P888" s="1370">
        <f t="shared" si="44"/>
        <v>64</v>
      </c>
      <c r="R888" s="80">
        <f t="shared" si="45"/>
        <v>97</v>
      </c>
      <c r="T888" s="1390">
        <f t="shared" si="46"/>
        <v>98</v>
      </c>
      <c r="V888" s="1449">
        <f t="shared" si="47"/>
        <v>100</v>
      </c>
      <c r="X888" s="185">
        <f t="shared" si="48"/>
        <v>107</v>
      </c>
      <c r="Y888" s="101">
        <v>98</v>
      </c>
      <c r="Z888" s="1910"/>
      <c r="AA888" s="1993"/>
      <c r="AB888" s="1370"/>
    </row>
    <row r="889" spans="1:31" ht="13.5" x14ac:dyDescent="0.25">
      <c r="A889" s="34">
        <f t="shared" si="39"/>
        <v>43960</v>
      </c>
      <c r="H889" s="1992">
        <f t="shared" si="40"/>
        <v>117</v>
      </c>
      <c r="I889" s="1489"/>
      <c r="J889" s="1489">
        <f t="shared" si="41"/>
        <v>73</v>
      </c>
      <c r="K889" s="1489"/>
      <c r="L889" s="1514">
        <f t="shared" si="42"/>
        <v>70</v>
      </c>
      <c r="M889" s="80"/>
      <c r="N889" s="80">
        <f t="shared" si="43"/>
        <v>54</v>
      </c>
      <c r="P889" s="1370">
        <f t="shared" si="44"/>
        <v>65</v>
      </c>
      <c r="R889" s="80">
        <f t="shared" si="45"/>
        <v>98</v>
      </c>
      <c r="T889" s="1449">
        <f t="shared" si="46"/>
        <v>99</v>
      </c>
      <c r="V889" s="1520">
        <f t="shared" si="47"/>
        <v>101</v>
      </c>
      <c r="X889" s="185">
        <f t="shared" si="48"/>
        <v>108</v>
      </c>
      <c r="Y889" s="1435">
        <v>101</v>
      </c>
      <c r="Z889" s="1485"/>
      <c r="AA889" s="12"/>
      <c r="AB889" s="80"/>
    </row>
    <row r="890" spans="1:31" ht="13.5" x14ac:dyDescent="0.25">
      <c r="A890" s="34">
        <f t="shared" si="39"/>
        <v>43967</v>
      </c>
      <c r="H890" s="185">
        <f t="shared" si="40"/>
        <v>118</v>
      </c>
      <c r="I890" s="1489"/>
      <c r="J890" s="1489">
        <f t="shared" si="41"/>
        <v>74</v>
      </c>
      <c r="K890" s="1489"/>
      <c r="L890" s="1514">
        <f t="shared" si="42"/>
        <v>71</v>
      </c>
      <c r="M890" s="80"/>
      <c r="N890" s="80">
        <f t="shared" si="43"/>
        <v>55</v>
      </c>
      <c r="P890" s="1370">
        <f t="shared" si="44"/>
        <v>66</v>
      </c>
      <c r="R890" s="80">
        <f t="shared" si="45"/>
        <v>99</v>
      </c>
      <c r="T890" s="45">
        <f t="shared" si="46"/>
        <v>100</v>
      </c>
      <c r="V890" s="1520">
        <f t="shared" si="47"/>
        <v>102</v>
      </c>
      <c r="X890" s="185">
        <f t="shared" si="48"/>
        <v>109</v>
      </c>
      <c r="Y890" s="1435">
        <v>102</v>
      </c>
      <c r="Z890" s="1910"/>
      <c r="AA890" s="12"/>
      <c r="AB890" s="80"/>
    </row>
    <row r="891" spans="1:31" ht="13.5" x14ac:dyDescent="0.25">
      <c r="A891" s="34">
        <f t="shared" si="39"/>
        <v>43974</v>
      </c>
      <c r="H891" s="185">
        <f t="shared" si="40"/>
        <v>119</v>
      </c>
      <c r="I891" s="1489"/>
      <c r="J891" s="1489">
        <f t="shared" si="41"/>
        <v>75</v>
      </c>
      <c r="K891" s="1489"/>
      <c r="L891" s="1514">
        <f t="shared" si="42"/>
        <v>72</v>
      </c>
      <c r="M891" s="80"/>
      <c r="N891" s="80">
        <f t="shared" si="43"/>
        <v>56</v>
      </c>
      <c r="P891" s="1370">
        <f t="shared" si="44"/>
        <v>67</v>
      </c>
      <c r="R891" s="185">
        <f t="shared" si="45"/>
        <v>100</v>
      </c>
      <c r="T891" s="356">
        <f t="shared" si="46"/>
        <v>101</v>
      </c>
      <c r="V891" s="1449">
        <f t="shared" si="47"/>
        <v>103</v>
      </c>
      <c r="X891" s="1418">
        <f t="shared" si="48"/>
        <v>110</v>
      </c>
      <c r="Y891" s="1435">
        <v>114</v>
      </c>
      <c r="Z891" s="1910"/>
      <c r="AA891" s="11"/>
      <c r="AB891" s="80"/>
    </row>
    <row r="892" spans="1:31" ht="13.5" x14ac:dyDescent="0.25">
      <c r="A892" s="332">
        <f t="shared" si="39"/>
        <v>43981</v>
      </c>
      <c r="H892" s="185">
        <f t="shared" si="40"/>
        <v>120</v>
      </c>
      <c r="I892" s="1489"/>
      <c r="J892" s="1489">
        <f t="shared" si="41"/>
        <v>76</v>
      </c>
      <c r="K892" s="1489"/>
      <c r="L892" s="1514">
        <f t="shared" si="42"/>
        <v>73</v>
      </c>
      <c r="M892" s="80"/>
      <c r="N892" s="80">
        <f t="shared" si="43"/>
        <v>57</v>
      </c>
      <c r="P892" s="1370">
        <f t="shared" si="44"/>
        <v>68</v>
      </c>
      <c r="R892" s="185">
        <f t="shared" si="45"/>
        <v>101</v>
      </c>
      <c r="T892" s="356">
        <f t="shared" si="46"/>
        <v>102</v>
      </c>
      <c r="V892" s="1449">
        <f t="shared" si="47"/>
        <v>104</v>
      </c>
      <c r="X892" s="1418">
        <f t="shared" si="48"/>
        <v>111</v>
      </c>
      <c r="Y892" s="1435">
        <v>115</v>
      </c>
      <c r="Z892" s="1910"/>
      <c r="AA892" s="522"/>
    </row>
    <row r="893" spans="1:31" ht="13.5" x14ac:dyDescent="0.25">
      <c r="A893" s="523">
        <f t="shared" si="39"/>
        <v>43988</v>
      </c>
      <c r="H893" s="185">
        <f t="shared" si="40"/>
        <v>121</v>
      </c>
      <c r="I893" s="1489"/>
      <c r="J893" s="1489">
        <f t="shared" si="41"/>
        <v>77</v>
      </c>
      <c r="K893" s="1489"/>
      <c r="L893" s="1514">
        <f t="shared" si="42"/>
        <v>74</v>
      </c>
      <c r="M893" s="80"/>
      <c r="N893" s="80">
        <f t="shared" si="43"/>
        <v>58</v>
      </c>
      <c r="P893" s="1370">
        <f t="shared" si="44"/>
        <v>69</v>
      </c>
      <c r="R893" s="1157">
        <f t="shared" si="45"/>
        <v>102</v>
      </c>
      <c r="T893" s="45">
        <f t="shared" si="46"/>
        <v>103</v>
      </c>
      <c r="V893" s="1449">
        <f t="shared" si="47"/>
        <v>105</v>
      </c>
      <c r="X893" s="1418">
        <f t="shared" si="48"/>
        <v>112</v>
      </c>
      <c r="Y893" s="1435">
        <v>116</v>
      </c>
      <c r="Z893" s="1910"/>
      <c r="AA893" s="522"/>
    </row>
    <row r="894" spans="1:31" ht="13.5" x14ac:dyDescent="0.25">
      <c r="A894" s="523">
        <f t="shared" si="39"/>
        <v>43995</v>
      </c>
      <c r="H894" s="185">
        <f t="shared" si="40"/>
        <v>122</v>
      </c>
      <c r="I894" s="1489"/>
      <c r="J894" s="1489">
        <f t="shared" si="41"/>
        <v>78</v>
      </c>
      <c r="K894" s="1489"/>
      <c r="L894" s="1514">
        <f t="shared" si="42"/>
        <v>75</v>
      </c>
      <c r="M894" s="80"/>
      <c r="N894" s="80">
        <f t="shared" si="43"/>
        <v>59</v>
      </c>
      <c r="P894" s="1370">
        <f t="shared" si="44"/>
        <v>70</v>
      </c>
      <c r="R894" s="1157">
        <f t="shared" si="45"/>
        <v>103</v>
      </c>
      <c r="T894" s="45">
        <f t="shared" si="46"/>
        <v>104</v>
      </c>
      <c r="V894" s="1449">
        <f t="shared" si="47"/>
        <v>106</v>
      </c>
      <c r="X894" s="1418">
        <f t="shared" si="48"/>
        <v>113</v>
      </c>
      <c r="Y894" s="101">
        <v>117</v>
      </c>
      <c r="Z894" s="1910"/>
      <c r="AA894" s="522"/>
    </row>
    <row r="895" spans="1:31" ht="13.5" x14ac:dyDescent="0.25">
      <c r="A895" s="523">
        <f t="shared" si="39"/>
        <v>44002</v>
      </c>
      <c r="B895" s="9">
        <v>114</v>
      </c>
      <c r="C895" s="80" t="s">
        <v>9307</v>
      </c>
      <c r="H895" s="185">
        <f t="shared" si="40"/>
        <v>123</v>
      </c>
      <c r="I895" s="1489"/>
      <c r="J895" s="1489">
        <f t="shared" si="41"/>
        <v>79</v>
      </c>
      <c r="K895" s="1489"/>
      <c r="L895" s="1514">
        <f t="shared" si="42"/>
        <v>76</v>
      </c>
      <c r="M895" s="80"/>
      <c r="N895" s="80">
        <f t="shared" si="43"/>
        <v>60</v>
      </c>
      <c r="P895" s="1370">
        <f t="shared" si="44"/>
        <v>71</v>
      </c>
      <c r="R895" s="185">
        <f t="shared" si="45"/>
        <v>104</v>
      </c>
      <c r="T895" s="45">
        <f t="shared" si="46"/>
        <v>105</v>
      </c>
      <c r="V895" s="1449">
        <f t="shared" si="47"/>
        <v>107</v>
      </c>
      <c r="X895" s="1992">
        <f t="shared" si="48"/>
        <v>114</v>
      </c>
      <c r="Y895" s="101">
        <v>121</v>
      </c>
      <c r="Z895" s="1910"/>
      <c r="AA895" s="522"/>
      <c r="AB895" s="80"/>
    </row>
    <row r="896" spans="1:31" ht="13.5" x14ac:dyDescent="0.25">
      <c r="A896" s="523">
        <f t="shared" si="39"/>
        <v>44009</v>
      </c>
      <c r="B896" s="9">
        <v>115</v>
      </c>
      <c r="C896" s="80" t="s">
        <v>9307</v>
      </c>
      <c r="H896" s="185">
        <f t="shared" si="40"/>
        <v>124</v>
      </c>
      <c r="I896" s="1489"/>
      <c r="J896" s="1489">
        <f t="shared" si="41"/>
        <v>80</v>
      </c>
      <c r="K896" s="1489"/>
      <c r="L896" s="1514">
        <f t="shared" si="42"/>
        <v>77</v>
      </c>
      <c r="M896" s="80"/>
      <c r="N896" s="80">
        <f t="shared" si="43"/>
        <v>61</v>
      </c>
      <c r="P896" s="1370">
        <f t="shared" si="44"/>
        <v>72</v>
      </c>
      <c r="R896" s="185">
        <f t="shared" si="45"/>
        <v>105</v>
      </c>
      <c r="T896" s="45">
        <f t="shared" si="46"/>
        <v>106</v>
      </c>
      <c r="V896" s="1449">
        <f t="shared" si="47"/>
        <v>108</v>
      </c>
      <c r="X896" s="1992">
        <f t="shared" si="48"/>
        <v>115</v>
      </c>
      <c r="Y896" s="101">
        <v>122</v>
      </c>
      <c r="Z896" s="1485"/>
      <c r="AA896" s="522"/>
    </row>
    <row r="897" spans="1:27" ht="13.5" x14ac:dyDescent="0.25">
      <c r="A897" s="332">
        <f t="shared" si="39"/>
        <v>44016</v>
      </c>
      <c r="B897" s="9">
        <v>81</v>
      </c>
      <c r="C897" s="80" t="s">
        <v>10441</v>
      </c>
      <c r="H897" s="185">
        <f t="shared" si="40"/>
        <v>125</v>
      </c>
      <c r="I897" s="1489"/>
      <c r="J897" s="1524">
        <f t="shared" si="41"/>
        <v>81</v>
      </c>
      <c r="K897" s="1489"/>
      <c r="L897" s="1514">
        <f t="shared" si="42"/>
        <v>78</v>
      </c>
      <c r="M897" s="80"/>
      <c r="N897" s="80">
        <f t="shared" si="43"/>
        <v>62</v>
      </c>
      <c r="P897" s="1370">
        <f t="shared" si="44"/>
        <v>73</v>
      </c>
      <c r="R897" s="185">
        <f t="shared" si="45"/>
        <v>106</v>
      </c>
      <c r="T897" s="45">
        <f t="shared" si="46"/>
        <v>107</v>
      </c>
      <c r="V897" s="1449">
        <f t="shared" si="47"/>
        <v>109</v>
      </c>
      <c r="X897" s="1992">
        <f t="shared" si="48"/>
        <v>116</v>
      </c>
      <c r="Y897" s="101">
        <v>124</v>
      </c>
      <c r="Z897" s="1485"/>
      <c r="AA897" s="11"/>
    </row>
    <row r="898" spans="1:27" ht="13.5" x14ac:dyDescent="0.25">
      <c r="A898" s="332">
        <f t="shared" si="39"/>
        <v>44023</v>
      </c>
      <c r="C898" s="80"/>
      <c r="H898" s="185">
        <f t="shared" si="40"/>
        <v>126</v>
      </c>
      <c r="I898" s="1489"/>
      <c r="J898" s="1489">
        <f t="shared" si="41"/>
        <v>82</v>
      </c>
      <c r="K898" s="1489"/>
      <c r="L898" s="1514">
        <f t="shared" si="42"/>
        <v>79</v>
      </c>
      <c r="M898" s="80"/>
      <c r="N898" s="80">
        <f t="shared" si="43"/>
        <v>63</v>
      </c>
      <c r="P898" s="1370">
        <f t="shared" si="44"/>
        <v>74</v>
      </c>
      <c r="R898" s="185">
        <f t="shared" si="45"/>
        <v>107</v>
      </c>
      <c r="T898" s="45">
        <f t="shared" si="46"/>
        <v>108</v>
      </c>
      <c r="V898" s="1449">
        <f t="shared" si="47"/>
        <v>110</v>
      </c>
      <c r="X898" s="1992">
        <f t="shared" si="48"/>
        <v>117</v>
      </c>
      <c r="Y898" s="1435">
        <v>125</v>
      </c>
      <c r="Z898" s="1485"/>
      <c r="AA898" s="11"/>
    </row>
    <row r="899" spans="1:27" ht="13.5" x14ac:dyDescent="0.25">
      <c r="A899" s="523">
        <f t="shared" si="39"/>
        <v>44030</v>
      </c>
      <c r="B899" s="9">
        <v>83</v>
      </c>
      <c r="C899" s="80" t="s">
        <v>10441</v>
      </c>
      <c r="H899" s="185">
        <f t="shared" si="40"/>
        <v>127</v>
      </c>
      <c r="I899" s="1489"/>
      <c r="J899" s="1524">
        <f t="shared" si="41"/>
        <v>83</v>
      </c>
      <c r="K899" s="1489"/>
      <c r="L899" s="1514">
        <f t="shared" si="42"/>
        <v>80</v>
      </c>
      <c r="M899" s="80"/>
      <c r="N899" s="80">
        <f t="shared" si="43"/>
        <v>64</v>
      </c>
      <c r="P899" s="1370">
        <f t="shared" si="44"/>
        <v>75</v>
      </c>
      <c r="R899" s="185">
        <f t="shared" si="45"/>
        <v>108</v>
      </c>
      <c r="T899" s="45">
        <f t="shared" si="46"/>
        <v>109</v>
      </c>
      <c r="V899" s="1449">
        <f t="shared" si="47"/>
        <v>111</v>
      </c>
      <c r="X899" s="1992">
        <f t="shared" si="48"/>
        <v>118</v>
      </c>
      <c r="Y899" s="1435">
        <v>128</v>
      </c>
      <c r="Z899" s="1485"/>
      <c r="AA899" s="11"/>
    </row>
    <row r="900" spans="1:27" ht="13.5" x14ac:dyDescent="0.25">
      <c r="A900" s="523">
        <f t="shared" si="39"/>
        <v>44037</v>
      </c>
      <c r="C900" s="80"/>
      <c r="H900" s="185">
        <f t="shared" si="40"/>
        <v>128</v>
      </c>
      <c r="I900" s="1489"/>
      <c r="J900" s="1489">
        <f t="shared" si="41"/>
        <v>84</v>
      </c>
      <c r="K900" s="1489"/>
      <c r="L900" s="1806">
        <f t="shared" si="42"/>
        <v>81</v>
      </c>
      <c r="M900" s="80"/>
      <c r="N900" s="80">
        <f t="shared" si="43"/>
        <v>65</v>
      </c>
      <c r="P900" s="1370">
        <f t="shared" si="44"/>
        <v>76</v>
      </c>
      <c r="R900" s="185">
        <f t="shared" si="45"/>
        <v>109</v>
      </c>
      <c r="T900" s="45">
        <f t="shared" si="46"/>
        <v>110</v>
      </c>
      <c r="V900" s="1449">
        <f t="shared" si="47"/>
        <v>112</v>
      </c>
      <c r="X900" s="1992">
        <f t="shared" si="48"/>
        <v>119</v>
      </c>
      <c r="Y900" s="1435">
        <v>130</v>
      </c>
      <c r="Z900" s="1910"/>
      <c r="AA900" s="11"/>
    </row>
    <row r="901" spans="1:27" ht="13.5" x14ac:dyDescent="0.25">
      <c r="A901" s="523">
        <f t="shared" si="39"/>
        <v>44044</v>
      </c>
      <c r="B901" s="9">
        <v>85</v>
      </c>
      <c r="C901" s="80" t="s">
        <v>10441</v>
      </c>
      <c r="H901" s="185">
        <f t="shared" si="40"/>
        <v>129</v>
      </c>
      <c r="I901" s="1489"/>
      <c r="J901" s="1524">
        <f t="shared" si="41"/>
        <v>85</v>
      </c>
      <c r="K901" s="1489"/>
      <c r="L901" s="1514">
        <f t="shared" si="42"/>
        <v>82</v>
      </c>
      <c r="M901" s="80"/>
      <c r="N901" s="80">
        <f t="shared" si="43"/>
        <v>66</v>
      </c>
      <c r="P901" s="1370">
        <f t="shared" si="44"/>
        <v>77</v>
      </c>
      <c r="R901" s="185">
        <f t="shared" si="45"/>
        <v>110</v>
      </c>
      <c r="T901" s="45">
        <f t="shared" si="46"/>
        <v>111</v>
      </c>
      <c r="V901" s="1449">
        <f t="shared" si="47"/>
        <v>113</v>
      </c>
      <c r="X901" s="1992">
        <f t="shared" si="48"/>
        <v>120</v>
      </c>
      <c r="Y901" s="101">
        <v>132</v>
      </c>
      <c r="Z901" s="1910"/>
      <c r="AA901" s="11"/>
    </row>
    <row r="902" spans="1:27" ht="13.5" x14ac:dyDescent="0.25">
      <c r="A902" s="523"/>
      <c r="H902" s="80"/>
      <c r="I902" s="1489"/>
      <c r="J902" s="1489"/>
      <c r="K902" s="1489"/>
      <c r="L902" s="1514"/>
      <c r="M902" s="80"/>
      <c r="N902" s="80"/>
      <c r="P902" s="2"/>
      <c r="T902" s="2"/>
      <c r="V902" s="1449"/>
      <c r="X902" s="185"/>
      <c r="Y902" s="101">
        <v>133</v>
      </c>
      <c r="Z902" s="1910"/>
      <c r="AA902" s="11"/>
    </row>
    <row r="903" spans="1:27" x14ac:dyDescent="0.2">
      <c r="A903" s="34"/>
      <c r="F903" s="1371"/>
      <c r="K903" s="80" t="s">
        <v>17175</v>
      </c>
      <c r="Y903" s="101">
        <v>135</v>
      </c>
      <c r="Z903" s="1910"/>
      <c r="AA903" s="11"/>
    </row>
    <row r="904" spans="1:27" ht="13.5" x14ac:dyDescent="0.25">
      <c r="A904" s="34"/>
      <c r="B904" s="173"/>
      <c r="F904" s="1371"/>
      <c r="G904" s="80" t="s">
        <v>15262</v>
      </c>
      <c r="H904" s="80"/>
      <c r="I904" s="80"/>
      <c r="J904" s="185"/>
      <c r="K904" s="80" t="s">
        <v>1212</v>
      </c>
      <c r="M904" s="45"/>
      <c r="N904" s="80"/>
      <c r="O904" s="80" t="s">
        <v>16977</v>
      </c>
      <c r="Q904" s="80" t="s">
        <v>15834</v>
      </c>
      <c r="R904" s="185"/>
      <c r="S904" s="80" t="s">
        <v>1212</v>
      </c>
      <c r="Y904" s="101">
        <v>136</v>
      </c>
      <c r="Z904" s="1910"/>
      <c r="AA904" s="11"/>
    </row>
    <row r="905" spans="1:27" ht="13.5" x14ac:dyDescent="0.25">
      <c r="A905" s="1935">
        <v>43911</v>
      </c>
      <c r="G905" s="1370" t="s">
        <v>1122</v>
      </c>
      <c r="H905" s="80">
        <v>60</v>
      </c>
      <c r="I905" s="1715" t="s">
        <v>5544</v>
      </c>
      <c r="J905" s="185">
        <v>431</v>
      </c>
      <c r="K905" s="1269" t="s">
        <v>8143</v>
      </c>
      <c r="L905" s="1519">
        <v>141</v>
      </c>
      <c r="M905" s="568" t="s">
        <v>15695</v>
      </c>
      <c r="N905" s="1449">
        <v>86</v>
      </c>
      <c r="O905" s="1103" t="s">
        <v>16411</v>
      </c>
      <c r="P905" s="1934">
        <v>51</v>
      </c>
      <c r="Q905" s="1370" t="s">
        <v>5483</v>
      </c>
      <c r="R905" s="185">
        <v>71</v>
      </c>
      <c r="S905" s="80" t="s">
        <v>17270</v>
      </c>
      <c r="T905" s="1449">
        <v>101</v>
      </c>
      <c r="U905" s="80" t="s">
        <v>15628</v>
      </c>
      <c r="V905" s="45">
        <v>336</v>
      </c>
      <c r="W905" s="11">
        <f t="shared" ref="W905:W915" si="49">A905</f>
        <v>43911</v>
      </c>
      <c r="Y905" s="101">
        <v>139</v>
      </c>
      <c r="Z905" s="1910"/>
      <c r="AA905" s="11"/>
    </row>
    <row r="906" spans="1:27" ht="13.5" x14ac:dyDescent="0.25">
      <c r="A906" s="34">
        <f t="shared" ref="A906:A923" si="50">A905+7</f>
        <v>43918</v>
      </c>
      <c r="H906" s="80">
        <f t="shared" ref="H906:H923" si="51">H905+1</f>
        <v>61</v>
      </c>
      <c r="J906" s="185">
        <f t="shared" ref="J906:J923" si="52">J905+1</f>
        <v>432</v>
      </c>
      <c r="L906" s="1519">
        <f t="shared" ref="L906:L923" si="53">L905+1</f>
        <v>142</v>
      </c>
      <c r="M906" s="1448"/>
      <c r="N906" s="1449">
        <f t="shared" ref="N906:N923" si="54">N905+1</f>
        <v>87</v>
      </c>
      <c r="P906" s="80">
        <f t="shared" ref="P906:P923" si="55">P905+1</f>
        <v>52</v>
      </c>
      <c r="Q906" s="1370"/>
      <c r="R906" s="185">
        <f t="shared" ref="R906:R923" si="56">R905+1</f>
        <v>72</v>
      </c>
      <c r="T906" s="1520">
        <f t="shared" ref="T906:T923" si="57">T905+1</f>
        <v>102</v>
      </c>
      <c r="V906" s="45">
        <f t="shared" ref="V906:V923" si="58">V905+1</f>
        <v>337</v>
      </c>
      <c r="W906" s="11">
        <f t="shared" si="49"/>
        <v>43918</v>
      </c>
      <c r="Y906" s="101">
        <v>141</v>
      </c>
      <c r="Z906" s="1910"/>
      <c r="AA906" s="11"/>
    </row>
    <row r="907" spans="1:27" ht="13.5" x14ac:dyDescent="0.25">
      <c r="A907" s="1759">
        <f t="shared" si="50"/>
        <v>43925</v>
      </c>
      <c r="H907" s="80">
        <f t="shared" si="51"/>
        <v>62</v>
      </c>
      <c r="J907" s="185">
        <f t="shared" si="52"/>
        <v>433</v>
      </c>
      <c r="L907" s="1519">
        <f t="shared" si="53"/>
        <v>143</v>
      </c>
      <c r="M907" s="1448"/>
      <c r="N907" s="1449">
        <f t="shared" si="54"/>
        <v>88</v>
      </c>
      <c r="P907" s="80">
        <f t="shared" si="55"/>
        <v>53</v>
      </c>
      <c r="Q907" s="1904"/>
      <c r="R907" s="185">
        <f t="shared" si="56"/>
        <v>73</v>
      </c>
      <c r="T907" s="1520">
        <f t="shared" si="57"/>
        <v>103</v>
      </c>
      <c r="V907" s="45">
        <f t="shared" si="58"/>
        <v>338</v>
      </c>
      <c r="W907" s="11">
        <f t="shared" si="49"/>
        <v>43925</v>
      </c>
      <c r="Y907" s="101">
        <v>142</v>
      </c>
      <c r="Z907" s="1910"/>
      <c r="AA907" s="11"/>
    </row>
    <row r="908" spans="1:27" ht="13.5" x14ac:dyDescent="0.25">
      <c r="A908" s="34">
        <f t="shared" si="50"/>
        <v>43932</v>
      </c>
      <c r="H908" s="80">
        <f t="shared" si="51"/>
        <v>63</v>
      </c>
      <c r="J908" s="185">
        <f t="shared" si="52"/>
        <v>434</v>
      </c>
      <c r="L908" s="1448">
        <f t="shared" si="53"/>
        <v>144</v>
      </c>
      <c r="M908" s="1448"/>
      <c r="N908" s="1449">
        <f t="shared" si="54"/>
        <v>89</v>
      </c>
      <c r="P908" s="80">
        <f t="shared" si="55"/>
        <v>54</v>
      </c>
      <c r="R908" s="185">
        <f t="shared" si="56"/>
        <v>74</v>
      </c>
      <c r="T908" s="1449">
        <f t="shared" si="57"/>
        <v>104</v>
      </c>
      <c r="V908" s="45">
        <f t="shared" si="58"/>
        <v>339</v>
      </c>
      <c r="W908" s="11">
        <f t="shared" si="49"/>
        <v>43932</v>
      </c>
      <c r="Y908" s="101">
        <v>143</v>
      </c>
      <c r="Z908" s="1485"/>
      <c r="AA908" s="11"/>
    </row>
    <row r="909" spans="1:27" ht="13.5" x14ac:dyDescent="0.25">
      <c r="A909" s="34">
        <f t="shared" si="50"/>
        <v>43939</v>
      </c>
      <c r="H909" s="80">
        <f t="shared" si="51"/>
        <v>64</v>
      </c>
      <c r="J909" s="185">
        <f t="shared" si="52"/>
        <v>435</v>
      </c>
      <c r="L909" s="1519">
        <f t="shared" si="53"/>
        <v>145</v>
      </c>
      <c r="M909" s="1448"/>
      <c r="N909" s="1449">
        <f t="shared" si="54"/>
        <v>90</v>
      </c>
      <c r="P909" s="1370">
        <f t="shared" si="55"/>
        <v>55</v>
      </c>
      <c r="R909" s="185">
        <f t="shared" si="56"/>
        <v>75</v>
      </c>
      <c r="T909" s="1449">
        <f t="shared" si="57"/>
        <v>105</v>
      </c>
      <c r="V909" s="45">
        <f t="shared" si="58"/>
        <v>340</v>
      </c>
      <c r="W909" s="11">
        <f t="shared" si="49"/>
        <v>43939</v>
      </c>
      <c r="Y909" s="101">
        <v>145</v>
      </c>
      <c r="Z909" s="1485"/>
      <c r="AA909" s="11"/>
    </row>
    <row r="910" spans="1:27" ht="13.5" x14ac:dyDescent="0.25">
      <c r="A910" s="34">
        <f t="shared" si="50"/>
        <v>43946</v>
      </c>
      <c r="H910" s="80">
        <f t="shared" si="51"/>
        <v>65</v>
      </c>
      <c r="I910" s="530"/>
      <c r="J910" s="1994">
        <f t="shared" si="52"/>
        <v>436</v>
      </c>
      <c r="L910" s="1519">
        <f t="shared" si="53"/>
        <v>146</v>
      </c>
      <c r="M910" s="1448"/>
      <c r="N910" s="1449">
        <f t="shared" si="54"/>
        <v>91</v>
      </c>
      <c r="P910" s="1370">
        <f t="shared" si="55"/>
        <v>56</v>
      </c>
      <c r="R910" s="185">
        <f t="shared" si="56"/>
        <v>76</v>
      </c>
      <c r="T910" s="1449">
        <f t="shared" si="57"/>
        <v>106</v>
      </c>
      <c r="V910" s="45">
        <f t="shared" si="58"/>
        <v>341</v>
      </c>
      <c r="W910" s="11">
        <f t="shared" si="49"/>
        <v>43946</v>
      </c>
      <c r="Y910" s="101">
        <v>146</v>
      </c>
      <c r="Z910" s="1485"/>
      <c r="AA910" s="11"/>
    </row>
    <row r="911" spans="1:27" ht="13.5" x14ac:dyDescent="0.25">
      <c r="A911" s="34">
        <f t="shared" si="50"/>
        <v>43953</v>
      </c>
      <c r="H911" s="80">
        <f t="shared" si="51"/>
        <v>66</v>
      </c>
      <c r="J911" s="185">
        <f t="shared" si="52"/>
        <v>437</v>
      </c>
      <c r="L911" s="1448">
        <f t="shared" si="53"/>
        <v>147</v>
      </c>
      <c r="M911" s="1448"/>
      <c r="N911" s="1449">
        <f t="shared" si="54"/>
        <v>92</v>
      </c>
      <c r="P911" s="1370">
        <f t="shared" si="55"/>
        <v>57</v>
      </c>
      <c r="R911" s="185">
        <f t="shared" si="56"/>
        <v>77</v>
      </c>
      <c r="T911" s="1449">
        <f t="shared" si="57"/>
        <v>107</v>
      </c>
      <c r="V911" s="45">
        <f t="shared" si="58"/>
        <v>342</v>
      </c>
      <c r="W911" s="11">
        <f t="shared" si="49"/>
        <v>43953</v>
      </c>
      <c r="Y911" s="101">
        <v>148</v>
      </c>
      <c r="Z911" s="1485"/>
      <c r="AA911" s="11"/>
    </row>
    <row r="912" spans="1:27" ht="13.5" x14ac:dyDescent="0.25">
      <c r="A912" s="34">
        <f t="shared" si="50"/>
        <v>43960</v>
      </c>
      <c r="H912" s="80">
        <f t="shared" si="51"/>
        <v>67</v>
      </c>
      <c r="J912" s="185">
        <f t="shared" si="52"/>
        <v>438</v>
      </c>
      <c r="L912" s="1519">
        <f t="shared" si="53"/>
        <v>148</v>
      </c>
      <c r="M912" s="1448"/>
      <c r="N912" s="1449">
        <f t="shared" si="54"/>
        <v>93</v>
      </c>
      <c r="P912" s="1370">
        <f t="shared" si="55"/>
        <v>58</v>
      </c>
      <c r="R912" s="185">
        <f t="shared" si="56"/>
        <v>78</v>
      </c>
      <c r="T912" s="1449">
        <f t="shared" si="57"/>
        <v>108</v>
      </c>
      <c r="V912" s="45">
        <f t="shared" si="58"/>
        <v>343</v>
      </c>
      <c r="W912" s="11">
        <f t="shared" si="49"/>
        <v>43960</v>
      </c>
      <c r="Y912" s="101">
        <v>150</v>
      </c>
      <c r="Z912" s="1485"/>
      <c r="AA912" s="11"/>
    </row>
    <row r="913" spans="1:27" ht="13.5" x14ac:dyDescent="0.25">
      <c r="A913" s="34">
        <f t="shared" si="50"/>
        <v>43967</v>
      </c>
      <c r="H913" s="80">
        <f t="shared" si="51"/>
        <v>68</v>
      </c>
      <c r="J913" s="185">
        <f t="shared" si="52"/>
        <v>439</v>
      </c>
      <c r="L913" s="1448">
        <f t="shared" si="53"/>
        <v>149</v>
      </c>
      <c r="M913" s="1448"/>
      <c r="N913" s="1449">
        <f t="shared" si="54"/>
        <v>94</v>
      </c>
      <c r="P913" s="1370">
        <f t="shared" si="55"/>
        <v>59</v>
      </c>
      <c r="R913" s="185">
        <f t="shared" si="56"/>
        <v>79</v>
      </c>
      <c r="T913" s="1449">
        <f t="shared" si="57"/>
        <v>109</v>
      </c>
      <c r="V913" s="45">
        <f t="shared" si="58"/>
        <v>344</v>
      </c>
      <c r="W913" s="11">
        <f t="shared" si="49"/>
        <v>43967</v>
      </c>
      <c r="Y913" s="101"/>
      <c r="Z913" s="1485"/>
      <c r="AA913" s="11"/>
    </row>
    <row r="914" spans="1:27" ht="13.5" x14ac:dyDescent="0.25">
      <c r="A914" s="34">
        <f t="shared" si="50"/>
        <v>43974</v>
      </c>
      <c r="H914" s="80">
        <f t="shared" si="51"/>
        <v>69</v>
      </c>
      <c r="J914" s="185">
        <f t="shared" si="52"/>
        <v>440</v>
      </c>
      <c r="L914" s="1519">
        <f t="shared" si="53"/>
        <v>150</v>
      </c>
      <c r="M914" s="1448"/>
      <c r="N914" s="1449">
        <f t="shared" si="54"/>
        <v>95</v>
      </c>
      <c r="P914" s="1370">
        <f t="shared" si="55"/>
        <v>60</v>
      </c>
      <c r="R914" s="185">
        <f t="shared" si="56"/>
        <v>80</v>
      </c>
      <c r="T914" s="1449">
        <f t="shared" si="57"/>
        <v>110</v>
      </c>
      <c r="V914" s="45">
        <f t="shared" si="58"/>
        <v>345</v>
      </c>
      <c r="W914" s="11">
        <f t="shared" si="49"/>
        <v>43974</v>
      </c>
      <c r="Y914" s="1635"/>
      <c r="Z914" s="1485"/>
      <c r="AA914" s="11"/>
    </row>
    <row r="915" spans="1:27" ht="13.5" x14ac:dyDescent="0.25">
      <c r="A915" s="332">
        <f t="shared" si="50"/>
        <v>43981</v>
      </c>
      <c r="H915" s="80">
        <f t="shared" si="51"/>
        <v>70</v>
      </c>
      <c r="J915" s="185">
        <f t="shared" si="52"/>
        <v>441</v>
      </c>
      <c r="L915" s="1448">
        <f t="shared" si="53"/>
        <v>151</v>
      </c>
      <c r="M915" s="1448"/>
      <c r="N915" s="1449">
        <f t="shared" si="54"/>
        <v>96</v>
      </c>
      <c r="P915" s="1370">
        <f t="shared" si="55"/>
        <v>61</v>
      </c>
      <c r="R915" s="185">
        <f t="shared" si="56"/>
        <v>81</v>
      </c>
      <c r="T915" s="1449">
        <f t="shared" si="57"/>
        <v>111</v>
      </c>
      <c r="V915" s="45">
        <f t="shared" si="58"/>
        <v>346</v>
      </c>
      <c r="W915" s="11">
        <f t="shared" si="49"/>
        <v>43981</v>
      </c>
      <c r="Y915" s="1524"/>
      <c r="Z915" s="1485"/>
      <c r="AA915" s="11"/>
    </row>
    <row r="916" spans="1:27" ht="13.5" x14ac:dyDescent="0.25">
      <c r="A916" s="523">
        <f t="shared" si="50"/>
        <v>43988</v>
      </c>
      <c r="H916" s="80">
        <f t="shared" si="51"/>
        <v>71</v>
      </c>
      <c r="J916" s="185">
        <f t="shared" si="52"/>
        <v>442</v>
      </c>
      <c r="L916" s="1448">
        <f t="shared" si="53"/>
        <v>152</v>
      </c>
      <c r="M916" s="1448"/>
      <c r="N916" s="1449">
        <f t="shared" si="54"/>
        <v>97</v>
      </c>
      <c r="P916" s="1370">
        <f t="shared" si="55"/>
        <v>62</v>
      </c>
      <c r="R916" s="185">
        <f t="shared" si="56"/>
        <v>82</v>
      </c>
      <c r="T916" s="1449">
        <f t="shared" si="57"/>
        <v>112</v>
      </c>
      <c r="V916" s="45">
        <f t="shared" si="58"/>
        <v>347</v>
      </c>
      <c r="W916" s="11">
        <f t="shared" ref="W916:W920" si="59">A916</f>
        <v>43988</v>
      </c>
      <c r="Y916" s="1635"/>
      <c r="Z916" s="1485"/>
    </row>
    <row r="917" spans="1:27" ht="13.5" x14ac:dyDescent="0.25">
      <c r="A917" s="523">
        <f t="shared" si="50"/>
        <v>43995</v>
      </c>
      <c r="H917" s="80">
        <f t="shared" si="51"/>
        <v>72</v>
      </c>
      <c r="J917" s="185">
        <f t="shared" si="52"/>
        <v>443</v>
      </c>
      <c r="L917" s="1448">
        <f t="shared" si="53"/>
        <v>153</v>
      </c>
      <c r="M917" s="1448"/>
      <c r="N917" s="1449">
        <f t="shared" si="54"/>
        <v>98</v>
      </c>
      <c r="P917" s="1370">
        <f t="shared" si="55"/>
        <v>63</v>
      </c>
      <c r="R917" s="185">
        <f t="shared" si="56"/>
        <v>83</v>
      </c>
      <c r="T917" s="1449">
        <f t="shared" si="57"/>
        <v>113</v>
      </c>
      <c r="V917" s="45">
        <f t="shared" si="58"/>
        <v>348</v>
      </c>
      <c r="W917" s="11">
        <f t="shared" si="59"/>
        <v>43995</v>
      </c>
      <c r="Y917" s="1635"/>
      <c r="Z917" s="1485"/>
    </row>
    <row r="918" spans="1:27" ht="13.5" x14ac:dyDescent="0.25">
      <c r="A918" s="523">
        <f t="shared" si="50"/>
        <v>44002</v>
      </c>
      <c r="H918" s="80">
        <f t="shared" si="51"/>
        <v>73</v>
      </c>
      <c r="J918" s="185">
        <f t="shared" si="52"/>
        <v>444</v>
      </c>
      <c r="L918" s="1448">
        <f t="shared" si="53"/>
        <v>154</v>
      </c>
      <c r="M918" s="1448"/>
      <c r="N918" s="1449">
        <f t="shared" si="54"/>
        <v>99</v>
      </c>
      <c r="P918" s="1370">
        <f t="shared" si="55"/>
        <v>64</v>
      </c>
      <c r="R918" s="185">
        <f t="shared" si="56"/>
        <v>84</v>
      </c>
      <c r="T918" s="1520">
        <f t="shared" si="57"/>
        <v>114</v>
      </c>
      <c r="V918" s="45">
        <f t="shared" si="58"/>
        <v>349</v>
      </c>
      <c r="W918" s="11">
        <f t="shared" si="59"/>
        <v>44002</v>
      </c>
      <c r="Y918" s="1635"/>
      <c r="Z918" s="1485"/>
    </row>
    <row r="919" spans="1:27" ht="13.5" customHeight="1" x14ac:dyDescent="0.25">
      <c r="A919" s="523">
        <f t="shared" si="50"/>
        <v>44009</v>
      </c>
      <c r="H919" s="80">
        <f t="shared" si="51"/>
        <v>74</v>
      </c>
      <c r="J919" s="185">
        <f t="shared" si="52"/>
        <v>445</v>
      </c>
      <c r="L919" s="1448">
        <f t="shared" si="53"/>
        <v>155</v>
      </c>
      <c r="M919" s="1448"/>
      <c r="N919" s="1449">
        <f t="shared" si="54"/>
        <v>100</v>
      </c>
      <c r="P919" s="1370">
        <f t="shared" si="55"/>
        <v>65</v>
      </c>
      <c r="R919" s="185">
        <f t="shared" si="56"/>
        <v>85</v>
      </c>
      <c r="T919" s="1520">
        <f t="shared" si="57"/>
        <v>115</v>
      </c>
      <c r="V919" s="45">
        <f t="shared" si="58"/>
        <v>350</v>
      </c>
      <c r="W919" s="11">
        <f t="shared" si="59"/>
        <v>44009</v>
      </c>
      <c r="Y919" s="1635"/>
      <c r="Z919" s="1485"/>
    </row>
    <row r="920" spans="1:27" ht="13.5" customHeight="1" x14ac:dyDescent="0.25">
      <c r="A920" s="332">
        <f t="shared" si="50"/>
        <v>44016</v>
      </c>
      <c r="H920" s="80">
        <f t="shared" si="51"/>
        <v>75</v>
      </c>
      <c r="J920" s="185">
        <f t="shared" si="52"/>
        <v>446</v>
      </c>
      <c r="L920" s="1448">
        <f t="shared" si="53"/>
        <v>156</v>
      </c>
      <c r="M920" s="1448"/>
      <c r="N920" s="1449">
        <f t="shared" si="54"/>
        <v>101</v>
      </c>
      <c r="P920" s="1370">
        <f t="shared" si="55"/>
        <v>66</v>
      </c>
      <c r="R920" s="185">
        <f t="shared" si="56"/>
        <v>86</v>
      </c>
      <c r="T920" s="1520">
        <f t="shared" si="57"/>
        <v>116</v>
      </c>
      <c r="V920" s="45">
        <f t="shared" si="58"/>
        <v>351</v>
      </c>
      <c r="W920" s="11">
        <f t="shared" si="59"/>
        <v>44016</v>
      </c>
      <c r="Y920" s="1635"/>
      <c r="Z920" s="1485"/>
    </row>
    <row r="921" spans="1:27" ht="13.5" customHeight="1" x14ac:dyDescent="0.25">
      <c r="A921" s="332">
        <f t="shared" si="50"/>
        <v>44023</v>
      </c>
      <c r="H921" s="80">
        <f t="shared" si="51"/>
        <v>76</v>
      </c>
      <c r="J921" s="185">
        <f t="shared" si="52"/>
        <v>447</v>
      </c>
      <c r="L921" s="1448">
        <f t="shared" si="53"/>
        <v>157</v>
      </c>
      <c r="M921" s="1448"/>
      <c r="N921" s="1449">
        <f t="shared" si="54"/>
        <v>102</v>
      </c>
      <c r="P921" s="1370">
        <f t="shared" si="55"/>
        <v>67</v>
      </c>
      <c r="R921" s="185">
        <f t="shared" si="56"/>
        <v>87</v>
      </c>
      <c r="T921" s="1520">
        <f t="shared" si="57"/>
        <v>117</v>
      </c>
      <c r="V921" s="45">
        <f t="shared" si="58"/>
        <v>352</v>
      </c>
      <c r="W921" s="11">
        <f t="shared" ref="W921" si="60">A921</f>
        <v>44023</v>
      </c>
      <c r="Y921" s="1635"/>
      <c r="Z921" s="1485"/>
    </row>
    <row r="922" spans="1:27" ht="13.5" customHeight="1" x14ac:dyDescent="0.25">
      <c r="A922" s="523">
        <f t="shared" si="50"/>
        <v>44030</v>
      </c>
      <c r="H922" s="80">
        <f t="shared" si="51"/>
        <v>77</v>
      </c>
      <c r="J922" s="185">
        <f t="shared" si="52"/>
        <v>448</v>
      </c>
      <c r="L922" s="1448">
        <f t="shared" si="53"/>
        <v>158</v>
      </c>
      <c r="M922" s="1448"/>
      <c r="N922" s="1449">
        <f t="shared" si="54"/>
        <v>103</v>
      </c>
      <c r="P922" s="1370">
        <f t="shared" si="55"/>
        <v>68</v>
      </c>
      <c r="R922" s="185">
        <f t="shared" si="56"/>
        <v>88</v>
      </c>
      <c r="T922" s="1449">
        <f t="shared" si="57"/>
        <v>118</v>
      </c>
      <c r="V922" s="45">
        <f t="shared" si="58"/>
        <v>353</v>
      </c>
      <c r="W922" s="11">
        <f t="shared" ref="W922:W923" si="61">A922</f>
        <v>44030</v>
      </c>
      <c r="Y922" s="1635"/>
      <c r="Z922" s="1485"/>
    </row>
    <row r="923" spans="1:27" ht="13.5" customHeight="1" x14ac:dyDescent="0.25">
      <c r="A923" s="523">
        <f t="shared" si="50"/>
        <v>44037</v>
      </c>
      <c r="H923" s="80">
        <f t="shared" si="51"/>
        <v>78</v>
      </c>
      <c r="J923" s="185">
        <f t="shared" si="52"/>
        <v>449</v>
      </c>
      <c r="L923" s="1448">
        <f t="shared" si="53"/>
        <v>159</v>
      </c>
      <c r="M923" s="1448"/>
      <c r="N923" s="1449">
        <f t="shared" si="54"/>
        <v>104</v>
      </c>
      <c r="P923" s="1370">
        <f t="shared" si="55"/>
        <v>69</v>
      </c>
      <c r="R923" s="185">
        <f t="shared" si="56"/>
        <v>89</v>
      </c>
      <c r="T923" s="1449">
        <f t="shared" si="57"/>
        <v>119</v>
      </c>
      <c r="V923" s="45">
        <f t="shared" si="58"/>
        <v>354</v>
      </c>
      <c r="W923" s="11">
        <f t="shared" si="61"/>
        <v>44037</v>
      </c>
      <c r="Y923" s="1635"/>
      <c r="Z923" s="1485"/>
    </row>
    <row r="924" spans="1:27" ht="13.5" customHeight="1" x14ac:dyDescent="0.25">
      <c r="A924" s="34"/>
      <c r="H924" s="80"/>
      <c r="J924" s="185"/>
      <c r="L924" s="187"/>
      <c r="M924" s="187"/>
      <c r="P924" s="1449"/>
      <c r="R924" s="185"/>
      <c r="V924" s="1293"/>
      <c r="W924" s="1294"/>
      <c r="Y924" s="1635"/>
      <c r="Z924" s="1485"/>
    </row>
    <row r="925" spans="1:27" ht="13.5" customHeight="1" x14ac:dyDescent="0.2">
      <c r="V925" s="45"/>
      <c r="Y925" s="1635"/>
      <c r="Z925" s="1485"/>
    </row>
    <row r="926" spans="1:27" ht="13.5" customHeight="1" x14ac:dyDescent="0.25">
      <c r="A926" s="80" t="s">
        <v>11713</v>
      </c>
      <c r="E926" t="s">
        <v>11720</v>
      </c>
      <c r="F926" s="185"/>
      <c r="K926" s="11">
        <v>43820</v>
      </c>
      <c r="M926" s="11">
        <v>43834</v>
      </c>
      <c r="O926" s="11"/>
      <c r="Q926" s="11"/>
      <c r="V926" s="45"/>
      <c r="Y926" s="1635"/>
      <c r="Z926" s="1485"/>
    </row>
    <row r="927" spans="1:27" ht="13.5" customHeight="1" x14ac:dyDescent="0.25">
      <c r="A927" s="80" t="s">
        <v>12510</v>
      </c>
      <c r="F927" s="185"/>
      <c r="K927" s="9"/>
      <c r="M927" s="9"/>
      <c r="O927" s="11"/>
      <c r="Q927" s="11"/>
      <c r="V927" s="45"/>
      <c r="Y927" s="1635"/>
      <c r="Z927" s="1485"/>
    </row>
    <row r="928" spans="1:27" ht="13.5" customHeight="1" x14ac:dyDescent="0.25">
      <c r="A928" s="80" t="s">
        <v>12218</v>
      </c>
      <c r="F928" s="185"/>
      <c r="G928" t="s">
        <v>13479</v>
      </c>
      <c r="K928" s="9">
        <v>38</v>
      </c>
      <c r="M928" s="99"/>
      <c r="N928" s="9"/>
      <c r="O928" s="9"/>
      <c r="P928" s="9"/>
      <c r="Q928" s="9"/>
      <c r="V928" s="45"/>
      <c r="Z928" s="1485"/>
    </row>
    <row r="929" spans="1:26" ht="13.5" customHeight="1" x14ac:dyDescent="0.25">
      <c r="A929" s="80" t="s">
        <v>11855</v>
      </c>
      <c r="F929" s="185"/>
      <c r="G929" s="80" t="s">
        <v>17335</v>
      </c>
      <c r="K929" s="9"/>
      <c r="M929" s="173" t="s">
        <v>1212</v>
      </c>
      <c r="O929" s="11"/>
      <c r="Q929" s="11"/>
      <c r="V929" s="45"/>
      <c r="Z929" s="1485"/>
    </row>
    <row r="930" spans="1:26" ht="13.5" customHeight="1" x14ac:dyDescent="0.25">
      <c r="A930" s="80" t="s">
        <v>11190</v>
      </c>
      <c r="C930">
        <v>8</v>
      </c>
      <c r="E930">
        <v>34</v>
      </c>
      <c r="F930" s="185"/>
      <c r="G930" s="80" t="s">
        <v>17334</v>
      </c>
      <c r="K930" s="9"/>
      <c r="M930" s="99"/>
      <c r="V930" s="45"/>
      <c r="Z930" s="1485"/>
    </row>
    <row r="931" spans="1:26" ht="13.5" customHeight="1" x14ac:dyDescent="0.25">
      <c r="A931" s="80" t="s">
        <v>10557</v>
      </c>
      <c r="C931">
        <v>22</v>
      </c>
      <c r="E931">
        <f t="shared" ref="E931:E952" si="62">C931+27</f>
        <v>49</v>
      </c>
      <c r="F931" s="185"/>
      <c r="G931" s="80" t="s">
        <v>15339</v>
      </c>
      <c r="K931" s="9"/>
      <c r="M931" s="9"/>
      <c r="V931" s="45"/>
      <c r="Y931" s="1636"/>
      <c r="Z931" s="1485"/>
    </row>
    <row r="932" spans="1:26" ht="13.5" customHeight="1" x14ac:dyDescent="0.25">
      <c r="A932" s="80" t="s">
        <v>10441</v>
      </c>
      <c r="C932">
        <v>23</v>
      </c>
      <c r="E932">
        <f t="shared" si="62"/>
        <v>50</v>
      </c>
      <c r="F932" s="185"/>
      <c r="G932" s="80" t="s">
        <v>15338</v>
      </c>
      <c r="K932" s="9">
        <v>64</v>
      </c>
      <c r="M932" s="9">
        <v>66</v>
      </c>
      <c r="Y932" s="1635"/>
      <c r="Z932" s="1911"/>
    </row>
    <row r="933" spans="1:26" ht="13.5" customHeight="1" x14ac:dyDescent="0.25">
      <c r="A933" s="80" t="s">
        <v>10276</v>
      </c>
      <c r="C933">
        <v>29</v>
      </c>
      <c r="E933">
        <f t="shared" si="62"/>
        <v>56</v>
      </c>
      <c r="F933" s="185"/>
      <c r="G933" s="80" t="s">
        <v>15331</v>
      </c>
      <c r="K933" s="9">
        <v>68</v>
      </c>
      <c r="M933" s="9"/>
      <c r="Y933" s="1524"/>
      <c r="Z933" s="1912"/>
    </row>
    <row r="934" spans="1:26" ht="13.5" customHeight="1" x14ac:dyDescent="0.25">
      <c r="A934" s="80" t="s">
        <v>9842</v>
      </c>
      <c r="F934" s="185"/>
      <c r="G934" s="80" t="s">
        <v>15340</v>
      </c>
      <c r="K934" s="9"/>
      <c r="M934" s="9"/>
      <c r="Y934" s="1635"/>
      <c r="Z934" s="1911"/>
    </row>
    <row r="935" spans="1:26" ht="13.5" customHeight="1" x14ac:dyDescent="0.25">
      <c r="A935" t="s">
        <v>9738</v>
      </c>
      <c r="C935">
        <v>38</v>
      </c>
      <c r="E935">
        <f t="shared" si="62"/>
        <v>65</v>
      </c>
      <c r="F935" s="185"/>
      <c r="G935" s="80" t="s">
        <v>15330</v>
      </c>
      <c r="K935" s="9"/>
      <c r="M935" s="9"/>
      <c r="Y935" s="1636"/>
    </row>
    <row r="936" spans="1:26" ht="13.5" customHeight="1" x14ac:dyDescent="0.25">
      <c r="A936" s="80" t="s">
        <v>11325</v>
      </c>
      <c r="C936">
        <v>41</v>
      </c>
      <c r="E936">
        <f t="shared" si="62"/>
        <v>68</v>
      </c>
      <c r="F936" s="185"/>
      <c r="G936" s="80" t="s">
        <v>15332</v>
      </c>
      <c r="K936" s="9"/>
      <c r="M936" s="9"/>
      <c r="O936" s="2"/>
      <c r="Y936" s="1635"/>
    </row>
    <row r="937" spans="1:26" ht="13.5" customHeight="1" x14ac:dyDescent="0.25">
      <c r="A937" t="s">
        <v>11672</v>
      </c>
      <c r="C937">
        <v>44</v>
      </c>
      <c r="E937">
        <f t="shared" si="62"/>
        <v>71</v>
      </c>
      <c r="F937" s="185"/>
      <c r="G937" s="80" t="s">
        <v>15333</v>
      </c>
      <c r="K937" s="9"/>
      <c r="M937" s="99"/>
    </row>
    <row r="938" spans="1:26" ht="13.5" customHeight="1" x14ac:dyDescent="0.25">
      <c r="A938" t="s">
        <v>9719</v>
      </c>
      <c r="C938">
        <v>46</v>
      </c>
      <c r="E938">
        <f t="shared" si="62"/>
        <v>73</v>
      </c>
      <c r="F938" s="185"/>
      <c r="K938" s="9"/>
      <c r="M938" s="9"/>
      <c r="Z938" s="1911"/>
    </row>
    <row r="939" spans="1:26" ht="13.5" x14ac:dyDescent="0.25">
      <c r="A939" t="s">
        <v>8248</v>
      </c>
      <c r="F939" s="185"/>
      <c r="G939" s="80" t="s">
        <v>12957</v>
      </c>
      <c r="K939" s="9"/>
      <c r="M939" s="99"/>
      <c r="Z939" s="1911"/>
    </row>
    <row r="940" spans="1:26" ht="13.5" x14ac:dyDescent="0.25">
      <c r="A940" t="s">
        <v>9655</v>
      </c>
      <c r="C940">
        <v>49</v>
      </c>
      <c r="E940">
        <f t="shared" si="62"/>
        <v>76</v>
      </c>
      <c r="F940" s="185"/>
      <c r="G940" s="80" t="s">
        <v>13478</v>
      </c>
      <c r="K940" s="9"/>
      <c r="M940" s="9"/>
      <c r="Z940" s="1912"/>
    </row>
    <row r="941" spans="1:26" ht="13.5" x14ac:dyDescent="0.25">
      <c r="A941" t="s">
        <v>11671</v>
      </c>
      <c r="C941">
        <v>53</v>
      </c>
      <c r="E941">
        <f t="shared" si="62"/>
        <v>80</v>
      </c>
      <c r="F941" s="185"/>
      <c r="G941" s="80" t="s">
        <v>13248</v>
      </c>
      <c r="K941" s="9"/>
      <c r="M941" s="173"/>
      <c r="Z941" s="1911"/>
    </row>
    <row r="942" spans="1:26" ht="13.5" x14ac:dyDescent="0.25">
      <c r="A942" t="s">
        <v>8897</v>
      </c>
      <c r="C942">
        <v>59</v>
      </c>
      <c r="E942">
        <f t="shared" si="62"/>
        <v>86</v>
      </c>
      <c r="F942" s="185"/>
      <c r="G942" s="80" t="s">
        <v>13065</v>
      </c>
      <c r="K942" s="9"/>
      <c r="M942" s="9"/>
      <c r="Z942" s="1911"/>
    </row>
    <row r="943" spans="1:26" ht="13.5" x14ac:dyDescent="0.25">
      <c r="A943" s="80" t="s">
        <v>8511</v>
      </c>
      <c r="C943">
        <v>68</v>
      </c>
      <c r="E943">
        <f t="shared" si="62"/>
        <v>95</v>
      </c>
      <c r="F943" s="185"/>
      <c r="G943" s="80" t="s">
        <v>13014</v>
      </c>
      <c r="K943" s="9"/>
      <c r="M943" s="9"/>
      <c r="Z943" s="1911"/>
    </row>
    <row r="944" spans="1:26" ht="13.5" x14ac:dyDescent="0.25">
      <c r="A944" s="80" t="s">
        <v>9695</v>
      </c>
      <c r="F944" s="185"/>
      <c r="G944" s="80" t="s">
        <v>13247</v>
      </c>
      <c r="K944" s="9"/>
      <c r="M944" s="9"/>
    </row>
    <row r="945" spans="1:17" ht="13.5" x14ac:dyDescent="0.25">
      <c r="A945" s="80" t="s">
        <v>8055</v>
      </c>
      <c r="C945">
        <v>82</v>
      </c>
      <c r="E945">
        <f t="shared" si="62"/>
        <v>109</v>
      </c>
      <c r="F945" s="185"/>
      <c r="G945" s="80" t="s">
        <v>12704</v>
      </c>
      <c r="K945" s="1473"/>
      <c r="M945" s="9"/>
      <c r="O945" s="2"/>
    </row>
    <row r="946" spans="1:17" ht="13.5" x14ac:dyDescent="0.25">
      <c r="A946" s="80" t="s">
        <v>8111</v>
      </c>
      <c r="C946">
        <v>84</v>
      </c>
      <c r="E946">
        <f t="shared" si="62"/>
        <v>111</v>
      </c>
      <c r="F946" s="185"/>
      <c r="G946" s="80" t="s">
        <v>12843</v>
      </c>
      <c r="K946" s="1473"/>
      <c r="M946" s="9"/>
      <c r="O946" s="2"/>
    </row>
    <row r="947" spans="1:17" ht="13.5" x14ac:dyDescent="0.25">
      <c r="A947" s="80" t="s">
        <v>8373</v>
      </c>
      <c r="F947" s="185"/>
      <c r="G947" s="80" t="s">
        <v>12895</v>
      </c>
      <c r="K947" s="1473"/>
      <c r="M947" s="9"/>
      <c r="O947" s="2"/>
    </row>
    <row r="948" spans="1:17" ht="13.5" x14ac:dyDescent="0.25">
      <c r="A948" s="532" t="s">
        <v>11714</v>
      </c>
      <c r="C948">
        <v>85</v>
      </c>
      <c r="E948">
        <f t="shared" si="62"/>
        <v>112</v>
      </c>
      <c r="F948" s="185"/>
      <c r="G948" s="1370" t="s">
        <v>12955</v>
      </c>
      <c r="H948" s="1371"/>
      <c r="I948" s="1371"/>
      <c r="K948" s="9"/>
      <c r="M948" s="1473"/>
      <c r="O948" s="2"/>
    </row>
    <row r="949" spans="1:17" ht="13.5" x14ac:dyDescent="0.25">
      <c r="A949" s="80" t="s">
        <v>8015</v>
      </c>
      <c r="C949">
        <v>85</v>
      </c>
      <c r="E949">
        <f t="shared" si="62"/>
        <v>112</v>
      </c>
      <c r="F949" s="185"/>
      <c r="G949" s="1370" t="s">
        <v>13064</v>
      </c>
      <c r="K949" s="9"/>
      <c r="M949" s="9"/>
      <c r="O949" s="2"/>
    </row>
    <row r="950" spans="1:17" ht="13.5" x14ac:dyDescent="0.25">
      <c r="A950" s="80" t="s">
        <v>6393</v>
      </c>
      <c r="F950" s="185"/>
      <c r="G950" s="80" t="s">
        <v>13053</v>
      </c>
      <c r="K950" s="9"/>
      <c r="M950" s="9"/>
      <c r="O950" s="2"/>
      <c r="Q950" s="2"/>
    </row>
    <row r="951" spans="1:17" ht="13.5" x14ac:dyDescent="0.25">
      <c r="A951" s="80" t="s">
        <v>11718</v>
      </c>
      <c r="C951">
        <v>107</v>
      </c>
      <c r="E951">
        <f t="shared" si="62"/>
        <v>134</v>
      </c>
      <c r="F951" s="185"/>
      <c r="G951" t="s">
        <v>12710</v>
      </c>
      <c r="K951" s="9"/>
      <c r="M951" s="9"/>
    </row>
    <row r="952" spans="1:17" ht="13.5" x14ac:dyDescent="0.25">
      <c r="A952" s="80" t="s">
        <v>6102</v>
      </c>
      <c r="C952">
        <v>112</v>
      </c>
      <c r="E952">
        <f t="shared" si="62"/>
        <v>139</v>
      </c>
      <c r="F952" s="185"/>
      <c r="G952" s="80" t="s">
        <v>11852</v>
      </c>
      <c r="K952" s="9"/>
      <c r="M952" s="9"/>
    </row>
    <row r="953" spans="1:17" x14ac:dyDescent="0.2">
      <c r="A953" s="80" t="s">
        <v>11859</v>
      </c>
      <c r="E953">
        <v>152</v>
      </c>
      <c r="G953" s="80" t="s">
        <v>11860</v>
      </c>
      <c r="K953" s="9"/>
      <c r="M953" s="9"/>
    </row>
    <row r="954" spans="1:17" x14ac:dyDescent="0.2">
      <c r="A954" s="80" t="s">
        <v>11717</v>
      </c>
      <c r="C954">
        <v>116</v>
      </c>
      <c r="E954">
        <f t="shared" ref="E954:E980" si="63">C954+27</f>
        <v>143</v>
      </c>
      <c r="K954" s="9"/>
      <c r="M954" s="9"/>
    </row>
    <row r="955" spans="1:17" x14ac:dyDescent="0.2">
      <c r="A955" s="80" t="s">
        <v>74</v>
      </c>
      <c r="C955">
        <v>124</v>
      </c>
      <c r="E955">
        <f t="shared" si="63"/>
        <v>151</v>
      </c>
      <c r="K955" s="9"/>
      <c r="M955" s="9"/>
    </row>
    <row r="956" spans="1:17" x14ac:dyDescent="0.2">
      <c r="A956" s="80" t="s">
        <v>5347</v>
      </c>
      <c r="C956">
        <v>137</v>
      </c>
      <c r="E956">
        <f t="shared" si="63"/>
        <v>164</v>
      </c>
      <c r="G956" t="s">
        <v>11861</v>
      </c>
      <c r="K956" s="9"/>
      <c r="M956" s="9"/>
    </row>
    <row r="957" spans="1:17" x14ac:dyDescent="0.2">
      <c r="A957" s="80" t="s">
        <v>927</v>
      </c>
      <c r="C957">
        <v>147</v>
      </c>
      <c r="E957">
        <f t="shared" si="63"/>
        <v>174</v>
      </c>
      <c r="K957" s="9"/>
      <c r="M957" s="9"/>
    </row>
    <row r="958" spans="1:17" x14ac:dyDescent="0.2">
      <c r="A958" s="80" t="s">
        <v>1849</v>
      </c>
      <c r="C958">
        <v>155</v>
      </c>
      <c r="E958">
        <f t="shared" si="63"/>
        <v>182</v>
      </c>
      <c r="G958" t="s">
        <v>11982</v>
      </c>
      <c r="K958" s="9"/>
      <c r="M958" s="9"/>
    </row>
    <row r="959" spans="1:17" x14ac:dyDescent="0.2">
      <c r="A959" s="80" t="s">
        <v>1719</v>
      </c>
      <c r="C959">
        <v>195</v>
      </c>
      <c r="E959">
        <f t="shared" si="63"/>
        <v>222</v>
      </c>
      <c r="G959" s="532" t="s">
        <v>11916</v>
      </c>
      <c r="H959" s="531"/>
      <c r="I959" s="531"/>
      <c r="K959" s="9"/>
      <c r="M959" s="9"/>
    </row>
    <row r="960" spans="1:17" x14ac:dyDescent="0.2">
      <c r="A960" s="80" t="s">
        <v>2431</v>
      </c>
      <c r="C960">
        <v>232</v>
      </c>
      <c r="E960">
        <f t="shared" si="63"/>
        <v>259</v>
      </c>
      <c r="K960" s="9"/>
      <c r="M960" s="9"/>
    </row>
    <row r="961" spans="1:13" x14ac:dyDescent="0.2">
      <c r="A961" s="568" t="s">
        <v>5337</v>
      </c>
      <c r="C961">
        <v>232</v>
      </c>
      <c r="E961">
        <f t="shared" si="63"/>
        <v>259</v>
      </c>
      <c r="G961" s="80" t="s">
        <v>13249</v>
      </c>
      <c r="K961" s="9"/>
      <c r="M961" s="9"/>
    </row>
    <row r="962" spans="1:13" x14ac:dyDescent="0.2">
      <c r="A962" s="80" t="s">
        <v>5453</v>
      </c>
      <c r="C962">
        <v>277</v>
      </c>
      <c r="E962">
        <f t="shared" si="63"/>
        <v>304</v>
      </c>
      <c r="K962" s="9"/>
      <c r="M962" s="9"/>
    </row>
    <row r="963" spans="1:13" x14ac:dyDescent="0.2">
      <c r="A963" s="80" t="s">
        <v>1554</v>
      </c>
      <c r="E963">
        <v>298</v>
      </c>
      <c r="G963" s="80" t="s">
        <v>12440</v>
      </c>
      <c r="K963" s="9"/>
      <c r="M963" s="9"/>
    </row>
    <row r="964" spans="1:13" x14ac:dyDescent="0.2">
      <c r="A964" s="80" t="s">
        <v>11152</v>
      </c>
      <c r="C964">
        <v>279</v>
      </c>
      <c r="E964">
        <f t="shared" si="63"/>
        <v>306</v>
      </c>
      <c r="G964" s="80" t="s">
        <v>12956</v>
      </c>
      <c r="K964" s="9"/>
      <c r="M964" s="9"/>
    </row>
    <row r="965" spans="1:13" x14ac:dyDescent="0.2">
      <c r="A965" s="80" t="s">
        <v>5947</v>
      </c>
      <c r="C965">
        <v>340</v>
      </c>
      <c r="E965">
        <f t="shared" si="63"/>
        <v>367</v>
      </c>
      <c r="G965" t="s">
        <v>11757</v>
      </c>
      <c r="K965" s="9"/>
      <c r="M965" s="9"/>
    </row>
    <row r="966" spans="1:13" x14ac:dyDescent="0.2">
      <c r="A966" s="80" t="s">
        <v>3072</v>
      </c>
      <c r="G966" s="80" t="s">
        <v>13452</v>
      </c>
      <c r="K966" s="9"/>
      <c r="M966" s="9"/>
    </row>
    <row r="967" spans="1:13" x14ac:dyDescent="0.2">
      <c r="A967" s="80" t="s">
        <v>8245</v>
      </c>
      <c r="C967">
        <v>356</v>
      </c>
      <c r="E967">
        <f t="shared" si="63"/>
        <v>383</v>
      </c>
      <c r="K967" s="9"/>
      <c r="M967" s="9"/>
    </row>
    <row r="968" spans="1:13" x14ac:dyDescent="0.2">
      <c r="A968" s="80" t="s">
        <v>5544</v>
      </c>
      <c r="C968">
        <v>371</v>
      </c>
      <c r="E968">
        <f t="shared" si="63"/>
        <v>398</v>
      </c>
      <c r="K968" s="9"/>
      <c r="M968" s="9"/>
    </row>
    <row r="969" spans="1:13" x14ac:dyDescent="0.2">
      <c r="A969" s="80" t="s">
        <v>5048</v>
      </c>
      <c r="C969">
        <v>396</v>
      </c>
      <c r="E969">
        <f t="shared" si="63"/>
        <v>423</v>
      </c>
      <c r="G969" s="532" t="s">
        <v>12507</v>
      </c>
      <c r="H969" s="531"/>
      <c r="K969" s="9"/>
      <c r="M969" s="9"/>
    </row>
    <row r="970" spans="1:13" x14ac:dyDescent="0.2">
      <c r="A970" s="80" t="s">
        <v>6020</v>
      </c>
      <c r="C970">
        <v>404</v>
      </c>
      <c r="E970">
        <f t="shared" si="63"/>
        <v>431</v>
      </c>
      <c r="K970" s="9"/>
      <c r="M970" s="9"/>
    </row>
    <row r="971" spans="1:13" x14ac:dyDescent="0.2">
      <c r="A971" s="80" t="s">
        <v>2147</v>
      </c>
      <c r="C971">
        <v>467</v>
      </c>
      <c r="E971">
        <f t="shared" si="63"/>
        <v>494</v>
      </c>
      <c r="G971" s="80" t="s">
        <v>13118</v>
      </c>
      <c r="K971" s="9"/>
      <c r="M971" s="9"/>
    </row>
    <row r="972" spans="1:13" x14ac:dyDescent="0.2">
      <c r="A972" s="80" t="s">
        <v>5883</v>
      </c>
      <c r="C972">
        <v>495</v>
      </c>
      <c r="E972">
        <f t="shared" si="63"/>
        <v>522</v>
      </c>
      <c r="K972" s="9"/>
      <c r="M972" s="9"/>
    </row>
    <row r="973" spans="1:13" x14ac:dyDescent="0.2">
      <c r="A973" s="80" t="s">
        <v>5095</v>
      </c>
      <c r="C973">
        <v>505</v>
      </c>
      <c r="E973">
        <f t="shared" si="63"/>
        <v>532</v>
      </c>
      <c r="K973" s="9"/>
      <c r="M973" s="9"/>
    </row>
    <row r="974" spans="1:13" x14ac:dyDescent="0.2">
      <c r="A974" s="80" t="s">
        <v>1822</v>
      </c>
      <c r="G974" t="s">
        <v>12959</v>
      </c>
      <c r="K974" s="9"/>
      <c r="M974" s="9"/>
    </row>
    <row r="975" spans="1:13" x14ac:dyDescent="0.2">
      <c r="A975" s="80" t="s">
        <v>5186</v>
      </c>
      <c r="C975">
        <v>583</v>
      </c>
      <c r="E975">
        <f t="shared" si="63"/>
        <v>610</v>
      </c>
      <c r="K975" s="9"/>
      <c r="M975" s="9"/>
    </row>
    <row r="976" spans="1:13" x14ac:dyDescent="0.2">
      <c r="A976" s="80" t="s">
        <v>1122</v>
      </c>
      <c r="C976">
        <v>599</v>
      </c>
      <c r="E976">
        <f t="shared" si="63"/>
        <v>626</v>
      </c>
      <c r="G976" s="531" t="s">
        <v>11812</v>
      </c>
      <c r="H976" s="531"/>
      <c r="K976" s="9"/>
      <c r="M976" s="9"/>
    </row>
    <row r="977" spans="1:24" x14ac:dyDescent="0.2">
      <c r="A977" s="80" t="s">
        <v>11145</v>
      </c>
      <c r="C977">
        <v>600</v>
      </c>
      <c r="E977">
        <f t="shared" si="63"/>
        <v>627</v>
      </c>
      <c r="K977" s="9"/>
      <c r="M977" s="9"/>
    </row>
    <row r="978" spans="1:24" x14ac:dyDescent="0.2">
      <c r="A978" s="80" t="s">
        <v>5483</v>
      </c>
      <c r="C978">
        <v>610</v>
      </c>
      <c r="E978">
        <f t="shared" si="63"/>
        <v>637</v>
      </c>
      <c r="K978" s="9"/>
      <c r="M978" s="9"/>
    </row>
    <row r="979" spans="1:24" x14ac:dyDescent="0.2">
      <c r="A979" s="80" t="s">
        <v>5484</v>
      </c>
      <c r="C979">
        <v>638</v>
      </c>
      <c r="E979">
        <f t="shared" si="63"/>
        <v>665</v>
      </c>
      <c r="G979" t="s">
        <v>12960</v>
      </c>
      <c r="K979" s="9"/>
      <c r="M979" s="9"/>
    </row>
    <row r="980" spans="1:24" x14ac:dyDescent="0.2">
      <c r="A980" s="80" t="s">
        <v>3647</v>
      </c>
      <c r="C980">
        <v>773</v>
      </c>
      <c r="E980">
        <f t="shared" si="63"/>
        <v>800</v>
      </c>
      <c r="K980" s="9"/>
      <c r="M980" s="9"/>
    </row>
    <row r="981" spans="1:24" x14ac:dyDescent="0.2">
      <c r="A981" s="80" t="s">
        <v>7861</v>
      </c>
      <c r="G981" t="s">
        <v>12215</v>
      </c>
      <c r="K981" s="9"/>
      <c r="M981" s="9"/>
    </row>
    <row r="982" spans="1:24" x14ac:dyDescent="0.2">
      <c r="A982" s="568" t="s">
        <v>8143</v>
      </c>
      <c r="G982" t="s">
        <v>13250</v>
      </c>
      <c r="K982" s="9"/>
      <c r="M982" s="9"/>
    </row>
    <row r="983" spans="1:24" x14ac:dyDescent="0.2">
      <c r="A983" s="568" t="s">
        <v>8514</v>
      </c>
      <c r="G983" s="80" t="s">
        <v>13246</v>
      </c>
      <c r="K983" s="173"/>
      <c r="M983" s="9"/>
    </row>
    <row r="984" spans="1:24" x14ac:dyDescent="0.2">
      <c r="A984" s="80" t="s">
        <v>11907</v>
      </c>
      <c r="G984" s="80" t="s">
        <v>12509</v>
      </c>
      <c r="K984" s="9"/>
      <c r="M984" s="9"/>
    </row>
    <row r="985" spans="1:24" x14ac:dyDescent="0.2">
      <c r="A985" s="80" t="s">
        <v>9136</v>
      </c>
      <c r="G985" s="80" t="s">
        <v>12903</v>
      </c>
      <c r="K985" s="9"/>
      <c r="M985" s="9"/>
    </row>
    <row r="986" spans="1:24" x14ac:dyDescent="0.2">
      <c r="A986" s="1371"/>
      <c r="B986" s="1398"/>
      <c r="C986" s="1371"/>
      <c r="D986" s="1371"/>
      <c r="E986" s="1371"/>
      <c r="F986" s="1371"/>
      <c r="G986" s="1371"/>
      <c r="H986" s="1371"/>
      <c r="I986" s="1371"/>
      <c r="J986" s="1371"/>
      <c r="K986" s="1371"/>
      <c r="L986" s="1371"/>
      <c r="M986" s="1371"/>
      <c r="N986" s="1371"/>
      <c r="O986" s="1370"/>
      <c r="P986" s="1371"/>
      <c r="Q986" s="1371"/>
      <c r="R986" s="1371"/>
      <c r="S986" s="1371"/>
      <c r="T986" s="1371"/>
      <c r="U986" s="1371"/>
      <c r="V986" s="1371"/>
      <c r="W986" s="1371"/>
    </row>
    <row r="987" spans="1:24" x14ac:dyDescent="0.2">
      <c r="A987" s="1371"/>
      <c r="B987" s="1398"/>
      <c r="C987" s="1371"/>
      <c r="D987" s="1371"/>
      <c r="E987" s="1370"/>
      <c r="F987" s="1371"/>
      <c r="G987" s="1371"/>
      <c r="H987" s="1371"/>
      <c r="I987" s="1371"/>
      <c r="J987" s="1371"/>
      <c r="K987" s="1371"/>
      <c r="L987" s="1371"/>
      <c r="M987" s="1371"/>
      <c r="N987" s="1371"/>
      <c r="O987" s="1370"/>
      <c r="P987" s="1371"/>
      <c r="Q987" s="1371"/>
      <c r="R987" s="1371"/>
      <c r="S987" s="1371"/>
      <c r="T987" s="1371"/>
      <c r="U987" s="1371"/>
      <c r="V987" s="1371"/>
      <c r="W987" s="1371"/>
    </row>
    <row r="988" spans="1:24" ht="13.5" x14ac:dyDescent="0.25">
      <c r="A988" s="1379"/>
      <c r="B988" s="1453"/>
      <c r="C988" s="1371"/>
      <c r="D988" s="1371"/>
      <c r="E988" s="1371"/>
      <c r="F988" s="1418"/>
      <c r="G988" s="1370"/>
      <c r="H988" s="1371"/>
      <c r="I988" s="1371"/>
      <c r="J988" s="1371"/>
      <c r="K988" s="1370"/>
      <c r="L988" s="1371"/>
      <c r="M988" s="1370"/>
      <c r="N988" s="1371"/>
      <c r="O988" s="1370"/>
      <c r="P988" s="1371"/>
      <c r="Q988" s="1371"/>
      <c r="R988" s="1371"/>
      <c r="S988" s="1370"/>
      <c r="T988" s="1371"/>
      <c r="U988" s="1371"/>
      <c r="V988" s="1371"/>
      <c r="W988" s="1371"/>
    </row>
    <row r="989" spans="1:24" ht="13.5" x14ac:dyDescent="0.25">
      <c r="A989" s="1379"/>
      <c r="B989" s="1398"/>
      <c r="C989" s="1371"/>
      <c r="D989" s="1371"/>
      <c r="E989" s="1371"/>
      <c r="F989" s="1418"/>
      <c r="G989" s="1371"/>
      <c r="H989" s="1390"/>
      <c r="I989" s="1371"/>
      <c r="J989" s="1390"/>
      <c r="K989" s="1371"/>
      <c r="L989" s="1390"/>
      <c r="M989" s="1371"/>
      <c r="N989" s="1371"/>
      <c r="O989" s="1371"/>
      <c r="P989" s="1371"/>
      <c r="Q989" s="1371"/>
      <c r="R989" s="1371"/>
      <c r="S989" s="1371"/>
      <c r="T989" s="1390"/>
      <c r="U989" s="1371"/>
      <c r="V989" s="1371"/>
      <c r="W989" s="1371"/>
    </row>
    <row r="990" spans="1:24" ht="13.5" x14ac:dyDescent="0.25">
      <c r="A990" s="1379"/>
      <c r="B990" s="1398"/>
      <c r="C990" s="1371"/>
      <c r="D990" s="1371"/>
      <c r="E990" s="1371"/>
      <c r="F990" s="1418"/>
      <c r="G990" s="1371"/>
      <c r="H990" s="1371"/>
      <c r="I990" s="1371"/>
      <c r="J990" s="1371"/>
      <c r="K990" s="1371"/>
      <c r="L990" s="1371"/>
      <c r="M990" s="1371"/>
      <c r="N990" s="1371"/>
      <c r="O990" s="1371"/>
      <c r="P990" s="1371"/>
      <c r="Q990" s="1371"/>
      <c r="R990" s="1371"/>
      <c r="S990" s="1371"/>
      <c r="T990" s="1371"/>
      <c r="U990" s="1371"/>
      <c r="V990" s="1371"/>
      <c r="W990" s="1371"/>
    </row>
    <row r="991" spans="1:24" x14ac:dyDescent="0.2">
      <c r="A991" s="1379"/>
      <c r="B991" s="1453"/>
      <c r="C991" s="1371"/>
      <c r="D991" s="1371"/>
      <c r="E991" s="1371"/>
      <c r="F991" s="1371"/>
      <c r="G991" s="1371"/>
      <c r="H991" s="1371"/>
      <c r="I991" s="1371"/>
      <c r="J991" s="1371"/>
      <c r="K991" s="1371"/>
      <c r="L991" s="1390"/>
      <c r="M991" s="1371"/>
      <c r="N991" s="1371"/>
      <c r="O991" s="1371"/>
      <c r="P991" s="1371"/>
      <c r="Q991" s="1371"/>
      <c r="R991" s="1371"/>
      <c r="S991" s="1371"/>
      <c r="T991" s="1371"/>
      <c r="U991" s="1371"/>
      <c r="V991" s="1371"/>
      <c r="W991" s="1371"/>
      <c r="X991" s="1371"/>
    </row>
    <row r="992" spans="1:24" x14ac:dyDescent="0.2">
      <c r="A992" s="1379"/>
      <c r="B992" s="1398"/>
      <c r="C992" s="1371"/>
      <c r="D992" s="1371"/>
      <c r="E992" s="1371"/>
      <c r="F992" s="1371"/>
      <c r="G992" s="1371"/>
      <c r="H992" s="1371"/>
      <c r="I992" s="1371"/>
      <c r="J992" s="1371"/>
      <c r="K992" s="1371"/>
      <c r="L992" s="1371"/>
      <c r="M992" s="1371"/>
      <c r="N992" s="1371"/>
      <c r="O992" s="1371"/>
      <c r="P992" s="1371"/>
      <c r="Q992" s="1371"/>
      <c r="R992" s="1371"/>
      <c r="S992" s="1371"/>
      <c r="T992" s="1371"/>
      <c r="U992" s="1371"/>
      <c r="V992" s="1390"/>
      <c r="W992" s="1371"/>
      <c r="X992" s="1371"/>
    </row>
    <row r="993" spans="1:24" ht="13.5" x14ac:dyDescent="0.25">
      <c r="A993" s="1379"/>
      <c r="B993" s="1398"/>
      <c r="C993" s="1371"/>
      <c r="D993" s="1371"/>
      <c r="E993" s="1371"/>
      <c r="F993" s="1371"/>
      <c r="G993" s="1371"/>
      <c r="H993" s="1371"/>
      <c r="I993" s="1371"/>
      <c r="J993" s="1371"/>
      <c r="K993" s="1371"/>
      <c r="L993" s="1371"/>
      <c r="M993" s="1371"/>
      <c r="N993" s="1390"/>
      <c r="O993" s="1371"/>
      <c r="P993" s="1371"/>
      <c r="Q993" s="1371"/>
      <c r="R993" s="1371"/>
      <c r="S993" s="1371"/>
      <c r="T993" s="1371"/>
      <c r="U993" s="1371"/>
      <c r="V993" s="1371"/>
      <c r="W993" s="1371"/>
      <c r="X993" s="1525"/>
    </row>
    <row r="994" spans="1:24" ht="13.5" x14ac:dyDescent="0.25">
      <c r="A994" s="1379"/>
      <c r="B994" s="1398"/>
      <c r="C994" s="1371"/>
      <c r="D994" s="1371"/>
      <c r="E994" s="1371"/>
      <c r="F994" s="1371"/>
      <c r="G994" s="1371"/>
      <c r="H994" s="1390"/>
      <c r="I994" s="1371"/>
      <c r="J994" s="1371"/>
      <c r="K994" s="1371"/>
      <c r="L994" s="1371"/>
      <c r="M994" s="1371"/>
      <c r="N994" s="1371"/>
      <c r="O994" s="1371"/>
      <c r="P994" s="1390"/>
      <c r="Q994" s="1371"/>
      <c r="R994" s="1371"/>
      <c r="S994" s="1371"/>
      <c r="T994" s="1371"/>
      <c r="U994" s="1371"/>
      <c r="V994" s="1371"/>
      <c r="W994" s="1371"/>
      <c r="X994" s="1525"/>
    </row>
    <row r="995" spans="1:24" ht="13.5" x14ac:dyDescent="0.25">
      <c r="A995" s="1379"/>
      <c r="B995" s="1398"/>
      <c r="C995" s="1371"/>
      <c r="D995" s="1371"/>
      <c r="E995" s="1371"/>
      <c r="F995" s="1371"/>
      <c r="G995" s="1371"/>
      <c r="H995" s="1371"/>
      <c r="I995" s="1371"/>
      <c r="J995" s="1371"/>
      <c r="K995" s="1371"/>
      <c r="L995" s="1371"/>
      <c r="M995" s="1371"/>
      <c r="N995" s="1371"/>
      <c r="O995" s="1371"/>
      <c r="P995" s="1371"/>
      <c r="Q995" s="1371"/>
      <c r="R995" s="1371"/>
      <c r="S995" s="1371"/>
      <c r="T995" s="1371"/>
      <c r="U995" s="1371"/>
      <c r="V995" s="1390"/>
      <c r="W995" s="1371"/>
      <c r="X995" s="1525"/>
    </row>
    <row r="996" spans="1:24" ht="13.5" x14ac:dyDescent="0.25">
      <c r="A996" s="1379"/>
      <c r="B996" s="1398"/>
      <c r="C996" s="1371"/>
      <c r="D996" s="1371"/>
      <c r="E996" s="1371"/>
      <c r="F996" s="1371"/>
      <c r="G996" s="1371"/>
      <c r="H996" s="1371"/>
      <c r="I996" s="1371"/>
      <c r="J996" s="1371"/>
      <c r="K996" s="1371"/>
      <c r="L996" s="1390"/>
      <c r="M996" s="1371"/>
      <c r="N996" s="1371"/>
      <c r="O996" s="1371"/>
      <c r="P996" s="1390"/>
      <c r="Q996" s="1371"/>
      <c r="R996" s="1371"/>
      <c r="S996" s="1371"/>
      <c r="T996" s="1371"/>
      <c r="U996" s="1371"/>
      <c r="V996" s="1371"/>
      <c r="W996" s="1371"/>
      <c r="X996" s="1525"/>
    </row>
    <row r="997" spans="1:24" ht="13.5" x14ac:dyDescent="0.25">
      <c r="A997" s="1379"/>
      <c r="B997" s="1398"/>
      <c r="C997" s="1371"/>
      <c r="D997" s="1371"/>
      <c r="E997" s="1371"/>
      <c r="F997" s="1371"/>
      <c r="G997" s="1371"/>
      <c r="H997" s="1371"/>
      <c r="I997" s="1371"/>
      <c r="J997" s="1371"/>
      <c r="K997" s="1371"/>
      <c r="L997" s="1371"/>
      <c r="M997" s="1371"/>
      <c r="N997" s="1390"/>
      <c r="O997" s="1371"/>
      <c r="P997" s="1371"/>
      <c r="Q997" s="1371"/>
      <c r="R997" s="1371"/>
      <c r="S997" s="1371"/>
      <c r="T997" s="1371"/>
      <c r="U997" s="1371"/>
      <c r="V997" s="1371"/>
      <c r="W997" s="1371"/>
      <c r="X997" s="1525"/>
    </row>
    <row r="998" spans="1:24" ht="13.5" x14ac:dyDescent="0.25">
      <c r="A998" s="1379"/>
      <c r="B998" s="1453"/>
      <c r="C998" s="1371"/>
      <c r="D998" s="1371"/>
      <c r="E998" s="1371"/>
      <c r="F998" s="1371"/>
      <c r="G998" s="1371"/>
      <c r="H998" s="1371"/>
      <c r="I998" s="1371"/>
      <c r="J998" s="1371"/>
      <c r="K998" s="1371"/>
      <c r="L998" s="1371"/>
      <c r="M998" s="1371"/>
      <c r="N998" s="1390"/>
      <c r="O998" s="1371"/>
      <c r="P998" s="1390"/>
      <c r="Q998" s="1371"/>
      <c r="R998" s="1371"/>
      <c r="S998" s="1371"/>
      <c r="T998" s="1371"/>
      <c r="U998" s="1371"/>
      <c r="V998" s="1371"/>
      <c r="W998" s="1371"/>
      <c r="X998" s="1525"/>
    </row>
    <row r="999" spans="1:24" ht="13.5" x14ac:dyDescent="0.25">
      <c r="A999" s="1379"/>
      <c r="B999" s="1398"/>
      <c r="C999" s="1370"/>
      <c r="D999" s="1371"/>
      <c r="E999" s="1371"/>
      <c r="F999" s="1371"/>
      <c r="G999" s="1371"/>
      <c r="H999" s="1371"/>
      <c r="I999" s="1371"/>
      <c r="J999" s="1371"/>
      <c r="K999" s="1371"/>
      <c r="L999" s="1371"/>
      <c r="M999" s="1371"/>
      <c r="N999" s="1371"/>
      <c r="O999" s="1371"/>
      <c r="P999" s="1371"/>
      <c r="Q999" s="1371"/>
      <c r="R999" s="1390"/>
      <c r="S999" s="1371"/>
      <c r="T999" s="1371"/>
      <c r="U999" s="1371"/>
      <c r="V999" s="1371"/>
      <c r="W999" s="1371"/>
      <c r="X999" s="1525"/>
    </row>
    <row r="1000" spans="1:24" ht="13.5" x14ac:dyDescent="0.25">
      <c r="A1000" s="1379"/>
      <c r="B1000" s="1398"/>
      <c r="C1000" s="1370"/>
      <c r="D1000" s="1371"/>
      <c r="E1000" s="1371"/>
      <c r="F1000" s="1371"/>
      <c r="G1000" s="1371"/>
      <c r="H1000" s="1371"/>
      <c r="I1000" s="1371"/>
      <c r="J1000" s="1371"/>
      <c r="K1000" s="1371"/>
      <c r="L1000" s="1371"/>
      <c r="M1000" s="1371"/>
      <c r="N1000" s="1371"/>
      <c r="O1000" s="1371"/>
      <c r="P1000" s="1371"/>
      <c r="Q1000" s="1371"/>
      <c r="R1000" s="1371"/>
      <c r="S1000" s="1371"/>
      <c r="T1000" s="1371"/>
      <c r="U1000" s="1371"/>
      <c r="V1000" s="1371"/>
      <c r="W1000" s="1371"/>
      <c r="X1000" s="1525"/>
    </row>
    <row r="1001" spans="1:24" ht="13.5" x14ac:dyDescent="0.25">
      <c r="A1001" s="1379"/>
      <c r="B1001" s="1398"/>
      <c r="C1001" s="1370"/>
      <c r="D1001" s="1371"/>
      <c r="E1001" s="1371"/>
      <c r="F1001" s="1371"/>
      <c r="G1001" s="1371"/>
      <c r="H1001" s="1371"/>
      <c r="I1001" s="1371"/>
      <c r="J1001" s="1371"/>
      <c r="K1001" s="1371"/>
      <c r="L1001" s="1371"/>
      <c r="M1001" s="1371"/>
      <c r="N1001" s="1371"/>
      <c r="O1001" s="1371"/>
      <c r="P1001" s="1371"/>
      <c r="Q1001" s="1371"/>
      <c r="R1001" s="1371"/>
      <c r="S1001" s="1371"/>
      <c r="T1001" s="1390"/>
      <c r="U1001" s="1371"/>
      <c r="V1001" s="1371"/>
      <c r="W1001" s="1371"/>
      <c r="X1001" s="1525"/>
    </row>
    <row r="1002" spans="1:24" ht="13.5" x14ac:dyDescent="0.25">
      <c r="A1002" s="1379"/>
      <c r="B1002" s="1398"/>
      <c r="C1002" s="1371"/>
      <c r="D1002" s="1371"/>
      <c r="E1002" s="1371"/>
      <c r="F1002" s="1371"/>
      <c r="G1002" s="1371"/>
      <c r="H1002" s="1371"/>
      <c r="I1002" s="1371"/>
      <c r="J1002" s="1371"/>
      <c r="K1002" s="1371"/>
      <c r="L1002" s="1371"/>
      <c r="M1002" s="1371"/>
      <c r="N1002" s="1371"/>
      <c r="O1002" s="1371"/>
      <c r="P1002" s="1371"/>
      <c r="Q1002" s="1371"/>
      <c r="R1002" s="1390"/>
      <c r="S1002" s="1371"/>
      <c r="T1002" s="1371"/>
      <c r="U1002" s="1371"/>
      <c r="V1002" s="1390"/>
      <c r="W1002" s="1371"/>
      <c r="X1002" s="1525"/>
    </row>
    <row r="1003" spans="1:24" ht="13.5" x14ac:dyDescent="0.25">
      <c r="A1003" s="1379"/>
      <c r="B1003" s="1453"/>
      <c r="C1003" s="1371"/>
      <c r="D1003" s="1371"/>
      <c r="E1003" s="1371"/>
      <c r="F1003" s="1371"/>
      <c r="G1003" s="1371"/>
      <c r="H1003" s="1371"/>
      <c r="I1003" s="1371"/>
      <c r="J1003" s="1371"/>
      <c r="K1003" s="1371"/>
      <c r="L1003" s="1371"/>
      <c r="M1003" s="1371"/>
      <c r="N1003" s="1371"/>
      <c r="O1003" s="1371"/>
      <c r="P1003" s="1390"/>
      <c r="Q1003" s="1371"/>
      <c r="R1003" s="1371"/>
      <c r="S1003" s="1371"/>
      <c r="T1003" s="1371"/>
      <c r="U1003" s="1371"/>
      <c r="V1003" s="1371"/>
      <c r="W1003" s="1371"/>
      <c r="X1003" s="1525"/>
    </row>
    <row r="1004" spans="1:24" ht="13.5" x14ac:dyDescent="0.25">
      <c r="A1004" s="1379"/>
      <c r="B1004" s="1453"/>
      <c r="C1004" s="1371"/>
      <c r="D1004" s="1371"/>
      <c r="E1004" s="1371"/>
      <c r="F1004" s="1371"/>
      <c r="G1004" s="1371"/>
      <c r="H1004" s="1371"/>
      <c r="I1004" s="1371"/>
      <c r="J1004" s="1371"/>
      <c r="K1004" s="1371"/>
      <c r="L1004" s="1371"/>
      <c r="M1004" s="1371"/>
      <c r="N1004" s="1371"/>
      <c r="O1004" s="1371"/>
      <c r="P1004" s="1371"/>
      <c r="Q1004" s="1371"/>
      <c r="R1004" s="1390"/>
      <c r="S1004" s="1371"/>
      <c r="T1004" s="1371"/>
      <c r="U1004" s="1371"/>
      <c r="V1004" s="1371"/>
      <c r="W1004" s="1371"/>
      <c r="X1004" s="1525"/>
    </row>
    <row r="1005" spans="1:24" ht="13.5" x14ac:dyDescent="0.25">
      <c r="A1005" s="1379"/>
      <c r="B1005" s="1453"/>
      <c r="C1005" s="1371"/>
      <c r="D1005" s="1371"/>
      <c r="E1005" s="1371"/>
      <c r="F1005" s="1371"/>
      <c r="G1005" s="1371"/>
      <c r="H1005" s="1371"/>
      <c r="I1005" s="1371"/>
      <c r="J1005" s="1371"/>
      <c r="K1005" s="1371"/>
      <c r="L1005" s="1371"/>
      <c r="M1005" s="1371"/>
      <c r="N1005" s="1371"/>
      <c r="O1005" s="1371"/>
      <c r="P1005" s="1371"/>
      <c r="Q1005" s="1371"/>
      <c r="R1005" s="1371"/>
      <c r="S1005" s="1371"/>
      <c r="T1005" s="1371"/>
      <c r="U1005" s="1371"/>
      <c r="V1005" s="1371"/>
      <c r="W1005" s="1371"/>
      <c r="X1005" s="1525"/>
    </row>
    <row r="1006" spans="1:24" ht="13.5" x14ac:dyDescent="0.25">
      <c r="A1006" s="1379"/>
      <c r="B1006" s="1453"/>
      <c r="C1006" s="1371"/>
      <c r="D1006" s="1371"/>
      <c r="E1006" s="1371"/>
      <c r="F1006" s="1371"/>
      <c r="G1006" s="1371"/>
      <c r="H1006" s="1371"/>
      <c r="I1006" s="1371"/>
      <c r="J1006" s="1371"/>
      <c r="K1006" s="1371"/>
      <c r="L1006" s="1371"/>
      <c r="M1006" s="1371"/>
      <c r="N1006" s="1371"/>
      <c r="O1006" s="1371"/>
      <c r="P1006" s="1371"/>
      <c r="Q1006" s="1371"/>
      <c r="R1006" s="1371"/>
      <c r="S1006" s="1371"/>
      <c r="T1006" s="1371"/>
      <c r="U1006" s="1371"/>
      <c r="V1006" s="1371"/>
      <c r="W1006" s="1371"/>
      <c r="X1006" s="1418"/>
    </row>
    <row r="1007" spans="1:24" ht="13.5" x14ac:dyDescent="0.25">
      <c r="A1007" s="1379"/>
      <c r="B1007" s="1398"/>
      <c r="C1007" s="1371"/>
      <c r="D1007" s="1371"/>
      <c r="E1007" s="1371"/>
      <c r="F1007" s="1371"/>
      <c r="G1007" s="1371"/>
      <c r="H1007" s="1371"/>
      <c r="I1007" s="1371"/>
      <c r="J1007" s="1371"/>
      <c r="K1007" s="1371"/>
      <c r="L1007" s="1371"/>
      <c r="M1007" s="1371"/>
      <c r="N1007" s="1371"/>
      <c r="O1007" s="1371"/>
      <c r="P1007" s="1390"/>
      <c r="Q1007" s="1371"/>
      <c r="R1007" s="1371"/>
      <c r="S1007" s="1371"/>
      <c r="T1007" s="1371"/>
      <c r="U1007" s="1371"/>
      <c r="V1007" s="1371"/>
      <c r="W1007" s="1371"/>
      <c r="X1007" s="1418"/>
    </row>
    <row r="1008" spans="1:24" ht="13.5" x14ac:dyDescent="0.25">
      <c r="A1008" s="1379"/>
      <c r="B1008" s="1398"/>
      <c r="C1008" s="1371"/>
      <c r="D1008" s="1371"/>
      <c r="E1008" s="1371"/>
      <c r="F1008" s="1371"/>
      <c r="G1008" s="1371"/>
      <c r="H1008" s="1371"/>
      <c r="I1008" s="1371"/>
      <c r="J1008" s="1371"/>
      <c r="K1008" s="1371"/>
      <c r="L1008" s="1371"/>
      <c r="M1008" s="1371"/>
      <c r="N1008" s="1371"/>
      <c r="O1008" s="1371"/>
      <c r="P1008" s="1390"/>
      <c r="Q1008" s="1371"/>
      <c r="R1008" s="1371"/>
      <c r="S1008" s="1371"/>
      <c r="T1008" s="1371"/>
      <c r="U1008" s="1371"/>
      <c r="V1008" s="1371"/>
      <c r="W1008" s="1371"/>
      <c r="X1008" s="1418"/>
    </row>
    <row r="1009" spans="1:25" ht="13.5" x14ac:dyDescent="0.25">
      <c r="A1009" s="1379"/>
      <c r="B1009" s="1398"/>
      <c r="C1009" s="1371"/>
      <c r="D1009" s="1371"/>
      <c r="E1009" s="1371"/>
      <c r="F1009" s="1371"/>
      <c r="G1009" s="1371"/>
      <c r="H1009" s="1371"/>
      <c r="I1009" s="1371"/>
      <c r="J1009" s="1371"/>
      <c r="K1009" s="1371"/>
      <c r="L1009" s="1371"/>
      <c r="M1009" s="1371"/>
      <c r="N1009" s="1371"/>
      <c r="O1009" s="1371"/>
      <c r="P1009" s="1370"/>
      <c r="Q1009" s="1371"/>
      <c r="R1009" s="1371"/>
      <c r="S1009" s="1371"/>
      <c r="T1009" s="1371"/>
      <c r="U1009" s="1371"/>
      <c r="V1009" s="1371"/>
      <c r="W1009" s="1371"/>
      <c r="X1009" s="1418"/>
    </row>
    <row r="1010" spans="1:25" ht="13.5" x14ac:dyDescent="0.25">
      <c r="A1010" s="1379"/>
      <c r="B1010" s="1398"/>
      <c r="C1010" s="1371"/>
      <c r="D1010" s="1371"/>
      <c r="E1010" s="1371"/>
      <c r="F1010" s="1371"/>
      <c r="G1010" s="1371"/>
      <c r="H1010" s="1371"/>
      <c r="I1010" s="1371"/>
      <c r="J1010" s="1371"/>
      <c r="K1010" s="1371"/>
      <c r="L1010" s="1371"/>
      <c r="M1010" s="1371"/>
      <c r="N1010" s="1371"/>
      <c r="O1010" s="1371"/>
      <c r="P1010" s="1390"/>
      <c r="Q1010" s="1371"/>
      <c r="R1010" s="1371"/>
      <c r="S1010" s="1371"/>
      <c r="T1010" s="1371"/>
      <c r="U1010" s="1371"/>
      <c r="V1010" s="1371"/>
      <c r="W1010" s="1371"/>
      <c r="X1010" s="1418"/>
    </row>
    <row r="1011" spans="1:25" ht="13.5" x14ac:dyDescent="0.25">
      <c r="A1011" s="1379"/>
      <c r="B1011" s="1398"/>
      <c r="C1011" s="1371"/>
      <c r="D1011" s="1371"/>
      <c r="E1011" s="1371"/>
      <c r="F1011" s="1371"/>
      <c r="G1011" s="1371"/>
      <c r="H1011" s="1371"/>
      <c r="I1011" s="1371"/>
      <c r="J1011" s="1371"/>
      <c r="K1011" s="1371"/>
      <c r="L1011" s="1371"/>
      <c r="M1011" s="1371"/>
      <c r="N1011" s="1371"/>
      <c r="O1011" s="1371"/>
      <c r="P1011" s="1390"/>
      <c r="Q1011" s="1371"/>
      <c r="R1011" s="1371"/>
      <c r="S1011" s="1371"/>
      <c r="T1011" s="1371"/>
      <c r="U1011" s="1371"/>
      <c r="V1011" s="1390"/>
      <c r="W1011" s="1371"/>
      <c r="X1011" s="1418"/>
    </row>
    <row r="1012" spans="1:25" ht="13.5" x14ac:dyDescent="0.25">
      <c r="A1012" s="1379"/>
      <c r="B1012" s="1398"/>
      <c r="C1012" s="1371"/>
      <c r="D1012" s="1371"/>
      <c r="E1012" s="1371"/>
      <c r="F1012" s="1371"/>
      <c r="G1012" s="1371"/>
      <c r="H1012" s="1371"/>
      <c r="I1012" s="1371"/>
      <c r="J1012" s="1371"/>
      <c r="K1012" s="1371"/>
      <c r="L1012" s="1371"/>
      <c r="M1012" s="1371"/>
      <c r="N1012" s="1371"/>
      <c r="O1012" s="1371"/>
      <c r="P1012" s="1390"/>
      <c r="Q1012" s="1371"/>
      <c r="R1012" s="1371"/>
      <c r="S1012" s="1371"/>
      <c r="T1012" s="1371"/>
      <c r="U1012" s="1371"/>
      <c r="V1012" s="1390"/>
      <c r="W1012" s="1371"/>
      <c r="X1012" s="1418"/>
    </row>
    <row r="1013" spans="1:25" ht="13.5" x14ac:dyDescent="0.25">
      <c r="A1013" s="1379"/>
      <c r="B1013" s="1398"/>
      <c r="C1013" s="1371"/>
      <c r="D1013" s="1371"/>
      <c r="E1013" s="1371"/>
      <c r="F1013" s="1371"/>
      <c r="G1013" s="1371"/>
      <c r="H1013" s="1371"/>
      <c r="I1013" s="1371"/>
      <c r="J1013" s="1371"/>
      <c r="K1013" s="1371"/>
      <c r="L1013" s="1371"/>
      <c r="M1013" s="1371"/>
      <c r="N1013" s="1371"/>
      <c r="O1013" s="1371"/>
      <c r="P1013" s="1449"/>
      <c r="Q1013" s="1371"/>
      <c r="R1013" s="1371"/>
      <c r="S1013" s="1371"/>
      <c r="T1013" s="1371"/>
      <c r="U1013" s="1371"/>
      <c r="V1013" s="1371"/>
      <c r="W1013" s="1371"/>
      <c r="X1013" s="1418"/>
    </row>
    <row r="1014" spans="1:25" ht="13.5" x14ac:dyDescent="0.25">
      <c r="A1014" s="1379"/>
      <c r="B1014" s="1398"/>
      <c r="C1014" s="1371"/>
      <c r="D1014" s="1371"/>
      <c r="E1014" s="1371"/>
      <c r="F1014" s="1371"/>
      <c r="G1014" s="1371"/>
      <c r="H1014" s="1371"/>
      <c r="I1014" s="1371"/>
      <c r="J1014" s="1371"/>
      <c r="K1014" s="1371"/>
      <c r="L1014" s="1371"/>
      <c r="M1014" s="1371"/>
      <c r="N1014" s="1371"/>
      <c r="O1014" s="1371"/>
      <c r="P1014" s="1520"/>
      <c r="Q1014" s="1371"/>
      <c r="R1014" s="1371"/>
      <c r="S1014" s="1371"/>
      <c r="T1014" s="1371"/>
      <c r="U1014" s="1371"/>
      <c r="V1014" s="1390"/>
      <c r="W1014" s="1371"/>
      <c r="X1014" s="1418"/>
    </row>
    <row r="1015" spans="1:25" ht="13.5" x14ac:dyDescent="0.25">
      <c r="A1015" s="1379"/>
      <c r="B1015" s="1398"/>
      <c r="C1015" s="1371"/>
      <c r="D1015" s="1371"/>
      <c r="E1015" s="1371"/>
      <c r="F1015" s="1371"/>
      <c r="G1015" s="1371"/>
      <c r="H1015" s="1371"/>
      <c r="I1015" s="1371"/>
      <c r="J1015" s="1371"/>
      <c r="K1015" s="1371"/>
      <c r="L1015" s="1371"/>
      <c r="M1015" s="1371"/>
      <c r="N1015" s="1371"/>
      <c r="O1015" s="1371"/>
      <c r="P1015" s="1520"/>
      <c r="Q1015" s="1371"/>
      <c r="R1015" s="1371"/>
      <c r="S1015" s="1371"/>
      <c r="T1015" s="1371"/>
      <c r="U1015" s="1371"/>
      <c r="V1015" s="1390"/>
      <c r="W1015" s="1371"/>
      <c r="X1015" s="1418"/>
    </row>
    <row r="1016" spans="1:25" x14ac:dyDescent="0.2">
      <c r="A1016" s="1379"/>
      <c r="B1016" s="1398"/>
      <c r="C1016" s="1371"/>
      <c r="D1016" s="1371"/>
      <c r="E1016" s="1371"/>
      <c r="F1016" s="1371"/>
      <c r="G1016" s="1371"/>
      <c r="H1016" s="1371"/>
      <c r="I1016" s="1371"/>
      <c r="J1016" s="1371"/>
      <c r="K1016" s="1371"/>
      <c r="L1016" s="1371"/>
      <c r="M1016" s="1371"/>
      <c r="N1016" s="1371"/>
      <c r="O1016" s="1371"/>
      <c r="P1016" s="1449"/>
      <c r="Q1016" s="1371"/>
      <c r="R1016" s="1371"/>
      <c r="S1016" s="1371"/>
      <c r="T1016" s="1371"/>
      <c r="U1016" s="1371"/>
      <c r="V1016" s="1390"/>
      <c r="W1016" s="1371"/>
      <c r="X1016" s="1371"/>
    </row>
    <row r="1017" spans="1:25" x14ac:dyDescent="0.2">
      <c r="A1017" s="1371"/>
      <c r="B1017" s="1398"/>
      <c r="C1017" s="1371"/>
      <c r="D1017" s="1371"/>
      <c r="E1017" s="1371"/>
      <c r="F1017" s="1371"/>
      <c r="G1017" s="1371"/>
      <c r="H1017" s="1371"/>
      <c r="I1017" s="1371"/>
      <c r="J1017" s="1371"/>
      <c r="K1017" s="1371"/>
      <c r="L1017" s="1371"/>
      <c r="M1017" s="1371"/>
      <c r="N1017" s="1371"/>
      <c r="O1017" s="1371"/>
      <c r="P1017" s="1371"/>
      <c r="Q1017" s="1371"/>
      <c r="R1017" s="1371"/>
      <c r="S1017" s="1371"/>
      <c r="T1017" s="1371"/>
      <c r="U1017" s="1371"/>
      <c r="V1017" s="1371"/>
      <c r="W1017" s="1371"/>
      <c r="X1017" s="1371"/>
    </row>
    <row r="1018" spans="1:25" x14ac:dyDescent="0.2">
      <c r="O1018" s="1371"/>
      <c r="P1018" s="1371"/>
      <c r="X1018" s="1371"/>
    </row>
    <row r="1019" spans="1:25" x14ac:dyDescent="0.2">
      <c r="O1019" s="1371"/>
      <c r="P1019" s="1371"/>
      <c r="X1019" s="1371"/>
    </row>
    <row r="1020" spans="1:25" x14ac:dyDescent="0.2">
      <c r="O1020" s="1371"/>
      <c r="P1020" s="1371"/>
      <c r="X1020" s="1371"/>
    </row>
    <row r="1021" spans="1:25" x14ac:dyDescent="0.2">
      <c r="O1021" s="1371"/>
      <c r="P1021" s="1371"/>
      <c r="X1021" s="1371"/>
    </row>
    <row r="1022" spans="1:25" x14ac:dyDescent="0.2">
      <c r="O1022" s="1371"/>
      <c r="P1022" s="1371"/>
      <c r="X1022" s="1371"/>
      <c r="Y1022" s="1371"/>
    </row>
    <row r="1023" spans="1:25" x14ac:dyDescent="0.2">
      <c r="Y1023" s="1371"/>
    </row>
    <row r="1024" spans="1:25" x14ac:dyDescent="0.2">
      <c r="Y1024" s="1371"/>
    </row>
    <row r="1025" spans="1:31" x14ac:dyDescent="0.2">
      <c r="Y1025" s="1404"/>
    </row>
    <row r="1026" spans="1:31" x14ac:dyDescent="0.2">
      <c r="Y1026" s="1404"/>
    </row>
    <row r="1027" spans="1:31" x14ac:dyDescent="0.2">
      <c r="Y1027" s="1404"/>
      <c r="AA1027" s="1371"/>
      <c r="AB1027" s="1371"/>
    </row>
    <row r="1028" spans="1:31" s="1371" customFormat="1" x14ac:dyDescent="0.2">
      <c r="A1028"/>
      <c r="B1028" s="9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 s="1524"/>
      <c r="Z1028" s="9"/>
      <c r="AE1028"/>
    </row>
    <row r="1029" spans="1:31" s="1371" customFormat="1" x14ac:dyDescent="0.2">
      <c r="A1029"/>
      <c r="B1029" s="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 s="1404"/>
      <c r="Z1029" s="1398"/>
      <c r="AE1029"/>
    </row>
    <row r="1030" spans="1:31" s="1371" customFormat="1" ht="13.5" customHeight="1" x14ac:dyDescent="0.2">
      <c r="A1030"/>
      <c r="B1030" s="9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 s="1404"/>
      <c r="Z1030" s="1398"/>
      <c r="AA1030" s="1526"/>
      <c r="AB1030" s="1404"/>
      <c r="AE1030"/>
    </row>
    <row r="1031" spans="1:31" s="1371" customFormat="1" x14ac:dyDescent="0.2">
      <c r="A1031"/>
      <c r="B1031" s="9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 s="1404"/>
      <c r="Z1031" s="1398"/>
      <c r="AA1031" s="1523"/>
      <c r="AB1031" s="1489"/>
    </row>
    <row r="1032" spans="1:31" s="1371" customFormat="1" x14ac:dyDescent="0.2">
      <c r="A1032"/>
      <c r="B1032" s="9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 s="1404"/>
      <c r="Z1032" s="1910"/>
      <c r="AA1032" s="1523"/>
      <c r="AB1032" s="1404"/>
    </row>
    <row r="1033" spans="1:31" s="1371" customFormat="1" x14ac:dyDescent="0.2">
      <c r="A1033"/>
      <c r="B1033" s="9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 s="1404"/>
      <c r="Z1033" s="1910"/>
      <c r="AA1033" s="1523"/>
      <c r="AB1033" s="1404"/>
    </row>
    <row r="1034" spans="1:31" s="1371" customFormat="1" x14ac:dyDescent="0.2">
      <c r="A1034"/>
      <c r="B1034" s="9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 s="1524"/>
      <c r="Z1034" s="1910"/>
      <c r="AA1034" s="1523"/>
      <c r="AB1034" s="1489"/>
    </row>
    <row r="1035" spans="1:31" s="1371" customFormat="1" x14ac:dyDescent="0.2">
      <c r="A1035"/>
      <c r="B1035" s="9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 s="1404"/>
      <c r="Z1035" s="1912"/>
      <c r="AA1035" s="1523"/>
      <c r="AB1035" s="1489"/>
    </row>
    <row r="1036" spans="1:31" s="1371" customFormat="1" x14ac:dyDescent="0.2">
      <c r="A1036"/>
      <c r="B1036" s="9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 s="1404"/>
      <c r="Z1036" s="1910"/>
      <c r="AA1036" s="1523"/>
      <c r="AB1036" s="1489"/>
    </row>
    <row r="1037" spans="1:31" s="1371" customFormat="1" x14ac:dyDescent="0.2">
      <c r="A1037"/>
      <c r="B1037" s="9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 s="1404"/>
      <c r="Z1037" s="1910"/>
      <c r="AA1037" s="1523"/>
      <c r="AB1037" s="1489"/>
    </row>
    <row r="1038" spans="1:31" s="1371" customFormat="1" x14ac:dyDescent="0.2">
      <c r="A1038"/>
      <c r="B1038" s="9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 s="1404"/>
      <c r="Z1038" s="1910"/>
      <c r="AA1038" s="1523"/>
      <c r="AB1038" s="1489"/>
    </row>
    <row r="1039" spans="1:31" s="1371" customFormat="1" x14ac:dyDescent="0.2">
      <c r="A1039"/>
      <c r="B1039" s="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 s="1404"/>
      <c r="Z1039" s="1910"/>
      <c r="AA1039" s="1523"/>
      <c r="AB1039" s="1489"/>
    </row>
    <row r="1040" spans="1:31" s="1371" customFormat="1" x14ac:dyDescent="0.2">
      <c r="A1040"/>
      <c r="B1040" s="9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 s="1404"/>
      <c r="Z1040" s="1910"/>
      <c r="AA1040" s="1523"/>
      <c r="AB1040" s="1489"/>
    </row>
    <row r="1041" spans="1:28" s="1371" customFormat="1" x14ac:dyDescent="0.2">
      <c r="A1041"/>
      <c r="B1041" s="9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Z1041" s="1912"/>
      <c r="AA1041" s="1523"/>
      <c r="AB1041" s="1489"/>
    </row>
    <row r="1042" spans="1:28" s="1371" customFormat="1" x14ac:dyDescent="0.2">
      <c r="A1042"/>
      <c r="B1042" s="9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Z1042" s="1910"/>
      <c r="AA1042" s="1523"/>
      <c r="AB1042" s="1489"/>
    </row>
    <row r="1043" spans="1:28" s="1371" customFormat="1" x14ac:dyDescent="0.2">
      <c r="A1043"/>
      <c r="B1043" s="9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Z1043" s="1910"/>
      <c r="AA1043" s="1523"/>
      <c r="AB1043" s="1404"/>
    </row>
    <row r="1044" spans="1:28" s="1371" customFormat="1" x14ac:dyDescent="0.2">
      <c r="A1044"/>
      <c r="B1044" s="9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Z1044" s="1910"/>
      <c r="AA1044" s="1523"/>
      <c r="AB1044" s="1489"/>
    </row>
    <row r="1045" spans="1:28" s="1371" customFormat="1" x14ac:dyDescent="0.2">
      <c r="A1045"/>
      <c r="B1045" s="9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Z1045" s="1910"/>
      <c r="AA1045" s="1404"/>
      <c r="AB1045" s="1404"/>
    </row>
    <row r="1046" spans="1:28" s="1371" customFormat="1" x14ac:dyDescent="0.2">
      <c r="A1046"/>
      <c r="B1046" s="9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Z1046" s="1910"/>
    </row>
    <row r="1047" spans="1:28" s="1371" customFormat="1" x14ac:dyDescent="0.2">
      <c r="A1047"/>
      <c r="B1047" s="9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Z1047" s="1910"/>
    </row>
    <row r="1048" spans="1:28" s="1371" customFormat="1" x14ac:dyDescent="0.2">
      <c r="A1048"/>
      <c r="B1048" s="9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Z1048" s="1398"/>
    </row>
    <row r="1049" spans="1:28" s="1371" customFormat="1" x14ac:dyDescent="0.2">
      <c r="A1049"/>
      <c r="B1049" s="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Z1049" s="1398"/>
    </row>
    <row r="1050" spans="1:28" s="1371" customFormat="1" x14ac:dyDescent="0.2">
      <c r="A1050"/>
      <c r="B1050" s="9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Z1050" s="1398"/>
    </row>
    <row r="1051" spans="1:28" s="1371" customFormat="1" x14ac:dyDescent="0.2">
      <c r="A1051"/>
      <c r="B1051" s="9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Z1051" s="1398"/>
    </row>
    <row r="1052" spans="1:28" s="1371" customFormat="1" x14ac:dyDescent="0.2">
      <c r="A1052"/>
      <c r="B1052" s="9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Z1052" s="1398"/>
    </row>
    <row r="1053" spans="1:28" s="1371" customFormat="1" x14ac:dyDescent="0.2">
      <c r="A1053"/>
      <c r="B1053" s="9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Z1053" s="1398"/>
    </row>
    <row r="1054" spans="1:28" s="1371" customFormat="1" x14ac:dyDescent="0.2">
      <c r="A1054"/>
      <c r="B1054" s="9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 s="1398"/>
    </row>
    <row r="1055" spans="1:28" s="1371" customFormat="1" x14ac:dyDescent="0.2">
      <c r="A1055"/>
      <c r="B1055" s="9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 s="1398"/>
    </row>
    <row r="1056" spans="1:28" s="1371" customFormat="1" x14ac:dyDescent="0.2">
      <c r="A1056"/>
      <c r="B1056" s="9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 s="1398"/>
    </row>
    <row r="1057" spans="1:31" s="1371" customFormat="1" x14ac:dyDescent="0.2">
      <c r="A1057"/>
      <c r="B1057" s="9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 s="1398"/>
    </row>
    <row r="1058" spans="1:31" s="1371" customFormat="1" x14ac:dyDescent="0.2">
      <c r="A1058"/>
      <c r="B1058" s="9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 s="1398"/>
    </row>
    <row r="1059" spans="1:31" s="1371" customFormat="1" x14ac:dyDescent="0.2">
      <c r="A1059"/>
      <c r="B1059" s="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 s="1398"/>
      <c r="AA1059"/>
      <c r="AB1059"/>
    </row>
    <row r="1060" spans="1:31" x14ac:dyDescent="0.2">
      <c r="Z1060" s="1398"/>
      <c r="AE1060" s="1371"/>
    </row>
    <row r="1061" spans="1:31" x14ac:dyDescent="0.2">
      <c r="AE1061" s="1371"/>
    </row>
    <row r="1062" spans="1:31" x14ac:dyDescent="0.2">
      <c r="AE1062" s="1371"/>
    </row>
  </sheetData>
  <sortState xmlns:xlrd2="http://schemas.microsoft.com/office/spreadsheetml/2017/richdata2" ref="A823:AC825">
    <sortCondition ref="B823:B825"/>
  </sortState>
  <hyperlinks>
    <hyperlink ref="B872" r:id="rId1" display="http://www.parkrun.org.uk/richmond/results/weeklyresults?runSeqNumber=592" xr:uid="{6CCA9288-D290-43DF-AF67-8FFBE6F8BEA8}"/>
    <hyperlink ref="B870" r:id="rId2" display="http://www.parkrun.org.uk/richmond/results/weeklyresults?runSeqNumber=536" xr:uid="{85EC682A-1D0A-4495-8398-14058914BE0D}"/>
    <hyperlink ref="B864" r:id="rId3" display="http://www.parkrun.org.uk/richmond/results/weeklyresults?runSeqNumber=480" xr:uid="{EFE0A17B-2E97-424B-8FD2-7C659C5F6F7D}"/>
    <hyperlink ref="B857" r:id="rId4" display="http://www.parkrun.org.uk/richmond/results/weeklyresults?runSeqNumber=428" xr:uid="{DF2AC9DF-1215-4C0E-8B65-E4F9BBB1A8F5}"/>
    <hyperlink ref="B842" r:id="rId5" display="http://www.parkrun.org.uk/richmond/results/weeklyresults?runSeqNumber=375" xr:uid="{33F02314-BA36-4E3A-BB7C-1CC99D430082}"/>
    <hyperlink ref="B821" r:id="rId6" display="http://www.parkrun.org.uk/richmond/results/weeklyresults?runSeqNumber=323" xr:uid="{56DBDE56-A9CD-4C64-8AF4-FA24888F7BF5}"/>
    <hyperlink ref="B776" r:id="rId7" display="http://www.parkrun.org.uk/richmond/results/weeklyresults?runSeqNumber=253" xr:uid="{86F7E539-DD9A-4C8A-AEF4-367E6A91AA6B}"/>
    <hyperlink ref="B748" r:id="rId8" display="http://www.parkrun.org.uk/richmond/results/weeklyresults?runSeqNumber=201" xr:uid="{F814A744-D42F-41FA-9FDD-6C2B90FC428A}"/>
    <hyperlink ref="B729" r:id="rId9" display="http://www.parkrun.org.uk/richmond/results/weeklyresults?runSeqNumber=182" xr:uid="{18BFD387-7E0C-4317-B444-65F1A77A16B1}"/>
    <hyperlink ref="B723" r:id="rId10" display="http://www.parkrun.org.uk/richmond/results/weeklyresults?runSeqNumber=176" xr:uid="{CFBD3486-9F36-445B-81FF-7B7A9FB42215}"/>
    <hyperlink ref="B708" r:id="rId11" display="http://www.parkrun.org.uk/richmond/results/weeklyresults?runSeqNumber=156" xr:uid="{DB4BEA7B-E41D-457A-B7FE-8F2846833B68}"/>
    <hyperlink ref="B698" r:id="rId12" display="http://www.parkrun.org.uk/richmond/results/weeklyresults?runSeqNumber=140" xr:uid="{D0CA8D7C-242D-462D-91F6-DEF4B88DE94C}"/>
    <hyperlink ref="B695" r:id="rId13" display="http://www.parkrun.org.uk/richmond/results/weeklyresults?runSeqNumber=137" xr:uid="{D002962A-480A-4998-931E-E1CFAC017E1A}"/>
    <hyperlink ref="B691" r:id="rId14" display="http://www.parkrun.org.uk/richmond/results/weeklyresults?runSeqNumber=134" xr:uid="{A6E5F2E5-D615-444A-95B1-45EDEBB6B137}"/>
    <hyperlink ref="B688" r:id="rId15" display="http://www.parkrun.org.uk/richmond/results/weeklyresults?runSeqNumber=129" xr:uid="{2BDDD445-6834-4155-B00D-238DBC5CBB4F}"/>
    <hyperlink ref="B687" r:id="rId16" display="http://www.parkrun.org.uk/richmond/results/weeklyresults?runSeqNumber=127" xr:uid="{6C704A99-BF17-4EF4-A942-07FC1A30BA71}"/>
    <hyperlink ref="B681" r:id="rId17" display="http://www.parkrun.org.uk/richmond/results/weeklyresults?runSeqNumber=118" xr:uid="{A07EBFD0-932C-4265-A12B-24434CBEE7B9}"/>
    <hyperlink ref="B680" r:id="rId18" display="http://www.parkrun.org.uk/richmond/results/weeklyresults?runSeqNumber=113" xr:uid="{371A5841-7C2A-4E04-9A21-3998FFCE50E3}"/>
    <hyperlink ref="B677" r:id="rId19" display="http://www.parkrun.org.uk/richmond/results/weeklyresults?runSeqNumber=111" xr:uid="{094A87D7-6D8F-475C-9108-E8AF5761C7AF}"/>
    <hyperlink ref="B675" r:id="rId20" display="http://www.parkrun.org.uk/richmond/results/weeklyresults?runSeqNumber=110" xr:uid="{DCB46A9A-C05E-4D6D-9AE9-C3FB88C933E2}"/>
    <hyperlink ref="B670" r:id="rId21" display="http://www.parkrun.org.uk/richmond/results/weeklyresults?runSeqNumber=108" xr:uid="{7C2CE554-712E-4F57-A597-283B1ECB5414}"/>
    <hyperlink ref="B668" r:id="rId22" display="http://www.parkrun.org.uk/richmond/results/weeklyresults?runSeqNumber=107" xr:uid="{221FF430-FB5F-4502-BFBA-0E37D7BFCABA}"/>
    <hyperlink ref="B665" r:id="rId23" display="http://www.parkrun.org.uk/richmond/results/weeklyresults?runSeqNumber=106" xr:uid="{DF8460AF-9ED2-4F23-A9A7-5EECD24EF44D}"/>
    <hyperlink ref="B663" r:id="rId24" display="http://www.parkrun.org.uk/richmond/results/weeklyresults?runSeqNumber=105" xr:uid="{A62D7B8C-14D7-40B4-A8E3-6F0FA3D28DB3}"/>
    <hyperlink ref="B661" r:id="rId25" display="http://www.parkrun.org.uk/richmond/results/weeklyresults?runSeqNumber=104" xr:uid="{14251601-42B6-45CF-A886-FC67B9F823B6}"/>
    <hyperlink ref="B852" r:id="rId26" display="http://www.parkrun.org.uk/olddeerpark/results/weeklyresults?runSeqNumber=421" xr:uid="{569A7DA3-B103-4775-AD8A-02AAAB552651}"/>
    <hyperlink ref="B848" r:id="rId27" display="http://www.parkrun.org.uk/olddeerpark/results/weeklyresults?runSeqNumber=401" xr:uid="{EB26ED4C-021C-4D76-9A40-868366C56985}"/>
    <hyperlink ref="B834" r:id="rId28" display="http://www.parkrun.org.uk/olddeerpark/results/weeklyresults?runSeqNumber=350" xr:uid="{4BCFB7DC-DB7B-47CB-BD9D-D4CB816ED10C}"/>
    <hyperlink ref="B805" r:id="rId29" display="http://www.parkrun.org.uk/olddeerpark/results/weeklyresults?runSeqNumber=295" xr:uid="{C19CB660-7E7D-46D4-B870-8FB87AA41C7D}"/>
    <hyperlink ref="B786" r:id="rId30" display="http://www.parkrun.org.uk/olddeerpark/results/weeklyresults?runSeqNumber=265" xr:uid="{14EB4202-5308-4442-9BD5-AF84FB10C9D9}"/>
    <hyperlink ref="B696" r:id="rId31" display="http://www.parkrun.org.uk/olddeerpark/results/weeklyresults?runSeqNumber=138" xr:uid="{301D4246-5862-4A58-AFD3-100BC4A26368}"/>
    <hyperlink ref="B684" r:id="rId32" display="http://www.parkrun.org.uk/olddeerpark/results/weeklyresults?runSeqNumber=123" xr:uid="{56A7C9A4-DE83-4632-B986-C251D6FF9700}"/>
    <hyperlink ref="B639" r:id="rId33" display="http://www.parkrun.org.uk/olddeerpark/results/weeklyresults?runSeqNumber=79" xr:uid="{93F52FEC-D405-42FA-B350-3098033D820C}"/>
    <hyperlink ref="B624" r:id="rId34" display="http://www.parkrun.org.uk/olddeerpark/results/weeklyresults?runSeqNumber=66" xr:uid="{AC922447-8573-4086-8C66-2EC19E5EE961}"/>
    <hyperlink ref="B608" r:id="rId35" display="http://www.parkrun.org.uk/olddeerpark/results/weeklyresults?runSeqNumber=54" xr:uid="{0EA1969A-480C-4B8F-B562-FD37FC8CE97C}"/>
    <hyperlink ref="B599" r:id="rId36" display="http://www.parkrun.org.uk/olddeerpark/results/weeklyresults?runSeqNumber=46" xr:uid="{8AAD61A4-859C-42F3-A43C-2B2DD8F268E4}"/>
    <hyperlink ref="B578" r:id="rId37" display="http://www.parkrun.org.uk/olddeerpark/results/weeklyresults?runSeqNumber=31" xr:uid="{D8959BE0-BEFA-4E19-80CD-9431FD5F207D}"/>
    <hyperlink ref="B576" r:id="rId38" display="http://www.parkrun.org.uk/olddeerpark/results/weeklyresults?runSeqNumber=29" xr:uid="{C47E8BAA-1221-4616-94EA-04B70297DD56}"/>
    <hyperlink ref="B570" r:id="rId39" display="http://www.parkrun.org.uk/olddeerpark/results/weeklyresults?runSeqNumber=24" xr:uid="{153B48B9-BCC4-4251-BDEE-B91FBAA78524}"/>
    <hyperlink ref="B561" r:id="rId40" display="http://www.parkrun.org.uk/olddeerpark/results/weeklyresults?runSeqNumber=21" xr:uid="{E8943795-E970-472F-9157-A3A428922A89}"/>
    <hyperlink ref="B555" r:id="rId41" display="http://www.parkrun.org.uk/olddeerpark/results/weeklyresults?runSeqNumber=18" xr:uid="{4FED882A-D939-4A1A-8C7D-C8BA24180ECD}"/>
    <hyperlink ref="B525" r:id="rId42" display="http://www.parkrun.org.uk/olddeerpark/results/weeklyresults?runSeqNumber=5" xr:uid="{F5B0D6A1-1F95-4590-9024-F5E9D1952B1A}"/>
    <hyperlink ref="B500" r:id="rId43" display="http://www.parkrun.org.uk/olddeerpark/results/weeklyresults?runSeqNumber=1" xr:uid="{C996A2D6-08C4-4F9C-B767-259ED1777BF2}"/>
    <hyperlink ref="B841" r:id="rId44" display="http://www.parkrun.org.uk/gunnersbury/results/weeklyresults?runSeqNumber=365" xr:uid="{EA934A22-6C23-417B-9595-F950DAAF493D}"/>
    <hyperlink ref="B840" r:id="rId45" display="http://www.parkrun.org.uk/gunnersbury/results/weeklyresults?runSeqNumber=364" xr:uid="{C0BAA942-2153-4CA1-8953-3361F9984B21}"/>
    <hyperlink ref="B839" r:id="rId46" display="http://www.parkrun.org.uk/gunnersbury/results/weeklyresults?runSeqNumber=362" xr:uid="{E4CDE576-A458-4ED3-8AB3-1847AFD1D203}"/>
    <hyperlink ref="B838" r:id="rId47" display="http://www.parkrun.org.uk/gunnersbury/results/weeklyresults?runSeqNumber=358" xr:uid="{DC3EAC3B-24D3-4CEE-8DBF-293459C5EC24}"/>
    <hyperlink ref="B837" r:id="rId48" display="http://www.parkrun.org.uk/gunnersbury/results/weeklyresults?runSeqNumber=355" xr:uid="{AAA3D645-1404-40D4-9FED-2FDB3E039A27}"/>
    <hyperlink ref="B836" r:id="rId49" display="http://www.parkrun.org.uk/gunnersbury/results/weeklyresults?runSeqNumber=351" xr:uid="{6790E0F8-1697-4757-82AC-CABBB877D6BF}"/>
    <hyperlink ref="B832" r:id="rId50" display="http://www.parkrun.org.uk/gunnersbury/results/weeklyresults?runSeqNumber=346" xr:uid="{F90CF1AA-EA83-4F73-9DDF-A84C569AD4E8}"/>
    <hyperlink ref="B831" r:id="rId51" display="http://www.parkrun.org.uk/gunnersbury/results/weeklyresults?runSeqNumber=344" xr:uid="{63C60A46-0112-455D-A102-72B30BA7CE92}"/>
    <hyperlink ref="B830" r:id="rId52" display="http://www.parkrun.org.uk/gunnersbury/results/weeklyresults?runSeqNumber=343" xr:uid="{517013E7-61C0-44DE-BD11-1C840AAC4A0D}"/>
    <hyperlink ref="B829" r:id="rId53" display="http://www.parkrun.org.uk/gunnersbury/results/weeklyresults?runSeqNumber=340" xr:uid="{1B80ED1C-16A0-4524-B136-7E2FA8792294}"/>
    <hyperlink ref="B828" r:id="rId54" display="http://www.parkrun.org.uk/gunnersbury/results/weeklyresults?runSeqNumber=337" xr:uid="{7D187A19-346F-4730-B9A8-FEA960A0FC65}"/>
    <hyperlink ref="B827" r:id="rId55" display="http://www.parkrun.org.uk/gunnersbury/results/weeklyresults?runSeqNumber=335" xr:uid="{4B18EE8D-1F1D-4A3F-AC98-8371EE9860F1}"/>
    <hyperlink ref="B823" r:id="rId56" display="http://www.parkrun.org.uk/gunnersbury/results/weeklyresults?runSeqNumber=328" xr:uid="{25E915DD-77C4-4FB7-A9E3-00B38A247FD8}"/>
    <hyperlink ref="B822" r:id="rId57" display="http://www.parkrun.org.uk/gunnersbury/results/weeklyresults?runSeqNumber=325" xr:uid="{CACD99B4-706C-48A2-8F82-9D9866272E89}"/>
    <hyperlink ref="B820" r:id="rId58" display="http://www.parkrun.org.uk/gunnersbury/results/weeklyresults?runSeqNumber=322" xr:uid="{6BAC98E8-4716-49F7-81AA-74430A094C3B}"/>
    <hyperlink ref="B818" r:id="rId59" display="http://www.parkrun.org.uk/gunnersbury/results/weeklyresults?runSeqNumber=318" xr:uid="{C0E560D1-318F-42A5-9403-8A0D3A572F95}"/>
    <hyperlink ref="B817" r:id="rId60" display="http://www.parkrun.org.uk/gunnersbury/results/weeklyresults?runSeqNumber=316" xr:uid="{19D6F26B-BF52-4D2B-A9A2-92249300AF03}"/>
    <hyperlink ref="B815" r:id="rId61" display="http://www.parkrun.org.uk/gunnersbury/results/weeklyresults?runSeqNumber=314" xr:uid="{BF937074-19A8-4B44-8F02-24B35B76C781}"/>
    <hyperlink ref="B813" r:id="rId62" display="http://www.parkrun.org.uk/gunnersbury/results/weeklyresults?runSeqNumber=311" xr:uid="{46D48032-BB77-4F12-AEF8-EB13E5DF2DD9}"/>
    <hyperlink ref="B811" r:id="rId63" display="http://www.parkrun.org.uk/gunnersbury/results/weeklyresults?runSeqNumber=310" xr:uid="{6E557577-F512-4826-B1B0-D025C4990E56}"/>
    <hyperlink ref="B810" r:id="rId64" display="http://www.parkrun.org.uk/gunnersbury/results/weeklyresults?runSeqNumber=309" xr:uid="{537FEEA4-E44E-4E7D-8C18-743F790ADF06}"/>
    <hyperlink ref="B809" r:id="rId65" display="http://www.parkrun.org.uk/gunnersbury/results/weeklyresults?runSeqNumber=306" xr:uid="{C2B3F07E-0307-4A8F-878D-8828BD92E99E}"/>
    <hyperlink ref="B808" r:id="rId66" display="http://www.parkrun.org.uk/gunnersbury/results/weeklyresults?runSeqNumber=303" xr:uid="{D85CA551-6EDF-43CA-8B20-FA07B209EA4C}"/>
    <hyperlink ref="B807" r:id="rId67" display="http://www.parkrun.org.uk/gunnersbury/results/weeklyresults?runSeqNumber=300" xr:uid="{61978346-06C8-4B1D-BBA3-294BC7628DAD}"/>
    <hyperlink ref="B806" r:id="rId68" display="http://www.parkrun.org.uk/gunnersbury/results/weeklyresults?runSeqNumber=297" xr:uid="{528412DD-5F7D-46C3-BA84-E377275DBE46}"/>
    <hyperlink ref="B804" r:id="rId69" display="http://www.parkrun.org.uk/gunnersbury/results/weeklyresults?runSeqNumber=294" xr:uid="{CD13A08D-8B9F-4CDD-8C72-50D28E51DCC7}"/>
    <hyperlink ref="B802" r:id="rId70" display="http://www.parkrun.org.uk/gunnersbury/results/weeklyresults?runSeqNumber=288" xr:uid="{9262BA48-CC42-4C67-9E2D-D42D06228A89}"/>
    <hyperlink ref="B801" r:id="rId71" display="http://www.parkrun.org.uk/gunnersbury/results/weeklyresults?runSeqNumber=287" xr:uid="{4A03ABED-6886-4434-BBDC-FA8AA95E2F07}"/>
    <hyperlink ref="B800" r:id="rId72" display="http://www.parkrun.org.uk/gunnersbury/results/weeklyresults?runSeqNumber=282" xr:uid="{42950439-EAF7-4BD2-86C9-ECC5F9FFF5E8}"/>
    <hyperlink ref="B799" r:id="rId73" display="http://www.parkrun.org.uk/gunnersbury/results/weeklyresults?runSeqNumber=279" xr:uid="{D9ADBA9F-8328-4171-A861-850FD20165C2}"/>
    <hyperlink ref="B798" r:id="rId74" display="http://www.parkrun.org.uk/gunnersbury/results/weeklyresults?runSeqNumber=278" xr:uid="{6C1C0933-77D8-4F11-99CD-14C4CFBA0CF5}"/>
    <hyperlink ref="B797" r:id="rId75" display="http://www.parkrun.org.uk/gunnersbury/results/weeklyresults?runSeqNumber=276" xr:uid="{B53C43AC-B532-4D16-BB9A-9DAE199E4FF7}"/>
    <hyperlink ref="B796" r:id="rId76" display="http://www.parkrun.org.uk/gunnersbury/results/weeklyresults?runSeqNumber=275" xr:uid="{4D6416FC-A91D-4C1F-AD0F-E64D0B77515D}"/>
    <hyperlink ref="B795" r:id="rId77" display="http://www.parkrun.org.uk/gunnersbury/results/weeklyresults?runSeqNumber=274" xr:uid="{67070CA7-49FF-42B3-A36F-12854844D199}"/>
    <hyperlink ref="B793" r:id="rId78" display="http://www.parkrun.org.uk/gunnersbury/results/weeklyresults?runSeqNumber=273" xr:uid="{D1C1E8A3-C931-460F-AFA3-D72926024116}"/>
    <hyperlink ref="B791" r:id="rId79" display="http://www.parkrun.org.uk/gunnersbury/results/weeklyresults?runSeqNumber=269" xr:uid="{A9E2E82A-5FD9-4C03-A8EF-778BA579E6B5}"/>
    <hyperlink ref="B789" r:id="rId80" display="http://www.parkrun.org.uk/gunnersbury/results/weeklyresults?runSeqNumber=268" xr:uid="{D91CE9E5-02FF-49EE-9FCF-E7AA758E1A1C}"/>
    <hyperlink ref="B788" r:id="rId81" display="http://www.parkrun.org.uk/gunnersbury/results/weeklyresults?runSeqNumber=267" xr:uid="{215016A0-282F-455B-BDEB-9CF0D6AD30A8}"/>
    <hyperlink ref="B785" r:id="rId82" display="http://www.parkrun.org.uk/gunnersbury/results/weeklyresults?runSeqNumber=265" xr:uid="{62624402-D459-45F7-B7A0-D0C4EA820021}"/>
    <hyperlink ref="B783" r:id="rId83" display="http://www.parkrun.org.uk/gunnersbury/results/weeklyresults?runSeqNumber=263" xr:uid="{355494C8-046D-49F7-A7E6-CFF2BE9A8149}"/>
    <hyperlink ref="B780" r:id="rId84" display="http://www.parkrun.org.uk/gunnersbury/results/weeklyresults?runSeqNumber=258" xr:uid="{9C33A566-9E7D-494D-9989-9DF0113444FB}"/>
    <hyperlink ref="B777" r:id="rId85" display="http://www.parkrun.org.uk/gunnersbury/results/weeklyresults?runSeqNumber=254" xr:uid="{052BA0F7-AD87-4179-B559-AE314EDD2CA7}"/>
    <hyperlink ref="B775" r:id="rId86" display="http://www.parkrun.org.uk/gunnersbury/results/weeklyresults?runSeqNumber=250" xr:uid="{A7C91393-5783-4BD6-AC8C-BE1224F17BE6}"/>
    <hyperlink ref="B773" r:id="rId87" display="http://www.parkrun.org.uk/gunnersbury/results/weeklyresults?runSeqNumber=244" xr:uid="{13AD5210-F69C-4F53-A1E8-A28A83A2B32E}"/>
    <hyperlink ref="B772" r:id="rId88" display="http://www.parkrun.org.uk/gunnersbury/results/weeklyresults?runSeqNumber=240" xr:uid="{353E5038-B953-41F0-85E6-30BFABAEC396}"/>
    <hyperlink ref="B771" r:id="rId89" display="http://www.parkrun.org.uk/gunnersbury/results/weeklyresults?runSeqNumber=237" xr:uid="{010FAD05-BB09-4451-875B-8E89530E165A}"/>
    <hyperlink ref="B770" r:id="rId90" display="http://www.parkrun.org.uk/gunnersbury/results/weeklyresults?runSeqNumber=234" xr:uid="{4073A7E6-657C-465F-A922-B6BEF673BE7E}"/>
    <hyperlink ref="B767" r:id="rId91" display="http://www.parkrun.org.uk/gunnersbury/results/weeklyresults?runSeqNumber=231" xr:uid="{4E71F6CF-0E10-4F53-A8E1-21DC6A68BD3A}"/>
    <hyperlink ref="B766" r:id="rId92" display="http://www.parkrun.org.uk/gunnersbury/results/weeklyresults?runSeqNumber=226" xr:uid="{14821ACE-845D-472F-84E8-CF14CEE51448}"/>
    <hyperlink ref="B765" r:id="rId93" display="http://www.parkrun.org.uk/gunnersbury/results/weeklyresults?runSeqNumber=223" xr:uid="{2F646F36-40FF-4FFF-AC39-41590C62B901}"/>
    <hyperlink ref="B760" r:id="rId94" display="http://www.parkrun.org.uk/gunnersbury/results/weeklyresults?runSeqNumber=217" xr:uid="{622C79E6-0F86-40D6-A578-1638E3B94360}"/>
    <hyperlink ref="B758" r:id="rId95" display="http://www.parkrun.org.uk/gunnersbury/results/weeklyresults?runSeqNumber=215" xr:uid="{644EE304-F3C2-4DCD-9BB3-08AEC8144A14}"/>
    <hyperlink ref="B757" r:id="rId96" display="http://www.parkrun.org.uk/gunnersbury/results/weeklyresults?runSeqNumber=213" xr:uid="{DE4B43ED-76C2-4FF5-9FD5-83EB7AC9A4D0}"/>
    <hyperlink ref="B755" r:id="rId97" display="http://www.parkrun.org.uk/gunnersbury/results/weeklyresults?runSeqNumber=210" xr:uid="{1EDA44E8-1E7F-45B3-BB74-BB983CAF76B4}"/>
    <hyperlink ref="B752" r:id="rId98" display="http://www.parkrun.org.uk/gunnersbury/results/weeklyresults?runSeqNumber=206" xr:uid="{DF8BC934-0DED-401E-BC8C-D59FC3DBE3D4}"/>
    <hyperlink ref="B750" r:id="rId99" display="http://www.parkrun.org.uk/gunnersbury/results/weeklyresults?runSeqNumber=202" xr:uid="{0988E481-806D-4D10-B6EA-AEA65E36CD98}"/>
    <hyperlink ref="B743" r:id="rId100" display="http://www.parkrun.org.uk/gunnersbury/results/weeklyresults?runSeqNumber=198" xr:uid="{88D64855-E091-4C2B-BA05-CE14E2F91034}"/>
    <hyperlink ref="B739" r:id="rId101" display="http://www.parkrun.org.uk/gunnersbury/results/weeklyresults?runSeqNumber=194" xr:uid="{4A95B0BF-ADEC-4416-9F5C-5E56739623AA}"/>
    <hyperlink ref="B733" r:id="rId102" display="http://www.parkrun.org.uk/gunnersbury/results/weeklyresults?runSeqNumber=187" xr:uid="{883EB7C5-3F13-4BF8-9379-9E48DA6E5CB1}"/>
    <hyperlink ref="B732" r:id="rId103" display="http://www.parkrun.org.uk/gunnersbury/results/weeklyresults?runSeqNumber=184" xr:uid="{DDFF1969-5689-4A79-A45E-7FDDDE5C6DFA}"/>
    <hyperlink ref="B724" r:id="rId104" display="http://www.parkrun.org.uk/gunnersbury/results/weeklyresults?runSeqNumber=177" xr:uid="{008FF429-B758-4C78-8DB7-FBF816D7A338}"/>
    <hyperlink ref="B722" r:id="rId105" display="http://www.parkrun.org.uk/gunnersbury/results/weeklyresults?runSeqNumber=174" xr:uid="{9EBAD865-1618-46B8-8820-0E8D6802AC2C}"/>
    <hyperlink ref="B721" r:id="rId106" display="http://www.parkrun.org.uk/gunnersbury/results/weeklyresults?runSeqNumber=172" xr:uid="{93F23784-0957-48C3-B688-1F7862344FA7}"/>
    <hyperlink ref="B719" r:id="rId107" display="http://www.parkrun.org.uk/gunnersbury/results/weeklyresults?runSeqNumber=169" xr:uid="{DA1665AB-A1A0-42E6-9E2C-90A7B700D208}"/>
    <hyperlink ref="B718" r:id="rId108" display="http://www.parkrun.org.uk/gunnersbury/results/weeklyresults?runSeqNumber=166" xr:uid="{A99D0C99-533E-44BE-9B5F-CEF9D19CCA71}"/>
    <hyperlink ref="B717" r:id="rId109" display="http://www.parkrun.org.uk/gunnersbury/results/weeklyresults?runSeqNumber=164" xr:uid="{6D6C8312-7B2C-441B-B641-6DB180D03075}"/>
    <hyperlink ref="B715" r:id="rId110" display="http://www.parkrun.org.uk/gunnersbury/results/weeklyresults?runSeqNumber=161" xr:uid="{45BC47FC-98F1-41CA-8E6D-3CB5EBF45D70}"/>
    <hyperlink ref="B712" r:id="rId111" display="http://www.parkrun.org.uk/gunnersbury/results/weeklyresults?runSeqNumber=160" xr:uid="{2C87B896-7AA9-47D0-8249-FB5E1B928A50}"/>
    <hyperlink ref="B710" r:id="rId112" display="http://www.parkrun.org.uk/gunnersbury/results/weeklyresults?runSeqNumber=159" xr:uid="{E6AA6B24-833C-43FA-9E96-71BCA4DC38DD}"/>
    <hyperlink ref="B705" r:id="rId113" display="http://www.parkrun.org.uk/gunnersbury/results/weeklyresults?runSeqNumber=155" xr:uid="{EA3E2731-EB50-4D41-AF95-A391AE1139F8}"/>
    <hyperlink ref="B704" r:id="rId114" display="http://www.parkrun.org.uk/gunnersbury/results/weeklyresults?runSeqNumber=154" xr:uid="{B9A2B58B-1D90-47A7-898E-51C4D263472E}"/>
    <hyperlink ref="B703" r:id="rId115" display="http://www.parkrun.org.uk/gunnersbury/results/weeklyresults?runSeqNumber=152" xr:uid="{D143062F-4873-49AD-A110-B429D3AD8F1C}"/>
    <hyperlink ref="B701" r:id="rId116" display="http://www.parkrun.org.uk/gunnersbury/results/weeklyresults?runSeqNumber=149" xr:uid="{47CF671D-BA68-4AF5-A9BE-8083DDC539E2}"/>
    <hyperlink ref="B700" r:id="rId117" display="http://www.parkrun.org.uk/gunnersbury/results/weeklyresults?runSeqNumber=147" xr:uid="{50C7B863-379F-45A0-A7C6-23A37F944A89}"/>
    <hyperlink ref="B697" r:id="rId118" display="http://www.parkrun.org.uk/gunnersbury/results/weeklyresults?runSeqNumber=140" xr:uid="{37CE4564-01E1-4701-8614-1C688CBBEC77}"/>
    <hyperlink ref="B690" r:id="rId119" display="http://www.parkrun.org.uk/gunnersbury/results/weeklyresults?runSeqNumber=131" xr:uid="{EAA64976-930A-4277-9F59-07A6BC6E0F5D}"/>
    <hyperlink ref="B685" r:id="rId120" display="http://www.parkrun.org.uk/gunnersbury/results/weeklyresults?runSeqNumber=126" xr:uid="{9E39CBA6-2E3D-4328-A734-FB1D5993E9FA}"/>
    <hyperlink ref="B683" r:id="rId121" display="http://www.parkrun.org.uk/gunnersbury/results/weeklyresults?runSeqNumber=120" xr:uid="{B41C9033-FDE5-4F25-8CCA-B39A573F0ABE}"/>
    <hyperlink ref="B682" r:id="rId122" display="http://www.parkrun.org.uk/gunnersbury/results/weeklyresults?runSeqNumber=119" xr:uid="{53659EA6-5620-4F4B-A515-B92541828A79}"/>
    <hyperlink ref="B679" r:id="rId123" display="http://www.parkrun.org.uk/gunnersbury/results/weeklyresults?runSeqNumber=113" xr:uid="{7E06A785-2BC1-466C-8CA4-8A746584AC03}"/>
    <hyperlink ref="B674" r:id="rId124" display="http://www.parkrun.org.uk/gunnersbury/results/weeklyresults?runSeqNumber=110" xr:uid="{03E4C86F-3BAE-4B7F-B86A-835675E02296}"/>
    <hyperlink ref="B671" r:id="rId125" display="http://www.parkrun.org.uk/gunnersbury/results/weeklyresults?runSeqNumber=109" xr:uid="{CC85EC78-9611-4BBA-BEB8-A151EB85F09E}"/>
    <hyperlink ref="B660" r:id="rId126" display="http://www.parkrun.org.uk/gunnersbury/results/weeklyresults?runSeqNumber=104" xr:uid="{E13D99F4-F3C1-47B7-A280-DDE8DAD3AFA9}"/>
    <hyperlink ref="B658" r:id="rId127" display="http://www.parkrun.org.uk/gunnersbury/results/weeklyresults?runSeqNumber=103" xr:uid="{8FA5F147-A2AD-4BCE-BCE2-B57FECF01C34}"/>
    <hyperlink ref="B656" r:id="rId128" display="http://www.parkrun.org.uk/gunnersbury/results/weeklyresults?runSeqNumber=100" xr:uid="{A1E61FF6-BBC1-4EE1-8950-54D5D7B42352}"/>
    <hyperlink ref="B652" r:id="rId129" display="http://www.parkrun.org.uk/gunnersbury/results/weeklyresults?runSeqNumber=96" xr:uid="{60B787B3-CB27-453E-B015-E1494566B066}"/>
    <hyperlink ref="B651" r:id="rId130" display="http://www.parkrun.org.uk/gunnersbury/results/weeklyresults?runSeqNumber=93" xr:uid="{994CB3AB-EB28-4FD4-A2F3-BD8439ABA27B}"/>
    <hyperlink ref="B649" r:id="rId131" display="http://www.parkrun.org.uk/gunnersbury/results/weeklyresults?runSeqNumber=91" xr:uid="{FB1365C1-0F96-4206-A048-ECCAC620AA57}"/>
    <hyperlink ref="B646" r:id="rId132" display="http://www.parkrun.org.uk/gunnersbury/results/weeklyresults?runSeqNumber=88" xr:uid="{498AB82B-7B59-47AD-8A2B-9B51EE13B988}"/>
    <hyperlink ref="B644" r:id="rId133" display="http://www.parkrun.org.uk/gunnersbury/results/weeklyresults?runSeqNumber=86" xr:uid="{3191EA5E-A921-4978-9EA0-D16D0F6AA8CD}"/>
    <hyperlink ref="B642" r:id="rId134" display="http://www.parkrun.org.uk/gunnersbury/results/weeklyresults?runSeqNumber=84" xr:uid="{A8B99265-22CA-4FB1-AE88-468C32CBD97A}"/>
    <hyperlink ref="B640" r:id="rId135" display="http://www.parkrun.org.uk/gunnersbury/results/weeklyresults?runSeqNumber=80" xr:uid="{6210522F-60BD-4F1C-B494-16A2844CBA74}"/>
    <hyperlink ref="B636" r:id="rId136" display="http://www.parkrun.org.uk/gunnersbury/results/weeklyresults?runSeqNumber=76" xr:uid="{7CD7EE21-6E1F-49C7-B491-9AC71AA55308}"/>
    <hyperlink ref="B633" r:id="rId137" display="http://www.parkrun.org.uk/gunnersbury/results/weeklyresults?runSeqNumber=74" xr:uid="{262E637C-6FB7-4303-9F55-00293E1E9296}"/>
    <hyperlink ref="B629" r:id="rId138" display="http://www.parkrun.org.uk/gunnersbury/results/weeklyresults?runSeqNumber=71" xr:uid="{352D514F-2987-4A9C-9AAF-3F670A20068E}"/>
    <hyperlink ref="B627" r:id="rId139" display="http://www.parkrun.org.uk/gunnersbury/results/weeklyresults?runSeqNumber=69" xr:uid="{3E25B61E-62F9-4915-8548-52BB118F6316}"/>
    <hyperlink ref="B623" r:id="rId140" display="http://www.parkrun.org.uk/gunnersbury/results/weeklyresults?runSeqNumber=65" xr:uid="{1EF2CAAC-1C5A-4769-920E-D54000D90D7A}"/>
    <hyperlink ref="B622" r:id="rId141" display="http://www.parkrun.org.uk/gunnersbury/results/weeklyresults?runSeqNumber=64" xr:uid="{7CBEDA60-C932-4C38-B8BA-732515DEBE81}"/>
    <hyperlink ref="B618" r:id="rId142" display="http://www.parkrun.org.uk/gunnersbury/results/weeklyresults?runSeqNumber=61" xr:uid="{B8111395-1A9A-4984-A323-9674B787AC69}"/>
    <hyperlink ref="B617" r:id="rId143" display="http://www.parkrun.org.uk/gunnersbury/results/weeklyresults?runSeqNumber=60" xr:uid="{40BBBD72-5783-4061-BCF5-ADA2D17CA037}"/>
    <hyperlink ref="B614" r:id="rId144" display="http://www.parkrun.org.uk/gunnersbury/results/weeklyresults?runSeqNumber=59" xr:uid="{5DED6FBD-EC96-4562-A44A-3DC29B227156}"/>
    <hyperlink ref="B612" r:id="rId145" display="http://www.parkrun.org.uk/gunnersbury/results/weeklyresults?runSeqNumber=58" xr:uid="{04DE80B4-1FC2-46D9-9DA7-9F0BA5437175}"/>
    <hyperlink ref="B611" r:id="rId146" display="http://www.parkrun.org.uk/gunnersbury/results/weeklyresults?runSeqNumber=57" xr:uid="{ECD909F9-4C3E-4268-9F12-9EE203830873}"/>
    <hyperlink ref="B610" r:id="rId147" display="http://www.parkrun.org.uk/gunnersbury/results/weeklyresults?runSeqNumber=56" xr:uid="{46130A71-2BC9-4E42-9B54-4EFCD2F796B0}"/>
    <hyperlink ref="B606" r:id="rId148" display="http://www.parkrun.org.uk/gunnersbury/results/weeklyresults?runSeqNumber=52" xr:uid="{653A2824-54CE-4262-ADC1-E59E2357DE19}"/>
    <hyperlink ref="B601" r:id="rId149" display="http://www.parkrun.org.uk/gunnersbury/results/weeklyresults?runSeqNumber=48" xr:uid="{3C7B0496-7B63-4E56-9B30-1C30B3A8CACA}"/>
    <hyperlink ref="B598" r:id="rId150" display="http://www.parkrun.org.uk/gunnersbury/results/weeklyresults?runSeqNumber=46" xr:uid="{0211670F-7CF3-4C19-9BD4-056A30F91837}"/>
    <hyperlink ref="B596" r:id="rId151" display="http://www.parkrun.org.uk/gunnersbury/results/weeklyresults?runSeqNumber=44" xr:uid="{CACEB6C6-7CCB-41FD-9CE5-342F7F05F21D}"/>
    <hyperlink ref="B595" r:id="rId152" display="http://www.parkrun.org.uk/gunnersbury/results/weeklyresults?runSeqNumber=43" xr:uid="{CCD19413-F72D-4ABC-A2B4-F96006046BB6}"/>
    <hyperlink ref="B588" r:id="rId153" display="http://www.parkrun.org.uk/gunnersbury/results/weeklyresults?runSeqNumber=37" xr:uid="{642AE67F-DBF6-4424-838E-77596B6182E0}"/>
    <hyperlink ref="B584" r:id="rId154" display="http://www.parkrun.org.uk/gunnersbury/results/weeklyresults?runSeqNumber=35" xr:uid="{42FEE719-FA5D-44D6-BCB5-3CE462DEEF32}"/>
    <hyperlink ref="B582" r:id="rId155" display="http://www.parkrun.org.uk/gunnersbury/results/weeklyresults?runSeqNumber=34" xr:uid="{DB780821-24CE-4C03-81C5-8C44E97C2D3D}"/>
    <hyperlink ref="B580" r:id="rId156" display="http://www.parkrun.org.uk/gunnersbury/results/weeklyresults?runSeqNumber=33" xr:uid="{6E04930A-891C-4865-8FB9-9DE0C7EF4830}"/>
    <hyperlink ref="B579" r:id="rId157" display="http://www.parkrun.org.uk/gunnersbury/results/weeklyresults?runSeqNumber=32" xr:uid="{F47EF292-DD0D-4566-B47B-9B057DB13B17}"/>
    <hyperlink ref="B577" r:id="rId158" display="http://www.parkrun.org.uk/gunnersbury/results/weeklyresults?runSeqNumber=30" xr:uid="{D0EBF9DA-4B52-4B07-BB1A-324761725847}"/>
    <hyperlink ref="B575" r:id="rId159" display="http://www.parkrun.org.uk/gunnersbury/results/weeklyresults?runSeqNumber=29" xr:uid="{BC41D723-4EC8-4579-9EB2-E2FA602C2786}"/>
    <hyperlink ref="B572" r:id="rId160" display="http://www.parkrun.org.uk/gunnersbury/results/weeklyresults?runSeqNumber=26" xr:uid="{E68EAD62-2F4B-4954-8915-89B07FDE40AB}"/>
    <hyperlink ref="B571" r:id="rId161" display="http://www.parkrun.org.uk/gunnersbury/results/weeklyresults?runSeqNumber=25" xr:uid="{613A8884-1807-43D7-AE8C-7DF380681828}"/>
    <hyperlink ref="B569" r:id="rId162" display="http://www.parkrun.org.uk/gunnersbury/results/weeklyresults?runSeqNumber=24" xr:uid="{AC5AC3DB-C102-45F7-A741-0FE625984155}"/>
    <hyperlink ref="B566" r:id="rId163" display="http://www.parkrun.org.uk/gunnersbury/results/weeklyresults?runSeqNumber=23" xr:uid="{7F55E91B-588A-4810-8B12-732F38573B57}"/>
    <hyperlink ref="B560" r:id="rId164" display="http://www.parkrun.org.uk/gunnersbury/results/weeklyresults?runSeqNumber=21" xr:uid="{66B0BCE6-2F23-47A8-8E25-D3E2FCCA8A08}"/>
    <hyperlink ref="B558" r:id="rId165" display="http://www.parkrun.org.uk/gunnersbury/results/weeklyresults?runSeqNumber=20" xr:uid="{0AF8193B-D604-47E1-89C2-914A90B74C0F}"/>
    <hyperlink ref="B556" r:id="rId166" display="http://www.parkrun.org.uk/gunnersbury/results/weeklyresults?runSeqNumber=19" xr:uid="{3364E3DC-6F59-4997-A75C-16E4404EB786}"/>
    <hyperlink ref="B554" r:id="rId167" display="http://www.parkrun.org.uk/gunnersbury/results/weeklyresults?runSeqNumber=17" xr:uid="{C72C6DB1-8FEF-44EA-AC50-7AE2D7ED8D9E}"/>
    <hyperlink ref="B553" r:id="rId168" display="http://www.parkrun.org.uk/gunnersbury/results/weeklyresults?runSeqNumber=16" xr:uid="{DB09672B-9871-4E01-A5F3-7751C72AC43E}"/>
    <hyperlink ref="B550" r:id="rId169" display="http://www.parkrun.org.uk/gunnersbury/results/weeklyresults?runSeqNumber=15" xr:uid="{915979A3-C8BA-4049-A154-379570085531}"/>
    <hyperlink ref="B548" r:id="rId170" display="http://www.parkrun.org.uk/gunnersbury/results/weeklyresults?runSeqNumber=13" xr:uid="{15882347-8B46-4481-B142-EC89FEEAE86E}"/>
    <hyperlink ref="B544" r:id="rId171" display="http://www.parkrun.org.uk/gunnersbury/results/weeklyresults?runSeqNumber=12" xr:uid="{78D16420-2567-45AF-81C9-F6293C2B0E15}"/>
    <hyperlink ref="B541" r:id="rId172" display="http://www.parkrun.org.uk/gunnersbury/results/weeklyresults?runSeqNumber=11" xr:uid="{41770044-CECF-434B-8D4D-FA50E755B7C1}"/>
    <hyperlink ref="B537" r:id="rId173" display="http://www.parkrun.org.uk/gunnersbury/results/weeklyresults?runSeqNumber=10" xr:uid="{DA6DE379-01B4-4391-8A3A-482372FEF3FA}"/>
    <hyperlink ref="B531" r:id="rId174" display="http://www.parkrun.org.uk/gunnersbury/results/weeklyresults?runSeqNumber=7" xr:uid="{0331EACF-6B5D-4621-B06A-839369063000}"/>
    <hyperlink ref="B528" r:id="rId175" display="http://www.parkrun.org.uk/gunnersbury/results/weeklyresults?runSeqNumber=6" xr:uid="{09C617E1-BD3A-4A88-AB04-C9DC70347B96}"/>
    <hyperlink ref="B522" r:id="rId176" display="http://www.parkrun.org.uk/gunnersbury/results/weeklyresults?runSeqNumber=5" xr:uid="{F8B3258F-9EA3-494D-917C-34DDDB7D533E}"/>
    <hyperlink ref="B513" r:id="rId177" display="http://www.parkrun.org.uk/gunnersbury/results/weeklyresults?runSeqNumber=3" xr:uid="{D9C743CB-FA7B-491D-9E30-CBAEB2F41AE4}"/>
    <hyperlink ref="B507" r:id="rId178" display="http://www.parkrun.org.uk/gunnersbury/results/weeklyresults?runSeqNumber=2" xr:uid="{009C9025-CFF5-41E3-A8EE-F3525DDAD6CF}"/>
    <hyperlink ref="B498" r:id="rId179" display="http://www.parkrun.org.uk/gunnersbury/results/weeklyresults?runSeqNumber=1" xr:uid="{ADDE4251-B3C2-4C0E-BA75-7C4A25CB5C24}"/>
    <hyperlink ref="B790" r:id="rId180" display="http://www.parkrun.org.uk/fulhampalace/results/weeklyresults?runSeqNumber=269" xr:uid="{1AE7CFB5-BBF4-4B6B-B1AE-E348141146B9}"/>
    <hyperlink ref="B784" r:id="rId181" display="http://www.parkrun.org.uk/fulhampalace/results/weeklyresults?runSeqNumber=264" xr:uid="{E09D223D-7256-44EA-BAAB-D50E97BAFBE1}"/>
    <hyperlink ref="B762" r:id="rId182" display="http://www.parkrun.org.uk/fulhampalace/results/weeklyresults?runSeqNumber=221" xr:uid="{BDC85DAD-2AC1-407B-BB30-1D06F2876DFE}"/>
    <hyperlink ref="B720" r:id="rId183" display="http://www.parkrun.org.uk/fulhampalace/results/weeklyresults?runSeqNumber=170" xr:uid="{766AB8E5-B04D-4B80-A0C4-E5F0C7CFDBCB}"/>
    <hyperlink ref="B714" r:id="rId184" display="http://www.parkrun.org.uk/fulhampalace/results/weeklyresults?runSeqNumber=161" xr:uid="{AF0BD298-557B-47E2-92A3-F4002E3D213A}"/>
    <hyperlink ref="B699" r:id="rId185" display="http://www.parkrun.org.uk/fulhampalace/results/weeklyresults?runSeqNumber=144" xr:uid="{C7968EF3-9D81-4049-8878-DF9ED9436661}"/>
    <hyperlink ref="B666" r:id="rId186" display="http://www.parkrun.org.uk/fulhampalace/results/weeklyresults?runSeqNumber=107" xr:uid="{1763F4B7-382A-4921-BA5F-51B7DF0BDEF2}"/>
    <hyperlink ref="B621" r:id="rId187" display="http://www.parkrun.org.uk/fulhampalace/results/weeklyresults?runSeqNumber=64" xr:uid="{1CB521AE-315B-4A98-A24C-8C744718B333}"/>
    <hyperlink ref="B607" r:id="rId188" display="http://www.parkrun.org.uk/fulhampalace/results/weeklyresults?runSeqNumber=53" xr:uid="{AAC6DE66-D850-432C-A49D-F50F904D9AF5}"/>
    <hyperlink ref="B536" r:id="rId189" display="http://www.parkrun.org.uk/fulhampalace/results/weeklyresults?runSeqNumber=10" xr:uid="{BD6525B5-13E2-4E7B-BDCD-0EFBE83F2FFB}"/>
    <hyperlink ref="B521" r:id="rId190" display="http://www.parkrun.org.uk/fulhampalace/results/weeklyresults?runSeqNumber=5" xr:uid="{6B3DBDDC-7A1C-4B99-875E-1D5A4CE3D483}"/>
    <hyperlink ref="B497" r:id="rId191" display="http://www.parkrun.org.uk/fulhampalace/results/weeklyresults?runSeqNumber=1" xr:uid="{89B3FE53-E487-4379-A61E-546F0D925C67}"/>
  </hyperlinks>
  <pageMargins left="0.7" right="0.7" top="0.75" bottom="0.75" header="0.3" footer="0.3"/>
  <pageSetup paperSize="9" orientation="portrait" r:id="rId1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494D1-B20F-4B31-9AC4-1738DF904C41}">
  <dimension ref="A1:X2035"/>
  <sheetViews>
    <sheetView topLeftCell="A1387" workbookViewId="0">
      <selection activeCell="A1409" sqref="A1409"/>
    </sheetView>
  </sheetViews>
  <sheetFormatPr defaultRowHeight="12.75" x14ac:dyDescent="0.2"/>
  <cols>
    <col min="1" max="1" width="11.140625" customWidth="1"/>
    <col min="2" max="2" width="15.140625" customWidth="1"/>
    <col min="3" max="3" width="12" customWidth="1"/>
    <col min="4" max="4" width="10.140625" customWidth="1"/>
    <col min="5" max="5" width="20.140625" customWidth="1"/>
    <col min="6" max="6" width="38.28515625" customWidth="1"/>
  </cols>
  <sheetData>
    <row r="1" spans="1:7" ht="12" customHeight="1" x14ac:dyDescent="0.2">
      <c r="A1" s="33"/>
      <c r="B1" s="2" t="s">
        <v>17306</v>
      </c>
      <c r="C1" s="3"/>
      <c r="D1" s="1581"/>
      <c r="F1" s="69" t="s">
        <v>11630</v>
      </c>
    </row>
    <row r="2" spans="1:7" x14ac:dyDescent="0.2">
      <c r="A2" s="523"/>
      <c r="B2" t="s">
        <v>11457</v>
      </c>
      <c r="C2" s="80"/>
      <c r="D2" s="1585"/>
      <c r="E2" s="80"/>
      <c r="F2" s="80"/>
      <c r="G2" s="82"/>
    </row>
    <row r="3" spans="1:7" x14ac:dyDescent="0.2">
      <c r="A3" s="523">
        <v>43554</v>
      </c>
      <c r="B3" s="1514" t="s">
        <v>4264</v>
      </c>
      <c r="C3" s="1514" t="s">
        <v>5239</v>
      </c>
      <c r="D3" s="1774">
        <v>1.5497685185185186E-2</v>
      </c>
      <c r="E3" s="1514" t="s">
        <v>12230</v>
      </c>
      <c r="F3" s="1514" t="s">
        <v>12240</v>
      </c>
      <c r="G3" s="1755">
        <v>0.80059999999999998</v>
      </c>
    </row>
    <row r="4" spans="1:7" x14ac:dyDescent="0.2">
      <c r="A4" s="523">
        <v>43645</v>
      </c>
      <c r="B4" s="80" t="s">
        <v>4264</v>
      </c>
      <c r="C4" s="80" t="s">
        <v>5239</v>
      </c>
      <c r="D4" s="1786">
        <v>1.5092592592592593E-2</v>
      </c>
      <c r="E4" s="80" t="s">
        <v>13028</v>
      </c>
      <c r="F4" s="1489" t="s">
        <v>13046</v>
      </c>
      <c r="G4" s="1622">
        <v>0.83279999999999998</v>
      </c>
    </row>
    <row r="5" spans="1:7" x14ac:dyDescent="0.2">
      <c r="A5" s="523">
        <v>43757</v>
      </c>
      <c r="B5" s="1489" t="s">
        <v>4264</v>
      </c>
      <c r="C5" s="1489" t="s">
        <v>5239</v>
      </c>
      <c r="D5" s="1786">
        <v>1.486111111111111E-2</v>
      </c>
      <c r="E5" s="1489" t="s">
        <v>15848</v>
      </c>
      <c r="F5" s="1489" t="s">
        <v>15875</v>
      </c>
      <c r="G5" s="1622">
        <v>0.8458</v>
      </c>
    </row>
    <row r="6" spans="1:7" x14ac:dyDescent="0.2">
      <c r="A6" s="34">
        <v>43764</v>
      </c>
      <c r="B6" s="1526" t="s">
        <v>4264</v>
      </c>
      <c r="C6" s="1526" t="s">
        <v>5239</v>
      </c>
      <c r="D6" s="1848">
        <v>1.5497685185185186E-2</v>
      </c>
      <c r="E6" s="1721" t="s">
        <v>15912</v>
      </c>
      <c r="F6" s="1721" t="s">
        <v>9043</v>
      </c>
      <c r="G6" s="1854">
        <v>0.81110000000000004</v>
      </c>
    </row>
    <row r="7" spans="1:7" x14ac:dyDescent="0.2">
      <c r="A7" s="34">
        <v>43617</v>
      </c>
      <c r="B7" s="1499" t="s">
        <v>8457</v>
      </c>
      <c r="C7" s="1499" t="s">
        <v>5239</v>
      </c>
      <c r="D7" s="1785">
        <v>1.5196759259259259E-2</v>
      </c>
      <c r="E7" s="1493" t="s">
        <v>12801</v>
      </c>
      <c r="F7" s="1493" t="s">
        <v>12781</v>
      </c>
      <c r="G7" s="1494">
        <v>0.8165</v>
      </c>
    </row>
    <row r="8" spans="1:7" x14ac:dyDescent="0.2">
      <c r="A8" s="523">
        <v>43638</v>
      </c>
      <c r="B8" s="1493" t="s">
        <v>8457</v>
      </c>
      <c r="C8" s="1569" t="s">
        <v>5239</v>
      </c>
      <c r="D8" s="1792">
        <v>1.5208333333333332E-2</v>
      </c>
      <c r="E8" s="1569" t="s">
        <v>12989</v>
      </c>
      <c r="F8" s="1793" t="s">
        <v>13006</v>
      </c>
      <c r="G8" s="1624">
        <v>0.82650000000000001</v>
      </c>
    </row>
    <row r="9" spans="1:7" x14ac:dyDescent="0.2">
      <c r="A9" s="1673">
        <v>43743</v>
      </c>
      <c r="B9" s="1489" t="s">
        <v>8457</v>
      </c>
      <c r="C9" s="1489" t="s">
        <v>5239</v>
      </c>
      <c r="D9" s="1791">
        <v>1.5474537037037038E-2</v>
      </c>
      <c r="E9" s="1514" t="s">
        <v>15705</v>
      </c>
      <c r="F9" s="1514" t="s">
        <v>15746</v>
      </c>
      <c r="G9" s="1755">
        <v>0.81230000000000002</v>
      </c>
    </row>
    <row r="10" spans="1:7" x14ac:dyDescent="0.2">
      <c r="A10" s="523">
        <v>43694</v>
      </c>
      <c r="B10" s="1404" t="s">
        <v>13279</v>
      </c>
      <c r="C10" s="1404" t="s">
        <v>5239</v>
      </c>
      <c r="D10" s="1733">
        <v>1.5416666666666667E-2</v>
      </c>
      <c r="E10" s="1850" t="s">
        <v>768</v>
      </c>
      <c r="F10" s="1639" t="s">
        <v>15190</v>
      </c>
      <c r="G10" s="1622">
        <v>0.81530000000000002</v>
      </c>
    </row>
    <row r="11" spans="1:7" x14ac:dyDescent="0.2">
      <c r="A11" s="1523">
        <v>43708</v>
      </c>
      <c r="B11" s="1404" t="s">
        <v>13279</v>
      </c>
      <c r="C11" s="1404" t="s">
        <v>5239</v>
      </c>
      <c r="D11" s="1786">
        <v>1.5335648148148147E-2</v>
      </c>
      <c r="E11" s="1489" t="s">
        <v>15364</v>
      </c>
      <c r="F11" s="1489" t="s">
        <v>15388</v>
      </c>
      <c r="G11" s="1622">
        <v>0.8196</v>
      </c>
    </row>
    <row r="12" spans="1:7" x14ac:dyDescent="0.2">
      <c r="A12" s="523">
        <v>43722</v>
      </c>
      <c r="B12" s="1489" t="s">
        <v>13279</v>
      </c>
      <c r="C12" s="1489" t="s">
        <v>5239</v>
      </c>
      <c r="D12" s="1786">
        <v>1.4548611111111111E-2</v>
      </c>
      <c r="E12" s="1404" t="s">
        <v>15472</v>
      </c>
      <c r="F12" s="1489" t="s">
        <v>15506</v>
      </c>
      <c r="G12" s="1622">
        <v>0.86399999999999999</v>
      </c>
    </row>
    <row r="13" spans="1:7" x14ac:dyDescent="0.2">
      <c r="A13" s="1673">
        <v>43785</v>
      </c>
      <c r="B13" s="1514" t="s">
        <v>13279</v>
      </c>
      <c r="C13" s="1514" t="s">
        <v>5239</v>
      </c>
      <c r="D13" s="1791">
        <v>1.5208333333333332E-2</v>
      </c>
      <c r="E13" s="1514" t="s">
        <v>16015</v>
      </c>
      <c r="F13" s="1514" t="s">
        <v>16050</v>
      </c>
      <c r="G13" s="1755">
        <v>0.82650000000000001</v>
      </c>
    </row>
    <row r="14" spans="1:7" x14ac:dyDescent="0.2">
      <c r="A14" s="1751">
        <v>43792</v>
      </c>
      <c r="B14" s="1404" t="s">
        <v>13279</v>
      </c>
      <c r="C14" s="1404" t="s">
        <v>5239</v>
      </c>
      <c r="D14" s="1786">
        <v>1.4907407407407406E-2</v>
      </c>
      <c r="E14" s="1489" t="s">
        <v>16078</v>
      </c>
      <c r="F14" s="1404" t="s">
        <v>16101</v>
      </c>
      <c r="G14" s="1622">
        <v>0.84319999999999995</v>
      </c>
    </row>
    <row r="15" spans="1:7" x14ac:dyDescent="0.2">
      <c r="A15" s="34">
        <v>43806</v>
      </c>
      <c r="B15" s="1489" t="s">
        <v>13279</v>
      </c>
      <c r="C15" s="1489" t="s">
        <v>5239</v>
      </c>
      <c r="D15" s="1786">
        <v>1.556712962962963E-2</v>
      </c>
      <c r="E15" s="1489" t="s">
        <v>16222</v>
      </c>
      <c r="F15" s="1489" t="s">
        <v>16239</v>
      </c>
      <c r="G15" s="1622">
        <v>0.80740000000000001</v>
      </c>
    </row>
    <row r="16" spans="1:7" x14ac:dyDescent="0.2">
      <c r="A16" s="34">
        <v>43824</v>
      </c>
      <c r="B16" s="1404" t="s">
        <v>13279</v>
      </c>
      <c r="C16" s="1404" t="s">
        <v>5239</v>
      </c>
      <c r="D16" s="1621">
        <v>1.5601851851851849E-2</v>
      </c>
      <c r="E16" s="1489" t="s">
        <v>16378</v>
      </c>
      <c r="F16" s="1489" t="s">
        <v>16385</v>
      </c>
      <c r="G16" s="1622">
        <v>0.80559999999999998</v>
      </c>
    </row>
    <row r="17" spans="1:7" ht="13.5" customHeight="1" x14ac:dyDescent="0.2">
      <c r="A17" s="34">
        <v>43652</v>
      </c>
      <c r="B17" s="1371" t="s">
        <v>3230</v>
      </c>
      <c r="C17" s="1404" t="s">
        <v>11625</v>
      </c>
      <c r="D17" s="1786">
        <v>1.3993055555555554E-2</v>
      </c>
      <c r="E17" s="1489" t="s">
        <v>13068</v>
      </c>
      <c r="F17" s="1489" t="s">
        <v>13110</v>
      </c>
      <c r="G17" s="1622">
        <v>0.80310000000000004</v>
      </c>
    </row>
    <row r="18" spans="1:7" ht="14.25" customHeight="1" x14ac:dyDescent="0.2">
      <c r="A18" s="523">
        <v>43757</v>
      </c>
      <c r="B18" s="1489" t="s">
        <v>3230</v>
      </c>
      <c r="C18" s="1489" t="s">
        <v>11625</v>
      </c>
      <c r="D18" s="1733">
        <v>1.383101851851852E-2</v>
      </c>
      <c r="E18" s="1489" t="s">
        <v>15844</v>
      </c>
      <c r="F18" s="1489" t="s">
        <v>15861</v>
      </c>
      <c r="G18" s="1622">
        <v>0.81259999999999999</v>
      </c>
    </row>
    <row r="19" spans="1:7" x14ac:dyDescent="0.2">
      <c r="A19" s="34">
        <v>43764</v>
      </c>
      <c r="B19" s="523" t="s">
        <v>3230</v>
      </c>
      <c r="C19" s="523" t="s">
        <v>11625</v>
      </c>
      <c r="D19" s="1848">
        <v>1.3888888888888888E-2</v>
      </c>
      <c r="E19" s="1721" t="s">
        <v>9497</v>
      </c>
      <c r="F19" s="1721" t="s">
        <v>15922</v>
      </c>
      <c r="G19" s="1854">
        <v>0.80920000000000003</v>
      </c>
    </row>
    <row r="20" spans="1:7" x14ac:dyDescent="0.2">
      <c r="A20" s="523">
        <v>43610</v>
      </c>
      <c r="B20" t="s">
        <v>8230</v>
      </c>
      <c r="C20" s="1370" t="s">
        <v>11625</v>
      </c>
      <c r="D20" s="65">
        <v>1.375E-2</v>
      </c>
      <c r="E20" t="s">
        <v>12510</v>
      </c>
      <c r="F20" s="80" t="s">
        <v>12722</v>
      </c>
      <c r="G20" s="26">
        <v>0.81730000000000003</v>
      </c>
    </row>
    <row r="21" spans="1:7" x14ac:dyDescent="0.2">
      <c r="A21" s="34">
        <v>43617</v>
      </c>
      <c r="B21" s="1499" t="s">
        <v>8230</v>
      </c>
      <c r="C21" s="1499" t="s">
        <v>11625</v>
      </c>
      <c r="D21" s="1785">
        <v>1.3842592592592594E-2</v>
      </c>
      <c r="E21" s="1493" t="s">
        <v>12800</v>
      </c>
      <c r="F21" s="942"/>
      <c r="G21" s="1494">
        <v>0.81189999999999996</v>
      </c>
    </row>
    <row r="22" spans="1:7" ht="25.5" x14ac:dyDescent="0.2">
      <c r="A22" s="34">
        <v>43624</v>
      </c>
      <c r="B22" s="1493" t="s">
        <v>8230</v>
      </c>
      <c r="C22" s="1493" t="s">
        <v>11625</v>
      </c>
      <c r="D22" s="1847">
        <v>1.4016203703703704E-2</v>
      </c>
      <c r="E22" s="1493" t="s">
        <v>12859</v>
      </c>
      <c r="F22" s="1493" t="s">
        <v>12865</v>
      </c>
      <c r="G22" s="1853">
        <v>0.80179999999999996</v>
      </c>
    </row>
    <row r="23" spans="1:7" x14ac:dyDescent="0.2">
      <c r="A23" s="523">
        <v>43631</v>
      </c>
      <c r="B23" s="1499" t="s">
        <v>8230</v>
      </c>
      <c r="C23" s="1499" t="s">
        <v>11625</v>
      </c>
      <c r="D23" s="1847">
        <v>1.3715277777777778E-2</v>
      </c>
      <c r="E23" s="1493" t="s">
        <v>12918</v>
      </c>
      <c r="F23" s="1494"/>
      <c r="G23" s="1853">
        <v>0.81940000000000002</v>
      </c>
    </row>
    <row r="24" spans="1:7" x14ac:dyDescent="0.2">
      <c r="A24" s="523">
        <v>43638</v>
      </c>
      <c r="B24" s="1493" t="s">
        <v>8230</v>
      </c>
      <c r="C24" s="1845" t="s">
        <v>11625</v>
      </c>
      <c r="D24" s="1847">
        <v>1.3865740740740739E-2</v>
      </c>
      <c r="E24" s="1849" t="s">
        <v>12978</v>
      </c>
      <c r="F24" s="1852"/>
      <c r="G24" s="1853">
        <v>0.8105</v>
      </c>
    </row>
    <row r="25" spans="1:7" x14ac:dyDescent="0.2">
      <c r="A25" s="523">
        <v>43659</v>
      </c>
      <c r="B25" s="1537" t="s">
        <v>8230</v>
      </c>
      <c r="C25" s="1537" t="s">
        <v>11625</v>
      </c>
      <c r="D25" s="1789">
        <v>1.3668981481481482E-2</v>
      </c>
      <c r="E25" s="1539" t="s">
        <v>13131</v>
      </c>
      <c r="F25" s="1553" t="s">
        <v>13126</v>
      </c>
      <c r="G25" s="1532">
        <v>0.82220000000000004</v>
      </c>
    </row>
    <row r="26" spans="1:7" x14ac:dyDescent="0.2">
      <c r="A26" s="34">
        <v>43687</v>
      </c>
      <c r="B26" s="1538" t="s">
        <v>8230</v>
      </c>
      <c r="C26" s="1539" t="s">
        <v>11625</v>
      </c>
      <c r="D26" s="1789">
        <v>1.4004629629629629E-2</v>
      </c>
      <c r="E26" s="1539" t="s">
        <v>13445</v>
      </c>
      <c r="F26" s="1554" t="s">
        <v>13451</v>
      </c>
      <c r="G26" s="1532">
        <v>0.80249999999999999</v>
      </c>
    </row>
    <row r="27" spans="1:7" x14ac:dyDescent="0.2">
      <c r="A27" s="1673">
        <v>43785</v>
      </c>
      <c r="B27" s="1773" t="s">
        <v>8230</v>
      </c>
      <c r="C27" s="1557" t="s">
        <v>11625</v>
      </c>
      <c r="D27" s="1788">
        <v>1.4016203703703704E-2</v>
      </c>
      <c r="E27" s="1557" t="s">
        <v>15993</v>
      </c>
      <c r="F27" s="1557" t="s">
        <v>16048</v>
      </c>
      <c r="G27" s="1746">
        <v>0.80179999999999996</v>
      </c>
    </row>
    <row r="28" spans="1:7" x14ac:dyDescent="0.2">
      <c r="A28" s="1673">
        <v>43820</v>
      </c>
      <c r="B28" s="1538" t="s">
        <v>8230</v>
      </c>
      <c r="C28" s="1539" t="s">
        <v>11625</v>
      </c>
      <c r="D28" s="1787">
        <v>1.3657407407407408E-2</v>
      </c>
      <c r="E28" s="1784" t="s">
        <v>16327</v>
      </c>
      <c r="F28" s="1851" t="s">
        <v>16340</v>
      </c>
      <c r="G28" s="26">
        <v>0.82289999999999996</v>
      </c>
    </row>
    <row r="29" spans="1:7" x14ac:dyDescent="0.2">
      <c r="A29" s="1729">
        <v>43827</v>
      </c>
      <c r="B29" s="1404" t="s">
        <v>8230</v>
      </c>
      <c r="C29" s="1404" t="s">
        <v>11625</v>
      </c>
      <c r="D29" s="1621">
        <v>1.4097222222222223E-2</v>
      </c>
      <c r="E29" s="1489" t="s">
        <v>16430</v>
      </c>
      <c r="F29" s="1489" t="s">
        <v>16449</v>
      </c>
      <c r="G29" s="1622">
        <v>0.79720000000000002</v>
      </c>
    </row>
    <row r="30" spans="1:7" x14ac:dyDescent="0.2">
      <c r="A30" s="1523">
        <v>43708</v>
      </c>
      <c r="B30" s="1404" t="s">
        <v>13269</v>
      </c>
      <c r="C30" s="1404" t="s">
        <v>11625</v>
      </c>
      <c r="D30" s="1786">
        <v>1.3981481481481482E-2</v>
      </c>
      <c r="E30" s="1489" t="s">
        <v>15372</v>
      </c>
      <c r="F30" s="1404" t="s">
        <v>15347</v>
      </c>
      <c r="G30" s="1622">
        <v>0.80379999999999996</v>
      </c>
    </row>
    <row r="31" spans="1:7" x14ac:dyDescent="0.2">
      <c r="A31" s="523">
        <v>43722</v>
      </c>
      <c r="B31" s="1489" t="s">
        <v>13269</v>
      </c>
      <c r="C31" s="1489" t="s">
        <v>11625</v>
      </c>
      <c r="D31" s="1786">
        <v>1.3703703703703706E-2</v>
      </c>
      <c r="E31" s="1404" t="s">
        <v>15469</v>
      </c>
      <c r="F31" s="1489" t="s">
        <v>15517</v>
      </c>
      <c r="G31" s="1622">
        <v>0.82010000000000005</v>
      </c>
    </row>
    <row r="32" spans="1:7" x14ac:dyDescent="0.2">
      <c r="A32" s="1673">
        <v>43729</v>
      </c>
      <c r="B32" s="1489" t="s">
        <v>13269</v>
      </c>
      <c r="C32" s="1489" t="s">
        <v>11625</v>
      </c>
      <c r="D32" s="1786">
        <v>1.3958333333333333E-2</v>
      </c>
      <c r="E32" s="1489" t="s">
        <v>15566</v>
      </c>
      <c r="F32" s="1489" t="s">
        <v>15689</v>
      </c>
      <c r="G32" s="1622">
        <v>0.80510000000000004</v>
      </c>
    </row>
    <row r="33" spans="1:8" x14ac:dyDescent="0.2">
      <c r="A33" s="1673">
        <v>43736</v>
      </c>
      <c r="B33" s="1489" t="s">
        <v>13269</v>
      </c>
      <c r="C33" s="1489" t="s">
        <v>11625</v>
      </c>
      <c r="D33" s="1786">
        <v>1.3912037037037037E-2</v>
      </c>
      <c r="E33" s="1489" t="s">
        <v>15634</v>
      </c>
      <c r="F33" s="1489"/>
      <c r="G33" s="1622">
        <v>0.80779999999999996</v>
      </c>
    </row>
    <row r="34" spans="1:8" x14ac:dyDescent="0.2">
      <c r="A34" s="1673">
        <v>43743</v>
      </c>
      <c r="B34" s="1370" t="s">
        <v>13269</v>
      </c>
      <c r="C34" s="1370" t="s">
        <v>11625</v>
      </c>
      <c r="D34" s="1787">
        <v>1.3680555555555555E-2</v>
      </c>
      <c r="E34" s="80" t="s">
        <v>15706</v>
      </c>
      <c r="F34" s="80" t="s">
        <v>15752</v>
      </c>
      <c r="G34" s="26">
        <v>0.82150000000000001</v>
      </c>
      <c r="H34" s="80" t="s">
        <v>15750</v>
      </c>
    </row>
    <row r="35" spans="1:8" ht="12.75" customHeight="1" x14ac:dyDescent="0.2">
      <c r="A35" s="34">
        <v>43771</v>
      </c>
      <c r="B35" s="1514" t="s">
        <v>13269</v>
      </c>
      <c r="C35" s="1514" t="s">
        <v>11625</v>
      </c>
      <c r="D35" s="1787">
        <v>1.3969907407407408E-2</v>
      </c>
      <c r="E35" s="1514" t="s">
        <v>15882</v>
      </c>
      <c r="F35" s="1486"/>
      <c r="G35" s="26">
        <v>0.80449999999999999</v>
      </c>
    </row>
    <row r="36" spans="1:8" ht="12.75" customHeight="1" x14ac:dyDescent="0.2">
      <c r="A36" s="1751">
        <v>43792</v>
      </c>
      <c r="B36" s="1404" t="s">
        <v>13269</v>
      </c>
      <c r="C36" s="1489" t="s">
        <v>11625</v>
      </c>
      <c r="D36" s="1786">
        <v>1.3611111111111112E-2</v>
      </c>
      <c r="E36" s="1489" t="s">
        <v>16078</v>
      </c>
      <c r="F36" s="1404" t="s">
        <v>16105</v>
      </c>
      <c r="G36" s="1622">
        <v>0.82569999999999999</v>
      </c>
    </row>
    <row r="37" spans="1:8" ht="12.75" customHeight="1" x14ac:dyDescent="0.2">
      <c r="A37" s="34">
        <v>43806</v>
      </c>
      <c r="B37" s="1489" t="s">
        <v>13269</v>
      </c>
      <c r="C37" s="1489" t="s">
        <v>11625</v>
      </c>
      <c r="D37" s="1786">
        <v>1.3761574074074074E-2</v>
      </c>
      <c r="E37" s="1489" t="s">
        <v>16213</v>
      </c>
      <c r="F37" s="1489" t="s">
        <v>16229</v>
      </c>
      <c r="G37" s="1622">
        <v>0.81669999999999998</v>
      </c>
    </row>
    <row r="38" spans="1:8" ht="12.75" customHeight="1" x14ac:dyDescent="0.2">
      <c r="A38" s="523">
        <v>43722</v>
      </c>
      <c r="B38" s="1489" t="s">
        <v>15350</v>
      </c>
      <c r="C38" s="1489" t="s">
        <v>860</v>
      </c>
      <c r="D38" s="1786">
        <v>1.2395833333333333E-2</v>
      </c>
      <c r="E38" s="1404" t="s">
        <v>15468</v>
      </c>
      <c r="F38" s="1639" t="s">
        <v>15516</v>
      </c>
      <c r="G38" s="1622">
        <v>0.8609</v>
      </c>
    </row>
    <row r="39" spans="1:8" ht="12.75" customHeight="1" x14ac:dyDescent="0.2">
      <c r="A39" s="523">
        <v>43750</v>
      </c>
      <c r="B39" s="1537" t="s">
        <v>15350</v>
      </c>
      <c r="C39" s="1752" t="s">
        <v>860</v>
      </c>
      <c r="D39" s="1789">
        <v>1.2546296296296297E-2</v>
      </c>
      <c r="E39" s="1539" t="s">
        <v>15802</v>
      </c>
      <c r="F39" s="1539" t="s">
        <v>15831</v>
      </c>
      <c r="G39" s="1532">
        <v>0.85060000000000002</v>
      </c>
      <c r="H39" s="80" t="s">
        <v>15816</v>
      </c>
    </row>
    <row r="40" spans="1:8" ht="12.75" customHeight="1" x14ac:dyDescent="0.2">
      <c r="A40" s="523">
        <v>43722</v>
      </c>
      <c r="B40" s="1489" t="s">
        <v>15490</v>
      </c>
      <c r="C40" s="1489" t="s">
        <v>3012</v>
      </c>
      <c r="D40" s="1786">
        <v>1.2916666666666667E-2</v>
      </c>
      <c r="E40" s="1404" t="s">
        <v>15481</v>
      </c>
      <c r="F40" s="1489">
        <v>7</v>
      </c>
      <c r="G40" s="1622">
        <v>0.80559999999999998</v>
      </c>
    </row>
    <row r="41" spans="1:8" ht="12.75" customHeight="1" x14ac:dyDescent="0.2">
      <c r="A41" s="1673">
        <v>43743</v>
      </c>
      <c r="B41" s="1489" t="s">
        <v>15490</v>
      </c>
      <c r="C41" s="1489" t="s">
        <v>3012</v>
      </c>
      <c r="D41" s="1791">
        <v>1.3136574074074075E-2</v>
      </c>
      <c r="E41" s="1514" t="s">
        <v>15725</v>
      </c>
      <c r="F41" s="1514" t="s">
        <v>15761</v>
      </c>
      <c r="G41" s="1755">
        <v>0.79210000000000003</v>
      </c>
    </row>
    <row r="42" spans="1:8" ht="12.75" customHeight="1" x14ac:dyDescent="0.2">
      <c r="A42" s="1673">
        <v>43785</v>
      </c>
      <c r="B42" s="80" t="s">
        <v>15490</v>
      </c>
      <c r="C42" s="80" t="s">
        <v>3012</v>
      </c>
      <c r="D42" s="1787">
        <v>1.3194444444444444E-2</v>
      </c>
      <c r="E42" s="80" t="s">
        <v>16015</v>
      </c>
      <c r="F42" s="80" t="s">
        <v>16035</v>
      </c>
      <c r="G42" s="26">
        <v>0.78859999999999997</v>
      </c>
    </row>
    <row r="43" spans="1:8" ht="12.75" customHeight="1" x14ac:dyDescent="0.2">
      <c r="A43" s="523">
        <v>43568</v>
      </c>
      <c r="B43" s="1370" t="s">
        <v>3535</v>
      </c>
      <c r="C43" s="1370" t="s">
        <v>3536</v>
      </c>
      <c r="D43" s="65">
        <v>1.2372685185185186E-2</v>
      </c>
      <c r="E43" s="80" t="s">
        <v>12361</v>
      </c>
      <c r="F43" s="80" t="s">
        <v>12430</v>
      </c>
      <c r="G43" s="26">
        <v>0.80820000000000003</v>
      </c>
    </row>
    <row r="44" spans="1:8" ht="12.75" customHeight="1" x14ac:dyDescent="0.2">
      <c r="A44" s="34">
        <v>43824</v>
      </c>
      <c r="B44" s="1404" t="s">
        <v>13270</v>
      </c>
      <c r="C44" s="1404" t="s">
        <v>3536</v>
      </c>
      <c r="D44" s="1621">
        <v>1.224537037037037E-2</v>
      </c>
      <c r="E44" s="1489" t="s">
        <v>16370</v>
      </c>
      <c r="F44" s="1489"/>
      <c r="G44" s="1622">
        <v>0.82330000000000003</v>
      </c>
      <c r="H44" s="80" t="s">
        <v>16386</v>
      </c>
    </row>
    <row r="45" spans="1:8" ht="12.75" customHeight="1" x14ac:dyDescent="0.2">
      <c r="A45" s="1729">
        <v>43827</v>
      </c>
      <c r="B45" s="1404" t="s">
        <v>13270</v>
      </c>
      <c r="C45" s="1489" t="s">
        <v>3536</v>
      </c>
      <c r="D45" s="1621">
        <v>1.2291666666666666E-2</v>
      </c>
      <c r="E45" s="1489" t="s">
        <v>16419</v>
      </c>
      <c r="F45" s="1404" t="s">
        <v>16416</v>
      </c>
      <c r="G45" s="1622">
        <v>0.82020000000000004</v>
      </c>
    </row>
    <row r="46" spans="1:8" ht="12.75" customHeight="1" x14ac:dyDescent="0.2">
      <c r="A46" s="523">
        <v>43484</v>
      </c>
      <c r="B46" s="1514" t="s">
        <v>9701</v>
      </c>
      <c r="C46" s="1514" t="s">
        <v>9702</v>
      </c>
      <c r="D46" s="1774">
        <v>1.4675925925925926E-2</v>
      </c>
      <c r="E46" s="1514" t="s">
        <v>10983</v>
      </c>
      <c r="F46" s="1514" t="s">
        <v>11619</v>
      </c>
      <c r="G46" s="1755">
        <v>0.82410000000000005</v>
      </c>
    </row>
    <row r="47" spans="1:8" ht="12.75" customHeight="1" x14ac:dyDescent="0.2">
      <c r="A47" s="523">
        <v>43491</v>
      </c>
      <c r="B47" s="80" t="s">
        <v>9701</v>
      </c>
      <c r="C47" s="334" t="s">
        <v>9702</v>
      </c>
      <c r="D47" s="1774">
        <v>1.4594907407407405E-2</v>
      </c>
      <c r="E47" s="80" t="s">
        <v>5198</v>
      </c>
      <c r="F47" s="69" t="s">
        <v>11696</v>
      </c>
      <c r="G47" s="1755">
        <v>0.82869999999999999</v>
      </c>
    </row>
    <row r="48" spans="1:8" ht="12.75" customHeight="1" x14ac:dyDescent="0.2">
      <c r="A48" s="523">
        <v>43519</v>
      </c>
      <c r="B48" s="80" t="s">
        <v>9701</v>
      </c>
      <c r="C48" s="80" t="s">
        <v>9702</v>
      </c>
      <c r="D48" s="1774">
        <v>1.4537037037037038E-2</v>
      </c>
      <c r="E48" s="80" t="s">
        <v>5198</v>
      </c>
      <c r="F48" s="80" t="s">
        <v>11884</v>
      </c>
      <c r="G48" s="1755">
        <v>0.83199999999999996</v>
      </c>
    </row>
    <row r="49" spans="1:8" ht="12.75" customHeight="1" x14ac:dyDescent="0.2">
      <c r="A49" s="523">
        <v>43540</v>
      </c>
      <c r="B49" s="1514" t="s">
        <v>9701</v>
      </c>
      <c r="C49" s="1514" t="s">
        <v>9702</v>
      </c>
      <c r="D49" s="1774">
        <v>1.4398148148148148E-2</v>
      </c>
      <c r="E49" s="1514" t="s">
        <v>12123</v>
      </c>
      <c r="F49" s="1514" t="s">
        <v>12122</v>
      </c>
      <c r="G49" s="1755">
        <v>0.84</v>
      </c>
    </row>
    <row r="50" spans="1:8" ht="12.75" customHeight="1" x14ac:dyDescent="0.2">
      <c r="A50" s="523">
        <v>43554</v>
      </c>
      <c r="B50" s="80" t="s">
        <v>9701</v>
      </c>
      <c r="C50" s="80" t="s">
        <v>9702</v>
      </c>
      <c r="D50" s="65">
        <v>1.4386574074074072E-2</v>
      </c>
      <c r="E50" s="80" t="s">
        <v>12238</v>
      </c>
      <c r="F50" s="80" t="s">
        <v>12236</v>
      </c>
      <c r="G50" s="26">
        <v>0.8407</v>
      </c>
      <c r="H50" t="s">
        <v>12237</v>
      </c>
    </row>
    <row r="51" spans="1:8" ht="12.75" customHeight="1" x14ac:dyDescent="0.2">
      <c r="A51" s="523">
        <v>43561</v>
      </c>
      <c r="B51" s="1370" t="s">
        <v>9701</v>
      </c>
      <c r="C51" s="1370" t="s">
        <v>9702</v>
      </c>
      <c r="D51" s="1774">
        <v>1.3888888888888888E-2</v>
      </c>
      <c r="E51" s="80" t="s">
        <v>12329</v>
      </c>
      <c r="F51" s="80" t="s">
        <v>12341</v>
      </c>
      <c r="G51" s="1755">
        <v>0.87080000000000002</v>
      </c>
    </row>
    <row r="52" spans="1:8" ht="12.75" customHeight="1" x14ac:dyDescent="0.2">
      <c r="A52" s="523">
        <v>43575</v>
      </c>
      <c r="B52" s="1489" t="s">
        <v>9701</v>
      </c>
      <c r="C52" s="1489" t="s">
        <v>9702</v>
      </c>
      <c r="D52" s="1774">
        <v>1.3969907407407408E-2</v>
      </c>
      <c r="E52" s="1514" t="s">
        <v>12480</v>
      </c>
      <c r="F52" s="1514" t="s">
        <v>12493</v>
      </c>
      <c r="G52" s="1755">
        <v>0.86580000000000001</v>
      </c>
    </row>
    <row r="53" spans="1:8" ht="12.75" customHeight="1" x14ac:dyDescent="0.2">
      <c r="A53" s="523">
        <v>43582</v>
      </c>
      <c r="B53" s="1370" t="s">
        <v>9701</v>
      </c>
      <c r="C53" s="1370" t="s">
        <v>9702</v>
      </c>
      <c r="D53" s="65">
        <v>1.4004629629629631E-2</v>
      </c>
      <c r="E53" s="1370" t="s">
        <v>12626</v>
      </c>
      <c r="F53" s="1370" t="s">
        <v>12627</v>
      </c>
      <c r="G53" s="26">
        <v>0.86360000000000003</v>
      </c>
    </row>
    <row r="54" spans="1:8" ht="12.75" customHeight="1" x14ac:dyDescent="0.2">
      <c r="A54" s="523">
        <v>43645</v>
      </c>
      <c r="B54" s="80" t="s">
        <v>9701</v>
      </c>
      <c r="C54" s="80" t="s">
        <v>9702</v>
      </c>
      <c r="D54" s="1786">
        <v>1.4143518518518519E-2</v>
      </c>
      <c r="E54" s="80" t="s">
        <v>13028</v>
      </c>
      <c r="F54" s="1489" t="s">
        <v>13044</v>
      </c>
      <c r="G54" s="1622">
        <v>0.85519999999999996</v>
      </c>
    </row>
    <row r="55" spans="1:8" ht="12.75" customHeight="1" x14ac:dyDescent="0.2">
      <c r="A55" s="34">
        <v>43666</v>
      </c>
      <c r="B55" s="1489" t="s">
        <v>9701</v>
      </c>
      <c r="C55" s="1489" t="s">
        <v>9702</v>
      </c>
      <c r="D55" s="1786">
        <v>1.4953703703703703E-2</v>
      </c>
      <c r="E55" s="1489" t="s">
        <v>13209</v>
      </c>
      <c r="F55" s="1489" t="s">
        <v>13227</v>
      </c>
      <c r="G55" s="1622">
        <v>0.80879999999999996</v>
      </c>
    </row>
    <row r="56" spans="1:8" ht="12.75" customHeight="1" x14ac:dyDescent="0.2">
      <c r="A56" s="1523">
        <v>43708</v>
      </c>
      <c r="B56" s="1404" t="s">
        <v>9701</v>
      </c>
      <c r="C56" s="1404" t="s">
        <v>9702</v>
      </c>
      <c r="D56" s="1786">
        <v>1.3969907407407408E-2</v>
      </c>
      <c r="E56" s="1489" t="s">
        <v>15381</v>
      </c>
      <c r="F56" s="1489" t="s">
        <v>15394</v>
      </c>
      <c r="G56" s="1622">
        <v>0.86580000000000001</v>
      </c>
    </row>
    <row r="57" spans="1:8" ht="12.75" customHeight="1" x14ac:dyDescent="0.2">
      <c r="A57" s="34">
        <v>43617</v>
      </c>
      <c r="B57" s="1846" t="s">
        <v>9704</v>
      </c>
      <c r="C57" s="1846" t="s">
        <v>9702</v>
      </c>
      <c r="D57" s="1847">
        <v>1.4097222222222221E-2</v>
      </c>
      <c r="E57" s="1849" t="s">
        <v>12799</v>
      </c>
      <c r="F57" s="1849" t="s">
        <v>12791</v>
      </c>
      <c r="G57" s="1853">
        <v>0.85799999999999998</v>
      </c>
    </row>
    <row r="58" spans="1:8" ht="12.75" customHeight="1" x14ac:dyDescent="0.2">
      <c r="A58" s="34">
        <v>43624</v>
      </c>
      <c r="B58" s="1845" t="s">
        <v>9704</v>
      </c>
      <c r="C58" s="1845" t="s">
        <v>9702</v>
      </c>
      <c r="D58" s="1847">
        <v>1.3854166666666666E-2</v>
      </c>
      <c r="E58" s="1849" t="s">
        <v>12860</v>
      </c>
      <c r="F58" s="1849" t="s">
        <v>12847</v>
      </c>
      <c r="G58" s="1853">
        <v>0.873</v>
      </c>
    </row>
    <row r="59" spans="1:8" ht="12.75" customHeight="1" x14ac:dyDescent="0.2">
      <c r="A59" s="1523">
        <v>43701</v>
      </c>
      <c r="B59" s="1538" t="s">
        <v>9704</v>
      </c>
      <c r="C59" s="1538" t="s">
        <v>9702</v>
      </c>
      <c r="D59" s="1789">
        <v>1.4768518518518518E-2</v>
      </c>
      <c r="E59" s="1539" t="s">
        <v>15279</v>
      </c>
      <c r="F59" s="1539" t="s">
        <v>15313</v>
      </c>
      <c r="G59" s="1532">
        <v>0.81899999999999995</v>
      </c>
    </row>
    <row r="60" spans="1:8" ht="12.75" customHeight="1" x14ac:dyDescent="0.2">
      <c r="A60" s="1729">
        <v>43799</v>
      </c>
      <c r="B60" s="80" t="s">
        <v>9704</v>
      </c>
      <c r="C60" s="80" t="s">
        <v>9702</v>
      </c>
      <c r="D60" s="1787">
        <v>1.4606481481481482E-2</v>
      </c>
      <c r="E60" t="s">
        <v>16164</v>
      </c>
      <c r="F60" s="80" t="s">
        <v>16175</v>
      </c>
      <c r="G60" s="26">
        <v>0.83840000000000003</v>
      </c>
    </row>
    <row r="61" spans="1:8" ht="12.75" customHeight="1" x14ac:dyDescent="0.2">
      <c r="A61" s="1379">
        <v>43673</v>
      </c>
      <c r="B61" s="1489" t="s">
        <v>13273</v>
      </c>
      <c r="C61" s="1489" t="s">
        <v>9702</v>
      </c>
      <c r="D61" s="1786">
        <v>1.4421296296296295E-2</v>
      </c>
      <c r="E61" s="1489" t="s">
        <v>13284</v>
      </c>
      <c r="F61" s="1489" t="s">
        <v>13307</v>
      </c>
      <c r="G61" s="1622">
        <v>0.8387</v>
      </c>
    </row>
    <row r="62" spans="1:8" ht="12.75" customHeight="1" x14ac:dyDescent="0.2">
      <c r="A62" s="34">
        <v>43680</v>
      </c>
      <c r="B62" s="1489" t="s">
        <v>13273</v>
      </c>
      <c r="C62" s="1489" t="s">
        <v>9702</v>
      </c>
      <c r="D62" s="1786">
        <v>1.4247685185185184E-2</v>
      </c>
      <c r="E62" s="1489" t="s">
        <v>13344</v>
      </c>
      <c r="F62" s="1489" t="s">
        <v>13345</v>
      </c>
      <c r="G62" s="1622">
        <v>0.84889999999999999</v>
      </c>
    </row>
    <row r="63" spans="1:8" ht="12.75" customHeight="1" x14ac:dyDescent="0.2">
      <c r="A63" s="34">
        <v>43771</v>
      </c>
      <c r="B63" s="80" t="s">
        <v>13273</v>
      </c>
      <c r="C63" s="80" t="s">
        <v>9702</v>
      </c>
      <c r="D63" s="1787">
        <v>1.4953703703703703E-2</v>
      </c>
      <c r="E63" s="80" t="s">
        <v>15881</v>
      </c>
      <c r="G63" s="26">
        <v>0.81889999999999996</v>
      </c>
    </row>
    <row r="64" spans="1:8" ht="12.75" customHeight="1" x14ac:dyDescent="0.2">
      <c r="A64" s="34">
        <v>43806</v>
      </c>
      <c r="B64" s="1489" t="s">
        <v>13273</v>
      </c>
      <c r="C64" s="1489" t="s">
        <v>9702</v>
      </c>
      <c r="D64" s="1786">
        <v>1.4490740740740742E-2</v>
      </c>
      <c r="E64" s="1489" t="s">
        <v>16224</v>
      </c>
      <c r="F64" s="1489" t="s">
        <v>16235</v>
      </c>
      <c r="G64" s="1622">
        <v>0.84499999999999997</v>
      </c>
    </row>
    <row r="69" spans="1:24" x14ac:dyDescent="0.2">
      <c r="A69" s="2" t="s">
        <v>11616</v>
      </c>
    </row>
    <row r="70" spans="1:24" s="1370" customFormat="1" x14ac:dyDescent="0.2">
      <c r="A70" s="1384">
        <v>43617</v>
      </c>
      <c r="B70" s="1499" t="s">
        <v>4580</v>
      </c>
      <c r="C70" s="1499" t="s">
        <v>4581</v>
      </c>
      <c r="D70" s="1833">
        <v>2.1666666666666667E-2</v>
      </c>
      <c r="E70" s="1499" t="s">
        <v>12799</v>
      </c>
      <c r="F70" s="1499" t="s">
        <v>12778</v>
      </c>
      <c r="G70" s="1814">
        <v>0.54379999999999995</v>
      </c>
    </row>
    <row r="71" spans="1:24" s="1370" customFormat="1" x14ac:dyDescent="0.2">
      <c r="A71" s="1384">
        <v>43582</v>
      </c>
      <c r="B71" s="1489" t="s">
        <v>4580</v>
      </c>
      <c r="C71" s="1489" t="s">
        <v>4581</v>
      </c>
      <c r="D71" s="1733">
        <v>2.2453703703703708E-2</v>
      </c>
      <c r="E71" s="1489" t="s">
        <v>12632</v>
      </c>
      <c r="F71" s="1489" t="s">
        <v>12635</v>
      </c>
      <c r="G71" s="1815">
        <v>0.52470000000000006</v>
      </c>
      <c r="H71" s="1489"/>
      <c r="I71" s="1489"/>
    </row>
    <row r="72" spans="1:24" s="1370" customFormat="1" x14ac:dyDescent="0.2">
      <c r="A72" s="1384">
        <v>43477</v>
      </c>
      <c r="B72" s="1489" t="s">
        <v>4580</v>
      </c>
      <c r="C72" s="1489" t="s">
        <v>4581</v>
      </c>
      <c r="D72" s="1834" t="s">
        <v>787</v>
      </c>
      <c r="E72" s="1489" t="s">
        <v>5947</v>
      </c>
      <c r="F72" s="1489"/>
      <c r="G72" s="1816"/>
    </row>
    <row r="73" spans="1:24" s="1370" customFormat="1" x14ac:dyDescent="0.2">
      <c r="A73" s="1384">
        <v>43466</v>
      </c>
      <c r="B73" s="1489" t="s">
        <v>4580</v>
      </c>
      <c r="C73" s="1489" t="s">
        <v>4581</v>
      </c>
      <c r="D73" s="1733">
        <v>2.2129629629629628E-2</v>
      </c>
      <c r="E73" s="1489" t="s">
        <v>11492</v>
      </c>
      <c r="F73" s="1489" t="s">
        <v>11631</v>
      </c>
      <c r="G73" s="1815">
        <v>0.53239999999999998</v>
      </c>
      <c r="H73" s="1489"/>
      <c r="I73" s="1489"/>
    </row>
    <row r="74" spans="1:24" s="1370" customFormat="1" x14ac:dyDescent="0.2">
      <c r="A74" s="1673">
        <v>43820</v>
      </c>
      <c r="B74" s="1489" t="s">
        <v>868</v>
      </c>
      <c r="C74" s="1489" t="s">
        <v>869</v>
      </c>
      <c r="D74" s="1777">
        <v>3.2881944444444443E-2</v>
      </c>
      <c r="E74" s="80" t="s">
        <v>16325</v>
      </c>
      <c r="F74"/>
      <c r="G74" s="314">
        <v>0.49630000000000002</v>
      </c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1:24" s="1370" customFormat="1" x14ac:dyDescent="0.2">
      <c r="A75" s="34">
        <v>43806</v>
      </c>
      <c r="B75" s="1489" t="s">
        <v>868</v>
      </c>
      <c r="C75" s="1489" t="s">
        <v>869</v>
      </c>
      <c r="D75" s="1621">
        <v>3.1238425925925926E-2</v>
      </c>
      <c r="E75" s="1489" t="s">
        <v>16217</v>
      </c>
      <c r="F75" s="1404"/>
      <c r="G75" s="1817">
        <v>0.52239999999999998</v>
      </c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1:24" s="1370" customFormat="1" x14ac:dyDescent="0.2">
      <c r="A76" s="1729">
        <v>43799</v>
      </c>
      <c r="B76" s="1489" t="s">
        <v>868</v>
      </c>
      <c r="C76" s="1489" t="s">
        <v>869</v>
      </c>
      <c r="D76" s="1674">
        <v>3.1944444444444449E-2</v>
      </c>
      <c r="E76" t="s">
        <v>16159</v>
      </c>
      <c r="F76" s="80" t="s">
        <v>16184</v>
      </c>
      <c r="G76" s="314">
        <v>0.51090000000000002</v>
      </c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1:24" s="1370" customFormat="1" x14ac:dyDescent="0.2">
      <c r="A77" s="1384">
        <v>43771</v>
      </c>
      <c r="B77" s="1489" t="s">
        <v>868</v>
      </c>
      <c r="C77" s="1489" t="s">
        <v>869</v>
      </c>
      <c r="D77" s="1731">
        <v>3.3055555555555553E-2</v>
      </c>
      <c r="E77" s="1370" t="s">
        <v>15886</v>
      </c>
      <c r="G77" s="1816">
        <v>0.49370000000000003</v>
      </c>
    </row>
    <row r="78" spans="1:24" s="1370" customFormat="1" x14ac:dyDescent="0.2">
      <c r="A78" s="523">
        <v>43757</v>
      </c>
      <c r="B78" s="1489" t="s">
        <v>868</v>
      </c>
      <c r="C78" s="1489" t="s">
        <v>869</v>
      </c>
      <c r="D78" s="1686">
        <v>3.24537037037037E-2</v>
      </c>
      <c r="E78" s="1489" t="s">
        <v>15844</v>
      </c>
      <c r="F78" s="1489" t="s">
        <v>15862</v>
      </c>
      <c r="G78" s="1815">
        <v>0.50290000000000001</v>
      </c>
      <c r="H78" s="1489"/>
      <c r="I78" s="1489"/>
      <c r="J78" s="1489"/>
      <c r="K78" s="1489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</row>
    <row r="79" spans="1:24" s="1370" customFormat="1" x14ac:dyDescent="0.2">
      <c r="A79" s="523">
        <v>43750</v>
      </c>
      <c r="B79" s="1489" t="s">
        <v>868</v>
      </c>
      <c r="C79" s="1489" t="s">
        <v>869</v>
      </c>
      <c r="D79" s="1686">
        <v>3.1041666666666669E-2</v>
      </c>
      <c r="E79" s="1489" t="s">
        <v>15786</v>
      </c>
      <c r="F79" s="1489" t="s">
        <v>15820</v>
      </c>
      <c r="G79" s="1815">
        <v>0.52569999999999995</v>
      </c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</row>
    <row r="80" spans="1:24" s="1370" customFormat="1" x14ac:dyDescent="0.2">
      <c r="A80" s="1729">
        <v>43736</v>
      </c>
      <c r="B80" s="1489" t="s">
        <v>868</v>
      </c>
      <c r="C80" s="1489" t="s">
        <v>869</v>
      </c>
      <c r="D80" s="1686">
        <v>2.9942129629629628E-2</v>
      </c>
      <c r="E80" s="1489" t="s">
        <v>15639</v>
      </c>
      <c r="F80" s="1489" t="s">
        <v>15664</v>
      </c>
      <c r="G80" s="1815">
        <v>0.54500000000000004</v>
      </c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</row>
    <row r="81" spans="1:24" s="1370" customFormat="1" x14ac:dyDescent="0.2">
      <c r="A81" s="1729">
        <v>43729</v>
      </c>
      <c r="B81" s="1489" t="s">
        <v>868</v>
      </c>
      <c r="C81" s="1489" t="s">
        <v>869</v>
      </c>
      <c r="D81" s="1686">
        <v>2.8831018518518516E-2</v>
      </c>
      <c r="E81" s="1489" t="s">
        <v>15580</v>
      </c>
      <c r="F81" s="1489" t="s">
        <v>15606</v>
      </c>
      <c r="G81" s="1815">
        <v>0.56599999999999995</v>
      </c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1:24" s="1370" customFormat="1" x14ac:dyDescent="0.2">
      <c r="A82" s="523">
        <v>43722</v>
      </c>
      <c r="B82" s="1489" t="s">
        <v>868</v>
      </c>
      <c r="C82" s="1489" t="s">
        <v>869</v>
      </c>
      <c r="D82" s="1686">
        <v>3.6238425925925924E-2</v>
      </c>
      <c r="E82" s="1489" t="s">
        <v>15467</v>
      </c>
      <c r="F82" s="1489" t="s">
        <v>15509</v>
      </c>
      <c r="G82" s="1815">
        <v>0.45029999999999998</v>
      </c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</row>
    <row r="83" spans="1:24" s="1370" customFormat="1" x14ac:dyDescent="0.2">
      <c r="A83" s="1526">
        <v>43708</v>
      </c>
      <c r="B83" s="1489" t="s">
        <v>868</v>
      </c>
      <c r="C83" s="1489" t="s">
        <v>869</v>
      </c>
      <c r="D83" s="1686">
        <v>3.0625000000000003E-2</v>
      </c>
      <c r="E83" s="1489" t="s">
        <v>15374</v>
      </c>
      <c r="F83" s="1489"/>
      <c r="G83" s="1815">
        <v>0.53290000000000004</v>
      </c>
      <c r="H83" s="1489"/>
      <c r="I83" s="1489"/>
      <c r="J83" s="1489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</row>
    <row r="84" spans="1:24" s="1370" customFormat="1" x14ac:dyDescent="0.2">
      <c r="A84" s="1526">
        <v>43701</v>
      </c>
      <c r="B84" s="1489" t="s">
        <v>868</v>
      </c>
      <c r="C84" s="1489" t="s">
        <v>869</v>
      </c>
      <c r="D84" s="1686">
        <v>2.8472222222222222E-2</v>
      </c>
      <c r="E84" s="1489" t="s">
        <v>15290</v>
      </c>
      <c r="F84" s="1489" t="s">
        <v>15321</v>
      </c>
      <c r="G84" s="1815">
        <v>0.57320000000000004</v>
      </c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</row>
    <row r="85" spans="1:24" s="1370" customFormat="1" x14ac:dyDescent="0.2">
      <c r="A85" s="523">
        <v>43694</v>
      </c>
      <c r="B85" s="1489" t="s">
        <v>868</v>
      </c>
      <c r="C85" s="1489" t="s">
        <v>869</v>
      </c>
      <c r="D85" s="1733">
        <v>2.9236111111111112E-2</v>
      </c>
      <c r="E85" s="1489" t="s">
        <v>15171</v>
      </c>
      <c r="F85" s="1489"/>
      <c r="G85" s="1815">
        <v>0.55820000000000003</v>
      </c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</row>
    <row r="86" spans="1:24" s="1370" customFormat="1" x14ac:dyDescent="0.2">
      <c r="A86" s="523">
        <v>43687</v>
      </c>
      <c r="B86" s="1489" t="s">
        <v>868</v>
      </c>
      <c r="C86" s="1489" t="s">
        <v>869</v>
      </c>
      <c r="D86" s="1686">
        <v>4.1111111111111112E-2</v>
      </c>
      <c r="E86" s="1489" t="s">
        <v>13435</v>
      </c>
      <c r="F86" s="1489"/>
      <c r="G86" s="1815">
        <v>0.39700000000000002</v>
      </c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</row>
    <row r="87" spans="1:24" s="1370" customFormat="1" x14ac:dyDescent="0.2">
      <c r="A87" s="1384">
        <v>43680</v>
      </c>
      <c r="B87" s="1489" t="s">
        <v>868</v>
      </c>
      <c r="C87" s="1489" t="s">
        <v>869</v>
      </c>
      <c r="D87" s="1686">
        <v>3.726851851851852E-2</v>
      </c>
      <c r="E87" s="1489" t="s">
        <v>13360</v>
      </c>
      <c r="F87" s="1489" t="s">
        <v>13384</v>
      </c>
      <c r="G87" s="1815">
        <v>0.43790000000000001</v>
      </c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</row>
    <row r="88" spans="1:24" s="1370" customFormat="1" x14ac:dyDescent="0.2">
      <c r="A88" s="523">
        <v>43659</v>
      </c>
      <c r="B88" s="1489" t="s">
        <v>868</v>
      </c>
      <c r="C88" s="1489" t="s">
        <v>869</v>
      </c>
      <c r="D88" s="1686">
        <v>2.9224537037037038E-2</v>
      </c>
      <c r="E88" s="1489" t="s">
        <v>13138</v>
      </c>
      <c r="F88" s="1489" t="s">
        <v>13129</v>
      </c>
      <c r="G88" s="1815">
        <v>0.55840000000000001</v>
      </c>
      <c r="H88" s="80"/>
      <c r="I88" s="1489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</row>
    <row r="89" spans="1:24" s="1370" customFormat="1" x14ac:dyDescent="0.2">
      <c r="A89" s="523">
        <v>43638</v>
      </c>
      <c r="B89" s="1489" t="s">
        <v>868</v>
      </c>
      <c r="C89" s="1489" t="s">
        <v>869</v>
      </c>
      <c r="D89" s="1835">
        <v>2.8206018518518519E-2</v>
      </c>
      <c r="E89" s="1569" t="s">
        <v>12987</v>
      </c>
      <c r="F89" s="1569"/>
      <c r="G89" s="1818">
        <v>0.5786</v>
      </c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</row>
    <row r="90" spans="1:24" s="1370" customFormat="1" x14ac:dyDescent="0.2">
      <c r="A90" s="523">
        <v>43631</v>
      </c>
      <c r="B90" s="1489" t="s">
        <v>868</v>
      </c>
      <c r="C90" s="1489" t="s">
        <v>869</v>
      </c>
      <c r="D90" s="1835">
        <v>2.8807870370370373E-2</v>
      </c>
      <c r="E90" s="1569" t="s">
        <v>12932</v>
      </c>
      <c r="F90" s="1514"/>
      <c r="G90" s="1818">
        <v>0.5665</v>
      </c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</row>
    <row r="91" spans="1:24" s="1370" customFormat="1" x14ac:dyDescent="0.2">
      <c r="A91" s="523">
        <v>43624</v>
      </c>
      <c r="B91" s="1489" t="s">
        <v>868</v>
      </c>
      <c r="C91" s="1489" t="s">
        <v>869</v>
      </c>
      <c r="D91" s="1835">
        <v>3.0937499999999996E-2</v>
      </c>
      <c r="E91" s="1569" t="s">
        <v>12875</v>
      </c>
      <c r="F91" s="1569" t="s">
        <v>12877</v>
      </c>
      <c r="G91" s="1818">
        <v>0.52749999999999997</v>
      </c>
      <c r="H91" s="80"/>
      <c r="I91" s="1514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</row>
    <row r="92" spans="1:24" s="1370" customFormat="1" x14ac:dyDescent="0.2">
      <c r="A92" s="1384">
        <v>43617</v>
      </c>
      <c r="B92" s="1489" t="s">
        <v>868</v>
      </c>
      <c r="C92" s="1489" t="s">
        <v>869</v>
      </c>
      <c r="D92" s="1836">
        <v>2.8414351851851847E-2</v>
      </c>
      <c r="E92" s="1568" t="s">
        <v>12801</v>
      </c>
      <c r="F92" s="1568"/>
      <c r="G92" s="1819">
        <v>0.57430000000000003</v>
      </c>
    </row>
    <row r="93" spans="1:24" s="1370" customFormat="1" x14ac:dyDescent="0.2">
      <c r="A93" s="1384">
        <v>43610</v>
      </c>
      <c r="B93" s="1489" t="s">
        <v>868</v>
      </c>
      <c r="C93" s="1489" t="s">
        <v>869</v>
      </c>
      <c r="D93" s="1733">
        <v>2.929398148148148E-2</v>
      </c>
      <c r="E93" s="1489" t="s">
        <v>12733</v>
      </c>
      <c r="F93" s="1489"/>
      <c r="G93" s="1815">
        <v>0.55710000000000004</v>
      </c>
    </row>
    <row r="94" spans="1:24" s="1370" customFormat="1" x14ac:dyDescent="0.2">
      <c r="A94" s="1384">
        <v>43603</v>
      </c>
      <c r="B94" s="1489" t="s">
        <v>868</v>
      </c>
      <c r="C94" s="1489" t="s">
        <v>869</v>
      </c>
      <c r="D94" s="1733">
        <v>2.8333333333333332E-2</v>
      </c>
      <c r="E94" s="1489" t="s">
        <v>12677</v>
      </c>
      <c r="F94" s="1489"/>
      <c r="G94" s="1815">
        <v>0.55840000000000001</v>
      </c>
    </row>
    <row r="95" spans="1:24" s="1370" customFormat="1" x14ac:dyDescent="0.2">
      <c r="A95" s="1384">
        <v>43596</v>
      </c>
      <c r="B95" s="1489" t="s">
        <v>868</v>
      </c>
      <c r="C95" s="1489" t="s">
        <v>869</v>
      </c>
      <c r="D95" s="1733">
        <v>3.1168981481481482E-2</v>
      </c>
      <c r="E95" s="1489" t="s">
        <v>12559</v>
      </c>
      <c r="F95" s="1489" t="s">
        <v>12561</v>
      </c>
      <c r="G95" s="1815">
        <v>0.50760000000000005</v>
      </c>
    </row>
    <row r="96" spans="1:24" s="1370" customFormat="1" x14ac:dyDescent="0.2">
      <c r="A96" s="1384">
        <v>43582</v>
      </c>
      <c r="B96" s="1489" t="s">
        <v>868</v>
      </c>
      <c r="C96" s="1489" t="s">
        <v>869</v>
      </c>
      <c r="D96" s="1733">
        <v>3.1504629629629625E-2</v>
      </c>
      <c r="E96" s="1489" t="s">
        <v>12560</v>
      </c>
      <c r="F96" s="1489" t="s">
        <v>12584</v>
      </c>
      <c r="G96" s="1815">
        <v>0.50219999999999998</v>
      </c>
    </row>
    <row r="97" spans="1:24" s="1370" customFormat="1" x14ac:dyDescent="0.2">
      <c r="A97" s="1384">
        <v>43575</v>
      </c>
      <c r="B97" s="1489" t="s">
        <v>868</v>
      </c>
      <c r="C97" s="1489" t="s">
        <v>869</v>
      </c>
      <c r="D97" s="1733">
        <v>2.8252314814814813E-2</v>
      </c>
      <c r="E97" s="1489" t="s">
        <v>12475</v>
      </c>
      <c r="F97" s="1489" t="s">
        <v>12477</v>
      </c>
      <c r="G97" s="1815">
        <v>0.56230000000000002</v>
      </c>
    </row>
    <row r="98" spans="1:24" s="1370" customFormat="1" x14ac:dyDescent="0.2">
      <c r="A98" s="1384">
        <v>43568</v>
      </c>
      <c r="B98" s="1489" t="s">
        <v>868</v>
      </c>
      <c r="C98" s="1489" t="s">
        <v>869</v>
      </c>
      <c r="D98" s="1733">
        <v>2.8993055555555553E-2</v>
      </c>
      <c r="E98" s="1489" t="s">
        <v>12420</v>
      </c>
      <c r="F98" s="1489" t="s">
        <v>12421</v>
      </c>
      <c r="G98" s="1815">
        <v>0.54569999999999996</v>
      </c>
    </row>
    <row r="99" spans="1:24" s="1370" customFormat="1" x14ac:dyDescent="0.2">
      <c r="A99" s="1384">
        <v>43561</v>
      </c>
      <c r="B99" s="1489" t="s">
        <v>868</v>
      </c>
      <c r="C99" s="1489" t="s">
        <v>869</v>
      </c>
      <c r="D99" s="1733">
        <v>2.7847222222222221E-2</v>
      </c>
      <c r="E99" s="1489" t="s">
        <v>12329</v>
      </c>
      <c r="F99" s="1489" t="s">
        <v>12315</v>
      </c>
      <c r="G99" s="1815">
        <v>0.56820000000000004</v>
      </c>
    </row>
    <row r="100" spans="1:24" s="1370" customFormat="1" x14ac:dyDescent="0.2">
      <c r="A100" s="1384">
        <v>43554</v>
      </c>
      <c r="B100" s="1489" t="s">
        <v>868</v>
      </c>
      <c r="C100" s="1489" t="s">
        <v>869</v>
      </c>
      <c r="D100" s="1733">
        <v>2.8356481481481483E-2</v>
      </c>
      <c r="E100" s="1489" t="s">
        <v>12224</v>
      </c>
      <c r="F100" s="1489" t="s">
        <v>12270</v>
      </c>
      <c r="G100" s="1815">
        <v>0.55800000000000005</v>
      </c>
    </row>
    <row r="101" spans="1:24" s="1370" customFormat="1" x14ac:dyDescent="0.2">
      <c r="A101" s="1384">
        <v>43547</v>
      </c>
      <c r="B101" s="1489" t="s">
        <v>868</v>
      </c>
      <c r="C101" s="1489" t="s">
        <v>869</v>
      </c>
      <c r="D101" s="1733">
        <v>2.8958333333333336E-2</v>
      </c>
      <c r="E101" s="1489" t="s">
        <v>12177</v>
      </c>
      <c r="F101" s="1489" t="s">
        <v>12184</v>
      </c>
      <c r="G101" s="1815">
        <v>0.5464</v>
      </c>
    </row>
    <row r="102" spans="1:24" s="1370" customFormat="1" x14ac:dyDescent="0.2">
      <c r="A102" s="1384">
        <v>43533</v>
      </c>
      <c r="B102" s="1489" t="s">
        <v>868</v>
      </c>
      <c r="C102" s="1489" t="s">
        <v>869</v>
      </c>
      <c r="D102" s="1733">
        <v>2.9409722222222223E-2</v>
      </c>
      <c r="E102" s="1489" t="s">
        <v>12056</v>
      </c>
      <c r="F102" s="1489" t="s">
        <v>12055</v>
      </c>
      <c r="G102" s="1815">
        <v>0.53800000000000003</v>
      </c>
    </row>
    <row r="103" spans="1:24" s="1370" customFormat="1" x14ac:dyDescent="0.2">
      <c r="A103" s="1384">
        <v>43526</v>
      </c>
      <c r="B103" s="1489" t="s">
        <v>868</v>
      </c>
      <c r="C103" s="1489" t="s">
        <v>869</v>
      </c>
      <c r="D103" s="1733">
        <v>2.8923611111111108E-2</v>
      </c>
      <c r="E103" s="1489" t="s">
        <v>11936</v>
      </c>
      <c r="F103" s="1489" t="s">
        <v>11935</v>
      </c>
      <c r="G103" s="1815">
        <v>0.54700000000000004</v>
      </c>
    </row>
    <row r="104" spans="1:24" s="1370" customFormat="1" x14ac:dyDescent="0.2">
      <c r="A104" s="1384">
        <v>43519</v>
      </c>
      <c r="B104" s="1489" t="s">
        <v>868</v>
      </c>
      <c r="C104" s="1489" t="s">
        <v>869</v>
      </c>
      <c r="D104" s="1733">
        <v>2.97337962962963E-2</v>
      </c>
      <c r="E104" s="1489" t="s">
        <v>5456</v>
      </c>
      <c r="F104" s="1489" t="s">
        <v>11882</v>
      </c>
      <c r="G104" s="1815">
        <v>0.53210000000000002</v>
      </c>
      <c r="I104" s="1489"/>
    </row>
    <row r="105" spans="1:24" s="1370" customFormat="1" x14ac:dyDescent="0.2">
      <c r="A105" s="1384">
        <v>43512</v>
      </c>
      <c r="B105" s="1489" t="s">
        <v>868</v>
      </c>
      <c r="C105" s="1489" t="s">
        <v>869</v>
      </c>
      <c r="D105" s="1733">
        <v>2.9722222222222219E-2</v>
      </c>
      <c r="E105" s="1489" t="s">
        <v>5456</v>
      </c>
      <c r="F105" s="1489" t="s">
        <v>11824</v>
      </c>
      <c r="G105" s="1815">
        <v>0.5323</v>
      </c>
      <c r="I105" s="1489"/>
    </row>
    <row r="106" spans="1:24" s="1370" customFormat="1" x14ac:dyDescent="0.2">
      <c r="A106" s="1384">
        <v>43477</v>
      </c>
      <c r="B106" s="1489" t="s">
        <v>868</v>
      </c>
      <c r="C106" s="1489" t="s">
        <v>869</v>
      </c>
      <c r="D106" s="1733">
        <v>3.2083333333333332E-2</v>
      </c>
      <c r="E106" s="1489" t="s">
        <v>5456</v>
      </c>
      <c r="F106" s="1489" t="s">
        <v>11605</v>
      </c>
      <c r="G106" s="1815">
        <v>0.49309999999999998</v>
      </c>
    </row>
    <row r="107" spans="1:24" s="1370" customFormat="1" x14ac:dyDescent="0.2">
      <c r="A107" s="34">
        <v>43806</v>
      </c>
      <c r="B107" s="1489" t="s">
        <v>16205</v>
      </c>
      <c r="C107" s="1489" t="s">
        <v>869</v>
      </c>
      <c r="D107" s="1621">
        <v>3.1226851851851853E-2</v>
      </c>
      <c r="E107" s="1489" t="s">
        <v>16217</v>
      </c>
      <c r="F107" s="1404" t="s">
        <v>15595</v>
      </c>
      <c r="G107" s="1817">
        <v>0.60670000000000002</v>
      </c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</row>
    <row r="108" spans="1:24" s="1370" customFormat="1" x14ac:dyDescent="0.2">
      <c r="A108" s="523">
        <v>43659</v>
      </c>
      <c r="B108" s="1489" t="s">
        <v>13067</v>
      </c>
      <c r="C108" s="1489" t="s">
        <v>869</v>
      </c>
      <c r="D108" s="1686">
        <v>2.9212962962962965E-2</v>
      </c>
      <c r="E108" s="1489" t="s">
        <v>13138</v>
      </c>
      <c r="F108" s="1489" t="s">
        <v>13128</v>
      </c>
      <c r="G108" s="1815">
        <v>0.64859999999999995</v>
      </c>
      <c r="H108" s="80"/>
      <c r="I108" s="1489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</row>
    <row r="109" spans="1:24" s="1370" customFormat="1" x14ac:dyDescent="0.2">
      <c r="A109" s="523">
        <v>43652</v>
      </c>
      <c r="B109" s="1489" t="s">
        <v>13067</v>
      </c>
      <c r="C109" s="1489" t="s">
        <v>869</v>
      </c>
      <c r="D109" s="1686">
        <v>3.1805555555555552E-2</v>
      </c>
      <c r="E109" s="1489" t="s">
        <v>13080</v>
      </c>
      <c r="F109" s="1489" t="s">
        <v>13096</v>
      </c>
      <c r="G109" s="1815">
        <v>0.59570000000000001</v>
      </c>
      <c r="H109" s="1489"/>
      <c r="I109" s="1489"/>
      <c r="J109" s="1489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</row>
    <row r="110" spans="1:24" s="1370" customFormat="1" x14ac:dyDescent="0.2">
      <c r="A110" s="523">
        <v>43715</v>
      </c>
      <c r="B110" s="1370" t="s">
        <v>13187</v>
      </c>
      <c r="C110" s="1370" t="s">
        <v>869</v>
      </c>
      <c r="D110" s="1730">
        <v>3.3935185185185186E-2</v>
      </c>
      <c r="E110" s="80" t="s">
        <v>15422</v>
      </c>
      <c r="F110" s="1489"/>
      <c r="G110" s="317">
        <v>0.55830000000000002</v>
      </c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</row>
    <row r="111" spans="1:24" s="1370" customFormat="1" x14ac:dyDescent="0.2">
      <c r="A111" s="1526">
        <v>43701</v>
      </c>
      <c r="B111" s="1489" t="s">
        <v>13187</v>
      </c>
      <c r="C111" s="1489" t="s">
        <v>869</v>
      </c>
      <c r="D111" s="1686">
        <v>2.8472222222222222E-2</v>
      </c>
      <c r="E111" s="1489" t="s">
        <v>15290</v>
      </c>
      <c r="F111" s="1489" t="s">
        <v>15320</v>
      </c>
      <c r="G111" s="1815">
        <v>0.66539999999999999</v>
      </c>
      <c r="H111" s="80"/>
      <c r="I111" s="1514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</row>
    <row r="112" spans="1:24" s="1370" customFormat="1" x14ac:dyDescent="0.2">
      <c r="A112" s="523">
        <v>43687</v>
      </c>
      <c r="B112" s="1489" t="s">
        <v>13187</v>
      </c>
      <c r="C112" s="1489" t="s">
        <v>869</v>
      </c>
      <c r="D112" s="1686">
        <v>4.1111111111111112E-2</v>
      </c>
      <c r="E112" s="1489" t="s">
        <v>13435</v>
      </c>
      <c r="F112" s="1489" t="s">
        <v>13426</v>
      </c>
      <c r="G112" s="1815">
        <v>0.46089999999999998</v>
      </c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</row>
    <row r="113" spans="1:24" s="1370" customFormat="1" x14ac:dyDescent="0.2">
      <c r="A113" s="523">
        <v>43666</v>
      </c>
      <c r="B113" s="1489" t="s">
        <v>13187</v>
      </c>
      <c r="C113" s="1489" t="s">
        <v>869</v>
      </c>
      <c r="D113" s="1686">
        <v>2.9594907407407407E-2</v>
      </c>
      <c r="E113" s="1489" t="s">
        <v>13194</v>
      </c>
      <c r="F113" s="1489" t="s">
        <v>13211</v>
      </c>
      <c r="G113" s="1815">
        <v>0.64019999999999999</v>
      </c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</row>
    <row r="114" spans="1:24" s="1370" customFormat="1" x14ac:dyDescent="0.2">
      <c r="A114" s="1673">
        <v>43820</v>
      </c>
      <c r="B114" s="1370" t="s">
        <v>13278</v>
      </c>
      <c r="C114" s="1370" t="s">
        <v>869</v>
      </c>
      <c r="D114" s="1777">
        <v>3.2858796296296303E-2</v>
      </c>
      <c r="E114" s="80" t="s">
        <v>16325</v>
      </c>
      <c r="F114" s="80" t="s">
        <v>15382</v>
      </c>
      <c r="G114" s="314">
        <v>0.5766</v>
      </c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</row>
    <row r="115" spans="1:24" s="1370" customFormat="1" x14ac:dyDescent="0.2">
      <c r="A115" s="1384">
        <v>43771</v>
      </c>
      <c r="B115" s="1370" t="s">
        <v>13278</v>
      </c>
      <c r="C115" s="1370" t="s">
        <v>869</v>
      </c>
      <c r="D115" s="1731">
        <v>3.3043981481481487E-2</v>
      </c>
      <c r="E115" s="1370" t="s">
        <v>15886</v>
      </c>
      <c r="G115" s="1816">
        <v>0.57340000000000002</v>
      </c>
    </row>
    <row r="116" spans="1:24" s="1370" customFormat="1" x14ac:dyDescent="0.2">
      <c r="A116" s="1729">
        <v>43736</v>
      </c>
      <c r="B116" s="1489" t="s">
        <v>13278</v>
      </c>
      <c r="C116" s="1489" t="s">
        <v>869</v>
      </c>
      <c r="D116" s="1686">
        <v>2.9942129629629628E-2</v>
      </c>
      <c r="E116" s="1489" t="s">
        <v>15639</v>
      </c>
      <c r="F116" s="1489" t="s">
        <v>15656</v>
      </c>
      <c r="G116" s="1815">
        <v>0.63280000000000003</v>
      </c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</row>
    <row r="117" spans="1:24" s="1370" customFormat="1" x14ac:dyDescent="0.2">
      <c r="A117" s="1729">
        <v>43729</v>
      </c>
      <c r="B117" s="1489" t="s">
        <v>13278</v>
      </c>
      <c r="C117" s="1489" t="s">
        <v>869</v>
      </c>
      <c r="D117" s="1686">
        <v>2.8831018518518516E-2</v>
      </c>
      <c r="E117" s="1489" t="s">
        <v>15580</v>
      </c>
      <c r="F117" s="1489" t="s">
        <v>15595</v>
      </c>
      <c r="G117" s="1815">
        <v>0.65720000000000001</v>
      </c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</row>
    <row r="118" spans="1:24" s="1370" customFormat="1" x14ac:dyDescent="0.2">
      <c r="A118" s="1526">
        <v>43708</v>
      </c>
      <c r="B118" s="1489" t="s">
        <v>13278</v>
      </c>
      <c r="C118" s="1489" t="s">
        <v>869</v>
      </c>
      <c r="D118" s="1686">
        <v>3.0625000000000003E-2</v>
      </c>
      <c r="E118" s="1489" t="s">
        <v>15374</v>
      </c>
      <c r="F118" s="1489" t="s">
        <v>15382</v>
      </c>
      <c r="G118" s="1815">
        <v>0.61870000000000003</v>
      </c>
      <c r="H118" s="1489"/>
      <c r="I118" s="1489"/>
      <c r="J118" s="1489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</row>
    <row r="119" spans="1:24" s="1370" customFormat="1" x14ac:dyDescent="0.2">
      <c r="A119" s="1384">
        <v>43673</v>
      </c>
      <c r="B119" s="1489" t="s">
        <v>13278</v>
      </c>
      <c r="C119" s="1489" t="s">
        <v>869</v>
      </c>
      <c r="D119" s="1686">
        <v>3.0520833333333334E-2</v>
      </c>
      <c r="E119" s="1489" t="s">
        <v>13293</v>
      </c>
      <c r="F119" s="1489" t="s">
        <v>13309</v>
      </c>
      <c r="G119" s="1815">
        <v>0.62080000000000002</v>
      </c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</row>
    <row r="120" spans="1:24" s="1370" customFormat="1" x14ac:dyDescent="0.2">
      <c r="A120" s="523">
        <v>43757</v>
      </c>
      <c r="B120" s="1489" t="s">
        <v>15860</v>
      </c>
      <c r="C120" s="1489" t="s">
        <v>869</v>
      </c>
      <c r="D120" s="1686">
        <v>3.24537037037037E-2</v>
      </c>
      <c r="E120" s="1489" t="s">
        <v>15844</v>
      </c>
      <c r="F120" s="1489"/>
      <c r="G120" s="1815">
        <v>0.58379999999999999</v>
      </c>
      <c r="H120" s="1489"/>
      <c r="I120" s="1489"/>
      <c r="J120" s="1489"/>
      <c r="K120" s="1489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  <row r="121" spans="1:24" s="1370" customFormat="1" x14ac:dyDescent="0.2">
      <c r="A121" s="523">
        <v>43694</v>
      </c>
      <c r="B121" s="1489" t="s">
        <v>15154</v>
      </c>
      <c r="C121" s="1489" t="s">
        <v>869</v>
      </c>
      <c r="D121" s="1733">
        <v>2.9236111111111112E-2</v>
      </c>
      <c r="E121" s="1489" t="s">
        <v>15171</v>
      </c>
      <c r="F121" s="1489" t="s">
        <v>15152</v>
      </c>
      <c r="G121" s="1815">
        <v>0.64810000000000001</v>
      </c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</row>
    <row r="122" spans="1:24" s="1370" customFormat="1" x14ac:dyDescent="0.2">
      <c r="A122" s="1729">
        <v>43799</v>
      </c>
      <c r="B122" s="1370" t="s">
        <v>16197</v>
      </c>
      <c r="C122" s="1370" t="s">
        <v>869</v>
      </c>
      <c r="D122" s="1674">
        <v>3.1956018518518516E-2</v>
      </c>
      <c r="E122" t="s">
        <v>16159</v>
      </c>
      <c r="F122" s="80" t="s">
        <v>16182</v>
      </c>
      <c r="G122" s="314">
        <v>0.59289999999999998</v>
      </c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4" s="1370" customFormat="1" x14ac:dyDescent="0.2">
      <c r="A123" s="1384">
        <v>43680</v>
      </c>
      <c r="B123" s="1489" t="s">
        <v>13370</v>
      </c>
      <c r="C123" s="1489" t="s">
        <v>869</v>
      </c>
      <c r="D123" s="1686">
        <v>3.7280092592592587E-2</v>
      </c>
      <c r="E123" s="1489" t="s">
        <v>13360</v>
      </c>
      <c r="F123" s="1489" t="s">
        <v>13383</v>
      </c>
      <c r="G123" s="1815">
        <v>0.50819999999999999</v>
      </c>
      <c r="H123" s="80"/>
      <c r="I123" s="80"/>
      <c r="J123" s="80"/>
      <c r="K123" s="80"/>
    </row>
    <row r="124" spans="1:24" s="1370" customFormat="1" x14ac:dyDescent="0.2">
      <c r="A124" s="523">
        <v>43750</v>
      </c>
      <c r="B124" s="1489" t="s">
        <v>15814</v>
      </c>
      <c r="C124" s="1489" t="s">
        <v>869</v>
      </c>
      <c r="D124" s="1686">
        <v>3.1041666666666669E-2</v>
      </c>
      <c r="E124" s="1489" t="s">
        <v>15786</v>
      </c>
      <c r="F124" s="1578" t="s">
        <v>15382</v>
      </c>
      <c r="G124" s="1815">
        <v>0.61040000000000005</v>
      </c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</row>
    <row r="125" spans="1:24" s="1370" customFormat="1" x14ac:dyDescent="0.2">
      <c r="A125" s="1384">
        <v>43526</v>
      </c>
      <c r="B125" s="1489" t="s">
        <v>4259</v>
      </c>
      <c r="C125" s="1489" t="s">
        <v>11970</v>
      </c>
      <c r="D125" s="1733">
        <v>2.4918981481481483E-2</v>
      </c>
      <c r="E125" s="1489" t="s">
        <v>11971</v>
      </c>
      <c r="F125" s="1489" t="s">
        <v>3253</v>
      </c>
      <c r="G125" s="1815">
        <v>0.51829999999999998</v>
      </c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</row>
    <row r="126" spans="1:24" s="1370" customFormat="1" x14ac:dyDescent="0.2">
      <c r="A126" s="1729">
        <v>43827</v>
      </c>
      <c r="B126" s="1489" t="s">
        <v>4015</v>
      </c>
      <c r="C126" s="1489" t="s">
        <v>10861</v>
      </c>
      <c r="D126" s="1621">
        <v>1.8564814814814815E-2</v>
      </c>
      <c r="E126" s="1489" t="s">
        <v>16434</v>
      </c>
      <c r="F126" s="1489" t="s">
        <v>16445</v>
      </c>
      <c r="G126" s="1817">
        <v>0.58479999999999999</v>
      </c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24" s="1370" customFormat="1" x14ac:dyDescent="0.2">
      <c r="A127" s="34">
        <v>43824</v>
      </c>
      <c r="B127" s="1489" t="s">
        <v>4015</v>
      </c>
      <c r="C127" s="1489" t="s">
        <v>10861</v>
      </c>
      <c r="D127" s="1621">
        <v>1.9293981481481481E-2</v>
      </c>
      <c r="E127" s="1489" t="s">
        <v>16375</v>
      </c>
      <c r="F127" s="1489"/>
      <c r="G127" s="1817">
        <v>0.56269999999999998</v>
      </c>
      <c r="H127" s="1404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24" s="1370" customFormat="1" x14ac:dyDescent="0.2">
      <c r="A128" s="1765">
        <v>43813</v>
      </c>
      <c r="B128" s="1489" t="s">
        <v>4015</v>
      </c>
      <c r="C128" s="1489" t="s">
        <v>10861</v>
      </c>
      <c r="D128" s="1621">
        <v>1.894675925925926E-2</v>
      </c>
      <c r="E128" s="1489" t="s">
        <v>16260</v>
      </c>
      <c r="F128" s="1489" t="s">
        <v>16305</v>
      </c>
      <c r="G128" s="1817">
        <v>0.57299999999999995</v>
      </c>
      <c r="H128" s="1404"/>
      <c r="I128" s="140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4" s="1370" customFormat="1" x14ac:dyDescent="0.2">
      <c r="A129" s="34">
        <v>43806</v>
      </c>
      <c r="B129" s="1489" t="s">
        <v>4015</v>
      </c>
      <c r="C129" s="1489" t="s">
        <v>10861</v>
      </c>
      <c r="D129" s="1621">
        <v>1.8055555555555554E-2</v>
      </c>
      <c r="E129" s="1489" t="s">
        <v>16224</v>
      </c>
      <c r="F129" s="1404"/>
      <c r="G129" s="1817">
        <v>0.60129999999999995</v>
      </c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spans="1:24" s="1370" customFormat="1" x14ac:dyDescent="0.2">
      <c r="A130" s="1751">
        <v>43792</v>
      </c>
      <c r="B130" s="1489" t="s">
        <v>4015</v>
      </c>
      <c r="C130" s="1489" t="s">
        <v>10861</v>
      </c>
      <c r="D130" s="1786">
        <v>1.8032407407407407E-2</v>
      </c>
      <c r="E130" s="1489" t="s">
        <v>16076</v>
      </c>
      <c r="F130" s="1489" t="s">
        <v>16126</v>
      </c>
      <c r="G130" s="1817">
        <v>0.60209999999999997</v>
      </c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</row>
    <row r="131" spans="1:24" s="1370" customFormat="1" x14ac:dyDescent="0.2">
      <c r="A131" s="1673">
        <v>43785</v>
      </c>
      <c r="B131" s="1489" t="s">
        <v>4015</v>
      </c>
      <c r="C131" s="1489" t="s">
        <v>10861</v>
      </c>
      <c r="D131" s="1674">
        <v>1.8298611111111109E-2</v>
      </c>
      <c r="E131" s="80" t="s">
        <v>16025</v>
      </c>
      <c r="F131" s="80" t="s">
        <v>16029</v>
      </c>
      <c r="G131" s="314">
        <v>0.59330000000000005</v>
      </c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</row>
    <row r="132" spans="1:24" s="1370" customFormat="1" x14ac:dyDescent="0.2">
      <c r="A132" s="523">
        <v>43757</v>
      </c>
      <c r="B132" s="1489" t="s">
        <v>4015</v>
      </c>
      <c r="C132" s="1489" t="s">
        <v>10861</v>
      </c>
      <c r="D132" s="1686">
        <v>1.8703703703703705E-2</v>
      </c>
      <c r="E132" s="1489" t="s">
        <v>15858</v>
      </c>
      <c r="F132" s="1489"/>
      <c r="G132" s="1815">
        <v>0.58040000000000003</v>
      </c>
      <c r="H132" s="1489"/>
      <c r="I132" s="1489"/>
      <c r="J132" s="1489"/>
      <c r="K132" s="1489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</row>
    <row r="133" spans="1:24" s="1370" customFormat="1" x14ac:dyDescent="0.2">
      <c r="A133" s="1729">
        <v>43736</v>
      </c>
      <c r="B133" s="1489" t="s">
        <v>4015</v>
      </c>
      <c r="C133" s="1489" t="s">
        <v>10861</v>
      </c>
      <c r="D133" s="1686">
        <v>1.7928240740740741E-2</v>
      </c>
      <c r="E133" s="1489" t="s">
        <v>15649</v>
      </c>
      <c r="F133" s="1489" t="s">
        <v>15672</v>
      </c>
      <c r="G133" s="1815">
        <v>0.60560000000000003</v>
      </c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</row>
    <row r="134" spans="1:24" s="1370" customFormat="1" x14ac:dyDescent="0.2">
      <c r="A134" s="1729">
        <v>43729</v>
      </c>
      <c r="B134" s="1489" t="s">
        <v>4015</v>
      </c>
      <c r="C134" s="1489" t="s">
        <v>10861</v>
      </c>
      <c r="D134" s="1686">
        <v>1.773148148148148E-2</v>
      </c>
      <c r="E134" s="1489" t="s">
        <v>15570</v>
      </c>
      <c r="F134" s="1489" t="s">
        <v>15607</v>
      </c>
      <c r="G134" s="1815">
        <v>0.61229999999999996</v>
      </c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</row>
    <row r="135" spans="1:24" s="1370" customFormat="1" x14ac:dyDescent="0.2">
      <c r="A135" s="523">
        <v>43722</v>
      </c>
      <c r="B135" s="1489" t="s">
        <v>4015</v>
      </c>
      <c r="C135" s="1489" t="s">
        <v>10861</v>
      </c>
      <c r="D135" s="1686">
        <v>1.8229166666666668E-2</v>
      </c>
      <c r="E135" s="1489" t="s">
        <v>15483</v>
      </c>
      <c r="F135" s="1489" t="s">
        <v>15531</v>
      </c>
      <c r="G135" s="1815">
        <v>0.59560000000000002</v>
      </c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</row>
    <row r="136" spans="1:24" s="1370" customFormat="1" x14ac:dyDescent="0.2">
      <c r="A136" s="523">
        <v>43715</v>
      </c>
      <c r="B136" s="1489" t="s">
        <v>4015</v>
      </c>
      <c r="C136" s="1489" t="s">
        <v>10861</v>
      </c>
      <c r="D136" s="1730">
        <v>1.8506944444444444E-2</v>
      </c>
      <c r="E136" s="80" t="s">
        <v>15417</v>
      </c>
      <c r="F136" s="1489" t="s">
        <v>15439</v>
      </c>
      <c r="G136" s="317">
        <v>0.58660000000000001</v>
      </c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</row>
    <row r="137" spans="1:24" s="1370" customFormat="1" x14ac:dyDescent="0.2">
      <c r="A137" s="1526">
        <v>43701</v>
      </c>
      <c r="B137" s="1489" t="s">
        <v>4015</v>
      </c>
      <c r="C137" s="1489" t="s">
        <v>10861</v>
      </c>
      <c r="D137" s="1686">
        <v>1.7916666666666668E-2</v>
      </c>
      <c r="E137" s="1489" t="s">
        <v>15293</v>
      </c>
      <c r="F137" s="1489" t="s">
        <v>15334</v>
      </c>
      <c r="G137" s="1815">
        <v>0.60589999999999999</v>
      </c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</row>
    <row r="138" spans="1:24" s="1370" customFormat="1" x14ac:dyDescent="0.2">
      <c r="A138" s="523">
        <v>43694</v>
      </c>
      <c r="B138" s="1489" t="s">
        <v>4015</v>
      </c>
      <c r="C138" s="1489" t="s">
        <v>10861</v>
      </c>
      <c r="D138" s="1733">
        <v>1.800925925925926E-2</v>
      </c>
      <c r="E138" s="1489" t="s">
        <v>15174</v>
      </c>
      <c r="F138" s="1489"/>
      <c r="G138" s="1815">
        <v>0.6028</v>
      </c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</row>
    <row r="139" spans="1:24" s="1370" customFormat="1" x14ac:dyDescent="0.2">
      <c r="A139" s="1384">
        <v>43673</v>
      </c>
      <c r="B139" s="1489" t="s">
        <v>4015</v>
      </c>
      <c r="C139" s="1489" t="s">
        <v>10861</v>
      </c>
      <c r="D139" s="1686">
        <v>1.8460648148148146E-2</v>
      </c>
      <c r="E139" s="1489" t="s">
        <v>13302</v>
      </c>
      <c r="F139" s="1489"/>
      <c r="G139" s="1815">
        <v>0.58809999999999996</v>
      </c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</row>
    <row r="140" spans="1:24" s="1370" customFormat="1" x14ac:dyDescent="0.2">
      <c r="A140" s="523">
        <v>43666</v>
      </c>
      <c r="B140" s="1489" t="s">
        <v>4015</v>
      </c>
      <c r="C140" s="1489" t="s">
        <v>10861</v>
      </c>
      <c r="D140" s="1686">
        <v>1.8414351851851852E-2</v>
      </c>
      <c r="E140" s="1489" t="s">
        <v>13197</v>
      </c>
      <c r="F140" s="1489"/>
      <c r="G140" s="1815">
        <v>0.58960000000000001</v>
      </c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</row>
    <row r="141" spans="1:24" s="1370" customFormat="1" x14ac:dyDescent="0.2">
      <c r="A141" s="523">
        <v>43659</v>
      </c>
      <c r="B141" s="1489" t="s">
        <v>4015</v>
      </c>
      <c r="C141" s="1489" t="s">
        <v>10861</v>
      </c>
      <c r="D141" s="1686">
        <v>1.8217592592592594E-2</v>
      </c>
      <c r="E141" s="1489" t="s">
        <v>13142</v>
      </c>
      <c r="F141" s="1489"/>
      <c r="G141" s="1815">
        <v>0.59589999999999999</v>
      </c>
      <c r="H141" s="80"/>
      <c r="I141" s="1489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</row>
    <row r="142" spans="1:24" s="1370" customFormat="1" x14ac:dyDescent="0.2">
      <c r="A142" s="523">
        <v>43652</v>
      </c>
      <c r="B142" s="1489" t="s">
        <v>4015</v>
      </c>
      <c r="C142" s="1489" t="s">
        <v>10861</v>
      </c>
      <c r="D142" s="1686">
        <v>1.7905092592592594E-2</v>
      </c>
      <c r="E142" s="1489" t="s">
        <v>13071</v>
      </c>
      <c r="F142" s="1489"/>
      <c r="G142" s="1815">
        <v>0.60629999999999995</v>
      </c>
      <c r="H142" s="1489"/>
      <c r="I142" s="80"/>
      <c r="J142" s="80"/>
      <c r="K142" s="80"/>
    </row>
    <row r="143" spans="1:24" s="1370" customFormat="1" x14ac:dyDescent="0.2">
      <c r="A143" s="523">
        <v>43638</v>
      </c>
      <c r="B143" s="1489" t="s">
        <v>4015</v>
      </c>
      <c r="C143" s="1489" t="s">
        <v>10861</v>
      </c>
      <c r="D143" s="1835">
        <v>1.8090277777777778E-2</v>
      </c>
      <c r="E143" s="1569" t="s">
        <v>12991</v>
      </c>
      <c r="F143" s="1569"/>
      <c r="G143" s="1818">
        <v>0.60009999999999997</v>
      </c>
      <c r="H143" s="80"/>
      <c r="I143" s="80"/>
      <c r="J143" s="80"/>
      <c r="K143" s="80"/>
    </row>
    <row r="144" spans="1:24" s="1370" customFormat="1" x14ac:dyDescent="0.2">
      <c r="A144" s="1384">
        <v>43575</v>
      </c>
      <c r="B144" s="1489" t="s">
        <v>4015</v>
      </c>
      <c r="C144" s="1489" t="s">
        <v>10861</v>
      </c>
      <c r="D144" s="1733">
        <v>1.7858796296296296E-2</v>
      </c>
      <c r="E144" s="1489" t="s">
        <v>12500</v>
      </c>
      <c r="F144" s="1489" t="s">
        <v>12496</v>
      </c>
      <c r="G144" s="1815">
        <v>0.6079</v>
      </c>
    </row>
    <row r="145" spans="1:24" s="1370" customFormat="1" x14ac:dyDescent="0.2">
      <c r="A145" s="1384">
        <v>43554</v>
      </c>
      <c r="B145" s="1489" t="s">
        <v>4015</v>
      </c>
      <c r="C145" s="1489" t="s">
        <v>10861</v>
      </c>
      <c r="D145" s="1733">
        <v>1.6886574074074075E-2</v>
      </c>
      <c r="E145" s="1489" t="s">
        <v>12238</v>
      </c>
      <c r="F145" s="1489" t="s">
        <v>12506</v>
      </c>
      <c r="G145" s="1815">
        <v>0.64290000000000003</v>
      </c>
    </row>
    <row r="146" spans="1:24" s="1370" customFormat="1" x14ac:dyDescent="0.2">
      <c r="A146" s="1384">
        <v>43547</v>
      </c>
      <c r="B146" s="1489" t="s">
        <v>4015</v>
      </c>
      <c r="C146" s="1489" t="s">
        <v>10861</v>
      </c>
      <c r="D146" s="1733">
        <v>1.7256944444444446E-2</v>
      </c>
      <c r="E146" s="1489" t="s">
        <v>12199</v>
      </c>
      <c r="F146" s="1489" t="s">
        <v>12198</v>
      </c>
      <c r="G146" s="1815">
        <v>0.62909999999999999</v>
      </c>
    </row>
    <row r="147" spans="1:24" s="1370" customFormat="1" x14ac:dyDescent="0.2">
      <c r="A147" s="1384">
        <v>43540</v>
      </c>
      <c r="B147" s="1489" t="s">
        <v>4015</v>
      </c>
      <c r="C147" s="1489" t="s">
        <v>10861</v>
      </c>
      <c r="D147" s="1733">
        <v>1.7766203703703704E-2</v>
      </c>
      <c r="E147" s="1489" t="s">
        <v>12123</v>
      </c>
      <c r="F147" s="1489" t="s">
        <v>12130</v>
      </c>
      <c r="G147" s="1815">
        <v>0.61109999999999998</v>
      </c>
    </row>
    <row r="148" spans="1:24" s="1370" customFormat="1" x14ac:dyDescent="0.2">
      <c r="A148" s="1384">
        <v>43512</v>
      </c>
      <c r="B148" s="1489" t="s">
        <v>4015</v>
      </c>
      <c r="C148" s="1489" t="s">
        <v>10861</v>
      </c>
      <c r="D148" s="1733">
        <v>1.7592592592592594E-2</v>
      </c>
      <c r="E148" s="1489" t="s">
        <v>10983</v>
      </c>
      <c r="F148" s="1489" t="s">
        <v>11833</v>
      </c>
      <c r="G148" s="1815">
        <v>0.61709999999999998</v>
      </c>
    </row>
    <row r="149" spans="1:24" s="1370" customFormat="1" x14ac:dyDescent="0.2">
      <c r="A149" s="1384">
        <v>43484</v>
      </c>
      <c r="B149" s="1489" t="s">
        <v>4015</v>
      </c>
      <c r="C149" s="1489" t="s">
        <v>10861</v>
      </c>
      <c r="D149" s="1733">
        <v>1.7534722222222222E-2</v>
      </c>
      <c r="E149" s="1489" t="s">
        <v>5198</v>
      </c>
      <c r="F149" s="1489" t="s">
        <v>11705</v>
      </c>
      <c r="G149" s="1815">
        <v>0.61909999999999998</v>
      </c>
    </row>
    <row r="150" spans="1:24" s="1370" customFormat="1" x14ac:dyDescent="0.2">
      <c r="A150" s="1384">
        <v>43477</v>
      </c>
      <c r="B150" s="1489" t="s">
        <v>4015</v>
      </c>
      <c r="C150" s="1489" t="s">
        <v>10861</v>
      </c>
      <c r="D150" s="1733">
        <v>1.7141203703703704E-2</v>
      </c>
      <c r="E150" s="1489" t="s">
        <v>5198</v>
      </c>
      <c r="F150" s="1489" t="s">
        <v>4959</v>
      </c>
      <c r="G150" s="1815">
        <v>0.63339999999999996</v>
      </c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</row>
    <row r="151" spans="1:24" s="1370" customFormat="1" x14ac:dyDescent="0.2">
      <c r="A151" s="1384">
        <v>43470</v>
      </c>
      <c r="B151" s="1489" t="s">
        <v>4015</v>
      </c>
      <c r="C151" s="1489" t="s">
        <v>10861</v>
      </c>
      <c r="D151" s="1733">
        <v>1.7175925925925924E-2</v>
      </c>
      <c r="E151" s="1489" t="s">
        <v>5198</v>
      </c>
      <c r="F151" s="1489" t="s">
        <v>1607</v>
      </c>
      <c r="G151" s="1815">
        <v>0.6321</v>
      </c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</row>
    <row r="152" spans="1:24" s="1370" customFormat="1" x14ac:dyDescent="0.2">
      <c r="A152" s="1673">
        <v>43820</v>
      </c>
      <c r="B152" s="1489" t="s">
        <v>3251</v>
      </c>
      <c r="C152" s="1489" t="s">
        <v>3252</v>
      </c>
      <c r="D152" s="1777">
        <v>2.3078703703703702E-2</v>
      </c>
      <c r="E152" s="80" t="s">
        <v>16322</v>
      </c>
      <c r="F152" t="s">
        <v>16344</v>
      </c>
      <c r="G152" s="314">
        <v>0.6008</v>
      </c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</row>
    <row r="153" spans="1:24" s="1370" customFormat="1" x14ac:dyDescent="0.2">
      <c r="A153" s="1765">
        <v>43813</v>
      </c>
      <c r="B153" s="1489" t="s">
        <v>3251</v>
      </c>
      <c r="C153" s="1489" t="s">
        <v>3252</v>
      </c>
      <c r="D153" s="1621">
        <v>1.9768518518518519E-2</v>
      </c>
      <c r="E153" s="1489" t="s">
        <v>16273</v>
      </c>
      <c r="F153" s="1489" t="s">
        <v>16307</v>
      </c>
      <c r="G153" s="1817">
        <v>0.70140000000000002</v>
      </c>
      <c r="H153" s="1404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</row>
    <row r="154" spans="1:24" s="1370" customFormat="1" x14ac:dyDescent="0.2">
      <c r="A154" s="1673">
        <v>43785</v>
      </c>
      <c r="B154" s="1489" t="s">
        <v>3251</v>
      </c>
      <c r="C154" s="1489" t="s">
        <v>3252</v>
      </c>
      <c r="D154" s="1674">
        <v>1.8576388888888889E-2</v>
      </c>
      <c r="E154" s="80" t="s">
        <v>15992</v>
      </c>
      <c r="F154" s="80" t="s">
        <v>16047</v>
      </c>
      <c r="G154" s="314">
        <v>0.74639999999999995</v>
      </c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</row>
    <row r="155" spans="1:24" s="1370" customFormat="1" x14ac:dyDescent="0.2">
      <c r="A155" s="1384">
        <v>43778</v>
      </c>
      <c r="B155" s="1489" t="s">
        <v>3251</v>
      </c>
      <c r="C155" s="1489" t="s">
        <v>3252</v>
      </c>
      <c r="D155" s="1725">
        <v>1.9745370370370371E-2</v>
      </c>
      <c r="E155" s="1726" t="s">
        <v>15956</v>
      </c>
      <c r="F155" s="1723"/>
      <c r="G155" s="1820">
        <v>0.70220000000000005</v>
      </c>
    </row>
    <row r="156" spans="1:24" s="1370" customFormat="1" x14ac:dyDescent="0.2">
      <c r="A156" s="523">
        <v>43750</v>
      </c>
      <c r="B156" s="1489" t="s">
        <v>3251</v>
      </c>
      <c r="C156" s="1489" t="s">
        <v>3252</v>
      </c>
      <c r="D156" s="1686">
        <v>1.8935185185185183E-2</v>
      </c>
      <c r="E156" s="1489" t="s">
        <v>15796</v>
      </c>
      <c r="F156" s="1489" t="s">
        <v>15815</v>
      </c>
      <c r="G156" s="1815">
        <v>0.73229999999999995</v>
      </c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</row>
    <row r="157" spans="1:24" s="1370" customFormat="1" x14ac:dyDescent="0.2">
      <c r="A157" s="1729">
        <v>43743</v>
      </c>
      <c r="B157" s="1489" t="s">
        <v>3251</v>
      </c>
      <c r="C157" s="1489" t="s">
        <v>3252</v>
      </c>
      <c r="D157" s="1731">
        <v>1.8692129629629631E-2</v>
      </c>
      <c r="E157" s="80" t="s">
        <v>15712</v>
      </c>
      <c r="F157" s="80" t="s">
        <v>15767</v>
      </c>
      <c r="G157" s="317">
        <v>0.74180000000000001</v>
      </c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</row>
    <row r="158" spans="1:24" s="1370" customFormat="1" x14ac:dyDescent="0.2">
      <c r="A158" s="1526">
        <v>43708</v>
      </c>
      <c r="B158" s="1489" t="s">
        <v>3251</v>
      </c>
      <c r="C158" s="1489" t="s">
        <v>3252</v>
      </c>
      <c r="D158" s="1686">
        <v>1.8356481481481484E-2</v>
      </c>
      <c r="E158" s="1489" t="s">
        <v>15370</v>
      </c>
      <c r="F158" s="1489" t="s">
        <v>15346</v>
      </c>
      <c r="G158" s="1815">
        <v>0.75539999999999996</v>
      </c>
      <c r="H158" s="1489"/>
      <c r="I158" s="1489"/>
      <c r="J158" s="1489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</row>
    <row r="159" spans="1:24" s="1370" customFormat="1" x14ac:dyDescent="0.2">
      <c r="A159" s="1526">
        <v>43701</v>
      </c>
      <c r="B159" s="1489" t="s">
        <v>3251</v>
      </c>
      <c r="C159" s="1489" t="s">
        <v>3252</v>
      </c>
      <c r="D159" s="1686">
        <v>1.8668981481481481E-2</v>
      </c>
      <c r="E159" s="1489" t="s">
        <v>15286</v>
      </c>
      <c r="F159" s="1489"/>
      <c r="G159" s="1815">
        <v>0.74270000000000003</v>
      </c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</row>
    <row r="160" spans="1:24" s="1370" customFormat="1" x14ac:dyDescent="0.2">
      <c r="A160" s="523">
        <v>43694</v>
      </c>
      <c r="B160" s="1489" t="s">
        <v>3251</v>
      </c>
      <c r="C160" s="1489" t="s">
        <v>3252</v>
      </c>
      <c r="D160" s="1695" t="s">
        <v>787</v>
      </c>
      <c r="E160" s="1489" t="s">
        <v>15166</v>
      </c>
      <c r="F160" s="1489" t="s">
        <v>15179</v>
      </c>
      <c r="G160" s="1816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</row>
    <row r="161" spans="1:24" s="1370" customFormat="1" x14ac:dyDescent="0.2">
      <c r="A161" s="523">
        <v>43687</v>
      </c>
      <c r="B161" s="1489" t="s">
        <v>3251</v>
      </c>
      <c r="C161" s="1489" t="s">
        <v>3252</v>
      </c>
      <c r="D161" s="1686">
        <v>1.8761574074074073E-2</v>
      </c>
      <c r="E161" s="1489" t="s">
        <v>13439</v>
      </c>
      <c r="F161" s="1489" t="s">
        <v>13467</v>
      </c>
      <c r="G161" s="1815">
        <v>0.72860000000000003</v>
      </c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</row>
    <row r="162" spans="1:24" s="1370" customFormat="1" x14ac:dyDescent="0.2">
      <c r="A162" s="1384">
        <v>43680</v>
      </c>
      <c r="B162" s="1489" t="s">
        <v>3251</v>
      </c>
      <c r="C162" s="1489" t="s">
        <v>3252</v>
      </c>
      <c r="D162" s="1686">
        <v>2.266203703703704E-2</v>
      </c>
      <c r="E162" s="1489" t="s">
        <v>13354</v>
      </c>
      <c r="F162" s="1489" t="s">
        <v>13392</v>
      </c>
      <c r="G162" s="1815">
        <v>0.60319999999999996</v>
      </c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</row>
    <row r="163" spans="1:24" s="1370" customFormat="1" x14ac:dyDescent="0.2">
      <c r="A163" s="1384">
        <v>43673</v>
      </c>
      <c r="B163" s="1489" t="s">
        <v>3251</v>
      </c>
      <c r="C163" s="1489" t="s">
        <v>3252</v>
      </c>
      <c r="D163" s="1686">
        <v>1.8645833333333337E-2</v>
      </c>
      <c r="E163" s="1489" t="s">
        <v>13290</v>
      </c>
      <c r="F163" s="1489" t="s">
        <v>13318</v>
      </c>
      <c r="G163" s="1815">
        <v>0.73309999999999997</v>
      </c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</row>
    <row r="164" spans="1:24" s="1370" customFormat="1" x14ac:dyDescent="0.2">
      <c r="A164" s="523">
        <v>43652</v>
      </c>
      <c r="B164" s="1489" t="s">
        <v>3251</v>
      </c>
      <c r="C164" s="1489" t="s">
        <v>3252</v>
      </c>
      <c r="D164" s="1695" t="s">
        <v>3334</v>
      </c>
      <c r="E164" s="1514" t="s">
        <v>11027</v>
      </c>
      <c r="F164" s="1489" t="s">
        <v>4185</v>
      </c>
      <c r="G164" s="1815"/>
      <c r="H164" s="1489"/>
      <c r="I164" s="1489"/>
      <c r="J164" s="1489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</row>
    <row r="165" spans="1:24" s="1370" customFormat="1" x14ac:dyDescent="0.2">
      <c r="A165" s="523">
        <v>43638</v>
      </c>
      <c r="B165" s="1489" t="s">
        <v>3251</v>
      </c>
      <c r="C165" s="1489" t="s">
        <v>3252</v>
      </c>
      <c r="D165" s="1835">
        <v>1.8680555555555554E-2</v>
      </c>
      <c r="E165" s="1569" t="s">
        <v>12984</v>
      </c>
      <c r="F165" s="1569" t="s">
        <v>13004</v>
      </c>
      <c r="G165" s="1818">
        <v>0.73170000000000002</v>
      </c>
      <c r="H165" s="80"/>
      <c r="I165" s="80"/>
      <c r="J165" s="80"/>
      <c r="K165" s="80"/>
    </row>
    <row r="166" spans="1:24" s="1370" customFormat="1" x14ac:dyDescent="0.2">
      <c r="A166" s="523">
        <v>43631</v>
      </c>
      <c r="B166" s="1489" t="s">
        <v>3251</v>
      </c>
      <c r="C166" s="1489" t="s">
        <v>3252</v>
      </c>
      <c r="D166" s="1835">
        <v>1.9942129629629629E-2</v>
      </c>
      <c r="E166" s="1569" t="s">
        <v>12924</v>
      </c>
      <c r="F166" s="1624" t="s">
        <v>12949</v>
      </c>
      <c r="G166" s="1818">
        <v>0.68540000000000001</v>
      </c>
      <c r="H166" s="80"/>
      <c r="I166" s="80"/>
      <c r="J166" s="80"/>
      <c r="K166" s="80"/>
    </row>
    <row r="167" spans="1:24" s="1370" customFormat="1" x14ac:dyDescent="0.2">
      <c r="A167" s="1384">
        <v>43610</v>
      </c>
      <c r="B167" s="1489" t="s">
        <v>3251</v>
      </c>
      <c r="C167" s="1489" t="s">
        <v>3252</v>
      </c>
      <c r="D167" s="1733" t="s">
        <v>787</v>
      </c>
      <c r="E167" s="1489" t="s">
        <v>11027</v>
      </c>
      <c r="F167" s="1489"/>
      <c r="G167" s="1815"/>
    </row>
    <row r="168" spans="1:24" s="1370" customFormat="1" x14ac:dyDescent="0.2">
      <c r="A168" s="1384">
        <v>43603</v>
      </c>
      <c r="B168" s="1489" t="s">
        <v>3251</v>
      </c>
      <c r="C168" s="1489" t="s">
        <v>3252</v>
      </c>
      <c r="D168" s="1733">
        <v>3.3865740740740738E-2</v>
      </c>
      <c r="E168" s="1489" t="s">
        <v>12679</v>
      </c>
      <c r="F168" s="1489" t="s">
        <v>12694</v>
      </c>
      <c r="G168" s="1815">
        <v>0.40360000000000001</v>
      </c>
    </row>
    <row r="169" spans="1:24" s="1370" customFormat="1" x14ac:dyDescent="0.2">
      <c r="A169" s="1384">
        <v>43582</v>
      </c>
      <c r="B169" s="1489" t="s">
        <v>3251</v>
      </c>
      <c r="C169" s="1489" t="s">
        <v>3252</v>
      </c>
      <c r="D169" s="1733">
        <v>1.8506944444444444E-2</v>
      </c>
      <c r="E169" s="1489" t="s">
        <v>12631</v>
      </c>
      <c r="F169" s="1489" t="s">
        <v>12630</v>
      </c>
      <c r="G169" s="1815">
        <v>0.73860000000000003</v>
      </c>
    </row>
    <row r="170" spans="1:24" s="1370" customFormat="1" x14ac:dyDescent="0.2">
      <c r="A170" s="1384">
        <v>43575</v>
      </c>
      <c r="B170" s="1489" t="s">
        <v>3251</v>
      </c>
      <c r="C170" s="1489" t="s">
        <v>3252</v>
      </c>
      <c r="D170" s="1733">
        <v>1.9363425925925926E-2</v>
      </c>
      <c r="E170" s="1489" t="s">
        <v>12465</v>
      </c>
      <c r="F170" s="1489" t="s">
        <v>12456</v>
      </c>
      <c r="G170" s="1815">
        <v>0.70589999999999997</v>
      </c>
    </row>
    <row r="171" spans="1:24" s="1370" customFormat="1" x14ac:dyDescent="0.2">
      <c r="A171" s="1384">
        <v>43568</v>
      </c>
      <c r="B171" s="1489" t="s">
        <v>3251</v>
      </c>
      <c r="C171" s="1489" t="s">
        <v>3252</v>
      </c>
      <c r="D171" s="1733">
        <v>1.7974537037037035E-2</v>
      </c>
      <c r="E171" s="1489" t="s">
        <v>12413</v>
      </c>
      <c r="F171" s="1489" t="s">
        <v>12414</v>
      </c>
      <c r="G171" s="1815">
        <v>0.76049999999999995</v>
      </c>
    </row>
    <row r="172" spans="1:24" s="1370" customFormat="1" x14ac:dyDescent="0.2">
      <c r="A172" s="1384">
        <v>43561</v>
      </c>
      <c r="B172" s="1489" t="s">
        <v>3251</v>
      </c>
      <c r="C172" s="1489" t="s">
        <v>3252</v>
      </c>
      <c r="D172" s="1733">
        <v>1.8761574074074073E-2</v>
      </c>
      <c r="E172" s="1489" t="s">
        <v>12299</v>
      </c>
      <c r="F172" s="1489" t="s">
        <v>12302</v>
      </c>
      <c r="G172" s="1815">
        <v>0.72860000000000003</v>
      </c>
      <c r="I172" s="1370" t="s">
        <v>1815</v>
      </c>
    </row>
    <row r="173" spans="1:24" s="1370" customFormat="1" x14ac:dyDescent="0.2">
      <c r="A173" s="1384">
        <v>43554</v>
      </c>
      <c r="B173" s="1489" t="s">
        <v>3251</v>
      </c>
      <c r="C173" s="1489" t="s">
        <v>3252</v>
      </c>
      <c r="D173" s="1733">
        <v>1.7916666666666668E-2</v>
      </c>
      <c r="E173" s="1489" t="s">
        <v>12256</v>
      </c>
      <c r="F173" s="1489" t="s">
        <v>12219</v>
      </c>
      <c r="G173" s="1815">
        <v>0.76290000000000002</v>
      </c>
    </row>
    <row r="174" spans="1:24" s="1370" customFormat="1" x14ac:dyDescent="0.2">
      <c r="A174" s="1384">
        <v>43547</v>
      </c>
      <c r="B174" s="1489" t="s">
        <v>3251</v>
      </c>
      <c r="C174" s="1489" t="s">
        <v>3252</v>
      </c>
      <c r="D174" s="1695" t="s">
        <v>787</v>
      </c>
      <c r="E174" s="1489" t="s">
        <v>10622</v>
      </c>
      <c r="F174" s="1545" t="s">
        <v>4185</v>
      </c>
      <c r="G174" s="1815"/>
    </row>
    <row r="175" spans="1:24" s="1370" customFormat="1" x14ac:dyDescent="0.2">
      <c r="A175" s="1384">
        <v>43540</v>
      </c>
      <c r="B175" s="1489" t="s">
        <v>3251</v>
      </c>
      <c r="C175" s="1489" t="s">
        <v>3252</v>
      </c>
      <c r="D175" s="1733">
        <v>1.8761574074074073E-2</v>
      </c>
      <c r="E175" s="1489" t="s">
        <v>12118</v>
      </c>
      <c r="F175" s="1489" t="s">
        <v>12119</v>
      </c>
      <c r="G175" s="1815">
        <v>0.72860000000000003</v>
      </c>
    </row>
    <row r="176" spans="1:24" s="1370" customFormat="1" x14ac:dyDescent="0.2">
      <c r="A176" s="1384">
        <v>43533</v>
      </c>
      <c r="B176" s="1489" t="s">
        <v>3251</v>
      </c>
      <c r="C176" s="1489" t="s">
        <v>3252</v>
      </c>
      <c r="D176" s="1733">
        <v>1.9155092592592592E-2</v>
      </c>
      <c r="E176" s="1489" t="s">
        <v>12014</v>
      </c>
      <c r="F176" s="1489" t="s">
        <v>12066</v>
      </c>
      <c r="G176" s="1815">
        <v>0.71360000000000001</v>
      </c>
    </row>
    <row r="177" spans="1:24" s="1370" customFormat="1" x14ac:dyDescent="0.2">
      <c r="A177" s="1384">
        <v>43526</v>
      </c>
      <c r="B177" s="1489" t="s">
        <v>3251</v>
      </c>
      <c r="C177" s="1489" t="s">
        <v>3252</v>
      </c>
      <c r="D177" s="1733">
        <v>1.8668981481481481E-2</v>
      </c>
      <c r="E177" s="1489" t="s">
        <v>11972</v>
      </c>
      <c r="F177" s="1489" t="s">
        <v>11918</v>
      </c>
      <c r="G177" s="1815">
        <v>0.73219999999999996</v>
      </c>
    </row>
    <row r="178" spans="1:24" s="1370" customFormat="1" x14ac:dyDescent="0.2">
      <c r="A178" s="1384">
        <v>43526</v>
      </c>
      <c r="B178" s="1489" t="s">
        <v>3251</v>
      </c>
      <c r="C178" s="1489" t="s">
        <v>3252</v>
      </c>
      <c r="D178" s="1733">
        <v>3.0601851851851852E-2</v>
      </c>
      <c r="E178" s="1489" t="s">
        <v>11972</v>
      </c>
      <c r="F178" s="1489" t="s">
        <v>11920</v>
      </c>
      <c r="G178" s="1815">
        <v>0.39150000000000001</v>
      </c>
    </row>
    <row r="179" spans="1:24" s="1370" customFormat="1" x14ac:dyDescent="0.2">
      <c r="A179" s="1384">
        <v>43519</v>
      </c>
      <c r="B179" s="1489" t="s">
        <v>3251</v>
      </c>
      <c r="C179" s="1489" t="s">
        <v>3252</v>
      </c>
      <c r="D179" s="1733" t="s">
        <v>787</v>
      </c>
      <c r="E179" s="1489" t="s">
        <v>10622</v>
      </c>
      <c r="F179" s="1489" t="s">
        <v>4185</v>
      </c>
      <c r="G179" s="1815"/>
    </row>
    <row r="180" spans="1:24" s="1370" customFormat="1" x14ac:dyDescent="0.2">
      <c r="A180" s="1384">
        <v>43512</v>
      </c>
      <c r="B180" s="1489" t="s">
        <v>3251</v>
      </c>
      <c r="C180" s="1489" t="s">
        <v>3252</v>
      </c>
      <c r="D180" s="1695" t="s">
        <v>787</v>
      </c>
      <c r="E180" s="1489" t="s">
        <v>10441</v>
      </c>
      <c r="F180" s="1545" t="s">
        <v>4185</v>
      </c>
      <c r="G180" s="1815"/>
    </row>
    <row r="181" spans="1:24" s="1370" customFormat="1" x14ac:dyDescent="0.2">
      <c r="A181" s="1384">
        <v>43505</v>
      </c>
      <c r="B181" s="1489" t="s">
        <v>3251</v>
      </c>
      <c r="C181" s="1489" t="s">
        <v>3252</v>
      </c>
      <c r="D181" s="1733">
        <v>1.9745370370370371E-2</v>
      </c>
      <c r="E181" s="1489" t="s">
        <v>10622</v>
      </c>
      <c r="F181" s="1489" t="s">
        <v>11771</v>
      </c>
      <c r="G181" s="1815">
        <v>0.69230000000000003</v>
      </c>
    </row>
    <row r="182" spans="1:24" s="1370" customFormat="1" x14ac:dyDescent="0.2">
      <c r="A182" s="1384">
        <v>43491</v>
      </c>
      <c r="B182" s="1489" t="s">
        <v>3251</v>
      </c>
      <c r="C182" s="1489" t="s">
        <v>3252</v>
      </c>
      <c r="D182" s="1733">
        <v>1.9918981481481482E-2</v>
      </c>
      <c r="E182" s="1489" t="s">
        <v>10655</v>
      </c>
      <c r="F182" s="1545" t="s">
        <v>11715</v>
      </c>
      <c r="G182" s="1815">
        <v>0.69430000000000003</v>
      </c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</row>
    <row r="183" spans="1:24" s="1370" customFormat="1" x14ac:dyDescent="0.2">
      <c r="A183" s="1384">
        <v>43484</v>
      </c>
      <c r="B183" s="1489" t="s">
        <v>3251</v>
      </c>
      <c r="C183" s="1489" t="s">
        <v>3252</v>
      </c>
      <c r="D183" s="1834" t="s">
        <v>787</v>
      </c>
      <c r="E183" s="1489" t="s">
        <v>10622</v>
      </c>
      <c r="F183" s="1489" t="s">
        <v>4185</v>
      </c>
      <c r="G183" s="1815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</row>
    <row r="184" spans="1:24" s="1370" customFormat="1" x14ac:dyDescent="0.2">
      <c r="A184" s="1729">
        <v>43827</v>
      </c>
      <c r="B184" s="1489" t="s">
        <v>7908</v>
      </c>
      <c r="C184" s="1489" t="s">
        <v>7907</v>
      </c>
      <c r="D184" s="1621">
        <v>2.056712962962963E-2</v>
      </c>
      <c r="E184" s="1489" t="s">
        <v>16425</v>
      </c>
      <c r="F184" s="1489" t="s">
        <v>16439</v>
      </c>
      <c r="G184" s="1817">
        <v>0.66459999999999997</v>
      </c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</row>
    <row r="185" spans="1:24" s="1370" customFormat="1" x14ac:dyDescent="0.2">
      <c r="A185" s="1765">
        <v>43813</v>
      </c>
      <c r="B185" s="1489" t="s">
        <v>7908</v>
      </c>
      <c r="C185" s="1489" t="s">
        <v>7907</v>
      </c>
      <c r="D185" s="1695" t="s">
        <v>787</v>
      </c>
      <c r="E185" s="1489" t="s">
        <v>16259</v>
      </c>
      <c r="F185" s="1489" t="s">
        <v>4061</v>
      </c>
      <c r="G185" s="1817"/>
      <c r="H185" s="1404"/>
      <c r="I185" s="140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</row>
    <row r="186" spans="1:24" s="1370" customFormat="1" x14ac:dyDescent="0.2">
      <c r="A186" s="1765">
        <v>43813</v>
      </c>
      <c r="B186" s="1489" t="s">
        <v>7908</v>
      </c>
      <c r="C186" s="1489" t="s">
        <v>7907</v>
      </c>
      <c r="D186" s="1621">
        <v>1.7175925925925928E-2</v>
      </c>
      <c r="E186" s="1489" t="s">
        <v>16259</v>
      </c>
      <c r="F186" s="1404"/>
      <c r="G186" s="1817">
        <v>0.66579999999999995</v>
      </c>
      <c r="H186" s="1404"/>
      <c r="I186" s="140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</row>
    <row r="187" spans="1:24" s="1370" customFormat="1" x14ac:dyDescent="0.2">
      <c r="A187" s="34">
        <v>43806</v>
      </c>
      <c r="B187" s="1489" t="s">
        <v>7908</v>
      </c>
      <c r="C187" s="1489" t="s">
        <v>7907</v>
      </c>
      <c r="D187" s="1621">
        <v>2.0625000000000001E-2</v>
      </c>
      <c r="E187" s="1489" t="s">
        <v>16220</v>
      </c>
      <c r="F187" s="1404"/>
      <c r="G187" s="1817">
        <v>0.66269999999999996</v>
      </c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</row>
    <row r="188" spans="1:24" s="1370" customFormat="1" x14ac:dyDescent="0.2">
      <c r="A188" s="1751">
        <v>43792</v>
      </c>
      <c r="B188" s="1489" t="s">
        <v>7908</v>
      </c>
      <c r="C188" s="1489" t="s">
        <v>7907</v>
      </c>
      <c r="D188" s="1786">
        <v>2.0057870370370372E-2</v>
      </c>
      <c r="E188" s="1489" t="s">
        <v>16097</v>
      </c>
      <c r="F188" s="1404"/>
      <c r="G188" s="1817">
        <v>0.68149999999999999</v>
      </c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</row>
    <row r="189" spans="1:24" s="1370" customFormat="1" x14ac:dyDescent="0.2">
      <c r="A189" s="1673">
        <v>43785</v>
      </c>
      <c r="B189" s="1489" t="s">
        <v>7908</v>
      </c>
      <c r="C189" s="1489" t="s">
        <v>7907</v>
      </c>
      <c r="D189" s="1674">
        <v>1.9884259259259258E-2</v>
      </c>
      <c r="E189" s="80" t="s">
        <v>15993</v>
      </c>
      <c r="F189" s="80"/>
      <c r="G189" s="314">
        <v>0.68740000000000001</v>
      </c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</row>
    <row r="190" spans="1:24" s="1370" customFormat="1" x14ac:dyDescent="0.2">
      <c r="A190" s="1673">
        <v>43785</v>
      </c>
      <c r="B190" s="1489" t="s">
        <v>7908</v>
      </c>
      <c r="C190" s="1489" t="s">
        <v>7907</v>
      </c>
      <c r="D190" s="1674">
        <v>1.6932870370370372E-2</v>
      </c>
      <c r="E190" s="80" t="s">
        <v>15993</v>
      </c>
      <c r="F190" s="80"/>
      <c r="G190" s="314">
        <v>0.67530000000000001</v>
      </c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</row>
    <row r="191" spans="1:24" s="1370" customFormat="1" x14ac:dyDescent="0.2">
      <c r="A191" s="1384">
        <v>43778</v>
      </c>
      <c r="B191" s="1489" t="s">
        <v>7908</v>
      </c>
      <c r="C191" s="1489" t="s">
        <v>7907</v>
      </c>
      <c r="D191" s="1725">
        <v>2.0243055555555556E-2</v>
      </c>
      <c r="E191" s="1726" t="s">
        <v>15959</v>
      </c>
      <c r="F191" s="1723"/>
      <c r="G191" s="1820">
        <v>0.67520000000000002</v>
      </c>
    </row>
    <row r="192" spans="1:24" s="1370" customFormat="1" x14ac:dyDescent="0.2">
      <c r="A192" s="1384">
        <v>43764</v>
      </c>
      <c r="B192" s="1489" t="s">
        <v>7908</v>
      </c>
      <c r="C192" s="1489" t="s">
        <v>7907</v>
      </c>
      <c r="D192" s="1727">
        <v>2.0995370370370373E-2</v>
      </c>
      <c r="E192" s="1728" t="s">
        <v>2696</v>
      </c>
      <c r="F192" s="1728"/>
      <c r="G192" s="1821">
        <v>0.65100000000000002</v>
      </c>
    </row>
    <row r="193" spans="1:24" s="1370" customFormat="1" x14ac:dyDescent="0.2">
      <c r="A193" s="523">
        <v>43750</v>
      </c>
      <c r="B193" s="1489" t="s">
        <v>7908</v>
      </c>
      <c r="C193" s="1489" t="s">
        <v>7907</v>
      </c>
      <c r="D193" s="1686">
        <v>2.1412037037037035E-2</v>
      </c>
      <c r="E193" s="1489" t="s">
        <v>15790</v>
      </c>
      <c r="F193" s="1489"/>
      <c r="G193" s="1815">
        <v>0.63839999999999997</v>
      </c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</row>
    <row r="194" spans="1:24" s="1370" customFormat="1" x14ac:dyDescent="0.2">
      <c r="A194" s="1729">
        <v>43729</v>
      </c>
      <c r="B194" s="1489" t="s">
        <v>7908</v>
      </c>
      <c r="C194" s="1489" t="s">
        <v>7907</v>
      </c>
      <c r="D194" s="1686">
        <v>1.9247685185185184E-2</v>
      </c>
      <c r="E194" s="1489" t="s">
        <v>15566</v>
      </c>
      <c r="F194" s="1489" t="s">
        <v>2983</v>
      </c>
      <c r="G194" s="1815">
        <v>0.71020000000000005</v>
      </c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</row>
    <row r="195" spans="1:24" s="1370" customFormat="1" x14ac:dyDescent="0.2">
      <c r="A195" s="523">
        <v>43715</v>
      </c>
      <c r="B195" s="1489" t="s">
        <v>7908</v>
      </c>
      <c r="C195" s="1489" t="s">
        <v>7907</v>
      </c>
      <c r="D195" s="1732">
        <v>2.2962962962962966E-2</v>
      </c>
      <c r="E195" s="1514" t="s">
        <v>15416</v>
      </c>
      <c r="F195" s="1489"/>
      <c r="G195" s="1822">
        <v>0.59530000000000005</v>
      </c>
      <c r="H195" s="80"/>
      <c r="I195" s="1514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</row>
    <row r="196" spans="1:24" s="1370" customFormat="1" x14ac:dyDescent="0.2">
      <c r="A196" s="1526">
        <v>43708</v>
      </c>
      <c r="B196" s="1489" t="s">
        <v>7908</v>
      </c>
      <c r="C196" s="1489" t="s">
        <v>7907</v>
      </c>
      <c r="D196" s="1686">
        <v>2.0949074074074075E-2</v>
      </c>
      <c r="E196" s="1489" t="s">
        <v>15354</v>
      </c>
      <c r="F196" s="1489" t="s">
        <v>15406</v>
      </c>
      <c r="G196" s="1815">
        <v>0.65249999999999997</v>
      </c>
      <c r="H196" s="1489"/>
      <c r="I196" s="1489"/>
      <c r="J196" s="1489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</row>
    <row r="197" spans="1:24" s="1370" customFormat="1" x14ac:dyDescent="0.2">
      <c r="A197" s="1526">
        <v>43701</v>
      </c>
      <c r="B197" s="1489" t="s">
        <v>7908</v>
      </c>
      <c r="C197" s="1489" t="s">
        <v>7907</v>
      </c>
      <c r="D197" s="1686">
        <v>1.8796296296296297E-2</v>
      </c>
      <c r="E197" s="1489" t="s">
        <v>15269</v>
      </c>
      <c r="F197" s="1489"/>
      <c r="G197" s="1815">
        <v>0.72719999999999996</v>
      </c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</row>
    <row r="198" spans="1:24" s="1370" customFormat="1" x14ac:dyDescent="0.2">
      <c r="A198" s="523">
        <v>43694</v>
      </c>
      <c r="B198" s="1489" t="s">
        <v>7908</v>
      </c>
      <c r="C198" s="1489" t="s">
        <v>7907</v>
      </c>
      <c r="D198" s="1733">
        <v>1.923611111111111E-2</v>
      </c>
      <c r="E198" s="1489" t="s">
        <v>15166</v>
      </c>
      <c r="F198" s="1489" t="s">
        <v>15192</v>
      </c>
      <c r="G198" s="1815">
        <v>0.71060000000000001</v>
      </c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</row>
    <row r="199" spans="1:24" s="1370" customFormat="1" x14ac:dyDescent="0.2">
      <c r="A199" s="523">
        <v>43687</v>
      </c>
      <c r="B199" s="1489" t="s">
        <v>7908</v>
      </c>
      <c r="C199" s="1489" t="s">
        <v>7907</v>
      </c>
      <c r="D199" s="1686">
        <v>1.8553240740740738E-2</v>
      </c>
      <c r="E199" s="1489" t="s">
        <v>13436</v>
      </c>
      <c r="F199" s="1489" t="s">
        <v>13446</v>
      </c>
      <c r="G199" s="1815">
        <v>0.73670000000000002</v>
      </c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</row>
    <row r="200" spans="1:24" s="1370" customFormat="1" x14ac:dyDescent="0.2">
      <c r="A200" s="1384">
        <v>43680</v>
      </c>
      <c r="B200" s="1489" t="s">
        <v>7908</v>
      </c>
      <c r="C200" s="1489" t="s">
        <v>7907</v>
      </c>
      <c r="D200" s="1686">
        <v>2.0682870370370372E-2</v>
      </c>
      <c r="E200" s="1489" t="s">
        <v>13348</v>
      </c>
      <c r="F200" s="1489"/>
      <c r="G200" s="1815">
        <v>0.66090000000000004</v>
      </c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</row>
    <row r="201" spans="1:24" s="1370" customFormat="1" x14ac:dyDescent="0.2">
      <c r="A201" s="523">
        <v>43659</v>
      </c>
      <c r="B201" s="1489" t="s">
        <v>7908</v>
      </c>
      <c r="C201" s="1489" t="s">
        <v>7907</v>
      </c>
      <c r="D201" s="1686">
        <v>1.9027777777777775E-2</v>
      </c>
      <c r="E201" s="1489" t="s">
        <v>13154</v>
      </c>
      <c r="F201" s="1489"/>
      <c r="G201" s="1815">
        <v>0.71840000000000004</v>
      </c>
      <c r="H201" s="80"/>
      <c r="I201" s="1489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</row>
    <row r="202" spans="1:24" s="1370" customFormat="1" x14ac:dyDescent="0.2">
      <c r="A202" s="523">
        <v>43645</v>
      </c>
      <c r="B202" s="1489" t="s">
        <v>7908</v>
      </c>
      <c r="C202" s="1489" t="s">
        <v>7907</v>
      </c>
      <c r="D202" s="1753" t="s">
        <v>787</v>
      </c>
      <c r="E202" s="1514" t="s">
        <v>13019</v>
      </c>
      <c r="F202" s="1514" t="s">
        <v>4061</v>
      </c>
      <c r="G202" s="1822"/>
      <c r="H202" s="80"/>
      <c r="I202" s="1514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</row>
    <row r="203" spans="1:24" s="1370" customFormat="1" x14ac:dyDescent="0.2">
      <c r="A203" s="523">
        <v>43638</v>
      </c>
      <c r="B203" s="1489" t="s">
        <v>7908</v>
      </c>
      <c r="C203" s="1489" t="s">
        <v>7907</v>
      </c>
      <c r="D203" s="1835">
        <v>2.3981481481481479E-2</v>
      </c>
      <c r="E203" s="1569" t="s">
        <v>12976</v>
      </c>
      <c r="F203" s="1569"/>
      <c r="G203" s="1818">
        <v>0.56999999999999995</v>
      </c>
      <c r="H203" s="80"/>
      <c r="I203" s="80"/>
      <c r="J203" s="80"/>
      <c r="K203" s="80"/>
    </row>
    <row r="204" spans="1:24" s="1370" customFormat="1" x14ac:dyDescent="0.2">
      <c r="A204" s="523">
        <v>43631</v>
      </c>
      <c r="B204" s="1489" t="s">
        <v>7908</v>
      </c>
      <c r="C204" s="1489" t="s">
        <v>7907</v>
      </c>
      <c r="D204" s="1837" t="s">
        <v>787</v>
      </c>
      <c r="E204" s="1569" t="s">
        <v>5883</v>
      </c>
      <c r="F204" s="1569" t="s">
        <v>4854</v>
      </c>
      <c r="G204" s="1822"/>
      <c r="H204" s="80"/>
      <c r="I204" s="1514"/>
      <c r="J204" s="80"/>
      <c r="K204" s="80"/>
    </row>
    <row r="205" spans="1:24" s="1370" customFormat="1" x14ac:dyDescent="0.2">
      <c r="A205" s="523">
        <v>43624</v>
      </c>
      <c r="B205" s="1489" t="s">
        <v>7908</v>
      </c>
      <c r="C205" s="1489" t="s">
        <v>7907</v>
      </c>
      <c r="D205" s="1835">
        <v>1.9861111111111111E-2</v>
      </c>
      <c r="E205" s="1569" t="s">
        <v>12875</v>
      </c>
      <c r="F205" s="1569" t="s">
        <v>12882</v>
      </c>
      <c r="G205" s="1818">
        <v>0.68820000000000003</v>
      </c>
      <c r="H205" s="80"/>
      <c r="I205" s="1514"/>
      <c r="J205" s="80"/>
      <c r="K205" s="80"/>
    </row>
    <row r="206" spans="1:24" s="1370" customFormat="1" x14ac:dyDescent="0.2">
      <c r="A206" s="1384">
        <v>43610</v>
      </c>
      <c r="B206" s="1489" t="s">
        <v>7908</v>
      </c>
      <c r="C206" s="1489" t="s">
        <v>7907</v>
      </c>
      <c r="D206" s="1733">
        <v>3.4849537037037033E-2</v>
      </c>
      <c r="E206" s="1489" t="s">
        <v>12730</v>
      </c>
      <c r="F206" s="1489" t="s">
        <v>12761</v>
      </c>
      <c r="G206" s="1815">
        <v>0.39219999999999999</v>
      </c>
      <c r="I206" s="1489"/>
    </row>
    <row r="207" spans="1:24" s="1370" customFormat="1" x14ac:dyDescent="0.2">
      <c r="A207" s="1384">
        <v>43610</v>
      </c>
      <c r="B207" s="1489" t="s">
        <v>7908</v>
      </c>
      <c r="C207" s="1489" t="s">
        <v>7907</v>
      </c>
      <c r="D207" s="1733">
        <v>3.6932870370370366E-2</v>
      </c>
      <c r="E207" s="1489" t="s">
        <v>12730</v>
      </c>
      <c r="F207" s="1489" t="s">
        <v>12762</v>
      </c>
      <c r="G207" s="1815">
        <v>0.30680000000000002</v>
      </c>
      <c r="I207" s="1489"/>
    </row>
    <row r="208" spans="1:24" s="1370" customFormat="1" x14ac:dyDescent="0.2">
      <c r="A208" s="1384">
        <v>43603</v>
      </c>
      <c r="B208" s="1489" t="s">
        <v>7908</v>
      </c>
      <c r="C208" s="1489" t="s">
        <v>7907</v>
      </c>
      <c r="D208" s="1733">
        <v>2.0335648148148148E-2</v>
      </c>
      <c r="E208" s="1489" t="s">
        <v>12672</v>
      </c>
      <c r="F208" s="1489"/>
      <c r="G208" s="1815">
        <v>0.67220000000000002</v>
      </c>
      <c r="I208" s="1489"/>
    </row>
    <row r="209" spans="1:24" s="1370" customFormat="1" x14ac:dyDescent="0.2">
      <c r="A209" s="1384">
        <v>43589</v>
      </c>
      <c r="B209" s="1489" t="s">
        <v>7908</v>
      </c>
      <c r="C209" s="1489" t="s">
        <v>7907</v>
      </c>
      <c r="D209" s="1733">
        <v>1.9861111111111111E-2</v>
      </c>
      <c r="E209" s="1489" t="s">
        <v>12579</v>
      </c>
      <c r="F209" s="1489" t="s">
        <v>12613</v>
      </c>
      <c r="G209" s="1815">
        <v>0.68820000000000003</v>
      </c>
      <c r="I209" s="1489"/>
    </row>
    <row r="210" spans="1:24" s="1370" customFormat="1" x14ac:dyDescent="0.2">
      <c r="A210" s="1384">
        <v>43582</v>
      </c>
      <c r="B210" s="1489" t="s">
        <v>7908</v>
      </c>
      <c r="C210" s="1489" t="s">
        <v>7907</v>
      </c>
      <c r="D210" s="1733">
        <v>2.1284722222222222E-2</v>
      </c>
      <c r="E210" s="1489" t="s">
        <v>12563</v>
      </c>
      <c r="F210" s="1489" t="s">
        <v>12612</v>
      </c>
      <c r="G210" s="1815">
        <v>0.64219999999999999</v>
      </c>
      <c r="I210" s="1489"/>
    </row>
    <row r="211" spans="1:24" s="1370" customFormat="1" x14ac:dyDescent="0.2">
      <c r="A211" s="1384">
        <v>43575</v>
      </c>
      <c r="B211" s="1489" t="s">
        <v>7908</v>
      </c>
      <c r="C211" s="1489" t="s">
        <v>7907</v>
      </c>
      <c r="D211" s="1733" t="s">
        <v>787</v>
      </c>
      <c r="E211" s="1489" t="s">
        <v>12451</v>
      </c>
      <c r="F211" s="1489" t="s">
        <v>4061</v>
      </c>
      <c r="G211" s="1815"/>
      <c r="I211" s="1489"/>
    </row>
    <row r="212" spans="1:24" s="1370" customFormat="1" ht="12.75" customHeight="1" x14ac:dyDescent="0.2">
      <c r="A212" s="1384">
        <v>43568</v>
      </c>
      <c r="B212" s="1489" t="s">
        <v>7908</v>
      </c>
      <c r="C212" s="1489" t="s">
        <v>7907</v>
      </c>
      <c r="D212" s="1733">
        <v>1.9976851851851853E-2</v>
      </c>
      <c r="E212" s="1489" t="s">
        <v>12394</v>
      </c>
      <c r="F212" s="1489" t="s">
        <v>12389</v>
      </c>
      <c r="G212" s="1815">
        <v>0.68420000000000003</v>
      </c>
      <c r="I212" s="1489"/>
    </row>
    <row r="213" spans="1:24" s="1370" customFormat="1" ht="12.75" customHeight="1" x14ac:dyDescent="0.2">
      <c r="A213" s="1384">
        <v>43554</v>
      </c>
      <c r="B213" s="1489" t="s">
        <v>7908</v>
      </c>
      <c r="C213" s="1489" t="s">
        <v>7907</v>
      </c>
      <c r="D213" s="1733">
        <v>1.954861111111111E-2</v>
      </c>
      <c r="E213" s="1489" t="s">
        <v>12230</v>
      </c>
      <c r="F213" s="1489" t="s">
        <v>12239</v>
      </c>
      <c r="G213" s="1815">
        <v>0.69920000000000004</v>
      </c>
      <c r="I213" s="1489"/>
    </row>
    <row r="214" spans="1:24" s="1370" customFormat="1" ht="12.75" customHeight="1" x14ac:dyDescent="0.2">
      <c r="A214" s="1384">
        <v>43533</v>
      </c>
      <c r="B214" s="1489" t="s">
        <v>7908</v>
      </c>
      <c r="C214" s="1489" t="s">
        <v>7907</v>
      </c>
      <c r="D214" s="1733">
        <v>2.0266203703703703E-2</v>
      </c>
      <c r="E214" s="1489" t="s">
        <v>12019</v>
      </c>
      <c r="F214" s="1489" t="s">
        <v>12041</v>
      </c>
      <c r="G214" s="1815">
        <v>0.67449999999999999</v>
      </c>
      <c r="I214" s="1489"/>
    </row>
    <row r="215" spans="1:24" s="1370" customFormat="1" x14ac:dyDescent="0.2">
      <c r="A215" s="1384">
        <v>43519</v>
      </c>
      <c r="B215" s="1489" t="s">
        <v>7908</v>
      </c>
      <c r="C215" s="1489" t="s">
        <v>7907</v>
      </c>
      <c r="D215" s="1733">
        <v>1.9421296296296294E-2</v>
      </c>
      <c r="E215" s="1489" t="s">
        <v>5883</v>
      </c>
      <c r="F215" s="1489" t="s">
        <v>11900</v>
      </c>
      <c r="G215" s="1815">
        <v>0.70379999999999998</v>
      </c>
      <c r="I215" s="1489"/>
    </row>
    <row r="216" spans="1:24" s="1370" customFormat="1" x14ac:dyDescent="0.2">
      <c r="A216" s="1384">
        <v>43512</v>
      </c>
      <c r="B216" s="1489" t="s">
        <v>7908</v>
      </c>
      <c r="C216" s="1489" t="s">
        <v>7907</v>
      </c>
      <c r="D216" s="1733">
        <v>3.9953703703703707E-2</v>
      </c>
      <c r="E216" s="1489" t="s">
        <v>5883</v>
      </c>
      <c r="F216" s="1489" t="s">
        <v>11829</v>
      </c>
      <c r="G216" s="1815">
        <v>0.34210000000000002</v>
      </c>
      <c r="I216" s="1489"/>
    </row>
    <row r="217" spans="1:24" s="1370" customFormat="1" x14ac:dyDescent="0.2">
      <c r="A217" s="1384">
        <v>43505</v>
      </c>
      <c r="B217" s="1489" t="s">
        <v>7908</v>
      </c>
      <c r="C217" s="1489" t="s">
        <v>7907</v>
      </c>
      <c r="D217" s="1733">
        <v>2.2303240740740738E-2</v>
      </c>
      <c r="E217" s="1489" t="s">
        <v>5883</v>
      </c>
      <c r="F217" s="1489" t="s">
        <v>11776</v>
      </c>
      <c r="G217" s="1815">
        <v>0.6129</v>
      </c>
      <c r="H217" s="1489"/>
      <c r="I217" s="1489"/>
    </row>
    <row r="218" spans="1:24" s="1370" customFormat="1" x14ac:dyDescent="0.2">
      <c r="A218" s="1384">
        <v>43498</v>
      </c>
      <c r="B218" s="1489" t="s">
        <v>7908</v>
      </c>
      <c r="C218" s="1489" t="s">
        <v>7907</v>
      </c>
      <c r="D218" s="1733">
        <v>2.1944444444444447E-2</v>
      </c>
      <c r="E218" s="1489" t="s">
        <v>5885</v>
      </c>
      <c r="F218" s="1489" t="s">
        <v>11741</v>
      </c>
      <c r="G218" s="1815">
        <v>0.62290000000000001</v>
      </c>
      <c r="I218" s="1489"/>
    </row>
    <row r="219" spans="1:24" s="1370" customFormat="1" x14ac:dyDescent="0.2">
      <c r="A219" s="1384">
        <v>43491</v>
      </c>
      <c r="B219" s="1489" t="s">
        <v>7908</v>
      </c>
      <c r="C219" s="1489" t="s">
        <v>7907</v>
      </c>
      <c r="D219" s="1733">
        <v>2.4571759259259262E-2</v>
      </c>
      <c r="E219" s="1489" t="s">
        <v>5883</v>
      </c>
      <c r="F219" s="1545" t="s">
        <v>11697</v>
      </c>
      <c r="G219" s="1815">
        <v>0.55630000000000002</v>
      </c>
      <c r="I219" s="1489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</row>
    <row r="220" spans="1:24" s="1370" customFormat="1" x14ac:dyDescent="0.2">
      <c r="A220" s="1384">
        <v>43470</v>
      </c>
      <c r="B220" s="1489" t="s">
        <v>7908</v>
      </c>
      <c r="C220" s="1489" t="s">
        <v>7907</v>
      </c>
      <c r="D220" s="1733">
        <v>2.0046296296296295E-2</v>
      </c>
      <c r="E220" s="1489" t="s">
        <v>5883</v>
      </c>
      <c r="F220" s="1489" t="s">
        <v>11586</v>
      </c>
      <c r="G220" s="1815">
        <v>0.67210000000000003</v>
      </c>
      <c r="I220" s="1489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</row>
    <row r="221" spans="1:24" s="1370" customFormat="1" x14ac:dyDescent="0.2">
      <c r="A221" s="1384">
        <v>43466</v>
      </c>
      <c r="B221" s="1489" t="s">
        <v>7908</v>
      </c>
      <c r="C221" s="1489" t="s">
        <v>7907</v>
      </c>
      <c r="D221" s="1834">
        <v>1.894675925925926E-2</v>
      </c>
      <c r="E221" s="1489" t="s">
        <v>11468</v>
      </c>
      <c r="F221" s="1370" t="s">
        <v>11529</v>
      </c>
      <c r="G221" s="1816">
        <v>0.71109999999999995</v>
      </c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</row>
    <row r="222" spans="1:24" s="1370" customFormat="1" x14ac:dyDescent="0.2">
      <c r="A222" s="1729">
        <v>43827</v>
      </c>
      <c r="B222" s="1384" t="s">
        <v>260</v>
      </c>
      <c r="C222" s="1384" t="s">
        <v>7907</v>
      </c>
      <c r="D222" s="1621">
        <v>1.7152777777777777E-2</v>
      </c>
      <c r="E222" s="1489" t="s">
        <v>16425</v>
      </c>
      <c r="F222" s="1489" t="s">
        <v>16437</v>
      </c>
      <c r="G222" s="1817">
        <v>0.66669999999999996</v>
      </c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1:24" s="1370" customFormat="1" x14ac:dyDescent="0.2">
      <c r="A223" s="1673">
        <v>43820</v>
      </c>
      <c r="B223" s="1384" t="s">
        <v>260</v>
      </c>
      <c r="C223" s="1384" t="s">
        <v>7907</v>
      </c>
      <c r="D223" s="1777">
        <v>1.7291666666666664E-2</v>
      </c>
      <c r="E223" s="80" t="s">
        <v>16308</v>
      </c>
      <c r="F223"/>
      <c r="G223" s="314">
        <v>0.6613</v>
      </c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1:24" s="1370" customFormat="1" x14ac:dyDescent="0.2">
      <c r="A224" s="34">
        <v>43806</v>
      </c>
      <c r="B224" s="1384" t="s">
        <v>260</v>
      </c>
      <c r="C224" s="1384" t="s">
        <v>7907</v>
      </c>
      <c r="D224" s="1621">
        <v>1.6863425925925928E-2</v>
      </c>
      <c r="E224" s="1489" t="s">
        <v>16220</v>
      </c>
      <c r="F224" s="1489" t="s">
        <v>16233</v>
      </c>
      <c r="G224" s="1817">
        <v>0.67810000000000004</v>
      </c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1:24" s="1370" customFormat="1" x14ac:dyDescent="0.2">
      <c r="A225" s="1729">
        <v>43799</v>
      </c>
      <c r="B225" s="1384" t="s">
        <v>260</v>
      </c>
      <c r="C225" s="1384" t="s">
        <v>7907</v>
      </c>
      <c r="D225" s="1674">
        <v>1.6261574074074074E-2</v>
      </c>
      <c r="E225" t="s">
        <v>16152</v>
      </c>
      <c r="F225" s="80" t="s">
        <v>16170</v>
      </c>
      <c r="G225" s="314">
        <v>0.70320000000000005</v>
      </c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1:24" s="1370" customFormat="1" x14ac:dyDescent="0.2">
      <c r="A226" s="1751">
        <v>43792</v>
      </c>
      <c r="B226" s="1384" t="s">
        <v>260</v>
      </c>
      <c r="C226" s="1384" t="s">
        <v>7907</v>
      </c>
      <c r="D226" s="1786">
        <v>1.6562500000000001E-2</v>
      </c>
      <c r="E226" s="1489" t="s">
        <v>16097</v>
      </c>
      <c r="F226" s="1404"/>
      <c r="G226" s="1817">
        <v>0.69040000000000001</v>
      </c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1:24" s="1370" customFormat="1" x14ac:dyDescent="0.2">
      <c r="A227" s="1384">
        <v>43778</v>
      </c>
      <c r="B227" s="1384" t="s">
        <v>260</v>
      </c>
      <c r="C227" s="1384" t="s">
        <v>7907</v>
      </c>
      <c r="D227" s="1725">
        <v>1.7465277777777777E-2</v>
      </c>
      <c r="E227" s="1726" t="s">
        <v>15959</v>
      </c>
      <c r="F227" s="1723" t="s">
        <v>15981</v>
      </c>
      <c r="G227" s="1820">
        <v>0.65469999999999995</v>
      </c>
    </row>
    <row r="228" spans="1:24" s="1370" customFormat="1" x14ac:dyDescent="0.2">
      <c r="A228" s="1384">
        <v>43771</v>
      </c>
      <c r="B228" s="1384" t="s">
        <v>260</v>
      </c>
      <c r="C228" s="1384" t="s">
        <v>7907</v>
      </c>
      <c r="D228" s="1731">
        <v>1.6909722222222222E-2</v>
      </c>
      <c r="E228" s="1370" t="s">
        <v>15880</v>
      </c>
      <c r="F228" s="1370" t="s">
        <v>15944</v>
      </c>
      <c r="G228" s="1816">
        <v>0.67620000000000002</v>
      </c>
    </row>
    <row r="229" spans="1:24" s="1370" customFormat="1" x14ac:dyDescent="0.2">
      <c r="A229" s="1384">
        <v>43764</v>
      </c>
      <c r="B229" s="1384" t="s">
        <v>260</v>
      </c>
      <c r="C229" s="1384" t="s">
        <v>7907</v>
      </c>
      <c r="D229" s="1727">
        <v>1.7025462962962961E-2</v>
      </c>
      <c r="E229" s="1728" t="s">
        <v>2696</v>
      </c>
      <c r="F229" s="1728"/>
      <c r="G229" s="1821">
        <v>0.67169999999999996</v>
      </c>
    </row>
    <row r="230" spans="1:24" s="1370" customFormat="1" x14ac:dyDescent="0.2">
      <c r="A230" s="1729">
        <v>43743</v>
      </c>
      <c r="B230" s="1384" t="s">
        <v>260</v>
      </c>
      <c r="C230" s="1384" t="s">
        <v>7907</v>
      </c>
      <c r="D230" s="1731">
        <v>1.7037037037037038E-2</v>
      </c>
      <c r="E230" s="80" t="s">
        <v>15704</v>
      </c>
      <c r="F230" s="80" t="s">
        <v>15743</v>
      </c>
      <c r="G230" s="317">
        <v>0.67120000000000002</v>
      </c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</row>
    <row r="231" spans="1:24" s="1370" customFormat="1" x14ac:dyDescent="0.2">
      <c r="A231" s="1729">
        <v>43729</v>
      </c>
      <c r="B231" s="1384" t="s">
        <v>260</v>
      </c>
      <c r="C231" s="1384" t="s">
        <v>7907</v>
      </c>
      <c r="D231" s="1686">
        <v>1.6250000000000001E-2</v>
      </c>
      <c r="E231" s="1489" t="s">
        <v>15566</v>
      </c>
      <c r="F231" s="1489" t="s">
        <v>15588</v>
      </c>
      <c r="G231" s="1815">
        <v>0.70369999999999999</v>
      </c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</row>
    <row r="232" spans="1:24" s="1370" customFormat="1" x14ac:dyDescent="0.2">
      <c r="A232" s="523">
        <v>43715</v>
      </c>
      <c r="B232" s="1384" t="s">
        <v>260</v>
      </c>
      <c r="C232" s="1384" t="s">
        <v>7907</v>
      </c>
      <c r="D232" s="1732">
        <v>1.7604166666666667E-2</v>
      </c>
      <c r="E232" s="1514" t="s">
        <v>15416</v>
      </c>
      <c r="F232" s="1489" t="s">
        <v>15440</v>
      </c>
      <c r="G232" s="1822">
        <v>0.64959999999999996</v>
      </c>
      <c r="H232" s="1514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</row>
    <row r="233" spans="1:24" s="1370" customFormat="1" x14ac:dyDescent="0.2">
      <c r="A233" s="1526">
        <v>43708</v>
      </c>
      <c r="B233" s="1384" t="s">
        <v>260</v>
      </c>
      <c r="C233" s="1384" t="s">
        <v>7907</v>
      </c>
      <c r="D233" s="1686">
        <v>1.7511574074074072E-2</v>
      </c>
      <c r="E233" s="1489" t="s">
        <v>15354</v>
      </c>
      <c r="F233" s="1489" t="s">
        <v>15404</v>
      </c>
      <c r="G233" s="1815">
        <v>0.65300000000000002</v>
      </c>
      <c r="H233" s="1489"/>
      <c r="I233" s="1489"/>
      <c r="J233" s="1489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</row>
    <row r="234" spans="1:24" s="1370" customFormat="1" x14ac:dyDescent="0.2">
      <c r="A234" s="1526">
        <v>43701</v>
      </c>
      <c r="B234" s="1384" t="s">
        <v>260</v>
      </c>
      <c r="C234" s="1384" t="s">
        <v>7907</v>
      </c>
      <c r="D234" s="1686">
        <v>1.684027777777778E-2</v>
      </c>
      <c r="E234" s="1489" t="s">
        <v>15269</v>
      </c>
      <c r="F234" s="1489"/>
      <c r="G234" s="1815">
        <v>0.67900000000000005</v>
      </c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</row>
    <row r="235" spans="1:24" s="1370" customFormat="1" x14ac:dyDescent="0.2">
      <c r="A235" s="523">
        <v>43694</v>
      </c>
      <c r="B235" s="1384" t="s">
        <v>260</v>
      </c>
      <c r="C235" s="1384" t="s">
        <v>7907</v>
      </c>
      <c r="D235" s="1733">
        <v>1.7916666666666668E-2</v>
      </c>
      <c r="E235" s="1489" t="s">
        <v>15166</v>
      </c>
      <c r="F235" s="1489" t="s">
        <v>15193</v>
      </c>
      <c r="G235" s="1815">
        <v>0.63819999999999999</v>
      </c>
      <c r="H235" s="80"/>
      <c r="I235" s="80"/>
      <c r="J235" s="80"/>
      <c r="K235" s="80"/>
    </row>
    <row r="236" spans="1:24" s="1370" customFormat="1" x14ac:dyDescent="0.2">
      <c r="A236" s="523">
        <v>43687</v>
      </c>
      <c r="B236" s="1384" t="s">
        <v>260</v>
      </c>
      <c r="C236" s="1384" t="s">
        <v>7907</v>
      </c>
      <c r="D236" s="1686">
        <v>1.7916666666666668E-2</v>
      </c>
      <c r="E236" s="1489" t="s">
        <v>13436</v>
      </c>
      <c r="F236" s="1489" t="s">
        <v>13447</v>
      </c>
      <c r="G236" s="1815">
        <v>0.63819999999999999</v>
      </c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</row>
    <row r="237" spans="1:24" s="1370" customFormat="1" x14ac:dyDescent="0.2">
      <c r="A237" s="1384">
        <v>43680</v>
      </c>
      <c r="B237" s="1384" t="s">
        <v>260</v>
      </c>
      <c r="C237" s="1384" t="s">
        <v>7907</v>
      </c>
      <c r="D237" s="1686">
        <v>1.787037037037037E-2</v>
      </c>
      <c r="E237" s="1489" t="s">
        <v>13348</v>
      </c>
      <c r="F237" s="1577"/>
      <c r="G237" s="1815">
        <v>0.63990000000000002</v>
      </c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</row>
    <row r="238" spans="1:24" s="1370" customFormat="1" x14ac:dyDescent="0.2">
      <c r="A238" s="1384">
        <v>43673</v>
      </c>
      <c r="B238" s="1384" t="s">
        <v>260</v>
      </c>
      <c r="C238" s="1384" t="s">
        <v>7907</v>
      </c>
      <c r="D238" s="1686">
        <v>1.9768518518518519E-2</v>
      </c>
      <c r="E238" s="1489" t="s">
        <v>13281</v>
      </c>
      <c r="F238" s="1489"/>
      <c r="G238" s="1815">
        <v>0.57320000000000004</v>
      </c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</row>
    <row r="239" spans="1:24" s="1370" customFormat="1" x14ac:dyDescent="0.2">
      <c r="A239" s="523">
        <v>43666</v>
      </c>
      <c r="B239" s="1384" t="s">
        <v>260</v>
      </c>
      <c r="C239" s="1384" t="s">
        <v>7907</v>
      </c>
      <c r="D239" s="1686">
        <v>2.0902777777777777E-2</v>
      </c>
      <c r="E239" s="1489" t="s">
        <v>13195</v>
      </c>
      <c r="F239" s="1577"/>
      <c r="G239" s="1815">
        <v>0.54210000000000003</v>
      </c>
      <c r="H239" s="1514"/>
      <c r="I239" s="80"/>
      <c r="J239" s="80"/>
      <c r="K239" s="80"/>
    </row>
    <row r="240" spans="1:24" s="1370" customFormat="1" x14ac:dyDescent="0.2">
      <c r="A240" s="523">
        <v>43659</v>
      </c>
      <c r="B240" s="1384" t="s">
        <v>260</v>
      </c>
      <c r="C240" s="1384" t="s">
        <v>7907</v>
      </c>
      <c r="D240" s="1753">
        <v>1.9629629629629629E-2</v>
      </c>
      <c r="E240" s="1489" t="s">
        <v>13154</v>
      </c>
      <c r="F240" s="1514"/>
      <c r="G240" s="1822">
        <v>0.57720000000000005</v>
      </c>
      <c r="H240" s="80"/>
      <c r="I240" s="80"/>
      <c r="J240" s="80"/>
      <c r="K240" s="80"/>
    </row>
    <row r="241" spans="1:24" s="1370" customFormat="1" x14ac:dyDescent="0.2">
      <c r="A241" s="523">
        <v>43652</v>
      </c>
      <c r="B241" s="1384" t="s">
        <v>260</v>
      </c>
      <c r="C241" s="1384" t="s">
        <v>7907</v>
      </c>
      <c r="D241" s="1686">
        <v>2.0081018518518519E-2</v>
      </c>
      <c r="E241" s="1489" t="s">
        <v>13069</v>
      </c>
      <c r="F241" s="1489"/>
      <c r="G241" s="1815">
        <v>0.56430000000000002</v>
      </c>
      <c r="H241" s="1489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</row>
    <row r="242" spans="1:24" s="1370" customFormat="1" x14ac:dyDescent="0.2">
      <c r="A242" s="523">
        <v>43645</v>
      </c>
      <c r="B242" s="1384" t="s">
        <v>260</v>
      </c>
      <c r="C242" s="1384" t="s">
        <v>7907</v>
      </c>
      <c r="D242" s="1686">
        <v>2.1111111111111112E-2</v>
      </c>
      <c r="E242" s="1514" t="s">
        <v>13019</v>
      </c>
      <c r="F242" s="1514"/>
      <c r="G242" s="1815">
        <v>0.53669999999999995</v>
      </c>
      <c r="H242" s="80"/>
      <c r="I242" s="80"/>
      <c r="J242" s="80"/>
      <c r="K242" s="80"/>
    </row>
    <row r="243" spans="1:24" s="1370" customFormat="1" x14ac:dyDescent="0.2">
      <c r="A243" s="523">
        <v>43638</v>
      </c>
      <c r="B243" s="1384" t="s">
        <v>260</v>
      </c>
      <c r="C243" s="1384" t="s">
        <v>7907</v>
      </c>
      <c r="D243" s="1835">
        <v>2.2002314814814818E-2</v>
      </c>
      <c r="E243" s="1569" t="s">
        <v>12976</v>
      </c>
      <c r="F243" s="1569" t="s">
        <v>13008</v>
      </c>
      <c r="G243" s="1818">
        <v>0.51500000000000001</v>
      </c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</row>
    <row r="244" spans="1:24" s="1370" customFormat="1" x14ac:dyDescent="0.2">
      <c r="A244" s="523">
        <v>43631</v>
      </c>
      <c r="B244" s="1384" t="s">
        <v>260</v>
      </c>
      <c r="C244" s="1384" t="s">
        <v>7907</v>
      </c>
      <c r="D244" s="1837" t="s">
        <v>787</v>
      </c>
      <c r="E244" s="1569" t="s">
        <v>5883</v>
      </c>
      <c r="F244" s="1569" t="s">
        <v>5508</v>
      </c>
      <c r="G244" s="1822"/>
      <c r="H244" s="80"/>
      <c r="I244" s="80"/>
      <c r="J244" s="80"/>
      <c r="K244" s="80"/>
    </row>
    <row r="245" spans="1:24" s="1370" customFormat="1" x14ac:dyDescent="0.2">
      <c r="A245" s="1384">
        <v>43575</v>
      </c>
      <c r="B245" s="1384" t="s">
        <v>260</v>
      </c>
      <c r="C245" s="1384" t="s">
        <v>7907</v>
      </c>
      <c r="D245" s="1733" t="s">
        <v>787</v>
      </c>
      <c r="E245" s="1489" t="s">
        <v>12451</v>
      </c>
      <c r="F245" s="1489" t="s">
        <v>4061</v>
      </c>
      <c r="G245" s="1815"/>
    </row>
    <row r="246" spans="1:24" s="1370" customFormat="1" x14ac:dyDescent="0.2">
      <c r="A246" s="1384">
        <v>43554</v>
      </c>
      <c r="B246" s="1384" t="s">
        <v>260</v>
      </c>
      <c r="C246" s="1384" t="s">
        <v>7907</v>
      </c>
      <c r="D246" s="1733" t="s">
        <v>787</v>
      </c>
      <c r="E246" s="1489" t="s">
        <v>12230</v>
      </c>
      <c r="F246" s="1489" t="s">
        <v>4061</v>
      </c>
      <c r="G246" s="1815"/>
    </row>
    <row r="247" spans="1:24" s="1370" customFormat="1" x14ac:dyDescent="0.2">
      <c r="A247" s="1384">
        <v>43547</v>
      </c>
      <c r="B247" s="1384" t="s">
        <v>260</v>
      </c>
      <c r="C247" s="1384" t="s">
        <v>7907</v>
      </c>
      <c r="D247" s="1733">
        <v>1.9016203703703705E-2</v>
      </c>
      <c r="E247" s="1489" t="s">
        <v>12187</v>
      </c>
      <c r="F247" s="1489" t="s">
        <v>12210</v>
      </c>
      <c r="G247" s="1815">
        <v>0.59589999999999999</v>
      </c>
    </row>
    <row r="248" spans="1:24" s="1370" customFormat="1" x14ac:dyDescent="0.2">
      <c r="A248" s="1384">
        <v>43533</v>
      </c>
      <c r="B248" s="1384" t="s">
        <v>260</v>
      </c>
      <c r="C248" s="1384" t="s">
        <v>7907</v>
      </c>
      <c r="D248" s="1733">
        <v>2.1041666666666667E-2</v>
      </c>
      <c r="E248" s="1489" t="s">
        <v>12019</v>
      </c>
      <c r="F248" s="1489" t="s">
        <v>12043</v>
      </c>
      <c r="G248" s="1815">
        <v>0.53849999999999998</v>
      </c>
      <c r="H248" s="1489"/>
    </row>
    <row r="249" spans="1:24" s="1370" customFormat="1" x14ac:dyDescent="0.2">
      <c r="A249" s="1384">
        <v>43512</v>
      </c>
      <c r="B249" s="1384" t="s">
        <v>260</v>
      </c>
      <c r="C249" s="1384" t="s">
        <v>7907</v>
      </c>
      <c r="D249" s="1733">
        <v>3.5671296296296298E-2</v>
      </c>
      <c r="E249" s="1489" t="s">
        <v>5883</v>
      </c>
      <c r="F249" s="1489" t="s">
        <v>11830</v>
      </c>
      <c r="G249" s="1815">
        <v>0.31769999999999998</v>
      </c>
    </row>
    <row r="250" spans="1:24" s="1370" customFormat="1" x14ac:dyDescent="0.2">
      <c r="A250" s="1384">
        <v>43505</v>
      </c>
      <c r="B250" s="1384" t="s">
        <v>260</v>
      </c>
      <c r="C250" s="1384" t="s">
        <v>7907</v>
      </c>
      <c r="D250" s="1733">
        <v>1.849537037037037E-2</v>
      </c>
      <c r="E250" s="1489" t="s">
        <v>5883</v>
      </c>
      <c r="F250" s="1489" t="s">
        <v>11774</v>
      </c>
      <c r="G250" s="1815">
        <v>0.61260000000000003</v>
      </c>
    </row>
    <row r="251" spans="1:24" s="1370" customFormat="1" x14ac:dyDescent="0.2">
      <c r="A251" s="1384">
        <v>43498</v>
      </c>
      <c r="B251" s="1384" t="s">
        <v>260</v>
      </c>
      <c r="C251" s="1384" t="s">
        <v>7907</v>
      </c>
      <c r="D251" s="1733">
        <v>1.7835648148148149E-2</v>
      </c>
      <c r="E251" s="1489" t="s">
        <v>5885</v>
      </c>
      <c r="F251" s="1489" t="s">
        <v>11742</v>
      </c>
      <c r="G251" s="1815">
        <v>0.63529999999999998</v>
      </c>
    </row>
    <row r="252" spans="1:24" s="1370" customFormat="1" x14ac:dyDescent="0.2">
      <c r="A252" s="1384">
        <v>43491</v>
      </c>
      <c r="B252" s="1384" t="s">
        <v>260</v>
      </c>
      <c r="C252" s="1384" t="s">
        <v>7907</v>
      </c>
      <c r="D252" s="1733">
        <v>1.818287037037037E-2</v>
      </c>
      <c r="E252" s="1489" t="s">
        <v>5883</v>
      </c>
      <c r="F252" s="1545" t="s">
        <v>11679</v>
      </c>
      <c r="G252" s="1815">
        <v>0.62319999999999998</v>
      </c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</row>
    <row r="253" spans="1:24" s="1370" customFormat="1" x14ac:dyDescent="0.2">
      <c r="A253" s="1384">
        <v>43477</v>
      </c>
      <c r="B253" s="1384" t="s">
        <v>260</v>
      </c>
      <c r="C253" s="1384" t="s">
        <v>7907</v>
      </c>
      <c r="D253" s="1733">
        <v>1.636574074074074E-2</v>
      </c>
      <c r="E253" s="1489" t="s">
        <v>5456</v>
      </c>
      <c r="F253" s="1489" t="s">
        <v>11587</v>
      </c>
      <c r="G253" s="1815">
        <v>0.69240000000000002</v>
      </c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</row>
    <row r="254" spans="1:24" s="1370" customFormat="1" x14ac:dyDescent="0.2">
      <c r="A254" s="1384">
        <v>43470</v>
      </c>
      <c r="B254" s="1384" t="s">
        <v>260</v>
      </c>
      <c r="C254" s="1384" t="s">
        <v>7907</v>
      </c>
      <c r="D254" s="1733">
        <v>1.6319444444444445E-2</v>
      </c>
      <c r="E254" s="1489" t="s">
        <v>5883</v>
      </c>
      <c r="F254" s="1489" t="s">
        <v>11588</v>
      </c>
      <c r="G254" s="1815">
        <v>0.69240000000000002</v>
      </c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</row>
    <row r="255" spans="1:24" s="1370" customFormat="1" x14ac:dyDescent="0.2">
      <c r="A255" s="1384">
        <v>43466</v>
      </c>
      <c r="B255" s="1384" t="s">
        <v>260</v>
      </c>
      <c r="C255" s="1384" t="s">
        <v>7907</v>
      </c>
      <c r="D255" s="1733">
        <v>1.6145833333333335E-2</v>
      </c>
      <c r="E255" s="1489" t="s">
        <v>11468</v>
      </c>
      <c r="F255" s="1489" t="s">
        <v>11528</v>
      </c>
      <c r="G255" s="1815">
        <v>0.70179999999999998</v>
      </c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</row>
    <row r="256" spans="1:24" s="1370" customFormat="1" x14ac:dyDescent="0.2">
      <c r="A256" s="34">
        <v>43824</v>
      </c>
      <c r="B256" s="1489" t="s">
        <v>4264</v>
      </c>
      <c r="C256" s="1489" t="s">
        <v>5239</v>
      </c>
      <c r="D256" s="1621">
        <v>1.5601851851851849E-2</v>
      </c>
      <c r="E256" s="1489" t="s">
        <v>16378</v>
      </c>
      <c r="F256" s="1489" t="s">
        <v>16394</v>
      </c>
      <c r="G256" s="1817">
        <v>0.80559999999999998</v>
      </c>
      <c r="H256" s="1404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1:24" s="1370" customFormat="1" x14ac:dyDescent="0.2">
      <c r="A257" s="1765">
        <v>43813</v>
      </c>
      <c r="B257" s="1489" t="s">
        <v>4264</v>
      </c>
      <c r="C257" s="1489" t="s">
        <v>5239</v>
      </c>
      <c r="D257" s="1621">
        <v>1.6944444444444443E-2</v>
      </c>
      <c r="E257" s="1489" t="s">
        <v>16269</v>
      </c>
      <c r="F257" s="1489" t="s">
        <v>16291</v>
      </c>
      <c r="G257" s="1817">
        <v>0.74180000000000001</v>
      </c>
      <c r="H257" s="1404"/>
      <c r="I257" s="140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1:24" s="1370" customFormat="1" x14ac:dyDescent="0.2">
      <c r="A258" s="34">
        <v>43806</v>
      </c>
      <c r="B258" s="1489" t="s">
        <v>4264</v>
      </c>
      <c r="C258" s="1489" t="s">
        <v>5239</v>
      </c>
      <c r="D258" s="1621">
        <v>1.556712962962963E-2</v>
      </c>
      <c r="E258" s="1489" t="s">
        <v>16222</v>
      </c>
      <c r="F258" s="1489" t="s">
        <v>16239</v>
      </c>
      <c r="G258" s="1817">
        <v>0.80740000000000001</v>
      </c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1:24" s="1370" customFormat="1" x14ac:dyDescent="0.2">
      <c r="A259" s="1729">
        <v>43799</v>
      </c>
      <c r="B259" s="1489" t="s">
        <v>4264</v>
      </c>
      <c r="C259" s="1489" t="s">
        <v>5239</v>
      </c>
      <c r="D259" s="65">
        <v>1.6238425925925924E-2</v>
      </c>
      <c r="E259" s="80" t="s">
        <v>16166</v>
      </c>
      <c r="F259" s="80" t="s">
        <v>16176</v>
      </c>
      <c r="G259" s="314">
        <v>0.77410000000000001</v>
      </c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1:24" s="1370" customFormat="1" x14ac:dyDescent="0.2">
      <c r="A260" s="1751">
        <v>43792</v>
      </c>
      <c r="B260" s="1489" t="s">
        <v>4264</v>
      </c>
      <c r="C260" s="1489" t="s">
        <v>5239</v>
      </c>
      <c r="D260" s="1786">
        <v>1.4907407407407406E-2</v>
      </c>
      <c r="E260" s="1489" t="s">
        <v>16078</v>
      </c>
      <c r="F260" s="1404" t="s">
        <v>16112</v>
      </c>
      <c r="G260" s="1817">
        <v>0.84319999999999995</v>
      </c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1:24" s="1370" customFormat="1" x14ac:dyDescent="0.2">
      <c r="A261" s="1673">
        <v>43785</v>
      </c>
      <c r="B261" s="1489" t="s">
        <v>4264</v>
      </c>
      <c r="C261" s="1489" t="s">
        <v>5239</v>
      </c>
      <c r="D261" s="1674">
        <v>1.5208333333333332E-2</v>
      </c>
      <c r="E261" s="80" t="s">
        <v>16015</v>
      </c>
      <c r="F261" s="80" t="s">
        <v>16050</v>
      </c>
      <c r="G261" s="314">
        <v>0.82650000000000001</v>
      </c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1:24" s="1370" customFormat="1" x14ac:dyDescent="0.2">
      <c r="A262" s="1384">
        <v>43771</v>
      </c>
      <c r="B262" s="1489" t="s">
        <v>4264</v>
      </c>
      <c r="C262" s="1489" t="s">
        <v>5239</v>
      </c>
      <c r="D262" s="1731">
        <v>1.7604166666666667E-2</v>
      </c>
      <c r="E262" s="1370" t="s">
        <v>15892</v>
      </c>
      <c r="F262" s="1370" t="s">
        <v>15938</v>
      </c>
      <c r="G262" s="1816">
        <v>0.71399999999999997</v>
      </c>
    </row>
    <row r="263" spans="1:24" s="1370" customFormat="1" x14ac:dyDescent="0.2">
      <c r="A263" s="1384">
        <v>43764</v>
      </c>
      <c r="B263" s="1489" t="s">
        <v>4264</v>
      </c>
      <c r="C263" s="1489" t="s">
        <v>5239</v>
      </c>
      <c r="D263" s="1727">
        <v>1.5497685185185186E-2</v>
      </c>
      <c r="E263" s="1728" t="s">
        <v>15912</v>
      </c>
      <c r="F263" s="1728" t="s">
        <v>9043</v>
      </c>
      <c r="G263" s="1821">
        <v>0.81110000000000004</v>
      </c>
    </row>
    <row r="264" spans="1:24" s="1370" customFormat="1" x14ac:dyDescent="0.2">
      <c r="A264" s="523">
        <v>43757</v>
      </c>
      <c r="B264" s="1489" t="s">
        <v>4264</v>
      </c>
      <c r="C264" s="1489" t="s">
        <v>5239</v>
      </c>
      <c r="D264" s="1686">
        <v>1.486111111111111E-2</v>
      </c>
      <c r="E264" s="1489" t="s">
        <v>15848</v>
      </c>
      <c r="F264" s="1489" t="s">
        <v>15875</v>
      </c>
      <c r="G264" s="1815">
        <v>0.8458</v>
      </c>
      <c r="H264" s="1489"/>
      <c r="I264" s="1489" t="s">
        <v>15866</v>
      </c>
      <c r="J264" s="1489"/>
      <c r="K264" s="1489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</row>
    <row r="265" spans="1:24" s="1370" customFormat="1" x14ac:dyDescent="0.2">
      <c r="A265" s="1729">
        <v>43743</v>
      </c>
      <c r="B265" s="1489" t="s">
        <v>4264</v>
      </c>
      <c r="C265" s="1489" t="s">
        <v>5239</v>
      </c>
      <c r="D265" s="1731">
        <v>1.5474537037037038E-2</v>
      </c>
      <c r="E265" s="80" t="s">
        <v>15705</v>
      </c>
      <c r="F265" s="80" t="s">
        <v>15746</v>
      </c>
      <c r="G265" s="317">
        <v>0.81230000000000002</v>
      </c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</row>
    <row r="266" spans="1:24" s="1370" customFormat="1" x14ac:dyDescent="0.2">
      <c r="A266" s="1729">
        <v>43736</v>
      </c>
      <c r="B266" s="1489" t="s">
        <v>4264</v>
      </c>
      <c r="C266" s="1489" t="s">
        <v>5239</v>
      </c>
      <c r="D266" s="1686">
        <v>1.5983796296296295E-2</v>
      </c>
      <c r="E266" s="1489" t="s">
        <v>15637</v>
      </c>
      <c r="F266" s="1489" t="s">
        <v>15669</v>
      </c>
      <c r="G266" s="1815">
        <v>0.78639999999999999</v>
      </c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</row>
    <row r="267" spans="1:24" s="1370" customFormat="1" x14ac:dyDescent="0.2">
      <c r="A267" s="523">
        <v>43722</v>
      </c>
      <c r="B267" s="1489" t="s">
        <v>4264</v>
      </c>
      <c r="C267" s="1489" t="s">
        <v>5239</v>
      </c>
      <c r="D267" s="1686">
        <v>1.4548611111111111E-2</v>
      </c>
      <c r="E267" s="1489" t="s">
        <v>15472</v>
      </c>
      <c r="F267" s="1489" t="s">
        <v>15506</v>
      </c>
      <c r="G267" s="1815">
        <v>0.86399999999999999</v>
      </c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</row>
    <row r="268" spans="1:24" s="1370" customFormat="1" x14ac:dyDescent="0.2">
      <c r="A268" s="1526">
        <v>43708</v>
      </c>
      <c r="B268" s="1489" t="s">
        <v>4264</v>
      </c>
      <c r="C268" s="1489" t="s">
        <v>5239</v>
      </c>
      <c r="D268" s="1686">
        <v>1.5335648148148147E-2</v>
      </c>
      <c r="E268" s="1489" t="s">
        <v>15364</v>
      </c>
      <c r="F268" s="1489" t="s">
        <v>15388</v>
      </c>
      <c r="G268" s="1815">
        <v>0.8196</v>
      </c>
      <c r="H268" s="1489"/>
      <c r="I268" s="1489"/>
      <c r="J268" s="1489"/>
      <c r="K268" s="80"/>
    </row>
    <row r="269" spans="1:24" s="1370" customFormat="1" x14ac:dyDescent="0.2">
      <c r="A269" s="523">
        <v>43694</v>
      </c>
      <c r="B269" s="1489" t="s">
        <v>4264</v>
      </c>
      <c r="C269" s="1489" t="s">
        <v>5239</v>
      </c>
      <c r="D269" s="1733">
        <v>1.5416666666666665E-2</v>
      </c>
      <c r="E269" s="1489" t="s">
        <v>15161</v>
      </c>
      <c r="F269" s="1489" t="s">
        <v>15190</v>
      </c>
      <c r="G269" s="1815">
        <v>0.81530000000000002</v>
      </c>
      <c r="H269" s="80"/>
      <c r="I269" s="80"/>
      <c r="J269" s="80"/>
      <c r="K269" s="80"/>
    </row>
    <row r="270" spans="1:24" s="1370" customFormat="1" x14ac:dyDescent="0.2">
      <c r="A270" s="1384">
        <v>43680</v>
      </c>
      <c r="B270" s="1489" t="s">
        <v>4264</v>
      </c>
      <c r="C270" s="1489" t="s">
        <v>5239</v>
      </c>
      <c r="D270" s="1686">
        <v>1.5497685185185186E-2</v>
      </c>
      <c r="E270" s="1489" t="s">
        <v>13358</v>
      </c>
      <c r="F270" s="1489" t="s">
        <v>13389</v>
      </c>
      <c r="G270" s="1815">
        <v>0.81110000000000004</v>
      </c>
      <c r="H270" s="80"/>
      <c r="I270" s="80"/>
      <c r="J270" s="80"/>
      <c r="K270" s="80"/>
    </row>
    <row r="271" spans="1:24" s="1370" customFormat="1" x14ac:dyDescent="0.2">
      <c r="A271" s="1384">
        <v>43673</v>
      </c>
      <c r="B271" s="1489" t="s">
        <v>4264</v>
      </c>
      <c r="C271" s="1489" t="s">
        <v>5239</v>
      </c>
      <c r="D271" s="1686">
        <v>1.5821759259259261E-2</v>
      </c>
      <c r="E271" s="1489" t="s">
        <v>13297</v>
      </c>
      <c r="F271" s="1489"/>
      <c r="G271" s="1815">
        <v>0.7944</v>
      </c>
      <c r="H271" s="80"/>
      <c r="I271" s="1514"/>
      <c r="J271" s="80"/>
      <c r="K271" s="80"/>
    </row>
    <row r="272" spans="1:24" s="1370" customFormat="1" x14ac:dyDescent="0.2">
      <c r="A272" s="523">
        <v>43659</v>
      </c>
      <c r="B272" s="1489" t="s">
        <v>4264</v>
      </c>
      <c r="C272" s="1489" t="s">
        <v>5239</v>
      </c>
      <c r="D272" s="1686">
        <v>1.9421296296296294E-2</v>
      </c>
      <c r="E272" s="1489" t="s">
        <v>13134</v>
      </c>
      <c r="F272" s="1489" t="s">
        <v>13168</v>
      </c>
      <c r="G272" s="1815">
        <v>0.6472</v>
      </c>
      <c r="H272" s="80"/>
      <c r="I272" s="1489"/>
      <c r="J272" s="80"/>
      <c r="K272" s="80"/>
    </row>
    <row r="273" spans="1:24" s="1370" customFormat="1" x14ac:dyDescent="0.2">
      <c r="A273" s="523">
        <v>43645</v>
      </c>
      <c r="B273" s="1489" t="s">
        <v>4264</v>
      </c>
      <c r="C273" s="1489" t="s">
        <v>5239</v>
      </c>
      <c r="D273" s="1686">
        <v>1.5092592592592593E-2</v>
      </c>
      <c r="E273" s="1514" t="s">
        <v>13028</v>
      </c>
      <c r="F273" s="1489" t="s">
        <v>13046</v>
      </c>
      <c r="G273" s="1815">
        <v>0.83279999999999998</v>
      </c>
      <c r="H273" s="80"/>
      <c r="I273" s="1514"/>
      <c r="J273" s="80"/>
      <c r="K273" s="80"/>
    </row>
    <row r="274" spans="1:24" s="1370" customFormat="1" x14ac:dyDescent="0.2">
      <c r="A274" s="523">
        <v>43638</v>
      </c>
      <c r="B274" s="1489" t="s">
        <v>4264</v>
      </c>
      <c r="C274" s="1489" t="s">
        <v>5239</v>
      </c>
      <c r="D274" s="1835">
        <v>1.5208333333333332E-2</v>
      </c>
      <c r="E274" s="1569" t="s">
        <v>12989</v>
      </c>
      <c r="F274" s="1569" t="s">
        <v>13006</v>
      </c>
      <c r="G274" s="1818">
        <v>0.82650000000000001</v>
      </c>
      <c r="H274" s="80"/>
      <c r="I274" s="1514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</row>
    <row r="275" spans="1:24" s="1370" customFormat="1" x14ac:dyDescent="0.2">
      <c r="A275" s="523">
        <v>43624</v>
      </c>
      <c r="B275" s="1489" t="s">
        <v>4264</v>
      </c>
      <c r="C275" s="1489" t="s">
        <v>5239</v>
      </c>
      <c r="D275" s="1835">
        <v>1.6562500000000001E-2</v>
      </c>
      <c r="E275" s="1569" t="s">
        <v>12856</v>
      </c>
      <c r="F275" s="1569" t="s">
        <v>12878</v>
      </c>
      <c r="G275" s="1818">
        <v>0.75890000000000002</v>
      </c>
      <c r="H275" s="80"/>
      <c r="I275" s="1514"/>
      <c r="J275" s="80"/>
      <c r="K275" s="80"/>
    </row>
    <row r="276" spans="1:24" s="1370" customFormat="1" x14ac:dyDescent="0.2">
      <c r="A276" s="1384">
        <v>43617</v>
      </c>
      <c r="B276" s="1489" t="s">
        <v>4264</v>
      </c>
      <c r="C276" s="1489" t="s">
        <v>5239</v>
      </c>
      <c r="D276" s="1836">
        <v>1.5196759259259259E-2</v>
      </c>
      <c r="E276" s="1568" t="s">
        <v>12801</v>
      </c>
      <c r="F276" s="1568" t="s">
        <v>12781</v>
      </c>
      <c r="G276" s="1819">
        <v>0.8165</v>
      </c>
      <c r="I276" s="1489"/>
    </row>
    <row r="277" spans="1:24" s="1370" customFormat="1" x14ac:dyDescent="0.2">
      <c r="A277" s="1384">
        <v>43610</v>
      </c>
      <c r="B277" s="1489" t="s">
        <v>4264</v>
      </c>
      <c r="C277" s="1489" t="s">
        <v>5239</v>
      </c>
      <c r="D277" s="1733">
        <v>1.5590277777777778E-2</v>
      </c>
      <c r="E277" s="1489" t="s">
        <v>12734</v>
      </c>
      <c r="F277" s="1489"/>
      <c r="G277" s="1815">
        <v>0.79579999999999995</v>
      </c>
      <c r="I277" s="1489"/>
    </row>
    <row r="278" spans="1:24" s="1370" customFormat="1" x14ac:dyDescent="0.2">
      <c r="A278" s="1384">
        <v>43589</v>
      </c>
      <c r="B278" s="1489" t="s">
        <v>4264</v>
      </c>
      <c r="C278" s="1489" t="s">
        <v>5239</v>
      </c>
      <c r="D278" s="1733">
        <v>1.5833333333333335E-2</v>
      </c>
      <c r="E278" s="1489" t="s">
        <v>12543</v>
      </c>
      <c r="F278" s="1489" t="s">
        <v>15876</v>
      </c>
      <c r="G278" s="1815">
        <v>0.78359999999999996</v>
      </c>
      <c r="I278" s="1489"/>
    </row>
    <row r="279" spans="1:24" s="1370" customFormat="1" x14ac:dyDescent="0.2">
      <c r="A279" s="1384">
        <v>43582</v>
      </c>
      <c r="B279" s="1489" t="s">
        <v>4264</v>
      </c>
      <c r="C279" s="1489" t="s">
        <v>5239</v>
      </c>
      <c r="D279" s="1733">
        <v>1.5868055555555555E-2</v>
      </c>
      <c r="E279" s="1489" t="s">
        <v>12544</v>
      </c>
      <c r="F279" s="1489" t="s">
        <v>12545</v>
      </c>
      <c r="G279" s="1815">
        <v>0.78190000000000004</v>
      </c>
      <c r="I279" s="1489"/>
    </row>
    <row r="280" spans="1:24" s="1370" customFormat="1" x14ac:dyDescent="0.2">
      <c r="A280" s="1384">
        <v>43575</v>
      </c>
      <c r="B280" s="1489" t="s">
        <v>4264</v>
      </c>
      <c r="C280" s="1489" t="s">
        <v>5239</v>
      </c>
      <c r="D280" s="1733">
        <v>1.5636574074074074E-2</v>
      </c>
      <c r="E280" s="1489" t="s">
        <v>12480</v>
      </c>
      <c r="F280" s="1489" t="s">
        <v>12481</v>
      </c>
      <c r="G280" s="1815">
        <v>0.79349999999999998</v>
      </c>
      <c r="I280" s="1489"/>
    </row>
    <row r="281" spans="1:24" s="1370" customFormat="1" x14ac:dyDescent="0.2">
      <c r="A281" s="1384">
        <v>43561</v>
      </c>
      <c r="B281" s="1489" t="s">
        <v>4264</v>
      </c>
      <c r="C281" s="1489" t="s">
        <v>5239</v>
      </c>
      <c r="D281" s="1733">
        <v>1.5601851851851851E-2</v>
      </c>
      <c r="E281" s="1489" t="s">
        <v>12329</v>
      </c>
      <c r="F281" s="1489" t="s">
        <v>2629</v>
      </c>
      <c r="G281" s="1815">
        <v>0.79530000000000001</v>
      </c>
      <c r="I281" s="1489"/>
    </row>
    <row r="282" spans="1:24" s="1370" customFormat="1" x14ac:dyDescent="0.2">
      <c r="A282" s="1384">
        <v>43554</v>
      </c>
      <c r="B282" s="1489" t="s">
        <v>4264</v>
      </c>
      <c r="C282" s="1489" t="s">
        <v>5239</v>
      </c>
      <c r="D282" s="1733">
        <v>1.5497685185185186E-2</v>
      </c>
      <c r="E282" s="1489" t="s">
        <v>12230</v>
      </c>
      <c r="F282" s="1489" t="s">
        <v>12283</v>
      </c>
      <c r="G282" s="1815">
        <v>0.80059999999999998</v>
      </c>
      <c r="I282" s="1489"/>
    </row>
    <row r="283" spans="1:24" s="1370" customFormat="1" x14ac:dyDescent="0.2">
      <c r="A283" s="1384">
        <v>43547</v>
      </c>
      <c r="B283" s="1489" t="s">
        <v>4264</v>
      </c>
      <c r="C283" s="1489" t="s">
        <v>5239</v>
      </c>
      <c r="D283" s="1733">
        <v>1.5752314814814813E-2</v>
      </c>
      <c r="E283" s="1489" t="s">
        <v>12189</v>
      </c>
      <c r="F283" s="1489" t="s">
        <v>12188</v>
      </c>
      <c r="G283" s="1815">
        <v>0.78769999999999996</v>
      </c>
      <c r="I283" s="1489"/>
    </row>
    <row r="284" spans="1:24" s="1370" customFormat="1" x14ac:dyDescent="0.2">
      <c r="A284" s="1384">
        <v>43533</v>
      </c>
      <c r="B284" s="1489" t="s">
        <v>4264</v>
      </c>
      <c r="C284" s="1489" t="s">
        <v>5239</v>
      </c>
      <c r="D284" s="1733">
        <v>1.653935185185185E-2</v>
      </c>
      <c r="E284" s="1489" t="s">
        <v>12029</v>
      </c>
      <c r="F284" s="1489" t="s">
        <v>12028</v>
      </c>
      <c r="G284" s="1815">
        <v>0.75019999999999998</v>
      </c>
      <c r="I284" s="1489"/>
    </row>
    <row r="285" spans="1:24" s="1370" customFormat="1" x14ac:dyDescent="0.2">
      <c r="A285" s="1384">
        <v>43519</v>
      </c>
      <c r="B285" s="1489" t="s">
        <v>4264</v>
      </c>
      <c r="C285" s="1489" t="s">
        <v>5239</v>
      </c>
      <c r="D285" s="1733">
        <v>1.6446759259259262E-2</v>
      </c>
      <c r="E285" s="1489" t="s">
        <v>5198</v>
      </c>
      <c r="F285" s="1489" t="s">
        <v>11885</v>
      </c>
      <c r="G285" s="1815">
        <v>0.75439999999999996</v>
      </c>
      <c r="I285" s="1489"/>
    </row>
    <row r="286" spans="1:24" s="1370" customFormat="1" x14ac:dyDescent="0.2">
      <c r="A286" s="1384">
        <v>43512</v>
      </c>
      <c r="B286" s="1489" t="s">
        <v>4264</v>
      </c>
      <c r="C286" s="1489" t="s">
        <v>5239</v>
      </c>
      <c r="D286" s="1733">
        <v>1.6655092592592593E-2</v>
      </c>
      <c r="E286" s="1489" t="s">
        <v>2431</v>
      </c>
      <c r="F286" s="1489" t="s">
        <v>11831</v>
      </c>
      <c r="G286" s="1815">
        <v>0.745</v>
      </c>
      <c r="I286" s="1489"/>
    </row>
    <row r="287" spans="1:24" s="1370" customFormat="1" x14ac:dyDescent="0.2">
      <c r="A287" s="1384">
        <v>43498</v>
      </c>
      <c r="B287" s="1489" t="s">
        <v>4264</v>
      </c>
      <c r="C287" s="1489" t="s">
        <v>5239</v>
      </c>
      <c r="D287" s="1733">
        <v>1.8229166666666668E-2</v>
      </c>
      <c r="E287" s="1489" t="s">
        <v>5948</v>
      </c>
      <c r="F287" s="1489" t="s">
        <v>11743</v>
      </c>
      <c r="G287" s="1815">
        <v>0.68059999999999998</v>
      </c>
      <c r="I287" s="1489"/>
    </row>
    <row r="288" spans="1:24" s="1370" customFormat="1" x14ac:dyDescent="0.2">
      <c r="A288" s="1384">
        <v>43491</v>
      </c>
      <c r="B288" s="1489" t="s">
        <v>4264</v>
      </c>
      <c r="C288" s="1489" t="s">
        <v>5239</v>
      </c>
      <c r="D288" s="1733">
        <v>1.6192129629629629E-2</v>
      </c>
      <c r="E288" s="1489" t="s">
        <v>2431</v>
      </c>
      <c r="F288" s="1545" t="s">
        <v>11698</v>
      </c>
      <c r="G288" s="1815">
        <v>0.76629999999999998</v>
      </c>
      <c r="I288" s="1489"/>
    </row>
    <row r="289" spans="1:24" s="1370" customFormat="1" x14ac:dyDescent="0.2">
      <c r="A289" s="1384">
        <v>43484</v>
      </c>
      <c r="B289" s="1489" t="s">
        <v>4264</v>
      </c>
      <c r="C289" s="1489" t="s">
        <v>5239</v>
      </c>
      <c r="D289" s="1733">
        <v>1.7199074074074071E-2</v>
      </c>
      <c r="E289" s="1489" t="s">
        <v>2431</v>
      </c>
      <c r="F289" s="1489" t="s">
        <v>11590</v>
      </c>
      <c r="G289" s="1815">
        <v>0.72140000000000004</v>
      </c>
      <c r="I289" s="1489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</row>
    <row r="290" spans="1:24" s="1370" customFormat="1" x14ac:dyDescent="0.2">
      <c r="A290" s="1384">
        <v>43470</v>
      </c>
      <c r="B290" s="1489" t="s">
        <v>4264</v>
      </c>
      <c r="C290" s="1489" t="s">
        <v>5239</v>
      </c>
      <c r="D290" s="1733">
        <v>1.5810185185185184E-2</v>
      </c>
      <c r="E290" s="1489" t="s">
        <v>2431</v>
      </c>
      <c r="F290" s="1489" t="s">
        <v>11589</v>
      </c>
      <c r="G290" s="1815">
        <v>0.78480000000000005</v>
      </c>
      <c r="I290" s="1489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</row>
    <row r="291" spans="1:24" s="1370" customFormat="1" x14ac:dyDescent="0.2">
      <c r="A291" s="1384">
        <v>43466</v>
      </c>
      <c r="B291" s="1489" t="s">
        <v>4264</v>
      </c>
      <c r="C291" s="1489" t="s">
        <v>5239</v>
      </c>
      <c r="D291" s="1733">
        <v>1.6261574074074074E-2</v>
      </c>
      <c r="E291" s="1489" t="s">
        <v>11508</v>
      </c>
      <c r="F291" s="1489" t="s">
        <v>11516</v>
      </c>
      <c r="G291" s="1815">
        <v>0.76300000000000001</v>
      </c>
      <c r="I291" s="1489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</row>
    <row r="292" spans="1:24" s="1370" customFormat="1" x14ac:dyDescent="0.2">
      <c r="A292" s="1384">
        <v>43231</v>
      </c>
      <c r="B292" s="1489" t="s">
        <v>4264</v>
      </c>
      <c r="C292" s="1489" t="s">
        <v>5239</v>
      </c>
      <c r="D292" s="1733">
        <v>1.5925925925925927E-2</v>
      </c>
      <c r="E292" s="1489" t="s">
        <v>12542</v>
      </c>
      <c r="F292" s="1489" t="s">
        <v>12546</v>
      </c>
      <c r="G292" s="1815">
        <v>0.77910000000000001</v>
      </c>
      <c r="I292" s="1489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</row>
    <row r="293" spans="1:24" s="1370" customFormat="1" x14ac:dyDescent="0.2">
      <c r="A293" s="1673">
        <v>43820</v>
      </c>
      <c r="B293" s="1489" t="s">
        <v>435</v>
      </c>
      <c r="C293" s="1489" t="s">
        <v>436</v>
      </c>
      <c r="D293" s="1777">
        <v>3.2060185185185185E-2</v>
      </c>
      <c r="E293" s="80" t="s">
        <v>16327</v>
      </c>
      <c r="F293" t="s">
        <v>16342</v>
      </c>
      <c r="G293" s="314">
        <v>0.42599999999999999</v>
      </c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1:24" s="1370" customFormat="1" x14ac:dyDescent="0.2">
      <c r="A294" s="34">
        <v>43806</v>
      </c>
      <c r="B294" s="1489" t="s">
        <v>435</v>
      </c>
      <c r="C294" s="1489" t="s">
        <v>436</v>
      </c>
      <c r="D294" s="1621">
        <v>3.1203703703703699E-2</v>
      </c>
      <c r="E294" s="1489" t="s">
        <v>16225</v>
      </c>
      <c r="F294" s="1404"/>
      <c r="G294" s="1817">
        <v>0.43769999999999998</v>
      </c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1:24" s="1370" customFormat="1" x14ac:dyDescent="0.2">
      <c r="A295" s="1673">
        <v>43785</v>
      </c>
      <c r="B295" s="1489" t="s">
        <v>435</v>
      </c>
      <c r="C295" s="1489" t="s">
        <v>436</v>
      </c>
      <c r="D295" s="1674">
        <v>3.2881944444444443E-2</v>
      </c>
      <c r="E295" s="80" t="s">
        <v>16026</v>
      </c>
      <c r="F295" s="80" t="s">
        <v>16027</v>
      </c>
      <c r="G295" s="314">
        <v>0.4153</v>
      </c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1:24" s="1370" customFormat="1" x14ac:dyDescent="0.2">
      <c r="A296" s="523">
        <v>43757</v>
      </c>
      <c r="B296" s="1489" t="s">
        <v>435</v>
      </c>
      <c r="C296" s="1489" t="s">
        <v>436</v>
      </c>
      <c r="D296" s="1686">
        <v>3.2256944444444449E-2</v>
      </c>
      <c r="E296" s="1489" t="s">
        <v>15847</v>
      </c>
      <c r="F296" s="1489" t="s">
        <v>16062</v>
      </c>
      <c r="G296" s="1815">
        <v>0.4234</v>
      </c>
      <c r="H296" s="1489"/>
      <c r="I296" s="1489"/>
      <c r="J296" s="1489"/>
      <c r="K296" s="1489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</row>
    <row r="297" spans="1:24" s="1370" customFormat="1" x14ac:dyDescent="0.2">
      <c r="A297" s="1729">
        <v>43729</v>
      </c>
      <c r="B297" s="1489" t="s">
        <v>435</v>
      </c>
      <c r="C297" s="1489" t="s">
        <v>436</v>
      </c>
      <c r="D297" s="1686">
        <v>3.2638888888888891E-2</v>
      </c>
      <c r="E297" s="1489" t="s">
        <v>15567</v>
      </c>
      <c r="F297" s="1489" t="s">
        <v>15598</v>
      </c>
      <c r="G297" s="1815">
        <v>0.41839999999999999</v>
      </c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</row>
    <row r="298" spans="1:24" s="1370" customFormat="1" x14ac:dyDescent="0.2">
      <c r="A298" s="523">
        <v>43722</v>
      </c>
      <c r="B298" s="1489" t="s">
        <v>435</v>
      </c>
      <c r="C298" s="1489" t="s">
        <v>436</v>
      </c>
      <c r="D298" s="1686">
        <v>3.335648148148148E-2</v>
      </c>
      <c r="E298" s="1489" t="s">
        <v>15484</v>
      </c>
      <c r="F298" s="1489" t="s">
        <v>16061</v>
      </c>
      <c r="G298" s="1815">
        <v>0.40939999999999999</v>
      </c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</row>
    <row r="299" spans="1:24" s="1370" customFormat="1" x14ac:dyDescent="0.2">
      <c r="A299" s="523">
        <v>43715</v>
      </c>
      <c r="B299" s="1489" t="s">
        <v>435</v>
      </c>
      <c r="C299" s="1489" t="s">
        <v>436</v>
      </c>
      <c r="D299" s="1730">
        <v>3.2928240740740737E-2</v>
      </c>
      <c r="E299" s="80" t="s">
        <v>15430</v>
      </c>
      <c r="F299" s="1489" t="s">
        <v>15532</v>
      </c>
      <c r="G299" s="317">
        <v>0.4148</v>
      </c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</row>
    <row r="300" spans="1:24" s="1370" customFormat="1" x14ac:dyDescent="0.2">
      <c r="A300" s="523">
        <v>43687</v>
      </c>
      <c r="B300" s="1489" t="s">
        <v>435</v>
      </c>
      <c r="C300" s="1489" t="s">
        <v>436</v>
      </c>
      <c r="D300" s="1686">
        <v>3.5057870370370371E-2</v>
      </c>
      <c r="E300" s="1489" t="s">
        <v>13444</v>
      </c>
      <c r="F300" s="1489" t="s">
        <v>13448</v>
      </c>
      <c r="G300" s="1815">
        <v>0.3896</v>
      </c>
      <c r="H300" s="80"/>
      <c r="I300" s="80"/>
      <c r="J300" s="80"/>
      <c r="K300" s="80"/>
    </row>
    <row r="301" spans="1:24" s="1370" customFormat="1" x14ac:dyDescent="0.2">
      <c r="A301" s="1384">
        <v>43575</v>
      </c>
      <c r="B301" s="1489" t="s">
        <v>435</v>
      </c>
      <c r="C301" s="1489" t="s">
        <v>436</v>
      </c>
      <c r="D301" s="1834">
        <v>3.229166666666667E-2</v>
      </c>
      <c r="E301" s="1370" t="s">
        <v>12462</v>
      </c>
      <c r="F301" s="1370" t="s">
        <v>12472</v>
      </c>
      <c r="G301" s="1816">
        <v>0.41470000000000001</v>
      </c>
    </row>
    <row r="302" spans="1:24" s="1370" customFormat="1" x14ac:dyDescent="0.2">
      <c r="A302" s="1384">
        <v>43568</v>
      </c>
      <c r="B302" s="1489" t="s">
        <v>435</v>
      </c>
      <c r="C302" s="1489" t="s">
        <v>436</v>
      </c>
      <c r="D302" s="1834">
        <v>3.0439814814814819E-2</v>
      </c>
      <c r="E302" s="1370" t="s">
        <v>12412</v>
      </c>
      <c r="F302" s="1370" t="s">
        <v>12411</v>
      </c>
      <c r="G302" s="1816">
        <v>0.43990000000000001</v>
      </c>
    </row>
    <row r="303" spans="1:24" s="1370" customFormat="1" x14ac:dyDescent="0.2">
      <c r="A303" s="1384">
        <v>43561</v>
      </c>
      <c r="B303" s="1489" t="s">
        <v>435</v>
      </c>
      <c r="C303" s="1489" t="s">
        <v>436</v>
      </c>
      <c r="D303" s="1834">
        <v>3.1377314814814809E-2</v>
      </c>
      <c r="E303" s="1370" t="s">
        <v>12326</v>
      </c>
      <c r="F303" s="1370" t="s">
        <v>12325</v>
      </c>
      <c r="G303" s="1816">
        <v>0.42680000000000001</v>
      </c>
    </row>
    <row r="304" spans="1:24" s="1370" customFormat="1" x14ac:dyDescent="0.2">
      <c r="A304" s="1384">
        <v>43547</v>
      </c>
      <c r="B304" s="1489" t="s">
        <v>435</v>
      </c>
      <c r="C304" s="1489" t="s">
        <v>436</v>
      </c>
      <c r="D304" s="1834">
        <v>3.0752314814814816E-2</v>
      </c>
      <c r="E304" s="1370" t="s">
        <v>12171</v>
      </c>
      <c r="F304" s="1370" t="s">
        <v>12172</v>
      </c>
      <c r="G304" s="1816">
        <v>0.4355</v>
      </c>
    </row>
    <row r="305" spans="1:24" s="1370" customFormat="1" x14ac:dyDescent="0.2">
      <c r="A305" s="1384">
        <v>43540</v>
      </c>
      <c r="B305" s="1489" t="s">
        <v>435</v>
      </c>
      <c r="C305" s="1489" t="s">
        <v>436</v>
      </c>
      <c r="D305" s="1834">
        <v>3.1516203703703706E-2</v>
      </c>
      <c r="E305" s="1370" t="s">
        <v>12100</v>
      </c>
      <c r="F305" s="1370" t="s">
        <v>12101</v>
      </c>
      <c r="G305" s="1816">
        <v>0.4249</v>
      </c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</row>
    <row r="306" spans="1:24" s="1370" customFormat="1" x14ac:dyDescent="0.2">
      <c r="A306" s="1384">
        <v>43526</v>
      </c>
      <c r="B306" s="1489" t="s">
        <v>435</v>
      </c>
      <c r="C306" s="1489" t="s">
        <v>436</v>
      </c>
      <c r="D306" s="1834">
        <v>2.8807870370370373E-2</v>
      </c>
      <c r="E306" s="1370" t="s">
        <v>11940</v>
      </c>
      <c r="F306" s="1370" t="s">
        <v>11930</v>
      </c>
      <c r="G306" s="1816">
        <v>0.46479999999999999</v>
      </c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</row>
    <row r="307" spans="1:24" s="1370" customFormat="1" x14ac:dyDescent="0.2">
      <c r="A307" s="1384">
        <v>43519</v>
      </c>
      <c r="B307" s="1489" t="s">
        <v>435</v>
      </c>
      <c r="C307" s="1489" t="s">
        <v>436</v>
      </c>
      <c r="D307" s="1834">
        <v>3.0717592592592591E-2</v>
      </c>
      <c r="E307" s="1370" t="s">
        <v>10622</v>
      </c>
      <c r="F307" s="1370" t="s">
        <v>11867</v>
      </c>
      <c r="G307" s="1816">
        <v>0.43590000000000001</v>
      </c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</row>
    <row r="308" spans="1:24" s="1370" customFormat="1" x14ac:dyDescent="0.2">
      <c r="A308" s="1384">
        <v>43512</v>
      </c>
      <c r="B308" s="1489" t="s">
        <v>435</v>
      </c>
      <c r="C308" s="1489" t="s">
        <v>436</v>
      </c>
      <c r="D308" s="1834">
        <v>3.0150462962962962E-2</v>
      </c>
      <c r="E308" s="1370" t="s">
        <v>5653</v>
      </c>
      <c r="F308" s="1370" t="s">
        <v>16060</v>
      </c>
      <c r="G308" s="1816">
        <v>0.44409999999999999</v>
      </c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</row>
    <row r="309" spans="1:24" s="1370" customFormat="1" x14ac:dyDescent="0.2">
      <c r="A309" s="1729">
        <v>43743</v>
      </c>
      <c r="B309" s="1370" t="s">
        <v>15726</v>
      </c>
      <c r="C309" s="1370" t="s">
        <v>8816</v>
      </c>
      <c r="D309" s="1731">
        <v>2.8437500000000001E-2</v>
      </c>
      <c r="E309" s="80" t="s">
        <v>15708</v>
      </c>
      <c r="F309" s="80" t="s">
        <v>15755</v>
      </c>
      <c r="G309" s="317">
        <v>0.40939999999999999</v>
      </c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</row>
    <row r="310" spans="1:24" s="1370" customFormat="1" x14ac:dyDescent="0.2">
      <c r="A310" s="1384">
        <v>43771</v>
      </c>
      <c r="B310" s="1370" t="s">
        <v>11378</v>
      </c>
      <c r="C310" s="1370" t="s">
        <v>8339</v>
      </c>
      <c r="D310" s="1731">
        <v>2.105324074074074E-2</v>
      </c>
      <c r="E310" s="1370" t="s">
        <v>15893</v>
      </c>
      <c r="F310" s="1370" t="s">
        <v>15939</v>
      </c>
      <c r="G310" s="1816">
        <v>0.49859999999999999</v>
      </c>
    </row>
    <row r="311" spans="1:24" s="1370" customFormat="1" x14ac:dyDescent="0.2">
      <c r="A311" s="1729">
        <v>43743</v>
      </c>
      <c r="B311" s="1370" t="s">
        <v>11378</v>
      </c>
      <c r="C311" s="1370" t="s">
        <v>8339</v>
      </c>
      <c r="D311" s="1731">
        <v>1.5497685185185186E-2</v>
      </c>
      <c r="E311" s="80" t="s">
        <v>15722</v>
      </c>
      <c r="F311" s="80" t="s">
        <v>15731</v>
      </c>
      <c r="G311" s="317">
        <v>0.6774</v>
      </c>
      <c r="H311" s="80"/>
      <c r="I311" s="1708" t="s">
        <v>15730</v>
      </c>
      <c r="J311" s="80"/>
      <c r="K311" s="80"/>
    </row>
    <row r="312" spans="1:24" s="1370" customFormat="1" x14ac:dyDescent="0.2">
      <c r="A312" s="523">
        <v>43722</v>
      </c>
      <c r="B312" s="1370" t="s">
        <v>11378</v>
      </c>
      <c r="C312" s="1370" t="s">
        <v>8339</v>
      </c>
      <c r="D312" s="1686">
        <v>1.503472222222222E-2</v>
      </c>
      <c r="E312" s="1489" t="s">
        <v>15485</v>
      </c>
      <c r="F312" s="1489" t="s">
        <v>15496</v>
      </c>
      <c r="G312" s="1815">
        <v>0.69820000000000004</v>
      </c>
      <c r="H312" s="80"/>
      <c r="I312" s="80"/>
      <c r="J312" s="80"/>
      <c r="K312" s="80"/>
    </row>
    <row r="313" spans="1:24" s="1370" customFormat="1" x14ac:dyDescent="0.2">
      <c r="A313" s="1384">
        <v>43610</v>
      </c>
      <c r="B313" s="1370" t="s">
        <v>11378</v>
      </c>
      <c r="C313" s="1370" t="s">
        <v>8339</v>
      </c>
      <c r="D313" s="1733">
        <v>1.503472222222222E-2</v>
      </c>
      <c r="E313" s="1489" t="s">
        <v>12736</v>
      </c>
      <c r="F313" s="1489" t="s">
        <v>12723</v>
      </c>
      <c r="G313" s="1815">
        <v>0.69820000000000004</v>
      </c>
    </row>
    <row r="314" spans="1:24" s="1370" customFormat="1" x14ac:dyDescent="0.2">
      <c r="A314" s="523">
        <v>43652</v>
      </c>
      <c r="B314" s="80" t="s">
        <v>3535</v>
      </c>
      <c r="C314" s="1489" t="s">
        <v>4242</v>
      </c>
      <c r="D314" s="1695" t="s">
        <v>3334</v>
      </c>
      <c r="E314" s="80" t="s">
        <v>12510</v>
      </c>
      <c r="F314" s="1489" t="s">
        <v>1544</v>
      </c>
      <c r="G314" s="1815"/>
      <c r="H314" s="1579"/>
      <c r="I314" s="1489"/>
      <c r="J314" s="1489"/>
      <c r="K314" s="1489"/>
    </row>
    <row r="315" spans="1:24" s="1370" customFormat="1" x14ac:dyDescent="0.2">
      <c r="A315" s="1384">
        <v>43540</v>
      </c>
      <c r="B315" s="1370" t="s">
        <v>11261</v>
      </c>
      <c r="C315" s="1489" t="s">
        <v>11262</v>
      </c>
      <c r="D315" s="1834">
        <v>1.6180555555555556E-2</v>
      </c>
      <c r="E315" s="1370" t="s">
        <v>12132</v>
      </c>
      <c r="F315" s="1370" t="s">
        <v>12131</v>
      </c>
      <c r="G315" s="1816">
        <v>0.61299999999999999</v>
      </c>
    </row>
    <row r="316" spans="1:24" s="1370" customFormat="1" x14ac:dyDescent="0.2">
      <c r="A316" s="1384">
        <v>43533</v>
      </c>
      <c r="B316" s="1370" t="s">
        <v>11261</v>
      </c>
      <c r="C316" s="1489" t="s">
        <v>11262</v>
      </c>
      <c r="D316" s="1733">
        <v>1.8217592592592594E-2</v>
      </c>
      <c r="E316" s="1489" t="s">
        <v>12072</v>
      </c>
      <c r="F316" s="1489" t="s">
        <v>12016</v>
      </c>
      <c r="G316" s="1815">
        <v>0.54339999999999999</v>
      </c>
      <c r="H316" s="1489"/>
    </row>
    <row r="317" spans="1:24" s="1370" customFormat="1" x14ac:dyDescent="0.2">
      <c r="A317" s="1384">
        <v>43512</v>
      </c>
      <c r="B317" s="1370" t="s">
        <v>11261</v>
      </c>
      <c r="C317" s="1489" t="s">
        <v>11262</v>
      </c>
      <c r="D317" s="1834">
        <v>1.6446759259259262E-2</v>
      </c>
      <c r="E317" s="1370" t="s">
        <v>5145</v>
      </c>
      <c r="F317" s="1370" t="s">
        <v>11834</v>
      </c>
      <c r="G317" s="1816">
        <v>0.59889999999999999</v>
      </c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</row>
    <row r="318" spans="1:24" s="1370" customFormat="1" x14ac:dyDescent="0.2">
      <c r="A318" s="1384">
        <v>43505</v>
      </c>
      <c r="B318" s="1370" t="s">
        <v>11261</v>
      </c>
      <c r="C318" s="1489" t="s">
        <v>11262</v>
      </c>
      <c r="D318" s="1834">
        <v>1.6412037037037037E-2</v>
      </c>
      <c r="E318" s="1370" t="s">
        <v>2638</v>
      </c>
      <c r="F318" s="1370" t="s">
        <v>11781</v>
      </c>
      <c r="G318" s="1816">
        <v>0.60009999999999997</v>
      </c>
    </row>
    <row r="319" spans="1:24" s="1370" customFormat="1" x14ac:dyDescent="0.2">
      <c r="A319" s="1384">
        <v>43491</v>
      </c>
      <c r="B319" s="1370" t="s">
        <v>11261</v>
      </c>
      <c r="C319" s="1489" t="s">
        <v>11262</v>
      </c>
      <c r="D319" s="1733">
        <v>1.9675925925925927E-2</v>
      </c>
      <c r="E319" s="1489" t="s">
        <v>2364</v>
      </c>
      <c r="F319" s="1545" t="s">
        <v>11706</v>
      </c>
      <c r="G319" s="1815">
        <v>0.50060000000000004</v>
      </c>
    </row>
    <row r="320" spans="1:24" s="1370" customFormat="1" x14ac:dyDescent="0.2">
      <c r="A320" s="1384">
        <v>43477</v>
      </c>
      <c r="B320" s="1370" t="s">
        <v>11261</v>
      </c>
      <c r="C320" s="1489" t="s">
        <v>11262</v>
      </c>
      <c r="D320" s="1834">
        <v>1.6620370370370372E-2</v>
      </c>
      <c r="E320" s="1370" t="s">
        <v>2638</v>
      </c>
      <c r="F320" s="1370" t="s">
        <v>11601</v>
      </c>
      <c r="G320" s="1816">
        <v>0.59260000000000002</v>
      </c>
    </row>
    <row r="321" spans="1:24" s="1370" customFormat="1" x14ac:dyDescent="0.2">
      <c r="A321" s="523">
        <v>43750</v>
      </c>
      <c r="B321" s="1489" t="s">
        <v>3182</v>
      </c>
      <c r="C321" s="1489" t="s">
        <v>3183</v>
      </c>
      <c r="D321" s="1733">
        <v>1.5960648148148151E-2</v>
      </c>
      <c r="E321" s="1489" t="s">
        <v>15786</v>
      </c>
      <c r="F321" s="1578" t="s">
        <v>15804</v>
      </c>
      <c r="G321" s="1815">
        <v>0.69180000000000008</v>
      </c>
      <c r="H321" s="80"/>
      <c r="I321" s="80"/>
      <c r="J321" s="80"/>
      <c r="K321" s="80"/>
    </row>
    <row r="322" spans="1:24" s="1370" customFormat="1" x14ac:dyDescent="0.2">
      <c r="A322" s="523">
        <v>43750</v>
      </c>
      <c r="B322" s="1489" t="s">
        <v>1069</v>
      </c>
      <c r="C322" s="1489" t="s">
        <v>3183</v>
      </c>
      <c r="D322" s="1733">
        <v>1.877314814814815E-2</v>
      </c>
      <c r="E322" s="1489" t="s">
        <v>15786</v>
      </c>
      <c r="F322" s="1578" t="s">
        <v>3698</v>
      </c>
      <c r="G322" s="1815">
        <v>0.66949999999999998</v>
      </c>
      <c r="H322" s="80"/>
      <c r="I322" s="80"/>
      <c r="J322" s="80"/>
      <c r="K322" s="80"/>
    </row>
    <row r="323" spans="1:24" s="1370" customFormat="1" x14ac:dyDescent="0.2">
      <c r="A323" s="1526">
        <v>43708</v>
      </c>
      <c r="B323" s="1489" t="s">
        <v>15351</v>
      </c>
      <c r="C323" s="1489" t="s">
        <v>15349</v>
      </c>
      <c r="D323" s="1686">
        <v>1.3958333333333333E-2</v>
      </c>
      <c r="E323" s="1489" t="s">
        <v>15364</v>
      </c>
      <c r="F323" s="1489" t="s">
        <v>15390</v>
      </c>
      <c r="G323" s="1815">
        <v>0.66420000000000001</v>
      </c>
      <c r="H323" s="1489"/>
      <c r="I323" s="1489"/>
      <c r="J323" s="1489"/>
      <c r="K323" s="80"/>
    </row>
    <row r="324" spans="1:24" s="1370" customFormat="1" x14ac:dyDescent="0.2">
      <c r="A324" s="1384">
        <v>43589</v>
      </c>
      <c r="B324" s="1626" t="s">
        <v>2984</v>
      </c>
      <c r="C324" s="1626" t="s">
        <v>6326</v>
      </c>
      <c r="D324" s="1733">
        <v>1.8842592592592591E-2</v>
      </c>
      <c r="E324" s="1489" t="s">
        <v>12610</v>
      </c>
      <c r="F324" s="1489" t="s">
        <v>12611</v>
      </c>
      <c r="G324" s="1815">
        <v>0.70520000000000005</v>
      </c>
      <c r="H324" s="1489" t="s">
        <v>13259</v>
      </c>
    </row>
    <row r="325" spans="1:24" s="1370" customFormat="1" x14ac:dyDescent="0.2">
      <c r="A325" s="1384">
        <v>43568</v>
      </c>
      <c r="B325" s="1389" t="s">
        <v>2984</v>
      </c>
      <c r="C325" s="1626" t="s">
        <v>6326</v>
      </c>
      <c r="D325" s="1733">
        <v>2.1307870370370369E-2</v>
      </c>
      <c r="E325" s="1489" t="s">
        <v>12375</v>
      </c>
      <c r="F325" s="1489" t="s">
        <v>12432</v>
      </c>
      <c r="G325" s="1815">
        <v>0.62360000000000004</v>
      </c>
      <c r="H325" s="1489" t="s">
        <v>13259</v>
      </c>
      <c r="I325" s="1370" t="s">
        <v>13258</v>
      </c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</row>
    <row r="326" spans="1:24" s="1370" customFormat="1" x14ac:dyDescent="0.2">
      <c r="A326" s="1384">
        <v>43554</v>
      </c>
      <c r="B326" s="1389" t="s">
        <v>2984</v>
      </c>
      <c r="C326" s="1626" t="s">
        <v>6326</v>
      </c>
      <c r="D326" s="1733">
        <v>1.8298611111111113E-2</v>
      </c>
      <c r="E326" s="1489" t="s">
        <v>12226</v>
      </c>
      <c r="F326" s="1489" t="s">
        <v>12277</v>
      </c>
      <c r="G326" s="1815">
        <v>0.72609999999999997</v>
      </c>
      <c r="H326" s="1489" t="s">
        <v>13259</v>
      </c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</row>
    <row r="327" spans="1:24" s="1370" customFormat="1" x14ac:dyDescent="0.2">
      <c r="A327" s="1384">
        <v>43526</v>
      </c>
      <c r="B327" s="1626" t="s">
        <v>2984</v>
      </c>
      <c r="C327" s="1626" t="s">
        <v>6326</v>
      </c>
      <c r="D327" s="1733">
        <v>1.9780092592592592E-2</v>
      </c>
      <c r="E327" s="1489" t="s">
        <v>11951</v>
      </c>
      <c r="F327" s="1489" t="s">
        <v>11952</v>
      </c>
      <c r="G327" s="1815">
        <v>0.67169999999999996</v>
      </c>
      <c r="H327" s="1489" t="s">
        <v>13259</v>
      </c>
      <c r="I327" s="1489"/>
    </row>
    <row r="328" spans="1:24" s="1370" customFormat="1" x14ac:dyDescent="0.2">
      <c r="A328" s="1384">
        <v>43491</v>
      </c>
      <c r="B328" s="1626" t="s">
        <v>2984</v>
      </c>
      <c r="C328" s="1627" t="s">
        <v>6326</v>
      </c>
      <c r="D328" s="1834">
        <v>1.96875E-2</v>
      </c>
      <c r="E328" s="1489" t="s">
        <v>9307</v>
      </c>
      <c r="F328" s="1415" t="s">
        <v>11688</v>
      </c>
      <c r="G328" s="1816">
        <v>0.67490000000000006</v>
      </c>
      <c r="H328" s="1370" t="s">
        <v>13259</v>
      </c>
    </row>
    <row r="329" spans="1:24" s="1370" customFormat="1" x14ac:dyDescent="0.2">
      <c r="A329" s="1384">
        <v>43484</v>
      </c>
      <c r="B329" s="1626" t="s">
        <v>2984</v>
      </c>
      <c r="C329" s="1626" t="s">
        <v>6326</v>
      </c>
      <c r="D329" s="1733">
        <v>1.9131944444444444E-2</v>
      </c>
      <c r="E329" s="1489" t="s">
        <v>9307</v>
      </c>
      <c r="F329" s="1489" t="s">
        <v>11557</v>
      </c>
      <c r="G329" s="1815">
        <v>0.69450000000000001</v>
      </c>
      <c r="H329" s="1370" t="s">
        <v>13259</v>
      </c>
    </row>
    <row r="330" spans="1:24" s="1370" customFormat="1" x14ac:dyDescent="0.2">
      <c r="A330" s="1384">
        <v>43477</v>
      </c>
      <c r="B330" s="1626" t="s">
        <v>2984</v>
      </c>
      <c r="C330" s="1626" t="s">
        <v>6326</v>
      </c>
      <c r="D330" s="1733">
        <v>1.8842592592592591E-2</v>
      </c>
      <c r="E330" s="1489" t="s">
        <v>9307</v>
      </c>
      <c r="F330" s="1489" t="s">
        <v>11558</v>
      </c>
      <c r="G330" s="1815">
        <v>0.70520000000000005</v>
      </c>
      <c r="H330" s="1370" t="s">
        <v>13259</v>
      </c>
    </row>
    <row r="331" spans="1:24" s="1370" customFormat="1" x14ac:dyDescent="0.2">
      <c r="A331" s="1729">
        <v>43827</v>
      </c>
      <c r="B331" s="1370" t="s">
        <v>4269</v>
      </c>
      <c r="C331" s="1370" t="s">
        <v>4270</v>
      </c>
      <c r="D331" s="1621">
        <v>2.1423611111111112E-2</v>
      </c>
      <c r="E331" s="1489" t="s">
        <v>16421</v>
      </c>
      <c r="F331" s="1489" t="s">
        <v>1212</v>
      </c>
      <c r="G331" s="1817">
        <v>0.45269999999999999</v>
      </c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</row>
    <row r="332" spans="1:24" s="1370" customFormat="1" x14ac:dyDescent="0.2">
      <c r="A332" s="34">
        <v>43824</v>
      </c>
      <c r="B332" s="1370" t="s">
        <v>4269</v>
      </c>
      <c r="C332" s="1370" t="s">
        <v>4270</v>
      </c>
      <c r="D332" s="1621">
        <v>1.5717592592592592E-2</v>
      </c>
      <c r="E332" s="1489" t="s">
        <v>16372</v>
      </c>
      <c r="F332" s="1489"/>
      <c r="G332" s="1817">
        <v>0.61709999999999998</v>
      </c>
      <c r="H332" s="1404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</row>
    <row r="333" spans="1:24" s="1370" customFormat="1" x14ac:dyDescent="0.2">
      <c r="A333" s="1673">
        <v>43820</v>
      </c>
      <c r="B333" s="1370" t="s">
        <v>4269</v>
      </c>
      <c r="C333" s="1370" t="s">
        <v>4270</v>
      </c>
      <c r="D333" s="1731" t="s">
        <v>787</v>
      </c>
      <c r="E333" s="80" t="s">
        <v>16308</v>
      </c>
      <c r="F333" s="80" t="s">
        <v>16333</v>
      </c>
      <c r="G333" s="314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</row>
    <row r="334" spans="1:24" s="1370" customFormat="1" x14ac:dyDescent="0.2">
      <c r="A334" s="1765">
        <v>43813</v>
      </c>
      <c r="B334" s="1370" t="s">
        <v>4269</v>
      </c>
      <c r="C334" s="1370" t="s">
        <v>4270</v>
      </c>
      <c r="D334" s="1621">
        <v>1.5972222222222224E-2</v>
      </c>
      <c r="E334" s="1489" t="s">
        <v>16263</v>
      </c>
      <c r="F334" s="1489" t="s">
        <v>16303</v>
      </c>
      <c r="G334" s="1817">
        <v>0.60719999999999996</v>
      </c>
      <c r="H334" s="1404"/>
      <c r="I334" s="140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</row>
    <row r="335" spans="1:24" s="1370" customFormat="1" x14ac:dyDescent="0.2">
      <c r="A335" s="34">
        <v>43806</v>
      </c>
      <c r="B335" s="1370" t="s">
        <v>4269</v>
      </c>
      <c r="C335" s="1370" t="s">
        <v>4270</v>
      </c>
      <c r="D335" s="1621">
        <v>1.6134259259259258E-2</v>
      </c>
      <c r="E335" s="1489" t="s">
        <v>16212</v>
      </c>
      <c r="F335" s="1404"/>
      <c r="G335" s="1817">
        <v>0.60109999999999997</v>
      </c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</row>
    <row r="336" spans="1:24" s="1370" customFormat="1" x14ac:dyDescent="0.2">
      <c r="A336" s="1729">
        <v>43799</v>
      </c>
      <c r="B336" s="1370" t="s">
        <v>4269</v>
      </c>
      <c r="C336" s="1370" t="s">
        <v>4270</v>
      </c>
      <c r="D336" s="1674">
        <v>1.579861111111111E-2</v>
      </c>
      <c r="E336" t="s">
        <v>16155</v>
      </c>
      <c r="F336" s="80" t="s">
        <v>17261</v>
      </c>
      <c r="G336" s="314">
        <v>0.6139</v>
      </c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</row>
    <row r="337" spans="1:24" s="1370" customFormat="1" x14ac:dyDescent="0.2">
      <c r="A337" s="1751">
        <v>43792</v>
      </c>
      <c r="B337" s="1370" t="s">
        <v>4269</v>
      </c>
      <c r="C337" s="1370" t="s">
        <v>4270</v>
      </c>
      <c r="D337" s="1786">
        <v>1.5474537037037038E-2</v>
      </c>
      <c r="E337" s="1489" t="s">
        <v>16092</v>
      </c>
      <c r="F337" s="1404"/>
      <c r="G337" s="1817">
        <v>0.62680000000000002</v>
      </c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</row>
    <row r="338" spans="1:24" s="1370" customFormat="1" x14ac:dyDescent="0.2">
      <c r="A338" s="1673">
        <v>43785</v>
      </c>
      <c r="B338" s="1370" t="s">
        <v>4269</v>
      </c>
      <c r="C338" s="1370" t="s">
        <v>4270</v>
      </c>
      <c r="D338" s="1674">
        <v>1.5138888888888889E-2</v>
      </c>
      <c r="E338" s="80" t="s">
        <v>16010</v>
      </c>
      <c r="F338" s="80" t="s">
        <v>16054</v>
      </c>
      <c r="G338" s="314">
        <v>0.64070000000000005</v>
      </c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</row>
    <row r="339" spans="1:24" s="1370" customFormat="1" x14ac:dyDescent="0.2">
      <c r="A339" s="1384">
        <v>43778</v>
      </c>
      <c r="B339" s="1370" t="s">
        <v>4269</v>
      </c>
      <c r="C339" s="1370" t="s">
        <v>4270</v>
      </c>
      <c r="D339" s="1725">
        <v>1.7372685185185185E-2</v>
      </c>
      <c r="E339" s="1726" t="s">
        <v>15955</v>
      </c>
      <c r="F339" s="1723" t="s">
        <v>15983</v>
      </c>
      <c r="G339" s="1820">
        <v>0.55830000000000002</v>
      </c>
    </row>
    <row r="340" spans="1:24" s="1370" customFormat="1" x14ac:dyDescent="0.2">
      <c r="A340" s="1384">
        <v>43764</v>
      </c>
      <c r="B340" s="1370" t="s">
        <v>4269</v>
      </c>
      <c r="C340" s="1370" t="s">
        <v>4270</v>
      </c>
      <c r="D340" s="1727">
        <v>1.9594907407407405E-2</v>
      </c>
      <c r="E340" s="1728" t="s">
        <v>4822</v>
      </c>
      <c r="F340" s="1728" t="s">
        <v>5745</v>
      </c>
      <c r="G340" s="1821">
        <v>0.495</v>
      </c>
    </row>
    <row r="341" spans="1:24" s="1370" customFormat="1" x14ac:dyDescent="0.2">
      <c r="A341" s="523">
        <v>43750</v>
      </c>
      <c r="B341" s="1370" t="s">
        <v>4269</v>
      </c>
      <c r="C341" s="1370" t="s">
        <v>4270</v>
      </c>
      <c r="D341" s="1686">
        <v>1.8819444444444444E-2</v>
      </c>
      <c r="E341" s="1489" t="s">
        <v>15797</v>
      </c>
      <c r="F341" s="1489" t="s">
        <v>15818</v>
      </c>
      <c r="G341" s="1815">
        <v>0.51539999999999997</v>
      </c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</row>
    <row r="342" spans="1:24" s="1370" customFormat="1" x14ac:dyDescent="0.2">
      <c r="A342" s="1729">
        <v>43743</v>
      </c>
      <c r="B342" s="1370" t="s">
        <v>4269</v>
      </c>
      <c r="C342" s="1370" t="s">
        <v>4270</v>
      </c>
      <c r="D342" s="1731">
        <v>1.4537037037037038E-2</v>
      </c>
      <c r="E342" s="80" t="s">
        <v>15707</v>
      </c>
      <c r="F342" s="80" t="s">
        <v>15749</v>
      </c>
      <c r="G342" s="317">
        <v>0.66720000000000002</v>
      </c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</row>
    <row r="343" spans="1:24" s="1370" customFormat="1" x14ac:dyDescent="0.2">
      <c r="A343" s="1729">
        <v>43736</v>
      </c>
      <c r="B343" s="1370" t="s">
        <v>4269</v>
      </c>
      <c r="C343" s="1370" t="s">
        <v>4270</v>
      </c>
      <c r="D343" s="1686">
        <v>1.8078703703703704E-2</v>
      </c>
      <c r="E343" s="1489" t="s">
        <v>15634</v>
      </c>
      <c r="F343" s="1489" t="s">
        <v>15668</v>
      </c>
      <c r="G343" s="1815">
        <v>0.53649999999999998</v>
      </c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</row>
    <row r="344" spans="1:24" s="1370" customFormat="1" x14ac:dyDescent="0.2">
      <c r="A344" s="1729">
        <v>43729</v>
      </c>
      <c r="B344" s="1370" t="s">
        <v>4269</v>
      </c>
      <c r="C344" s="1370" t="s">
        <v>4270</v>
      </c>
      <c r="D344" s="1686">
        <v>1.7152777777777777E-2</v>
      </c>
      <c r="E344" s="1489" t="s">
        <v>15575</v>
      </c>
      <c r="F344" s="1489" t="s">
        <v>15612</v>
      </c>
      <c r="G344" s="1815">
        <v>0.5655</v>
      </c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</row>
    <row r="345" spans="1:24" s="1370" customFormat="1" x14ac:dyDescent="0.2">
      <c r="A345" s="523">
        <v>43715</v>
      </c>
      <c r="B345" s="1370" t="s">
        <v>4269</v>
      </c>
      <c r="C345" s="1370" t="s">
        <v>4270</v>
      </c>
      <c r="D345" s="1730">
        <v>1.7534722222222222E-2</v>
      </c>
      <c r="E345" s="80" t="s">
        <v>15418</v>
      </c>
      <c r="F345" s="1489"/>
      <c r="G345" s="317">
        <v>0.55310000000000004</v>
      </c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</row>
    <row r="346" spans="1:24" s="1370" customFormat="1" x14ac:dyDescent="0.2">
      <c r="A346" s="1526">
        <v>43708</v>
      </c>
      <c r="B346" s="1370" t="s">
        <v>4269</v>
      </c>
      <c r="C346" s="1370" t="s">
        <v>4270</v>
      </c>
      <c r="D346" s="1686">
        <v>2.3738425925925923E-2</v>
      </c>
      <c r="E346" s="1489" t="s">
        <v>15361</v>
      </c>
      <c r="F346" s="1489"/>
      <c r="G346" s="1815">
        <v>0.4052</v>
      </c>
      <c r="H346" s="1489"/>
      <c r="I346" s="1489"/>
      <c r="J346" s="1489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</row>
    <row r="347" spans="1:24" s="1370" customFormat="1" x14ac:dyDescent="0.2">
      <c r="A347" s="1526">
        <v>43701</v>
      </c>
      <c r="B347" s="1370" t="s">
        <v>4269</v>
      </c>
      <c r="C347" s="1370" t="s">
        <v>4270</v>
      </c>
      <c r="D347" s="1686">
        <v>1.5706018518518518E-2</v>
      </c>
      <c r="E347" s="1489" t="s">
        <v>15271</v>
      </c>
      <c r="F347" s="1489" t="s">
        <v>17260</v>
      </c>
      <c r="G347" s="1815">
        <v>0.61240000000000006</v>
      </c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</row>
    <row r="348" spans="1:24" s="1370" customFormat="1" x14ac:dyDescent="0.2">
      <c r="A348" s="1384">
        <v>43680</v>
      </c>
      <c r="B348" s="1370" t="s">
        <v>4269</v>
      </c>
      <c r="C348" s="1370" t="s">
        <v>4270</v>
      </c>
      <c r="D348" s="1686">
        <v>1.4953703703703703E-2</v>
      </c>
      <c r="E348" s="1489" t="s">
        <v>13364</v>
      </c>
      <c r="F348" s="1489" t="s">
        <v>13374</v>
      </c>
      <c r="G348" s="1815">
        <v>0.64319999999999999</v>
      </c>
      <c r="H348" s="80"/>
      <c r="I348" s="80"/>
      <c r="J348" s="80"/>
      <c r="K348" s="80"/>
    </row>
    <row r="349" spans="1:24" s="1370" customFormat="1" x14ac:dyDescent="0.2">
      <c r="A349" s="1384">
        <v>43673</v>
      </c>
      <c r="B349" s="1370" t="s">
        <v>4269</v>
      </c>
      <c r="C349" s="1370" t="s">
        <v>4270</v>
      </c>
      <c r="D349" s="1686">
        <v>1.7627314814814814E-2</v>
      </c>
      <c r="E349" s="1489" t="s">
        <v>13301</v>
      </c>
      <c r="F349" s="1489" t="s">
        <v>13315</v>
      </c>
      <c r="G349" s="1815">
        <v>0.54559999999999997</v>
      </c>
      <c r="H349" s="1514"/>
      <c r="I349" s="80"/>
      <c r="J349" s="80"/>
      <c r="K349" s="80"/>
    </row>
    <row r="350" spans="1:24" s="1370" customFormat="1" x14ac:dyDescent="0.2">
      <c r="A350" s="523">
        <v>43666</v>
      </c>
      <c r="B350" s="1370" t="s">
        <v>4269</v>
      </c>
      <c r="C350" s="1370" t="s">
        <v>4270</v>
      </c>
      <c r="D350" s="1733" t="s">
        <v>787</v>
      </c>
      <c r="E350" s="1489" t="s">
        <v>129</v>
      </c>
      <c r="F350" s="1489" t="s">
        <v>4185</v>
      </c>
      <c r="G350" s="1815"/>
      <c r="H350" s="1514"/>
      <c r="I350" s="80"/>
      <c r="J350" s="80"/>
      <c r="K350" s="80"/>
    </row>
    <row r="351" spans="1:24" s="1370" customFormat="1" x14ac:dyDescent="0.2">
      <c r="A351" s="523">
        <v>43659</v>
      </c>
      <c r="B351" s="1370" t="s">
        <v>4269</v>
      </c>
      <c r="C351" s="1370" t="s">
        <v>4270</v>
      </c>
      <c r="D351" s="1686">
        <v>1.4942129629629628E-2</v>
      </c>
      <c r="E351" s="1489" t="s">
        <v>13133</v>
      </c>
      <c r="F351" s="1489" t="s">
        <v>3823</v>
      </c>
      <c r="G351" s="1815">
        <v>0.64370000000000005</v>
      </c>
      <c r="H351" s="1514"/>
      <c r="I351" s="1489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</row>
    <row r="352" spans="1:24" s="1370" customFormat="1" x14ac:dyDescent="0.2">
      <c r="A352" s="523">
        <v>43652</v>
      </c>
      <c r="B352" s="1370" t="s">
        <v>4269</v>
      </c>
      <c r="C352" s="1370" t="s">
        <v>4270</v>
      </c>
      <c r="D352" s="1686">
        <v>2.4328703703703703E-2</v>
      </c>
      <c r="E352" s="1489" t="s">
        <v>13074</v>
      </c>
      <c r="F352" s="1489" t="s">
        <v>13111</v>
      </c>
      <c r="G352" s="1815">
        <v>0.39529999999999998</v>
      </c>
      <c r="H352" s="1489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</row>
    <row r="353" spans="1:24" s="1370" customFormat="1" x14ac:dyDescent="0.2">
      <c r="A353" s="523">
        <v>43645</v>
      </c>
      <c r="B353" s="1370" t="s">
        <v>4269</v>
      </c>
      <c r="C353" s="1370" t="s">
        <v>4270</v>
      </c>
      <c r="D353" s="1686">
        <v>1.4930555555555556E-2</v>
      </c>
      <c r="E353" s="1514" t="s">
        <v>13018</v>
      </c>
      <c r="F353" s="1489" t="s">
        <v>13048</v>
      </c>
      <c r="G353" s="1815">
        <v>0.64419999999999999</v>
      </c>
      <c r="H353" s="1514"/>
      <c r="I353" s="80" t="s">
        <v>13054</v>
      </c>
      <c r="J353" s="80"/>
      <c r="K353" s="80"/>
    </row>
    <row r="354" spans="1:24" s="1370" customFormat="1" ht="25.5" x14ac:dyDescent="0.2">
      <c r="A354" s="523">
        <v>43638</v>
      </c>
      <c r="B354" s="1370" t="s">
        <v>4269</v>
      </c>
      <c r="C354" s="1370" t="s">
        <v>4270</v>
      </c>
      <c r="D354" s="1835">
        <v>1.525462962962963E-2</v>
      </c>
      <c r="E354" s="1569" t="s">
        <v>13009</v>
      </c>
      <c r="F354" s="1569" t="s">
        <v>13002</v>
      </c>
      <c r="G354" s="1818">
        <v>0.63049999999999995</v>
      </c>
      <c r="H354" s="1514"/>
      <c r="I354" s="80" t="s">
        <v>13003</v>
      </c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</row>
    <row r="355" spans="1:24" s="1370" customFormat="1" x14ac:dyDescent="0.2">
      <c r="A355" s="523">
        <v>43631</v>
      </c>
      <c r="B355" s="1370" t="s">
        <v>4269</v>
      </c>
      <c r="C355" s="1370" t="s">
        <v>4270</v>
      </c>
      <c r="D355" s="1835">
        <v>1.5509259259259257E-2</v>
      </c>
      <c r="E355" s="1569" t="s">
        <v>12921</v>
      </c>
      <c r="F355" s="1624"/>
      <c r="G355" s="1818">
        <v>0.62009999999999998</v>
      </c>
      <c r="H355" s="1514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</row>
    <row r="356" spans="1:24" s="1370" customFormat="1" x14ac:dyDescent="0.2">
      <c r="A356" s="523">
        <v>43624</v>
      </c>
      <c r="B356" s="1370" t="s">
        <v>4269</v>
      </c>
      <c r="C356" s="1370" t="s">
        <v>4270</v>
      </c>
      <c r="D356" s="1835">
        <v>1.6064814814814813E-2</v>
      </c>
      <c r="E356" s="1569" t="s">
        <v>12862</v>
      </c>
      <c r="F356" s="1569"/>
      <c r="G356" s="1818">
        <v>0.59870000000000001</v>
      </c>
      <c r="H356" s="1514"/>
      <c r="I356" s="80"/>
      <c r="J356" s="80"/>
      <c r="K356" s="80"/>
    </row>
    <row r="357" spans="1:24" s="1370" customFormat="1" ht="12.75" customHeight="1" x14ac:dyDescent="0.2">
      <c r="A357" s="1384">
        <v>43617</v>
      </c>
      <c r="B357" s="1370" t="s">
        <v>4269</v>
      </c>
      <c r="C357" s="1370" t="s">
        <v>4270</v>
      </c>
      <c r="D357" s="1836">
        <v>1.5844907407407408E-2</v>
      </c>
      <c r="E357" s="1568" t="s">
        <v>12818</v>
      </c>
      <c r="F357" s="1568" t="s">
        <v>12796</v>
      </c>
      <c r="G357" s="1819">
        <v>0.60699999999999998</v>
      </c>
      <c r="H357" s="1489"/>
    </row>
    <row r="358" spans="1:24" s="1370" customFormat="1" ht="12.75" customHeight="1" x14ac:dyDescent="0.2">
      <c r="A358" s="1384">
        <v>43603</v>
      </c>
      <c r="B358" s="1370" t="s">
        <v>4269</v>
      </c>
      <c r="C358" s="1370" t="s">
        <v>4270</v>
      </c>
      <c r="D358" s="1733">
        <v>1.5011574074074075E-2</v>
      </c>
      <c r="E358" s="1489" t="s">
        <v>12676</v>
      </c>
      <c r="F358" s="1489"/>
      <c r="G358" s="1815">
        <v>0.64070000000000005</v>
      </c>
      <c r="H358" s="1489"/>
    </row>
    <row r="359" spans="1:24" s="1370" customFormat="1" ht="12.75" customHeight="1" x14ac:dyDescent="0.2">
      <c r="A359" s="1384">
        <v>43596</v>
      </c>
      <c r="B359" s="1370" t="s">
        <v>4269</v>
      </c>
      <c r="C359" s="1370" t="s">
        <v>4270</v>
      </c>
      <c r="D359" s="1733">
        <v>1.5011574074074075E-2</v>
      </c>
      <c r="E359" s="1489" t="s">
        <v>12531</v>
      </c>
      <c r="F359" s="1489" t="s">
        <v>12527</v>
      </c>
      <c r="G359" s="1815">
        <v>0.64070000000000005</v>
      </c>
      <c r="H359" s="1489"/>
    </row>
    <row r="360" spans="1:24" s="1370" customFormat="1" ht="12.75" customHeight="1" x14ac:dyDescent="0.2">
      <c r="A360" s="1384">
        <v>43589</v>
      </c>
      <c r="B360" s="1370" t="s">
        <v>4269</v>
      </c>
      <c r="C360" s="1370" t="s">
        <v>4270</v>
      </c>
      <c r="D360" s="1733">
        <v>1.5891203703703703E-2</v>
      </c>
      <c r="E360" s="1489" t="s">
        <v>12578</v>
      </c>
      <c r="F360" s="1489" t="s">
        <v>12530</v>
      </c>
      <c r="G360" s="1815">
        <v>0.60519999999999996</v>
      </c>
      <c r="H360" s="1489"/>
    </row>
    <row r="361" spans="1:24" s="1370" customFormat="1" ht="12.75" customHeight="1" x14ac:dyDescent="0.2">
      <c r="A361" s="1384">
        <v>43575</v>
      </c>
      <c r="B361" s="1370" t="s">
        <v>4269</v>
      </c>
      <c r="C361" s="1370" t="s">
        <v>4270</v>
      </c>
      <c r="D361" s="1733">
        <v>2.2592592592592591E-2</v>
      </c>
      <c r="E361" s="1489" t="s">
        <v>12466</v>
      </c>
      <c r="F361" s="1489" t="s">
        <v>1055</v>
      </c>
      <c r="G361" s="1815">
        <v>0.4279</v>
      </c>
      <c r="H361" s="1489"/>
    </row>
    <row r="362" spans="1:24" s="1370" customFormat="1" ht="12.75" customHeight="1" x14ac:dyDescent="0.2">
      <c r="A362" s="1384">
        <v>43568</v>
      </c>
      <c r="B362" s="1370" t="s">
        <v>4269</v>
      </c>
      <c r="C362" s="1370" t="s">
        <v>4270</v>
      </c>
      <c r="D362" s="1733">
        <v>1.5289351851851851E-2</v>
      </c>
      <c r="E362" s="1489" t="s">
        <v>12415</v>
      </c>
      <c r="F362" s="1489" t="s">
        <v>12416</v>
      </c>
      <c r="G362" s="1815">
        <v>0.62909999999999999</v>
      </c>
      <c r="H362" s="1489"/>
    </row>
    <row r="363" spans="1:24" s="1370" customFormat="1" ht="12.75" customHeight="1" x14ac:dyDescent="0.2">
      <c r="A363" s="1384">
        <v>43554</v>
      </c>
      <c r="B363" s="1370" t="s">
        <v>4269</v>
      </c>
      <c r="C363" s="1370" t="s">
        <v>4270</v>
      </c>
      <c r="D363" s="1733" t="s">
        <v>787</v>
      </c>
      <c r="E363" s="1489" t="s">
        <v>129</v>
      </c>
      <c r="F363" s="1489" t="s">
        <v>4185</v>
      </c>
      <c r="G363" s="1815"/>
      <c r="H363" s="1489"/>
    </row>
    <row r="364" spans="1:24" s="1370" customFormat="1" ht="12.75" customHeight="1" x14ac:dyDescent="0.2">
      <c r="A364" s="1384">
        <v>43540</v>
      </c>
      <c r="B364" s="1370" t="s">
        <v>4269</v>
      </c>
      <c r="C364" s="1370" t="s">
        <v>4270</v>
      </c>
      <c r="D364" s="1733">
        <v>1.5335648148148147E-2</v>
      </c>
      <c r="E364" s="1489" t="s">
        <v>12102</v>
      </c>
      <c r="F364" s="1489" t="s">
        <v>12103</v>
      </c>
      <c r="G364" s="1815">
        <v>0.6</v>
      </c>
      <c r="H364" s="1489"/>
    </row>
    <row r="365" spans="1:24" s="1370" customFormat="1" ht="12.75" customHeight="1" x14ac:dyDescent="0.2">
      <c r="A365" s="1384">
        <v>43533</v>
      </c>
      <c r="B365" s="1370" t="s">
        <v>4269</v>
      </c>
      <c r="C365" s="1370" t="s">
        <v>4270</v>
      </c>
      <c r="D365" s="1733">
        <v>1.5717592592592592E-2</v>
      </c>
      <c r="E365" s="1489" t="s">
        <v>12045</v>
      </c>
      <c r="F365" s="1489" t="s">
        <v>12044</v>
      </c>
      <c r="G365" s="1815">
        <v>0.6119</v>
      </c>
      <c r="H365" s="1489"/>
    </row>
    <row r="366" spans="1:24" s="1370" customFormat="1" x14ac:dyDescent="0.2">
      <c r="A366" s="1384">
        <v>43526</v>
      </c>
      <c r="B366" s="1370" t="s">
        <v>4269</v>
      </c>
      <c r="C366" s="1370" t="s">
        <v>4270</v>
      </c>
      <c r="D366" s="1733">
        <v>1.7499999999999998E-2</v>
      </c>
      <c r="E366" s="1489" t="s">
        <v>11937</v>
      </c>
      <c r="F366" s="1489" t="s">
        <v>11934</v>
      </c>
      <c r="G366" s="1815">
        <v>0.54959999999999998</v>
      </c>
      <c r="H366" s="1489"/>
    </row>
    <row r="367" spans="1:24" s="1370" customFormat="1" x14ac:dyDescent="0.2">
      <c r="A367" s="1384">
        <v>43519</v>
      </c>
      <c r="B367" s="1370" t="s">
        <v>4269</v>
      </c>
      <c r="C367" s="1370" t="s">
        <v>4270</v>
      </c>
      <c r="D367" s="1733">
        <v>2.2534722222222223E-2</v>
      </c>
      <c r="E367" s="1489" t="s">
        <v>129</v>
      </c>
      <c r="F367" s="1489" t="s">
        <v>11879</v>
      </c>
      <c r="G367" s="1815">
        <v>0.42680000000000001</v>
      </c>
      <c r="H367" s="1489"/>
    </row>
    <row r="368" spans="1:24" s="1370" customFormat="1" x14ac:dyDescent="0.2">
      <c r="A368" s="1384">
        <v>43512</v>
      </c>
      <c r="B368" s="1370" t="s">
        <v>4269</v>
      </c>
      <c r="C368" s="1370" t="s">
        <v>4270</v>
      </c>
      <c r="D368" s="1733">
        <v>1.6400462962962964E-2</v>
      </c>
      <c r="E368" s="1489" t="s">
        <v>129</v>
      </c>
      <c r="F368" s="1489" t="s">
        <v>11822</v>
      </c>
      <c r="G368" s="1815">
        <v>0.59060000000000001</v>
      </c>
      <c r="H368" s="1489"/>
    </row>
    <row r="369" spans="1:24" s="1370" customFormat="1" x14ac:dyDescent="0.2">
      <c r="A369" s="1384">
        <v>43498</v>
      </c>
      <c r="B369" s="1370" t="s">
        <v>4269</v>
      </c>
      <c r="C369" s="1370" t="s">
        <v>4270</v>
      </c>
      <c r="D369" s="1733">
        <v>1.6122685185185184E-2</v>
      </c>
      <c r="E369" s="1489" t="s">
        <v>5456</v>
      </c>
      <c r="F369" s="1489" t="s">
        <v>11736</v>
      </c>
      <c r="G369" s="1815">
        <v>0.59660000000000002</v>
      </c>
      <c r="H369" s="1489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</row>
    <row r="370" spans="1:24" s="1370" customFormat="1" x14ac:dyDescent="0.2">
      <c r="A370" s="1384">
        <v>43484</v>
      </c>
      <c r="B370" s="1370" t="s">
        <v>4269</v>
      </c>
      <c r="C370" s="1370" t="s">
        <v>4270</v>
      </c>
      <c r="D370" s="1733">
        <v>1.5439814814814816E-2</v>
      </c>
      <c r="E370" s="1489" t="s">
        <v>129</v>
      </c>
      <c r="F370" s="1489" t="s">
        <v>11566</v>
      </c>
      <c r="G370" s="1815">
        <v>0.62290000000000001</v>
      </c>
      <c r="H370" s="1489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</row>
    <row r="371" spans="1:24" s="1370" customFormat="1" x14ac:dyDescent="0.2">
      <c r="A371" s="1384">
        <v>43477</v>
      </c>
      <c r="B371" s="1370" t="s">
        <v>4269</v>
      </c>
      <c r="C371" s="1370" t="s">
        <v>4270</v>
      </c>
      <c r="D371" s="1733">
        <v>1.5821759259259261E-2</v>
      </c>
      <c r="E371" s="1489" t="s">
        <v>129</v>
      </c>
      <c r="F371" s="1489" t="s">
        <v>11567</v>
      </c>
      <c r="G371" s="1815">
        <v>0.6079</v>
      </c>
      <c r="H371" s="1489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</row>
    <row r="372" spans="1:24" s="1370" customFormat="1" x14ac:dyDescent="0.2">
      <c r="A372" s="1384">
        <v>43470</v>
      </c>
      <c r="B372" s="1370" t="s">
        <v>4269</v>
      </c>
      <c r="C372" s="1370" t="s">
        <v>4270</v>
      </c>
      <c r="D372" s="1733">
        <v>1.556712962962963E-2</v>
      </c>
      <c r="E372" s="1489" t="s">
        <v>129</v>
      </c>
      <c r="F372" s="1489" t="s">
        <v>11568</v>
      </c>
      <c r="G372" s="1815">
        <v>0.61780000000000002</v>
      </c>
      <c r="H372" s="1489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</row>
    <row r="373" spans="1:24" s="1370" customFormat="1" x14ac:dyDescent="0.2">
      <c r="A373" s="1384">
        <v>43466</v>
      </c>
      <c r="B373" s="1370" t="s">
        <v>4269</v>
      </c>
      <c r="C373" s="1370" t="s">
        <v>4270</v>
      </c>
      <c r="D373" s="1733">
        <v>1.6331018518518519E-2</v>
      </c>
      <c r="E373" s="1489" t="s">
        <v>11489</v>
      </c>
      <c r="F373" s="1489" t="s">
        <v>11525</v>
      </c>
      <c r="G373" s="1815">
        <v>0.58889999999999998</v>
      </c>
      <c r="H373" s="1489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</row>
    <row r="374" spans="1:24" s="1370" customFormat="1" x14ac:dyDescent="0.2">
      <c r="A374" s="1384">
        <v>43466</v>
      </c>
      <c r="B374" s="1370" t="s">
        <v>4269</v>
      </c>
      <c r="C374" s="1370" t="s">
        <v>4270</v>
      </c>
      <c r="D374" s="1733">
        <v>2.2546296296296297E-2</v>
      </c>
      <c r="E374" s="1489" t="s">
        <v>11470</v>
      </c>
      <c r="F374" s="1489" t="s">
        <v>11475</v>
      </c>
      <c r="G374" s="1815">
        <v>0.42659999999999998</v>
      </c>
      <c r="H374" s="1489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</row>
    <row r="375" spans="1:24" s="1370" customFormat="1" x14ac:dyDescent="0.2">
      <c r="A375" s="1384">
        <v>43575</v>
      </c>
      <c r="B375" s="1370" t="s">
        <v>12467</v>
      </c>
      <c r="C375" s="1489" t="s">
        <v>4270</v>
      </c>
      <c r="D375" s="1733">
        <v>2.2592592592592591E-2</v>
      </c>
      <c r="E375" s="1489" t="s">
        <v>12466</v>
      </c>
      <c r="F375" s="1489" t="s">
        <v>12468</v>
      </c>
      <c r="G375" s="1815">
        <v>0.55969999999999998</v>
      </c>
      <c r="H375" s="1489"/>
    </row>
    <row r="376" spans="1:24" s="1370" customFormat="1" x14ac:dyDescent="0.2">
      <c r="A376" s="1729">
        <v>43827</v>
      </c>
      <c r="B376" s="1489" t="s">
        <v>726</v>
      </c>
      <c r="C376" s="1489" t="s">
        <v>1295</v>
      </c>
      <c r="D376" s="1621">
        <v>2.4861111111111108E-2</v>
      </c>
      <c r="E376" s="1489" t="s">
        <v>16423</v>
      </c>
      <c r="F376" s="1489" t="s">
        <v>16446</v>
      </c>
      <c r="G376" s="1817">
        <v>0.46829999999999999</v>
      </c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</row>
    <row r="377" spans="1:24" s="1370" customFormat="1" x14ac:dyDescent="0.2">
      <c r="A377" s="34">
        <v>43824</v>
      </c>
      <c r="B377" s="1489" t="s">
        <v>726</v>
      </c>
      <c r="C377" s="1489" t="s">
        <v>1295</v>
      </c>
      <c r="D377" s="1621">
        <v>1.923611111111111E-2</v>
      </c>
      <c r="E377" s="1489" t="s">
        <v>16375</v>
      </c>
      <c r="F377" s="1489" t="s">
        <v>16388</v>
      </c>
      <c r="G377" s="1817">
        <v>0.60529999999999995</v>
      </c>
      <c r="H377" s="1404" t="s">
        <v>16361</v>
      </c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</row>
    <row r="378" spans="1:24" s="1370" customFormat="1" x14ac:dyDescent="0.2">
      <c r="A378" s="1673">
        <v>43820</v>
      </c>
      <c r="B378" s="1489" t="s">
        <v>726</v>
      </c>
      <c r="C378" s="1489" t="s">
        <v>1295</v>
      </c>
      <c r="D378" s="1777">
        <v>1.7905092592592594E-2</v>
      </c>
      <c r="E378" s="80" t="s">
        <v>16318</v>
      </c>
      <c r="F378" s="80" t="s">
        <v>16354</v>
      </c>
      <c r="G378" s="314">
        <v>0.65029999999999999</v>
      </c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</row>
    <row r="379" spans="1:24" s="1370" customFormat="1" x14ac:dyDescent="0.2">
      <c r="A379" s="1765">
        <v>43813</v>
      </c>
      <c r="B379" s="1489" t="s">
        <v>726</v>
      </c>
      <c r="C379" s="1489" t="s">
        <v>1295</v>
      </c>
      <c r="D379" s="1621">
        <v>1.7106481481481479E-2</v>
      </c>
      <c r="E379" s="1489" t="s">
        <v>16271</v>
      </c>
      <c r="F379" s="1489" t="s">
        <v>16306</v>
      </c>
      <c r="G379" s="1817">
        <v>0.68059999999999998</v>
      </c>
      <c r="H379" s="1404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</row>
    <row r="380" spans="1:24" s="1370" customFormat="1" x14ac:dyDescent="0.2">
      <c r="A380" s="34">
        <v>43806</v>
      </c>
      <c r="B380" s="1489" t="s">
        <v>726</v>
      </c>
      <c r="C380" s="1489" t="s">
        <v>1295</v>
      </c>
      <c r="D380" s="1621">
        <v>1.8159722222222223E-2</v>
      </c>
      <c r="E380" s="1489" t="s">
        <v>16215</v>
      </c>
      <c r="F380" s="1489" t="s">
        <v>16247</v>
      </c>
      <c r="G380" s="1817">
        <v>0.64119999999999999</v>
      </c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</row>
    <row r="381" spans="1:24" s="1370" customFormat="1" x14ac:dyDescent="0.2">
      <c r="A381" s="1729">
        <v>43799</v>
      </c>
      <c r="B381" s="1489" t="s">
        <v>726</v>
      </c>
      <c r="C381" s="1489" t="s">
        <v>1295</v>
      </c>
      <c r="D381" s="1674">
        <v>1.7291666666666664E-2</v>
      </c>
      <c r="E381" t="s">
        <v>16145</v>
      </c>
      <c r="F381" s="80" t="s">
        <v>16174</v>
      </c>
      <c r="G381" s="314">
        <v>0.6734</v>
      </c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</row>
    <row r="382" spans="1:24" s="1370" customFormat="1" x14ac:dyDescent="0.2">
      <c r="A382" s="1750">
        <v>43792</v>
      </c>
      <c r="B382" s="1489" t="s">
        <v>726</v>
      </c>
      <c r="C382" s="1489" t="s">
        <v>1295</v>
      </c>
      <c r="D382" s="1621" t="s">
        <v>787</v>
      </c>
      <c r="E382" s="1489" t="s">
        <v>5883</v>
      </c>
      <c r="F382" s="1489" t="s">
        <v>16106</v>
      </c>
      <c r="G382" s="1817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</row>
    <row r="383" spans="1:24" s="1370" customFormat="1" x14ac:dyDescent="0.2">
      <c r="A383" s="1751">
        <v>43792</v>
      </c>
      <c r="B383" s="1489" t="s">
        <v>726</v>
      </c>
      <c r="C383" s="1489" t="s">
        <v>1295</v>
      </c>
      <c r="D383" s="1786">
        <v>1.7534722222222222E-2</v>
      </c>
      <c r="E383" s="1489" t="s">
        <v>16097</v>
      </c>
      <c r="F383" s="1404"/>
      <c r="G383" s="1817">
        <v>0.66400000000000003</v>
      </c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</row>
    <row r="384" spans="1:24" s="1370" customFormat="1" x14ac:dyDescent="0.2">
      <c r="A384" s="1673">
        <v>43785</v>
      </c>
      <c r="B384" s="1489" t="s">
        <v>726</v>
      </c>
      <c r="C384" s="1489" t="s">
        <v>1295</v>
      </c>
      <c r="D384" s="1674">
        <v>1.9525462962962963E-2</v>
      </c>
      <c r="E384" s="80" t="s">
        <v>15993</v>
      </c>
      <c r="F384" s="80"/>
      <c r="G384" s="314">
        <v>0.59630000000000005</v>
      </c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</row>
    <row r="385" spans="1:24" s="1370" customFormat="1" x14ac:dyDescent="0.2">
      <c r="A385" s="1384">
        <v>43778</v>
      </c>
      <c r="B385" s="1489" t="s">
        <v>726</v>
      </c>
      <c r="C385" s="1489" t="s">
        <v>1295</v>
      </c>
      <c r="D385" s="1725">
        <v>1.7581018518518517E-2</v>
      </c>
      <c r="E385" s="1726" t="s">
        <v>15947</v>
      </c>
      <c r="F385" s="1723"/>
      <c r="G385" s="1820">
        <v>0.6623</v>
      </c>
    </row>
    <row r="386" spans="1:24" s="1370" customFormat="1" x14ac:dyDescent="0.2">
      <c r="A386" s="1384">
        <v>43771</v>
      </c>
      <c r="B386" s="1489" t="s">
        <v>726</v>
      </c>
      <c r="C386" s="1489" t="s">
        <v>1295</v>
      </c>
      <c r="D386" s="1731">
        <v>1.8344907407407407E-2</v>
      </c>
      <c r="E386" s="1370" t="s">
        <v>15880</v>
      </c>
      <c r="G386" s="1816">
        <v>0.63470000000000004</v>
      </c>
    </row>
    <row r="387" spans="1:24" s="1370" customFormat="1" x14ac:dyDescent="0.2">
      <c r="A387" s="1384">
        <v>43764</v>
      </c>
      <c r="B387" s="1489" t="s">
        <v>726</v>
      </c>
      <c r="C387" s="1489" t="s">
        <v>1295</v>
      </c>
      <c r="D387" s="1727">
        <v>1.8912037037037036E-2</v>
      </c>
      <c r="E387" s="1728" t="s">
        <v>15915</v>
      </c>
      <c r="F387" s="1728"/>
      <c r="G387" s="1821">
        <v>0.61570000000000003</v>
      </c>
    </row>
    <row r="388" spans="1:24" s="1370" customFormat="1" x14ac:dyDescent="0.2">
      <c r="A388" s="523">
        <v>43757</v>
      </c>
      <c r="B388" s="1489" t="s">
        <v>726</v>
      </c>
      <c r="C388" s="1489" t="s">
        <v>1295</v>
      </c>
      <c r="D388" s="1686">
        <v>1.9583333333333335E-2</v>
      </c>
      <c r="E388" s="1489" t="s">
        <v>15856</v>
      </c>
      <c r="F388" s="1489" t="s">
        <v>5065</v>
      </c>
      <c r="G388" s="1815">
        <v>0.59460000000000002</v>
      </c>
      <c r="H388" s="1489"/>
      <c r="I388" s="1489"/>
      <c r="J388" s="1489"/>
      <c r="K388" s="1489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</row>
    <row r="389" spans="1:24" s="1370" customFormat="1" x14ac:dyDescent="0.2">
      <c r="A389" s="523">
        <v>43750</v>
      </c>
      <c r="B389" s="1489" t="s">
        <v>726</v>
      </c>
      <c r="C389" s="1489" t="s">
        <v>1295</v>
      </c>
      <c r="D389" s="1686">
        <v>1.7928240740740741E-2</v>
      </c>
      <c r="E389" s="1489" t="s">
        <v>15801</v>
      </c>
      <c r="F389" s="1489" t="s">
        <v>15810</v>
      </c>
      <c r="G389" s="1815">
        <v>0.64949999999999997</v>
      </c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</row>
    <row r="390" spans="1:24" s="1370" customFormat="1" x14ac:dyDescent="0.2">
      <c r="A390" s="523">
        <v>43743</v>
      </c>
      <c r="B390" s="1489" t="s">
        <v>726</v>
      </c>
      <c r="C390" s="1489" t="s">
        <v>1295</v>
      </c>
      <c r="D390" s="1686" t="s">
        <v>787</v>
      </c>
      <c r="E390" s="1489" t="s">
        <v>5883</v>
      </c>
      <c r="F390" s="1489" t="s">
        <v>4185</v>
      </c>
      <c r="G390" s="1815"/>
      <c r="H390" s="80"/>
      <c r="I390" s="80"/>
      <c r="J390" s="80"/>
      <c r="K390" s="80"/>
    </row>
    <row r="391" spans="1:24" s="1370" customFormat="1" x14ac:dyDescent="0.2">
      <c r="A391" s="1729">
        <v>43729</v>
      </c>
      <c r="B391" s="1489" t="s">
        <v>726</v>
      </c>
      <c r="C391" s="1489" t="s">
        <v>1295</v>
      </c>
      <c r="D391" s="1686">
        <v>1.9212962962962966E-2</v>
      </c>
      <c r="E391" s="1489" t="s">
        <v>15566</v>
      </c>
      <c r="F391" s="1489" t="s">
        <v>6123</v>
      </c>
      <c r="G391" s="1815">
        <v>0.60599999999999998</v>
      </c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</row>
    <row r="392" spans="1:24" s="1370" customFormat="1" x14ac:dyDescent="0.2">
      <c r="A392" s="523">
        <v>43722</v>
      </c>
      <c r="B392" s="1489" t="s">
        <v>726</v>
      </c>
      <c r="C392" s="1489" t="s">
        <v>1295</v>
      </c>
      <c r="D392" s="1686">
        <v>1.8923611111111113E-2</v>
      </c>
      <c r="E392" s="1489" t="s">
        <v>15465</v>
      </c>
      <c r="F392" s="1489" t="s">
        <v>15510</v>
      </c>
      <c r="G392" s="1815">
        <v>0.61529999999999996</v>
      </c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</row>
    <row r="393" spans="1:24" s="1370" customFormat="1" x14ac:dyDescent="0.2">
      <c r="A393" s="1526">
        <v>43708</v>
      </c>
      <c r="B393" s="1489" t="s">
        <v>726</v>
      </c>
      <c r="C393" s="1489" t="s">
        <v>1295</v>
      </c>
      <c r="D393" s="1686">
        <v>1.8275462962962962E-2</v>
      </c>
      <c r="E393" s="1489" t="s">
        <v>15356</v>
      </c>
      <c r="F393" s="1489" t="s">
        <v>15385</v>
      </c>
      <c r="G393" s="1815">
        <v>0.6371</v>
      </c>
      <c r="H393" s="1489" t="s">
        <v>15383</v>
      </c>
      <c r="I393" s="1489"/>
      <c r="J393" s="1489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</row>
    <row r="394" spans="1:24" s="1370" customFormat="1" x14ac:dyDescent="0.2">
      <c r="A394" s="1526">
        <v>43701</v>
      </c>
      <c r="B394" s="1489" t="s">
        <v>726</v>
      </c>
      <c r="C394" s="1489" t="s">
        <v>1295</v>
      </c>
      <c r="D394" s="1686">
        <v>1.8194444444444444E-2</v>
      </c>
      <c r="E394" s="1489" t="s">
        <v>15269</v>
      </c>
      <c r="F394" s="1489"/>
      <c r="G394" s="1815">
        <v>0.63990000000000002</v>
      </c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</row>
    <row r="395" spans="1:24" s="1370" customFormat="1" x14ac:dyDescent="0.2">
      <c r="A395" s="523">
        <v>43694</v>
      </c>
      <c r="B395" s="1489" t="s">
        <v>726</v>
      </c>
      <c r="C395" s="1489" t="s">
        <v>1295</v>
      </c>
      <c r="D395" s="1733">
        <v>1.863425925925926E-2</v>
      </c>
      <c r="E395" s="1489" t="s">
        <v>15170</v>
      </c>
      <c r="F395" s="1489"/>
      <c r="G395" s="1815">
        <v>0.62480000000000002</v>
      </c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</row>
    <row r="396" spans="1:24" s="1370" customFormat="1" x14ac:dyDescent="0.2">
      <c r="A396" s="523">
        <v>43687</v>
      </c>
      <c r="B396" s="1489" t="s">
        <v>726</v>
      </c>
      <c r="C396" s="1489" t="s">
        <v>1295</v>
      </c>
      <c r="D396" s="1686" t="s">
        <v>787</v>
      </c>
      <c r="E396" s="1489" t="s">
        <v>5883</v>
      </c>
      <c r="F396" s="1489" t="s">
        <v>4185</v>
      </c>
      <c r="G396" s="1815"/>
      <c r="H396" s="80"/>
      <c r="I396" s="80"/>
      <c r="J396" s="80"/>
      <c r="K396" s="80"/>
    </row>
    <row r="397" spans="1:24" s="1370" customFormat="1" x14ac:dyDescent="0.2">
      <c r="A397" s="1384">
        <v>43680</v>
      </c>
      <c r="B397" s="1489" t="s">
        <v>726</v>
      </c>
      <c r="C397" s="1489" t="s">
        <v>1295</v>
      </c>
      <c r="D397" s="1686">
        <v>1.8622685185185183E-2</v>
      </c>
      <c r="E397" s="1489" t="s">
        <v>13369</v>
      </c>
      <c r="F397" s="1489" t="s">
        <v>13373</v>
      </c>
      <c r="G397" s="1815">
        <v>0.62519999999999998</v>
      </c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</row>
    <row r="398" spans="1:24" s="1370" customFormat="1" x14ac:dyDescent="0.2">
      <c r="A398" s="1384">
        <v>43673</v>
      </c>
      <c r="B398" s="1489" t="s">
        <v>726</v>
      </c>
      <c r="C398" s="1489" t="s">
        <v>1295</v>
      </c>
      <c r="D398" s="1686">
        <v>1.8842592592592591E-2</v>
      </c>
      <c r="E398" s="1489" t="s">
        <v>13326</v>
      </c>
      <c r="F398" s="1489" t="s">
        <v>13325</v>
      </c>
      <c r="G398" s="1815">
        <v>0.6179</v>
      </c>
      <c r="H398" s="80"/>
      <c r="I398" s="80"/>
      <c r="J398" s="80"/>
      <c r="K398" s="80"/>
    </row>
    <row r="399" spans="1:24" s="1370" customFormat="1" x14ac:dyDescent="0.2">
      <c r="A399" s="523">
        <v>43666</v>
      </c>
      <c r="B399" s="1489" t="s">
        <v>726</v>
      </c>
      <c r="C399" s="1489" t="s">
        <v>1295</v>
      </c>
      <c r="D399" s="1686">
        <v>2.0347222222222225E-2</v>
      </c>
      <c r="E399" s="1489" t="s">
        <v>13199</v>
      </c>
      <c r="F399" s="1489" t="s">
        <v>13222</v>
      </c>
      <c r="G399" s="1815">
        <v>0.57220000000000004</v>
      </c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</row>
    <row r="400" spans="1:24" s="1370" customFormat="1" x14ac:dyDescent="0.2">
      <c r="A400" s="523">
        <v>43659</v>
      </c>
      <c r="B400" s="1489" t="s">
        <v>726</v>
      </c>
      <c r="C400" s="1489" t="s">
        <v>1295</v>
      </c>
      <c r="D400" s="1686">
        <v>1.9050925925925926E-2</v>
      </c>
      <c r="E400" s="1489" t="s">
        <v>13145</v>
      </c>
      <c r="F400" s="1489"/>
      <c r="G400" s="1815">
        <v>0.61119999999999997</v>
      </c>
      <c r="H400" s="80"/>
      <c r="I400" s="1489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</row>
    <row r="401" spans="1:24" s="1370" customFormat="1" x14ac:dyDescent="0.2">
      <c r="A401" s="523">
        <v>43652</v>
      </c>
      <c r="B401" s="1489" t="s">
        <v>726</v>
      </c>
      <c r="C401" s="1489" t="s">
        <v>1295</v>
      </c>
      <c r="D401" s="1686">
        <v>1.9641203703703706E-2</v>
      </c>
      <c r="E401" s="1489" t="s">
        <v>13078</v>
      </c>
      <c r="F401" s="1489" t="s">
        <v>13116</v>
      </c>
      <c r="G401" s="1815">
        <v>0.59279999999999999</v>
      </c>
      <c r="H401" s="1489"/>
      <c r="I401" s="1489"/>
      <c r="J401" s="1489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</row>
    <row r="402" spans="1:24" s="1370" customFormat="1" x14ac:dyDescent="0.2">
      <c r="A402" s="523">
        <v>43645</v>
      </c>
      <c r="B402" s="1489" t="s">
        <v>726</v>
      </c>
      <c r="C402" s="1489" t="s">
        <v>1295</v>
      </c>
      <c r="D402" s="1686">
        <v>2.0532407407407409E-2</v>
      </c>
      <c r="E402" s="80" t="s">
        <v>13019</v>
      </c>
      <c r="F402" s="80"/>
      <c r="G402" s="1815">
        <v>0.56710000000000005</v>
      </c>
      <c r="H402" s="80"/>
      <c r="I402" s="80"/>
      <c r="J402" s="80"/>
      <c r="K402" s="80"/>
    </row>
    <row r="403" spans="1:24" s="1370" customFormat="1" ht="25.5" x14ac:dyDescent="0.2">
      <c r="A403" s="523">
        <v>43638</v>
      </c>
      <c r="B403" s="1489" t="s">
        <v>726</v>
      </c>
      <c r="C403" s="1489" t="s">
        <v>1295</v>
      </c>
      <c r="D403" s="1835">
        <v>1.7453703703703704E-2</v>
      </c>
      <c r="E403" s="1569" t="s">
        <v>12980</v>
      </c>
      <c r="F403" s="1569" t="s">
        <v>13001</v>
      </c>
      <c r="G403" s="1818">
        <v>0.66710000000000003</v>
      </c>
      <c r="H403" s="80"/>
      <c r="I403" s="1514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</row>
    <row r="404" spans="1:24" s="1370" customFormat="1" x14ac:dyDescent="0.2">
      <c r="A404" s="523">
        <v>43631</v>
      </c>
      <c r="B404" s="1489" t="s">
        <v>726</v>
      </c>
      <c r="C404" s="1489" t="s">
        <v>1295</v>
      </c>
      <c r="D404" s="1835">
        <v>1.9305555555555555E-2</v>
      </c>
      <c r="E404" s="1493" t="s">
        <v>12921</v>
      </c>
      <c r="F404" s="1494"/>
      <c r="G404" s="1818">
        <v>0.60309999999999997</v>
      </c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</row>
    <row r="405" spans="1:24" s="1370" customFormat="1" x14ac:dyDescent="0.2">
      <c r="A405" s="1384">
        <v>43617</v>
      </c>
      <c r="B405" s="1489" t="s">
        <v>726</v>
      </c>
      <c r="C405" s="1489" t="s">
        <v>1295</v>
      </c>
      <c r="D405" s="1833">
        <v>1.7534722222222222E-2</v>
      </c>
      <c r="E405" s="1499" t="s">
        <v>12800</v>
      </c>
      <c r="F405" s="1499"/>
      <c r="G405" s="1814">
        <v>0.66400000000000003</v>
      </c>
    </row>
    <row r="406" spans="1:24" s="1370" customFormat="1" x14ac:dyDescent="0.2">
      <c r="A406" s="1384">
        <v>43610</v>
      </c>
      <c r="B406" s="1489" t="s">
        <v>726</v>
      </c>
      <c r="C406" s="1489" t="s">
        <v>1295</v>
      </c>
      <c r="D406" s="1834" t="s">
        <v>787</v>
      </c>
      <c r="E406" s="1370" t="s">
        <v>5883</v>
      </c>
      <c r="F406" s="1370" t="s">
        <v>4185</v>
      </c>
      <c r="G406" s="1816"/>
    </row>
    <row r="407" spans="1:24" s="1370" customFormat="1" x14ac:dyDescent="0.2">
      <c r="A407" s="1384">
        <v>43603</v>
      </c>
      <c r="B407" s="1489" t="s">
        <v>726</v>
      </c>
      <c r="C407" s="1489" t="s">
        <v>1295</v>
      </c>
      <c r="D407" s="1733">
        <v>1.8078703703703704E-2</v>
      </c>
      <c r="E407" s="1370" t="s">
        <v>12672</v>
      </c>
      <c r="F407" s="1370" t="s">
        <v>12696</v>
      </c>
      <c r="G407" s="1815">
        <v>0.64400000000000002</v>
      </c>
    </row>
    <row r="408" spans="1:24" s="1370" customFormat="1" x14ac:dyDescent="0.2">
      <c r="A408" s="1384">
        <v>43603</v>
      </c>
      <c r="B408" s="1489" t="s">
        <v>726</v>
      </c>
      <c r="C408" s="1489" t="s">
        <v>1295</v>
      </c>
      <c r="D408" s="1834" t="s">
        <v>787</v>
      </c>
      <c r="E408" s="1370" t="s">
        <v>12672</v>
      </c>
      <c r="F408" s="1370" t="s">
        <v>12693</v>
      </c>
      <c r="G408" s="1816"/>
    </row>
    <row r="409" spans="1:24" s="1370" customFormat="1" x14ac:dyDescent="0.2">
      <c r="A409" s="1384">
        <v>43589</v>
      </c>
      <c r="B409" s="1489" t="s">
        <v>726</v>
      </c>
      <c r="C409" s="1489" t="s">
        <v>1295</v>
      </c>
      <c r="D409" s="1733">
        <v>1.741898148148148E-2</v>
      </c>
      <c r="E409" s="1489" t="s">
        <v>12615</v>
      </c>
      <c r="F409" s="1489" t="s">
        <v>12616</v>
      </c>
      <c r="G409" s="1815">
        <v>0.66839999999999999</v>
      </c>
      <c r="I409" s="1489"/>
    </row>
    <row r="410" spans="1:24" s="1370" customFormat="1" x14ac:dyDescent="0.2">
      <c r="A410" s="1384">
        <v>43582</v>
      </c>
      <c r="B410" s="1489" t="s">
        <v>726</v>
      </c>
      <c r="C410" s="1489" t="s">
        <v>1295</v>
      </c>
      <c r="D410" s="1733">
        <v>1.7280092592592593E-2</v>
      </c>
      <c r="E410" s="1489" t="s">
        <v>12563</v>
      </c>
      <c r="F410" s="1489" t="s">
        <v>12617</v>
      </c>
      <c r="G410" s="1815">
        <v>0.67379999999999995</v>
      </c>
      <c r="I410" s="1489"/>
    </row>
    <row r="411" spans="1:24" s="1370" customFormat="1" x14ac:dyDescent="0.2">
      <c r="A411" s="1384">
        <v>43575</v>
      </c>
      <c r="B411" s="1489" t="s">
        <v>726</v>
      </c>
      <c r="C411" s="1489" t="s">
        <v>1295</v>
      </c>
      <c r="D411" s="1834">
        <v>1.8263888888888889E-2</v>
      </c>
      <c r="E411" s="1370" t="s">
        <v>12451</v>
      </c>
      <c r="F411" s="1370" t="s">
        <v>12492</v>
      </c>
      <c r="G411" s="1816">
        <v>0.63749999999999996</v>
      </c>
    </row>
    <row r="412" spans="1:24" s="1370" customFormat="1" x14ac:dyDescent="0.2">
      <c r="A412" s="1384">
        <v>43568</v>
      </c>
      <c r="B412" s="1489" t="s">
        <v>726</v>
      </c>
      <c r="C412" s="1489" t="s">
        <v>1295</v>
      </c>
      <c r="D412" s="1834">
        <v>1.8263888888888889E-2</v>
      </c>
      <c r="E412" s="1370" t="s">
        <v>12417</v>
      </c>
      <c r="F412" s="1370" t="s">
        <v>12418</v>
      </c>
      <c r="G412" s="1816">
        <v>0.63990000000000002</v>
      </c>
    </row>
    <row r="413" spans="1:24" s="1370" customFormat="1" x14ac:dyDescent="0.2">
      <c r="A413" s="1384">
        <v>43561</v>
      </c>
      <c r="B413" s="1489" t="s">
        <v>726</v>
      </c>
      <c r="C413" s="1489" t="s">
        <v>1295</v>
      </c>
      <c r="D413" s="1834">
        <v>1.8854166666666665E-2</v>
      </c>
      <c r="E413" s="1370" t="s">
        <v>12333</v>
      </c>
      <c r="F413" s="1370" t="s">
        <v>12321</v>
      </c>
      <c r="G413" s="1816">
        <v>0.61760000000000004</v>
      </c>
    </row>
    <row r="414" spans="1:24" s="1370" customFormat="1" x14ac:dyDescent="0.2">
      <c r="A414" s="1384">
        <v>43554</v>
      </c>
      <c r="B414" s="1489" t="s">
        <v>726</v>
      </c>
      <c r="C414" s="1489" t="s">
        <v>1295</v>
      </c>
      <c r="D414" s="1834">
        <v>1.8460648148148146E-2</v>
      </c>
      <c r="E414" s="1370" t="s">
        <v>12228</v>
      </c>
      <c r="F414" s="1370" t="s">
        <v>12273</v>
      </c>
      <c r="G414" s="1816">
        <v>0.63070000000000004</v>
      </c>
    </row>
    <row r="415" spans="1:24" s="1370" customFormat="1" x14ac:dyDescent="0.2">
      <c r="A415" s="1384">
        <v>43547</v>
      </c>
      <c r="B415" s="1489" t="s">
        <v>726</v>
      </c>
      <c r="C415" s="1489" t="s">
        <v>1295</v>
      </c>
      <c r="D415" s="1834" t="s">
        <v>787</v>
      </c>
      <c r="E415" s="1370" t="s">
        <v>5883</v>
      </c>
      <c r="G415" s="1816"/>
    </row>
    <row r="416" spans="1:24" s="1370" customFormat="1" x14ac:dyDescent="0.2">
      <c r="A416" s="1384">
        <v>43540</v>
      </c>
      <c r="B416" s="1489" t="s">
        <v>726</v>
      </c>
      <c r="C416" s="1489" t="s">
        <v>1295</v>
      </c>
      <c r="D416" s="1834">
        <v>1.9039351851851852E-2</v>
      </c>
      <c r="E416" s="1370" t="s">
        <v>12099</v>
      </c>
      <c r="F416" s="1370" t="s">
        <v>12121</v>
      </c>
      <c r="G416" s="1816">
        <v>0.61160000000000003</v>
      </c>
    </row>
    <row r="417" spans="1:24" s="1370" customFormat="1" x14ac:dyDescent="0.2">
      <c r="A417" s="1384">
        <v>43533</v>
      </c>
      <c r="B417" s="1489" t="s">
        <v>726</v>
      </c>
      <c r="C417" s="1489" t="s">
        <v>1295</v>
      </c>
      <c r="D417" s="1834" t="s">
        <v>787</v>
      </c>
      <c r="E417" s="1370" t="s">
        <v>12019</v>
      </c>
      <c r="F417" s="1370" t="s">
        <v>12020</v>
      </c>
      <c r="G417" s="1816">
        <v>0.63600000000000001</v>
      </c>
    </row>
    <row r="418" spans="1:24" s="1370" customFormat="1" x14ac:dyDescent="0.2">
      <c r="A418" s="1384">
        <v>43533</v>
      </c>
      <c r="B418" s="1489" t="s">
        <v>726</v>
      </c>
      <c r="C418" s="1489" t="s">
        <v>1295</v>
      </c>
      <c r="D418" s="1834">
        <v>1.8368055555555554E-2</v>
      </c>
      <c r="E418" s="1370" t="s">
        <v>12019</v>
      </c>
      <c r="F418" s="1370" t="s">
        <v>12039</v>
      </c>
      <c r="G418" s="1816">
        <v>0.63390000000000002</v>
      </c>
    </row>
    <row r="419" spans="1:24" s="1370" customFormat="1" x14ac:dyDescent="0.2">
      <c r="A419" s="1384">
        <v>43526</v>
      </c>
      <c r="B419" s="1489" t="s">
        <v>726</v>
      </c>
      <c r="C419" s="1489" t="s">
        <v>1295</v>
      </c>
      <c r="D419" s="1834">
        <v>1.9791666666666666E-2</v>
      </c>
      <c r="E419" s="1370" t="s">
        <v>5883</v>
      </c>
      <c r="F419" s="1370" t="s">
        <v>12038</v>
      </c>
      <c r="G419" s="1816">
        <v>0.58830000000000005</v>
      </c>
    </row>
    <row r="420" spans="1:24" s="1370" customFormat="1" x14ac:dyDescent="0.2">
      <c r="A420" s="1384">
        <v>43512</v>
      </c>
      <c r="B420" s="1489" t="s">
        <v>726</v>
      </c>
      <c r="C420" s="1489" t="s">
        <v>1295</v>
      </c>
      <c r="D420" s="1834">
        <v>2.0196759259259258E-2</v>
      </c>
      <c r="E420" s="1370" t="s">
        <v>5883</v>
      </c>
      <c r="F420" s="1370" t="s">
        <v>11848</v>
      </c>
      <c r="G420" s="1816">
        <v>0.5696</v>
      </c>
    </row>
    <row r="421" spans="1:24" s="1370" customFormat="1" x14ac:dyDescent="0.2">
      <c r="A421" s="1384">
        <v>43505</v>
      </c>
      <c r="B421" s="1489" t="s">
        <v>726</v>
      </c>
      <c r="C421" s="1489" t="s">
        <v>1295</v>
      </c>
      <c r="D421" s="1834" t="s">
        <v>787</v>
      </c>
      <c r="E421" s="1370" t="s">
        <v>5883</v>
      </c>
      <c r="F421" s="1370" t="s">
        <v>4185</v>
      </c>
      <c r="G421" s="1816"/>
    </row>
    <row r="422" spans="1:24" s="1370" customFormat="1" x14ac:dyDescent="0.2">
      <c r="A422" s="1384">
        <v>43498</v>
      </c>
      <c r="B422" s="1489" t="s">
        <v>726</v>
      </c>
      <c r="C422" s="1489" t="s">
        <v>1295</v>
      </c>
      <c r="D422" s="1733">
        <v>2.5277777777777777E-2</v>
      </c>
      <c r="E422" s="1489" t="s">
        <v>1982</v>
      </c>
      <c r="F422" s="1489" t="s">
        <v>11732</v>
      </c>
      <c r="G422" s="1815">
        <v>0.4551</v>
      </c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</row>
    <row r="423" spans="1:24" s="1370" customFormat="1" x14ac:dyDescent="0.2">
      <c r="A423" s="1384">
        <v>43491</v>
      </c>
      <c r="B423" s="1489" t="s">
        <v>726</v>
      </c>
      <c r="C423" s="1489" t="s">
        <v>1295</v>
      </c>
      <c r="D423" s="1834">
        <v>2.7858796296296298E-2</v>
      </c>
      <c r="E423" s="1370" t="s">
        <v>861</v>
      </c>
      <c r="F423" s="1415" t="s">
        <v>11711</v>
      </c>
      <c r="G423" s="1816">
        <v>0.41299999999999998</v>
      </c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</row>
    <row r="424" spans="1:24" s="1370" customFormat="1" x14ac:dyDescent="0.2">
      <c r="A424" s="1384">
        <v>43484</v>
      </c>
      <c r="B424" s="1489" t="s">
        <v>726</v>
      </c>
      <c r="C424" s="1489" t="s">
        <v>1295</v>
      </c>
      <c r="D424" s="1834">
        <v>2.0300925925925927E-2</v>
      </c>
      <c r="E424" s="1370" t="s">
        <v>5883</v>
      </c>
      <c r="F424" s="1370" t="s">
        <v>11572</v>
      </c>
      <c r="G424" s="1816">
        <v>0.56669999999999998</v>
      </c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</row>
    <row r="425" spans="1:24" s="1370" customFormat="1" x14ac:dyDescent="0.2">
      <c r="A425" s="1384">
        <v>43477</v>
      </c>
      <c r="B425" s="1489" t="s">
        <v>726</v>
      </c>
      <c r="C425" s="1489" t="s">
        <v>1295</v>
      </c>
      <c r="D425" s="1733">
        <v>2.2951388888888886E-2</v>
      </c>
      <c r="E425" s="1489" t="s">
        <v>5883</v>
      </c>
      <c r="F425" s="1489" t="s">
        <v>11573</v>
      </c>
      <c r="G425" s="1815">
        <v>0.50129999999999997</v>
      </c>
      <c r="I425" s="1489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</row>
    <row r="426" spans="1:24" s="1370" customFormat="1" x14ac:dyDescent="0.2">
      <c r="A426" s="1384">
        <v>43470</v>
      </c>
      <c r="B426" s="1489" t="s">
        <v>726</v>
      </c>
      <c r="C426" s="1489" t="s">
        <v>1295</v>
      </c>
      <c r="D426" s="1839" t="s">
        <v>787</v>
      </c>
      <c r="E426" s="1370" t="s">
        <v>5883</v>
      </c>
      <c r="F426" s="1415" t="s">
        <v>4185</v>
      </c>
      <c r="G426" s="1816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</row>
    <row r="427" spans="1:24" s="1370" customFormat="1" x14ac:dyDescent="0.2">
      <c r="A427" s="1384">
        <v>43466</v>
      </c>
      <c r="B427" s="1489" t="s">
        <v>726</v>
      </c>
      <c r="C427" s="1489" t="s">
        <v>1295</v>
      </c>
      <c r="D427" s="1733">
        <v>1.7662037037037035E-2</v>
      </c>
      <c r="E427" s="1370" t="s">
        <v>11483</v>
      </c>
      <c r="F427" s="1370" t="s">
        <v>11510</v>
      </c>
      <c r="G427" s="1815">
        <v>0.64710000000000001</v>
      </c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</row>
    <row r="428" spans="1:24" s="1370" customFormat="1" x14ac:dyDescent="0.2">
      <c r="A428" s="1384">
        <v>43466</v>
      </c>
      <c r="B428" s="1489" t="s">
        <v>726</v>
      </c>
      <c r="C428" s="1489" t="s">
        <v>1295</v>
      </c>
      <c r="D428" s="1733">
        <v>1.7789351851851851E-2</v>
      </c>
      <c r="E428" s="1370" t="s">
        <v>11484</v>
      </c>
      <c r="F428" s="1370" t="s">
        <v>11511</v>
      </c>
      <c r="G428" s="1815">
        <v>0.64670000000000005</v>
      </c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</row>
    <row r="429" spans="1:24" s="1370" customFormat="1" x14ac:dyDescent="0.2">
      <c r="A429" s="1729">
        <v>43827</v>
      </c>
      <c r="B429" s="1489" t="s">
        <v>3508</v>
      </c>
      <c r="C429" s="1489" t="s">
        <v>1295</v>
      </c>
      <c r="D429" s="1621">
        <v>2.4872685185185189E-2</v>
      </c>
      <c r="E429" s="1489" t="s">
        <v>16423</v>
      </c>
      <c r="F429" s="1489" t="s">
        <v>16446</v>
      </c>
      <c r="G429" s="1817">
        <v>0.41830000000000001</v>
      </c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</row>
    <row r="430" spans="1:24" s="1370" customFormat="1" x14ac:dyDescent="0.2">
      <c r="A430" s="34">
        <v>43824</v>
      </c>
      <c r="B430" s="1489" t="s">
        <v>3508</v>
      </c>
      <c r="C430" s="1489" t="s">
        <v>1295</v>
      </c>
      <c r="D430" s="1621">
        <v>1.923611111111111E-2</v>
      </c>
      <c r="E430" s="1489" t="s">
        <v>16375</v>
      </c>
      <c r="F430" s="1489"/>
      <c r="G430" s="1817">
        <v>0.54090000000000005</v>
      </c>
      <c r="H430" s="1404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</row>
    <row r="431" spans="1:24" s="1370" customFormat="1" x14ac:dyDescent="0.2">
      <c r="A431" s="1673">
        <v>43820</v>
      </c>
      <c r="B431" s="1489" t="s">
        <v>3508</v>
      </c>
      <c r="C431" s="1489" t="s">
        <v>1295</v>
      </c>
      <c r="D431" s="1777">
        <v>1.7905092592592594E-2</v>
      </c>
      <c r="E431" s="80" t="s">
        <v>16318</v>
      </c>
      <c r="F431" s="80" t="s">
        <v>16354</v>
      </c>
      <c r="G431" s="314">
        <v>0.58109999999999995</v>
      </c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</row>
    <row r="432" spans="1:24" s="1370" customFormat="1" x14ac:dyDescent="0.2">
      <c r="A432" s="1765">
        <v>43813</v>
      </c>
      <c r="B432" s="1489" t="s">
        <v>3508</v>
      </c>
      <c r="C432" s="1489" t="s">
        <v>1295</v>
      </c>
      <c r="D432" s="1621">
        <v>1.699074074074074E-2</v>
      </c>
      <c r="E432" s="1489" t="s">
        <v>16259</v>
      </c>
      <c r="F432" s="1489" t="s">
        <v>15440</v>
      </c>
      <c r="G432" s="1817">
        <v>0.61240000000000006</v>
      </c>
      <c r="H432" s="1404"/>
      <c r="I432" s="140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</row>
    <row r="433" spans="1:24" s="1370" customFormat="1" x14ac:dyDescent="0.2">
      <c r="A433" s="34">
        <v>43806</v>
      </c>
      <c r="B433" s="1489" t="s">
        <v>3508</v>
      </c>
      <c r="C433" s="1489" t="s">
        <v>1295</v>
      </c>
      <c r="D433" s="1621">
        <v>1.7905092592592594E-2</v>
      </c>
      <c r="E433" s="1489" t="s">
        <v>16215</v>
      </c>
      <c r="F433" s="1489" t="s">
        <v>16247</v>
      </c>
      <c r="G433" s="1817">
        <v>0.58109999999999995</v>
      </c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</row>
    <row r="434" spans="1:24" s="1370" customFormat="1" x14ac:dyDescent="0.2">
      <c r="A434" s="1729">
        <v>43799</v>
      </c>
      <c r="B434" s="1489" t="s">
        <v>3508</v>
      </c>
      <c r="C434" s="1489" t="s">
        <v>1295</v>
      </c>
      <c r="D434" s="547" t="s">
        <v>787</v>
      </c>
      <c r="E434" t="s">
        <v>16145</v>
      </c>
      <c r="F434"/>
      <c r="G434" s="31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</row>
    <row r="435" spans="1:24" s="1370" customFormat="1" x14ac:dyDescent="0.2">
      <c r="A435" s="1750">
        <v>43792</v>
      </c>
      <c r="B435" s="1489" t="s">
        <v>3508</v>
      </c>
      <c r="C435" s="1489" t="s">
        <v>1295</v>
      </c>
      <c r="D435" s="1621" t="s">
        <v>787</v>
      </c>
      <c r="E435" s="1489" t="s">
        <v>5883</v>
      </c>
      <c r="F435" s="1489" t="s">
        <v>4185</v>
      </c>
      <c r="G435" s="1817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</row>
    <row r="436" spans="1:24" s="1370" customFormat="1" x14ac:dyDescent="0.2">
      <c r="A436" s="1673">
        <v>43785</v>
      </c>
      <c r="B436" s="1489" t="s">
        <v>3508</v>
      </c>
      <c r="C436" s="1489" t="s">
        <v>1295</v>
      </c>
      <c r="D436" s="1674">
        <v>1.951388888888889E-2</v>
      </c>
      <c r="E436" s="80" t="s">
        <v>15993</v>
      </c>
      <c r="F436" s="80" t="s">
        <v>3001</v>
      </c>
      <c r="G436" s="314">
        <v>0.53320000000000001</v>
      </c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</row>
    <row r="437" spans="1:24" s="1370" customFormat="1" x14ac:dyDescent="0.2">
      <c r="A437" s="1384">
        <v>43778</v>
      </c>
      <c r="B437" s="1489" t="s">
        <v>3508</v>
      </c>
      <c r="C437" s="1489" t="s">
        <v>1295</v>
      </c>
      <c r="D437" s="1725" t="s">
        <v>787</v>
      </c>
      <c r="E437" s="1726" t="s">
        <v>15947</v>
      </c>
      <c r="F437" s="1723" t="s">
        <v>15945</v>
      </c>
      <c r="G437" s="1820"/>
    </row>
    <row r="438" spans="1:24" s="1370" customFormat="1" x14ac:dyDescent="0.2">
      <c r="A438" s="1384">
        <v>43771</v>
      </c>
      <c r="B438" s="1489" t="s">
        <v>3508</v>
      </c>
      <c r="C438" s="1489" t="s">
        <v>1295</v>
      </c>
      <c r="D438" s="1731">
        <v>1.7141203703703704E-2</v>
      </c>
      <c r="E438" s="1370" t="s">
        <v>15880</v>
      </c>
      <c r="F438" s="1370" t="s">
        <v>9414</v>
      </c>
      <c r="G438" s="1816">
        <v>0.60699999999999998</v>
      </c>
    </row>
    <row r="439" spans="1:24" s="1370" customFormat="1" x14ac:dyDescent="0.2">
      <c r="A439" s="1384">
        <v>43764</v>
      </c>
      <c r="B439" s="1489" t="s">
        <v>3508</v>
      </c>
      <c r="C439" s="1489" t="s">
        <v>1295</v>
      </c>
      <c r="D439" s="1727">
        <v>1.7314814814814814E-2</v>
      </c>
      <c r="E439" s="1728" t="s">
        <v>15915</v>
      </c>
      <c r="F439" s="1728" t="s">
        <v>15926</v>
      </c>
      <c r="G439" s="1821">
        <v>0.60089999999999999</v>
      </c>
    </row>
    <row r="440" spans="1:24" s="1370" customFormat="1" x14ac:dyDescent="0.2">
      <c r="A440" s="523">
        <v>43757</v>
      </c>
      <c r="B440" s="1489" t="s">
        <v>3508</v>
      </c>
      <c r="C440" s="1489" t="s">
        <v>1295</v>
      </c>
      <c r="D440" s="1686">
        <v>1.6597222222222222E-2</v>
      </c>
      <c r="E440" s="1489" t="s">
        <v>15853</v>
      </c>
      <c r="F440" s="1489"/>
      <c r="G440" s="1815">
        <v>0.62690000000000001</v>
      </c>
      <c r="H440" s="1489"/>
      <c r="I440" s="1489"/>
      <c r="J440" s="1489"/>
      <c r="K440" s="1489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</row>
    <row r="441" spans="1:24" s="1370" customFormat="1" x14ac:dyDescent="0.2">
      <c r="A441" s="523">
        <v>43750</v>
      </c>
      <c r="B441" s="1489" t="s">
        <v>3508</v>
      </c>
      <c r="C441" s="1489" t="s">
        <v>1295</v>
      </c>
      <c r="D441" s="1686">
        <v>1.6180555555555556E-2</v>
      </c>
      <c r="E441" s="1489" t="s">
        <v>15801</v>
      </c>
      <c r="F441" s="1489" t="s">
        <v>15808</v>
      </c>
      <c r="G441" s="1815">
        <v>0.6431</v>
      </c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</row>
    <row r="442" spans="1:24" s="1370" customFormat="1" x14ac:dyDescent="0.2">
      <c r="A442" s="1729">
        <v>43743</v>
      </c>
      <c r="B442" s="1489" t="s">
        <v>3508</v>
      </c>
      <c r="C442" s="1489" t="s">
        <v>1295</v>
      </c>
      <c r="D442" s="1731">
        <v>1.726851851851852E-2</v>
      </c>
      <c r="E442" s="80" t="s">
        <v>15702</v>
      </c>
      <c r="F442" s="80" t="s">
        <v>15740</v>
      </c>
      <c r="G442" s="317">
        <v>0.60250000000000004</v>
      </c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</row>
    <row r="443" spans="1:24" s="1370" customFormat="1" x14ac:dyDescent="0.2">
      <c r="A443" s="1729">
        <v>43729</v>
      </c>
      <c r="B443" s="1489" t="s">
        <v>3508</v>
      </c>
      <c r="C443" s="1489" t="s">
        <v>1295</v>
      </c>
      <c r="D443" s="1686">
        <v>1.8206018518518517E-2</v>
      </c>
      <c r="E443" s="1489" t="s">
        <v>15566</v>
      </c>
      <c r="F443" s="1489" t="s">
        <v>15590</v>
      </c>
      <c r="G443" s="1815">
        <v>0.57150000000000001</v>
      </c>
      <c r="H443" s="80"/>
      <c r="I443" s="80"/>
      <c r="J443" s="80"/>
      <c r="K443" s="80"/>
    </row>
    <row r="444" spans="1:24" s="1370" customFormat="1" x14ac:dyDescent="0.2">
      <c r="A444" s="523">
        <v>43722</v>
      </c>
      <c r="B444" s="1489" t="s">
        <v>3508</v>
      </c>
      <c r="C444" s="1489" t="s">
        <v>1295</v>
      </c>
      <c r="D444" s="1686">
        <v>1.8136574074074076E-2</v>
      </c>
      <c r="E444" s="1489" t="s">
        <v>15465</v>
      </c>
      <c r="F444" s="1489" t="s">
        <v>15511</v>
      </c>
      <c r="G444" s="1815">
        <v>0.57369999999999999</v>
      </c>
      <c r="H444" s="80"/>
      <c r="I444" s="80"/>
      <c r="J444" s="80"/>
      <c r="K444" s="80"/>
    </row>
    <row r="445" spans="1:24" s="1370" customFormat="1" x14ac:dyDescent="0.2">
      <c r="A445" s="523">
        <v>43715</v>
      </c>
      <c r="B445" s="1489" t="s">
        <v>3508</v>
      </c>
      <c r="C445" s="1489" t="s">
        <v>1295</v>
      </c>
      <c r="D445" s="1730">
        <v>1.7858796296296293E-2</v>
      </c>
      <c r="E445" s="80" t="s">
        <v>15416</v>
      </c>
      <c r="F445" s="1489" t="s">
        <v>15441</v>
      </c>
      <c r="G445" s="317">
        <v>0.58260000000000001</v>
      </c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</row>
    <row r="446" spans="1:24" s="1370" customFormat="1" x14ac:dyDescent="0.2">
      <c r="A446" s="1526">
        <v>43708</v>
      </c>
      <c r="B446" s="1489" t="s">
        <v>3508</v>
      </c>
      <c r="C446" s="1489" t="s">
        <v>1295</v>
      </c>
      <c r="D446" s="1686">
        <v>1.6817129629629626E-2</v>
      </c>
      <c r="E446" s="1489" t="s">
        <v>15356</v>
      </c>
      <c r="F446" s="1489" t="s">
        <v>15384</v>
      </c>
      <c r="G446" s="1815">
        <v>0.61870000000000003</v>
      </c>
      <c r="H446" s="1489"/>
      <c r="I446" s="1489"/>
      <c r="J446" s="1489"/>
      <c r="K446" s="80"/>
    </row>
    <row r="447" spans="1:24" s="1370" customFormat="1" x14ac:dyDescent="0.2">
      <c r="A447" s="1526">
        <v>43701</v>
      </c>
      <c r="B447" s="1489" t="s">
        <v>3508</v>
      </c>
      <c r="C447" s="1489" t="s">
        <v>1295</v>
      </c>
      <c r="D447" s="1686">
        <v>1.7175925925925928E-2</v>
      </c>
      <c r="E447" s="1489" t="s">
        <v>15269</v>
      </c>
      <c r="F447" s="1489" t="s">
        <v>9114</v>
      </c>
      <c r="G447" s="1815">
        <v>0.60580000000000001</v>
      </c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</row>
    <row r="448" spans="1:24" s="1370" customFormat="1" x14ac:dyDescent="0.2">
      <c r="A448" s="523">
        <v>43694</v>
      </c>
      <c r="B448" s="1489" t="s">
        <v>3508</v>
      </c>
      <c r="C448" s="1489" t="s">
        <v>1295</v>
      </c>
      <c r="D448" s="1733">
        <v>1.8831018518518521E-2</v>
      </c>
      <c r="E448" s="1489" t="s">
        <v>15156</v>
      </c>
      <c r="F448" s="1489" t="s">
        <v>15200</v>
      </c>
      <c r="G448" s="1815">
        <v>0.55259999999999998</v>
      </c>
      <c r="H448" s="80"/>
      <c r="I448" s="80"/>
      <c r="J448" s="80"/>
      <c r="K448" s="80"/>
    </row>
    <row r="449" spans="1:24" s="1370" customFormat="1" x14ac:dyDescent="0.2">
      <c r="A449" s="523">
        <v>43687</v>
      </c>
      <c r="B449" s="1489" t="s">
        <v>3508</v>
      </c>
      <c r="C449" s="1489" t="s">
        <v>1295</v>
      </c>
      <c r="D449" s="1686">
        <v>2.0416666666666663E-2</v>
      </c>
      <c r="E449" s="1489" t="s">
        <v>13427</v>
      </c>
      <c r="F449" s="1489" t="s">
        <v>13472</v>
      </c>
      <c r="G449" s="1815">
        <v>0.50960000000000005</v>
      </c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</row>
    <row r="450" spans="1:24" s="1370" customFormat="1" x14ac:dyDescent="0.2">
      <c r="A450" s="523">
        <v>43687</v>
      </c>
      <c r="B450" s="1489" t="s">
        <v>3508</v>
      </c>
      <c r="C450" s="1489" t="s">
        <v>1295</v>
      </c>
      <c r="D450" s="1838" t="s">
        <v>787</v>
      </c>
      <c r="E450" s="1489" t="s">
        <v>13427</v>
      </c>
      <c r="F450" s="1489" t="s">
        <v>13421</v>
      </c>
      <c r="G450" s="1815"/>
      <c r="H450" s="80"/>
      <c r="I450" s="80"/>
      <c r="J450" s="80"/>
      <c r="K450" s="80"/>
    </row>
    <row r="451" spans="1:24" s="1370" customFormat="1" x14ac:dyDescent="0.2">
      <c r="A451" s="523">
        <v>43680</v>
      </c>
      <c r="B451" s="1489" t="s">
        <v>3508</v>
      </c>
      <c r="C451" s="1489" t="s">
        <v>1295</v>
      </c>
      <c r="D451" s="547" t="s">
        <v>787</v>
      </c>
      <c r="E451" s="80" t="s">
        <v>13348</v>
      </c>
      <c r="F451" s="80" t="s">
        <v>4185</v>
      </c>
      <c r="G451" s="317"/>
      <c r="H451" s="80"/>
      <c r="I451" s="80"/>
      <c r="J451" s="80"/>
      <c r="K451" s="80"/>
    </row>
    <row r="452" spans="1:24" s="1370" customFormat="1" x14ac:dyDescent="0.2">
      <c r="A452" s="1384">
        <v>43673</v>
      </c>
      <c r="B452" s="1489" t="s">
        <v>3508</v>
      </c>
      <c r="C452" s="1489" t="s">
        <v>1295</v>
      </c>
      <c r="D452" s="1686">
        <v>1.744212962962963E-2</v>
      </c>
      <c r="E452" s="1489" t="s">
        <v>13326</v>
      </c>
      <c r="F452" s="1489" t="s">
        <v>13328</v>
      </c>
      <c r="G452" s="1815">
        <v>0.59650000000000003</v>
      </c>
      <c r="H452" s="1514"/>
      <c r="I452" s="80" t="s">
        <v>13327</v>
      </c>
      <c r="J452" s="80"/>
      <c r="K452" s="80"/>
    </row>
    <row r="453" spans="1:24" s="1370" customFormat="1" x14ac:dyDescent="0.2">
      <c r="A453" s="523">
        <v>43666</v>
      </c>
      <c r="B453" s="1489" t="s">
        <v>3508</v>
      </c>
      <c r="C453" s="1489" t="s">
        <v>1295</v>
      </c>
      <c r="D453" s="1686">
        <v>1.6724537037037034E-2</v>
      </c>
      <c r="E453" s="1489" t="s">
        <v>13199</v>
      </c>
      <c r="F453" s="1489" t="s">
        <v>13222</v>
      </c>
      <c r="G453" s="1815">
        <v>0.62209999999999999</v>
      </c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</row>
    <row r="454" spans="1:24" s="1370" customFormat="1" x14ac:dyDescent="0.2">
      <c r="A454" s="523">
        <v>43659</v>
      </c>
      <c r="B454" s="1489" t="s">
        <v>3508</v>
      </c>
      <c r="C454" s="1489" t="s">
        <v>1295</v>
      </c>
      <c r="D454" s="1686">
        <v>1.6828703703703703E-2</v>
      </c>
      <c r="E454" s="1489" t="s">
        <v>13145</v>
      </c>
      <c r="F454" s="1489"/>
      <c r="G454" s="1815">
        <v>0.61829999999999996</v>
      </c>
      <c r="H454" s="80"/>
      <c r="I454" s="1489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</row>
    <row r="455" spans="1:24" s="1370" customFormat="1" x14ac:dyDescent="0.2">
      <c r="A455" s="523">
        <v>43652</v>
      </c>
      <c r="B455" s="1489" t="s">
        <v>3508</v>
      </c>
      <c r="C455" s="1489" t="s">
        <v>1295</v>
      </c>
      <c r="D455" s="1686">
        <v>1.6597222222222222E-2</v>
      </c>
      <c r="E455" s="1489" t="s">
        <v>13078</v>
      </c>
      <c r="F455" s="1489" t="s">
        <v>13115</v>
      </c>
      <c r="G455" s="1815">
        <v>0.62690000000000001</v>
      </c>
      <c r="H455" s="1489"/>
      <c r="I455" s="1489"/>
      <c r="J455" s="1489"/>
      <c r="K455" s="80"/>
    </row>
    <row r="456" spans="1:24" s="1370" customFormat="1" x14ac:dyDescent="0.2">
      <c r="A456" s="523">
        <v>43645</v>
      </c>
      <c r="B456" s="1489" t="s">
        <v>3508</v>
      </c>
      <c r="C456" s="1489" t="s">
        <v>1295</v>
      </c>
      <c r="D456" s="1686">
        <v>1.8067129629629631E-2</v>
      </c>
      <c r="E456" s="80" t="s">
        <v>13019</v>
      </c>
      <c r="F456" s="1489" t="s">
        <v>896</v>
      </c>
      <c r="G456" s="1815">
        <v>0.57589999999999997</v>
      </c>
      <c r="H456" s="80"/>
      <c r="I456" s="80"/>
      <c r="J456" s="80"/>
      <c r="K456" s="80"/>
    </row>
    <row r="457" spans="1:24" s="1370" customFormat="1" x14ac:dyDescent="0.2">
      <c r="A457" s="523">
        <v>43645</v>
      </c>
      <c r="B457" s="1489" t="s">
        <v>3508</v>
      </c>
      <c r="C457" s="1489" t="s">
        <v>1295</v>
      </c>
      <c r="D457" s="1753" t="s">
        <v>787</v>
      </c>
      <c r="E457" s="80" t="s">
        <v>13019</v>
      </c>
      <c r="F457" s="80" t="s">
        <v>13029</v>
      </c>
      <c r="G457" s="1822"/>
      <c r="H457" s="80"/>
      <c r="I457" s="80"/>
      <c r="J457" s="80"/>
      <c r="K457" s="80"/>
    </row>
    <row r="458" spans="1:24" s="1370" customFormat="1" ht="25.5" x14ac:dyDescent="0.2">
      <c r="A458" s="523">
        <v>43638</v>
      </c>
      <c r="B458" s="1489" t="s">
        <v>3508</v>
      </c>
      <c r="C458" s="1489" t="s">
        <v>1295</v>
      </c>
      <c r="D458" s="1835">
        <v>1.6053240740740739E-2</v>
      </c>
      <c r="E458" s="1493" t="s">
        <v>12980</v>
      </c>
      <c r="F458" s="1493" t="s">
        <v>13000</v>
      </c>
      <c r="G458" s="1818">
        <v>0.6431</v>
      </c>
      <c r="H458" s="80"/>
      <c r="I458" s="80"/>
      <c r="J458" s="80"/>
      <c r="K458" s="80"/>
    </row>
    <row r="459" spans="1:24" s="1370" customFormat="1" x14ac:dyDescent="0.2">
      <c r="A459" s="523">
        <v>43631</v>
      </c>
      <c r="B459" s="1489" t="s">
        <v>3508</v>
      </c>
      <c r="C459" s="1489" t="s">
        <v>1295</v>
      </c>
      <c r="D459" s="1835">
        <v>1.653935185185185E-2</v>
      </c>
      <c r="E459" s="1493" t="s">
        <v>12921</v>
      </c>
      <c r="F459" s="1494"/>
      <c r="G459" s="1818">
        <v>0.62419999999999998</v>
      </c>
      <c r="H459" s="80"/>
      <c r="I459" s="80"/>
      <c r="J459" s="80"/>
      <c r="K459" s="80"/>
    </row>
    <row r="460" spans="1:24" s="1370" customFormat="1" x14ac:dyDescent="0.2">
      <c r="A460" s="523">
        <v>43624</v>
      </c>
      <c r="B460" s="1489" t="s">
        <v>3508</v>
      </c>
      <c r="C460" s="1489" t="s">
        <v>1295</v>
      </c>
      <c r="D460" s="1753" t="s">
        <v>787</v>
      </c>
      <c r="E460" s="1493" t="s">
        <v>12848</v>
      </c>
      <c r="F460" s="1493" t="s">
        <v>4155</v>
      </c>
      <c r="G460" s="1822"/>
      <c r="H460" s="80"/>
      <c r="I460" s="80"/>
      <c r="J460" s="80"/>
      <c r="K460" s="80"/>
    </row>
    <row r="461" spans="1:24" s="1370" customFormat="1" x14ac:dyDescent="0.2">
      <c r="A461" s="1384">
        <v>43617</v>
      </c>
      <c r="B461" s="1489" t="s">
        <v>3508</v>
      </c>
      <c r="C461" s="1489" t="s">
        <v>1295</v>
      </c>
      <c r="D461" s="1836">
        <v>1.6620370370370372E-2</v>
      </c>
      <c r="E461" s="1499" t="s">
        <v>12800</v>
      </c>
      <c r="F461" s="1499"/>
      <c r="G461" s="1819">
        <v>0.62119999999999997</v>
      </c>
    </row>
    <row r="462" spans="1:24" s="1370" customFormat="1" x14ac:dyDescent="0.2">
      <c r="A462" s="1384">
        <v>43610</v>
      </c>
      <c r="B462" s="1489" t="s">
        <v>3508</v>
      </c>
      <c r="C462" s="1489" t="s">
        <v>1295</v>
      </c>
      <c r="D462" s="1733">
        <v>1.6400462962962964E-2</v>
      </c>
      <c r="E462" s="1370" t="s">
        <v>12737</v>
      </c>
      <c r="F462" s="1370" t="s">
        <v>12755</v>
      </c>
      <c r="G462" s="1815">
        <v>0.62949999999999995</v>
      </c>
    </row>
    <row r="463" spans="1:24" s="1370" customFormat="1" x14ac:dyDescent="0.2">
      <c r="A463" s="1384">
        <v>43603</v>
      </c>
      <c r="B463" s="1489" t="s">
        <v>3508</v>
      </c>
      <c r="C463" s="1489" t="s">
        <v>1295</v>
      </c>
      <c r="D463" s="1733" t="s">
        <v>787</v>
      </c>
      <c r="E463" s="1370" t="s">
        <v>12672</v>
      </c>
      <c r="F463" s="1370" t="s">
        <v>4185</v>
      </c>
      <c r="G463" s="1815"/>
    </row>
    <row r="464" spans="1:24" s="1370" customFormat="1" x14ac:dyDescent="0.2">
      <c r="A464" s="1384">
        <v>43589</v>
      </c>
      <c r="B464" s="1489" t="s">
        <v>3508</v>
      </c>
      <c r="C464" s="1489" t="s">
        <v>1295</v>
      </c>
      <c r="D464" s="1733">
        <v>1.6527777777777777E-2</v>
      </c>
      <c r="E464" s="1370" t="s">
        <v>12615</v>
      </c>
      <c r="F464" s="1370" t="s">
        <v>12618</v>
      </c>
      <c r="G464" s="1815">
        <v>0.62460000000000004</v>
      </c>
    </row>
    <row r="465" spans="1:24" s="1370" customFormat="1" x14ac:dyDescent="0.2">
      <c r="A465" s="1384">
        <v>43582</v>
      </c>
      <c r="B465" s="1489" t="s">
        <v>3508</v>
      </c>
      <c r="C465" s="1489" t="s">
        <v>1295</v>
      </c>
      <c r="D465" s="1733">
        <v>1.744212962962963E-2</v>
      </c>
      <c r="E465" s="1370" t="s">
        <v>12563</v>
      </c>
      <c r="F465" s="1370" t="s">
        <v>12619</v>
      </c>
      <c r="G465" s="1815">
        <v>0.59189999999999998</v>
      </c>
    </row>
    <row r="466" spans="1:24" s="1370" customFormat="1" x14ac:dyDescent="0.2">
      <c r="A466" s="1384">
        <v>43575</v>
      </c>
      <c r="B466" s="1489" t="s">
        <v>3508</v>
      </c>
      <c r="C466" s="1489" t="s">
        <v>1295</v>
      </c>
      <c r="D466" s="1733">
        <v>1.7118055555555556E-2</v>
      </c>
      <c r="E466" s="1370" t="s">
        <v>12451</v>
      </c>
      <c r="F466" s="1370" t="s">
        <v>12491</v>
      </c>
      <c r="G466" s="1815">
        <v>0.60309999999999997</v>
      </c>
    </row>
    <row r="467" spans="1:24" s="1370" customFormat="1" x14ac:dyDescent="0.2">
      <c r="A467" s="1384">
        <v>43568</v>
      </c>
      <c r="B467" s="1489" t="s">
        <v>3508</v>
      </c>
      <c r="C467" s="1489" t="s">
        <v>1295</v>
      </c>
      <c r="D467" s="1733">
        <v>1.6875000000000001E-2</v>
      </c>
      <c r="E467" s="1370" t="s">
        <v>12417</v>
      </c>
      <c r="F467" s="1370" t="s">
        <v>12409</v>
      </c>
      <c r="G467" s="1815">
        <v>0.61180000000000001</v>
      </c>
    </row>
    <row r="468" spans="1:24" s="1370" customFormat="1" x14ac:dyDescent="0.2">
      <c r="A468" s="1384">
        <v>43561</v>
      </c>
      <c r="B468" s="1489" t="s">
        <v>3508</v>
      </c>
      <c r="C468" s="1489" t="s">
        <v>1295</v>
      </c>
      <c r="D468" s="1733">
        <v>1.7175925925925924E-2</v>
      </c>
      <c r="E468" s="1370" t="s">
        <v>12333</v>
      </c>
      <c r="F468" s="1370" t="s">
        <v>12320</v>
      </c>
      <c r="G468" s="1815">
        <v>0.60109999999999997</v>
      </c>
    </row>
    <row r="469" spans="1:24" s="1370" customFormat="1" x14ac:dyDescent="0.2">
      <c r="A469" s="1384">
        <v>43554</v>
      </c>
      <c r="B469" s="1489" t="s">
        <v>3508</v>
      </c>
      <c r="C469" s="1489" t="s">
        <v>1295</v>
      </c>
      <c r="D469" s="1733">
        <v>1.7303240740740741E-2</v>
      </c>
      <c r="E469" s="1370" t="s">
        <v>12228</v>
      </c>
      <c r="F469" s="1370" t="s">
        <v>12272</v>
      </c>
      <c r="G469" s="1815">
        <v>0.59670000000000001</v>
      </c>
    </row>
    <row r="470" spans="1:24" s="1370" customFormat="1" x14ac:dyDescent="0.2">
      <c r="A470" s="1384">
        <v>43547</v>
      </c>
      <c r="B470" s="1489" t="s">
        <v>3508</v>
      </c>
      <c r="C470" s="1489" t="s">
        <v>1295</v>
      </c>
      <c r="D470" s="1733">
        <v>1.7210648148148149E-2</v>
      </c>
      <c r="E470" s="1370" t="s">
        <v>12187</v>
      </c>
      <c r="F470" s="1370" t="s">
        <v>12207</v>
      </c>
      <c r="G470" s="1815">
        <v>0.59989999999999999</v>
      </c>
    </row>
    <row r="471" spans="1:24" s="1370" customFormat="1" x14ac:dyDescent="0.2">
      <c r="A471" s="1384">
        <v>43540</v>
      </c>
      <c r="B471" s="1489" t="s">
        <v>3508</v>
      </c>
      <c r="C471" s="1489" t="s">
        <v>1295</v>
      </c>
      <c r="D471" s="1733">
        <v>1.741898148148148E-2</v>
      </c>
      <c r="E471" s="1370" t="s">
        <v>12099</v>
      </c>
      <c r="F471" s="1370" t="s">
        <v>12095</v>
      </c>
      <c r="G471" s="1815">
        <v>0.5927</v>
      </c>
    </row>
    <row r="472" spans="1:24" s="1370" customFormat="1" x14ac:dyDescent="0.2">
      <c r="A472" s="1384">
        <v>43533</v>
      </c>
      <c r="B472" s="1489" t="s">
        <v>3508</v>
      </c>
      <c r="C472" s="1489" t="s">
        <v>1295</v>
      </c>
      <c r="D472" s="1733" t="s">
        <v>787</v>
      </c>
      <c r="E472" s="1370" t="s">
        <v>12019</v>
      </c>
      <c r="F472" s="1370" t="s">
        <v>4185</v>
      </c>
      <c r="G472" s="1815"/>
    </row>
    <row r="473" spans="1:24" s="1370" customFormat="1" x14ac:dyDescent="0.2">
      <c r="A473" s="1384">
        <v>43526</v>
      </c>
      <c r="B473" s="1489" t="s">
        <v>3508</v>
      </c>
      <c r="C473" s="1489" t="s">
        <v>1295</v>
      </c>
      <c r="D473" s="1733">
        <v>1.7743055555555557E-2</v>
      </c>
      <c r="E473" s="1370" t="s">
        <v>11944</v>
      </c>
      <c r="F473" s="1370" t="s">
        <v>11968</v>
      </c>
      <c r="G473" s="1815">
        <v>0.58189999999999997</v>
      </c>
    </row>
    <row r="474" spans="1:24" s="1370" customFormat="1" x14ac:dyDescent="0.2">
      <c r="A474" s="1384">
        <v>43512</v>
      </c>
      <c r="B474" s="1489" t="s">
        <v>3508</v>
      </c>
      <c r="C474" s="1489" t="s">
        <v>1295</v>
      </c>
      <c r="D474" s="1733">
        <v>2.0208333333333335E-2</v>
      </c>
      <c r="E474" s="1489" t="s">
        <v>5883</v>
      </c>
      <c r="F474" s="1489" t="s">
        <v>11849</v>
      </c>
      <c r="G474" s="1815">
        <v>0.51090000000000002</v>
      </c>
    </row>
    <row r="475" spans="1:24" s="1370" customFormat="1" x14ac:dyDescent="0.2">
      <c r="A475" s="1384">
        <v>43505</v>
      </c>
      <c r="B475" s="1489" t="s">
        <v>3508</v>
      </c>
      <c r="C475" s="1489" t="s">
        <v>1295</v>
      </c>
      <c r="D475" s="1733">
        <v>1.849537037037037E-2</v>
      </c>
      <c r="E475" s="1370" t="s">
        <v>5883</v>
      </c>
      <c r="F475" s="1370" t="s">
        <v>11775</v>
      </c>
      <c r="G475" s="1815">
        <v>0.55820000000000003</v>
      </c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</row>
    <row r="476" spans="1:24" s="1370" customFormat="1" x14ac:dyDescent="0.2">
      <c r="A476" s="1384">
        <v>43498</v>
      </c>
      <c r="B476" s="1489" t="s">
        <v>3508</v>
      </c>
      <c r="C476" s="1489" t="s">
        <v>1295</v>
      </c>
      <c r="D476" s="1733">
        <v>1.9456018518518518E-2</v>
      </c>
      <c r="E476" s="1489" t="s">
        <v>1982</v>
      </c>
      <c r="F476" s="1489" t="s">
        <v>11731</v>
      </c>
      <c r="G476" s="1815">
        <v>0.53059999999999996</v>
      </c>
      <c r="I476" s="1489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</row>
    <row r="477" spans="1:24" s="1370" customFormat="1" x14ac:dyDescent="0.2">
      <c r="A477" s="1384">
        <v>43491</v>
      </c>
      <c r="B477" s="1489" t="s">
        <v>3508</v>
      </c>
      <c r="C477" s="1489" t="s">
        <v>1295</v>
      </c>
      <c r="D477" s="1834">
        <v>1.7361111111111112E-2</v>
      </c>
      <c r="E477" s="1370" t="s">
        <v>861</v>
      </c>
      <c r="F477" s="1415" t="s">
        <v>11681</v>
      </c>
      <c r="G477" s="1816">
        <v>0.59470000000000001</v>
      </c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</row>
    <row r="478" spans="1:24" s="1370" customFormat="1" x14ac:dyDescent="0.2">
      <c r="A478" s="1384">
        <v>43484</v>
      </c>
      <c r="B478" s="1489" t="s">
        <v>3508</v>
      </c>
      <c r="C478" s="1489" t="s">
        <v>1295</v>
      </c>
      <c r="D478" s="1834">
        <v>1.6631944444444446E-2</v>
      </c>
      <c r="E478" s="1370" t="s">
        <v>5883</v>
      </c>
      <c r="F478" s="1370" t="s">
        <v>11571</v>
      </c>
      <c r="G478" s="1816">
        <v>0.62070000000000003</v>
      </c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</row>
    <row r="479" spans="1:24" s="1370" customFormat="1" x14ac:dyDescent="0.2">
      <c r="A479" s="1384">
        <v>43477</v>
      </c>
      <c r="B479" s="1489" t="s">
        <v>3508</v>
      </c>
      <c r="C479" s="1489" t="s">
        <v>1295</v>
      </c>
      <c r="D479" s="1834">
        <v>1.6550925925925924E-2</v>
      </c>
      <c r="E479" s="1370" t="s">
        <v>5883</v>
      </c>
      <c r="F479" s="1370" t="s">
        <v>11576</v>
      </c>
      <c r="G479" s="1816">
        <v>0.62380000000000002</v>
      </c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</row>
    <row r="480" spans="1:24" s="1370" customFormat="1" x14ac:dyDescent="0.2">
      <c r="A480" s="1384">
        <v>43470</v>
      </c>
      <c r="B480" s="1489" t="s">
        <v>3508</v>
      </c>
      <c r="C480" s="1489" t="s">
        <v>1295</v>
      </c>
      <c r="D480" s="1834">
        <v>1.6284722222222221E-2</v>
      </c>
      <c r="E480" s="1370" t="s">
        <v>5883</v>
      </c>
      <c r="F480" s="1370" t="s">
        <v>8100</v>
      </c>
      <c r="G480" s="1816">
        <v>0.63400000000000001</v>
      </c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</row>
    <row r="481" spans="1:24" s="1370" customFormat="1" x14ac:dyDescent="0.2">
      <c r="A481" s="1384">
        <v>43466</v>
      </c>
      <c r="B481" s="1489" t="s">
        <v>3508</v>
      </c>
      <c r="C481" s="1489" t="s">
        <v>1295</v>
      </c>
      <c r="D481" s="1834">
        <v>1.6284722222222221E-2</v>
      </c>
      <c r="E481" s="1370" t="s">
        <v>11483</v>
      </c>
      <c r="F481" s="1370" t="s">
        <v>11509</v>
      </c>
      <c r="G481" s="1816">
        <v>0.63400000000000001</v>
      </c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</row>
    <row r="482" spans="1:24" s="1370" customFormat="1" x14ac:dyDescent="0.2">
      <c r="A482" s="1384">
        <v>43466</v>
      </c>
      <c r="B482" s="1489" t="s">
        <v>3508</v>
      </c>
      <c r="C482" s="1489" t="s">
        <v>1295</v>
      </c>
      <c r="D482" s="1834">
        <v>1.638888888888889E-2</v>
      </c>
      <c r="E482" s="1370" t="s">
        <v>11484</v>
      </c>
      <c r="F482" s="1370" t="s">
        <v>11512</v>
      </c>
      <c r="G482" s="1816">
        <v>0.62990000000000002</v>
      </c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</row>
    <row r="483" spans="1:24" s="1370" customFormat="1" x14ac:dyDescent="0.2">
      <c r="A483" s="1729">
        <v>43827</v>
      </c>
      <c r="B483" s="1384" t="s">
        <v>866</v>
      </c>
      <c r="C483" s="1384" t="s">
        <v>867</v>
      </c>
      <c r="D483" s="1621">
        <v>2.056712962962963E-2</v>
      </c>
      <c r="E483" s="1489" t="s">
        <v>16419</v>
      </c>
      <c r="F483" s="1489" t="s">
        <v>16455</v>
      </c>
      <c r="G483" s="1817">
        <v>0.66400000000000003</v>
      </c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</row>
    <row r="484" spans="1:24" s="1370" customFormat="1" x14ac:dyDescent="0.2">
      <c r="A484" s="34">
        <v>43824</v>
      </c>
      <c r="B484" s="1384" t="s">
        <v>866</v>
      </c>
      <c r="C484" s="1384" t="s">
        <v>867</v>
      </c>
      <c r="D484" s="1621">
        <v>2.074074074074074E-2</v>
      </c>
      <c r="E484" s="1489" t="s">
        <v>16370</v>
      </c>
      <c r="F484" s="1489" t="s">
        <v>16405</v>
      </c>
      <c r="G484" s="1817">
        <v>0.65849999999999997</v>
      </c>
      <c r="H484" s="140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</row>
    <row r="485" spans="1:24" s="1370" customFormat="1" x14ac:dyDescent="0.2">
      <c r="A485" s="1765">
        <v>43813</v>
      </c>
      <c r="B485" s="1384" t="s">
        <v>866</v>
      </c>
      <c r="C485" s="1384" t="s">
        <v>867</v>
      </c>
      <c r="D485" s="1621">
        <v>2.2893518518518518E-2</v>
      </c>
      <c r="E485" s="1489" t="s">
        <v>16268</v>
      </c>
      <c r="F485" s="1489" t="s">
        <v>16302</v>
      </c>
      <c r="G485" s="1817">
        <v>0.59660000000000002</v>
      </c>
      <c r="H485" s="1404"/>
      <c r="I485" s="140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</row>
    <row r="486" spans="1:24" s="1370" customFormat="1" x14ac:dyDescent="0.2">
      <c r="A486" s="34">
        <v>43806</v>
      </c>
      <c r="B486" s="1384" t="s">
        <v>866</v>
      </c>
      <c r="C486" s="1384" t="s">
        <v>867</v>
      </c>
      <c r="D486" s="1621">
        <v>2.2013888888888888E-2</v>
      </c>
      <c r="E486" s="1489" t="s">
        <v>16214</v>
      </c>
      <c r="F486" s="1404"/>
      <c r="G486" s="1817">
        <v>0.62039999999999995</v>
      </c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</row>
    <row r="487" spans="1:24" s="1370" customFormat="1" x14ac:dyDescent="0.2">
      <c r="A487" s="1729">
        <v>43799</v>
      </c>
      <c r="B487" s="1384" t="s">
        <v>866</v>
      </c>
      <c r="C487" s="1384" t="s">
        <v>867</v>
      </c>
      <c r="D487" s="1674">
        <v>2.0543981481481479E-2</v>
      </c>
      <c r="E487" t="s">
        <v>16149</v>
      </c>
      <c r="F487" s="80" t="s">
        <v>16198</v>
      </c>
      <c r="G487" s="314">
        <v>0.66479999999999995</v>
      </c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</row>
    <row r="488" spans="1:24" s="1370" customFormat="1" x14ac:dyDescent="0.2">
      <c r="A488" s="1751">
        <v>43792</v>
      </c>
      <c r="B488" s="1384" t="s">
        <v>866</v>
      </c>
      <c r="C488" s="1384" t="s">
        <v>867</v>
      </c>
      <c r="D488" s="1786">
        <v>2.224537037037037E-2</v>
      </c>
      <c r="E488" s="1489" t="s">
        <v>16086</v>
      </c>
      <c r="F488" s="1489" t="s">
        <v>16127</v>
      </c>
      <c r="G488" s="1817">
        <v>0.6139</v>
      </c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</row>
    <row r="489" spans="1:24" s="1370" customFormat="1" x14ac:dyDescent="0.2">
      <c r="A489" s="1673">
        <v>43785</v>
      </c>
      <c r="B489" s="1384" t="s">
        <v>866</v>
      </c>
      <c r="C489" s="1384" t="s">
        <v>867</v>
      </c>
      <c r="D489" s="1674">
        <v>2.1736111111111112E-2</v>
      </c>
      <c r="E489" s="80" t="s">
        <v>16013</v>
      </c>
      <c r="F489" s="80" t="s">
        <v>16033</v>
      </c>
      <c r="G489" s="314">
        <v>0.62829999999999997</v>
      </c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</row>
    <row r="490" spans="1:24" s="1370" customFormat="1" x14ac:dyDescent="0.2">
      <c r="A490" s="1384">
        <v>43778</v>
      </c>
      <c r="B490" s="1384" t="s">
        <v>866</v>
      </c>
      <c r="C490" s="1384" t="s">
        <v>867</v>
      </c>
      <c r="D490" s="1725">
        <v>2.0451388888888887E-2</v>
      </c>
      <c r="E490" s="1726" t="s">
        <v>15961</v>
      </c>
      <c r="F490" s="1723"/>
      <c r="G490" s="1820">
        <v>0.66779999999999995</v>
      </c>
    </row>
    <row r="491" spans="1:24" s="1370" customFormat="1" x14ac:dyDescent="0.2">
      <c r="A491" s="1384">
        <v>43764</v>
      </c>
      <c r="B491" s="1384" t="s">
        <v>866</v>
      </c>
      <c r="C491" s="1384" t="s">
        <v>867</v>
      </c>
      <c r="D491" s="1727">
        <v>2.0914351851851851E-2</v>
      </c>
      <c r="E491" s="1728" t="s">
        <v>13177</v>
      </c>
      <c r="F491" s="1728"/>
      <c r="G491" s="1821">
        <v>0.65300000000000002</v>
      </c>
    </row>
    <row r="492" spans="1:24" s="1370" customFormat="1" x14ac:dyDescent="0.2">
      <c r="A492" s="523">
        <v>43750</v>
      </c>
      <c r="B492" s="1384" t="s">
        <v>866</v>
      </c>
      <c r="C492" s="1384" t="s">
        <v>867</v>
      </c>
      <c r="D492" s="1686">
        <v>2.0590277777777777E-2</v>
      </c>
      <c r="E492" s="1489" t="s">
        <v>15791</v>
      </c>
      <c r="F492" s="1489" t="s">
        <v>15822</v>
      </c>
      <c r="G492" s="1815">
        <v>0.6633</v>
      </c>
      <c r="H492" s="80"/>
      <c r="I492" s="80"/>
      <c r="J492" s="80"/>
      <c r="K492" s="80"/>
    </row>
    <row r="493" spans="1:24" s="1370" customFormat="1" x14ac:dyDescent="0.2">
      <c r="A493" s="1729">
        <v>43743</v>
      </c>
      <c r="B493" s="1384" t="s">
        <v>866</v>
      </c>
      <c r="C493" s="1384" t="s">
        <v>867</v>
      </c>
      <c r="D493" s="1731">
        <v>1.951388888888889E-2</v>
      </c>
      <c r="E493" s="80" t="s">
        <v>15711</v>
      </c>
      <c r="F493" s="80" t="s">
        <v>15766</v>
      </c>
      <c r="G493" s="317">
        <v>0.69989999999999997</v>
      </c>
      <c r="H493" s="80"/>
      <c r="I493" s="80"/>
      <c r="J493" s="80"/>
      <c r="K493" s="80"/>
    </row>
    <row r="494" spans="1:24" s="1370" customFormat="1" x14ac:dyDescent="0.2">
      <c r="A494" s="1729">
        <v>43736</v>
      </c>
      <c r="B494" s="1384" t="s">
        <v>866</v>
      </c>
      <c r="C494" s="1384" t="s">
        <v>867</v>
      </c>
      <c r="D494" s="1686">
        <v>2.0474537037037038E-2</v>
      </c>
      <c r="E494" s="1489" t="s">
        <v>15642</v>
      </c>
      <c r="F494" s="1489" t="s">
        <v>15671</v>
      </c>
      <c r="G494" s="1815">
        <v>0.66700000000000004</v>
      </c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</row>
    <row r="495" spans="1:24" s="1370" customFormat="1" x14ac:dyDescent="0.2">
      <c r="A495" s="1729">
        <v>43729</v>
      </c>
      <c r="B495" s="1384" t="s">
        <v>866</v>
      </c>
      <c r="C495" s="1384" t="s">
        <v>867</v>
      </c>
      <c r="D495" s="1686">
        <v>2.0127314814814817E-2</v>
      </c>
      <c r="E495" s="1489" t="s">
        <v>15577</v>
      </c>
      <c r="F495" s="1489" t="s">
        <v>15611</v>
      </c>
      <c r="G495" s="1815">
        <v>0.67859999999999998</v>
      </c>
      <c r="H495" s="80"/>
      <c r="I495" s="80"/>
      <c r="J495" s="80"/>
      <c r="K495" s="80"/>
    </row>
    <row r="496" spans="1:24" s="1370" customFormat="1" x14ac:dyDescent="0.2">
      <c r="A496" s="523">
        <v>43722</v>
      </c>
      <c r="B496" s="1384" t="s">
        <v>866</v>
      </c>
      <c r="C496" s="1384" t="s">
        <v>867</v>
      </c>
      <c r="D496" s="1686">
        <v>1.9641203703703706E-2</v>
      </c>
      <c r="E496" s="1489" t="s">
        <v>15471</v>
      </c>
      <c r="F496" s="1489" t="s">
        <v>15519</v>
      </c>
      <c r="G496" s="1815">
        <v>0.69530000000000003</v>
      </c>
      <c r="H496" s="80"/>
      <c r="I496" s="80"/>
      <c r="J496" s="80"/>
      <c r="K496" s="80"/>
    </row>
    <row r="497" spans="1:24" s="1370" customFormat="1" x14ac:dyDescent="0.2">
      <c r="A497" s="523">
        <v>43715</v>
      </c>
      <c r="B497" s="1384" t="s">
        <v>866</v>
      </c>
      <c r="C497" s="1384" t="s">
        <v>867</v>
      </c>
      <c r="D497" s="1732">
        <v>1.9791666666666666E-2</v>
      </c>
      <c r="E497" s="1514" t="s">
        <v>15421</v>
      </c>
      <c r="F497" s="1489"/>
      <c r="G497" s="1822">
        <v>0.69010000000000005</v>
      </c>
      <c r="H497" s="80"/>
      <c r="I497" s="80"/>
      <c r="J497" s="80"/>
      <c r="K497" s="80"/>
    </row>
    <row r="498" spans="1:24" s="1370" customFormat="1" x14ac:dyDescent="0.2">
      <c r="A498" s="1526">
        <v>43708</v>
      </c>
      <c r="B498" s="1384" t="s">
        <v>866</v>
      </c>
      <c r="C498" s="1384" t="s">
        <v>867</v>
      </c>
      <c r="D498" s="1686">
        <v>2.0555555555555556E-2</v>
      </c>
      <c r="E498" s="1489" t="s">
        <v>15369</v>
      </c>
      <c r="F498" s="1489"/>
      <c r="G498" s="1815">
        <v>0.66439999999999999</v>
      </c>
      <c r="H498" s="1489"/>
      <c r="I498" s="1489"/>
      <c r="J498" s="1489"/>
      <c r="K498" s="80"/>
    </row>
    <row r="499" spans="1:24" s="1370" customFormat="1" ht="12.75" customHeight="1" x14ac:dyDescent="0.2">
      <c r="A499" s="1526">
        <v>43701</v>
      </c>
      <c r="B499" s="1384" t="s">
        <v>866</v>
      </c>
      <c r="C499" s="1384" t="s">
        <v>867</v>
      </c>
      <c r="D499" s="1686">
        <v>2.0081018518518519E-2</v>
      </c>
      <c r="E499" s="1489" t="s">
        <v>15284</v>
      </c>
      <c r="F499" s="1489"/>
      <c r="G499" s="1815">
        <v>0.68010000000000004</v>
      </c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</row>
    <row r="500" spans="1:24" s="1370" customFormat="1" x14ac:dyDescent="0.2">
      <c r="A500" s="523">
        <v>43694</v>
      </c>
      <c r="B500" s="1384" t="s">
        <v>866</v>
      </c>
      <c r="C500" s="1384" t="s">
        <v>867</v>
      </c>
      <c r="D500" s="1733">
        <v>2.0081018518518519E-2</v>
      </c>
      <c r="E500" s="1489" t="s">
        <v>15165</v>
      </c>
      <c r="F500" s="1489"/>
      <c r="G500" s="1815">
        <v>0.68010000000000004</v>
      </c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</row>
    <row r="501" spans="1:24" s="1370" customFormat="1" x14ac:dyDescent="0.2">
      <c r="A501" s="523">
        <v>43687</v>
      </c>
      <c r="B501" s="1384" t="s">
        <v>866</v>
      </c>
      <c r="C501" s="1384" t="s">
        <v>867</v>
      </c>
      <c r="D501" s="1686">
        <v>2.072916666666667E-2</v>
      </c>
      <c r="E501" s="1489" t="s">
        <v>13438</v>
      </c>
      <c r="F501" s="1489"/>
      <c r="G501" s="1815">
        <v>0.65880000000000005</v>
      </c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</row>
    <row r="502" spans="1:24" s="1370" customFormat="1" x14ac:dyDescent="0.2">
      <c r="A502" s="1384">
        <v>43673</v>
      </c>
      <c r="B502" s="1384" t="s">
        <v>866</v>
      </c>
      <c r="C502" s="1384" t="s">
        <v>867</v>
      </c>
      <c r="D502" s="1686">
        <v>2.0416666666666663E-2</v>
      </c>
      <c r="E502" s="1489" t="s">
        <v>13289</v>
      </c>
      <c r="F502" s="1489" t="s">
        <v>13331</v>
      </c>
      <c r="G502" s="1815">
        <v>0.66890000000000005</v>
      </c>
      <c r="H502" s="80"/>
      <c r="I502" s="1514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</row>
    <row r="503" spans="1:24" s="1370" customFormat="1" x14ac:dyDescent="0.2">
      <c r="A503" s="523">
        <v>43666</v>
      </c>
      <c r="B503" s="1384" t="s">
        <v>866</v>
      </c>
      <c r="C503" s="1384" t="s">
        <v>867</v>
      </c>
      <c r="D503" s="1686">
        <v>1.9988425925925927E-2</v>
      </c>
      <c r="E503" s="1489" t="s">
        <v>13202</v>
      </c>
      <c r="F503" s="1489"/>
      <c r="G503" s="1815">
        <v>0.68330000000000002</v>
      </c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</row>
    <row r="504" spans="1:24" s="1370" customFormat="1" x14ac:dyDescent="0.2">
      <c r="A504" s="523">
        <v>43659</v>
      </c>
      <c r="B504" s="1384" t="s">
        <v>866</v>
      </c>
      <c r="C504" s="1384" t="s">
        <v>867</v>
      </c>
      <c r="D504" s="1686">
        <v>2.0266203703703703E-2</v>
      </c>
      <c r="E504" s="1489" t="s">
        <v>13150</v>
      </c>
      <c r="F504" s="1489"/>
      <c r="G504" s="1815">
        <v>0.67390000000000005</v>
      </c>
      <c r="H504" s="80"/>
      <c r="I504" s="1489"/>
      <c r="J504" s="80"/>
      <c r="K504" s="80"/>
    </row>
    <row r="505" spans="1:24" s="1370" customFormat="1" x14ac:dyDescent="0.2">
      <c r="A505" s="523">
        <v>43652</v>
      </c>
      <c r="B505" s="1384" t="s">
        <v>866</v>
      </c>
      <c r="C505" s="1384" t="s">
        <v>867</v>
      </c>
      <c r="D505" s="1686">
        <v>2.0104166666666666E-2</v>
      </c>
      <c r="E505" s="1489" t="s">
        <v>13076</v>
      </c>
      <c r="F505" s="1489" t="s">
        <v>13109</v>
      </c>
      <c r="G505" s="1815">
        <v>0.67930000000000001</v>
      </c>
      <c r="H505" s="1489"/>
      <c r="I505" s="80"/>
      <c r="J505" s="80"/>
      <c r="K505" s="80"/>
    </row>
    <row r="506" spans="1:24" s="1370" customFormat="1" x14ac:dyDescent="0.2">
      <c r="A506" s="523">
        <v>43645</v>
      </c>
      <c r="B506" s="1384" t="s">
        <v>866</v>
      </c>
      <c r="C506" s="1384" t="s">
        <v>867</v>
      </c>
      <c r="D506" s="1686">
        <v>2.1030092592592593E-2</v>
      </c>
      <c r="E506" s="1514" t="s">
        <v>13026</v>
      </c>
      <c r="F506" s="1489" t="s">
        <v>13051</v>
      </c>
      <c r="G506" s="1815">
        <v>0.64939999999999998</v>
      </c>
      <c r="H506" s="1514"/>
      <c r="I506" s="80"/>
      <c r="J506" s="80"/>
      <c r="K506" s="80"/>
    </row>
    <row r="507" spans="1:24" s="1370" customFormat="1" x14ac:dyDescent="0.2">
      <c r="A507" s="523">
        <v>43638</v>
      </c>
      <c r="B507" s="1384" t="s">
        <v>866</v>
      </c>
      <c r="C507" s="1384" t="s">
        <v>867</v>
      </c>
      <c r="D507" s="1835">
        <v>2.0034722222222221E-2</v>
      </c>
      <c r="E507" s="1569" t="s">
        <v>12983</v>
      </c>
      <c r="F507" s="1569"/>
      <c r="G507" s="1818">
        <v>0.68169999999999997</v>
      </c>
      <c r="H507" s="80"/>
      <c r="I507" s="80"/>
      <c r="J507" s="80"/>
      <c r="K507" s="80"/>
    </row>
    <row r="508" spans="1:24" s="1370" customFormat="1" x14ac:dyDescent="0.2">
      <c r="A508" s="523">
        <v>43631</v>
      </c>
      <c r="B508" s="1384" t="s">
        <v>866</v>
      </c>
      <c r="C508" s="1384" t="s">
        <v>867</v>
      </c>
      <c r="D508" s="1835">
        <v>2.0046296296296295E-2</v>
      </c>
      <c r="E508" s="1569" t="s">
        <v>12925</v>
      </c>
      <c r="F508" s="1624"/>
      <c r="G508" s="1818">
        <v>0.68130000000000002</v>
      </c>
      <c r="H508" s="80"/>
      <c r="I508" s="80"/>
      <c r="J508" s="80"/>
      <c r="K508" s="80"/>
    </row>
    <row r="509" spans="1:24" s="1370" customFormat="1" x14ac:dyDescent="0.2">
      <c r="A509" s="1384">
        <v>43617</v>
      </c>
      <c r="B509" s="1384" t="s">
        <v>866</v>
      </c>
      <c r="C509" s="1384" t="s">
        <v>867</v>
      </c>
      <c r="D509" s="1836">
        <v>1.9351851851851853E-2</v>
      </c>
      <c r="E509" s="1568" t="s">
        <v>12815</v>
      </c>
      <c r="F509" s="1568"/>
      <c r="G509" s="1819">
        <v>0.70569999999999999</v>
      </c>
    </row>
    <row r="510" spans="1:24" s="1370" customFormat="1" x14ac:dyDescent="0.2">
      <c r="A510" s="1384">
        <v>43603</v>
      </c>
      <c r="B510" s="1384" t="s">
        <v>866</v>
      </c>
      <c r="C510" s="1384" t="s">
        <v>867</v>
      </c>
      <c r="D510" s="1733">
        <v>0.02</v>
      </c>
      <c r="E510" s="1489" t="s">
        <v>12670</v>
      </c>
      <c r="F510" s="1489"/>
      <c r="G510" s="1815">
        <v>0.68289999999999995</v>
      </c>
    </row>
    <row r="511" spans="1:24" s="1370" customFormat="1" x14ac:dyDescent="0.2">
      <c r="A511" s="1384">
        <v>43596</v>
      </c>
      <c r="B511" s="1384" t="s">
        <v>866</v>
      </c>
      <c r="C511" s="1384" t="s">
        <v>867</v>
      </c>
      <c r="D511" s="1733">
        <v>1.982638888888889E-2</v>
      </c>
      <c r="E511" s="1489" t="s">
        <v>12585</v>
      </c>
      <c r="F511" s="1489" t="s">
        <v>12588</v>
      </c>
      <c r="G511" s="1815">
        <v>0.68879999999999997</v>
      </c>
    </row>
    <row r="512" spans="1:24" s="1370" customFormat="1" x14ac:dyDescent="0.2">
      <c r="A512" s="1384">
        <v>43589</v>
      </c>
      <c r="B512" s="1384" t="s">
        <v>866</v>
      </c>
      <c r="C512" s="1384" t="s">
        <v>867</v>
      </c>
      <c r="D512" s="1733">
        <v>1.9884259259259258E-2</v>
      </c>
      <c r="E512" s="1489" t="s">
        <v>12586</v>
      </c>
      <c r="F512" s="1489" t="s">
        <v>12589</v>
      </c>
      <c r="G512" s="1815">
        <v>0.68679999999999997</v>
      </c>
    </row>
    <row r="513" spans="1:24" s="1370" customFormat="1" x14ac:dyDescent="0.2">
      <c r="A513" s="1384">
        <v>43582</v>
      </c>
      <c r="B513" s="1384" t="s">
        <v>866</v>
      </c>
      <c r="C513" s="1384" t="s">
        <v>867</v>
      </c>
      <c r="D513" s="1733">
        <v>2.0254629629629629E-2</v>
      </c>
      <c r="E513" s="1489" t="s">
        <v>12587</v>
      </c>
      <c r="F513" s="1489" t="s">
        <v>12590</v>
      </c>
      <c r="G513" s="1815">
        <v>0.67430000000000001</v>
      </c>
      <c r="I513" s="1489"/>
    </row>
    <row r="514" spans="1:24" s="1370" customFormat="1" x14ac:dyDescent="0.2">
      <c r="A514" s="1384">
        <v>43575</v>
      </c>
      <c r="B514" s="1384" t="s">
        <v>866</v>
      </c>
      <c r="C514" s="1384" t="s">
        <v>867</v>
      </c>
      <c r="D514" s="1733">
        <v>2.0173611111111111E-2</v>
      </c>
      <c r="E514" s="1489" t="s">
        <v>12488</v>
      </c>
      <c r="F514" s="1489" t="s">
        <v>12486</v>
      </c>
      <c r="G514" s="1815">
        <v>0.67700000000000005</v>
      </c>
    </row>
    <row r="515" spans="1:24" s="1370" customFormat="1" x14ac:dyDescent="0.2">
      <c r="A515" s="1384">
        <v>43568</v>
      </c>
      <c r="B515" s="1384" t="s">
        <v>866</v>
      </c>
      <c r="C515" s="1384" t="s">
        <v>867</v>
      </c>
      <c r="D515" s="1733">
        <v>2.0023148148148148E-2</v>
      </c>
      <c r="E515" s="1489" t="s">
        <v>12361</v>
      </c>
      <c r="F515" s="1489" t="s">
        <v>12431</v>
      </c>
      <c r="G515" s="1815">
        <v>0.68210000000000004</v>
      </c>
    </row>
    <row r="516" spans="1:24" s="1370" customFormat="1" x14ac:dyDescent="0.2">
      <c r="A516" s="1384">
        <v>43561</v>
      </c>
      <c r="B516" s="1384" t="s">
        <v>866</v>
      </c>
      <c r="C516" s="1384" t="s">
        <v>867</v>
      </c>
      <c r="D516" s="1834">
        <v>2.0219907407407409E-2</v>
      </c>
      <c r="E516" s="1370" t="s">
        <v>12331</v>
      </c>
      <c r="F516" s="1370" t="s">
        <v>12309</v>
      </c>
      <c r="G516" s="1816">
        <v>0.6754</v>
      </c>
    </row>
    <row r="517" spans="1:24" s="1370" customFormat="1" x14ac:dyDescent="0.2">
      <c r="A517" s="1384">
        <v>43554</v>
      </c>
      <c r="B517" s="1384" t="s">
        <v>866</v>
      </c>
      <c r="C517" s="1384" t="s">
        <v>867</v>
      </c>
      <c r="D517" s="1733">
        <v>2.0486111111111111E-2</v>
      </c>
      <c r="E517" s="1489" t="s">
        <v>12227</v>
      </c>
      <c r="F517" s="1489" t="s">
        <v>12275</v>
      </c>
      <c r="G517" s="1815">
        <v>0.66930000000000001</v>
      </c>
      <c r="I517" s="1489"/>
    </row>
    <row r="518" spans="1:24" s="1370" customFormat="1" x14ac:dyDescent="0.2">
      <c r="A518" s="1384">
        <v>43547</v>
      </c>
      <c r="B518" s="1384" t="s">
        <v>866</v>
      </c>
      <c r="C518" s="1384" t="s">
        <v>867</v>
      </c>
      <c r="D518" s="1733">
        <v>2.1157407407407406E-2</v>
      </c>
      <c r="E518" s="1370" t="s">
        <v>12181</v>
      </c>
      <c r="F518" s="1370" t="s">
        <v>12182</v>
      </c>
      <c r="G518" s="1815">
        <v>0.64549999999999996</v>
      </c>
    </row>
    <row r="519" spans="1:24" s="1370" customFormat="1" x14ac:dyDescent="0.2">
      <c r="A519" s="1384">
        <v>43540</v>
      </c>
      <c r="B519" s="1384" t="s">
        <v>866</v>
      </c>
      <c r="C519" s="1384" t="s">
        <v>867</v>
      </c>
      <c r="D519" s="1733">
        <v>2.1608796296296296E-2</v>
      </c>
      <c r="E519" s="1370" t="s">
        <v>12114</v>
      </c>
      <c r="F519" s="1370" t="s">
        <v>12115</v>
      </c>
      <c r="G519" s="1815">
        <v>0.63200000000000001</v>
      </c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</row>
    <row r="520" spans="1:24" s="1370" customFormat="1" x14ac:dyDescent="0.2">
      <c r="A520" s="1384">
        <v>43533</v>
      </c>
      <c r="B520" s="1384" t="s">
        <v>866</v>
      </c>
      <c r="C520" s="1384" t="s">
        <v>867</v>
      </c>
      <c r="D520" s="1834">
        <v>2.0636574074074075E-2</v>
      </c>
      <c r="E520" s="1370" t="s">
        <v>12029</v>
      </c>
      <c r="F520" s="1370" t="s">
        <v>12048</v>
      </c>
      <c r="G520" s="1816">
        <v>0.66180000000000005</v>
      </c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</row>
    <row r="521" spans="1:24" s="1370" customFormat="1" x14ac:dyDescent="0.2">
      <c r="A521" s="1384">
        <v>43526</v>
      </c>
      <c r="B521" s="1384" t="s">
        <v>866</v>
      </c>
      <c r="C521" s="1384" t="s">
        <v>867</v>
      </c>
      <c r="D521" s="1733">
        <v>2.0196759259259258E-2</v>
      </c>
      <c r="E521" s="1489" t="s">
        <v>11951</v>
      </c>
      <c r="F521" s="1489" t="s">
        <v>11953</v>
      </c>
      <c r="G521" s="1815">
        <v>0.67620000000000002</v>
      </c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</row>
    <row r="522" spans="1:24" s="1370" customFormat="1" x14ac:dyDescent="0.2">
      <c r="A522" s="1384">
        <v>43519</v>
      </c>
      <c r="B522" s="1384" t="s">
        <v>866</v>
      </c>
      <c r="C522" s="1384" t="s">
        <v>867</v>
      </c>
      <c r="D522" s="1834">
        <v>2.0613425925925927E-2</v>
      </c>
      <c r="E522" s="1370" t="s">
        <v>9307</v>
      </c>
      <c r="F522" s="1370" t="s">
        <v>11883</v>
      </c>
      <c r="G522" s="1816">
        <v>0.66249999999999998</v>
      </c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</row>
    <row r="523" spans="1:24" s="1370" customFormat="1" x14ac:dyDescent="0.2">
      <c r="A523" s="1384">
        <v>43505</v>
      </c>
      <c r="B523" s="1384" t="s">
        <v>866</v>
      </c>
      <c r="C523" s="1384" t="s">
        <v>867</v>
      </c>
      <c r="D523" s="1733">
        <v>2.1909722222222223E-2</v>
      </c>
      <c r="E523" s="1370" t="s">
        <v>9307</v>
      </c>
      <c r="F523" s="1370" t="s">
        <v>11770</v>
      </c>
      <c r="G523" s="1815">
        <v>0.62329999999999997</v>
      </c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</row>
    <row r="524" spans="1:24" s="1370" customFormat="1" x14ac:dyDescent="0.2">
      <c r="A524" s="1384">
        <v>43498</v>
      </c>
      <c r="B524" s="1384" t="s">
        <v>866</v>
      </c>
      <c r="C524" s="1384" t="s">
        <v>867</v>
      </c>
      <c r="D524" s="1834">
        <v>2.1458333333333333E-2</v>
      </c>
      <c r="E524" s="1370" t="s">
        <v>9307</v>
      </c>
      <c r="F524" s="1370" t="s">
        <v>11739</v>
      </c>
      <c r="G524" s="1816">
        <v>0.62409999999999999</v>
      </c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</row>
    <row r="525" spans="1:24" s="1370" customFormat="1" ht="12.75" customHeight="1" x14ac:dyDescent="0.2">
      <c r="A525" s="1384">
        <v>43491</v>
      </c>
      <c r="B525" s="1384" t="s">
        <v>866</v>
      </c>
      <c r="C525" s="1384" t="s">
        <v>867</v>
      </c>
      <c r="D525" s="1834">
        <v>2.0856481481481479E-2</v>
      </c>
      <c r="E525" s="1370" t="s">
        <v>9307</v>
      </c>
      <c r="F525" s="1415" t="s">
        <v>11690</v>
      </c>
      <c r="G525" s="1816">
        <v>0.6421</v>
      </c>
    </row>
    <row r="526" spans="1:24" s="1370" customFormat="1" x14ac:dyDescent="0.2">
      <c r="A526" s="1384">
        <v>43470</v>
      </c>
      <c r="B526" s="1384" t="s">
        <v>866</v>
      </c>
      <c r="C526" s="1384" t="s">
        <v>867</v>
      </c>
      <c r="D526" s="1733">
        <v>1.9872685185185184E-2</v>
      </c>
      <c r="E526" s="1489" t="s">
        <v>9307</v>
      </c>
      <c r="F526" s="1489" t="s">
        <v>11754</v>
      </c>
      <c r="G526" s="1815">
        <v>0.67379999999999995</v>
      </c>
      <c r="I526" s="1489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</row>
    <row r="527" spans="1:24" s="1370" customFormat="1" x14ac:dyDescent="0.2">
      <c r="A527" s="1384">
        <v>43466</v>
      </c>
      <c r="B527" s="1384" t="s">
        <v>866</v>
      </c>
      <c r="C527" s="1384" t="s">
        <v>867</v>
      </c>
      <c r="D527" s="1733">
        <v>1.9942129629629629E-2</v>
      </c>
      <c r="E527" s="1489" t="s">
        <v>11468</v>
      </c>
      <c r="F527" s="1489" t="s">
        <v>11474</v>
      </c>
      <c r="G527" s="1815">
        <v>0.67149999999999999</v>
      </c>
      <c r="I527" s="1489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</row>
    <row r="528" spans="1:24" s="1370" customFormat="1" x14ac:dyDescent="0.2">
      <c r="A528" s="1384">
        <v>43561</v>
      </c>
      <c r="B528" s="1389" t="s">
        <v>3837</v>
      </c>
      <c r="C528" s="1389" t="s">
        <v>3838</v>
      </c>
      <c r="D528" s="1834" t="s">
        <v>787</v>
      </c>
      <c r="E528" s="1370" t="s">
        <v>129</v>
      </c>
      <c r="F528" s="1370" t="s">
        <v>5508</v>
      </c>
      <c r="G528" s="1816"/>
      <c r="I528" s="1370" t="s">
        <v>16199</v>
      </c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</row>
    <row r="529" spans="1:24" s="1370" customFormat="1" x14ac:dyDescent="0.2">
      <c r="A529" s="1384">
        <v>43540</v>
      </c>
      <c r="B529" s="1389" t="s">
        <v>3837</v>
      </c>
      <c r="C529" s="1389" t="s">
        <v>3838</v>
      </c>
      <c r="D529" s="1834">
        <v>1.877314814814815E-2</v>
      </c>
      <c r="E529" s="1370" t="s">
        <v>12109</v>
      </c>
      <c r="F529" s="1370" t="s">
        <v>12124</v>
      </c>
      <c r="G529" s="1816">
        <v>0.58320000000000005</v>
      </c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</row>
    <row r="530" spans="1:24" s="1370" customFormat="1" x14ac:dyDescent="0.2">
      <c r="A530" s="1384">
        <v>43533</v>
      </c>
      <c r="B530" s="1389" t="s">
        <v>3837</v>
      </c>
      <c r="C530" s="1389" t="s">
        <v>3838</v>
      </c>
      <c r="D530" s="1834">
        <v>1.9247685185185184E-2</v>
      </c>
      <c r="E530" s="1370" t="s">
        <v>12045</v>
      </c>
      <c r="F530" s="1370" t="s">
        <v>12046</v>
      </c>
      <c r="G530" s="1816">
        <v>0.56889999999999996</v>
      </c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</row>
    <row r="531" spans="1:24" s="1370" customFormat="1" x14ac:dyDescent="0.2">
      <c r="A531" s="1384">
        <v>43519</v>
      </c>
      <c r="B531" s="1389" t="s">
        <v>3837</v>
      </c>
      <c r="C531" s="1389" t="s">
        <v>3838</v>
      </c>
      <c r="D531" s="1834">
        <v>1.9837962962962963E-2</v>
      </c>
      <c r="E531" s="1370" t="s">
        <v>129</v>
      </c>
      <c r="F531" s="1370" t="s">
        <v>11880</v>
      </c>
      <c r="G531" s="1816">
        <v>0.55189999999999995</v>
      </c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</row>
    <row r="532" spans="1:24" s="1370" customFormat="1" x14ac:dyDescent="0.2">
      <c r="A532" s="1384">
        <v>43505</v>
      </c>
      <c r="B532" s="1389" t="s">
        <v>3837</v>
      </c>
      <c r="C532" s="1389" t="s">
        <v>3838</v>
      </c>
      <c r="D532" s="1834">
        <v>1.9224537037037037E-2</v>
      </c>
      <c r="E532" s="1370" t="s">
        <v>129</v>
      </c>
      <c r="F532" s="1370" t="s">
        <v>11777</v>
      </c>
      <c r="G532" s="1816">
        <v>0.56950000000000001</v>
      </c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</row>
    <row r="533" spans="1:24" s="1370" customFormat="1" x14ac:dyDescent="0.2">
      <c r="A533" s="1384">
        <v>43491</v>
      </c>
      <c r="B533" s="1389" t="s">
        <v>3837</v>
      </c>
      <c r="C533" s="1389" t="s">
        <v>3838</v>
      </c>
      <c r="D533" s="1834">
        <v>1.9722222222222221E-2</v>
      </c>
      <c r="E533" s="1370" t="s">
        <v>129</v>
      </c>
      <c r="F533" s="1415" t="s">
        <v>11699</v>
      </c>
      <c r="G533" s="1816">
        <v>0.55520000000000003</v>
      </c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</row>
    <row r="534" spans="1:24" s="1370" customFormat="1" x14ac:dyDescent="0.2">
      <c r="A534" s="1384">
        <v>43470</v>
      </c>
      <c r="B534" s="1389" t="s">
        <v>3837</v>
      </c>
      <c r="C534" s="1389" t="s">
        <v>3838</v>
      </c>
      <c r="D534" s="1834">
        <v>1.9490740740740743E-2</v>
      </c>
      <c r="E534" s="1370" t="s">
        <v>129</v>
      </c>
      <c r="F534" s="1370" t="s">
        <v>11591</v>
      </c>
      <c r="G534" s="1816">
        <v>0.55700000000000005</v>
      </c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</row>
    <row r="535" spans="1:24" s="1370" customFormat="1" x14ac:dyDescent="0.2">
      <c r="A535" s="1384">
        <v>43466</v>
      </c>
      <c r="B535" s="1389" t="s">
        <v>3837</v>
      </c>
      <c r="C535" s="1389" t="s">
        <v>3838</v>
      </c>
      <c r="D535" s="1733">
        <v>1.9849537037037037E-2</v>
      </c>
      <c r="E535" s="1370" t="s">
        <v>11470</v>
      </c>
      <c r="F535" s="1370" t="s">
        <v>11478</v>
      </c>
      <c r="G535" s="1815">
        <v>0.54690000000000005</v>
      </c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</row>
    <row r="536" spans="1:24" s="1370" customFormat="1" x14ac:dyDescent="0.2">
      <c r="A536" s="1729">
        <v>43827</v>
      </c>
      <c r="B536" s="1384" t="s">
        <v>3508</v>
      </c>
      <c r="C536" s="1384" t="s">
        <v>3632</v>
      </c>
      <c r="D536" s="1621">
        <v>1.8749999999999999E-2</v>
      </c>
      <c r="E536" s="1489" t="s">
        <v>16419</v>
      </c>
      <c r="F536" s="1404" t="s">
        <v>16417</v>
      </c>
      <c r="G536" s="1817">
        <v>0.57899999999999996</v>
      </c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</row>
    <row r="537" spans="1:24" s="1370" customFormat="1" x14ac:dyDescent="0.2">
      <c r="A537" s="34">
        <v>43824</v>
      </c>
      <c r="B537" s="1384" t="s">
        <v>3508</v>
      </c>
      <c r="C537" s="1384" t="s">
        <v>3632</v>
      </c>
      <c r="D537" s="1621">
        <v>2.4780092592592593E-2</v>
      </c>
      <c r="E537" s="1489" t="s">
        <v>16370</v>
      </c>
      <c r="F537" s="1489" t="s">
        <v>16398</v>
      </c>
      <c r="G537" s="1817">
        <v>0.43809999999999999</v>
      </c>
      <c r="H537" s="1404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</row>
    <row r="538" spans="1:24" s="1370" customFormat="1" x14ac:dyDescent="0.2">
      <c r="A538" s="1673">
        <v>43820</v>
      </c>
      <c r="B538" s="1384" t="s">
        <v>3508</v>
      </c>
      <c r="C538" s="1384" t="s">
        <v>3632</v>
      </c>
      <c r="D538" s="1777">
        <v>1.6296296296296295E-2</v>
      </c>
      <c r="E538" s="80" t="s">
        <v>16316</v>
      </c>
      <c r="F538"/>
      <c r="G538" s="314">
        <v>0.66620000000000001</v>
      </c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</row>
    <row r="539" spans="1:24" s="1370" customFormat="1" x14ac:dyDescent="0.2">
      <c r="A539" s="1765">
        <v>43813</v>
      </c>
      <c r="B539" s="1384" t="s">
        <v>3508</v>
      </c>
      <c r="C539" s="1384" t="s">
        <v>3632</v>
      </c>
      <c r="D539" s="1621">
        <v>1.6886574074074075E-2</v>
      </c>
      <c r="E539" s="1489" t="s">
        <v>16262</v>
      </c>
      <c r="F539" s="1404"/>
      <c r="G539" s="1817">
        <v>0.64290000000000003</v>
      </c>
      <c r="H539" s="1404"/>
      <c r="I539" s="1404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</row>
    <row r="540" spans="1:24" s="1370" customFormat="1" x14ac:dyDescent="0.2">
      <c r="A540" s="34">
        <v>43806</v>
      </c>
      <c r="B540" s="1384" t="s">
        <v>3508</v>
      </c>
      <c r="C540" s="1384" t="s">
        <v>3632</v>
      </c>
      <c r="D540" s="1621">
        <v>1.638888888888889E-2</v>
      </c>
      <c r="E540" s="1489" t="s">
        <v>16208</v>
      </c>
      <c r="F540" s="1489" t="s">
        <v>16227</v>
      </c>
      <c r="G540" s="1817">
        <v>0.66239999999999999</v>
      </c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</row>
    <row r="541" spans="1:24" s="1370" customFormat="1" ht="12.75" customHeight="1" x14ac:dyDescent="0.2">
      <c r="A541" s="1729">
        <v>43799</v>
      </c>
      <c r="B541" s="1384" t="s">
        <v>3508</v>
      </c>
      <c r="C541" s="1384" t="s">
        <v>3632</v>
      </c>
      <c r="D541" s="1674">
        <v>1.6608796296296295E-2</v>
      </c>
      <c r="E541" t="s">
        <v>16149</v>
      </c>
      <c r="F541" s="80" t="s">
        <v>16186</v>
      </c>
      <c r="G541" s="314">
        <v>0.65369999999999995</v>
      </c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</row>
    <row r="542" spans="1:24" s="1370" customFormat="1" x14ac:dyDescent="0.2">
      <c r="A542" s="1751">
        <v>43792</v>
      </c>
      <c r="B542" s="1384" t="s">
        <v>3508</v>
      </c>
      <c r="C542" s="1384" t="s">
        <v>3632</v>
      </c>
      <c r="D542" s="1786">
        <v>1.636574074074074E-2</v>
      </c>
      <c r="E542" s="1489" t="s">
        <v>16085</v>
      </c>
      <c r="F542" s="1489" t="s">
        <v>16122</v>
      </c>
      <c r="G542" s="1817">
        <v>0.66339999999999999</v>
      </c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</row>
    <row r="543" spans="1:24" s="1370" customFormat="1" x14ac:dyDescent="0.2">
      <c r="A543" s="1673">
        <v>43785</v>
      </c>
      <c r="B543" s="1384" t="s">
        <v>3508</v>
      </c>
      <c r="C543" s="1384" t="s">
        <v>3632</v>
      </c>
      <c r="D543" s="1674">
        <v>1.636574074074074E-2</v>
      </c>
      <c r="E543" s="80" t="s">
        <v>16009</v>
      </c>
      <c r="F543" s="80"/>
      <c r="G543" s="314">
        <v>0.66339999999999999</v>
      </c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</row>
    <row r="544" spans="1:24" s="1370" customFormat="1" x14ac:dyDescent="0.2">
      <c r="A544" s="1384">
        <v>43778</v>
      </c>
      <c r="B544" s="1384" t="s">
        <v>3508</v>
      </c>
      <c r="C544" s="1384" t="s">
        <v>3632</v>
      </c>
      <c r="D544" s="1725">
        <v>1.9907407407407408E-2</v>
      </c>
      <c r="E544" s="1726" t="s">
        <v>15951</v>
      </c>
      <c r="F544" s="1723"/>
      <c r="G544" s="1820">
        <v>0.54530000000000001</v>
      </c>
    </row>
    <row r="545" spans="1:24" s="1370" customFormat="1" x14ac:dyDescent="0.2">
      <c r="A545" s="1384">
        <v>43771</v>
      </c>
      <c r="B545" s="1384" t="s">
        <v>3508</v>
      </c>
      <c r="C545" s="1384" t="s">
        <v>3632</v>
      </c>
      <c r="D545" s="1731">
        <v>1.7233796296296296E-2</v>
      </c>
      <c r="E545" s="1370" t="s">
        <v>15894</v>
      </c>
      <c r="F545" s="1370" t="s">
        <v>4570</v>
      </c>
      <c r="G545" s="1816">
        <v>0.63</v>
      </c>
    </row>
    <row r="546" spans="1:24" s="1370" customFormat="1" x14ac:dyDescent="0.2">
      <c r="A546" s="1384">
        <v>43764</v>
      </c>
      <c r="B546" s="1384" t="s">
        <v>3508</v>
      </c>
      <c r="C546" s="1384" t="s">
        <v>3632</v>
      </c>
      <c r="D546" s="1727">
        <v>1.5266203703703705E-2</v>
      </c>
      <c r="E546" s="1728" t="s">
        <v>15919</v>
      </c>
      <c r="F546" s="1728" t="s">
        <v>3826</v>
      </c>
      <c r="G546" s="1821">
        <v>0.71109999999999995</v>
      </c>
    </row>
    <row r="547" spans="1:24" s="1370" customFormat="1" x14ac:dyDescent="0.2">
      <c r="A547" s="523">
        <v>43757</v>
      </c>
      <c r="B547" s="1384" t="s">
        <v>3508</v>
      </c>
      <c r="C547" s="1384" t="s">
        <v>3632</v>
      </c>
      <c r="D547" s="1686">
        <v>1.7118055555555556E-2</v>
      </c>
      <c r="E547" s="1489" t="s">
        <v>15845</v>
      </c>
      <c r="F547" s="1489" t="s">
        <v>15868</v>
      </c>
      <c r="G547" s="1815">
        <v>0.63419999999999999</v>
      </c>
      <c r="H547" s="1489"/>
      <c r="I547" s="1489"/>
      <c r="J547" s="1489"/>
      <c r="K547" s="1489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</row>
    <row r="548" spans="1:24" s="1370" customFormat="1" x14ac:dyDescent="0.2">
      <c r="A548" s="523">
        <v>43750</v>
      </c>
      <c r="B548" s="1384" t="s">
        <v>3508</v>
      </c>
      <c r="C548" s="1384" t="s">
        <v>3632</v>
      </c>
      <c r="D548" s="1686">
        <v>1.90625E-2</v>
      </c>
      <c r="E548" s="1489" t="s">
        <v>15795</v>
      </c>
      <c r="F548" s="1489" t="s">
        <v>2425</v>
      </c>
      <c r="G548" s="1815">
        <v>0.56950000000000001</v>
      </c>
      <c r="H548" s="80"/>
      <c r="I548" s="80"/>
      <c r="J548" s="80"/>
      <c r="K548" s="80"/>
    </row>
    <row r="549" spans="1:24" s="1370" customFormat="1" x14ac:dyDescent="0.2">
      <c r="A549" s="1729">
        <v>43743</v>
      </c>
      <c r="B549" s="1384" t="s">
        <v>3508</v>
      </c>
      <c r="C549" s="1384" t="s">
        <v>3632</v>
      </c>
      <c r="D549" s="1731">
        <v>1.6574074074074074E-2</v>
      </c>
      <c r="E549" s="80" t="s">
        <v>15706</v>
      </c>
      <c r="F549" s="80" t="s">
        <v>15754</v>
      </c>
      <c r="G549" s="317">
        <v>0.65500000000000003</v>
      </c>
      <c r="H549" s="80"/>
      <c r="I549" s="80"/>
      <c r="J549" s="80"/>
      <c r="K549" s="80"/>
    </row>
    <row r="550" spans="1:24" s="1370" customFormat="1" x14ac:dyDescent="0.2">
      <c r="A550" s="1729">
        <v>43736</v>
      </c>
      <c r="B550" s="1384" t="s">
        <v>3508</v>
      </c>
      <c r="C550" s="1384" t="s">
        <v>3632</v>
      </c>
      <c r="D550" s="1686">
        <v>1.9722222222222221E-2</v>
      </c>
      <c r="E550" s="1489" t="s">
        <v>15641</v>
      </c>
      <c r="F550" s="1489" t="s">
        <v>15675</v>
      </c>
      <c r="G550" s="1815">
        <v>0.55049999999999999</v>
      </c>
      <c r="H550" s="80"/>
      <c r="I550" s="80"/>
      <c r="J550" s="80"/>
      <c r="K550" s="80"/>
    </row>
    <row r="551" spans="1:24" s="1370" customFormat="1" x14ac:dyDescent="0.2">
      <c r="A551" s="1729">
        <v>43729</v>
      </c>
      <c r="B551" s="1384" t="s">
        <v>3508</v>
      </c>
      <c r="C551" s="1384" t="s">
        <v>3632</v>
      </c>
      <c r="D551" s="1686">
        <v>1.7245370370370369E-2</v>
      </c>
      <c r="E551" s="1489" t="s">
        <v>15571</v>
      </c>
      <c r="F551" s="1489" t="s">
        <v>15613</v>
      </c>
      <c r="G551" s="1815">
        <v>0.62949999999999995</v>
      </c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</row>
    <row r="552" spans="1:24" s="1370" customFormat="1" x14ac:dyDescent="0.2">
      <c r="A552" s="523">
        <v>43722</v>
      </c>
      <c r="B552" s="1384" t="s">
        <v>3508</v>
      </c>
      <c r="C552" s="1384" t="s">
        <v>3632</v>
      </c>
      <c r="D552" s="1686">
        <v>1.5046296296296297E-2</v>
      </c>
      <c r="E552" s="1489" t="s">
        <v>15462</v>
      </c>
      <c r="F552" s="1489" t="s">
        <v>15504</v>
      </c>
      <c r="G552" s="1815">
        <v>0.72150000000000003</v>
      </c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</row>
    <row r="553" spans="1:24" s="1370" customFormat="1" x14ac:dyDescent="0.2">
      <c r="A553" s="1526">
        <v>43701</v>
      </c>
      <c r="B553" s="1384" t="s">
        <v>3508</v>
      </c>
      <c r="C553" s="1384" t="s">
        <v>3632</v>
      </c>
      <c r="D553" s="1686">
        <v>1.5416666666666665E-2</v>
      </c>
      <c r="E553" s="1489" t="s">
        <v>15272</v>
      </c>
      <c r="F553" s="1489"/>
      <c r="G553" s="1815">
        <v>0.70420000000000005</v>
      </c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</row>
    <row r="554" spans="1:24" s="1370" customFormat="1" x14ac:dyDescent="0.2">
      <c r="A554" s="523">
        <v>43694</v>
      </c>
      <c r="B554" s="1384" t="s">
        <v>3508</v>
      </c>
      <c r="C554" s="1384" t="s">
        <v>3632</v>
      </c>
      <c r="D554" s="1733">
        <v>1.7847222222222223E-2</v>
      </c>
      <c r="E554" s="1489" t="s">
        <v>15158</v>
      </c>
      <c r="F554" s="1489"/>
      <c r="G554" s="1815">
        <v>0.60829999999999995</v>
      </c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</row>
    <row r="555" spans="1:24" s="1370" customFormat="1" ht="12.75" customHeight="1" x14ac:dyDescent="0.2">
      <c r="A555" s="523">
        <v>43687</v>
      </c>
      <c r="B555" s="1384" t="s">
        <v>3508</v>
      </c>
      <c r="C555" s="1384" t="s">
        <v>3632</v>
      </c>
      <c r="D555" s="1686">
        <v>1.5381944444444443E-2</v>
      </c>
      <c r="E555" s="1489" t="s">
        <v>13430</v>
      </c>
      <c r="F555" s="1489"/>
      <c r="G555" s="1815">
        <v>0.70579999999999998</v>
      </c>
      <c r="H555" s="80"/>
      <c r="I555" s="80"/>
      <c r="J555" s="80"/>
      <c r="K555" s="80"/>
    </row>
    <row r="556" spans="1:24" s="1370" customFormat="1" x14ac:dyDescent="0.2">
      <c r="A556" s="1384">
        <v>43680</v>
      </c>
      <c r="B556" s="1384" t="s">
        <v>3508</v>
      </c>
      <c r="C556" s="1384" t="s">
        <v>3632</v>
      </c>
      <c r="D556" s="1686">
        <v>1.7546296296296296E-2</v>
      </c>
      <c r="E556" s="1489" t="s">
        <v>13349</v>
      </c>
      <c r="F556" s="1489" t="s">
        <v>13400</v>
      </c>
      <c r="G556" s="1815">
        <v>0.61870000000000003</v>
      </c>
      <c r="H556" s="80"/>
      <c r="I556" s="80"/>
      <c r="J556" s="80"/>
      <c r="K556" s="80"/>
    </row>
    <row r="557" spans="1:24" s="1370" customFormat="1" x14ac:dyDescent="0.2">
      <c r="A557" s="1384">
        <v>43673</v>
      </c>
      <c r="B557" s="1384" t="s">
        <v>3508</v>
      </c>
      <c r="C557" s="1384" t="s">
        <v>3632</v>
      </c>
      <c r="D557" s="1686">
        <v>1.6053240740740739E-2</v>
      </c>
      <c r="E557" s="1489" t="s">
        <v>13299</v>
      </c>
      <c r="F557" s="1489" t="s">
        <v>13320</v>
      </c>
      <c r="G557" s="1815">
        <v>0.67049999999999998</v>
      </c>
      <c r="H557" s="80"/>
      <c r="I557" s="1514"/>
      <c r="J557" s="80"/>
      <c r="K557" s="80"/>
    </row>
    <row r="558" spans="1:24" s="1370" customFormat="1" x14ac:dyDescent="0.2">
      <c r="A558" s="523">
        <v>43666</v>
      </c>
      <c r="B558" s="1384" t="s">
        <v>3508</v>
      </c>
      <c r="C558" s="1384" t="s">
        <v>3632</v>
      </c>
      <c r="D558" s="1686">
        <v>1.6689814814814814E-2</v>
      </c>
      <c r="E558" s="1489" t="s">
        <v>13189</v>
      </c>
      <c r="F558" s="1489" t="s">
        <v>13219</v>
      </c>
      <c r="G558" s="1815">
        <v>0.64490000000000003</v>
      </c>
      <c r="H558" s="80"/>
      <c r="I558" s="80"/>
      <c r="J558" s="80"/>
      <c r="K558" s="80"/>
    </row>
    <row r="559" spans="1:24" s="1370" customFormat="1" x14ac:dyDescent="0.2">
      <c r="A559" s="523">
        <v>43659</v>
      </c>
      <c r="B559" s="1384" t="s">
        <v>3508</v>
      </c>
      <c r="C559" s="1384" t="s">
        <v>3632</v>
      </c>
      <c r="D559" s="1686">
        <v>1.9618055555555555E-2</v>
      </c>
      <c r="E559" s="1489" t="s">
        <v>13131</v>
      </c>
      <c r="F559" s="1489"/>
      <c r="G559" s="1815">
        <v>0.54869999999999997</v>
      </c>
      <c r="H559" s="80"/>
      <c r="I559" s="1489"/>
      <c r="J559" s="80"/>
      <c r="K559" s="80"/>
    </row>
    <row r="560" spans="1:24" s="1370" customFormat="1" x14ac:dyDescent="0.2">
      <c r="A560" s="523">
        <v>43652</v>
      </c>
      <c r="B560" s="1384" t="s">
        <v>3508</v>
      </c>
      <c r="C560" s="1384" t="s">
        <v>3632</v>
      </c>
      <c r="D560" s="1686">
        <v>1.6944444444444443E-2</v>
      </c>
      <c r="E560" s="1489" t="s">
        <v>13079</v>
      </c>
      <c r="F560" s="1489"/>
      <c r="G560" s="1815">
        <v>0.63519999999999999</v>
      </c>
      <c r="H560" s="1489"/>
      <c r="I560" s="1489"/>
      <c r="J560" s="1489"/>
      <c r="K560" s="80"/>
    </row>
    <row r="561" spans="1:11" s="1370" customFormat="1" x14ac:dyDescent="0.2">
      <c r="A561" s="523">
        <v>43645</v>
      </c>
      <c r="B561" s="1384" t="s">
        <v>3508</v>
      </c>
      <c r="C561" s="1384" t="s">
        <v>3632</v>
      </c>
      <c r="D561" s="1686">
        <v>1.6759259259259258E-2</v>
      </c>
      <c r="E561" s="80" t="s">
        <v>13018</v>
      </c>
      <c r="F561" s="1489" t="s">
        <v>13049</v>
      </c>
      <c r="G561" s="1815">
        <v>0.64229999999999998</v>
      </c>
      <c r="H561" s="80"/>
      <c r="I561" s="80" t="s">
        <v>13054</v>
      </c>
      <c r="J561" s="80"/>
      <c r="K561" s="80"/>
    </row>
    <row r="562" spans="1:11" s="1370" customFormat="1" x14ac:dyDescent="0.2">
      <c r="A562" s="523">
        <v>43638</v>
      </c>
      <c r="B562" s="1384" t="s">
        <v>3508</v>
      </c>
      <c r="C562" s="1384" t="s">
        <v>3632</v>
      </c>
      <c r="D562" s="1840">
        <v>1.494212962962963E-2</v>
      </c>
      <c r="E562" s="1493" t="s">
        <v>12978</v>
      </c>
      <c r="F562" s="1493" t="s">
        <v>12973</v>
      </c>
      <c r="G562" s="1823">
        <v>0.72040000000000004</v>
      </c>
      <c r="H562" s="80"/>
      <c r="I562" s="80"/>
      <c r="J562" s="80"/>
      <c r="K562" s="80"/>
    </row>
    <row r="563" spans="1:11" s="1370" customFormat="1" x14ac:dyDescent="0.2">
      <c r="A563" s="523">
        <v>43631</v>
      </c>
      <c r="B563" s="1384" t="s">
        <v>3508</v>
      </c>
      <c r="C563" s="1384" t="s">
        <v>3632</v>
      </c>
      <c r="D563" s="1840">
        <v>1.8518518518518521E-2</v>
      </c>
      <c r="E563" s="1493" t="s">
        <v>12918</v>
      </c>
      <c r="F563" s="1494"/>
      <c r="G563" s="1823">
        <v>0.58130000000000004</v>
      </c>
      <c r="H563" s="80"/>
      <c r="I563" s="80"/>
      <c r="J563" s="80"/>
      <c r="K563" s="80"/>
    </row>
    <row r="564" spans="1:11" s="1370" customFormat="1" ht="25.5" x14ac:dyDescent="0.2">
      <c r="A564" s="523">
        <v>43624</v>
      </c>
      <c r="B564" s="1384" t="s">
        <v>3508</v>
      </c>
      <c r="C564" s="1384" t="s">
        <v>3632</v>
      </c>
      <c r="D564" s="1840">
        <v>4.0648148148148149E-2</v>
      </c>
      <c r="E564" s="1493" t="s">
        <v>12885</v>
      </c>
      <c r="F564" s="1493" t="s">
        <v>12870</v>
      </c>
      <c r="G564" s="1823">
        <v>0.26479999999999998</v>
      </c>
      <c r="H564" s="80"/>
      <c r="I564" s="80" t="s">
        <v>12872</v>
      </c>
      <c r="J564" s="80"/>
      <c r="K564" s="80"/>
    </row>
    <row r="565" spans="1:11" s="1370" customFormat="1" x14ac:dyDescent="0.2">
      <c r="A565" s="1384">
        <v>43617</v>
      </c>
      <c r="B565" s="1384" t="s">
        <v>3508</v>
      </c>
      <c r="C565" s="1384" t="s">
        <v>3632</v>
      </c>
      <c r="D565" s="1833">
        <v>1.9131944444444444E-2</v>
      </c>
      <c r="E565" s="1499" t="s">
        <v>12806</v>
      </c>
      <c r="F565" s="1499"/>
      <c r="G565" s="1814">
        <v>0.56259999999999999</v>
      </c>
    </row>
    <row r="566" spans="1:11" s="1370" customFormat="1" x14ac:dyDescent="0.2">
      <c r="A566" s="1384">
        <v>43610</v>
      </c>
      <c r="B566" s="1384" t="s">
        <v>3508</v>
      </c>
      <c r="C566" s="1384" t="s">
        <v>3632</v>
      </c>
      <c r="D566" s="1733">
        <v>1.6030092592592592E-2</v>
      </c>
      <c r="E566" s="1489" t="s">
        <v>12725</v>
      </c>
      <c r="F566" s="1489" t="s">
        <v>12747</v>
      </c>
      <c r="G566" s="1815">
        <v>0.67149999999999999</v>
      </c>
      <c r="I566" s="1489"/>
    </row>
    <row r="567" spans="1:11" s="1370" customFormat="1" x14ac:dyDescent="0.2">
      <c r="A567" s="1384">
        <v>43603</v>
      </c>
      <c r="B567" s="1384" t="s">
        <v>3508</v>
      </c>
      <c r="C567" s="1384" t="s">
        <v>3632</v>
      </c>
      <c r="D567" s="1834">
        <v>1.7453703703703704E-2</v>
      </c>
      <c r="E567" s="1370" t="s">
        <v>12671</v>
      </c>
      <c r="G567" s="1816">
        <v>0.61670000000000003</v>
      </c>
    </row>
    <row r="568" spans="1:11" s="1370" customFormat="1" x14ac:dyDescent="0.2">
      <c r="A568" s="1384">
        <v>43596</v>
      </c>
      <c r="B568" s="1384" t="s">
        <v>3508</v>
      </c>
      <c r="C568" s="1384" t="s">
        <v>3632</v>
      </c>
      <c r="D568" s="1733">
        <v>1.6412037037037037E-2</v>
      </c>
      <c r="E568" s="1489" t="s">
        <v>12591</v>
      </c>
      <c r="F568" s="1489" t="s">
        <v>12594</v>
      </c>
      <c r="G568" s="1815">
        <v>0.65590000000000004</v>
      </c>
      <c r="H568" s="1489"/>
    </row>
    <row r="569" spans="1:11" s="1370" customFormat="1" x14ac:dyDescent="0.2">
      <c r="A569" s="1384">
        <v>43589</v>
      </c>
      <c r="B569" s="1384" t="s">
        <v>3508</v>
      </c>
      <c r="C569" s="1384" t="s">
        <v>3632</v>
      </c>
      <c r="D569" s="1834">
        <v>1.6782407407407409E-2</v>
      </c>
      <c r="E569" s="1370" t="s">
        <v>12592</v>
      </c>
      <c r="F569" s="1370" t="s">
        <v>12593</v>
      </c>
      <c r="G569" s="1816">
        <v>0.64139999999999997</v>
      </c>
    </row>
    <row r="570" spans="1:11" s="1370" customFormat="1" ht="12.75" customHeight="1" x14ac:dyDescent="0.2">
      <c r="A570" s="1384">
        <v>43575</v>
      </c>
      <c r="B570" s="1384" t="s">
        <v>3508</v>
      </c>
      <c r="C570" s="1384" t="s">
        <v>3632</v>
      </c>
      <c r="D570" s="1834">
        <v>1.7951388888888888E-2</v>
      </c>
      <c r="E570" s="1370" t="s">
        <v>12449</v>
      </c>
      <c r="F570" s="1370" t="s">
        <v>12450</v>
      </c>
      <c r="G570" s="1816">
        <v>0.59960000000000002</v>
      </c>
    </row>
    <row r="571" spans="1:11" s="1370" customFormat="1" x14ac:dyDescent="0.2">
      <c r="A571" s="1384">
        <v>43568</v>
      </c>
      <c r="B571" s="1384" t="s">
        <v>3508</v>
      </c>
      <c r="C571" s="1384" t="s">
        <v>3632</v>
      </c>
      <c r="D571" s="1834">
        <v>1.494212962962963E-2</v>
      </c>
      <c r="E571" s="1370" t="s">
        <v>12361</v>
      </c>
      <c r="F571" s="1370" t="s">
        <v>12363</v>
      </c>
      <c r="G571" s="1816">
        <v>0.72040000000000004</v>
      </c>
    </row>
    <row r="572" spans="1:11" s="1370" customFormat="1" x14ac:dyDescent="0.2">
      <c r="A572" s="1384">
        <v>43561</v>
      </c>
      <c r="B572" s="1384" t="s">
        <v>3508</v>
      </c>
      <c r="C572" s="1384" t="s">
        <v>3632</v>
      </c>
      <c r="D572" s="1733">
        <v>1.5358796296296296E-2</v>
      </c>
      <c r="E572" s="1489" t="s">
        <v>12307</v>
      </c>
      <c r="F572" s="1489" t="s">
        <v>12308</v>
      </c>
      <c r="G572" s="1815">
        <v>0.70079999999999998</v>
      </c>
    </row>
    <row r="573" spans="1:11" s="1370" customFormat="1" x14ac:dyDescent="0.2">
      <c r="A573" s="1384">
        <v>43554</v>
      </c>
      <c r="B573" s="1384" t="s">
        <v>3508</v>
      </c>
      <c r="C573" s="1384" t="s">
        <v>3632</v>
      </c>
      <c r="D573" s="1834">
        <v>1.6944444444444443E-2</v>
      </c>
      <c r="E573" s="1370" t="s">
        <v>12229</v>
      </c>
      <c r="F573" s="1370" t="s">
        <v>12271</v>
      </c>
      <c r="G573" s="1816">
        <v>0.63519999999999999</v>
      </c>
    </row>
    <row r="574" spans="1:11" s="1370" customFormat="1" x14ac:dyDescent="0.2">
      <c r="A574" s="1384">
        <v>43540</v>
      </c>
      <c r="B574" s="1384" t="s">
        <v>3508</v>
      </c>
      <c r="C574" s="1384" t="s">
        <v>3632</v>
      </c>
      <c r="D574" s="1834">
        <v>1.7407407407407406E-2</v>
      </c>
      <c r="E574" s="1370" t="s">
        <v>12104</v>
      </c>
      <c r="F574" s="1370" t="s">
        <v>12105</v>
      </c>
      <c r="G574" s="1816">
        <v>0.61839999999999995</v>
      </c>
    </row>
    <row r="575" spans="1:11" s="1370" customFormat="1" x14ac:dyDescent="0.2">
      <c r="A575" s="1384">
        <v>43533</v>
      </c>
      <c r="B575" s="1384" t="s">
        <v>3508</v>
      </c>
      <c r="C575" s="1384" t="s">
        <v>3632</v>
      </c>
      <c r="D575" s="1733">
        <v>1.5729166666666666E-2</v>
      </c>
      <c r="E575" s="1489" t="s">
        <v>11995</v>
      </c>
      <c r="F575" s="1489" t="s">
        <v>11996</v>
      </c>
      <c r="G575" s="1815">
        <v>0.68430000000000002</v>
      </c>
      <c r="H575" s="1370" t="s">
        <v>12004</v>
      </c>
    </row>
    <row r="576" spans="1:11" s="1370" customFormat="1" x14ac:dyDescent="0.2">
      <c r="A576" s="1384">
        <v>43526</v>
      </c>
      <c r="B576" s="1384" t="s">
        <v>3508</v>
      </c>
      <c r="C576" s="1384" t="s">
        <v>3632</v>
      </c>
      <c r="D576" s="1834">
        <v>1.6805555555555556E-2</v>
      </c>
      <c r="E576" s="1370" t="s">
        <v>11945</v>
      </c>
      <c r="F576" s="1370" t="s">
        <v>11925</v>
      </c>
      <c r="G576" s="1816">
        <v>0.64049999999999996</v>
      </c>
    </row>
    <row r="577" spans="1:24" s="1370" customFormat="1" x14ac:dyDescent="0.2">
      <c r="A577" s="1384">
        <v>43519</v>
      </c>
      <c r="B577" s="1384" t="s">
        <v>3508</v>
      </c>
      <c r="C577" s="1384" t="s">
        <v>3632</v>
      </c>
      <c r="D577" s="1834">
        <v>1.7754629629629631E-2</v>
      </c>
      <c r="E577" s="1370" t="s">
        <v>5885</v>
      </c>
      <c r="F577" s="1370" t="s">
        <v>11876</v>
      </c>
      <c r="G577" s="1816">
        <v>0.60629999999999995</v>
      </c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</row>
    <row r="578" spans="1:24" s="1370" customFormat="1" x14ac:dyDescent="0.2">
      <c r="A578" s="1384">
        <v>43512</v>
      </c>
      <c r="B578" s="1384" t="s">
        <v>3508</v>
      </c>
      <c r="C578" s="1384" t="s">
        <v>3632</v>
      </c>
      <c r="D578" s="1834">
        <v>1.6875000000000001E-2</v>
      </c>
      <c r="E578" s="1370" t="s">
        <v>5885</v>
      </c>
      <c r="F578" s="1370" t="s">
        <v>11814</v>
      </c>
      <c r="G578" s="1816">
        <v>0.63790000000000002</v>
      </c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</row>
    <row r="579" spans="1:24" s="1370" customFormat="1" x14ac:dyDescent="0.2">
      <c r="A579" s="1384">
        <v>43505</v>
      </c>
      <c r="B579" s="1384" t="s">
        <v>3508</v>
      </c>
      <c r="C579" s="1384" t="s">
        <v>3632</v>
      </c>
      <c r="D579" s="1733">
        <v>1.6053240740740739E-2</v>
      </c>
      <c r="E579" s="1489" t="s">
        <v>5885</v>
      </c>
      <c r="F579" s="1489" t="s">
        <v>11790</v>
      </c>
      <c r="G579" s="1815">
        <v>0.67049999999999998</v>
      </c>
      <c r="I579" s="1489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</row>
    <row r="580" spans="1:24" s="1370" customFormat="1" x14ac:dyDescent="0.2">
      <c r="A580" s="1384">
        <v>43498</v>
      </c>
      <c r="B580" s="1384" t="s">
        <v>3508</v>
      </c>
      <c r="C580" s="1384" t="s">
        <v>3632</v>
      </c>
      <c r="D580" s="1733">
        <v>2.1064814814814814E-2</v>
      </c>
      <c r="E580" s="1489" t="s">
        <v>5885</v>
      </c>
      <c r="F580" s="1489" t="s">
        <v>11728</v>
      </c>
      <c r="G580" s="1815">
        <v>0.51100000000000001</v>
      </c>
    </row>
    <row r="581" spans="1:24" s="1370" customFormat="1" ht="12.75" customHeight="1" x14ac:dyDescent="0.2">
      <c r="A581" s="1384">
        <v>43491</v>
      </c>
      <c r="B581" s="1384" t="s">
        <v>3508</v>
      </c>
      <c r="C581" s="1384" t="s">
        <v>3632</v>
      </c>
      <c r="D581" s="1834">
        <v>1.7199074074074071E-2</v>
      </c>
      <c r="E581" s="1370" t="s">
        <v>5885</v>
      </c>
      <c r="F581" s="1415" t="s">
        <v>11709</v>
      </c>
      <c r="G581" s="1816">
        <v>0.62580000000000002</v>
      </c>
    </row>
    <row r="582" spans="1:24" s="1370" customFormat="1" x14ac:dyDescent="0.2">
      <c r="A582" s="1384">
        <v>43484</v>
      </c>
      <c r="B582" s="1384" t="s">
        <v>3508</v>
      </c>
      <c r="C582" s="1384" t="s">
        <v>3632</v>
      </c>
      <c r="D582" s="1733">
        <v>1.9780092592592592E-2</v>
      </c>
      <c r="E582" s="1489" t="s">
        <v>5885</v>
      </c>
      <c r="F582" s="1489" t="s">
        <v>11542</v>
      </c>
      <c r="G582" s="1815">
        <v>0.54420000000000002</v>
      </c>
      <c r="H582" s="1489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</row>
    <row r="583" spans="1:24" s="1370" customFormat="1" x14ac:dyDescent="0.2">
      <c r="A583" s="1384">
        <v>43477</v>
      </c>
      <c r="B583" s="1384" t="s">
        <v>3508</v>
      </c>
      <c r="C583" s="1384" t="s">
        <v>3632</v>
      </c>
      <c r="D583" s="1834">
        <v>1.8078703703703704E-2</v>
      </c>
      <c r="E583" s="1370" t="s">
        <v>5885</v>
      </c>
      <c r="F583" s="1370" t="s">
        <v>11543</v>
      </c>
      <c r="G583" s="1816">
        <v>0.59540000000000004</v>
      </c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</row>
    <row r="584" spans="1:24" s="1370" customFormat="1" x14ac:dyDescent="0.2">
      <c r="A584" s="1384">
        <v>43470</v>
      </c>
      <c r="B584" s="1384" t="s">
        <v>3508</v>
      </c>
      <c r="C584" s="1384" t="s">
        <v>3632</v>
      </c>
      <c r="D584" s="1733">
        <v>1.5428240740740741E-2</v>
      </c>
      <c r="E584" s="1489" t="s">
        <v>5885</v>
      </c>
      <c r="F584" s="1489" t="s">
        <v>11544</v>
      </c>
      <c r="G584" s="1815">
        <v>0.69769999999999999</v>
      </c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</row>
    <row r="585" spans="1:24" s="1370" customFormat="1" x14ac:dyDescent="0.2">
      <c r="A585" s="1384">
        <v>43466</v>
      </c>
      <c r="B585" s="1384" t="s">
        <v>3508</v>
      </c>
      <c r="C585" s="1384" t="s">
        <v>3632</v>
      </c>
      <c r="D585" s="1834">
        <v>1.7002314814814814E-2</v>
      </c>
      <c r="E585" s="1370" t="s">
        <v>11468</v>
      </c>
      <c r="F585" s="1370" t="s">
        <v>11472</v>
      </c>
      <c r="G585" s="1816">
        <v>0.6331</v>
      </c>
    </row>
    <row r="586" spans="1:24" s="1370" customFormat="1" x14ac:dyDescent="0.2">
      <c r="A586" s="1384">
        <v>43466</v>
      </c>
      <c r="B586" s="1384" t="s">
        <v>3508</v>
      </c>
      <c r="C586" s="1384" t="s">
        <v>3632</v>
      </c>
      <c r="D586" s="1834">
        <v>1.7719907407407406E-2</v>
      </c>
      <c r="E586" s="1370" t="s">
        <v>11470</v>
      </c>
      <c r="F586" s="1370" t="s">
        <v>11473</v>
      </c>
      <c r="G586" s="1816">
        <v>0.60740000000000005</v>
      </c>
    </row>
    <row r="587" spans="1:24" s="1370" customFormat="1" x14ac:dyDescent="0.2">
      <c r="A587" s="1729">
        <v>43736</v>
      </c>
      <c r="B587" s="1568" t="s">
        <v>4259</v>
      </c>
      <c r="C587" s="1568" t="s">
        <v>3632</v>
      </c>
      <c r="D587" s="1686">
        <v>2.0381944444444446E-2</v>
      </c>
      <c r="E587" s="1489" t="s">
        <v>15641</v>
      </c>
      <c r="F587" s="1489" t="s">
        <v>15654</v>
      </c>
      <c r="G587" s="1815">
        <v>0.62519999999999998</v>
      </c>
      <c r="H587" s="80"/>
      <c r="I587" s="80"/>
      <c r="J587" s="80"/>
      <c r="K587" s="80"/>
    </row>
    <row r="588" spans="1:24" s="1370" customFormat="1" x14ac:dyDescent="0.2">
      <c r="A588" s="1384">
        <v>43680</v>
      </c>
      <c r="B588" s="1568" t="s">
        <v>4259</v>
      </c>
      <c r="C588" s="1568" t="s">
        <v>3632</v>
      </c>
      <c r="D588" s="1686">
        <v>2.777777777777778E-2</v>
      </c>
      <c r="E588" s="1489" t="s">
        <v>13349</v>
      </c>
      <c r="F588" s="1489"/>
      <c r="G588" s="1815">
        <v>0.45879999999999999</v>
      </c>
      <c r="H588" s="80"/>
      <c r="I588" s="80"/>
      <c r="J588" s="80"/>
      <c r="K588" s="80"/>
    </row>
    <row r="589" spans="1:24" s="1370" customFormat="1" x14ac:dyDescent="0.2">
      <c r="A589" s="1384">
        <v>43673</v>
      </c>
      <c r="B589" s="1568" t="s">
        <v>4259</v>
      </c>
      <c r="C589" s="1568" t="s">
        <v>3632</v>
      </c>
      <c r="D589" s="1686">
        <v>2.2199074074074072E-2</v>
      </c>
      <c r="E589" s="1489" t="s">
        <v>13299</v>
      </c>
      <c r="F589" s="1489" t="s">
        <v>13303</v>
      </c>
      <c r="G589" s="1815">
        <v>0.57399999999999995</v>
      </c>
      <c r="H589" s="1514"/>
      <c r="I589" s="80"/>
      <c r="J589" s="80"/>
      <c r="K589" s="80"/>
    </row>
    <row r="590" spans="1:24" s="1370" customFormat="1" ht="25.5" x14ac:dyDescent="0.2">
      <c r="A590" s="523">
        <v>43624</v>
      </c>
      <c r="B590" s="1568" t="s">
        <v>4259</v>
      </c>
      <c r="C590" s="1568" t="s">
        <v>3632</v>
      </c>
      <c r="D590" s="1835">
        <v>2.4155092592592589E-2</v>
      </c>
      <c r="E590" s="1569" t="s">
        <v>12885</v>
      </c>
      <c r="F590" s="1569" t="s">
        <v>12880</v>
      </c>
      <c r="G590" s="1818">
        <v>0.52759999999999996</v>
      </c>
      <c r="H590" s="80"/>
      <c r="I590" s="1514"/>
      <c r="J590" s="80"/>
      <c r="K590" s="80"/>
    </row>
    <row r="591" spans="1:24" s="1370" customFormat="1" x14ac:dyDescent="0.2">
      <c r="A591" s="1384">
        <v>43617</v>
      </c>
      <c r="B591" s="1568" t="s">
        <v>4259</v>
      </c>
      <c r="C591" s="1568" t="s">
        <v>3632</v>
      </c>
      <c r="D591" s="1836">
        <v>2.3402777777777783E-2</v>
      </c>
      <c r="E591" s="1568" t="s">
        <v>12817</v>
      </c>
      <c r="F591" s="1568"/>
      <c r="G591" s="1819">
        <v>0.54449999999999998</v>
      </c>
      <c r="H591" s="1489"/>
      <c r="I591" s="1489"/>
    </row>
    <row r="592" spans="1:24" s="1370" customFormat="1" x14ac:dyDescent="0.2">
      <c r="A592" s="1384">
        <v>43533</v>
      </c>
      <c r="B592" s="1568" t="s">
        <v>4259</v>
      </c>
      <c r="C592" s="1568" t="s">
        <v>3632</v>
      </c>
      <c r="D592" s="1733">
        <v>1.9733796296296298E-2</v>
      </c>
      <c r="E592" s="1370" t="s">
        <v>11995</v>
      </c>
      <c r="F592" s="1370" t="s">
        <v>12005</v>
      </c>
      <c r="G592" s="1815">
        <v>0.64570000000000005</v>
      </c>
    </row>
    <row r="593" spans="1:24" s="1370" customFormat="1" x14ac:dyDescent="0.2">
      <c r="A593" s="1384">
        <v>43568</v>
      </c>
      <c r="B593" s="1370" t="s">
        <v>12052</v>
      </c>
      <c r="C593" s="1370" t="s">
        <v>11025</v>
      </c>
      <c r="D593" s="1834">
        <v>3.2118055555555559E-2</v>
      </c>
      <c r="E593" s="1370" t="s">
        <v>12361</v>
      </c>
      <c r="F593" s="1370" t="s">
        <v>12371</v>
      </c>
      <c r="G593" s="1816">
        <v>0.39169999999999999</v>
      </c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</row>
    <row r="594" spans="1:24" s="1370" customFormat="1" x14ac:dyDescent="0.2">
      <c r="A594" s="1384">
        <v>43533</v>
      </c>
      <c r="B594" s="1370" t="s">
        <v>12052</v>
      </c>
      <c r="C594" s="1370" t="s">
        <v>11025</v>
      </c>
      <c r="D594" s="1834">
        <v>3.4733796296296297E-2</v>
      </c>
      <c r="E594" s="1370" t="s">
        <v>12054</v>
      </c>
      <c r="F594" s="1370" t="s">
        <v>12053</v>
      </c>
      <c r="G594" s="1816">
        <v>0.37409999999999999</v>
      </c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</row>
    <row r="595" spans="1:24" s="1370" customFormat="1" ht="12.75" customHeight="1" x14ac:dyDescent="0.2">
      <c r="A595" s="1673">
        <v>43785</v>
      </c>
      <c r="B595" s="1489" t="s">
        <v>2479</v>
      </c>
      <c r="C595" s="1489" t="s">
        <v>11025</v>
      </c>
      <c r="D595" s="1674">
        <v>2.4988425925925928E-2</v>
      </c>
      <c r="E595" s="80" t="s">
        <v>15993</v>
      </c>
      <c r="F595" s="80" t="s">
        <v>16053</v>
      </c>
      <c r="G595" s="314">
        <v>0.41689999999999999</v>
      </c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</row>
    <row r="596" spans="1:24" s="1370" customFormat="1" x14ac:dyDescent="0.2">
      <c r="A596" s="1384">
        <v>43764</v>
      </c>
      <c r="B596" s="1489" t="s">
        <v>2479</v>
      </c>
      <c r="C596" s="1489" t="s">
        <v>11025</v>
      </c>
      <c r="D596" s="1727">
        <v>2.3819444444444445E-2</v>
      </c>
      <c r="E596" s="1728" t="s">
        <v>13177</v>
      </c>
      <c r="F596" s="1728"/>
      <c r="G596" s="1821">
        <v>0.43730000000000002</v>
      </c>
    </row>
    <row r="597" spans="1:24" s="1370" customFormat="1" x14ac:dyDescent="0.2">
      <c r="A597" s="523">
        <v>43757</v>
      </c>
      <c r="B597" s="1489" t="s">
        <v>2479</v>
      </c>
      <c r="C597" s="1489" t="s">
        <v>11025</v>
      </c>
      <c r="D597" s="1686">
        <v>2.2777777777777775E-2</v>
      </c>
      <c r="E597" s="1489" t="s">
        <v>15841</v>
      </c>
      <c r="F597" s="1489"/>
      <c r="G597" s="1815">
        <v>0.45729999999999998</v>
      </c>
      <c r="H597" s="1489"/>
      <c r="I597" s="1489"/>
      <c r="J597" s="1489"/>
      <c r="K597" s="1489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</row>
    <row r="598" spans="1:24" s="1370" customFormat="1" x14ac:dyDescent="0.2">
      <c r="A598" s="1729">
        <v>43729</v>
      </c>
      <c r="B598" s="1489" t="s">
        <v>2479</v>
      </c>
      <c r="C598" s="1489" t="s">
        <v>11025</v>
      </c>
      <c r="D598" s="1686">
        <v>3.2881944444444443E-2</v>
      </c>
      <c r="E598" s="1489" t="s">
        <v>15566</v>
      </c>
      <c r="F598" s="1489" t="s">
        <v>15594</v>
      </c>
      <c r="G598" s="1815">
        <v>0.31680000000000003</v>
      </c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</row>
    <row r="599" spans="1:24" s="1370" customFormat="1" x14ac:dyDescent="0.2">
      <c r="A599" s="1526">
        <v>43701</v>
      </c>
      <c r="B599" s="1489" t="s">
        <v>2479</v>
      </c>
      <c r="C599" s="1489" t="s">
        <v>11025</v>
      </c>
      <c r="D599" s="1686">
        <v>2.2326388888888889E-2</v>
      </c>
      <c r="E599" s="1489" t="s">
        <v>15284</v>
      </c>
      <c r="F599" s="1489"/>
      <c r="G599" s="1815">
        <v>0.46660000000000001</v>
      </c>
      <c r="H599" s="1514"/>
      <c r="I599" s="80"/>
      <c r="J599" s="80"/>
      <c r="K599" s="80"/>
    </row>
    <row r="600" spans="1:24" s="1370" customFormat="1" x14ac:dyDescent="0.2">
      <c r="A600" s="523">
        <v>43694</v>
      </c>
      <c r="B600" s="1489" t="s">
        <v>2479</v>
      </c>
      <c r="C600" s="1489" t="s">
        <v>11025</v>
      </c>
      <c r="D600" s="1733">
        <v>2.2627314814814819E-2</v>
      </c>
      <c r="E600" s="1489" t="s">
        <v>15163</v>
      </c>
      <c r="F600" s="1489" t="s">
        <v>2629</v>
      </c>
      <c r="G600" s="1815">
        <v>0.46039999999999998</v>
      </c>
      <c r="H600" s="80"/>
      <c r="I600" s="80"/>
      <c r="J600" s="80"/>
      <c r="K600" s="80"/>
    </row>
    <row r="601" spans="1:24" s="1370" customFormat="1" x14ac:dyDescent="0.2">
      <c r="A601" s="523">
        <v>43687</v>
      </c>
      <c r="B601" s="1489" t="s">
        <v>2479</v>
      </c>
      <c r="C601" s="1489" t="s">
        <v>11025</v>
      </c>
      <c r="D601" s="1686">
        <v>3.079861111111111E-2</v>
      </c>
      <c r="E601" s="1489" t="s">
        <v>13436</v>
      </c>
      <c r="F601" s="1489"/>
      <c r="G601" s="1815">
        <v>0.3382</v>
      </c>
      <c r="H601" s="80"/>
      <c r="I601" s="80"/>
      <c r="J601" s="80"/>
      <c r="K601" s="80"/>
    </row>
    <row r="602" spans="1:24" s="1370" customFormat="1" x14ac:dyDescent="0.2">
      <c r="A602" s="1384">
        <v>43673</v>
      </c>
      <c r="B602" s="1489" t="s">
        <v>2479</v>
      </c>
      <c r="C602" s="1489" t="s">
        <v>11025</v>
      </c>
      <c r="D602" s="1686">
        <v>2.3842592592592592E-2</v>
      </c>
      <c r="E602" s="1489" t="s">
        <v>13281</v>
      </c>
      <c r="F602" s="1489" t="s">
        <v>13324</v>
      </c>
      <c r="G602" s="1815">
        <v>0.43690000000000001</v>
      </c>
      <c r="H602" s="80"/>
      <c r="I602" s="80"/>
      <c r="J602" s="80"/>
      <c r="K602" s="80"/>
    </row>
    <row r="603" spans="1:24" s="1370" customFormat="1" x14ac:dyDescent="0.2">
      <c r="A603" s="1384">
        <v>43610</v>
      </c>
      <c r="B603" s="1489" t="s">
        <v>2479</v>
      </c>
      <c r="C603" s="1489" t="s">
        <v>11025</v>
      </c>
      <c r="D603" s="1733">
        <v>2.3530092592592592E-2</v>
      </c>
      <c r="E603" s="1489" t="s">
        <v>12725</v>
      </c>
      <c r="F603" s="1489" t="s">
        <v>12754</v>
      </c>
      <c r="G603" s="1815">
        <v>0.44269999999999998</v>
      </c>
      <c r="H603" s="1370" t="s">
        <v>12724</v>
      </c>
      <c r="I603" s="1370" t="s">
        <v>12744</v>
      </c>
    </row>
    <row r="604" spans="1:24" s="1370" customFormat="1" x14ac:dyDescent="0.2">
      <c r="A604" s="1384">
        <v>43568</v>
      </c>
      <c r="B604" s="1489" t="s">
        <v>2479</v>
      </c>
      <c r="C604" s="1489" t="s">
        <v>11025</v>
      </c>
      <c r="D604" s="1834">
        <v>3.2118055555555559E-2</v>
      </c>
      <c r="E604" s="1370" t="s">
        <v>12361</v>
      </c>
      <c r="F604" s="1370" t="s">
        <v>12372</v>
      </c>
      <c r="G604" s="1816">
        <v>0.32429999999999998</v>
      </c>
    </row>
    <row r="605" spans="1:24" s="1370" customFormat="1" x14ac:dyDescent="0.2">
      <c r="A605" s="1384">
        <v>43533</v>
      </c>
      <c r="B605" s="1489" t="s">
        <v>2479</v>
      </c>
      <c r="C605" s="1489" t="s">
        <v>11025</v>
      </c>
      <c r="D605" s="1733">
        <v>2.3923611111111114E-2</v>
      </c>
      <c r="E605" s="1489" t="s">
        <v>12054</v>
      </c>
      <c r="F605" s="1489" t="s">
        <v>12050</v>
      </c>
      <c r="G605" s="1815">
        <v>0.43540000000000001</v>
      </c>
    </row>
    <row r="606" spans="1:24" s="1370" customFormat="1" x14ac:dyDescent="0.2">
      <c r="A606" s="1384">
        <v>43491</v>
      </c>
      <c r="B606" s="1489" t="s">
        <v>2479</v>
      </c>
      <c r="C606" s="1489" t="s">
        <v>11025</v>
      </c>
      <c r="D606" s="1733">
        <v>2.3958333333333331E-2</v>
      </c>
      <c r="E606" s="1489" t="s">
        <v>5883</v>
      </c>
      <c r="F606" s="1545" t="s">
        <v>11708</v>
      </c>
      <c r="G606" s="1815">
        <v>0.43480000000000002</v>
      </c>
    </row>
    <row r="607" spans="1:24" s="1370" customFormat="1" x14ac:dyDescent="0.2">
      <c r="A607" s="1384">
        <v>43491</v>
      </c>
      <c r="B607" s="1489" t="s">
        <v>2479</v>
      </c>
      <c r="C607" s="1489" t="s">
        <v>11025</v>
      </c>
      <c r="D607" s="1733">
        <v>2.3958333333333331E-2</v>
      </c>
      <c r="E607" s="1489" t="s">
        <v>5883</v>
      </c>
      <c r="F607" s="1489"/>
      <c r="G607" s="1815">
        <v>0.43480000000000002</v>
      </c>
    </row>
    <row r="608" spans="1:24" s="1370" customFormat="1" ht="12.75" customHeight="1" x14ac:dyDescent="0.2">
      <c r="A608" s="1384">
        <v>43477</v>
      </c>
      <c r="B608" s="1489" t="s">
        <v>2479</v>
      </c>
      <c r="C608" s="1489" t="s">
        <v>11025</v>
      </c>
      <c r="D608" s="1733">
        <v>2.3414351851851853E-2</v>
      </c>
      <c r="E608" s="1489" t="s">
        <v>9307</v>
      </c>
      <c r="F608" s="1489" t="s">
        <v>11606</v>
      </c>
      <c r="G608" s="1815">
        <v>0.44340000000000002</v>
      </c>
      <c r="I608" s="1489"/>
    </row>
    <row r="609" spans="1:24" s="1370" customFormat="1" x14ac:dyDescent="0.2">
      <c r="A609" s="1384">
        <v>43477</v>
      </c>
      <c r="B609" s="1489" t="s">
        <v>2479</v>
      </c>
      <c r="C609" s="1489" t="s">
        <v>11025</v>
      </c>
      <c r="D609" s="1834">
        <v>2.3414351851851853E-2</v>
      </c>
      <c r="E609" s="1489" t="s">
        <v>9307</v>
      </c>
      <c r="G609" s="1816">
        <v>0.44340000000000002</v>
      </c>
    </row>
    <row r="610" spans="1:24" s="1370" customFormat="1" x14ac:dyDescent="0.2">
      <c r="A610" s="1384">
        <v>43466</v>
      </c>
      <c r="B610" s="1489" t="s">
        <v>2479</v>
      </c>
      <c r="C610" s="1489" t="s">
        <v>11025</v>
      </c>
      <c r="D610" s="1733">
        <v>2.1805555555555554E-2</v>
      </c>
      <c r="E610" s="1370" t="s">
        <v>11499</v>
      </c>
      <c r="F610" s="1370" t="s">
        <v>6406</v>
      </c>
      <c r="G610" s="1815">
        <v>0.47610000000000002</v>
      </c>
      <c r="I610" s="1370" t="s">
        <v>11523</v>
      </c>
    </row>
    <row r="611" spans="1:24" s="1370" customFormat="1" x14ac:dyDescent="0.2">
      <c r="A611" s="1384">
        <v>43466</v>
      </c>
      <c r="B611" s="1489" t="s">
        <v>2479</v>
      </c>
      <c r="C611" s="1489" t="s">
        <v>11025</v>
      </c>
      <c r="D611" s="1834">
        <v>3.0567129629629628E-2</v>
      </c>
      <c r="E611" s="1370" t="s">
        <v>11490</v>
      </c>
      <c r="F611" s="1370" t="s">
        <v>11522</v>
      </c>
      <c r="G611" s="1816">
        <v>0.33460000000000001</v>
      </c>
    </row>
    <row r="612" spans="1:24" s="1370" customFormat="1" x14ac:dyDescent="0.2">
      <c r="A612" s="1765">
        <v>43813</v>
      </c>
      <c r="B612" s="1489" t="s">
        <v>3535</v>
      </c>
      <c r="C612" s="1489" t="s">
        <v>11025</v>
      </c>
      <c r="D612" s="1621">
        <v>1.539351851851852E-2</v>
      </c>
      <c r="E612" s="1489" t="s">
        <v>16259</v>
      </c>
      <c r="F612" s="1404"/>
      <c r="G612" s="1817">
        <v>0.61129999999999995</v>
      </c>
      <c r="H612" s="1404"/>
      <c r="I612" s="1404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</row>
    <row r="613" spans="1:24" s="1370" customFormat="1" x14ac:dyDescent="0.2">
      <c r="A613" s="34">
        <v>43806</v>
      </c>
      <c r="B613" s="1489" t="s">
        <v>3535</v>
      </c>
      <c r="C613" s="1489" t="s">
        <v>11025</v>
      </c>
      <c r="D613" s="1621">
        <v>1.5370370370370369E-2</v>
      </c>
      <c r="E613" s="1489" t="s">
        <v>16207</v>
      </c>
      <c r="F613" s="1404"/>
      <c r="G613" s="1817">
        <v>0.61219999999999997</v>
      </c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</row>
    <row r="614" spans="1:24" s="1370" customFormat="1" x14ac:dyDescent="0.2">
      <c r="A614" s="1729">
        <v>43799</v>
      </c>
      <c r="B614" s="1489" t="s">
        <v>3535</v>
      </c>
      <c r="C614" s="1489" t="s">
        <v>11025</v>
      </c>
      <c r="D614" s="1674">
        <v>1.4756944444444444E-2</v>
      </c>
      <c r="E614" t="s">
        <v>16145</v>
      </c>
      <c r="F614"/>
      <c r="G614" s="314">
        <v>0.63759999999999994</v>
      </c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</row>
    <row r="615" spans="1:24" s="1370" customFormat="1" x14ac:dyDescent="0.2">
      <c r="A615" s="1384">
        <v>43771</v>
      </c>
      <c r="B615" s="1489" t="s">
        <v>3535</v>
      </c>
      <c r="C615" s="1489" t="s">
        <v>11025</v>
      </c>
      <c r="D615" s="1731">
        <v>1.5590277777777778E-2</v>
      </c>
      <c r="E615" s="1370" t="s">
        <v>15887</v>
      </c>
      <c r="G615" s="1816">
        <v>0.60360000000000003</v>
      </c>
    </row>
    <row r="616" spans="1:24" s="1370" customFormat="1" x14ac:dyDescent="0.2">
      <c r="A616" s="523">
        <v>43722</v>
      </c>
      <c r="B616" s="1489" t="s">
        <v>3535</v>
      </c>
      <c r="C616" s="1489" t="s">
        <v>11025</v>
      </c>
      <c r="D616" s="1686">
        <v>2.0312500000000001E-2</v>
      </c>
      <c r="E616" s="1489" t="s">
        <v>15458</v>
      </c>
      <c r="F616" s="1489" t="s">
        <v>15500</v>
      </c>
      <c r="G616" s="1815">
        <v>0.4632</v>
      </c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</row>
    <row r="617" spans="1:24" s="1370" customFormat="1" x14ac:dyDescent="0.2">
      <c r="A617" s="1526">
        <v>43708</v>
      </c>
      <c r="B617" s="1489" t="s">
        <v>3535</v>
      </c>
      <c r="C617" s="1489" t="s">
        <v>11025</v>
      </c>
      <c r="D617" s="1686">
        <v>2.0046296296296295E-2</v>
      </c>
      <c r="E617" s="1489" t="s">
        <v>15360</v>
      </c>
      <c r="F617" s="1489" t="s">
        <v>15401</v>
      </c>
      <c r="G617" s="1815">
        <v>0.46939999999999998</v>
      </c>
      <c r="H617" s="1489"/>
      <c r="I617" s="1489"/>
      <c r="J617" s="1489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</row>
    <row r="618" spans="1:24" s="1370" customFormat="1" x14ac:dyDescent="0.2">
      <c r="A618" s="523">
        <v>43694</v>
      </c>
      <c r="B618" s="1489" t="s">
        <v>3535</v>
      </c>
      <c r="C618" s="1489" t="s">
        <v>11025</v>
      </c>
      <c r="D618" s="1733">
        <v>3.6215277777777777E-2</v>
      </c>
      <c r="E618" s="1489" t="s">
        <v>15163</v>
      </c>
      <c r="F618" s="1489" t="s">
        <v>15182</v>
      </c>
      <c r="G618" s="1815">
        <v>0.25979999999999998</v>
      </c>
      <c r="H618" s="80"/>
      <c r="I618" s="80"/>
      <c r="J618" s="80"/>
      <c r="K618" s="80"/>
    </row>
    <row r="619" spans="1:24" s="1370" customFormat="1" ht="12.75" customHeight="1" x14ac:dyDescent="0.2">
      <c r="A619" s="523">
        <v>43687</v>
      </c>
      <c r="B619" s="1489" t="s">
        <v>3535</v>
      </c>
      <c r="C619" s="1489" t="s">
        <v>11025</v>
      </c>
      <c r="D619" s="1686">
        <v>1.667824074074074E-2</v>
      </c>
      <c r="E619" s="1489" t="s">
        <v>13436</v>
      </c>
      <c r="F619" s="1489"/>
      <c r="G619" s="1815">
        <v>0.56420000000000003</v>
      </c>
      <c r="H619" s="80"/>
      <c r="I619" s="80"/>
      <c r="J619" s="80"/>
      <c r="K619" s="80"/>
    </row>
    <row r="620" spans="1:24" s="1370" customFormat="1" x14ac:dyDescent="0.2">
      <c r="A620" s="1384">
        <v>43680</v>
      </c>
      <c r="B620" s="1489" t="s">
        <v>3535</v>
      </c>
      <c r="C620" s="1489" t="s">
        <v>11025</v>
      </c>
      <c r="D620" s="1686">
        <v>1.4537037037037038E-2</v>
      </c>
      <c r="E620" s="1489" t="s">
        <v>13359</v>
      </c>
      <c r="F620" s="1489" t="s">
        <v>13393</v>
      </c>
      <c r="G620" s="1815">
        <v>0.64729999999999999</v>
      </c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</row>
    <row r="621" spans="1:24" s="1370" customFormat="1" x14ac:dyDescent="0.2">
      <c r="A621" s="1384">
        <v>43673</v>
      </c>
      <c r="B621" s="1489" t="s">
        <v>3535</v>
      </c>
      <c r="C621" s="1489" t="s">
        <v>11025</v>
      </c>
      <c r="D621" s="1686">
        <v>2.0162037037037041E-2</v>
      </c>
      <c r="E621" s="1489" t="s">
        <v>13281</v>
      </c>
      <c r="F621" s="1489"/>
      <c r="G621" s="1815">
        <v>0.4667</v>
      </c>
      <c r="H621" s="80"/>
      <c r="I621" s="80"/>
      <c r="J621" s="80"/>
      <c r="K621" s="80"/>
    </row>
    <row r="622" spans="1:24" s="1370" customFormat="1" x14ac:dyDescent="0.2">
      <c r="A622" s="523">
        <v>43652</v>
      </c>
      <c r="B622" s="1489" t="s">
        <v>3535</v>
      </c>
      <c r="C622" s="1489" t="s">
        <v>11025</v>
      </c>
      <c r="D622" s="1686">
        <v>1.8344907407407407E-2</v>
      </c>
      <c r="E622" s="1489" t="s">
        <v>13076</v>
      </c>
      <c r="F622" s="1489"/>
      <c r="G622" s="1815">
        <v>0.51290000000000002</v>
      </c>
      <c r="H622" s="1489"/>
      <c r="I622" s="1489"/>
      <c r="J622" s="1489"/>
      <c r="K622" s="80"/>
    </row>
    <row r="623" spans="1:24" s="1370" customFormat="1" x14ac:dyDescent="0.2">
      <c r="A623" s="1384">
        <v>43610</v>
      </c>
      <c r="B623" s="1489" t="s">
        <v>3535</v>
      </c>
      <c r="C623" s="1489" t="s">
        <v>11025</v>
      </c>
      <c r="D623" s="1834">
        <v>2.9652777777777778E-2</v>
      </c>
      <c r="E623" s="1370" t="s">
        <v>12725</v>
      </c>
      <c r="F623" s="1370" t="s">
        <v>12745</v>
      </c>
      <c r="G623" s="1816">
        <v>0.31730000000000003</v>
      </c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</row>
    <row r="624" spans="1:24" s="1370" customFormat="1" x14ac:dyDescent="0.2">
      <c r="A624" s="1384">
        <v>43596</v>
      </c>
      <c r="B624" s="1489" t="s">
        <v>3535</v>
      </c>
      <c r="C624" s="1489" t="s">
        <v>11025</v>
      </c>
      <c r="D624" s="1834">
        <v>1.5104166666666667E-2</v>
      </c>
      <c r="E624" s="1370" t="s">
        <v>12531</v>
      </c>
      <c r="F624" s="1370" t="s">
        <v>2629</v>
      </c>
      <c r="G624" s="1816">
        <v>0.623</v>
      </c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</row>
    <row r="625" spans="1:24" s="1370" customFormat="1" x14ac:dyDescent="0.2">
      <c r="A625" s="1384">
        <v>43589</v>
      </c>
      <c r="B625" s="1489" t="s">
        <v>3535</v>
      </c>
      <c r="C625" s="1489" t="s">
        <v>11025</v>
      </c>
      <c r="D625" s="1733">
        <v>2.3217592592592592E-2</v>
      </c>
      <c r="E625" s="1489" t="s">
        <v>12532</v>
      </c>
      <c r="F625" s="1489" t="s">
        <v>12526</v>
      </c>
      <c r="G625" s="1815">
        <v>0.40529999999999999</v>
      </c>
      <c r="I625" s="1489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</row>
    <row r="626" spans="1:24" s="1370" customFormat="1" x14ac:dyDescent="0.2">
      <c r="A626" s="1384">
        <v>43575</v>
      </c>
      <c r="B626" s="1489" t="s">
        <v>3535</v>
      </c>
      <c r="C626" s="1489" t="s">
        <v>11025</v>
      </c>
      <c r="D626" s="1834">
        <v>1.6643518518518519E-2</v>
      </c>
      <c r="E626" s="1370" t="s">
        <v>12484</v>
      </c>
      <c r="F626" s="1370" t="s">
        <v>12485</v>
      </c>
      <c r="G626" s="1816">
        <v>0.56540000000000001</v>
      </c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</row>
    <row r="627" spans="1:24" s="1370" customFormat="1" x14ac:dyDescent="0.2">
      <c r="A627" s="1384">
        <v>43568</v>
      </c>
      <c r="B627" s="1489" t="s">
        <v>3535</v>
      </c>
      <c r="C627" s="1489" t="s">
        <v>11025</v>
      </c>
      <c r="D627" s="1834">
        <v>1.5104166666666667E-2</v>
      </c>
      <c r="E627" s="1370" t="s">
        <v>12361</v>
      </c>
      <c r="F627" s="1370" t="s">
        <v>12364</v>
      </c>
      <c r="G627" s="1816">
        <v>0.623</v>
      </c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</row>
    <row r="628" spans="1:24" s="1370" customFormat="1" x14ac:dyDescent="0.2">
      <c r="A628" s="1384">
        <v>43561</v>
      </c>
      <c r="B628" s="1489" t="s">
        <v>3535</v>
      </c>
      <c r="C628" s="1489" t="s">
        <v>11025</v>
      </c>
      <c r="D628" s="1834">
        <v>1.5590277777777778E-2</v>
      </c>
      <c r="E628" s="1370" t="s">
        <v>12336</v>
      </c>
      <c r="F628" s="1370" t="s">
        <v>773</v>
      </c>
      <c r="G628" s="1816">
        <v>0.60360000000000003</v>
      </c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</row>
    <row r="629" spans="1:24" s="1370" customFormat="1" x14ac:dyDescent="0.2">
      <c r="A629" s="1384">
        <v>43547</v>
      </c>
      <c r="B629" s="1489" t="s">
        <v>3535</v>
      </c>
      <c r="C629" s="1489" t="s">
        <v>11025</v>
      </c>
      <c r="D629" s="1834">
        <v>1.5011574074074075E-2</v>
      </c>
      <c r="E629" s="1370" t="s">
        <v>12187</v>
      </c>
      <c r="F629" s="1370" t="s">
        <v>12205</v>
      </c>
      <c r="G629" s="1816">
        <v>0.62680000000000002</v>
      </c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</row>
    <row r="630" spans="1:24" s="1370" customFormat="1" x14ac:dyDescent="0.2">
      <c r="A630" s="1384">
        <v>43533</v>
      </c>
      <c r="B630" s="1489" t="s">
        <v>3535</v>
      </c>
      <c r="C630" s="1489" t="s">
        <v>11025</v>
      </c>
      <c r="D630" s="1834">
        <v>3.4837962962962959E-2</v>
      </c>
      <c r="E630" s="1370" t="s">
        <v>12054</v>
      </c>
      <c r="F630" s="1370" t="s">
        <v>12051</v>
      </c>
      <c r="G630" s="1816">
        <v>0.27010000000000001</v>
      </c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</row>
    <row r="631" spans="1:24" s="1370" customFormat="1" ht="10.5" customHeight="1" x14ac:dyDescent="0.2">
      <c r="A631" s="1384">
        <v>43498</v>
      </c>
      <c r="B631" s="1489" t="s">
        <v>3535</v>
      </c>
      <c r="C631" s="1489" t="s">
        <v>11025</v>
      </c>
      <c r="D631" s="1834">
        <v>1.4733796296296295E-2</v>
      </c>
      <c r="E631" s="1370" t="s">
        <v>9307</v>
      </c>
      <c r="F631" s="1370" t="s">
        <v>11737</v>
      </c>
      <c r="G631" s="1816">
        <v>0.63859999999999995</v>
      </c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</row>
    <row r="632" spans="1:24" s="1370" customFormat="1" x14ac:dyDescent="0.2">
      <c r="A632" s="1384">
        <v>43484</v>
      </c>
      <c r="B632" s="1489" t="s">
        <v>3535</v>
      </c>
      <c r="C632" s="1489" t="s">
        <v>11025</v>
      </c>
      <c r="D632" s="1733">
        <v>1.4421296296296295E-2</v>
      </c>
      <c r="E632" s="1489" t="s">
        <v>10983</v>
      </c>
      <c r="F632" s="1489" t="s">
        <v>11545</v>
      </c>
      <c r="G632" s="1815">
        <v>0.65249999999999997</v>
      </c>
      <c r="H632" s="1489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</row>
    <row r="633" spans="1:24" s="1370" customFormat="1" x14ac:dyDescent="0.2">
      <c r="A633" s="1384">
        <v>43466</v>
      </c>
      <c r="B633" s="1489" t="s">
        <v>3535</v>
      </c>
      <c r="C633" s="1489" t="s">
        <v>11025</v>
      </c>
      <c r="D633" s="1834">
        <v>2.0752314814814814E-2</v>
      </c>
      <c r="E633" s="1370" t="s">
        <v>11490</v>
      </c>
      <c r="F633" s="1370" t="s">
        <v>11521</v>
      </c>
      <c r="G633" s="1816">
        <v>0.4501</v>
      </c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</row>
    <row r="634" spans="1:24" s="1370" customFormat="1" ht="12.75" customHeight="1" x14ac:dyDescent="0.2">
      <c r="A634" s="1729">
        <v>43827</v>
      </c>
      <c r="B634" s="1489" t="s">
        <v>4576</v>
      </c>
      <c r="C634" s="1489" t="s">
        <v>4577</v>
      </c>
      <c r="D634" s="1621">
        <v>1.7199074074074071E-2</v>
      </c>
      <c r="E634" s="1489" t="s">
        <v>16421</v>
      </c>
      <c r="F634" s="1489" t="s">
        <v>1212</v>
      </c>
      <c r="G634" s="1817">
        <v>0.58609999999999995</v>
      </c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</row>
    <row r="635" spans="1:24" s="1370" customFormat="1" x14ac:dyDescent="0.2">
      <c r="A635" s="34">
        <v>43824</v>
      </c>
      <c r="B635" s="1489" t="s">
        <v>4576</v>
      </c>
      <c r="C635" s="1489" t="s">
        <v>4577</v>
      </c>
      <c r="D635" s="1621">
        <v>1.9537037037037037E-2</v>
      </c>
      <c r="E635" s="1489" t="s">
        <v>16375</v>
      </c>
      <c r="F635" s="1489" t="s">
        <v>16383</v>
      </c>
      <c r="G635" s="1817">
        <v>0.51600000000000001</v>
      </c>
      <c r="H635" s="1404" t="s">
        <v>16362</v>
      </c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</row>
    <row r="636" spans="1:24" s="1370" customFormat="1" x14ac:dyDescent="0.2">
      <c r="A636" s="1673">
        <v>43820</v>
      </c>
      <c r="B636" s="1489" t="s">
        <v>4576</v>
      </c>
      <c r="C636" s="1489" t="s">
        <v>4577</v>
      </c>
      <c r="D636" s="1777">
        <v>1.6886574074074075E-2</v>
      </c>
      <c r="E636" s="80" t="s">
        <v>16308</v>
      </c>
      <c r="F636"/>
      <c r="G636" s="314">
        <v>0.59699999999999998</v>
      </c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</row>
    <row r="637" spans="1:24" s="1370" customFormat="1" x14ac:dyDescent="0.2">
      <c r="A637" s="1765">
        <v>43813</v>
      </c>
      <c r="B637" s="1489" t="s">
        <v>4576</v>
      </c>
      <c r="C637" s="1489" t="s">
        <v>4577</v>
      </c>
      <c r="D637" s="1621">
        <v>1.7245370370370369E-2</v>
      </c>
      <c r="E637" s="1489" t="s">
        <v>16263</v>
      </c>
      <c r="F637" s="1404"/>
      <c r="G637" s="1817">
        <v>0.58460000000000001</v>
      </c>
      <c r="H637" s="1404"/>
      <c r="I637" s="1404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</row>
    <row r="638" spans="1:24" s="1370" customFormat="1" x14ac:dyDescent="0.2">
      <c r="A638" s="34">
        <v>43806</v>
      </c>
      <c r="B638" s="1489" t="s">
        <v>4576</v>
      </c>
      <c r="C638" s="1489" t="s">
        <v>4577</v>
      </c>
      <c r="D638" s="1621">
        <v>1.8368055555555554E-2</v>
      </c>
      <c r="E638" s="1489" t="s">
        <v>16207</v>
      </c>
      <c r="F638" s="1404"/>
      <c r="G638" s="1817">
        <v>0.54879999999999995</v>
      </c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</row>
    <row r="639" spans="1:24" s="1370" customFormat="1" x14ac:dyDescent="0.2">
      <c r="A639" s="1729">
        <v>43799</v>
      </c>
      <c r="B639" s="1489" t="s">
        <v>4576</v>
      </c>
      <c r="C639" s="1489" t="s">
        <v>4577</v>
      </c>
      <c r="D639" s="1674">
        <v>1.9837962962962963E-2</v>
      </c>
      <c r="E639" t="s">
        <v>16152</v>
      </c>
      <c r="F639"/>
      <c r="G639" s="314">
        <v>0.50819999999999999</v>
      </c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</row>
    <row r="640" spans="1:24" s="1370" customFormat="1" x14ac:dyDescent="0.2">
      <c r="A640" s="1751">
        <v>43792</v>
      </c>
      <c r="B640" s="1489" t="s">
        <v>4576</v>
      </c>
      <c r="C640" s="1489" t="s">
        <v>4577</v>
      </c>
      <c r="D640" s="1786">
        <v>2.1550925925925928E-2</v>
      </c>
      <c r="E640" s="1489" t="s">
        <v>16097</v>
      </c>
      <c r="F640" s="1404"/>
      <c r="G640" s="1817">
        <v>0.46779999999999999</v>
      </c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</row>
    <row r="641" spans="1:24" s="1370" customFormat="1" x14ac:dyDescent="0.2">
      <c r="A641" s="1673">
        <v>43785</v>
      </c>
      <c r="B641" s="1489" t="s">
        <v>4576</v>
      </c>
      <c r="C641" s="1489" t="s">
        <v>4577</v>
      </c>
      <c r="D641" s="1674">
        <v>1.8287037037037036E-2</v>
      </c>
      <c r="E641" s="80" t="s">
        <v>15993</v>
      </c>
      <c r="F641" s="80"/>
      <c r="G641" s="314">
        <v>0.55130000000000001</v>
      </c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</row>
    <row r="642" spans="1:24" s="1370" customFormat="1" x14ac:dyDescent="0.2">
      <c r="A642" s="1384">
        <v>43778</v>
      </c>
      <c r="B642" s="1489" t="s">
        <v>4576</v>
      </c>
      <c r="C642" s="1489" t="s">
        <v>4577</v>
      </c>
      <c r="D642" s="1725">
        <v>1.8379629629629628E-2</v>
      </c>
      <c r="E642" s="1726" t="s">
        <v>15955</v>
      </c>
      <c r="F642" s="1723"/>
      <c r="G642" s="1820">
        <v>0.54849999999999999</v>
      </c>
    </row>
    <row r="643" spans="1:24" s="1370" customFormat="1" x14ac:dyDescent="0.2">
      <c r="A643" s="1384">
        <v>43771</v>
      </c>
      <c r="B643" s="1489" t="s">
        <v>4576</v>
      </c>
      <c r="C643" s="1489" t="s">
        <v>4577</v>
      </c>
      <c r="D643" s="1731">
        <v>1.6921296296296295E-2</v>
      </c>
      <c r="E643" s="1370" t="s">
        <v>15880</v>
      </c>
      <c r="G643" s="1816">
        <v>0.5958</v>
      </c>
    </row>
    <row r="644" spans="1:24" s="1370" customFormat="1" x14ac:dyDescent="0.2">
      <c r="A644" s="1384">
        <v>43764</v>
      </c>
      <c r="B644" s="1489" t="s">
        <v>4576</v>
      </c>
      <c r="C644" s="1489" t="s">
        <v>4577</v>
      </c>
      <c r="D644" s="1727">
        <v>1.7511574074074072E-2</v>
      </c>
      <c r="E644" s="1728" t="s">
        <v>15910</v>
      </c>
      <c r="F644" s="1728"/>
      <c r="G644" s="1821">
        <v>0.57569999999999999</v>
      </c>
    </row>
    <row r="645" spans="1:24" s="1370" customFormat="1" x14ac:dyDescent="0.2">
      <c r="A645" s="523">
        <v>43757</v>
      </c>
      <c r="B645" s="1489" t="s">
        <v>4576</v>
      </c>
      <c r="C645" s="1489" t="s">
        <v>4577</v>
      </c>
      <c r="D645" s="1686">
        <v>1.7881944444444447E-2</v>
      </c>
      <c r="E645" s="1489" t="s">
        <v>15846</v>
      </c>
      <c r="F645" s="1489"/>
      <c r="G645" s="1815">
        <v>0.56379999999999997</v>
      </c>
      <c r="H645" s="1489"/>
      <c r="I645" s="1489"/>
      <c r="J645" s="1489"/>
      <c r="K645" s="1489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</row>
    <row r="646" spans="1:24" s="1370" customFormat="1" x14ac:dyDescent="0.2">
      <c r="A646" s="523">
        <v>43750</v>
      </c>
      <c r="B646" s="1489" t="s">
        <v>4576</v>
      </c>
      <c r="C646" s="1489" t="s">
        <v>4577</v>
      </c>
      <c r="D646" s="1686">
        <v>1.7685185185185186E-2</v>
      </c>
      <c r="E646" s="1489" t="s">
        <v>15790</v>
      </c>
      <c r="F646" s="1489" t="s">
        <v>8822</v>
      </c>
      <c r="G646" s="1815">
        <v>0.56999999999999995</v>
      </c>
      <c r="H646" s="80"/>
      <c r="I646" s="80"/>
      <c r="J646" s="80"/>
      <c r="K646" s="80"/>
    </row>
    <row r="647" spans="1:24" s="1370" customFormat="1" x14ac:dyDescent="0.2">
      <c r="A647" s="1729">
        <v>43743</v>
      </c>
      <c r="B647" s="1489" t="s">
        <v>4576</v>
      </c>
      <c r="C647" s="1489" t="s">
        <v>4577</v>
      </c>
      <c r="D647" s="1731">
        <v>1.7488425925925925E-2</v>
      </c>
      <c r="E647" s="80" t="s">
        <v>15714</v>
      </c>
      <c r="F647" s="80" t="s">
        <v>15769</v>
      </c>
      <c r="G647" s="317">
        <v>0.57640000000000002</v>
      </c>
      <c r="H647" s="80"/>
      <c r="I647" s="80"/>
      <c r="J647" s="80"/>
      <c r="K647" s="80"/>
    </row>
    <row r="648" spans="1:24" s="1370" customFormat="1" x14ac:dyDescent="0.2">
      <c r="A648" s="1729">
        <v>43729</v>
      </c>
      <c r="B648" s="1489" t="s">
        <v>4576</v>
      </c>
      <c r="C648" s="1489" t="s">
        <v>4577</v>
      </c>
      <c r="D648" s="1686">
        <v>1.6932870370370372E-2</v>
      </c>
      <c r="E648" s="1489" t="s">
        <v>15566</v>
      </c>
      <c r="F648" s="1489" t="s">
        <v>15589</v>
      </c>
      <c r="G648" s="1815">
        <v>0.59540000000000004</v>
      </c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</row>
    <row r="649" spans="1:24" s="1370" customFormat="1" ht="12.75" customHeight="1" x14ac:dyDescent="0.2">
      <c r="A649" s="523">
        <v>43722</v>
      </c>
      <c r="B649" s="1489" t="s">
        <v>4576</v>
      </c>
      <c r="C649" s="1489" t="s">
        <v>4577</v>
      </c>
      <c r="D649" s="1686">
        <v>1.7476851851851851E-2</v>
      </c>
      <c r="E649" s="1489" t="s">
        <v>15463</v>
      </c>
      <c r="F649" s="1489" t="s">
        <v>15534</v>
      </c>
      <c r="G649" s="1815">
        <v>0.57679999999999998</v>
      </c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</row>
    <row r="650" spans="1:24" s="1370" customFormat="1" x14ac:dyDescent="0.2">
      <c r="A650" s="523">
        <v>43715</v>
      </c>
      <c r="B650" s="1489" t="s">
        <v>4576</v>
      </c>
      <c r="C650" s="1489" t="s">
        <v>4577</v>
      </c>
      <c r="D650" s="1730">
        <v>1.8125000000000002E-2</v>
      </c>
      <c r="E650" s="80" t="s">
        <v>15418</v>
      </c>
      <c r="F650" s="1489"/>
      <c r="G650" s="317">
        <v>0.55620000000000003</v>
      </c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</row>
    <row r="651" spans="1:24" s="1370" customFormat="1" x14ac:dyDescent="0.2">
      <c r="A651" s="1526">
        <v>43701</v>
      </c>
      <c r="B651" s="1489" t="s">
        <v>4576</v>
      </c>
      <c r="C651" s="1489" t="s">
        <v>4577</v>
      </c>
      <c r="D651" s="1686">
        <v>1.6724537037037034E-2</v>
      </c>
      <c r="E651" s="1489" t="s">
        <v>15269</v>
      </c>
      <c r="F651" s="1489"/>
      <c r="G651" s="1815">
        <v>0.6028</v>
      </c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</row>
    <row r="652" spans="1:24" s="1370" customFormat="1" x14ac:dyDescent="0.2">
      <c r="A652" s="523">
        <v>43694</v>
      </c>
      <c r="B652" s="1489" t="s">
        <v>4576</v>
      </c>
      <c r="C652" s="1489" t="s">
        <v>4577</v>
      </c>
      <c r="D652" s="1733">
        <v>1.6979166666666667E-2</v>
      </c>
      <c r="E652" s="1489" t="s">
        <v>15160</v>
      </c>
      <c r="F652" s="1489"/>
      <c r="G652" s="1815">
        <v>0.59370000000000001</v>
      </c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</row>
    <row r="653" spans="1:24" s="1370" customFormat="1" x14ac:dyDescent="0.2">
      <c r="A653" s="523">
        <v>43687</v>
      </c>
      <c r="B653" s="1489" t="s">
        <v>4576</v>
      </c>
      <c r="C653" s="1489" t="s">
        <v>4577</v>
      </c>
      <c r="D653" s="1686">
        <v>1.8402777777777778E-2</v>
      </c>
      <c r="E653" s="1489" t="s">
        <v>13427</v>
      </c>
      <c r="F653" s="1489"/>
      <c r="G653" s="1815">
        <v>0.54779999999999995</v>
      </c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</row>
    <row r="654" spans="1:24" s="1370" customFormat="1" ht="12.75" customHeight="1" x14ac:dyDescent="0.2">
      <c r="A654" s="1384">
        <v>43680</v>
      </c>
      <c r="B654" s="1489" t="s">
        <v>4576</v>
      </c>
      <c r="C654" s="1489" t="s">
        <v>4577</v>
      </c>
      <c r="D654" s="1686">
        <v>1.7534722222222222E-2</v>
      </c>
      <c r="E654" s="1489" t="s">
        <v>13351</v>
      </c>
      <c r="F654" s="1489"/>
      <c r="G654" s="1815">
        <v>0.57489999999999997</v>
      </c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</row>
    <row r="655" spans="1:24" s="1370" customFormat="1" x14ac:dyDescent="0.2">
      <c r="A655" s="1384">
        <v>43673</v>
      </c>
      <c r="B655" s="1489" t="s">
        <v>4576</v>
      </c>
      <c r="C655" s="1489" t="s">
        <v>4577</v>
      </c>
      <c r="D655" s="1686">
        <v>1.7453703703703704E-2</v>
      </c>
      <c r="E655" s="1489" t="s">
        <v>13281</v>
      </c>
      <c r="F655" s="1489" t="s">
        <v>13322</v>
      </c>
      <c r="G655" s="1815">
        <v>0.5776</v>
      </c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</row>
    <row r="656" spans="1:24" s="1370" customFormat="1" x14ac:dyDescent="0.2">
      <c r="A656" s="523">
        <v>43666</v>
      </c>
      <c r="B656" s="1489" t="s">
        <v>4576</v>
      </c>
      <c r="C656" s="1489" t="s">
        <v>4577</v>
      </c>
      <c r="D656" s="1686">
        <v>1.6967592592592593E-2</v>
      </c>
      <c r="E656" s="1489" t="s">
        <v>13191</v>
      </c>
      <c r="F656" s="1489" t="s">
        <v>13230</v>
      </c>
      <c r="G656" s="1815">
        <v>0.59409999999999996</v>
      </c>
      <c r="H656" s="80"/>
      <c r="I656" s="80"/>
      <c r="J656" s="80"/>
      <c r="K656" s="80"/>
    </row>
    <row r="657" spans="1:24" s="1370" customFormat="1" x14ac:dyDescent="0.2">
      <c r="A657" s="523">
        <v>43659</v>
      </c>
      <c r="B657" s="1489" t="s">
        <v>4576</v>
      </c>
      <c r="C657" s="1489" t="s">
        <v>4577</v>
      </c>
      <c r="D657" s="1686">
        <v>1.7569444444444447E-2</v>
      </c>
      <c r="E657" s="1489" t="s">
        <v>13133</v>
      </c>
      <c r="F657" s="1489"/>
      <c r="G657" s="1815">
        <v>0.57379999999999998</v>
      </c>
      <c r="H657" s="80"/>
      <c r="I657" s="1489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</row>
    <row r="658" spans="1:24" s="1370" customFormat="1" x14ac:dyDescent="0.2">
      <c r="A658" s="523">
        <v>43652</v>
      </c>
      <c r="B658" s="1489" t="s">
        <v>4576</v>
      </c>
      <c r="C658" s="1489" t="s">
        <v>4577</v>
      </c>
      <c r="D658" s="1686">
        <v>1.7106481481481479E-2</v>
      </c>
      <c r="E658" s="1489" t="s">
        <v>13068</v>
      </c>
      <c r="F658" s="1489" t="s">
        <v>13093</v>
      </c>
      <c r="G658" s="1815">
        <v>0.58930000000000005</v>
      </c>
      <c r="H658" s="1489"/>
      <c r="I658" s="80"/>
      <c r="J658" s="80"/>
      <c r="K658" s="80"/>
    </row>
    <row r="659" spans="1:24" s="1370" customFormat="1" x14ac:dyDescent="0.2">
      <c r="A659" s="523">
        <v>43652</v>
      </c>
      <c r="B659" s="1489" t="s">
        <v>4576</v>
      </c>
      <c r="C659" s="1489" t="s">
        <v>4577</v>
      </c>
      <c r="D659" s="1695" t="s">
        <v>3334</v>
      </c>
      <c r="E659" s="80" t="s">
        <v>12510</v>
      </c>
      <c r="F659" s="1489" t="s">
        <v>2726</v>
      </c>
      <c r="G659" s="317"/>
      <c r="H659" s="1489"/>
      <c r="I659" s="1489"/>
      <c r="J659" s="1489"/>
      <c r="K659" s="1489"/>
    </row>
    <row r="660" spans="1:24" s="1370" customFormat="1" x14ac:dyDescent="0.2">
      <c r="A660" s="523">
        <v>43645</v>
      </c>
      <c r="B660" s="1489" t="s">
        <v>4576</v>
      </c>
      <c r="C660" s="1489" t="s">
        <v>4577</v>
      </c>
      <c r="D660" s="1686">
        <v>1.741898148148148E-2</v>
      </c>
      <c r="E660" s="80" t="s">
        <v>13023</v>
      </c>
      <c r="F660" s="80"/>
      <c r="G660" s="1815">
        <v>0.57869999999999999</v>
      </c>
      <c r="H660" s="80"/>
      <c r="I660" s="80"/>
      <c r="J660" s="80"/>
      <c r="K660" s="80"/>
    </row>
    <row r="661" spans="1:24" s="1370" customFormat="1" x14ac:dyDescent="0.2">
      <c r="A661" s="523">
        <v>43638</v>
      </c>
      <c r="B661" s="1489" t="s">
        <v>4576</v>
      </c>
      <c r="C661" s="1489" t="s">
        <v>4577</v>
      </c>
      <c r="D661" s="1840">
        <v>1.8275462962962962E-2</v>
      </c>
      <c r="E661" s="1493" t="s">
        <v>12981</v>
      </c>
      <c r="F661" s="1493" t="s">
        <v>12998</v>
      </c>
      <c r="G661" s="1823">
        <v>0.55159999999999998</v>
      </c>
      <c r="H661" s="80"/>
      <c r="I661" s="80"/>
      <c r="J661" s="80"/>
      <c r="K661" s="80"/>
    </row>
    <row r="662" spans="1:24" s="1370" customFormat="1" x14ac:dyDescent="0.2">
      <c r="A662" s="523">
        <v>43631</v>
      </c>
      <c r="B662" s="1489" t="s">
        <v>4576</v>
      </c>
      <c r="C662" s="1489" t="s">
        <v>4577</v>
      </c>
      <c r="D662" s="1840">
        <v>1.6851851851851851E-2</v>
      </c>
      <c r="E662" s="1493" t="s">
        <v>12922</v>
      </c>
      <c r="F662" s="1494"/>
      <c r="G662" s="1823">
        <v>0.59819999999999995</v>
      </c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</row>
    <row r="663" spans="1:24" s="1370" customFormat="1" ht="12.75" customHeight="1" x14ac:dyDescent="0.2">
      <c r="A663" s="523">
        <v>43624</v>
      </c>
      <c r="B663" s="1489" t="s">
        <v>4576</v>
      </c>
      <c r="C663" s="1489" t="s">
        <v>4577</v>
      </c>
      <c r="D663" s="1840">
        <v>1.699074074074074E-2</v>
      </c>
      <c r="E663" s="1493" t="s">
        <v>12862</v>
      </c>
      <c r="F663" s="1493"/>
      <c r="G663" s="1823">
        <v>0.59330000000000005</v>
      </c>
      <c r="H663" s="80"/>
      <c r="I663" s="80"/>
      <c r="J663" s="80"/>
      <c r="K663" s="80"/>
    </row>
    <row r="664" spans="1:24" s="1370" customFormat="1" x14ac:dyDescent="0.2">
      <c r="A664" s="1384">
        <v>43610</v>
      </c>
      <c r="B664" s="1489" t="s">
        <v>4576</v>
      </c>
      <c r="C664" s="1489" t="s">
        <v>4577</v>
      </c>
      <c r="D664" s="1834">
        <v>1.667824074074074E-2</v>
      </c>
      <c r="E664" s="1370" t="s">
        <v>12727</v>
      </c>
      <c r="G664" s="1816">
        <v>0.59960000000000002</v>
      </c>
    </row>
    <row r="665" spans="1:24" s="1370" customFormat="1" x14ac:dyDescent="0.2">
      <c r="A665" s="1384">
        <v>43603</v>
      </c>
      <c r="B665" s="1489" t="s">
        <v>4576</v>
      </c>
      <c r="C665" s="1489" t="s">
        <v>4577</v>
      </c>
      <c r="D665" s="1834">
        <v>1.7187499999999998E-2</v>
      </c>
      <c r="E665" s="532" t="s">
        <v>12677</v>
      </c>
      <c r="G665" s="1816">
        <v>0.58179999999999998</v>
      </c>
    </row>
    <row r="666" spans="1:24" s="1370" customFormat="1" x14ac:dyDescent="0.2">
      <c r="A666" s="1384">
        <v>43596</v>
      </c>
      <c r="B666" s="1489" t="s">
        <v>4576</v>
      </c>
      <c r="C666" s="1489" t="s">
        <v>4577</v>
      </c>
      <c r="D666" s="1733">
        <v>1.8738425925925926E-2</v>
      </c>
      <c r="E666" s="1489" t="s">
        <v>12562</v>
      </c>
      <c r="F666" s="1489" t="s">
        <v>12567</v>
      </c>
      <c r="G666" s="1815">
        <v>0.53369999999999995</v>
      </c>
      <c r="I666" s="1489" t="s">
        <v>12568</v>
      </c>
    </row>
    <row r="667" spans="1:24" s="1370" customFormat="1" x14ac:dyDescent="0.2">
      <c r="A667" s="1384">
        <v>43589</v>
      </c>
      <c r="B667" s="1489" t="s">
        <v>4576</v>
      </c>
      <c r="C667" s="1489" t="s">
        <v>4577</v>
      </c>
      <c r="D667" s="1834">
        <v>1.7094907407407409E-2</v>
      </c>
      <c r="E667" s="1370" t="s">
        <v>12564</v>
      </c>
      <c r="F667" s="1370" t="s">
        <v>12565</v>
      </c>
      <c r="G667" s="1816">
        <v>0.58499999999999996</v>
      </c>
    </row>
    <row r="668" spans="1:24" s="1370" customFormat="1" x14ac:dyDescent="0.2">
      <c r="A668" s="1384">
        <v>43582</v>
      </c>
      <c r="B668" s="1489" t="s">
        <v>4576</v>
      </c>
      <c r="C668" s="1489" t="s">
        <v>4577</v>
      </c>
      <c r="D668" s="1834">
        <v>1.7812499999999998E-2</v>
      </c>
      <c r="E668" s="1370" t="s">
        <v>12563</v>
      </c>
      <c r="F668" s="1370" t="s">
        <v>12566</v>
      </c>
      <c r="G668" s="1816">
        <v>0.56140000000000001</v>
      </c>
    </row>
    <row r="669" spans="1:24" s="1370" customFormat="1" x14ac:dyDescent="0.2">
      <c r="A669" s="1384">
        <v>43575</v>
      </c>
      <c r="B669" s="1489" t="s">
        <v>4576</v>
      </c>
      <c r="C669" s="1489" t="s">
        <v>4577</v>
      </c>
      <c r="D669" s="1834">
        <v>1.7199074074074071E-2</v>
      </c>
      <c r="E669" s="532" t="s">
        <v>12475</v>
      </c>
      <c r="F669" s="1370" t="s">
        <v>12476</v>
      </c>
      <c r="G669" s="1816">
        <v>0.58140000000000003</v>
      </c>
    </row>
    <row r="670" spans="1:24" s="1370" customFormat="1" x14ac:dyDescent="0.2">
      <c r="A670" s="1384">
        <v>43568</v>
      </c>
      <c r="B670" s="1489" t="s">
        <v>4576</v>
      </c>
      <c r="C670" s="1489" t="s">
        <v>4577</v>
      </c>
      <c r="D670" s="1733">
        <v>1.8425925925925925E-2</v>
      </c>
      <c r="E670" s="1489" t="s">
        <v>12394</v>
      </c>
      <c r="F670" s="1489" t="s">
        <v>12396</v>
      </c>
      <c r="G670" s="1815">
        <v>0.54269999999999996</v>
      </c>
      <c r="H670" s="1489"/>
    </row>
    <row r="671" spans="1:24" s="1370" customFormat="1" x14ac:dyDescent="0.2">
      <c r="A671" s="1384">
        <v>43561</v>
      </c>
      <c r="B671" s="1489" t="s">
        <v>4576</v>
      </c>
      <c r="C671" s="1489" t="s">
        <v>4577</v>
      </c>
      <c r="D671" s="1834">
        <v>1.7592592592592594E-2</v>
      </c>
      <c r="E671" s="1370" t="s">
        <v>12336</v>
      </c>
      <c r="F671" s="1370" t="s">
        <v>2186</v>
      </c>
      <c r="G671" s="1816">
        <v>0.56840000000000002</v>
      </c>
    </row>
    <row r="672" spans="1:24" s="1370" customFormat="1" x14ac:dyDescent="0.2">
      <c r="A672" s="1384">
        <v>43547</v>
      </c>
      <c r="B672" s="1489" t="s">
        <v>4576</v>
      </c>
      <c r="C672" s="1489" t="s">
        <v>4577</v>
      </c>
      <c r="D672" s="1834">
        <v>1.6550925925925924E-2</v>
      </c>
      <c r="E672" s="1370" t="s">
        <v>12173</v>
      </c>
      <c r="F672" s="1370" t="s">
        <v>12186</v>
      </c>
      <c r="G672" s="1816">
        <v>0.60419999999999996</v>
      </c>
    </row>
    <row r="673" spans="1:24" s="1370" customFormat="1" x14ac:dyDescent="0.2">
      <c r="A673" s="1384">
        <v>43540</v>
      </c>
      <c r="B673" s="1489" t="s">
        <v>4576</v>
      </c>
      <c r="C673" s="1489" t="s">
        <v>4577</v>
      </c>
      <c r="D673" s="1834">
        <v>2.119212962962963E-2</v>
      </c>
      <c r="E673" s="1370" t="s">
        <v>12099</v>
      </c>
      <c r="F673" s="1370" t="s">
        <v>12096</v>
      </c>
      <c r="G673" s="1816">
        <v>0.47189999999999999</v>
      </c>
    </row>
    <row r="674" spans="1:24" s="1370" customFormat="1" x14ac:dyDescent="0.2">
      <c r="A674" s="1384">
        <v>43533</v>
      </c>
      <c r="B674" s="1489" t="s">
        <v>4576</v>
      </c>
      <c r="C674" s="1489" t="s">
        <v>4577</v>
      </c>
      <c r="D674" s="1834">
        <v>1.7002314814814814E-2</v>
      </c>
      <c r="E674" s="1370" t="s">
        <v>12019</v>
      </c>
      <c r="F674" s="1370" t="s">
        <v>12036</v>
      </c>
      <c r="G674" s="1816">
        <v>0.58819999999999995</v>
      </c>
    </row>
    <row r="675" spans="1:24" s="1370" customFormat="1" x14ac:dyDescent="0.2">
      <c r="A675" s="1384">
        <v>43526</v>
      </c>
      <c r="B675" s="1489" t="s">
        <v>4576</v>
      </c>
      <c r="C675" s="1489" t="s">
        <v>4577</v>
      </c>
      <c r="D675" s="1834">
        <v>1.6111111111111111E-2</v>
      </c>
      <c r="E675" s="1370" t="s">
        <v>11938</v>
      </c>
      <c r="F675" s="1370" t="s">
        <v>11933</v>
      </c>
      <c r="G675" s="1816">
        <v>0.62070000000000003</v>
      </c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</row>
    <row r="676" spans="1:24" s="1370" customFormat="1" x14ac:dyDescent="0.2">
      <c r="A676" s="1384">
        <v>43519</v>
      </c>
      <c r="B676" s="1489" t="s">
        <v>4576</v>
      </c>
      <c r="C676" s="1489" t="s">
        <v>4577</v>
      </c>
      <c r="D676" s="1834">
        <v>1.6342592592592593E-2</v>
      </c>
      <c r="E676" s="1370" t="s">
        <v>5883</v>
      </c>
      <c r="F676" s="1370" t="s">
        <v>11902</v>
      </c>
      <c r="G676" s="1816">
        <v>0.6119</v>
      </c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</row>
    <row r="677" spans="1:24" s="1370" customFormat="1" ht="12.75" customHeight="1" x14ac:dyDescent="0.2">
      <c r="A677" s="1384">
        <v>43512</v>
      </c>
      <c r="B677" s="1489" t="s">
        <v>4576</v>
      </c>
      <c r="C677" s="1489" t="s">
        <v>4577</v>
      </c>
      <c r="D677" s="1834">
        <v>1.7175925925925924E-2</v>
      </c>
      <c r="E677" s="532" t="s">
        <v>5456</v>
      </c>
      <c r="F677" s="1370" t="s">
        <v>11554</v>
      </c>
      <c r="G677" s="1816">
        <v>0.59019999999999995</v>
      </c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</row>
    <row r="678" spans="1:24" s="1370" customFormat="1" x14ac:dyDescent="0.2">
      <c r="A678" s="1384">
        <v>43505</v>
      </c>
      <c r="B678" s="1489" t="s">
        <v>4576</v>
      </c>
      <c r="C678" s="1489" t="s">
        <v>4577</v>
      </c>
      <c r="D678" s="1834">
        <v>1.6875000000000001E-2</v>
      </c>
      <c r="E678" s="1370" t="s">
        <v>5883</v>
      </c>
      <c r="F678" s="1370" t="s">
        <v>11772</v>
      </c>
      <c r="G678" s="1816">
        <v>0.59260000000000002</v>
      </c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</row>
    <row r="679" spans="1:24" s="1370" customFormat="1" x14ac:dyDescent="0.2">
      <c r="A679" s="1384">
        <v>43498</v>
      </c>
      <c r="B679" s="1489" t="s">
        <v>4576</v>
      </c>
      <c r="C679" s="1489" t="s">
        <v>4577</v>
      </c>
      <c r="D679" s="1834">
        <v>1.7569444444444447E-2</v>
      </c>
      <c r="E679" s="1370" t="s">
        <v>998</v>
      </c>
      <c r="F679" s="1370" t="s">
        <v>11723</v>
      </c>
      <c r="G679" s="1816">
        <v>0.56920000000000004</v>
      </c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</row>
    <row r="680" spans="1:24" s="1370" customFormat="1" x14ac:dyDescent="0.2">
      <c r="A680" s="1384">
        <v>43491</v>
      </c>
      <c r="B680" s="1489" t="s">
        <v>4576</v>
      </c>
      <c r="C680" s="1489" t="s">
        <v>4577</v>
      </c>
      <c r="D680" s="1834">
        <v>1.638888888888889E-2</v>
      </c>
      <c r="E680" s="1370" t="s">
        <v>5883</v>
      </c>
      <c r="F680" s="1415" t="s">
        <v>6012</v>
      </c>
      <c r="G680" s="1816">
        <v>0.61019999999999996</v>
      </c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</row>
    <row r="681" spans="1:24" s="1370" customFormat="1" x14ac:dyDescent="0.2">
      <c r="A681" s="1384">
        <v>43484</v>
      </c>
      <c r="B681" s="1489" t="s">
        <v>4576</v>
      </c>
      <c r="C681" s="1489" t="s">
        <v>4577</v>
      </c>
      <c r="D681" s="1834">
        <v>1.6469907407407405E-2</v>
      </c>
      <c r="E681" s="1370" t="s">
        <v>5883</v>
      </c>
      <c r="F681" s="1370" t="s">
        <v>8667</v>
      </c>
      <c r="G681" s="1816">
        <v>0.60719999999999996</v>
      </c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</row>
    <row r="682" spans="1:24" s="1370" customFormat="1" x14ac:dyDescent="0.2">
      <c r="A682" s="1384">
        <v>43477</v>
      </c>
      <c r="B682" s="1489" t="s">
        <v>4576</v>
      </c>
      <c r="C682" s="1489" t="s">
        <v>4577</v>
      </c>
      <c r="D682" s="1834">
        <v>1.6481481481481482E-2</v>
      </c>
      <c r="E682" s="1370" t="s">
        <v>5883</v>
      </c>
      <c r="F682" s="1370" t="s">
        <v>4958</v>
      </c>
      <c r="G682" s="1816">
        <v>0.60670000000000002</v>
      </c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</row>
    <row r="683" spans="1:24" s="1370" customFormat="1" x14ac:dyDescent="0.2">
      <c r="A683" s="1384">
        <v>43470</v>
      </c>
      <c r="B683" s="1489" t="s">
        <v>4576</v>
      </c>
      <c r="C683" s="1489" t="s">
        <v>4577</v>
      </c>
      <c r="D683" s="1834">
        <v>1.6655092592592593E-2</v>
      </c>
      <c r="E683" s="1370" t="s">
        <v>5883</v>
      </c>
      <c r="F683" s="1370" t="s">
        <v>8226</v>
      </c>
      <c r="G683" s="1816">
        <v>0.60040000000000004</v>
      </c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</row>
    <row r="684" spans="1:24" s="1370" customFormat="1" x14ac:dyDescent="0.2">
      <c r="A684" s="1384">
        <v>43466</v>
      </c>
      <c r="B684" s="1489" t="s">
        <v>4576</v>
      </c>
      <c r="C684" s="1489" t="s">
        <v>4577</v>
      </c>
      <c r="D684" s="1834">
        <v>1.7187499999999998E-2</v>
      </c>
      <c r="E684" s="1370" t="s">
        <v>11466</v>
      </c>
      <c r="F684" s="1370" t="s">
        <v>11477</v>
      </c>
      <c r="G684" s="1816">
        <v>0.58179999999999998</v>
      </c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</row>
    <row r="685" spans="1:24" s="1370" customFormat="1" x14ac:dyDescent="0.2">
      <c r="A685" s="1384">
        <v>43466</v>
      </c>
      <c r="B685" s="1489" t="s">
        <v>4576</v>
      </c>
      <c r="C685" s="1489" t="s">
        <v>4577</v>
      </c>
      <c r="D685" s="1834">
        <v>1.7754629629629631E-2</v>
      </c>
      <c r="E685" s="1370" t="s">
        <v>11470</v>
      </c>
      <c r="F685" s="1370" t="s">
        <v>11297</v>
      </c>
      <c r="G685" s="1816">
        <v>0.56320000000000003</v>
      </c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</row>
    <row r="686" spans="1:24" s="1370" customFormat="1" x14ac:dyDescent="0.2">
      <c r="A686" s="523">
        <v>43757</v>
      </c>
      <c r="B686" s="1489" t="s">
        <v>2478</v>
      </c>
      <c r="C686" s="1489" t="s">
        <v>15859</v>
      </c>
      <c r="D686" s="1686">
        <v>1.5671296296296298E-2</v>
      </c>
      <c r="E686" s="1489" t="s">
        <v>15827</v>
      </c>
      <c r="F686" s="1489" t="s">
        <v>15869</v>
      </c>
      <c r="G686" s="1815">
        <v>0.69279999999999997</v>
      </c>
      <c r="H686" s="1489"/>
      <c r="I686" s="1489"/>
      <c r="J686" s="1489"/>
      <c r="K686" s="1489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</row>
    <row r="687" spans="1:24" s="1370" customFormat="1" x14ac:dyDescent="0.2">
      <c r="A687" s="1729">
        <v>43827</v>
      </c>
      <c r="B687" s="1489" t="s">
        <v>3230</v>
      </c>
      <c r="C687" s="1489" t="s">
        <v>11625</v>
      </c>
      <c r="D687" s="1621">
        <v>1.4097222222222223E-2</v>
      </c>
      <c r="E687" s="1489" t="s">
        <v>16430</v>
      </c>
      <c r="F687" s="1489" t="s">
        <v>16457</v>
      </c>
      <c r="G687" s="1817">
        <v>0.79720000000000002</v>
      </c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</row>
    <row r="688" spans="1:24" s="1370" customFormat="1" x14ac:dyDescent="0.2">
      <c r="A688" s="1673">
        <v>43820</v>
      </c>
      <c r="B688" s="1489" t="s">
        <v>3230</v>
      </c>
      <c r="C688" s="1489" t="s">
        <v>11625</v>
      </c>
      <c r="D688" s="1777">
        <v>1.3657407407407408E-2</v>
      </c>
      <c r="E688" s="80" t="s">
        <v>16327</v>
      </c>
      <c r="F688" s="80" t="s">
        <v>16340</v>
      </c>
      <c r="G688" s="314">
        <v>0.82289999999999996</v>
      </c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</row>
    <row r="689" spans="1:24" s="1370" customFormat="1" x14ac:dyDescent="0.2">
      <c r="A689" s="1765">
        <v>43813</v>
      </c>
      <c r="B689" s="1489" t="s">
        <v>3230</v>
      </c>
      <c r="C689" s="1489" t="s">
        <v>11625</v>
      </c>
      <c r="D689" s="1621">
        <v>1.4131944444444445E-2</v>
      </c>
      <c r="E689" s="1489" t="s">
        <v>16266</v>
      </c>
      <c r="F689" s="1489" t="s">
        <v>16280</v>
      </c>
      <c r="G689" s="1817">
        <v>0.79520000000000002</v>
      </c>
      <c r="H689" s="1404"/>
      <c r="I689" s="1489" t="s">
        <v>1212</v>
      </c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</row>
    <row r="690" spans="1:24" s="1370" customFormat="1" x14ac:dyDescent="0.2">
      <c r="A690" s="34">
        <v>43806</v>
      </c>
      <c r="B690" s="1489" t="s">
        <v>3230</v>
      </c>
      <c r="C690" s="1489" t="s">
        <v>11625</v>
      </c>
      <c r="D690" s="1621">
        <v>1.3761574074074074E-2</v>
      </c>
      <c r="E690" s="1489" t="s">
        <v>16213</v>
      </c>
      <c r="F690" s="1489" t="s">
        <v>16229</v>
      </c>
      <c r="G690" s="1817">
        <v>0.81669999999999998</v>
      </c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</row>
    <row r="691" spans="1:24" s="1370" customFormat="1" x14ac:dyDescent="0.2">
      <c r="A691" s="1751">
        <v>43792</v>
      </c>
      <c r="B691" s="1489" t="s">
        <v>3230</v>
      </c>
      <c r="C691" s="1489" t="s">
        <v>11625</v>
      </c>
      <c r="D691" s="1786">
        <v>1.3611111111111112E-2</v>
      </c>
      <c r="E691" s="1489" t="s">
        <v>16078</v>
      </c>
      <c r="F691" s="1404" t="s">
        <v>16105</v>
      </c>
      <c r="G691" s="1817">
        <v>0.82569999999999999</v>
      </c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</row>
    <row r="692" spans="1:24" s="1370" customFormat="1" x14ac:dyDescent="0.2">
      <c r="A692" s="1673">
        <v>43785</v>
      </c>
      <c r="B692" s="1489" t="s">
        <v>3230</v>
      </c>
      <c r="C692" s="1489" t="s">
        <v>11625</v>
      </c>
      <c r="D692" s="1674">
        <v>1.4016203703703704E-2</v>
      </c>
      <c r="E692" s="80" t="s">
        <v>15993</v>
      </c>
      <c r="F692" s="80" t="s">
        <v>16066</v>
      </c>
      <c r="G692" s="314">
        <v>0.80179999999999996</v>
      </c>
    </row>
    <row r="693" spans="1:24" s="1370" customFormat="1" x14ac:dyDescent="0.2">
      <c r="A693" s="1384">
        <v>43778</v>
      </c>
      <c r="B693" s="1489" t="s">
        <v>3230</v>
      </c>
      <c r="C693" s="1489" t="s">
        <v>11625</v>
      </c>
      <c r="D693" s="1725">
        <v>1.4224537037037039E-2</v>
      </c>
      <c r="E693" s="1726" t="s">
        <v>15953</v>
      </c>
      <c r="F693" s="1723" t="s">
        <v>15970</v>
      </c>
      <c r="G693" s="1824">
        <v>0.79010000000000002</v>
      </c>
    </row>
    <row r="694" spans="1:24" s="1370" customFormat="1" x14ac:dyDescent="0.2">
      <c r="A694" s="1384">
        <v>43771</v>
      </c>
      <c r="B694" s="1489" t="s">
        <v>3230</v>
      </c>
      <c r="C694" s="1489" t="s">
        <v>11625</v>
      </c>
      <c r="D694" s="1731">
        <v>1.3969907407407408E-2</v>
      </c>
      <c r="E694" s="1370" t="s">
        <v>15882</v>
      </c>
      <c r="G694" s="1816">
        <v>0.80449999999999999</v>
      </c>
    </row>
    <row r="695" spans="1:24" s="1370" customFormat="1" x14ac:dyDescent="0.2">
      <c r="A695" s="1384">
        <v>43764</v>
      </c>
      <c r="B695" s="1489" t="s">
        <v>3230</v>
      </c>
      <c r="C695" s="1489" t="s">
        <v>11625</v>
      </c>
      <c r="D695" s="1727">
        <v>1.3888888888888888E-2</v>
      </c>
      <c r="E695" s="1728" t="s">
        <v>9497</v>
      </c>
      <c r="F695" s="1728" t="s">
        <v>15922</v>
      </c>
      <c r="G695" s="1821">
        <v>0.80920000000000003</v>
      </c>
    </row>
    <row r="696" spans="1:24" s="1370" customFormat="1" x14ac:dyDescent="0.2">
      <c r="A696" s="523">
        <v>43757</v>
      </c>
      <c r="B696" s="1489" t="s">
        <v>3230</v>
      </c>
      <c r="C696" s="1489" t="s">
        <v>11625</v>
      </c>
      <c r="D696" s="1686">
        <v>1.383101851851852E-2</v>
      </c>
      <c r="E696" s="1489" t="s">
        <v>15844</v>
      </c>
      <c r="F696" s="1489" t="s">
        <v>15861</v>
      </c>
      <c r="G696" s="1815">
        <v>0.81259999999999999</v>
      </c>
      <c r="H696" s="1489"/>
      <c r="I696" s="1489"/>
      <c r="J696" s="1489"/>
      <c r="K696" s="1489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</row>
    <row r="697" spans="1:24" s="1370" customFormat="1" x14ac:dyDescent="0.2">
      <c r="A697" s="523">
        <v>43750</v>
      </c>
      <c r="B697" s="1489" t="s">
        <v>3230</v>
      </c>
      <c r="C697" s="1489" t="s">
        <v>11625</v>
      </c>
      <c r="D697" s="1686" t="s">
        <v>787</v>
      </c>
      <c r="E697" s="1489" t="s">
        <v>12510</v>
      </c>
      <c r="F697" s="1489" t="s">
        <v>5508</v>
      </c>
      <c r="G697" s="1815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</row>
    <row r="698" spans="1:24" s="1370" customFormat="1" x14ac:dyDescent="0.2">
      <c r="A698" s="1729">
        <v>43743</v>
      </c>
      <c r="B698" s="1489" t="s">
        <v>3230</v>
      </c>
      <c r="C698" s="1489" t="s">
        <v>11625</v>
      </c>
      <c r="D698" s="1731">
        <v>1.3680555555555555E-2</v>
      </c>
      <c r="E698" s="80" t="s">
        <v>15706</v>
      </c>
      <c r="F698" s="80" t="s">
        <v>15752</v>
      </c>
      <c r="G698" s="317">
        <v>0.82150000000000001</v>
      </c>
      <c r="H698" s="80"/>
      <c r="I698" s="80" t="s">
        <v>15750</v>
      </c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</row>
    <row r="699" spans="1:24" s="1370" customFormat="1" x14ac:dyDescent="0.2">
      <c r="A699" s="1729">
        <v>43736</v>
      </c>
      <c r="B699" s="1489" t="s">
        <v>3230</v>
      </c>
      <c r="C699" s="1489" t="s">
        <v>11625</v>
      </c>
      <c r="D699" s="1686">
        <v>1.3912037037037037E-2</v>
      </c>
      <c r="E699" s="1489" t="s">
        <v>15634</v>
      </c>
      <c r="F699" s="1489" t="s">
        <v>15667</v>
      </c>
      <c r="G699" s="1815">
        <v>0.80779999999999996</v>
      </c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</row>
    <row r="700" spans="1:24" s="1370" customFormat="1" x14ac:dyDescent="0.2">
      <c r="A700" s="1729">
        <v>43729</v>
      </c>
      <c r="B700" s="1489" t="s">
        <v>3230</v>
      </c>
      <c r="C700" s="1489" t="s">
        <v>11625</v>
      </c>
      <c r="D700" s="1686">
        <v>1.3958333333333333E-2</v>
      </c>
      <c r="E700" s="1489" t="s">
        <v>15566</v>
      </c>
      <c r="F700" s="1489" t="s">
        <v>15586</v>
      </c>
      <c r="G700" s="1815">
        <v>0.80510000000000004</v>
      </c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</row>
    <row r="701" spans="1:24" s="1370" customFormat="1" x14ac:dyDescent="0.2">
      <c r="A701" s="523">
        <v>43722</v>
      </c>
      <c r="B701" s="1489" t="s">
        <v>3230</v>
      </c>
      <c r="C701" s="1489" t="s">
        <v>11625</v>
      </c>
      <c r="D701" s="1686">
        <v>1.3703703703703706E-2</v>
      </c>
      <c r="E701" s="1489" t="s">
        <v>15469</v>
      </c>
      <c r="F701" s="1489" t="s">
        <v>15517</v>
      </c>
      <c r="G701" s="1815">
        <v>0.82010000000000005</v>
      </c>
      <c r="H701" s="80"/>
      <c r="I701" s="80" t="s">
        <v>15515</v>
      </c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</row>
    <row r="702" spans="1:24" s="1370" customFormat="1" x14ac:dyDescent="0.2">
      <c r="A702" s="523">
        <v>43715</v>
      </c>
      <c r="B702" s="1489" t="s">
        <v>3230</v>
      </c>
      <c r="C702" s="1489" t="s">
        <v>11625</v>
      </c>
      <c r="D702" s="1732">
        <v>1.6817129629629626E-2</v>
      </c>
      <c r="E702" s="1514" t="s">
        <v>15428</v>
      </c>
      <c r="F702" s="1489" t="s">
        <v>15433</v>
      </c>
      <c r="G702" s="1822">
        <v>0.66830000000000001</v>
      </c>
      <c r="H702" s="80"/>
      <c r="I702" s="1514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</row>
    <row r="703" spans="1:24" s="1370" customFormat="1" ht="12.75" customHeight="1" x14ac:dyDescent="0.2">
      <c r="A703" s="1526">
        <v>43708</v>
      </c>
      <c r="B703" s="1489" t="s">
        <v>3230</v>
      </c>
      <c r="C703" s="1489" t="s">
        <v>11625</v>
      </c>
      <c r="D703" s="1686">
        <v>1.3981481481481482E-2</v>
      </c>
      <c r="E703" s="1489" t="s">
        <v>15372</v>
      </c>
      <c r="F703" s="1489" t="s">
        <v>15347</v>
      </c>
      <c r="G703" s="1815">
        <v>0.80379999999999996</v>
      </c>
      <c r="H703" s="1489"/>
      <c r="I703" s="1489"/>
      <c r="J703" s="1489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</row>
    <row r="704" spans="1:24" s="1370" customFormat="1" x14ac:dyDescent="0.2">
      <c r="A704" s="1526">
        <v>43701</v>
      </c>
      <c r="B704" s="1489" t="s">
        <v>3230</v>
      </c>
      <c r="C704" s="1489" t="s">
        <v>11625</v>
      </c>
      <c r="D704" s="1686">
        <v>1.4085648148148149E-2</v>
      </c>
      <c r="E704" s="1489" t="s">
        <v>15275</v>
      </c>
      <c r="F704" s="1489" t="s">
        <v>15300</v>
      </c>
      <c r="G704" s="1815">
        <v>0.79790000000000005</v>
      </c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</row>
    <row r="705" spans="1:24" s="1370" customFormat="1" x14ac:dyDescent="0.2">
      <c r="A705" s="523">
        <v>43694</v>
      </c>
      <c r="B705" s="1489" t="s">
        <v>3230</v>
      </c>
      <c r="C705" s="1489" t="s">
        <v>11625</v>
      </c>
      <c r="D705" s="1733">
        <v>1.4421296296296295E-2</v>
      </c>
      <c r="E705" s="1489" t="s">
        <v>15156</v>
      </c>
      <c r="F705" s="1489" t="s">
        <v>15175</v>
      </c>
      <c r="G705" s="1815">
        <v>0.77929999999999999</v>
      </c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</row>
    <row r="706" spans="1:24" s="1370" customFormat="1" x14ac:dyDescent="0.2">
      <c r="A706" s="523">
        <v>43687</v>
      </c>
      <c r="B706" s="1489" t="s">
        <v>3230</v>
      </c>
      <c r="C706" s="1489" t="s">
        <v>11625</v>
      </c>
      <c r="D706" s="1686">
        <v>1.4004629629629629E-2</v>
      </c>
      <c r="E706" s="1489" t="s">
        <v>13445</v>
      </c>
      <c r="F706" s="1489" t="s">
        <v>13451</v>
      </c>
      <c r="G706" s="1815">
        <v>0.80249999999999999</v>
      </c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</row>
    <row r="707" spans="1:24" s="1370" customFormat="1" x14ac:dyDescent="0.2">
      <c r="A707" s="1384">
        <v>43680</v>
      </c>
      <c r="B707" s="1489" t="s">
        <v>3230</v>
      </c>
      <c r="C707" s="1489" t="s">
        <v>11625</v>
      </c>
      <c r="D707" s="1686">
        <v>1.3773148148148147E-2</v>
      </c>
      <c r="E707" s="1489" t="s">
        <v>13353</v>
      </c>
      <c r="F707" s="1489" t="s">
        <v>13394</v>
      </c>
      <c r="G707" s="1815">
        <v>0.81599999999999995</v>
      </c>
      <c r="H707" s="80"/>
      <c r="I707" s="80"/>
      <c r="J707" s="80"/>
      <c r="K707" s="80"/>
    </row>
    <row r="708" spans="1:24" s="1370" customFormat="1" x14ac:dyDescent="0.2">
      <c r="A708" s="1384">
        <v>43673</v>
      </c>
      <c r="B708" s="1489" t="s">
        <v>3230</v>
      </c>
      <c r="C708" s="1489" t="s">
        <v>11625</v>
      </c>
      <c r="D708" s="1686">
        <v>1.4328703703703703E-2</v>
      </c>
      <c r="E708" s="1489" t="s">
        <v>13281</v>
      </c>
      <c r="F708" s="1489"/>
      <c r="G708" s="1815">
        <v>0.7843</v>
      </c>
      <c r="H708" s="80"/>
      <c r="I708" s="80"/>
      <c r="J708" s="80"/>
      <c r="K708" s="80"/>
    </row>
    <row r="709" spans="1:24" s="1370" customFormat="1" x14ac:dyDescent="0.2">
      <c r="A709" s="523">
        <v>43666</v>
      </c>
      <c r="B709" s="1489" t="s">
        <v>3230</v>
      </c>
      <c r="C709" s="1489" t="s">
        <v>11625</v>
      </c>
      <c r="D709" s="1686">
        <v>1.4386574074074072E-2</v>
      </c>
      <c r="E709" s="1489" t="s">
        <v>13188</v>
      </c>
      <c r="F709" s="1489" t="s">
        <v>13214</v>
      </c>
      <c r="G709" s="1815">
        <v>0.78120000000000001</v>
      </c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</row>
    <row r="710" spans="1:24" s="1370" customFormat="1" x14ac:dyDescent="0.2">
      <c r="A710" s="523">
        <v>43659</v>
      </c>
      <c r="B710" s="1489" t="s">
        <v>3230</v>
      </c>
      <c r="C710" s="1489" t="s">
        <v>11625</v>
      </c>
      <c r="D710" s="1686">
        <v>1.3668981481481482E-2</v>
      </c>
      <c r="E710" s="1489" t="s">
        <v>13131</v>
      </c>
      <c r="F710" s="1489" t="s">
        <v>13126</v>
      </c>
      <c r="G710" s="1815">
        <v>0.82220000000000004</v>
      </c>
      <c r="H710" s="80"/>
      <c r="I710" s="1489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</row>
    <row r="711" spans="1:24" s="1370" customFormat="1" x14ac:dyDescent="0.2">
      <c r="A711" s="523">
        <v>43652</v>
      </c>
      <c r="B711" s="1489" t="s">
        <v>3230</v>
      </c>
      <c r="C711" s="1489" t="s">
        <v>11625</v>
      </c>
      <c r="D711" s="1686">
        <v>1.3993055555555554E-2</v>
      </c>
      <c r="E711" s="1489" t="s">
        <v>13068</v>
      </c>
      <c r="F711" s="1489" t="s">
        <v>13110</v>
      </c>
      <c r="G711" s="1815">
        <v>0.80310000000000004</v>
      </c>
      <c r="H711" s="1489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</row>
    <row r="712" spans="1:24" s="1370" customFormat="1" x14ac:dyDescent="0.2">
      <c r="A712" s="523">
        <v>43652</v>
      </c>
      <c r="B712" s="1489" t="s">
        <v>3230</v>
      </c>
      <c r="C712" s="1489" t="s">
        <v>11625</v>
      </c>
      <c r="D712" s="1695" t="s">
        <v>3334</v>
      </c>
      <c r="E712" s="80" t="s">
        <v>12510</v>
      </c>
      <c r="F712" s="1489" t="s">
        <v>13090</v>
      </c>
      <c r="G712" s="317"/>
      <c r="H712" s="1578"/>
      <c r="I712" s="1489"/>
      <c r="J712" s="1489"/>
      <c r="K712" s="1489"/>
    </row>
    <row r="713" spans="1:24" s="1370" customFormat="1" x14ac:dyDescent="0.2">
      <c r="A713" s="523">
        <v>43645</v>
      </c>
      <c r="B713" s="1489" t="s">
        <v>3230</v>
      </c>
      <c r="C713" s="1489" t="s">
        <v>11625</v>
      </c>
      <c r="D713" s="1686">
        <v>1.5254629629629628E-2</v>
      </c>
      <c r="E713" s="80" t="s">
        <v>13019</v>
      </c>
      <c r="F713" s="1489" t="s">
        <v>13038</v>
      </c>
      <c r="G713" s="1815">
        <v>0.73670000000000002</v>
      </c>
      <c r="H713" s="80"/>
      <c r="I713" s="80"/>
      <c r="J713" s="80"/>
      <c r="K713" s="80"/>
    </row>
    <row r="714" spans="1:24" s="1370" customFormat="1" x14ac:dyDescent="0.2">
      <c r="A714" s="523">
        <v>43645</v>
      </c>
      <c r="B714" s="1489" t="s">
        <v>3230</v>
      </c>
      <c r="C714" s="1489" t="s">
        <v>11625</v>
      </c>
      <c r="D714" s="547" t="s">
        <v>787</v>
      </c>
      <c r="E714" s="80" t="s">
        <v>13019</v>
      </c>
      <c r="F714" s="80" t="s">
        <v>13039</v>
      </c>
      <c r="G714" s="317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</row>
    <row r="715" spans="1:24" s="1370" customFormat="1" x14ac:dyDescent="0.2">
      <c r="A715" s="523">
        <v>43638</v>
      </c>
      <c r="B715" s="1489" t="s">
        <v>3230</v>
      </c>
      <c r="C715" s="1489" t="s">
        <v>11625</v>
      </c>
      <c r="D715" s="1840">
        <v>1.3865740740740739E-2</v>
      </c>
      <c r="E715" s="1493" t="s">
        <v>12978</v>
      </c>
      <c r="F715" s="1493"/>
      <c r="G715" s="1823">
        <v>0.8105</v>
      </c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</row>
    <row r="716" spans="1:24" s="1370" customFormat="1" x14ac:dyDescent="0.2">
      <c r="A716" s="523">
        <v>43631</v>
      </c>
      <c r="B716" s="1489" t="s">
        <v>3230</v>
      </c>
      <c r="C716" s="1489" t="s">
        <v>11625</v>
      </c>
      <c r="D716" s="1840">
        <v>1.3715277777777778E-2</v>
      </c>
      <c r="E716" s="1493" t="s">
        <v>12918</v>
      </c>
      <c r="F716" s="1494"/>
      <c r="G716" s="1823">
        <v>0.81940000000000002</v>
      </c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</row>
    <row r="717" spans="1:24" s="1370" customFormat="1" x14ac:dyDescent="0.2">
      <c r="A717" s="523">
        <v>43624</v>
      </c>
      <c r="B717" s="1489" t="s">
        <v>3230</v>
      </c>
      <c r="C717" s="1489" t="s">
        <v>11625</v>
      </c>
      <c r="D717" s="1840">
        <v>1.4016203703703704E-2</v>
      </c>
      <c r="E717" s="1493" t="s">
        <v>12859</v>
      </c>
      <c r="F717" s="1493" t="s">
        <v>16811</v>
      </c>
      <c r="G717" s="1823">
        <v>0.80179999999999996</v>
      </c>
      <c r="H717" s="80"/>
      <c r="I717" s="80" t="s">
        <v>12869</v>
      </c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</row>
    <row r="718" spans="1:24" s="1370" customFormat="1" x14ac:dyDescent="0.2">
      <c r="A718" s="1384">
        <v>43617</v>
      </c>
      <c r="B718" s="1489" t="s">
        <v>3230</v>
      </c>
      <c r="C718" s="1489" t="s">
        <v>11625</v>
      </c>
      <c r="D718" s="1833">
        <v>1.3842592592592594E-2</v>
      </c>
      <c r="E718" s="1499" t="s">
        <v>12800</v>
      </c>
      <c r="F718" s="1499" t="s">
        <v>12825</v>
      </c>
      <c r="G718" s="1814">
        <v>0.81189999999999996</v>
      </c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</row>
    <row r="719" spans="1:24" s="1370" customFormat="1" x14ac:dyDescent="0.2">
      <c r="A719" s="1384">
        <v>43610</v>
      </c>
      <c r="B719" s="1489" t="s">
        <v>3230</v>
      </c>
      <c r="C719" s="1489" t="s">
        <v>11625</v>
      </c>
      <c r="D719" s="1834">
        <v>1.375E-2</v>
      </c>
      <c r="E719" s="1370" t="s">
        <v>12725</v>
      </c>
      <c r="F719" s="1370" t="s">
        <v>12722</v>
      </c>
      <c r="G719" s="1816">
        <v>0.81730000000000003</v>
      </c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</row>
    <row r="720" spans="1:24" s="1370" customFormat="1" x14ac:dyDescent="0.2">
      <c r="A720" s="1384">
        <v>43603</v>
      </c>
      <c r="B720" s="1489" t="s">
        <v>3230</v>
      </c>
      <c r="C720" s="1489" t="s">
        <v>11625</v>
      </c>
      <c r="D720" s="1834">
        <v>1.4490740740740742E-2</v>
      </c>
      <c r="E720" s="1370" t="s">
        <v>12692</v>
      </c>
      <c r="F720" s="1370" t="s">
        <v>12708</v>
      </c>
      <c r="G720" s="1816">
        <v>0.77559999999999996</v>
      </c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</row>
    <row r="721" spans="1:24" s="1370" customFormat="1" x14ac:dyDescent="0.2">
      <c r="A721" s="1384">
        <v>43498</v>
      </c>
      <c r="B721" s="1489" t="s">
        <v>3230</v>
      </c>
      <c r="C721" s="1489" t="s">
        <v>11625</v>
      </c>
      <c r="D721" s="1834">
        <v>1.4189814814814815E-2</v>
      </c>
      <c r="E721" s="1370" t="s">
        <v>998</v>
      </c>
      <c r="F721" s="1370" t="s">
        <v>11724</v>
      </c>
      <c r="G721" s="1816">
        <v>0.78469999999999995</v>
      </c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</row>
    <row r="722" spans="1:24" s="1370" customFormat="1" x14ac:dyDescent="0.2">
      <c r="A722" s="1384">
        <v>43484</v>
      </c>
      <c r="B722" s="1489" t="s">
        <v>3230</v>
      </c>
      <c r="C722" s="1489" t="s">
        <v>11625</v>
      </c>
      <c r="D722" s="1834">
        <v>1.3923611111111111E-2</v>
      </c>
      <c r="E722" s="1370" t="s">
        <v>10622</v>
      </c>
      <c r="F722" s="1370" t="s">
        <v>11626</v>
      </c>
      <c r="G722" s="1816">
        <v>0.79969999999999997</v>
      </c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</row>
    <row r="723" spans="1:24" s="1370" customFormat="1" x14ac:dyDescent="0.2">
      <c r="A723" s="523">
        <v>43659</v>
      </c>
      <c r="B723" s="1489" t="s">
        <v>12719</v>
      </c>
      <c r="C723" s="1489" t="s">
        <v>11625</v>
      </c>
      <c r="D723" s="1686">
        <v>1.5439814814814816E-2</v>
      </c>
      <c r="E723" s="1489" t="s">
        <v>13141</v>
      </c>
      <c r="F723" s="1489"/>
      <c r="G723" s="1815">
        <v>0.66569999999999996</v>
      </c>
      <c r="H723" s="80"/>
      <c r="I723" s="1489"/>
      <c r="J723" s="80"/>
      <c r="K723" s="80"/>
    </row>
    <row r="724" spans="1:24" s="1370" customFormat="1" x14ac:dyDescent="0.2">
      <c r="A724" s="523">
        <v>43652</v>
      </c>
      <c r="B724" s="1489" t="s">
        <v>12719</v>
      </c>
      <c r="C724" s="1489" t="s">
        <v>11625</v>
      </c>
      <c r="D724" s="1686">
        <v>1.5358796296296297E-2</v>
      </c>
      <c r="E724" s="1489" t="s">
        <v>13068</v>
      </c>
      <c r="F724" s="1489" t="s">
        <v>13092</v>
      </c>
      <c r="G724" s="1815">
        <v>0.66920000000000002</v>
      </c>
      <c r="H724" s="1489"/>
      <c r="I724" s="1514"/>
      <c r="J724" s="80"/>
      <c r="K724" s="80"/>
    </row>
    <row r="725" spans="1:24" s="1370" customFormat="1" ht="12.75" customHeight="1" x14ac:dyDescent="0.2">
      <c r="A725" s="523">
        <v>43750</v>
      </c>
      <c r="B725" s="1499" t="s">
        <v>3378</v>
      </c>
      <c r="C725" s="1499" t="s">
        <v>860</v>
      </c>
      <c r="D725" s="1686">
        <v>1.2546296296296297E-2</v>
      </c>
      <c r="E725" s="1489" t="s">
        <v>15802</v>
      </c>
      <c r="F725" s="1489" t="s">
        <v>15831</v>
      </c>
      <c r="G725" s="1815">
        <v>0.85060000000000002</v>
      </c>
      <c r="H725" s="80"/>
      <c r="I725" s="80"/>
      <c r="J725" s="80"/>
      <c r="K725" s="80"/>
    </row>
    <row r="726" spans="1:24" s="1370" customFormat="1" x14ac:dyDescent="0.2">
      <c r="A726" s="523">
        <v>43722</v>
      </c>
      <c r="B726" s="1499" t="s">
        <v>3378</v>
      </c>
      <c r="C726" s="1499" t="s">
        <v>860</v>
      </c>
      <c r="D726" s="1686">
        <v>1.2395833333333333E-2</v>
      </c>
      <c r="E726" s="1489" t="s">
        <v>15468</v>
      </c>
      <c r="F726" s="1489" t="s">
        <v>15516</v>
      </c>
      <c r="G726" s="1815">
        <v>0.8609</v>
      </c>
      <c r="H726" s="80"/>
      <c r="I726" s="80"/>
      <c r="J726" s="80"/>
      <c r="K726" s="80"/>
    </row>
    <row r="727" spans="1:24" s="1370" customFormat="1" x14ac:dyDescent="0.2">
      <c r="A727" s="1526">
        <v>43708</v>
      </c>
      <c r="B727" s="1499" t="s">
        <v>3378</v>
      </c>
      <c r="C727" s="1499" t="s">
        <v>860</v>
      </c>
      <c r="D727" s="1686">
        <v>1.324074074074074E-2</v>
      </c>
      <c r="E727" s="1489" t="s">
        <v>15358</v>
      </c>
      <c r="F727" s="1489" t="s">
        <v>15345</v>
      </c>
      <c r="G727" s="1815">
        <v>0.80589999999999995</v>
      </c>
      <c r="H727" s="1489"/>
      <c r="I727" s="1489"/>
      <c r="J727" s="1489"/>
      <c r="K727" s="80"/>
    </row>
    <row r="728" spans="1:24" s="1370" customFormat="1" ht="25.5" x14ac:dyDescent="0.2">
      <c r="A728" s="523">
        <v>43631</v>
      </c>
      <c r="B728" s="1499" t="s">
        <v>3378</v>
      </c>
      <c r="C728" s="1499" t="s">
        <v>860</v>
      </c>
      <c r="D728" s="1840">
        <v>1.3263888888888889E-2</v>
      </c>
      <c r="E728" s="1493" t="s">
        <v>12942</v>
      </c>
      <c r="F728" s="1494" t="s">
        <v>12947</v>
      </c>
      <c r="G728" s="1823">
        <v>0.79759999999999998</v>
      </c>
      <c r="H728" s="80"/>
      <c r="I728" s="80"/>
      <c r="J728" s="80"/>
      <c r="K728" s="80"/>
    </row>
    <row r="729" spans="1:24" s="1370" customFormat="1" x14ac:dyDescent="0.2">
      <c r="A729" s="1729">
        <v>43827</v>
      </c>
      <c r="B729" s="1489" t="s">
        <v>922</v>
      </c>
      <c r="C729" s="1489" t="s">
        <v>1530</v>
      </c>
      <c r="D729" s="1621">
        <v>2.0277777777777777E-2</v>
      </c>
      <c r="E729" s="1489" t="s">
        <v>16429</v>
      </c>
      <c r="F729" s="1489" t="s">
        <v>16440</v>
      </c>
      <c r="G729" s="1817">
        <v>0.54449999999999998</v>
      </c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</row>
    <row r="730" spans="1:24" s="1370" customFormat="1" x14ac:dyDescent="0.2">
      <c r="A730" s="34">
        <v>43824</v>
      </c>
      <c r="B730" s="1489" t="s">
        <v>922</v>
      </c>
      <c r="C730" s="1489" t="s">
        <v>1530</v>
      </c>
      <c r="D730" s="1621">
        <v>2.2569444444444444E-2</v>
      </c>
      <c r="E730" s="1489" t="s">
        <v>16375</v>
      </c>
      <c r="F730" s="1489" t="s">
        <v>16397</v>
      </c>
      <c r="G730" s="1817">
        <v>0.48920000000000002</v>
      </c>
      <c r="H730" s="1404" t="s">
        <v>16363</v>
      </c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</row>
    <row r="731" spans="1:24" s="1370" customFormat="1" x14ac:dyDescent="0.2">
      <c r="A731" s="1673">
        <v>43820</v>
      </c>
      <c r="B731" s="1489" t="s">
        <v>922</v>
      </c>
      <c r="C731" s="1489" t="s">
        <v>1530</v>
      </c>
      <c r="D731" s="1777">
        <v>2.1608796296296296E-2</v>
      </c>
      <c r="E731" s="80" t="s">
        <v>16314</v>
      </c>
      <c r="F731"/>
      <c r="G731" s="314">
        <v>0.51100000000000001</v>
      </c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</row>
    <row r="732" spans="1:24" s="1370" customFormat="1" x14ac:dyDescent="0.2">
      <c r="A732" s="1765">
        <v>43813</v>
      </c>
      <c r="B732" s="1489" t="s">
        <v>922</v>
      </c>
      <c r="C732" s="1489" t="s">
        <v>1530</v>
      </c>
      <c r="D732" s="1621">
        <v>2.0590277777777777E-2</v>
      </c>
      <c r="E732" s="1489" t="s">
        <v>16259</v>
      </c>
      <c r="F732" s="1404"/>
      <c r="G732" s="1817">
        <v>0.5363</v>
      </c>
      <c r="H732" s="1404"/>
      <c r="I732" s="1404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</row>
    <row r="733" spans="1:24" s="1370" customFormat="1" x14ac:dyDescent="0.2">
      <c r="A733" s="34">
        <v>43806</v>
      </c>
      <c r="B733" s="1489" t="s">
        <v>922</v>
      </c>
      <c r="C733" s="1489" t="s">
        <v>1530</v>
      </c>
      <c r="D733" s="1621">
        <v>1.9988425925925927E-2</v>
      </c>
      <c r="E733" s="1489" t="s">
        <v>16220</v>
      </c>
      <c r="F733" s="1489" t="s">
        <v>16234</v>
      </c>
      <c r="G733" s="1817">
        <v>0.5524</v>
      </c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</row>
    <row r="734" spans="1:24" s="1370" customFormat="1" x14ac:dyDescent="0.2">
      <c r="A734" s="1729">
        <v>43799</v>
      </c>
      <c r="B734" s="1489" t="s">
        <v>922</v>
      </c>
      <c r="C734" s="1489" t="s">
        <v>1530</v>
      </c>
      <c r="D734" s="1674">
        <v>2.0810185185185185E-2</v>
      </c>
      <c r="E734" t="s">
        <v>16163</v>
      </c>
      <c r="F734" s="80" t="s">
        <v>16168</v>
      </c>
      <c r="G734" s="314">
        <v>0.53059999999999996</v>
      </c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</row>
    <row r="735" spans="1:24" s="1370" customFormat="1" x14ac:dyDescent="0.2">
      <c r="A735" s="1729">
        <v>43797</v>
      </c>
      <c r="B735" s="1489" t="s">
        <v>922</v>
      </c>
      <c r="C735" s="1489" t="s">
        <v>1530</v>
      </c>
      <c r="D735" s="1674">
        <v>2.0208333333333335E-2</v>
      </c>
      <c r="E735" t="s">
        <v>16165</v>
      </c>
      <c r="F735" s="80" t="s">
        <v>16169</v>
      </c>
      <c r="G735" s="314">
        <v>0.5464</v>
      </c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</row>
    <row r="736" spans="1:24" s="1370" customFormat="1" x14ac:dyDescent="0.2">
      <c r="A736" s="1751">
        <v>43792</v>
      </c>
      <c r="B736" s="1489" t="s">
        <v>922</v>
      </c>
      <c r="C736" s="1489" t="s">
        <v>1530</v>
      </c>
      <c r="D736" s="1786">
        <v>1.9270833333333334E-2</v>
      </c>
      <c r="E736" s="1489" t="s">
        <v>16078</v>
      </c>
      <c r="F736" s="1404" t="s">
        <v>16114</v>
      </c>
      <c r="G736" s="1817">
        <v>0.57299999999999995</v>
      </c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</row>
    <row r="737" spans="1:24" s="1370" customFormat="1" x14ac:dyDescent="0.2">
      <c r="A737" s="1673">
        <v>43785</v>
      </c>
      <c r="B737" s="1489" t="s">
        <v>922</v>
      </c>
      <c r="C737" s="1489" t="s">
        <v>1530</v>
      </c>
      <c r="D737" s="1674">
        <v>2.072916666666667E-2</v>
      </c>
      <c r="E737" s="80" t="s">
        <v>15993</v>
      </c>
      <c r="F737" s="393" t="s">
        <v>15999</v>
      </c>
      <c r="G737" s="314">
        <v>0.53269999999999995</v>
      </c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</row>
    <row r="738" spans="1:24" s="1370" customFormat="1" x14ac:dyDescent="0.2">
      <c r="A738" s="1384">
        <v>43778</v>
      </c>
      <c r="B738" s="1489" t="s">
        <v>922</v>
      </c>
      <c r="C738" s="1489" t="s">
        <v>1530</v>
      </c>
      <c r="D738" s="1725">
        <v>2.0451388888888887E-2</v>
      </c>
      <c r="E738" s="1726" t="s">
        <v>15959</v>
      </c>
      <c r="F738" s="1723"/>
      <c r="G738" s="1820">
        <v>0.53990000000000005</v>
      </c>
    </row>
    <row r="739" spans="1:24" s="1370" customFormat="1" x14ac:dyDescent="0.2">
      <c r="A739" s="1384">
        <v>43771</v>
      </c>
      <c r="B739" s="1489" t="s">
        <v>922</v>
      </c>
      <c r="C739" s="1489" t="s">
        <v>1530</v>
      </c>
      <c r="D739" s="1731">
        <v>2.042824074074074E-2</v>
      </c>
      <c r="E739" s="1370" t="s">
        <v>15885</v>
      </c>
      <c r="F739" s="1370" t="s">
        <v>15930</v>
      </c>
      <c r="G739" s="1816">
        <v>0.54049999999999998</v>
      </c>
    </row>
    <row r="740" spans="1:24" s="1370" customFormat="1" x14ac:dyDescent="0.2">
      <c r="A740" s="1384">
        <v>43764</v>
      </c>
      <c r="B740" s="1489" t="s">
        <v>922</v>
      </c>
      <c r="C740" s="1489" t="s">
        <v>1530</v>
      </c>
      <c r="D740" s="1727">
        <v>2.0347222222222221E-2</v>
      </c>
      <c r="E740" s="1728" t="s">
        <v>12716</v>
      </c>
      <c r="F740" s="1728"/>
      <c r="G740" s="1821">
        <v>0.54269999999999996</v>
      </c>
    </row>
    <row r="741" spans="1:24" s="1370" customFormat="1" x14ac:dyDescent="0.2">
      <c r="A741" s="523">
        <v>43757</v>
      </c>
      <c r="B741" s="1489" t="s">
        <v>922</v>
      </c>
      <c r="C741" s="1489" t="s">
        <v>1530</v>
      </c>
      <c r="D741" s="1686">
        <v>2.0324074074074071E-2</v>
      </c>
      <c r="E741" s="1489" t="s">
        <v>15840</v>
      </c>
      <c r="F741" s="1489"/>
      <c r="G741" s="1815">
        <v>0.54330000000000001</v>
      </c>
      <c r="H741" s="1489"/>
      <c r="I741" s="1489"/>
      <c r="J741" s="1489"/>
      <c r="K741" s="1489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</row>
    <row r="742" spans="1:24" s="1370" customFormat="1" x14ac:dyDescent="0.2">
      <c r="A742" s="523">
        <v>43750</v>
      </c>
      <c r="B742" s="1489" t="s">
        <v>922</v>
      </c>
      <c r="C742" s="1489" t="s">
        <v>1530</v>
      </c>
      <c r="D742" s="1686">
        <v>2.056712962962963E-2</v>
      </c>
      <c r="E742" s="1489" t="s">
        <v>15790</v>
      </c>
      <c r="F742" s="1489"/>
      <c r="G742" s="1815">
        <v>0.53690000000000004</v>
      </c>
      <c r="H742" s="80"/>
      <c r="I742" s="80"/>
      <c r="J742" s="80"/>
      <c r="K742" s="80"/>
    </row>
    <row r="743" spans="1:24" s="1370" customFormat="1" x14ac:dyDescent="0.2">
      <c r="A743" s="1729">
        <v>43743</v>
      </c>
      <c r="B743" s="1489" t="s">
        <v>922</v>
      </c>
      <c r="C743" s="1489" t="s">
        <v>1530</v>
      </c>
      <c r="D743" s="1731">
        <v>2.0243055555555556E-2</v>
      </c>
      <c r="E743" s="80" t="s">
        <v>15719</v>
      </c>
      <c r="F743" s="80" t="s">
        <v>15759</v>
      </c>
      <c r="G743" s="317">
        <v>0.54549999999999998</v>
      </c>
      <c r="H743" s="80"/>
      <c r="I743" s="80"/>
      <c r="J743" s="80"/>
      <c r="K743" s="80"/>
    </row>
    <row r="744" spans="1:24" s="1370" customFormat="1" x14ac:dyDescent="0.2">
      <c r="A744" s="523">
        <v>43741</v>
      </c>
      <c r="B744" s="1489" t="s">
        <v>922</v>
      </c>
      <c r="C744" s="1489" t="s">
        <v>1530</v>
      </c>
      <c r="D744" s="1686">
        <v>2.0358796296296295E-2</v>
      </c>
      <c r="E744" s="1489" t="s">
        <v>15696</v>
      </c>
      <c r="F744" s="1489" t="s">
        <v>15693</v>
      </c>
      <c r="G744" s="1815">
        <v>0.54239999999999999</v>
      </c>
      <c r="H744" s="80"/>
      <c r="I744" s="80"/>
      <c r="J744" s="80"/>
      <c r="K744" s="80"/>
    </row>
    <row r="745" spans="1:24" s="1370" customFormat="1" x14ac:dyDescent="0.2">
      <c r="A745" s="1729">
        <v>43736</v>
      </c>
      <c r="B745" s="1489" t="s">
        <v>922</v>
      </c>
      <c r="C745" s="1489" t="s">
        <v>1530</v>
      </c>
      <c r="D745" s="1686">
        <v>2.1030092592592593E-2</v>
      </c>
      <c r="E745" s="1489" t="s">
        <v>15636</v>
      </c>
      <c r="F745" s="1489" t="s">
        <v>15679</v>
      </c>
      <c r="G745" s="1815">
        <v>0.52500000000000002</v>
      </c>
      <c r="H745" s="80"/>
      <c r="I745" s="80"/>
      <c r="J745" s="80"/>
      <c r="K745" s="80"/>
    </row>
    <row r="746" spans="1:24" s="1370" customFormat="1" x14ac:dyDescent="0.2">
      <c r="A746" s="1729">
        <v>43729</v>
      </c>
      <c r="B746" s="1489" t="s">
        <v>922</v>
      </c>
      <c r="C746" s="1489" t="s">
        <v>1530</v>
      </c>
      <c r="D746" s="1686">
        <v>2.0625000000000001E-2</v>
      </c>
      <c r="E746" s="1489" t="s">
        <v>15566</v>
      </c>
      <c r="F746" s="1489" t="s">
        <v>15593</v>
      </c>
      <c r="G746" s="1815">
        <v>0.53539999999999999</v>
      </c>
      <c r="H746" s="80"/>
      <c r="I746" s="80"/>
      <c r="J746" s="80"/>
      <c r="K746" s="80"/>
    </row>
    <row r="747" spans="1:24" s="1370" customFormat="1" x14ac:dyDescent="0.2">
      <c r="A747" s="523">
        <v>43722</v>
      </c>
      <c r="B747" s="1489" t="s">
        <v>922</v>
      </c>
      <c r="C747" s="1489" t="s">
        <v>1530</v>
      </c>
      <c r="D747" s="1686">
        <v>1.9907407407407408E-2</v>
      </c>
      <c r="E747" s="1489" t="s">
        <v>15465</v>
      </c>
      <c r="F747" s="1489" t="s">
        <v>15512</v>
      </c>
      <c r="G747" s="1815">
        <v>0.55469999999999997</v>
      </c>
      <c r="H747" s="80"/>
      <c r="I747" s="80"/>
      <c r="J747" s="80"/>
      <c r="K747" s="80"/>
    </row>
    <row r="748" spans="1:24" s="1370" customFormat="1" x14ac:dyDescent="0.2">
      <c r="A748" s="523">
        <v>43715</v>
      </c>
      <c r="B748" s="1489" t="s">
        <v>922</v>
      </c>
      <c r="C748" s="1489" t="s">
        <v>1530</v>
      </c>
      <c r="D748" s="1732">
        <v>2.0486111111111111E-2</v>
      </c>
      <c r="E748" s="1514" t="s">
        <v>15416</v>
      </c>
      <c r="F748" s="1489"/>
      <c r="G748" s="1822">
        <v>0.53900000000000003</v>
      </c>
      <c r="H748" s="1514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</row>
    <row r="749" spans="1:24" s="1370" customFormat="1" x14ac:dyDescent="0.2">
      <c r="A749" s="1526">
        <v>43708</v>
      </c>
      <c r="B749" s="1489" t="s">
        <v>922</v>
      </c>
      <c r="C749" s="1489" t="s">
        <v>1530</v>
      </c>
      <c r="D749" s="1686">
        <v>2.0775462962962964E-2</v>
      </c>
      <c r="E749" s="1489" t="s">
        <v>15362</v>
      </c>
      <c r="F749" s="1489" t="s">
        <v>15402</v>
      </c>
      <c r="G749" s="1815">
        <v>0.53149999999999997</v>
      </c>
      <c r="H749" s="1489"/>
      <c r="I749" s="1489"/>
      <c r="J749" s="1489"/>
      <c r="K749" s="80"/>
    </row>
    <row r="750" spans="1:24" s="1370" customFormat="1" x14ac:dyDescent="0.2">
      <c r="A750" s="1526">
        <v>43701</v>
      </c>
      <c r="B750" s="1489" t="s">
        <v>922</v>
      </c>
      <c r="C750" s="1489" t="s">
        <v>1530</v>
      </c>
      <c r="D750" s="1686">
        <v>2.0127314814814817E-2</v>
      </c>
      <c r="E750" s="1489" t="s">
        <v>15291</v>
      </c>
      <c r="F750" s="1489" t="s">
        <v>15318</v>
      </c>
      <c r="G750" s="1815">
        <v>0.54859999999999998</v>
      </c>
      <c r="H750" s="80"/>
      <c r="I750" s="80"/>
      <c r="J750" s="80"/>
      <c r="K750" s="80"/>
    </row>
    <row r="751" spans="1:24" s="1370" customFormat="1" x14ac:dyDescent="0.2">
      <c r="A751" s="523">
        <v>43694</v>
      </c>
      <c r="B751" s="1489" t="s">
        <v>922</v>
      </c>
      <c r="C751" s="1489" t="s">
        <v>1530</v>
      </c>
      <c r="D751" s="1733">
        <v>2.0648148148148148E-2</v>
      </c>
      <c r="E751" s="1489" t="s">
        <v>15156</v>
      </c>
      <c r="F751" s="1489"/>
      <c r="G751" s="1815">
        <v>0.53480000000000005</v>
      </c>
      <c r="H751" s="80"/>
      <c r="I751" s="1514"/>
      <c r="J751" s="80"/>
      <c r="K751" s="80"/>
    </row>
    <row r="752" spans="1:24" s="1370" customFormat="1" x14ac:dyDescent="0.2">
      <c r="A752" s="523">
        <v>43687</v>
      </c>
      <c r="B752" s="1489" t="s">
        <v>922</v>
      </c>
      <c r="C752" s="1489" t="s">
        <v>1530</v>
      </c>
      <c r="D752" s="1686">
        <v>2.0636574074074075E-2</v>
      </c>
      <c r="E752" s="1489" t="s">
        <v>13427</v>
      </c>
      <c r="F752" s="1489"/>
      <c r="G752" s="1815">
        <v>0.53510000000000002</v>
      </c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</row>
    <row r="753" spans="1:24" s="1370" customFormat="1" x14ac:dyDescent="0.2">
      <c r="A753" s="1384">
        <v>43680</v>
      </c>
      <c r="B753" s="1489" t="s">
        <v>922</v>
      </c>
      <c r="C753" s="1489" t="s">
        <v>1530</v>
      </c>
      <c r="D753" s="1686">
        <v>2.0625000000000001E-2</v>
      </c>
      <c r="E753" s="1489" t="s">
        <v>13348</v>
      </c>
      <c r="F753" s="1489"/>
      <c r="G753" s="1815">
        <v>0.53539999999999999</v>
      </c>
      <c r="H753" s="80"/>
      <c r="I753" s="80"/>
      <c r="J753" s="80"/>
      <c r="K753" s="80"/>
    </row>
    <row r="754" spans="1:24" s="1370" customFormat="1" x14ac:dyDescent="0.2">
      <c r="A754" s="1384">
        <v>43673</v>
      </c>
      <c r="B754" s="1489" t="s">
        <v>922</v>
      </c>
      <c r="C754" s="1489" t="s">
        <v>1530</v>
      </c>
      <c r="D754" s="1686">
        <v>2.042824074074074E-2</v>
      </c>
      <c r="E754" s="1489" t="s">
        <v>13281</v>
      </c>
      <c r="F754" s="1489"/>
      <c r="G754" s="1815">
        <v>0.54049999999999998</v>
      </c>
      <c r="H754" s="1514"/>
      <c r="I754" s="80"/>
      <c r="J754" s="80"/>
      <c r="K754" s="80"/>
    </row>
    <row r="755" spans="1:24" s="1370" customFormat="1" x14ac:dyDescent="0.2">
      <c r="A755" s="523">
        <v>43666</v>
      </c>
      <c r="B755" s="1489" t="s">
        <v>922</v>
      </c>
      <c r="C755" s="1489" t="s">
        <v>1530</v>
      </c>
      <c r="D755" s="1686">
        <v>2.0231481481481479E-2</v>
      </c>
      <c r="E755" s="1489" t="s">
        <v>13203</v>
      </c>
      <c r="F755" s="1489" t="s">
        <v>13231</v>
      </c>
      <c r="G755" s="1815">
        <v>0.54579999999999995</v>
      </c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</row>
    <row r="756" spans="1:24" s="1370" customFormat="1" x14ac:dyDescent="0.2">
      <c r="A756" s="523">
        <v>43659</v>
      </c>
      <c r="B756" s="1489" t="s">
        <v>922</v>
      </c>
      <c r="C756" s="1489" t="s">
        <v>1530</v>
      </c>
      <c r="D756" s="1686">
        <v>1.9560185185185187E-2</v>
      </c>
      <c r="E756" s="1489" t="s">
        <v>13150</v>
      </c>
      <c r="F756" s="1489" t="s">
        <v>13161</v>
      </c>
      <c r="G756" s="1815">
        <v>0.5645</v>
      </c>
      <c r="H756" s="80"/>
      <c r="I756" s="1489"/>
      <c r="J756" s="80"/>
      <c r="K756" s="80"/>
    </row>
    <row r="757" spans="1:24" s="1370" customFormat="1" x14ac:dyDescent="0.2">
      <c r="A757" s="523">
        <v>43652</v>
      </c>
      <c r="B757" s="1489" t="s">
        <v>922</v>
      </c>
      <c r="C757" s="1489" t="s">
        <v>1530</v>
      </c>
      <c r="D757" s="1686">
        <v>2.0138888888888887E-2</v>
      </c>
      <c r="E757" s="1489" t="s">
        <v>13082</v>
      </c>
      <c r="F757" s="1489" t="s">
        <v>13104</v>
      </c>
      <c r="G757" s="1815">
        <v>0.54830000000000001</v>
      </c>
      <c r="H757" s="1489"/>
      <c r="I757" s="1489"/>
      <c r="J757" s="1489"/>
      <c r="K757" s="80"/>
    </row>
    <row r="758" spans="1:24" s="1370" customFormat="1" x14ac:dyDescent="0.2">
      <c r="A758" s="523">
        <v>43652</v>
      </c>
      <c r="B758" s="1489" t="s">
        <v>922</v>
      </c>
      <c r="C758" s="1489" t="s">
        <v>1530</v>
      </c>
      <c r="D758" s="1695" t="s">
        <v>3334</v>
      </c>
      <c r="E758" s="80" t="s">
        <v>12510</v>
      </c>
      <c r="F758" s="1489" t="s">
        <v>13091</v>
      </c>
      <c r="G758" s="317"/>
      <c r="H758" s="1568"/>
      <c r="I758" s="1489"/>
      <c r="J758" s="1489"/>
      <c r="K758" s="1489"/>
    </row>
    <row r="759" spans="1:24" s="1370" customFormat="1" x14ac:dyDescent="0.2">
      <c r="A759" s="523">
        <v>43647</v>
      </c>
      <c r="B759" s="1489" t="s">
        <v>922</v>
      </c>
      <c r="C759" s="1489" t="s">
        <v>1530</v>
      </c>
      <c r="D759" s="1686">
        <v>2.0185185185185184E-2</v>
      </c>
      <c r="E759" s="1489" t="s">
        <v>13083</v>
      </c>
      <c r="F759" s="1489" t="s">
        <v>13097</v>
      </c>
      <c r="G759" s="1815">
        <v>0.54700000000000004</v>
      </c>
      <c r="H759" s="1489"/>
      <c r="I759" s="1489" t="s">
        <v>13107</v>
      </c>
      <c r="J759" s="1489"/>
      <c r="K759" s="80"/>
    </row>
    <row r="760" spans="1:24" s="1370" customFormat="1" x14ac:dyDescent="0.2">
      <c r="A760" s="523">
        <v>43645</v>
      </c>
      <c r="B760" s="1489" t="s">
        <v>922</v>
      </c>
      <c r="C760" s="1489" t="s">
        <v>1530</v>
      </c>
      <c r="D760" s="1686">
        <v>1.9525462962962963E-2</v>
      </c>
      <c r="E760" s="80" t="s">
        <v>13040</v>
      </c>
      <c r="F760" s="1489" t="s">
        <v>13057</v>
      </c>
      <c r="G760" s="1815">
        <v>0.5655</v>
      </c>
      <c r="H760" s="80"/>
      <c r="I760" s="80" t="s">
        <v>2975</v>
      </c>
      <c r="J760" s="80"/>
      <c r="K760" s="80"/>
    </row>
    <row r="761" spans="1:24" s="1370" customFormat="1" x14ac:dyDescent="0.2">
      <c r="A761" s="523">
        <v>43638</v>
      </c>
      <c r="B761" s="1489" t="s">
        <v>922</v>
      </c>
      <c r="C761" s="1489" t="s">
        <v>1530</v>
      </c>
      <c r="D761" s="1840">
        <v>1.9340277777777779E-2</v>
      </c>
      <c r="E761" s="1493" t="s">
        <v>12981</v>
      </c>
      <c r="F761" s="1493" t="s">
        <v>12974</v>
      </c>
      <c r="G761" s="1823">
        <v>0.57089999999999996</v>
      </c>
      <c r="H761" s="80"/>
      <c r="I761" s="80"/>
      <c r="J761" s="80"/>
      <c r="K761" s="80"/>
    </row>
    <row r="762" spans="1:24" s="1370" customFormat="1" x14ac:dyDescent="0.2">
      <c r="A762" s="523">
        <v>43631</v>
      </c>
      <c r="B762" s="1489" t="s">
        <v>922</v>
      </c>
      <c r="C762" s="1489" t="s">
        <v>1530</v>
      </c>
      <c r="D762" s="1840">
        <v>1.9560185185185184E-2</v>
      </c>
      <c r="E762" s="1493" t="s">
        <v>12917</v>
      </c>
      <c r="F762" s="1494" t="s">
        <v>12945</v>
      </c>
      <c r="G762" s="1823">
        <v>0.5645</v>
      </c>
      <c r="H762" s="80"/>
      <c r="I762" s="80"/>
      <c r="J762" s="80"/>
      <c r="K762" s="80"/>
    </row>
    <row r="763" spans="1:24" s="1370" customFormat="1" x14ac:dyDescent="0.2">
      <c r="A763" s="523">
        <v>43624</v>
      </c>
      <c r="B763" s="1489" t="s">
        <v>922</v>
      </c>
      <c r="C763" s="1489" t="s">
        <v>1530</v>
      </c>
      <c r="D763" s="1835">
        <v>2.0497685185185185E-2</v>
      </c>
      <c r="E763" s="1569" t="s">
        <v>12848</v>
      </c>
      <c r="F763" s="1569"/>
      <c r="G763" s="1818">
        <v>0.53869999999999996</v>
      </c>
      <c r="H763" s="1514"/>
      <c r="I763" s="80"/>
      <c r="J763" s="80"/>
      <c r="K763" s="80"/>
    </row>
    <row r="764" spans="1:24" s="1370" customFormat="1" x14ac:dyDescent="0.2">
      <c r="A764" s="1384">
        <v>43617</v>
      </c>
      <c r="B764" s="1489" t="s">
        <v>922</v>
      </c>
      <c r="C764" s="1489" t="s">
        <v>1530</v>
      </c>
      <c r="D764" s="1836">
        <v>2.0821759259259259E-2</v>
      </c>
      <c r="E764" s="1568" t="s">
        <v>12807</v>
      </c>
      <c r="F764" s="1568" t="s">
        <v>3986</v>
      </c>
      <c r="G764" s="1819">
        <v>0.53029999999999999</v>
      </c>
      <c r="I764" s="1489"/>
    </row>
    <row r="765" spans="1:24" s="1370" customFormat="1" x14ac:dyDescent="0.2">
      <c r="A765" s="1384">
        <v>43610</v>
      </c>
      <c r="B765" s="1489" t="s">
        <v>922</v>
      </c>
      <c r="C765" s="1489" t="s">
        <v>1530</v>
      </c>
      <c r="D765" s="1834">
        <v>1.9791666666666666E-2</v>
      </c>
      <c r="E765" s="1370" t="s">
        <v>12727</v>
      </c>
      <c r="G765" s="1816">
        <v>0.55789999999999995</v>
      </c>
    </row>
    <row r="766" spans="1:24" s="1370" customFormat="1" x14ac:dyDescent="0.2">
      <c r="A766" s="1384">
        <v>43603</v>
      </c>
      <c r="B766" s="1489" t="s">
        <v>922</v>
      </c>
      <c r="C766" s="1489" t="s">
        <v>1530</v>
      </c>
      <c r="D766" s="1834">
        <v>2.0243055555555552E-2</v>
      </c>
      <c r="E766" s="1370" t="s">
        <v>12672</v>
      </c>
      <c r="G766" s="1816">
        <v>0.54549999999999998</v>
      </c>
    </row>
    <row r="767" spans="1:24" s="1370" customFormat="1" x14ac:dyDescent="0.2">
      <c r="A767" s="1384">
        <v>43596</v>
      </c>
      <c r="B767" s="1489" t="s">
        <v>922</v>
      </c>
      <c r="C767" s="1489" t="s">
        <v>1530</v>
      </c>
      <c r="D767" s="1834">
        <v>2.0254629629629629E-2</v>
      </c>
      <c r="E767" s="1370" t="s">
        <v>12569</v>
      </c>
      <c r="F767" s="1370" t="s">
        <v>12573</v>
      </c>
      <c r="G767" s="1816">
        <v>0.54510000000000003</v>
      </c>
    </row>
    <row r="768" spans="1:24" s="1370" customFormat="1" x14ac:dyDescent="0.2">
      <c r="A768" s="1384">
        <v>43589</v>
      </c>
      <c r="B768" s="1489" t="s">
        <v>922</v>
      </c>
      <c r="C768" s="1489" t="s">
        <v>1530</v>
      </c>
      <c r="D768" s="1834">
        <v>2.0555555555555556E-2</v>
      </c>
      <c r="E768" s="1370" t="s">
        <v>12572</v>
      </c>
      <c r="F768" s="1370" t="s">
        <v>12575</v>
      </c>
      <c r="G768" s="1816">
        <v>0.55589999999999995</v>
      </c>
    </row>
    <row r="769" spans="1:24" s="1370" customFormat="1" x14ac:dyDescent="0.2">
      <c r="A769" s="1384">
        <v>43582</v>
      </c>
      <c r="B769" s="1489" t="s">
        <v>922</v>
      </c>
      <c r="C769" s="1489" t="s">
        <v>1530</v>
      </c>
      <c r="D769" s="1733">
        <v>2.0659722222222222E-2</v>
      </c>
      <c r="E769" s="1489" t="s">
        <v>12563</v>
      </c>
      <c r="F769" s="1489" t="s">
        <v>12574</v>
      </c>
      <c r="G769" s="1815">
        <v>0.53449999999999998</v>
      </c>
      <c r="I769" s="1489"/>
    </row>
    <row r="770" spans="1:24" s="1370" customFormat="1" x14ac:dyDescent="0.2">
      <c r="A770" s="1384">
        <v>43575</v>
      </c>
      <c r="B770" s="1489" t="s">
        <v>922</v>
      </c>
      <c r="C770" s="1489" t="s">
        <v>1530</v>
      </c>
      <c r="D770" s="1834">
        <v>1.9837962962962963E-2</v>
      </c>
      <c r="E770" s="1370" t="s">
        <v>12451</v>
      </c>
      <c r="F770" s="1370" t="s">
        <v>12502</v>
      </c>
      <c r="G770" s="1816">
        <v>0.55659999999999998</v>
      </c>
    </row>
    <row r="771" spans="1:24" s="1370" customFormat="1" x14ac:dyDescent="0.2">
      <c r="A771" s="1384">
        <v>43568</v>
      </c>
      <c r="B771" s="1489" t="s">
        <v>922</v>
      </c>
      <c r="C771" s="1489" t="s">
        <v>1530</v>
      </c>
      <c r="D771" s="1834">
        <v>1.9988425925925927E-2</v>
      </c>
      <c r="E771" s="1370" t="s">
        <v>12394</v>
      </c>
      <c r="F771" s="1370" t="s">
        <v>12397</v>
      </c>
      <c r="G771" s="1816">
        <v>0.5524</v>
      </c>
    </row>
    <row r="772" spans="1:24" s="1370" customFormat="1" x14ac:dyDescent="0.2">
      <c r="A772" s="1384">
        <v>43561</v>
      </c>
      <c r="B772" s="1489" t="s">
        <v>922</v>
      </c>
      <c r="C772" s="1489" t="s">
        <v>1530</v>
      </c>
      <c r="D772" s="1834">
        <v>1.9930555555555556E-2</v>
      </c>
      <c r="E772" s="1370" t="s">
        <v>12337</v>
      </c>
      <c r="F772" s="1370" t="s">
        <v>12338</v>
      </c>
      <c r="G772" s="1816">
        <v>0.55400000000000005</v>
      </c>
      <c r="I772" s="1370" t="s">
        <v>12339</v>
      </c>
    </row>
    <row r="773" spans="1:24" s="1370" customFormat="1" x14ac:dyDescent="0.2">
      <c r="A773" s="1384">
        <v>43554</v>
      </c>
      <c r="B773" s="1489" t="s">
        <v>922</v>
      </c>
      <c r="C773" s="1489" t="s">
        <v>1530</v>
      </c>
      <c r="D773" s="1733">
        <v>2.0520833333333332E-2</v>
      </c>
      <c r="E773" s="1489" t="s">
        <v>12257</v>
      </c>
      <c r="F773" s="1489" t="s">
        <v>12289</v>
      </c>
      <c r="G773" s="1815">
        <v>0.53810000000000002</v>
      </c>
      <c r="H773" s="1489"/>
    </row>
    <row r="774" spans="1:24" s="1370" customFormat="1" x14ac:dyDescent="0.2">
      <c r="A774" s="1384">
        <v>43547</v>
      </c>
      <c r="B774" s="1489" t="s">
        <v>922</v>
      </c>
      <c r="C774" s="1489" t="s">
        <v>1530</v>
      </c>
      <c r="D774" s="1733">
        <v>2.0081018518518519E-2</v>
      </c>
      <c r="E774" s="1370" t="s">
        <v>12187</v>
      </c>
      <c r="F774" s="1370" t="s">
        <v>12211</v>
      </c>
      <c r="G774" s="1815">
        <v>0.54990000000000006</v>
      </c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</row>
    <row r="775" spans="1:24" s="1370" customFormat="1" x14ac:dyDescent="0.2">
      <c r="A775" s="1384">
        <v>43540</v>
      </c>
      <c r="B775" s="1489" t="s">
        <v>922</v>
      </c>
      <c r="C775" s="1489" t="s">
        <v>1530</v>
      </c>
      <c r="D775" s="1834">
        <v>1.9803240740740739E-2</v>
      </c>
      <c r="E775" s="1370" t="s">
        <v>12111</v>
      </c>
      <c r="F775" s="1370" t="s">
        <v>12113</v>
      </c>
      <c r="G775" s="1816">
        <v>0.55759999999999998</v>
      </c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</row>
    <row r="776" spans="1:24" s="1370" customFormat="1" x14ac:dyDescent="0.2">
      <c r="A776" s="1384">
        <v>43533</v>
      </c>
      <c r="B776" s="1489" t="s">
        <v>922</v>
      </c>
      <c r="C776" s="1489" t="s">
        <v>1530</v>
      </c>
      <c r="D776" s="1834">
        <v>2.0636574074074075E-2</v>
      </c>
      <c r="E776" s="1370" t="s">
        <v>12019</v>
      </c>
      <c r="F776" s="1370" t="s">
        <v>12042</v>
      </c>
      <c r="G776" s="1816">
        <v>0.53510000000000002</v>
      </c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</row>
    <row r="777" spans="1:24" s="1370" customFormat="1" x14ac:dyDescent="0.2">
      <c r="A777" s="1384">
        <v>43526</v>
      </c>
      <c r="B777" s="1489" t="s">
        <v>922</v>
      </c>
      <c r="C777" s="1489" t="s">
        <v>1530</v>
      </c>
      <c r="D777" s="1834">
        <v>2.0613425925925927E-2</v>
      </c>
      <c r="E777" s="1370" t="s">
        <v>11944</v>
      </c>
      <c r="F777" s="1370" t="s">
        <v>11969</v>
      </c>
      <c r="G777" s="1816">
        <v>0.53569999999999995</v>
      </c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</row>
    <row r="778" spans="1:24" s="1370" customFormat="1" x14ac:dyDescent="0.2">
      <c r="A778" s="1384">
        <v>43519</v>
      </c>
      <c r="B778" s="1489" t="s">
        <v>922</v>
      </c>
      <c r="C778" s="1489" t="s">
        <v>1530</v>
      </c>
      <c r="D778" s="1834">
        <v>2.5983796296296297E-2</v>
      </c>
      <c r="E778" s="1370" t="s">
        <v>11865</v>
      </c>
      <c r="F778" s="1370" t="s">
        <v>11905</v>
      </c>
      <c r="G778" s="1816">
        <v>0.4249</v>
      </c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</row>
    <row r="779" spans="1:24" s="1370" customFormat="1" x14ac:dyDescent="0.2">
      <c r="A779" s="1384">
        <v>43512</v>
      </c>
      <c r="B779" s="1489" t="s">
        <v>922</v>
      </c>
      <c r="C779" s="1489" t="s">
        <v>1530</v>
      </c>
      <c r="D779" s="1733">
        <v>2.0162037037037037E-2</v>
      </c>
      <c r="E779" s="1370" t="s">
        <v>11828</v>
      </c>
      <c r="F779" s="1370" t="s">
        <v>11827</v>
      </c>
      <c r="G779" s="1815">
        <v>0.54759999999999998</v>
      </c>
      <c r="I779" s="1370" t="s">
        <v>521</v>
      </c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</row>
    <row r="780" spans="1:24" s="1370" customFormat="1" x14ac:dyDescent="0.2">
      <c r="A780" s="1384">
        <v>43505</v>
      </c>
      <c r="B780" s="1489" t="s">
        <v>922</v>
      </c>
      <c r="C780" s="1489" t="s">
        <v>1530</v>
      </c>
      <c r="D780" s="1733">
        <v>2.0370370370370369E-2</v>
      </c>
      <c r="E780" s="1489" t="s">
        <v>11758</v>
      </c>
      <c r="F780" s="1489" t="s">
        <v>11791</v>
      </c>
      <c r="G780" s="1815">
        <v>0.54200000000000004</v>
      </c>
      <c r="H780" s="1489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</row>
    <row r="781" spans="1:24" s="1370" customFormat="1" x14ac:dyDescent="0.2">
      <c r="A781" s="1384">
        <v>43498</v>
      </c>
      <c r="B781" s="1489" t="s">
        <v>922</v>
      </c>
      <c r="C781" s="1489" t="s">
        <v>1530</v>
      </c>
      <c r="D781" s="1733">
        <v>2.0474537037037038E-2</v>
      </c>
      <c r="E781" s="1489" t="s">
        <v>11733</v>
      </c>
      <c r="F781" s="1489" t="s">
        <v>11749</v>
      </c>
      <c r="G781" s="1815">
        <v>0.5393</v>
      </c>
      <c r="H781" s="1489"/>
    </row>
    <row r="782" spans="1:24" s="1370" customFormat="1" x14ac:dyDescent="0.2">
      <c r="A782" s="1384">
        <v>43491</v>
      </c>
      <c r="B782" s="1489" t="s">
        <v>922</v>
      </c>
      <c r="C782" s="1489" t="s">
        <v>1530</v>
      </c>
      <c r="D782" s="1834">
        <v>2.2708333333333334E-2</v>
      </c>
      <c r="E782" s="1370" t="s">
        <v>11673</v>
      </c>
      <c r="F782" s="1415" t="s">
        <v>11792</v>
      </c>
      <c r="G782" s="1816">
        <v>0.48220000000000002</v>
      </c>
    </row>
    <row r="783" spans="1:24" s="1370" customFormat="1" x14ac:dyDescent="0.2">
      <c r="A783" s="1384">
        <v>43484</v>
      </c>
      <c r="B783" s="1489" t="s">
        <v>922</v>
      </c>
      <c r="C783" s="1489" t="s">
        <v>1530</v>
      </c>
      <c r="D783" s="1834">
        <v>1.9768518518518515E-2</v>
      </c>
      <c r="E783" s="1370" t="s">
        <v>10622</v>
      </c>
      <c r="F783" s="1370" t="s">
        <v>11618</v>
      </c>
      <c r="G783" s="1816">
        <v>0.55389999999999995</v>
      </c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</row>
    <row r="784" spans="1:24" s="1370" customFormat="1" x14ac:dyDescent="0.2">
      <c r="A784" s="1384">
        <v>43477</v>
      </c>
      <c r="B784" s="1489" t="s">
        <v>922</v>
      </c>
      <c r="C784" s="1489" t="s">
        <v>1530</v>
      </c>
      <c r="D784" s="1834">
        <v>1.9363425925925926E-2</v>
      </c>
      <c r="E784" s="1370" t="s">
        <v>5456</v>
      </c>
      <c r="F784" s="1370" t="s">
        <v>11554</v>
      </c>
      <c r="G784" s="1816">
        <v>0.5655</v>
      </c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</row>
    <row r="785" spans="1:24" s="1370" customFormat="1" x14ac:dyDescent="0.2">
      <c r="A785" s="1384">
        <v>43470</v>
      </c>
      <c r="B785" s="1489" t="s">
        <v>922</v>
      </c>
      <c r="C785" s="1489" t="s">
        <v>1530</v>
      </c>
      <c r="D785" s="1834">
        <v>1.9583333333333331E-2</v>
      </c>
      <c r="E785" s="1370" t="s">
        <v>5883</v>
      </c>
      <c r="F785" s="1370" t="s">
        <v>11555</v>
      </c>
      <c r="G785" s="1816">
        <v>0.55910000000000004</v>
      </c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</row>
    <row r="786" spans="1:24" s="1370" customFormat="1" x14ac:dyDescent="0.2">
      <c r="A786" s="1384">
        <v>43466</v>
      </c>
      <c r="B786" s="1489" t="s">
        <v>922</v>
      </c>
      <c r="C786" s="1489" t="s">
        <v>1530</v>
      </c>
      <c r="D786" s="1834">
        <v>1.9768518518518515E-2</v>
      </c>
      <c r="E786" s="1370" t="s">
        <v>11484</v>
      </c>
      <c r="F786" s="1370" t="s">
        <v>11485</v>
      </c>
      <c r="G786" s="1816">
        <v>0.55389999999999995</v>
      </c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</row>
    <row r="787" spans="1:24" s="1370" customFormat="1" x14ac:dyDescent="0.2">
      <c r="A787" s="1384">
        <v>43466</v>
      </c>
      <c r="B787" s="1489" t="s">
        <v>922</v>
      </c>
      <c r="C787" s="1489" t="s">
        <v>1530</v>
      </c>
      <c r="D787" s="1733">
        <v>1.9953703703703706E-2</v>
      </c>
      <c r="E787" s="1370" t="s">
        <v>11483</v>
      </c>
      <c r="F787" s="1370" t="s">
        <v>11486</v>
      </c>
      <c r="G787" s="1815">
        <v>0.54869999999999997</v>
      </c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</row>
    <row r="788" spans="1:24" s="1370" customFormat="1" x14ac:dyDescent="0.2">
      <c r="A788" s="1729">
        <v>43736</v>
      </c>
      <c r="B788" s="1389" t="s">
        <v>2478</v>
      </c>
      <c r="C788" s="1389" t="s">
        <v>4439</v>
      </c>
      <c r="D788" s="1686" t="s">
        <v>8346</v>
      </c>
      <c r="E788" s="1489" t="s">
        <v>15631</v>
      </c>
      <c r="F788" s="1489" t="s">
        <v>15685</v>
      </c>
      <c r="G788" s="1815"/>
      <c r="H788" s="80"/>
      <c r="I788" s="80"/>
      <c r="J788" s="80"/>
      <c r="K788" s="80"/>
    </row>
    <row r="789" spans="1:24" s="1370" customFormat="1" x14ac:dyDescent="0.2">
      <c r="A789" s="1384">
        <v>43638</v>
      </c>
      <c r="B789" s="1389" t="s">
        <v>2478</v>
      </c>
      <c r="C789" s="1389" t="s">
        <v>4439</v>
      </c>
      <c r="D789" s="1733">
        <v>1.6284722222222221E-2</v>
      </c>
      <c r="E789" s="1370" t="s">
        <v>12976</v>
      </c>
      <c r="F789" s="1370" t="s">
        <v>13012</v>
      </c>
      <c r="G789" s="1815">
        <v>0.64459999999999995</v>
      </c>
    </row>
    <row r="790" spans="1:24" s="1370" customFormat="1" x14ac:dyDescent="0.2">
      <c r="A790" s="1384">
        <v>43617</v>
      </c>
      <c r="B790" s="1389" t="s">
        <v>2478</v>
      </c>
      <c r="C790" s="1389" t="s">
        <v>4439</v>
      </c>
      <c r="D790" s="1833">
        <v>1.6562500000000001E-2</v>
      </c>
      <c r="E790" s="1499" t="s">
        <v>12803</v>
      </c>
      <c r="F790" s="1499"/>
      <c r="G790" s="1814">
        <v>0.63380000000000003</v>
      </c>
    </row>
    <row r="791" spans="1:24" s="1370" customFormat="1" x14ac:dyDescent="0.2">
      <c r="A791" s="1384">
        <v>43610</v>
      </c>
      <c r="B791" s="1389" t="s">
        <v>2478</v>
      </c>
      <c r="C791" s="1389" t="s">
        <v>4439</v>
      </c>
      <c r="D791" s="1834">
        <v>1.6608796296296299E-2</v>
      </c>
      <c r="E791" s="1370" t="s">
        <v>12727</v>
      </c>
      <c r="G791" s="1816">
        <v>0.6321</v>
      </c>
    </row>
    <row r="792" spans="1:24" s="1370" customFormat="1" x14ac:dyDescent="0.2">
      <c r="A792" s="1384">
        <v>43603</v>
      </c>
      <c r="B792" s="1389" t="s">
        <v>2478</v>
      </c>
      <c r="C792" s="1389" t="s">
        <v>4439</v>
      </c>
      <c r="D792" s="1733">
        <v>1.6134259259259261E-2</v>
      </c>
      <c r="E792" s="1489" t="s">
        <v>12672</v>
      </c>
      <c r="F792" s="1489"/>
      <c r="G792" s="1815">
        <v>0.65059999999999996</v>
      </c>
      <c r="H792" s="1489"/>
    </row>
    <row r="793" spans="1:24" s="1370" customFormat="1" x14ac:dyDescent="0.2">
      <c r="A793" s="1384">
        <v>43589</v>
      </c>
      <c r="B793" s="1389" t="s">
        <v>2478</v>
      </c>
      <c r="C793" s="1389" t="s">
        <v>4439</v>
      </c>
      <c r="D793" s="1834">
        <v>1.699074074074074E-2</v>
      </c>
      <c r="E793" s="1370" t="s">
        <v>12579</v>
      </c>
      <c r="F793" s="1370" t="s">
        <v>12614</v>
      </c>
      <c r="G793" s="1816">
        <v>0.61780000000000002</v>
      </c>
    </row>
    <row r="794" spans="1:24" s="1370" customFormat="1" x14ac:dyDescent="0.2">
      <c r="A794" s="1384">
        <v>43575</v>
      </c>
      <c r="B794" s="1389" t="s">
        <v>2478</v>
      </c>
      <c r="C794" s="1389" t="s">
        <v>4439</v>
      </c>
      <c r="D794" s="1733">
        <v>1.6307870370370372E-2</v>
      </c>
      <c r="E794" s="1370" t="s">
        <v>12451</v>
      </c>
      <c r="F794" s="1370" t="s">
        <v>12503</v>
      </c>
      <c r="G794" s="1815">
        <v>0.64370000000000005</v>
      </c>
    </row>
    <row r="795" spans="1:24" s="1370" customFormat="1" x14ac:dyDescent="0.2">
      <c r="A795" s="1384">
        <v>43568</v>
      </c>
      <c r="B795" s="1389" t="s">
        <v>2478</v>
      </c>
      <c r="C795" s="1389" t="s">
        <v>4439</v>
      </c>
      <c r="D795" s="1834">
        <v>1.5868055555555555E-2</v>
      </c>
      <c r="E795" s="1370" t="s">
        <v>12394</v>
      </c>
      <c r="F795" s="1370" t="s">
        <v>12395</v>
      </c>
      <c r="G795" s="1816">
        <v>0.66159999999999997</v>
      </c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</row>
    <row r="796" spans="1:24" s="1370" customFormat="1" x14ac:dyDescent="0.2">
      <c r="A796" s="1384">
        <v>43561</v>
      </c>
      <c r="B796" s="1389" t="s">
        <v>2478</v>
      </c>
      <c r="C796" s="1389" t="s">
        <v>4439</v>
      </c>
      <c r="D796" s="1733">
        <v>1.6041666666666666E-2</v>
      </c>
      <c r="E796" s="1489" t="s">
        <v>12336</v>
      </c>
      <c r="F796" s="1489" t="s">
        <v>1265</v>
      </c>
      <c r="G796" s="1815">
        <v>0.65439999999999998</v>
      </c>
      <c r="H796" s="1489"/>
    </row>
    <row r="797" spans="1:24" s="1370" customFormat="1" x14ac:dyDescent="0.2">
      <c r="A797" s="1384">
        <v>43554</v>
      </c>
      <c r="B797" s="1389" t="s">
        <v>2478</v>
      </c>
      <c r="C797" s="1389" t="s">
        <v>4439</v>
      </c>
      <c r="D797" s="1834">
        <v>1.6168981481481482E-2</v>
      </c>
      <c r="E797" s="1370" t="s">
        <v>12230</v>
      </c>
      <c r="F797" s="1370" t="s">
        <v>12269</v>
      </c>
      <c r="G797" s="1816">
        <v>0.6492</v>
      </c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</row>
    <row r="798" spans="1:24" s="1370" customFormat="1" x14ac:dyDescent="0.2">
      <c r="A798" s="1384">
        <v>43547</v>
      </c>
      <c r="B798" s="1389" t="s">
        <v>2478</v>
      </c>
      <c r="C798" s="1389" t="s">
        <v>4439</v>
      </c>
      <c r="D798" s="1733">
        <v>1.6307870370370372E-2</v>
      </c>
      <c r="E798" s="1370" t="s">
        <v>12187</v>
      </c>
      <c r="F798" s="1370" t="s">
        <v>12206</v>
      </c>
      <c r="G798" s="1815">
        <v>0.64370000000000005</v>
      </c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</row>
    <row r="799" spans="1:24" s="1370" customFormat="1" x14ac:dyDescent="0.2">
      <c r="A799" s="1384">
        <v>43540</v>
      </c>
      <c r="B799" s="1389" t="s">
        <v>2478</v>
      </c>
      <c r="C799" s="1389" t="s">
        <v>4439</v>
      </c>
      <c r="D799" s="1834">
        <v>1.6840277777777777E-2</v>
      </c>
      <c r="E799" s="1370" t="s">
        <v>12099</v>
      </c>
      <c r="F799" s="1370" t="s">
        <v>12094</v>
      </c>
      <c r="G799" s="1816">
        <v>0.62339999999999995</v>
      </c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</row>
    <row r="800" spans="1:24" s="1370" customFormat="1" x14ac:dyDescent="0.2">
      <c r="A800" s="1384">
        <v>43533</v>
      </c>
      <c r="B800" s="1389" t="s">
        <v>2478</v>
      </c>
      <c r="C800" s="1389" t="s">
        <v>4439</v>
      </c>
      <c r="D800" s="1733">
        <v>1.6319444444444445E-2</v>
      </c>
      <c r="E800" s="1370" t="s">
        <v>12019</v>
      </c>
      <c r="F800" s="1370" t="s">
        <v>12035</v>
      </c>
      <c r="G800" s="1815">
        <v>0.64329999999999998</v>
      </c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</row>
    <row r="801" spans="1:24" s="1370" customFormat="1" x14ac:dyDescent="0.2">
      <c r="A801" s="1384">
        <v>43526</v>
      </c>
      <c r="B801" s="1389" t="s">
        <v>2478</v>
      </c>
      <c r="C801" s="1389" t="s">
        <v>4439</v>
      </c>
      <c r="D801" s="1733">
        <v>1.6111111111111111E-2</v>
      </c>
      <c r="E801" s="1489" t="s">
        <v>11944</v>
      </c>
      <c r="F801" s="1489" t="s">
        <v>11967</v>
      </c>
      <c r="G801" s="1815">
        <v>0.65159999999999996</v>
      </c>
      <c r="H801" s="1489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</row>
    <row r="802" spans="1:24" s="1370" customFormat="1" x14ac:dyDescent="0.2">
      <c r="A802" s="1384">
        <v>43519</v>
      </c>
      <c r="B802" s="1389" t="s">
        <v>2478</v>
      </c>
      <c r="C802" s="1389" t="s">
        <v>4439</v>
      </c>
      <c r="D802" s="1733">
        <v>1.6261574074074074E-2</v>
      </c>
      <c r="E802" s="1370" t="s">
        <v>5883</v>
      </c>
      <c r="F802" s="1370" t="s">
        <v>11875</v>
      </c>
      <c r="G802" s="1815">
        <v>0.64559999999999995</v>
      </c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</row>
    <row r="803" spans="1:24" s="1370" customFormat="1" x14ac:dyDescent="0.2">
      <c r="A803" s="1384">
        <v>43512</v>
      </c>
      <c r="B803" s="1389" t="s">
        <v>2478</v>
      </c>
      <c r="C803" s="1389" t="s">
        <v>4439</v>
      </c>
      <c r="D803" s="1834">
        <v>1.6423611111111111E-2</v>
      </c>
      <c r="E803" s="1370" t="s">
        <v>5883</v>
      </c>
      <c r="F803" s="1370" t="s">
        <v>11840</v>
      </c>
      <c r="G803" s="1816">
        <v>0.63919999999999999</v>
      </c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</row>
    <row r="804" spans="1:24" s="1370" customFormat="1" x14ac:dyDescent="0.2">
      <c r="A804" s="1384">
        <v>43505</v>
      </c>
      <c r="B804" s="1389" t="s">
        <v>2478</v>
      </c>
      <c r="C804" s="1389" t="s">
        <v>4439</v>
      </c>
      <c r="D804" s="1834">
        <v>1.7326388888888888E-2</v>
      </c>
      <c r="E804" s="1370" t="s">
        <v>5883</v>
      </c>
      <c r="F804" s="1370" t="s">
        <v>11773</v>
      </c>
      <c r="G804" s="1816">
        <v>0.60589999999999999</v>
      </c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</row>
    <row r="805" spans="1:24" s="1370" customFormat="1" x14ac:dyDescent="0.2">
      <c r="A805" s="1384">
        <v>43491</v>
      </c>
      <c r="B805" s="1389" t="s">
        <v>2478</v>
      </c>
      <c r="C805" s="1389" t="s">
        <v>4439</v>
      </c>
      <c r="D805" s="1834">
        <v>1.7175925925925924E-2</v>
      </c>
      <c r="E805" s="1370" t="s">
        <v>5883</v>
      </c>
      <c r="F805" s="1415" t="s">
        <v>2777</v>
      </c>
      <c r="G805" s="1816">
        <v>0.61119999999999997</v>
      </c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</row>
    <row r="806" spans="1:24" s="1370" customFormat="1" x14ac:dyDescent="0.2">
      <c r="A806" s="1384">
        <v>43484</v>
      </c>
      <c r="B806" s="1389" t="s">
        <v>2478</v>
      </c>
      <c r="C806" s="1389" t="s">
        <v>4439</v>
      </c>
      <c r="D806" s="1834">
        <v>1.7893518518518517E-2</v>
      </c>
      <c r="E806" s="1370" t="s">
        <v>5883</v>
      </c>
      <c r="F806" s="1370" t="s">
        <v>11575</v>
      </c>
      <c r="G806" s="1816">
        <v>0.5867</v>
      </c>
    </row>
    <row r="807" spans="1:24" s="1370" customFormat="1" x14ac:dyDescent="0.2">
      <c r="A807" s="1384">
        <v>43484</v>
      </c>
      <c r="B807" s="1370" t="s">
        <v>1868</v>
      </c>
      <c r="C807" s="1370" t="s">
        <v>11617</v>
      </c>
      <c r="D807" s="1834" t="s">
        <v>787</v>
      </c>
      <c r="E807" s="1370" t="s">
        <v>10983</v>
      </c>
      <c r="F807" s="1370" t="s">
        <v>4155</v>
      </c>
      <c r="G807" s="1816"/>
    </row>
    <row r="808" spans="1:24" s="1370" customFormat="1" x14ac:dyDescent="0.2">
      <c r="A808" s="523">
        <v>43631</v>
      </c>
      <c r="B808" s="1493" t="s">
        <v>12908</v>
      </c>
      <c r="C808" s="1493" t="s">
        <v>12907</v>
      </c>
      <c r="D808" s="1840">
        <v>3.0729166666666669E-2</v>
      </c>
      <c r="E808" s="1493" t="s">
        <v>12933</v>
      </c>
      <c r="F808" s="80"/>
      <c r="G808" s="1823">
        <v>0.37209999999999999</v>
      </c>
      <c r="H808" s="80"/>
      <c r="I808" s="80"/>
      <c r="J808" s="80"/>
      <c r="K808" s="80"/>
    </row>
    <row r="809" spans="1:24" s="1370" customFormat="1" x14ac:dyDescent="0.2">
      <c r="A809" s="1729">
        <v>43827</v>
      </c>
      <c r="B809" s="1489" t="s">
        <v>1589</v>
      </c>
      <c r="C809" s="1489" t="s">
        <v>1590</v>
      </c>
      <c r="D809" s="1621">
        <v>1.9814814814814816E-2</v>
      </c>
      <c r="E809" s="1489" t="s">
        <v>16426</v>
      </c>
      <c r="F809" s="1489" t="s">
        <v>16453</v>
      </c>
      <c r="G809" s="1817">
        <v>0.61799999999999999</v>
      </c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</row>
    <row r="810" spans="1:24" s="1370" customFormat="1" x14ac:dyDescent="0.2">
      <c r="A810" s="34">
        <v>43824</v>
      </c>
      <c r="B810" s="1489" t="s">
        <v>1589</v>
      </c>
      <c r="C810" s="1489" t="s">
        <v>1590</v>
      </c>
      <c r="D810" s="1621">
        <v>1.9953703703703703E-2</v>
      </c>
      <c r="E810" s="1489" t="s">
        <v>16377</v>
      </c>
      <c r="F810" s="1489" t="s">
        <v>16384</v>
      </c>
      <c r="G810" s="1817">
        <v>0.61370000000000002</v>
      </c>
      <c r="H810" s="1404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</row>
    <row r="811" spans="1:24" s="1370" customFormat="1" x14ac:dyDescent="0.2">
      <c r="A811" s="1673">
        <v>43820</v>
      </c>
      <c r="B811" s="1489" t="s">
        <v>1589</v>
      </c>
      <c r="C811" s="1489" t="s">
        <v>1590</v>
      </c>
      <c r="D811" s="1777">
        <v>2.056712962962963E-2</v>
      </c>
      <c r="E811" s="80" t="s">
        <v>16321</v>
      </c>
      <c r="F811" t="s">
        <v>16345</v>
      </c>
      <c r="G811" s="314">
        <v>0.59540000000000004</v>
      </c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</row>
    <row r="812" spans="1:24" s="1370" customFormat="1" x14ac:dyDescent="0.2">
      <c r="A812" s="1765">
        <v>43813</v>
      </c>
      <c r="B812" s="1489" t="s">
        <v>1589</v>
      </c>
      <c r="C812" s="1489" t="s">
        <v>1590</v>
      </c>
      <c r="D812" s="1686" t="s">
        <v>787</v>
      </c>
      <c r="E812" s="1489" t="s">
        <v>16267</v>
      </c>
      <c r="F812" s="1489" t="s">
        <v>4185</v>
      </c>
      <c r="G812" s="1817"/>
      <c r="H812" s="1404"/>
      <c r="I812" s="1489" t="s">
        <v>1212</v>
      </c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</row>
    <row r="813" spans="1:24" s="1370" customFormat="1" x14ac:dyDescent="0.2">
      <c r="A813" s="34">
        <v>43806</v>
      </c>
      <c r="B813" s="1489" t="s">
        <v>1589</v>
      </c>
      <c r="C813" s="1489" t="s">
        <v>1590</v>
      </c>
      <c r="D813" s="1621">
        <v>1.966435185185185E-2</v>
      </c>
      <c r="E813" s="1489" t="s">
        <v>16213</v>
      </c>
      <c r="F813" s="1404"/>
      <c r="G813" s="1817">
        <v>0.62270000000000003</v>
      </c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</row>
    <row r="814" spans="1:24" s="1370" customFormat="1" x14ac:dyDescent="0.2">
      <c r="A814" s="1729">
        <v>43799</v>
      </c>
      <c r="B814" s="1489" t="s">
        <v>1589</v>
      </c>
      <c r="C814" s="1489" t="s">
        <v>1590</v>
      </c>
      <c r="D814" s="1674">
        <v>2.0092592592592592E-2</v>
      </c>
      <c r="E814" t="s">
        <v>16157</v>
      </c>
      <c r="F814" s="80" t="s">
        <v>16181</v>
      </c>
      <c r="G814" s="314">
        <v>0.60940000000000005</v>
      </c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</row>
    <row r="815" spans="1:24" s="1370" customFormat="1" x14ac:dyDescent="0.2">
      <c r="A815" s="1751">
        <v>43792</v>
      </c>
      <c r="B815" s="1489" t="s">
        <v>1589</v>
      </c>
      <c r="C815" s="1489" t="s">
        <v>1590</v>
      </c>
      <c r="D815" s="1786">
        <v>2.0138888888888887E-2</v>
      </c>
      <c r="E815" s="1489" t="s">
        <v>16087</v>
      </c>
      <c r="F815" s="1404"/>
      <c r="G815" s="1817">
        <v>0.60799999999999998</v>
      </c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</row>
    <row r="816" spans="1:24" s="1370" customFormat="1" x14ac:dyDescent="0.2">
      <c r="A816" s="1673">
        <v>43785</v>
      </c>
      <c r="B816" s="1489" t="s">
        <v>1589</v>
      </c>
      <c r="C816" s="1489" t="s">
        <v>1590</v>
      </c>
      <c r="D816" s="1674">
        <v>1.9363425925925926E-2</v>
      </c>
      <c r="E816" s="80" t="s">
        <v>16012</v>
      </c>
      <c r="F816" s="80" t="s">
        <v>16031</v>
      </c>
      <c r="G816" s="314">
        <v>0.63239999999999996</v>
      </c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</row>
    <row r="817" spans="1:24" s="1370" customFormat="1" x14ac:dyDescent="0.2">
      <c r="A817" s="1384">
        <v>43778</v>
      </c>
      <c r="B817" s="1489" t="s">
        <v>1589</v>
      </c>
      <c r="C817" s="1489" t="s">
        <v>1590</v>
      </c>
      <c r="D817" s="1725" t="s">
        <v>787</v>
      </c>
      <c r="E817" s="1726" t="s">
        <v>15960</v>
      </c>
      <c r="F817" s="1723" t="s">
        <v>94</v>
      </c>
      <c r="G817" s="1820"/>
    </row>
    <row r="818" spans="1:24" s="1370" customFormat="1" x14ac:dyDescent="0.2">
      <c r="A818" s="1384">
        <v>43771</v>
      </c>
      <c r="B818" s="1489" t="s">
        <v>1589</v>
      </c>
      <c r="C818" s="1489" t="s">
        <v>1590</v>
      </c>
      <c r="D818" s="1731">
        <v>2.0057870370370372E-2</v>
      </c>
      <c r="E818" s="1370" t="s">
        <v>15888</v>
      </c>
      <c r="G818" s="1816">
        <v>0.61050000000000004</v>
      </c>
    </row>
    <row r="819" spans="1:24" s="1370" customFormat="1" x14ac:dyDescent="0.2">
      <c r="A819" s="1384">
        <v>43764</v>
      </c>
      <c r="B819" s="1489" t="s">
        <v>1589</v>
      </c>
      <c r="C819" s="1489" t="s">
        <v>1590</v>
      </c>
      <c r="D819" s="1727">
        <v>2.0173611111111111E-2</v>
      </c>
      <c r="E819" s="1728" t="s">
        <v>15916</v>
      </c>
      <c r="F819" s="1728" t="s">
        <v>15927</v>
      </c>
      <c r="G819" s="1821">
        <v>0.60699999999999998</v>
      </c>
    </row>
    <row r="820" spans="1:24" s="1370" customFormat="1" ht="12.75" customHeight="1" x14ac:dyDescent="0.2">
      <c r="A820" s="523">
        <v>43757</v>
      </c>
      <c r="B820" s="1489" t="s">
        <v>1589</v>
      </c>
      <c r="C820" s="1489" t="s">
        <v>1590</v>
      </c>
      <c r="D820" s="1686">
        <v>1.9930555555555556E-2</v>
      </c>
      <c r="E820" s="1489" t="s">
        <v>15851</v>
      </c>
      <c r="F820" s="1489"/>
      <c r="G820" s="1815">
        <v>0.61439999999999995</v>
      </c>
      <c r="H820" s="1489"/>
      <c r="I820" s="1489"/>
      <c r="J820" s="1489"/>
      <c r="K820" s="1489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</row>
    <row r="821" spans="1:24" s="1370" customFormat="1" x14ac:dyDescent="0.2">
      <c r="A821" s="523">
        <v>43757</v>
      </c>
      <c r="B821" s="1489" t="s">
        <v>1589</v>
      </c>
      <c r="C821" s="1489" t="s">
        <v>1590</v>
      </c>
      <c r="D821" s="1686">
        <v>1.9930555555555556E-2</v>
      </c>
      <c r="E821" s="1489" t="s">
        <v>15851</v>
      </c>
      <c r="F821" s="1489"/>
      <c r="G821" s="1815">
        <v>0.61439999999999995</v>
      </c>
      <c r="H821" s="1489"/>
      <c r="I821" s="1489"/>
      <c r="J821" s="1489"/>
      <c r="K821" s="1489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</row>
    <row r="822" spans="1:24" s="1370" customFormat="1" x14ac:dyDescent="0.2">
      <c r="A822" s="523">
        <v>43750</v>
      </c>
      <c r="B822" s="1489" t="s">
        <v>1589</v>
      </c>
      <c r="C822" s="1489" t="s">
        <v>1590</v>
      </c>
      <c r="D822" s="1686">
        <v>1.9652777777777779E-2</v>
      </c>
      <c r="E822" s="1489" t="s">
        <v>15788</v>
      </c>
      <c r="F822" s="1489" t="s">
        <v>15806</v>
      </c>
      <c r="G822" s="1815">
        <v>0.62309999999999999</v>
      </c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</row>
    <row r="823" spans="1:24" s="1370" customFormat="1" x14ac:dyDescent="0.2">
      <c r="A823" s="523">
        <v>43743</v>
      </c>
      <c r="B823" s="1489" t="s">
        <v>1589</v>
      </c>
      <c r="C823" s="1489" t="s">
        <v>1590</v>
      </c>
      <c r="D823" s="1686" t="s">
        <v>787</v>
      </c>
      <c r="E823" s="1489" t="s">
        <v>1719</v>
      </c>
      <c r="F823" s="1489" t="s">
        <v>4185</v>
      </c>
      <c r="G823" s="1815"/>
      <c r="H823" s="80"/>
      <c r="I823" s="80"/>
      <c r="J823" s="80"/>
      <c r="K823" s="80"/>
    </row>
    <row r="824" spans="1:24" s="1370" customFormat="1" x14ac:dyDescent="0.2">
      <c r="A824" s="1729">
        <v>43736</v>
      </c>
      <c r="B824" s="1489" t="s">
        <v>1589</v>
      </c>
      <c r="C824" s="1489" t="s">
        <v>1590</v>
      </c>
      <c r="D824" s="1686">
        <v>1.9953703703703703E-2</v>
      </c>
      <c r="E824" s="1489" t="s">
        <v>15640</v>
      </c>
      <c r="F824" s="1489" t="s">
        <v>15665</v>
      </c>
      <c r="G824" s="1815">
        <v>0.61370000000000002</v>
      </c>
      <c r="H824" s="80"/>
      <c r="I824" s="80"/>
      <c r="J824" s="80"/>
      <c r="K824" s="80"/>
    </row>
    <row r="825" spans="1:24" s="1370" customFormat="1" x14ac:dyDescent="0.2">
      <c r="A825" s="1729">
        <v>43729</v>
      </c>
      <c r="B825" s="1489" t="s">
        <v>1589</v>
      </c>
      <c r="C825" s="1489" t="s">
        <v>1590</v>
      </c>
      <c r="D825" s="1686">
        <v>2.0046296296296295E-2</v>
      </c>
      <c r="E825" s="1489" t="s">
        <v>15576</v>
      </c>
      <c r="F825" s="1489" t="s">
        <v>15614</v>
      </c>
      <c r="G825" s="1815">
        <v>0.6109</v>
      </c>
      <c r="H825" s="80"/>
      <c r="I825" s="80"/>
      <c r="J825" s="80"/>
      <c r="K825" s="80"/>
    </row>
    <row r="826" spans="1:24" s="1370" customFormat="1" x14ac:dyDescent="0.2">
      <c r="A826" s="523">
        <v>43715</v>
      </c>
      <c r="B826" s="1489" t="s">
        <v>1589</v>
      </c>
      <c r="C826" s="1489" t="s">
        <v>1590</v>
      </c>
      <c r="D826" s="1732">
        <v>2.2395833333333334E-2</v>
      </c>
      <c r="E826" s="1514" t="s">
        <v>15419</v>
      </c>
      <c r="F826" s="1489" t="s">
        <v>15446</v>
      </c>
      <c r="G826" s="1822">
        <v>0.54679999999999995</v>
      </c>
      <c r="H826" s="1514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</row>
    <row r="827" spans="1:24" s="1370" customFormat="1" x14ac:dyDescent="0.2">
      <c r="A827" s="523">
        <v>43708</v>
      </c>
      <c r="B827" s="1489" t="s">
        <v>1589</v>
      </c>
      <c r="C827" s="1489" t="s">
        <v>1590</v>
      </c>
      <c r="D827" s="1686" t="s">
        <v>787</v>
      </c>
      <c r="E827" s="1489" t="s">
        <v>1719</v>
      </c>
      <c r="F827" s="1489" t="s">
        <v>4185</v>
      </c>
      <c r="G827" s="1815"/>
      <c r="H827" s="80"/>
      <c r="I827" s="80"/>
      <c r="J827" s="80"/>
      <c r="K827" s="80"/>
    </row>
    <row r="828" spans="1:24" s="80" customFormat="1" x14ac:dyDescent="0.2">
      <c r="A828" s="1526">
        <v>43701</v>
      </c>
      <c r="B828" s="1489" t="s">
        <v>1589</v>
      </c>
      <c r="C828" s="1489" t="s">
        <v>1590</v>
      </c>
      <c r="D828" s="1686">
        <v>2.0775462962962964E-2</v>
      </c>
      <c r="E828" s="1489" t="s">
        <v>15276</v>
      </c>
      <c r="F828" s="1489" t="s">
        <v>15312</v>
      </c>
      <c r="G828" s="1815">
        <v>0.58940000000000003</v>
      </c>
    </row>
    <row r="829" spans="1:24" s="80" customFormat="1" x14ac:dyDescent="0.2">
      <c r="A829" s="523">
        <v>43694</v>
      </c>
      <c r="B829" s="1489" t="s">
        <v>1589</v>
      </c>
      <c r="C829" s="1489" t="s">
        <v>1590</v>
      </c>
      <c r="D829" s="1733">
        <v>2.0486111111111111E-2</v>
      </c>
      <c r="E829" s="1489" t="s">
        <v>15164</v>
      </c>
      <c r="F829" s="1489"/>
      <c r="G829" s="1815">
        <v>0.59770000000000001</v>
      </c>
      <c r="L829" s="1370"/>
      <c r="M829" s="1370"/>
      <c r="N829" s="1370"/>
      <c r="O829" s="1370"/>
      <c r="P829" s="1370"/>
      <c r="Q829" s="1370"/>
      <c r="R829" s="1370"/>
      <c r="S829" s="1370"/>
      <c r="T829" s="1370"/>
      <c r="U829" s="1370"/>
      <c r="V829" s="1370"/>
      <c r="W829" s="1370"/>
      <c r="X829" s="1370"/>
    </row>
    <row r="830" spans="1:24" s="80" customFormat="1" x14ac:dyDescent="0.2">
      <c r="A830" s="523">
        <v>43687</v>
      </c>
      <c r="B830" s="1489" t="s">
        <v>1589</v>
      </c>
      <c r="C830" s="1489" t="s">
        <v>1590</v>
      </c>
      <c r="D830" s="1686">
        <v>2.0405092592592593E-2</v>
      </c>
      <c r="E830" s="1489" t="s">
        <v>13437</v>
      </c>
      <c r="F830" s="1577"/>
      <c r="G830" s="1815">
        <v>0.60009999999999997</v>
      </c>
      <c r="L830" s="1370"/>
      <c r="M830" s="1370"/>
      <c r="N830" s="1370"/>
      <c r="O830" s="1370"/>
      <c r="P830" s="1370"/>
      <c r="Q830" s="1370"/>
      <c r="R830" s="1370"/>
      <c r="S830" s="1370"/>
      <c r="T830" s="1370"/>
      <c r="U830" s="1370"/>
      <c r="V830" s="1370"/>
      <c r="W830" s="1370"/>
      <c r="X830" s="1370"/>
    </row>
    <row r="831" spans="1:24" s="80" customFormat="1" x14ac:dyDescent="0.2">
      <c r="A831" s="523">
        <v>43680</v>
      </c>
      <c r="B831" s="1489" t="s">
        <v>1589</v>
      </c>
      <c r="C831" s="1489" t="s">
        <v>1590</v>
      </c>
      <c r="D831" s="547" t="s">
        <v>787</v>
      </c>
      <c r="E831" s="80" t="s">
        <v>13346</v>
      </c>
      <c r="F831" s="80" t="s">
        <v>5508</v>
      </c>
      <c r="G831" s="317"/>
      <c r="L831" s="1370"/>
      <c r="M831" s="1370"/>
      <c r="N831" s="1370"/>
      <c r="O831" s="1370"/>
      <c r="P831" s="1370"/>
      <c r="Q831" s="1370"/>
      <c r="R831" s="1370"/>
      <c r="S831" s="1370"/>
      <c r="T831" s="1370"/>
      <c r="U831" s="1370"/>
      <c r="V831" s="1370"/>
      <c r="W831" s="1370"/>
      <c r="X831" s="1370"/>
    </row>
    <row r="832" spans="1:24" s="80" customFormat="1" x14ac:dyDescent="0.2">
      <c r="A832" s="1384">
        <v>43673</v>
      </c>
      <c r="B832" s="1489" t="s">
        <v>1589</v>
      </c>
      <c r="C832" s="1489" t="s">
        <v>1590</v>
      </c>
      <c r="D832" s="1686">
        <v>2.0590277777777777E-2</v>
      </c>
      <c r="E832" s="1489" t="s">
        <v>13288</v>
      </c>
      <c r="F832" s="1489"/>
      <c r="G832" s="1815">
        <v>0.59470000000000001</v>
      </c>
      <c r="L832" s="1370"/>
      <c r="M832" s="1370"/>
      <c r="N832" s="1370"/>
      <c r="O832" s="1370"/>
      <c r="P832" s="1370"/>
      <c r="Q832" s="1370"/>
      <c r="R832" s="1370"/>
      <c r="S832" s="1370"/>
      <c r="T832" s="1370"/>
      <c r="U832" s="1370"/>
      <c r="V832" s="1370"/>
      <c r="W832" s="1370"/>
      <c r="X832" s="1370"/>
    </row>
    <row r="833" spans="1:24" s="80" customFormat="1" x14ac:dyDescent="0.2">
      <c r="A833" s="523">
        <v>43659</v>
      </c>
      <c r="B833" s="1489" t="s">
        <v>1589</v>
      </c>
      <c r="C833" s="1489" t="s">
        <v>1590</v>
      </c>
      <c r="D833" s="547" t="s">
        <v>787</v>
      </c>
      <c r="E833" s="80" t="s">
        <v>1719</v>
      </c>
      <c r="F833" s="80" t="s">
        <v>4185</v>
      </c>
      <c r="G833" s="317"/>
      <c r="L833" s="1370"/>
      <c r="M833" s="1370"/>
      <c r="N833" s="1370"/>
      <c r="O833" s="1370"/>
      <c r="P833" s="1370"/>
      <c r="Q833" s="1370"/>
      <c r="R833" s="1370"/>
      <c r="S833" s="1370"/>
      <c r="T833" s="1370"/>
      <c r="U833" s="1370"/>
      <c r="V833" s="1370"/>
      <c r="W833" s="1370"/>
      <c r="X833" s="1370"/>
    </row>
    <row r="834" spans="1:24" s="80" customFormat="1" x14ac:dyDescent="0.2">
      <c r="A834" s="523">
        <v>43652</v>
      </c>
      <c r="B834" s="1489" t="s">
        <v>1589</v>
      </c>
      <c r="C834" s="1489" t="s">
        <v>1590</v>
      </c>
      <c r="D834" s="1686">
        <v>2.0775462962962964E-2</v>
      </c>
      <c r="E834" s="1489" t="s">
        <v>13075</v>
      </c>
      <c r="F834" s="1489"/>
      <c r="G834" s="1815">
        <v>0.58940000000000003</v>
      </c>
      <c r="H834" s="1489"/>
      <c r="L834" s="1370"/>
      <c r="M834" s="1370"/>
      <c r="N834" s="1370"/>
      <c r="O834" s="1370"/>
      <c r="P834" s="1370"/>
      <c r="Q834" s="1370"/>
      <c r="R834" s="1370"/>
      <c r="S834" s="1370"/>
      <c r="T834" s="1370"/>
      <c r="U834" s="1370"/>
      <c r="V834" s="1370"/>
      <c r="W834" s="1370"/>
      <c r="X834" s="1370"/>
    </row>
    <row r="835" spans="1:24" s="80" customFormat="1" x14ac:dyDescent="0.2">
      <c r="A835" s="523">
        <v>43645</v>
      </c>
      <c r="B835" s="1489" t="s">
        <v>1589</v>
      </c>
      <c r="C835" s="1489" t="s">
        <v>1590</v>
      </c>
      <c r="D835" s="1686">
        <v>2.1273148148148145E-2</v>
      </c>
      <c r="E835" s="80" t="s">
        <v>13021</v>
      </c>
      <c r="G835" s="1815">
        <v>0.5756</v>
      </c>
      <c r="L835" s="1370"/>
      <c r="M835" s="1370"/>
      <c r="N835" s="1370"/>
      <c r="O835" s="1370"/>
      <c r="P835" s="1370"/>
      <c r="Q835" s="1370"/>
      <c r="R835" s="1370"/>
      <c r="S835" s="1370"/>
      <c r="T835" s="1370"/>
      <c r="U835" s="1370"/>
      <c r="V835" s="1370"/>
      <c r="W835" s="1370"/>
      <c r="X835" s="1370"/>
    </row>
    <row r="836" spans="1:24" s="80" customFormat="1" x14ac:dyDescent="0.2">
      <c r="A836" s="523">
        <v>43638</v>
      </c>
      <c r="B836" s="1489" t="s">
        <v>1589</v>
      </c>
      <c r="C836" s="1489" t="s">
        <v>1590</v>
      </c>
      <c r="D836" s="1840">
        <v>2.0914351851851851E-2</v>
      </c>
      <c r="E836" s="1493" t="s">
        <v>12982</v>
      </c>
      <c r="F836" s="1493"/>
      <c r="G836" s="1823">
        <v>0.58550000000000002</v>
      </c>
      <c r="L836" s="1370"/>
      <c r="M836" s="1370"/>
      <c r="N836" s="1370"/>
      <c r="O836" s="1370"/>
      <c r="P836" s="1370"/>
      <c r="Q836" s="1370"/>
      <c r="R836" s="1370"/>
      <c r="S836" s="1370"/>
      <c r="T836" s="1370"/>
      <c r="U836" s="1370"/>
      <c r="V836" s="1370"/>
      <c r="W836" s="1370"/>
      <c r="X836" s="1370"/>
    </row>
    <row r="837" spans="1:24" s="80" customFormat="1" ht="12.75" customHeight="1" x14ac:dyDescent="0.2">
      <c r="A837" s="523">
        <v>43631</v>
      </c>
      <c r="B837" s="1489" t="s">
        <v>1589</v>
      </c>
      <c r="C837" s="1489" t="s">
        <v>1590</v>
      </c>
      <c r="D837" s="1840">
        <v>2.074074074074074E-2</v>
      </c>
      <c r="E837" s="1493" t="s">
        <v>12927</v>
      </c>
      <c r="F837" s="1494"/>
      <c r="G837" s="1823">
        <v>0.59040000000000004</v>
      </c>
      <c r="L837" s="1370"/>
      <c r="M837" s="1370"/>
      <c r="N837" s="1370"/>
      <c r="O837" s="1370"/>
      <c r="P837" s="1370"/>
      <c r="Q837" s="1370"/>
      <c r="R837" s="1370"/>
      <c r="S837" s="1370"/>
      <c r="T837" s="1370"/>
      <c r="U837" s="1370"/>
      <c r="V837" s="1370"/>
      <c r="W837" s="1370"/>
      <c r="X837" s="1370"/>
    </row>
    <row r="838" spans="1:24" s="80" customFormat="1" x14ac:dyDescent="0.2">
      <c r="A838" s="523">
        <v>43624</v>
      </c>
      <c r="B838" s="1489" t="s">
        <v>1589</v>
      </c>
      <c r="C838" s="1489" t="s">
        <v>1590</v>
      </c>
      <c r="D838" s="547" t="s">
        <v>787</v>
      </c>
      <c r="E838" s="80" t="s">
        <v>1719</v>
      </c>
      <c r="F838" s="80" t="s">
        <v>4155</v>
      </c>
      <c r="G838" s="317"/>
      <c r="L838" s="1370"/>
      <c r="M838" s="1370"/>
      <c r="N838" s="1370"/>
      <c r="O838" s="1370"/>
      <c r="P838" s="1370"/>
      <c r="Q838" s="1370"/>
      <c r="R838" s="1370"/>
      <c r="S838" s="1370"/>
      <c r="T838" s="1370"/>
      <c r="U838" s="1370"/>
      <c r="V838" s="1370"/>
      <c r="W838" s="1370"/>
      <c r="X838" s="1370"/>
    </row>
    <row r="839" spans="1:24" s="80" customFormat="1" x14ac:dyDescent="0.2">
      <c r="A839" s="1384">
        <v>43617</v>
      </c>
      <c r="B839" s="1489" t="s">
        <v>1589</v>
      </c>
      <c r="C839" s="1489" t="s">
        <v>1590</v>
      </c>
      <c r="D839" s="1833">
        <v>2.0682870370370372E-2</v>
      </c>
      <c r="E839" s="1499" t="s">
        <v>12814</v>
      </c>
      <c r="F839" s="1499" t="s">
        <v>12795</v>
      </c>
      <c r="G839" s="1814">
        <v>0.59209999999999996</v>
      </c>
      <c r="H839" s="1370"/>
      <c r="I839" s="1370"/>
      <c r="J839" s="1370"/>
      <c r="K839" s="1370"/>
      <c r="L839" s="1370"/>
      <c r="M839" s="1370"/>
      <c r="N839" s="1370"/>
      <c r="O839" s="1370"/>
      <c r="P839" s="1370"/>
      <c r="Q839" s="1370"/>
      <c r="R839" s="1370"/>
      <c r="S839" s="1370"/>
      <c r="T839" s="1370"/>
      <c r="U839" s="1370"/>
      <c r="V839" s="1370"/>
      <c r="W839" s="1370"/>
      <c r="X839" s="1370"/>
    </row>
    <row r="840" spans="1:24" s="80" customFormat="1" x14ac:dyDescent="0.2">
      <c r="A840" s="1384">
        <v>43610</v>
      </c>
      <c r="B840" s="1489" t="s">
        <v>1589</v>
      </c>
      <c r="C840" s="1489" t="s">
        <v>1590</v>
      </c>
      <c r="D840" s="1834">
        <v>2.1493055555555557E-2</v>
      </c>
      <c r="E840" s="1370" t="s">
        <v>12731</v>
      </c>
      <c r="F840" s="1370"/>
      <c r="G840" s="1816">
        <v>0.56969999999999998</v>
      </c>
      <c r="H840" s="1370"/>
      <c r="I840" s="1370"/>
      <c r="J840" s="1370"/>
      <c r="K840" s="1370"/>
      <c r="L840" s="1370"/>
      <c r="M840" s="1370"/>
      <c r="N840" s="1370"/>
      <c r="O840" s="1370"/>
      <c r="P840" s="1370"/>
      <c r="Q840" s="1370"/>
      <c r="R840" s="1370"/>
      <c r="S840" s="1370"/>
      <c r="T840" s="1370"/>
      <c r="U840" s="1370"/>
      <c r="V840" s="1370"/>
      <c r="W840" s="1370"/>
      <c r="X840" s="1370"/>
    </row>
    <row r="841" spans="1:24" s="80" customFormat="1" x14ac:dyDescent="0.2">
      <c r="A841" s="1384">
        <v>43603</v>
      </c>
      <c r="B841" s="1489" t="s">
        <v>1589</v>
      </c>
      <c r="C841" s="1489" t="s">
        <v>1590</v>
      </c>
      <c r="D841" s="1834" t="s">
        <v>787</v>
      </c>
      <c r="E841" s="1370" t="s">
        <v>12691</v>
      </c>
      <c r="F841" s="1370" t="s">
        <v>4185</v>
      </c>
      <c r="G841" s="1816"/>
      <c r="H841" s="1370"/>
      <c r="I841" s="1370"/>
      <c r="J841" s="1370"/>
      <c r="K841" s="1370"/>
      <c r="L841" s="1370"/>
      <c r="M841" s="1370"/>
      <c r="N841" s="1370"/>
      <c r="O841" s="1370"/>
      <c r="P841" s="1370"/>
      <c r="Q841" s="1370"/>
      <c r="R841" s="1370"/>
      <c r="S841" s="1370"/>
      <c r="T841" s="1370"/>
      <c r="U841" s="1370"/>
      <c r="V841" s="1370"/>
      <c r="W841" s="1370"/>
      <c r="X841" s="1370"/>
    </row>
    <row r="842" spans="1:24" s="80" customFormat="1" x14ac:dyDescent="0.2">
      <c r="A842" s="1384">
        <v>43596</v>
      </c>
      <c r="B842" s="1489" t="s">
        <v>1589</v>
      </c>
      <c r="C842" s="1489" t="s">
        <v>1590</v>
      </c>
      <c r="D842" s="1733">
        <v>2.1689814814814815E-2</v>
      </c>
      <c r="E842" s="1370" t="s">
        <v>12597</v>
      </c>
      <c r="F842" s="1370" t="s">
        <v>11694</v>
      </c>
      <c r="G842" s="1815">
        <v>0.56459999999999999</v>
      </c>
      <c r="H842" s="1370"/>
      <c r="I842" s="1370"/>
      <c r="J842" s="1370"/>
      <c r="K842" s="1370"/>
      <c r="L842" s="1370"/>
      <c r="M842" s="1370"/>
      <c r="N842" s="1370"/>
      <c r="O842" s="1370"/>
      <c r="P842" s="1370"/>
      <c r="Q842" s="1370"/>
      <c r="R842" s="1370"/>
      <c r="S842" s="1370"/>
      <c r="T842" s="1370"/>
      <c r="U842" s="1370"/>
      <c r="V842" s="1370"/>
      <c r="W842" s="1370"/>
      <c r="X842" s="1370"/>
    </row>
    <row r="843" spans="1:24" s="80" customFormat="1" ht="13.5" customHeight="1" x14ac:dyDescent="0.2">
      <c r="A843" s="1384">
        <v>43589</v>
      </c>
      <c r="B843" s="1489" t="s">
        <v>1589</v>
      </c>
      <c r="C843" s="1489" t="s">
        <v>1590</v>
      </c>
      <c r="D843" s="1733">
        <v>2.1805555555555554E-2</v>
      </c>
      <c r="E843" s="1370" t="s">
        <v>12596</v>
      </c>
      <c r="F843" s="1370" t="s">
        <v>12599</v>
      </c>
      <c r="G843" s="1815">
        <v>0.56159999999999999</v>
      </c>
      <c r="H843" s="1370"/>
      <c r="I843" s="1370"/>
      <c r="J843" s="1370"/>
      <c r="K843" s="1370"/>
      <c r="L843" s="1370"/>
      <c r="M843" s="1370"/>
      <c r="N843" s="1370"/>
      <c r="O843" s="1370"/>
      <c r="P843" s="1370"/>
      <c r="Q843" s="1370"/>
      <c r="R843" s="1370"/>
      <c r="S843" s="1370"/>
      <c r="T843" s="1370"/>
      <c r="U843" s="1370"/>
      <c r="V843" s="1370"/>
      <c r="W843" s="1370"/>
      <c r="X843" s="1370"/>
    </row>
    <row r="844" spans="1:24" s="80" customFormat="1" ht="13.5" customHeight="1" x14ac:dyDescent="0.2">
      <c r="A844" s="1384">
        <v>43582</v>
      </c>
      <c r="B844" s="1489" t="s">
        <v>1589</v>
      </c>
      <c r="C844" s="1489" t="s">
        <v>1590</v>
      </c>
      <c r="D844" s="1733">
        <v>2.2800925925925929E-2</v>
      </c>
      <c r="E844" s="1489" t="s">
        <v>12595</v>
      </c>
      <c r="F844" s="1489" t="s">
        <v>12598</v>
      </c>
      <c r="G844" s="1815">
        <v>0.53710000000000002</v>
      </c>
      <c r="H844" s="1370"/>
      <c r="I844" s="1489"/>
      <c r="J844" s="1370"/>
      <c r="K844" s="1370"/>
      <c r="L844" s="1370"/>
      <c r="M844" s="1370"/>
      <c r="N844" s="1370"/>
      <c r="O844" s="1370"/>
      <c r="P844" s="1370"/>
      <c r="Q844" s="1370"/>
      <c r="R844" s="1370"/>
      <c r="S844" s="1370"/>
      <c r="T844" s="1370"/>
      <c r="U844" s="1370"/>
      <c r="V844" s="1370"/>
      <c r="W844" s="1370"/>
      <c r="X844" s="1370"/>
    </row>
    <row r="845" spans="1:24" s="80" customFormat="1" ht="13.5" customHeight="1" x14ac:dyDescent="0.2">
      <c r="A845" s="1384">
        <v>43575</v>
      </c>
      <c r="B845" s="1489" t="s">
        <v>1589</v>
      </c>
      <c r="C845" s="1489" t="s">
        <v>1590</v>
      </c>
      <c r="D845" s="1733">
        <v>2.4247685185185181E-2</v>
      </c>
      <c r="E845" s="1489" t="s">
        <v>12453</v>
      </c>
      <c r="F845" s="1489" t="s">
        <v>12454</v>
      </c>
      <c r="G845" s="1815">
        <v>0.505</v>
      </c>
      <c r="H845" s="1370"/>
      <c r="I845" s="1370"/>
      <c r="J845" s="1370"/>
      <c r="K845" s="1370"/>
      <c r="L845" s="1370"/>
      <c r="M845" s="1370"/>
      <c r="N845" s="1370"/>
      <c r="O845" s="1370"/>
      <c r="P845" s="1370"/>
      <c r="Q845" s="1370"/>
      <c r="R845" s="1370"/>
      <c r="S845" s="1370"/>
      <c r="T845" s="1370"/>
      <c r="U845" s="1370"/>
      <c r="V845" s="1370"/>
      <c r="W845" s="1370"/>
      <c r="X845" s="1370"/>
    </row>
    <row r="846" spans="1:24" s="80" customFormat="1" ht="13.5" customHeight="1" x14ac:dyDescent="0.2">
      <c r="A846" s="1384">
        <v>43568</v>
      </c>
      <c r="B846" s="1489" t="s">
        <v>1589</v>
      </c>
      <c r="C846" s="1489" t="s">
        <v>1590</v>
      </c>
      <c r="D846" s="1834" t="s">
        <v>787</v>
      </c>
      <c r="E846" s="1370" t="s">
        <v>1719</v>
      </c>
      <c r="F846" s="1370" t="s">
        <v>4185</v>
      </c>
      <c r="G846" s="1816"/>
      <c r="H846" s="1370"/>
      <c r="I846" s="1370"/>
      <c r="J846" s="1370"/>
      <c r="K846" s="1370"/>
    </row>
    <row r="847" spans="1:24" s="80" customFormat="1" ht="13.5" customHeight="1" x14ac:dyDescent="0.2">
      <c r="A847" s="1384">
        <v>43561</v>
      </c>
      <c r="B847" s="1489" t="s">
        <v>1589</v>
      </c>
      <c r="C847" s="1489" t="s">
        <v>1590</v>
      </c>
      <c r="D847" s="1834">
        <v>3.7291666666666667E-2</v>
      </c>
      <c r="E847" s="1370" t="s">
        <v>12334</v>
      </c>
      <c r="F847" s="1370" t="s">
        <v>8160</v>
      </c>
      <c r="G847" s="1816">
        <v>0.32840000000000003</v>
      </c>
      <c r="H847" s="1370"/>
      <c r="I847" s="1370"/>
      <c r="J847" s="1370"/>
      <c r="K847" s="1370"/>
    </row>
    <row r="848" spans="1:24" s="80" customFormat="1" ht="13.5" customHeight="1" x14ac:dyDescent="0.2">
      <c r="A848" s="1384">
        <v>43554</v>
      </c>
      <c r="B848" s="1489" t="s">
        <v>1589</v>
      </c>
      <c r="C848" s="1489" t="s">
        <v>1590</v>
      </c>
      <c r="D848" s="1834" t="s">
        <v>787</v>
      </c>
      <c r="E848" s="1370" t="s">
        <v>1719</v>
      </c>
      <c r="F848" s="1370" t="s">
        <v>4854</v>
      </c>
      <c r="G848" s="1816"/>
      <c r="H848" s="1370"/>
      <c r="I848" s="1370"/>
      <c r="J848" s="1370"/>
      <c r="K848" s="1370"/>
    </row>
    <row r="849" spans="1:24" s="80" customFormat="1" ht="13.5" customHeight="1" x14ac:dyDescent="0.2">
      <c r="A849" s="1384">
        <v>43547</v>
      </c>
      <c r="B849" s="1489" t="s">
        <v>1589</v>
      </c>
      <c r="C849" s="1489" t="s">
        <v>1590</v>
      </c>
      <c r="D849" s="1834" t="s">
        <v>787</v>
      </c>
      <c r="E849" s="1370" t="s">
        <v>1719</v>
      </c>
      <c r="F849" s="1370" t="s">
        <v>5508</v>
      </c>
      <c r="G849" s="1816"/>
      <c r="H849" s="1370"/>
      <c r="I849" s="1370"/>
      <c r="J849" s="1370"/>
      <c r="K849" s="1370"/>
    </row>
    <row r="850" spans="1:24" s="80" customFormat="1" x14ac:dyDescent="0.2">
      <c r="A850" s="1384">
        <v>43540</v>
      </c>
      <c r="B850" s="1489" t="s">
        <v>1589</v>
      </c>
      <c r="C850" s="1489" t="s">
        <v>1590</v>
      </c>
      <c r="D850" s="1834" t="s">
        <v>787</v>
      </c>
      <c r="E850" s="1370" t="s">
        <v>1719</v>
      </c>
      <c r="F850" s="1370" t="s">
        <v>4854</v>
      </c>
      <c r="G850" s="1816"/>
      <c r="H850" s="1370"/>
      <c r="I850" s="1370"/>
      <c r="J850" s="1370"/>
      <c r="K850" s="1370"/>
      <c r="L850" s="1370"/>
      <c r="M850" s="1370"/>
      <c r="N850" s="1370"/>
      <c r="O850" s="1370"/>
      <c r="P850" s="1370"/>
      <c r="Q850" s="1370"/>
      <c r="R850" s="1370"/>
      <c r="S850" s="1370"/>
      <c r="T850" s="1370"/>
      <c r="U850" s="1370"/>
      <c r="V850" s="1370"/>
      <c r="W850" s="1370"/>
      <c r="X850" s="1370"/>
    </row>
    <row r="851" spans="1:24" s="80" customFormat="1" x14ac:dyDescent="0.2">
      <c r="A851" s="1384">
        <v>43533</v>
      </c>
      <c r="B851" s="1489" t="s">
        <v>1589</v>
      </c>
      <c r="C851" s="1489" t="s">
        <v>1590</v>
      </c>
      <c r="D851" s="1834" t="s">
        <v>787</v>
      </c>
      <c r="E851" s="1370" t="s">
        <v>11747</v>
      </c>
      <c r="F851" s="1370" t="s">
        <v>4854</v>
      </c>
      <c r="G851" s="1816"/>
      <c r="H851" s="1370"/>
      <c r="I851" s="1370"/>
      <c r="J851" s="1370"/>
      <c r="K851" s="1370"/>
    </row>
    <row r="852" spans="1:24" s="80" customFormat="1" x14ac:dyDescent="0.2">
      <c r="A852" s="1384">
        <v>43526</v>
      </c>
      <c r="B852" s="1489" t="s">
        <v>1589</v>
      </c>
      <c r="C852" s="1489" t="s">
        <v>1590</v>
      </c>
      <c r="D852" s="1834" t="s">
        <v>787</v>
      </c>
      <c r="E852" s="1370" t="s">
        <v>11947</v>
      </c>
      <c r="F852" s="1370" t="s">
        <v>2726</v>
      </c>
      <c r="G852" s="1816"/>
      <c r="H852" s="1370"/>
      <c r="I852" s="1370"/>
      <c r="J852" s="1370"/>
      <c r="K852" s="1370"/>
    </row>
    <row r="853" spans="1:24" s="80" customFormat="1" ht="12.75" customHeight="1" x14ac:dyDescent="0.2">
      <c r="A853" s="1384">
        <v>43519</v>
      </c>
      <c r="B853" s="1489" t="s">
        <v>1589</v>
      </c>
      <c r="C853" s="1489" t="s">
        <v>1590</v>
      </c>
      <c r="D853" s="1834" t="s">
        <v>787</v>
      </c>
      <c r="E853" s="1370" t="s">
        <v>1719</v>
      </c>
      <c r="F853" s="1370" t="s">
        <v>2726</v>
      </c>
      <c r="G853" s="1816"/>
      <c r="H853" s="1370"/>
      <c r="I853" s="1370"/>
      <c r="J853" s="1370"/>
      <c r="K853" s="1370"/>
    </row>
    <row r="854" spans="1:24" s="80" customFormat="1" x14ac:dyDescent="0.2">
      <c r="A854" s="1384">
        <v>43505</v>
      </c>
      <c r="B854" s="1489" t="s">
        <v>1589</v>
      </c>
      <c r="C854" s="1489" t="s">
        <v>1590</v>
      </c>
      <c r="D854" s="1834" t="s">
        <v>787</v>
      </c>
      <c r="E854" s="1370" t="s">
        <v>1719</v>
      </c>
      <c r="F854" s="1370" t="s">
        <v>4185</v>
      </c>
      <c r="G854" s="1816"/>
      <c r="H854" s="1370"/>
      <c r="I854" s="1370"/>
      <c r="J854" s="1370"/>
      <c r="K854" s="1370"/>
    </row>
    <row r="855" spans="1:24" s="80" customFormat="1" x14ac:dyDescent="0.2">
      <c r="A855" s="1384">
        <v>43491</v>
      </c>
      <c r="B855" s="1489" t="s">
        <v>1589</v>
      </c>
      <c r="C855" s="1489" t="s">
        <v>1590</v>
      </c>
      <c r="D855" s="1839" t="s">
        <v>787</v>
      </c>
      <c r="E855" s="1370" t="s">
        <v>1719</v>
      </c>
      <c r="F855" s="1415" t="s">
        <v>11695</v>
      </c>
      <c r="G855" s="1816"/>
      <c r="H855" s="1370"/>
      <c r="I855" s="1370"/>
      <c r="J855" s="1370"/>
      <c r="K855" s="1370"/>
    </row>
    <row r="856" spans="1:24" s="80" customFormat="1" x14ac:dyDescent="0.2">
      <c r="A856" s="1384">
        <v>43484</v>
      </c>
      <c r="B856" s="1489" t="s">
        <v>1589</v>
      </c>
      <c r="C856" s="1489" t="s">
        <v>1590</v>
      </c>
      <c r="D856" s="1834">
        <v>2.0104166666666666E-2</v>
      </c>
      <c r="E856" s="1432" t="s">
        <v>11541</v>
      </c>
      <c r="F856" s="1370" t="s">
        <v>11538</v>
      </c>
      <c r="G856" s="1816">
        <v>0.60219999999999996</v>
      </c>
      <c r="H856" s="1370"/>
      <c r="I856" s="1370" t="s">
        <v>11627</v>
      </c>
      <c r="J856" s="1370"/>
      <c r="K856" s="1370"/>
    </row>
    <row r="857" spans="1:24" s="80" customFormat="1" x14ac:dyDescent="0.2">
      <c r="A857" s="1384">
        <v>43477</v>
      </c>
      <c r="B857" s="1489" t="s">
        <v>1589</v>
      </c>
      <c r="C857" s="1489" t="s">
        <v>1590</v>
      </c>
      <c r="D857" s="1834">
        <v>2.0335648148148148E-2</v>
      </c>
      <c r="E857" s="1370" t="s">
        <v>1719</v>
      </c>
      <c r="F857" s="1370" t="s">
        <v>11539</v>
      </c>
      <c r="G857" s="1816">
        <v>0.59930000000000005</v>
      </c>
      <c r="H857" s="1370"/>
      <c r="I857" s="1370"/>
      <c r="J857" s="1370"/>
      <c r="K857" s="1370"/>
    </row>
    <row r="858" spans="1:24" s="80" customFormat="1" x14ac:dyDescent="0.2">
      <c r="A858" s="1384">
        <v>43470</v>
      </c>
      <c r="B858" s="1489" t="s">
        <v>1589</v>
      </c>
      <c r="C858" s="1489" t="s">
        <v>1590</v>
      </c>
      <c r="D858" s="1839" t="s">
        <v>787</v>
      </c>
      <c r="E858" s="1370" t="s">
        <v>1719</v>
      </c>
      <c r="F858" s="1415" t="s">
        <v>5508</v>
      </c>
      <c r="G858" s="1816"/>
      <c r="H858" s="1370"/>
      <c r="I858" s="1370"/>
      <c r="J858" s="1370"/>
      <c r="K858" s="1370"/>
    </row>
    <row r="859" spans="1:24" s="80" customFormat="1" x14ac:dyDescent="0.2">
      <c r="A859" s="1384">
        <v>43466</v>
      </c>
      <c r="B859" s="1489" t="s">
        <v>1589</v>
      </c>
      <c r="C859" s="1489" t="s">
        <v>1590</v>
      </c>
      <c r="D859" s="1834">
        <v>2.0416666666666666E-2</v>
      </c>
      <c r="E859" s="1370" t="s">
        <v>11460</v>
      </c>
      <c r="F859" s="1370" t="s">
        <v>11462</v>
      </c>
      <c r="G859" s="1816">
        <v>0.59299999999999997</v>
      </c>
      <c r="H859" s="1370"/>
      <c r="I859" s="1370"/>
      <c r="J859" s="1370"/>
      <c r="K859" s="1370"/>
    </row>
    <row r="860" spans="1:24" s="80" customFormat="1" x14ac:dyDescent="0.2">
      <c r="A860" s="1384">
        <v>43466</v>
      </c>
      <c r="B860" s="1489" t="s">
        <v>1589</v>
      </c>
      <c r="C860" s="1489" t="s">
        <v>1590</v>
      </c>
      <c r="D860" s="1834">
        <v>2.119212962962963E-2</v>
      </c>
      <c r="E860" s="1370" t="s">
        <v>11459</v>
      </c>
      <c r="F860" s="1370" t="s">
        <v>11461</v>
      </c>
      <c r="G860" s="1816">
        <v>0.57130000000000003</v>
      </c>
      <c r="H860" s="1370"/>
      <c r="I860" s="1370"/>
      <c r="J860" s="1370"/>
      <c r="K860" s="1370"/>
    </row>
    <row r="861" spans="1:24" s="80" customFormat="1" x14ac:dyDescent="0.2">
      <c r="A861" s="1729">
        <v>43827</v>
      </c>
      <c r="B861" s="1807" t="s">
        <v>3542</v>
      </c>
      <c r="C861" s="1807" t="s">
        <v>1590</v>
      </c>
      <c r="D861" s="1621">
        <v>2.6342592592592591E-2</v>
      </c>
      <c r="E861" s="1489" t="s">
        <v>16426</v>
      </c>
      <c r="F861" s="1489" t="s">
        <v>1212</v>
      </c>
      <c r="G861" s="1817">
        <v>0.59670000000000001</v>
      </c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</row>
    <row r="862" spans="1:24" s="80" customFormat="1" ht="12.75" customHeight="1" x14ac:dyDescent="0.2">
      <c r="A862" s="34">
        <v>43824</v>
      </c>
      <c r="B862" s="1807" t="s">
        <v>3542</v>
      </c>
      <c r="C862" s="1807" t="s">
        <v>1590</v>
      </c>
      <c r="D862" s="1621">
        <v>2.7048611111111114E-2</v>
      </c>
      <c r="E862" s="1489" t="s">
        <v>16377</v>
      </c>
      <c r="F862" s="1489"/>
      <c r="G862" s="1817">
        <v>0.58109999999999995</v>
      </c>
      <c r="H862" s="1404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</row>
    <row r="863" spans="1:24" s="80" customFormat="1" x14ac:dyDescent="0.2">
      <c r="A863" s="1673">
        <v>43820</v>
      </c>
      <c r="B863" s="1807" t="s">
        <v>3542</v>
      </c>
      <c r="C863" s="1807" t="s">
        <v>1590</v>
      </c>
      <c r="D863" s="1777">
        <v>2.7523148148148147E-2</v>
      </c>
      <c r="E863" s="80" t="s">
        <v>16321</v>
      </c>
      <c r="F863"/>
      <c r="G863" s="314">
        <v>0.57110000000000005</v>
      </c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</row>
    <row r="864" spans="1:24" s="80" customFormat="1" x14ac:dyDescent="0.2">
      <c r="A864" s="1765">
        <v>43813</v>
      </c>
      <c r="B864" s="1807" t="s">
        <v>3542</v>
      </c>
      <c r="C864" s="1807" t="s">
        <v>1590</v>
      </c>
      <c r="D864" s="1621">
        <v>2.5787037037037039E-2</v>
      </c>
      <c r="E864" s="1489" t="s">
        <v>16267</v>
      </c>
      <c r="F864" s="1404"/>
      <c r="G864" s="1817">
        <v>0.59960000000000002</v>
      </c>
      <c r="H864" s="1404"/>
      <c r="I864" s="140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</row>
    <row r="865" spans="1:24" s="80" customFormat="1" x14ac:dyDescent="0.2">
      <c r="A865" s="34">
        <v>43806</v>
      </c>
      <c r="B865" s="1807" t="s">
        <v>3542</v>
      </c>
      <c r="C865" s="1807" t="s">
        <v>1590</v>
      </c>
      <c r="D865" s="1621">
        <v>2.5266203703703704E-2</v>
      </c>
      <c r="E865" s="1489" t="s">
        <v>16213</v>
      </c>
      <c r="F865" s="1489" t="s">
        <v>3888</v>
      </c>
      <c r="G865" s="1817">
        <v>0.61199999999999999</v>
      </c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</row>
    <row r="866" spans="1:24" s="80" customFormat="1" x14ac:dyDescent="0.2">
      <c r="A866" s="1729">
        <v>43799</v>
      </c>
      <c r="B866" s="1807" t="s">
        <v>3542</v>
      </c>
      <c r="C866" s="1807" t="s">
        <v>1590</v>
      </c>
      <c r="D866" s="1674">
        <v>2.5706018518518517E-2</v>
      </c>
      <c r="E866" t="s">
        <v>16157</v>
      </c>
      <c r="F866"/>
      <c r="G866" s="314">
        <v>0.60150000000000003</v>
      </c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</row>
    <row r="867" spans="1:24" s="80" customFormat="1" ht="12.75" customHeight="1" x14ac:dyDescent="0.2">
      <c r="A867" s="1751">
        <v>43792</v>
      </c>
      <c r="B867" s="1807" t="s">
        <v>3542</v>
      </c>
      <c r="C867" s="1807" t="s">
        <v>1590</v>
      </c>
      <c r="D867" s="1786">
        <v>2.5949074074074076E-2</v>
      </c>
      <c r="E867" s="1489" t="s">
        <v>16087</v>
      </c>
      <c r="F867" s="1404"/>
      <c r="G867" s="1817">
        <v>0.59589999999999999</v>
      </c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</row>
    <row r="868" spans="1:24" s="80" customFormat="1" x14ac:dyDescent="0.2">
      <c r="A868" s="1673">
        <v>43785</v>
      </c>
      <c r="B868" s="1807" t="s">
        <v>3542</v>
      </c>
      <c r="C868" s="1807" t="s">
        <v>1590</v>
      </c>
      <c r="D868" s="1674">
        <v>2.584490740740741E-2</v>
      </c>
      <c r="E868" s="80" t="s">
        <v>16012</v>
      </c>
      <c r="F868" s="80" t="s">
        <v>16032</v>
      </c>
      <c r="G868" s="314">
        <v>0.59830000000000005</v>
      </c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</row>
    <row r="869" spans="1:24" s="80" customFormat="1" x14ac:dyDescent="0.2">
      <c r="A869" s="1384">
        <v>43778</v>
      </c>
      <c r="B869" s="1807" t="s">
        <v>3542</v>
      </c>
      <c r="C869" s="1807" t="s">
        <v>1590</v>
      </c>
      <c r="D869" s="1725">
        <v>2.6354166666666668E-2</v>
      </c>
      <c r="E869" s="1726" t="s">
        <v>15960</v>
      </c>
      <c r="F869" s="1723"/>
      <c r="G869" s="1820">
        <v>0.5867</v>
      </c>
      <c r="H869" s="1370"/>
      <c r="I869" s="1370"/>
      <c r="J869" s="1370"/>
      <c r="K869" s="1370"/>
      <c r="L869" s="1370"/>
      <c r="M869" s="1370"/>
      <c r="N869" s="1370"/>
      <c r="O869" s="1370"/>
      <c r="P869" s="1370"/>
      <c r="Q869" s="1370"/>
      <c r="R869" s="1370"/>
      <c r="S869" s="1370"/>
      <c r="T869" s="1370"/>
      <c r="U869" s="1370"/>
      <c r="V869" s="1370"/>
      <c r="W869" s="1370"/>
      <c r="X869" s="1370"/>
    </row>
    <row r="870" spans="1:24" s="80" customFormat="1" x14ac:dyDescent="0.2">
      <c r="A870" s="1384">
        <v>43771</v>
      </c>
      <c r="B870" s="1807" t="s">
        <v>3542</v>
      </c>
      <c r="C870" s="1807" t="s">
        <v>1590</v>
      </c>
      <c r="D870" s="1731">
        <v>2.644675925925926E-2</v>
      </c>
      <c r="E870" s="1370" t="s">
        <v>15888</v>
      </c>
      <c r="F870" s="1370"/>
      <c r="G870" s="1816">
        <v>0.5847</v>
      </c>
      <c r="H870" s="1370"/>
      <c r="I870" s="1370"/>
      <c r="J870" s="1370"/>
      <c r="K870" s="1370"/>
      <c r="L870" s="1370"/>
      <c r="M870" s="1370"/>
      <c r="N870" s="1370"/>
      <c r="O870" s="1370"/>
      <c r="P870" s="1370"/>
      <c r="Q870" s="1370"/>
      <c r="R870" s="1370"/>
      <c r="S870" s="1370"/>
      <c r="T870" s="1370"/>
      <c r="U870" s="1370"/>
      <c r="V870" s="1370"/>
      <c r="W870" s="1370"/>
      <c r="X870" s="1370"/>
    </row>
    <row r="871" spans="1:24" s="80" customFormat="1" x14ac:dyDescent="0.2">
      <c r="A871" s="1384">
        <v>43764</v>
      </c>
      <c r="B871" s="1807" t="s">
        <v>3542</v>
      </c>
      <c r="C871" s="1807" t="s">
        <v>1590</v>
      </c>
      <c r="D871" s="1727">
        <v>2.6342592592592588E-2</v>
      </c>
      <c r="E871" s="1728" t="s">
        <v>15916</v>
      </c>
      <c r="F871" s="1728"/>
      <c r="G871" s="1821">
        <v>0.58699999999999997</v>
      </c>
      <c r="H871" s="1370"/>
      <c r="I871" s="1370"/>
      <c r="J871" s="1370"/>
      <c r="K871" s="1370"/>
      <c r="L871" s="1370"/>
      <c r="M871" s="1370"/>
      <c r="N871" s="1370"/>
      <c r="O871" s="1370"/>
      <c r="P871" s="1370"/>
      <c r="Q871" s="1370"/>
      <c r="R871" s="1370"/>
      <c r="S871" s="1370"/>
      <c r="T871" s="1370"/>
      <c r="U871" s="1370"/>
      <c r="V871" s="1370"/>
      <c r="W871" s="1370"/>
      <c r="X871" s="1370"/>
    </row>
    <row r="872" spans="1:24" s="80" customFormat="1" x14ac:dyDescent="0.2">
      <c r="A872" s="523">
        <v>43757</v>
      </c>
      <c r="B872" s="1807" t="s">
        <v>3542</v>
      </c>
      <c r="C872" s="1807" t="s">
        <v>1590</v>
      </c>
      <c r="D872" s="1686">
        <v>2.6770833333333334E-2</v>
      </c>
      <c r="E872" s="1489" t="s">
        <v>15851</v>
      </c>
      <c r="F872" s="1489"/>
      <c r="G872" s="1815">
        <v>0.5776</v>
      </c>
      <c r="H872" s="1489"/>
      <c r="I872" s="1489"/>
      <c r="J872" s="1489"/>
      <c r="K872" s="1489"/>
    </row>
    <row r="873" spans="1:24" s="80" customFormat="1" x14ac:dyDescent="0.2">
      <c r="A873" s="523">
        <v>43757</v>
      </c>
      <c r="B873" s="1807" t="s">
        <v>3542</v>
      </c>
      <c r="C873" s="1807" t="s">
        <v>1590</v>
      </c>
      <c r="D873" s="1686">
        <v>2.6770833333333334E-2</v>
      </c>
      <c r="E873" s="1489" t="s">
        <v>15851</v>
      </c>
      <c r="F873" s="1489"/>
      <c r="G873" s="1815">
        <v>0.5776</v>
      </c>
      <c r="H873" s="1489"/>
      <c r="I873" s="1489"/>
      <c r="J873" s="1489"/>
      <c r="K873" s="1489"/>
    </row>
    <row r="874" spans="1:24" s="80" customFormat="1" x14ac:dyDescent="0.2">
      <c r="A874" s="523">
        <v>43750</v>
      </c>
      <c r="B874" s="1807" t="s">
        <v>3542</v>
      </c>
      <c r="C874" s="1807" t="s">
        <v>1590</v>
      </c>
      <c r="D874" s="1686">
        <v>2.6168981481481481E-2</v>
      </c>
      <c r="E874" s="1489" t="s">
        <v>15788</v>
      </c>
      <c r="F874" s="1489" t="s">
        <v>15807</v>
      </c>
      <c r="G874" s="1815">
        <v>0.59089999999999998</v>
      </c>
      <c r="L874" s="1370"/>
      <c r="M874" s="1370"/>
      <c r="N874" s="1370"/>
      <c r="O874" s="1370"/>
      <c r="P874" s="1370"/>
      <c r="Q874" s="1370"/>
      <c r="R874" s="1370"/>
      <c r="S874" s="1370"/>
      <c r="T874" s="1370"/>
      <c r="U874" s="1370"/>
      <c r="V874" s="1370"/>
      <c r="W874" s="1370"/>
      <c r="X874" s="1370"/>
    </row>
    <row r="875" spans="1:24" s="80" customFormat="1" x14ac:dyDescent="0.2">
      <c r="A875" s="523">
        <v>43743</v>
      </c>
      <c r="B875" s="1807" t="s">
        <v>3542</v>
      </c>
      <c r="C875" s="1807" t="s">
        <v>1590</v>
      </c>
      <c r="D875" s="1686" t="s">
        <v>787</v>
      </c>
      <c r="E875" s="1489" t="s">
        <v>1719</v>
      </c>
      <c r="F875" s="1489" t="s">
        <v>5699</v>
      </c>
      <c r="G875" s="1815"/>
      <c r="L875" s="1370"/>
      <c r="M875" s="1370"/>
      <c r="N875" s="1370"/>
      <c r="O875" s="1370"/>
      <c r="P875" s="1370"/>
      <c r="Q875" s="1370"/>
      <c r="R875" s="1370"/>
      <c r="S875" s="1370"/>
      <c r="T875" s="1370"/>
      <c r="U875" s="1370"/>
      <c r="V875" s="1370"/>
      <c r="W875" s="1370"/>
      <c r="X875" s="1370"/>
    </row>
    <row r="876" spans="1:24" s="80" customFormat="1" x14ac:dyDescent="0.2">
      <c r="A876" s="1729">
        <v>43736</v>
      </c>
      <c r="B876" s="1807" t="s">
        <v>3542</v>
      </c>
      <c r="C876" s="1807" t="s">
        <v>1590</v>
      </c>
      <c r="D876" s="1686">
        <v>2.5729166666666668E-2</v>
      </c>
      <c r="E876" s="1489" t="s">
        <v>15640</v>
      </c>
      <c r="F876" s="1489"/>
      <c r="G876" s="1815">
        <v>0.60099999999999998</v>
      </c>
      <c r="L876" s="1370"/>
      <c r="M876" s="1370"/>
      <c r="N876" s="1370"/>
      <c r="O876" s="1370"/>
      <c r="P876" s="1370"/>
      <c r="Q876" s="1370"/>
      <c r="R876" s="1370"/>
      <c r="S876" s="1370"/>
      <c r="T876" s="1370"/>
      <c r="U876" s="1370"/>
      <c r="V876" s="1370"/>
      <c r="W876" s="1370"/>
      <c r="X876" s="1370"/>
    </row>
    <row r="877" spans="1:24" s="80" customFormat="1" x14ac:dyDescent="0.2">
      <c r="A877" s="1729">
        <v>43729</v>
      </c>
      <c r="B877" s="1807" t="s">
        <v>3542</v>
      </c>
      <c r="C877" s="1807" t="s">
        <v>1590</v>
      </c>
      <c r="D877" s="1686">
        <v>2.5358796296296296E-2</v>
      </c>
      <c r="E877" s="1489" t="s">
        <v>15576</v>
      </c>
      <c r="F877" s="1489" t="s">
        <v>15615</v>
      </c>
      <c r="G877" s="1815">
        <v>0.60980000000000001</v>
      </c>
      <c r="L877" s="1370"/>
      <c r="M877" s="1370"/>
      <c r="N877" s="1370"/>
      <c r="O877" s="1370"/>
      <c r="P877" s="1370"/>
      <c r="Q877" s="1370"/>
      <c r="R877" s="1370"/>
      <c r="S877" s="1370"/>
      <c r="T877" s="1370"/>
      <c r="U877" s="1370"/>
      <c r="V877" s="1370"/>
      <c r="W877" s="1370"/>
      <c r="X877" s="1370"/>
    </row>
    <row r="878" spans="1:24" s="80" customFormat="1" x14ac:dyDescent="0.2">
      <c r="A878" s="523">
        <v>43722</v>
      </c>
      <c r="B878" s="1807" t="s">
        <v>3542</v>
      </c>
      <c r="C878" s="1807" t="s">
        <v>1590</v>
      </c>
      <c r="D878" s="1686">
        <v>2.5347222222222222E-2</v>
      </c>
      <c r="E878" s="1489" t="s">
        <v>15470</v>
      </c>
      <c r="F878" s="1489" t="s">
        <v>15518</v>
      </c>
      <c r="G878" s="1815">
        <v>0.61</v>
      </c>
      <c r="L878" s="1370"/>
      <c r="M878" s="1370"/>
      <c r="N878" s="1370"/>
      <c r="O878" s="1370"/>
      <c r="P878" s="1370"/>
      <c r="Q878" s="1370"/>
      <c r="R878" s="1370"/>
      <c r="S878" s="1370"/>
      <c r="T878" s="1370"/>
      <c r="U878" s="1370"/>
      <c r="V878" s="1370"/>
      <c r="W878" s="1370"/>
      <c r="X878" s="1370"/>
    </row>
    <row r="879" spans="1:24" s="80" customFormat="1" x14ac:dyDescent="0.2">
      <c r="A879" s="523">
        <v>43715</v>
      </c>
      <c r="B879" s="1807" t="s">
        <v>3542</v>
      </c>
      <c r="C879" s="1807" t="s">
        <v>1590</v>
      </c>
      <c r="D879" s="1730">
        <v>2.5868055555555554E-2</v>
      </c>
      <c r="E879" s="80" t="s">
        <v>15419</v>
      </c>
      <c r="F879" s="1489"/>
      <c r="G879" s="317">
        <v>0.5978</v>
      </c>
      <c r="L879" s="1370"/>
      <c r="M879" s="1370"/>
      <c r="N879" s="1370"/>
      <c r="O879" s="1370"/>
      <c r="P879" s="1370"/>
      <c r="Q879" s="1370"/>
      <c r="R879" s="1370"/>
      <c r="S879" s="1370"/>
      <c r="T879" s="1370"/>
      <c r="U879" s="1370"/>
      <c r="V879" s="1370"/>
      <c r="W879" s="1370"/>
      <c r="X879" s="1370"/>
    </row>
    <row r="880" spans="1:24" s="80" customFormat="1" x14ac:dyDescent="0.2">
      <c r="A880" s="1526">
        <v>43708</v>
      </c>
      <c r="B880" s="1807" t="s">
        <v>3542</v>
      </c>
      <c r="C880" s="1807" t="s">
        <v>1590</v>
      </c>
      <c r="D880" s="1686">
        <v>2.6099537037037039E-2</v>
      </c>
      <c r="E880" s="1489" t="s">
        <v>15368</v>
      </c>
      <c r="F880" s="1489" t="s">
        <v>3103</v>
      </c>
      <c r="G880" s="1815">
        <v>0.59250000000000003</v>
      </c>
      <c r="H880" s="1489"/>
      <c r="I880" s="1489"/>
      <c r="J880" s="1489"/>
    </row>
    <row r="881" spans="1:24" s="80" customFormat="1" x14ac:dyDescent="0.2">
      <c r="A881" s="1526">
        <v>43701</v>
      </c>
      <c r="B881" s="1807" t="s">
        <v>3542</v>
      </c>
      <c r="C881" s="1807" t="s">
        <v>1590</v>
      </c>
      <c r="D881" s="1686">
        <v>2.6469907407407407E-2</v>
      </c>
      <c r="E881" s="1489" t="s">
        <v>15283</v>
      </c>
      <c r="F881" s="1489"/>
      <c r="G881" s="1815">
        <v>0.58420000000000005</v>
      </c>
      <c r="L881" s="1370"/>
      <c r="M881" s="1370"/>
      <c r="N881" s="1370"/>
      <c r="O881" s="1370"/>
      <c r="P881" s="1370"/>
      <c r="Q881" s="1370"/>
      <c r="R881" s="1370"/>
      <c r="S881" s="1370"/>
      <c r="T881" s="1370"/>
      <c r="U881" s="1370"/>
      <c r="V881" s="1370"/>
      <c r="W881" s="1370"/>
      <c r="X881" s="1370"/>
    </row>
    <row r="882" spans="1:24" s="80" customFormat="1" x14ac:dyDescent="0.2">
      <c r="A882" s="523">
        <v>43694</v>
      </c>
      <c r="B882" s="1807" t="s">
        <v>3542</v>
      </c>
      <c r="C882" s="1807" t="s">
        <v>1590</v>
      </c>
      <c r="D882" s="1733">
        <v>2.732638888888889E-2</v>
      </c>
      <c r="E882" s="1489" t="s">
        <v>15164</v>
      </c>
      <c r="F882" s="1489"/>
      <c r="G882" s="1815">
        <v>0.56589999999999996</v>
      </c>
    </row>
    <row r="883" spans="1:24" s="80" customFormat="1" x14ac:dyDescent="0.2">
      <c r="A883" s="523">
        <v>43687</v>
      </c>
      <c r="B883" s="1807" t="s">
        <v>3542</v>
      </c>
      <c r="C883" s="1807" t="s">
        <v>1590</v>
      </c>
      <c r="D883" s="1686">
        <v>2.6226851851851852E-2</v>
      </c>
      <c r="E883" s="1489" t="s">
        <v>13437</v>
      </c>
      <c r="F883" s="1489"/>
      <c r="G883" s="1815">
        <v>0.58960000000000001</v>
      </c>
      <c r="L883" s="1370"/>
      <c r="M883" s="1370"/>
      <c r="N883" s="1370"/>
      <c r="O883" s="1370"/>
      <c r="P883" s="1370"/>
      <c r="Q883" s="1370"/>
      <c r="R883" s="1370"/>
      <c r="S883" s="1370"/>
      <c r="T883" s="1370"/>
      <c r="U883" s="1370"/>
      <c r="V883" s="1370"/>
      <c r="W883" s="1370"/>
      <c r="X883" s="1370"/>
    </row>
    <row r="884" spans="1:24" s="80" customFormat="1" x14ac:dyDescent="0.2">
      <c r="A884" s="523">
        <v>43680</v>
      </c>
      <c r="B884" s="1807" t="s">
        <v>3542</v>
      </c>
      <c r="C884" s="1807" t="s">
        <v>1590</v>
      </c>
      <c r="D884" s="547" t="s">
        <v>787</v>
      </c>
      <c r="E884" s="80" t="s">
        <v>13346</v>
      </c>
      <c r="F884" s="80" t="s">
        <v>5699</v>
      </c>
      <c r="G884" s="317"/>
      <c r="L884" s="1370"/>
      <c r="M884" s="1370"/>
      <c r="N884" s="1370"/>
      <c r="O884" s="1370"/>
      <c r="P884" s="1370"/>
      <c r="Q884" s="1370"/>
      <c r="R884" s="1370"/>
      <c r="S884" s="1370"/>
      <c r="T884" s="1370"/>
      <c r="U884" s="1370"/>
      <c r="V884" s="1370"/>
      <c r="W884" s="1370"/>
      <c r="X884" s="1370"/>
    </row>
    <row r="885" spans="1:24" s="80" customFormat="1" x14ac:dyDescent="0.2">
      <c r="A885" s="1384">
        <v>43673</v>
      </c>
      <c r="B885" s="1807" t="s">
        <v>3542</v>
      </c>
      <c r="C885" s="1807" t="s">
        <v>1590</v>
      </c>
      <c r="D885" s="1686">
        <v>2.6759259259259257E-2</v>
      </c>
      <c r="E885" s="1489" t="s">
        <v>13288</v>
      </c>
      <c r="F885" s="1489"/>
      <c r="G885" s="1815">
        <v>0.57789999999999997</v>
      </c>
    </row>
    <row r="886" spans="1:24" s="80" customFormat="1" x14ac:dyDescent="0.2">
      <c r="A886" s="523">
        <v>43666</v>
      </c>
      <c r="B886" s="1807" t="s">
        <v>3542</v>
      </c>
      <c r="C886" s="1807" t="s">
        <v>1590</v>
      </c>
      <c r="D886" s="1686">
        <v>2.7291666666666665E-2</v>
      </c>
      <c r="E886" s="1489" t="s">
        <v>13207</v>
      </c>
      <c r="F886" s="1489"/>
      <c r="G886" s="1815">
        <v>0.56659999999999999</v>
      </c>
      <c r="L886" s="1370"/>
      <c r="M886" s="1370"/>
      <c r="N886" s="1370"/>
      <c r="O886" s="1370"/>
      <c r="P886" s="1370"/>
      <c r="Q886" s="1370"/>
      <c r="R886" s="1370"/>
      <c r="S886" s="1370"/>
      <c r="T886" s="1370"/>
      <c r="U886" s="1370"/>
      <c r="V886" s="1370"/>
      <c r="W886" s="1370"/>
      <c r="X886" s="1370"/>
    </row>
    <row r="887" spans="1:24" s="80" customFormat="1" x14ac:dyDescent="0.2">
      <c r="A887" s="523">
        <v>43659</v>
      </c>
      <c r="B887" s="1807" t="s">
        <v>3542</v>
      </c>
      <c r="C887" s="1807" t="s">
        <v>1590</v>
      </c>
      <c r="D887" s="547" t="s">
        <v>787</v>
      </c>
      <c r="E887" s="80" t="s">
        <v>1719</v>
      </c>
      <c r="F887" s="80" t="s">
        <v>13157</v>
      </c>
      <c r="G887" s="317"/>
      <c r="L887" s="1370"/>
      <c r="M887" s="1370"/>
      <c r="N887" s="1370"/>
      <c r="O887" s="1370"/>
      <c r="P887" s="1370"/>
      <c r="Q887" s="1370"/>
      <c r="R887" s="1370"/>
      <c r="S887" s="1370"/>
      <c r="T887" s="1370"/>
      <c r="U887" s="1370"/>
      <c r="V887" s="1370"/>
      <c r="W887" s="1370"/>
      <c r="X887" s="1370"/>
    </row>
    <row r="888" spans="1:24" s="80" customFormat="1" x14ac:dyDescent="0.2">
      <c r="A888" s="523">
        <v>43652</v>
      </c>
      <c r="B888" s="1807" t="s">
        <v>3542</v>
      </c>
      <c r="C888" s="1807" t="s">
        <v>1590</v>
      </c>
      <c r="D888" s="1686">
        <v>2.7569444444444445E-2</v>
      </c>
      <c r="E888" s="1489" t="s">
        <v>13075</v>
      </c>
      <c r="F888" s="1489"/>
      <c r="G888" s="1815">
        <v>0.56089999999999995</v>
      </c>
      <c r="H888" s="1489"/>
      <c r="L888" s="1370"/>
      <c r="M888" s="1370"/>
      <c r="N888" s="1370"/>
      <c r="O888" s="1370"/>
      <c r="P888" s="1370"/>
      <c r="Q888" s="1370"/>
      <c r="R888" s="1370"/>
      <c r="S888" s="1370"/>
      <c r="T888" s="1370"/>
      <c r="U888" s="1370"/>
      <c r="V888" s="1370"/>
      <c r="W888" s="1370"/>
      <c r="X888" s="1370"/>
    </row>
    <row r="889" spans="1:24" s="80" customFormat="1" x14ac:dyDescent="0.2">
      <c r="A889" s="523">
        <v>43638</v>
      </c>
      <c r="B889" s="1807" t="s">
        <v>3542</v>
      </c>
      <c r="C889" s="1807" t="s">
        <v>1590</v>
      </c>
      <c r="D889" s="1840">
        <v>2.6828703703703702E-2</v>
      </c>
      <c r="E889" s="1493" t="s">
        <v>12982</v>
      </c>
      <c r="F889" s="1493"/>
      <c r="G889" s="1823">
        <v>0.57640000000000002</v>
      </c>
      <c r="L889" s="1370"/>
      <c r="M889" s="1370"/>
      <c r="N889" s="1370"/>
      <c r="O889" s="1370"/>
      <c r="P889" s="1370"/>
      <c r="Q889" s="1370"/>
      <c r="R889" s="1370"/>
      <c r="S889" s="1370"/>
      <c r="T889" s="1370"/>
      <c r="U889" s="1370"/>
      <c r="V889" s="1370"/>
      <c r="W889" s="1370"/>
      <c r="X889" s="1370"/>
    </row>
    <row r="890" spans="1:24" s="80" customFormat="1" x14ac:dyDescent="0.2">
      <c r="A890" s="523">
        <v>43631</v>
      </c>
      <c r="B890" s="1807" t="s">
        <v>3542</v>
      </c>
      <c r="C890" s="1807" t="s">
        <v>1590</v>
      </c>
      <c r="D890" s="1840">
        <v>2.6689814814814816E-2</v>
      </c>
      <c r="E890" s="1493" t="s">
        <v>12927</v>
      </c>
      <c r="G890" s="1823">
        <v>0.57940000000000003</v>
      </c>
    </row>
    <row r="891" spans="1:24" s="80" customFormat="1" x14ac:dyDescent="0.2">
      <c r="A891" s="523">
        <v>43624</v>
      </c>
      <c r="B891" s="1807" t="s">
        <v>3542</v>
      </c>
      <c r="C891" s="1807" t="s">
        <v>1590</v>
      </c>
      <c r="D891" s="547" t="s">
        <v>787</v>
      </c>
      <c r="E891" s="80" t="s">
        <v>1719</v>
      </c>
      <c r="F891" s="80" t="s">
        <v>4854</v>
      </c>
      <c r="G891" s="317"/>
    </row>
    <row r="892" spans="1:24" s="80" customFormat="1" x14ac:dyDescent="0.2">
      <c r="A892" s="1384">
        <v>43617</v>
      </c>
      <c r="B892" s="1807" t="s">
        <v>3542</v>
      </c>
      <c r="C892" s="1807" t="s">
        <v>1590</v>
      </c>
      <c r="D892" s="1833">
        <v>2.7152777777777779E-2</v>
      </c>
      <c r="E892" s="1499" t="s">
        <v>12814</v>
      </c>
      <c r="F892" s="1499"/>
      <c r="G892" s="1814">
        <v>0.56950000000000001</v>
      </c>
      <c r="H892" s="1370"/>
      <c r="I892" s="1370"/>
      <c r="J892" s="1370"/>
      <c r="K892" s="1370"/>
      <c r="L892" s="1370"/>
      <c r="M892" s="1370"/>
      <c r="N892" s="1370"/>
      <c r="O892" s="1370"/>
      <c r="P892" s="1370"/>
      <c r="Q892" s="1370"/>
      <c r="R892" s="1370"/>
      <c r="S892" s="1370"/>
      <c r="T892" s="1370"/>
      <c r="U892" s="1370"/>
      <c r="V892" s="1370"/>
      <c r="W892" s="1370"/>
      <c r="X892" s="1370"/>
    </row>
    <row r="893" spans="1:24" s="80" customFormat="1" x14ac:dyDescent="0.2">
      <c r="A893" s="1384">
        <v>43610</v>
      </c>
      <c r="B893" s="1807" t="s">
        <v>3542</v>
      </c>
      <c r="C893" s="1807" t="s">
        <v>1590</v>
      </c>
      <c r="D893" s="1834">
        <v>2.6793981481481485E-2</v>
      </c>
      <c r="E893" s="1370" t="s">
        <v>12731</v>
      </c>
      <c r="F893" s="1370"/>
      <c r="G893" s="1816">
        <v>0.57709999999999995</v>
      </c>
      <c r="H893" s="1370"/>
      <c r="I893" s="1370"/>
      <c r="J893" s="1370"/>
      <c r="K893" s="1370"/>
      <c r="L893" s="1370"/>
      <c r="M893" s="1370"/>
      <c r="N893" s="1370"/>
      <c r="O893" s="1370"/>
      <c r="P893" s="1370"/>
      <c r="Q893" s="1370"/>
      <c r="R893" s="1370"/>
      <c r="S893" s="1370"/>
      <c r="T893" s="1370"/>
      <c r="U893" s="1370"/>
      <c r="V893" s="1370"/>
      <c r="W893" s="1370"/>
      <c r="X893" s="1370"/>
    </row>
    <row r="894" spans="1:24" s="80" customFormat="1" x14ac:dyDescent="0.2">
      <c r="A894" s="1384">
        <v>43603</v>
      </c>
      <c r="B894" s="1807" t="s">
        <v>3542</v>
      </c>
      <c r="C894" s="1807" t="s">
        <v>1590</v>
      </c>
      <c r="D894" s="1834" t="s">
        <v>787</v>
      </c>
      <c r="E894" s="1370" t="s">
        <v>12691</v>
      </c>
      <c r="F894" s="1370" t="s">
        <v>4854</v>
      </c>
      <c r="G894" s="1816"/>
      <c r="H894" s="1370"/>
      <c r="I894" s="1370"/>
      <c r="J894" s="1370"/>
      <c r="K894" s="1370"/>
    </row>
    <row r="895" spans="1:24" s="80" customFormat="1" x14ac:dyDescent="0.2">
      <c r="A895" s="1384">
        <v>43575</v>
      </c>
      <c r="B895" s="1807" t="s">
        <v>3542</v>
      </c>
      <c r="C895" s="1807" t="s">
        <v>1590</v>
      </c>
      <c r="D895" s="1733">
        <v>2.8298611111111111E-2</v>
      </c>
      <c r="E895" s="1370" t="s">
        <v>12453</v>
      </c>
      <c r="F895" s="1370" t="s">
        <v>12455</v>
      </c>
      <c r="G895" s="1815">
        <v>0.54690000000000005</v>
      </c>
      <c r="H895" s="1370"/>
      <c r="I895" s="1370"/>
      <c r="J895" s="1370"/>
      <c r="K895" s="1370"/>
    </row>
    <row r="896" spans="1:24" s="80" customFormat="1" x14ac:dyDescent="0.2">
      <c r="A896" s="1384">
        <v>43568</v>
      </c>
      <c r="B896" s="1807" t="s">
        <v>3542</v>
      </c>
      <c r="C896" s="1807" t="s">
        <v>1590</v>
      </c>
      <c r="D896" s="1834">
        <v>2.837962962962963E-2</v>
      </c>
      <c r="E896" s="1370" t="s">
        <v>12387</v>
      </c>
      <c r="F896" s="1370" t="s">
        <v>12388</v>
      </c>
      <c r="G896" s="1816">
        <v>0.54490000000000005</v>
      </c>
      <c r="H896" s="1370"/>
      <c r="I896" s="1370"/>
      <c r="J896" s="1370"/>
      <c r="K896" s="1370"/>
    </row>
    <row r="897" spans="1:24" s="80" customFormat="1" x14ac:dyDescent="0.2">
      <c r="A897" s="1384">
        <v>43561</v>
      </c>
      <c r="B897" s="1807" t="s">
        <v>3542</v>
      </c>
      <c r="C897" s="1807" t="s">
        <v>1590</v>
      </c>
      <c r="D897" s="1834">
        <v>3.7175925925925925E-2</v>
      </c>
      <c r="E897" s="1370" t="s">
        <v>12334</v>
      </c>
      <c r="F897" s="1370" t="s">
        <v>12306</v>
      </c>
      <c r="G897" s="1816">
        <v>0.41589999999999999</v>
      </c>
      <c r="H897" s="1370"/>
      <c r="I897" s="1370"/>
      <c r="J897" s="1370"/>
      <c r="K897" s="1370"/>
    </row>
    <row r="898" spans="1:24" s="80" customFormat="1" x14ac:dyDescent="0.2">
      <c r="A898" s="1384">
        <v>43554</v>
      </c>
      <c r="B898" s="1807" t="s">
        <v>3542</v>
      </c>
      <c r="C898" s="1807" t="s">
        <v>1590</v>
      </c>
      <c r="D898" s="1834" t="s">
        <v>787</v>
      </c>
      <c r="E898" s="1370" t="s">
        <v>1719</v>
      </c>
      <c r="F898" s="1370" t="s">
        <v>4854</v>
      </c>
      <c r="G898" s="1816"/>
      <c r="H898" s="1370"/>
      <c r="I898" s="1370"/>
      <c r="J898" s="1370"/>
      <c r="K898" s="1370"/>
    </row>
    <row r="899" spans="1:24" s="80" customFormat="1" x14ac:dyDescent="0.2">
      <c r="A899" s="1384">
        <v>43547</v>
      </c>
      <c r="B899" s="1807" t="s">
        <v>3542</v>
      </c>
      <c r="C899" s="1807" t="s">
        <v>1590</v>
      </c>
      <c r="D899" s="1834" t="s">
        <v>787</v>
      </c>
      <c r="E899" s="1370" t="s">
        <v>1719</v>
      </c>
      <c r="F899" s="1370" t="s">
        <v>1549</v>
      </c>
      <c r="G899" s="1816"/>
      <c r="H899" s="1370"/>
      <c r="I899" s="1370"/>
      <c r="J899" s="1370"/>
      <c r="K899" s="1370"/>
    </row>
    <row r="900" spans="1:24" s="80" customFormat="1" x14ac:dyDescent="0.2">
      <c r="A900" s="1384">
        <v>43526</v>
      </c>
      <c r="B900" s="1807" t="s">
        <v>3542</v>
      </c>
      <c r="C900" s="1807" t="s">
        <v>1590</v>
      </c>
      <c r="D900" s="1834" t="s">
        <v>787</v>
      </c>
      <c r="E900" s="1370" t="s">
        <v>11947</v>
      </c>
      <c r="F900" s="1370" t="s">
        <v>3301</v>
      </c>
      <c r="G900" s="1816"/>
      <c r="H900" s="1370"/>
      <c r="I900" s="1370"/>
      <c r="J900" s="1370"/>
      <c r="K900" s="1370"/>
    </row>
    <row r="901" spans="1:24" s="80" customFormat="1" x14ac:dyDescent="0.2">
      <c r="A901" s="1384">
        <v>43519</v>
      </c>
      <c r="B901" s="1807" t="s">
        <v>3542</v>
      </c>
      <c r="C901" s="1807" t="s">
        <v>1590</v>
      </c>
      <c r="D901" s="1834" t="s">
        <v>787</v>
      </c>
      <c r="E901" s="1370" t="s">
        <v>1719</v>
      </c>
      <c r="F901" s="1370" t="s">
        <v>2726</v>
      </c>
      <c r="G901" s="1816"/>
      <c r="H901" s="1370"/>
      <c r="I901" s="1370"/>
      <c r="J901" s="1370"/>
      <c r="K901" s="1370"/>
    </row>
    <row r="902" spans="1:24" s="80" customFormat="1" x14ac:dyDescent="0.2">
      <c r="A902" s="1384">
        <v>43505</v>
      </c>
      <c r="B902" s="1807" t="s">
        <v>3542</v>
      </c>
      <c r="C902" s="1807" t="s">
        <v>1590</v>
      </c>
      <c r="D902" s="1834">
        <v>3.7488425925925925E-2</v>
      </c>
      <c r="E902" s="1370" t="s">
        <v>1719</v>
      </c>
      <c r="F902" s="1370" t="s">
        <v>11796</v>
      </c>
      <c r="G902" s="1816">
        <v>0.41249999999999998</v>
      </c>
      <c r="H902" s="1370"/>
      <c r="I902" s="1370"/>
      <c r="J902" s="1370"/>
      <c r="K902" s="1370"/>
      <c r="L902" s="1370"/>
      <c r="M902" s="1370"/>
      <c r="N902" s="1370"/>
      <c r="O902" s="1370"/>
      <c r="P902" s="1370"/>
      <c r="Q902" s="1370"/>
      <c r="R902" s="1370"/>
      <c r="S902" s="1370"/>
      <c r="T902" s="1370"/>
      <c r="U902" s="1370"/>
      <c r="V902" s="1370"/>
      <c r="W902" s="1370"/>
      <c r="X902" s="1370"/>
    </row>
    <row r="903" spans="1:24" s="80" customFormat="1" x14ac:dyDescent="0.2">
      <c r="A903" s="1384">
        <v>43491</v>
      </c>
      <c r="B903" s="1807" t="s">
        <v>3542</v>
      </c>
      <c r="C903" s="1807" t="s">
        <v>1590</v>
      </c>
      <c r="D903" s="1834">
        <v>2.7152777777777779E-2</v>
      </c>
      <c r="E903" s="1370" t="s">
        <v>1719</v>
      </c>
      <c r="F903" s="1415" t="s">
        <v>11694</v>
      </c>
      <c r="G903" s="1816">
        <v>0.56950000000000001</v>
      </c>
      <c r="H903" s="1370"/>
      <c r="I903" s="1370"/>
      <c r="J903" s="1370"/>
      <c r="K903" s="1370"/>
      <c r="L903" s="1370"/>
      <c r="M903" s="1370"/>
      <c r="N903" s="1370"/>
      <c r="O903" s="1370"/>
      <c r="P903" s="1370"/>
      <c r="Q903" s="1370"/>
      <c r="R903" s="1370"/>
      <c r="S903" s="1370"/>
      <c r="T903" s="1370"/>
      <c r="U903" s="1370"/>
      <c r="V903" s="1370"/>
      <c r="W903" s="1370"/>
      <c r="X903" s="1370"/>
    </row>
    <row r="904" spans="1:24" s="80" customFormat="1" x14ac:dyDescent="0.2">
      <c r="A904" s="1384">
        <v>43484</v>
      </c>
      <c r="B904" s="1807" t="s">
        <v>3542</v>
      </c>
      <c r="C904" s="1807" t="s">
        <v>1590</v>
      </c>
      <c r="D904" s="1834">
        <v>2.7407407407407408E-2</v>
      </c>
      <c r="E904" s="1432" t="s">
        <v>11541</v>
      </c>
      <c r="F904" s="1370" t="s">
        <v>11540</v>
      </c>
      <c r="G904" s="1816">
        <v>0.56420000000000003</v>
      </c>
      <c r="H904" s="1370"/>
      <c r="I904" s="1370"/>
      <c r="J904" s="1370"/>
      <c r="K904" s="1370"/>
      <c r="L904" s="1370"/>
      <c r="M904" s="1370"/>
      <c r="N904" s="1370"/>
      <c r="O904" s="1370"/>
      <c r="P904" s="1370"/>
      <c r="Q904" s="1370"/>
      <c r="R904" s="1370"/>
      <c r="S904" s="1370"/>
      <c r="T904" s="1370"/>
      <c r="U904" s="1370"/>
      <c r="V904" s="1370"/>
      <c r="W904" s="1370"/>
      <c r="X904" s="1370"/>
    </row>
    <row r="905" spans="1:24" s="80" customFormat="1" x14ac:dyDescent="0.2">
      <c r="A905" s="1384">
        <v>43466</v>
      </c>
      <c r="B905" s="1807" t="s">
        <v>3542</v>
      </c>
      <c r="C905" s="1807" t="s">
        <v>1590</v>
      </c>
      <c r="D905" s="1834">
        <v>2.6921296296296294E-2</v>
      </c>
      <c r="E905" s="1370" t="s">
        <v>11460</v>
      </c>
      <c r="F905" s="1370" t="s">
        <v>11462</v>
      </c>
      <c r="G905" s="1816">
        <v>0.57440000000000002</v>
      </c>
      <c r="H905" s="1370"/>
      <c r="I905" s="1370"/>
      <c r="J905" s="1370"/>
      <c r="K905" s="1370"/>
      <c r="L905" s="1370"/>
      <c r="M905" s="1370"/>
      <c r="N905" s="1370"/>
      <c r="O905" s="1370"/>
      <c r="P905" s="1370"/>
      <c r="Q905" s="1370"/>
      <c r="R905" s="1370"/>
      <c r="S905" s="1370"/>
      <c r="T905" s="1370"/>
      <c r="U905" s="1370"/>
      <c r="V905" s="1370"/>
      <c r="W905" s="1370"/>
      <c r="X905" s="1370"/>
    </row>
    <row r="906" spans="1:24" s="80" customFormat="1" x14ac:dyDescent="0.2">
      <c r="A906" s="1384">
        <v>43466</v>
      </c>
      <c r="B906" s="1807" t="s">
        <v>3542</v>
      </c>
      <c r="C906" s="1807" t="s">
        <v>1590</v>
      </c>
      <c r="D906" s="1733">
        <v>2.8564814814814817E-2</v>
      </c>
      <c r="E906" s="1489" t="s">
        <v>11459</v>
      </c>
      <c r="F906" s="1489" t="s">
        <v>11463</v>
      </c>
      <c r="G906" s="1815">
        <v>0.5413</v>
      </c>
      <c r="H906" s="1489"/>
      <c r="I906" s="1370"/>
      <c r="J906" s="1370"/>
      <c r="K906" s="1370"/>
      <c r="L906" s="1370"/>
      <c r="M906" s="1370"/>
      <c r="N906" s="1370"/>
      <c r="O906" s="1370"/>
      <c r="P906" s="1370"/>
      <c r="Q906" s="1370"/>
      <c r="R906" s="1370"/>
      <c r="S906" s="1370"/>
      <c r="T906" s="1370"/>
      <c r="U906" s="1370"/>
      <c r="V906" s="1370"/>
      <c r="W906" s="1370"/>
      <c r="X906" s="1370"/>
    </row>
    <row r="907" spans="1:24" s="80" customFormat="1" x14ac:dyDescent="0.2">
      <c r="A907" s="1729">
        <v>43827</v>
      </c>
      <c r="B907" s="80" t="s">
        <v>1796</v>
      </c>
      <c r="C907" s="1489" t="s">
        <v>1797</v>
      </c>
      <c r="D907" s="1621">
        <v>2.1493055555555553E-2</v>
      </c>
      <c r="E907" s="1489" t="s">
        <v>16427</v>
      </c>
      <c r="F907" s="1489" t="s">
        <v>16441</v>
      </c>
      <c r="G907" s="1817">
        <v>0.5272</v>
      </c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</row>
    <row r="908" spans="1:24" s="80" customFormat="1" x14ac:dyDescent="0.2">
      <c r="A908" s="34">
        <v>43824</v>
      </c>
      <c r="B908" s="80" t="s">
        <v>1796</v>
      </c>
      <c r="C908" s="1489" t="s">
        <v>1797</v>
      </c>
      <c r="D908" s="1621">
        <v>2.3043981481481478E-2</v>
      </c>
      <c r="E908" s="1489" t="s">
        <v>16370</v>
      </c>
      <c r="F908" s="1489"/>
      <c r="G908" s="1817">
        <v>0.49170000000000003</v>
      </c>
      <c r="H908" s="1404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</row>
    <row r="909" spans="1:24" s="80" customFormat="1" x14ac:dyDescent="0.2">
      <c r="A909" s="1673">
        <v>43820</v>
      </c>
      <c r="B909" s="80" t="s">
        <v>1796</v>
      </c>
      <c r="C909" s="1489" t="s">
        <v>1797</v>
      </c>
      <c r="D909" s="1805">
        <v>2.0972222222222222E-2</v>
      </c>
      <c r="E909" s="80" t="s">
        <v>16314</v>
      </c>
      <c r="F909"/>
      <c r="G909" s="1825">
        <v>0.5403</v>
      </c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</row>
    <row r="910" spans="1:24" s="80" customFormat="1" x14ac:dyDescent="0.2">
      <c r="A910" s="1729">
        <v>43799</v>
      </c>
      <c r="B910" s="80" t="s">
        <v>1796</v>
      </c>
      <c r="C910" s="1489" t="s">
        <v>1797</v>
      </c>
      <c r="D910" s="1754">
        <v>2.1631944444444443E-2</v>
      </c>
      <c r="E910" t="s">
        <v>16145</v>
      </c>
      <c r="F910" t="s">
        <v>16142</v>
      </c>
      <c r="G910" s="1825">
        <v>0.52380000000000004</v>
      </c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</row>
    <row r="911" spans="1:24" s="80" customFormat="1" x14ac:dyDescent="0.2">
      <c r="A911" s="1751">
        <v>43792</v>
      </c>
      <c r="B911" s="80" t="s">
        <v>1796</v>
      </c>
      <c r="C911" s="1489" t="s">
        <v>1797</v>
      </c>
      <c r="D911" s="1786">
        <v>2.1354166666666667E-2</v>
      </c>
      <c r="E911" s="1489" t="s">
        <v>16097</v>
      </c>
      <c r="F911" s="1404"/>
      <c r="G911" s="1817">
        <v>0.53059999999999996</v>
      </c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</row>
    <row r="912" spans="1:24" s="80" customFormat="1" x14ac:dyDescent="0.2">
      <c r="A912" s="1729">
        <v>43743</v>
      </c>
      <c r="B912" s="80" t="s">
        <v>1796</v>
      </c>
      <c r="C912" s="1489" t="s">
        <v>1797</v>
      </c>
      <c r="D912" s="1731">
        <v>2.011574074074074E-2</v>
      </c>
      <c r="E912" s="80" t="s">
        <v>15715</v>
      </c>
      <c r="F912" s="80" t="s">
        <v>15756</v>
      </c>
      <c r="G912" s="317">
        <v>0.56330000000000002</v>
      </c>
      <c r="L912" s="1370"/>
      <c r="M912" s="1370"/>
      <c r="N912" s="1370"/>
      <c r="O912" s="1370"/>
      <c r="P912" s="1370"/>
      <c r="Q912" s="1370"/>
      <c r="R912" s="1370"/>
      <c r="S912" s="1370"/>
      <c r="T912" s="1370"/>
      <c r="U912" s="1370"/>
      <c r="V912" s="1370"/>
      <c r="W912" s="1370"/>
      <c r="X912" s="1370"/>
    </row>
    <row r="913" spans="1:24" s="80" customFormat="1" x14ac:dyDescent="0.2">
      <c r="A913" s="1729">
        <v>43729</v>
      </c>
      <c r="B913" s="80" t="s">
        <v>1796</v>
      </c>
      <c r="C913" s="1489" t="s">
        <v>1797</v>
      </c>
      <c r="D913" s="1686">
        <v>1.9212962962962966E-2</v>
      </c>
      <c r="E913" s="1489" t="s">
        <v>15566</v>
      </c>
      <c r="F913" s="1489" t="s">
        <v>15617</v>
      </c>
      <c r="G913" s="1815">
        <v>0.58979999999999999</v>
      </c>
      <c r="L913" s="1370"/>
      <c r="M913" s="1370"/>
      <c r="N913" s="1370"/>
      <c r="O913" s="1370"/>
      <c r="P913" s="1370"/>
      <c r="Q913" s="1370"/>
      <c r="R913" s="1370"/>
      <c r="S913" s="1370"/>
      <c r="T913" s="1370"/>
      <c r="U913" s="1370"/>
      <c r="V913" s="1370"/>
      <c r="W913" s="1370"/>
      <c r="X913" s="1370"/>
    </row>
    <row r="914" spans="1:24" s="80" customFormat="1" x14ac:dyDescent="0.2">
      <c r="A914" s="523">
        <v>43722</v>
      </c>
      <c r="B914" s="80" t="s">
        <v>1796</v>
      </c>
      <c r="C914" s="1489" t="s">
        <v>1797</v>
      </c>
      <c r="D914" s="1686">
        <v>2.0752314814814814E-2</v>
      </c>
      <c r="E914" s="1489" t="s">
        <v>15471</v>
      </c>
      <c r="F914" s="1489"/>
      <c r="G914" s="1815">
        <v>0.54600000000000004</v>
      </c>
      <c r="L914" s="1370"/>
      <c r="M914" s="1370"/>
      <c r="N914" s="1370"/>
      <c r="O914" s="1370"/>
      <c r="P914" s="1370"/>
      <c r="Q914" s="1370"/>
      <c r="R914" s="1370"/>
      <c r="S914" s="1370"/>
      <c r="T914" s="1370"/>
      <c r="U914" s="1370"/>
      <c r="V914" s="1370"/>
      <c r="W914" s="1370"/>
      <c r="X914" s="1370"/>
    </row>
    <row r="915" spans="1:24" s="80" customFormat="1" x14ac:dyDescent="0.2">
      <c r="A915" s="523">
        <v>43715</v>
      </c>
      <c r="B915" s="80" t="s">
        <v>1796</v>
      </c>
      <c r="C915" s="1489" t="s">
        <v>1797</v>
      </c>
      <c r="D915" s="1730">
        <v>2.0439814814814817E-2</v>
      </c>
      <c r="E915" s="80" t="s">
        <v>15416</v>
      </c>
      <c r="F915" s="1489" t="s">
        <v>15442</v>
      </c>
      <c r="G915" s="317">
        <v>0.5544</v>
      </c>
      <c r="L915" s="1370"/>
      <c r="M915" s="1370"/>
      <c r="N915" s="1370"/>
      <c r="O915" s="1370"/>
      <c r="P915" s="1370"/>
      <c r="Q915" s="1370"/>
      <c r="R915" s="1370"/>
      <c r="S915" s="1370"/>
      <c r="T915" s="1370"/>
      <c r="U915" s="1370"/>
      <c r="V915" s="1370"/>
      <c r="W915" s="1370"/>
      <c r="X915" s="1370"/>
    </row>
    <row r="916" spans="1:24" s="80" customFormat="1" x14ac:dyDescent="0.2">
      <c r="A916" s="1526">
        <v>43701</v>
      </c>
      <c r="B916" s="80" t="s">
        <v>1796</v>
      </c>
      <c r="C916" s="1489" t="s">
        <v>1797</v>
      </c>
      <c r="D916" s="1686">
        <v>2.0335648148148148E-2</v>
      </c>
      <c r="E916" s="1489" t="s">
        <v>15298</v>
      </c>
      <c r="F916" s="1489" t="s">
        <v>15311</v>
      </c>
      <c r="G916" s="1815">
        <v>0.55720000000000003</v>
      </c>
      <c r="L916" s="1370"/>
      <c r="M916" s="1370"/>
      <c r="N916" s="1370"/>
      <c r="O916" s="1370"/>
      <c r="P916" s="1370"/>
      <c r="Q916" s="1370"/>
      <c r="R916" s="1370"/>
      <c r="S916" s="1370"/>
      <c r="T916" s="1370"/>
      <c r="U916" s="1370"/>
      <c r="V916" s="1370"/>
      <c r="W916" s="1370"/>
      <c r="X916" s="1370"/>
    </row>
    <row r="917" spans="1:24" s="80" customFormat="1" x14ac:dyDescent="0.2">
      <c r="A917" s="523">
        <v>43694</v>
      </c>
      <c r="B917" s="80" t="s">
        <v>1796</v>
      </c>
      <c r="C917" s="1489" t="s">
        <v>1797</v>
      </c>
      <c r="D917" s="1733">
        <v>2.2476851851851852E-2</v>
      </c>
      <c r="E917" s="1489" t="s">
        <v>15156</v>
      </c>
      <c r="F917" s="1489"/>
      <c r="G917" s="1815">
        <v>0.50409999999999999</v>
      </c>
      <c r="H917" s="1514"/>
      <c r="L917" s="1370"/>
      <c r="M917" s="1370"/>
      <c r="N917" s="1370"/>
      <c r="O917" s="1370"/>
      <c r="P917" s="1370"/>
      <c r="Q917" s="1370"/>
      <c r="R917" s="1370"/>
      <c r="S917" s="1370"/>
      <c r="T917" s="1370"/>
      <c r="U917" s="1370"/>
      <c r="V917" s="1370"/>
      <c r="W917" s="1370"/>
      <c r="X917" s="1370"/>
    </row>
    <row r="918" spans="1:24" s="80" customFormat="1" x14ac:dyDescent="0.2">
      <c r="A918" s="1384">
        <v>43680</v>
      </c>
      <c r="B918" s="80" t="s">
        <v>1796</v>
      </c>
      <c r="C918" s="1489" t="s">
        <v>1797</v>
      </c>
      <c r="D918" s="1686">
        <v>1.7604166666666667E-2</v>
      </c>
      <c r="E918" s="1489" t="s">
        <v>13349</v>
      </c>
      <c r="F918" s="1489" t="s">
        <v>13382</v>
      </c>
      <c r="G918" s="1815">
        <v>0.64370000000000005</v>
      </c>
      <c r="L918" s="1370"/>
      <c r="M918" s="1370"/>
      <c r="N918" s="1370"/>
      <c r="O918" s="1370"/>
      <c r="P918" s="1370"/>
      <c r="Q918" s="1370"/>
      <c r="R918" s="1370"/>
      <c r="S918" s="1370"/>
      <c r="T918" s="1370"/>
      <c r="U918" s="1370"/>
      <c r="V918" s="1370"/>
      <c r="W918" s="1370"/>
      <c r="X918" s="1370"/>
    </row>
    <row r="919" spans="1:24" s="80" customFormat="1" x14ac:dyDescent="0.2">
      <c r="A919" s="1384">
        <v>43673</v>
      </c>
      <c r="B919" s="80" t="s">
        <v>1796</v>
      </c>
      <c r="C919" s="1489" t="s">
        <v>1797</v>
      </c>
      <c r="D919" s="1686">
        <v>2.0416666666666663E-2</v>
      </c>
      <c r="E919" s="1489" t="s">
        <v>13281</v>
      </c>
      <c r="F919" s="1489" t="s">
        <v>13323</v>
      </c>
      <c r="G919" s="1815">
        <v>0.55500000000000005</v>
      </c>
      <c r="L919" s="1370"/>
      <c r="M919" s="1370"/>
      <c r="N919" s="1370"/>
      <c r="O919" s="1370"/>
      <c r="P919" s="1370"/>
      <c r="Q919" s="1370"/>
      <c r="R919" s="1370"/>
      <c r="S919" s="1370"/>
      <c r="T919" s="1370"/>
      <c r="U919" s="1370"/>
      <c r="V919" s="1370"/>
      <c r="W919" s="1370"/>
      <c r="X919" s="1370"/>
    </row>
    <row r="920" spans="1:24" s="80" customFormat="1" x14ac:dyDescent="0.2">
      <c r="A920" s="523">
        <v>43659</v>
      </c>
      <c r="B920" s="80" t="s">
        <v>1796</v>
      </c>
      <c r="C920" s="1489" t="s">
        <v>1797</v>
      </c>
      <c r="D920" s="1686">
        <v>2.0150462962962964E-2</v>
      </c>
      <c r="E920" s="1489" t="s">
        <v>13143</v>
      </c>
      <c r="F920" s="1489" t="s">
        <v>13163</v>
      </c>
      <c r="G920" s="1815">
        <v>0.56230000000000002</v>
      </c>
      <c r="I920" s="1489" t="s">
        <v>13162</v>
      </c>
    </row>
    <row r="921" spans="1:24" s="80" customFormat="1" x14ac:dyDescent="0.2">
      <c r="A921" s="523">
        <v>43652</v>
      </c>
      <c r="B921" s="80" t="s">
        <v>1796</v>
      </c>
      <c r="C921" s="1489" t="s">
        <v>1797</v>
      </c>
      <c r="D921" s="1695" t="s">
        <v>3334</v>
      </c>
      <c r="E921" s="80" t="s">
        <v>12510</v>
      </c>
      <c r="F921" s="1489" t="s">
        <v>4854</v>
      </c>
      <c r="G921" s="317"/>
      <c r="H921" s="1578"/>
      <c r="I921" s="1489"/>
      <c r="J921" s="1489"/>
      <c r="K921" s="1489"/>
    </row>
    <row r="922" spans="1:24" s="80" customFormat="1" x14ac:dyDescent="0.2">
      <c r="A922" s="523">
        <v>43645</v>
      </c>
      <c r="B922" s="80" t="s">
        <v>1796</v>
      </c>
      <c r="C922" s="1489" t="s">
        <v>1797</v>
      </c>
      <c r="D922" s="1686">
        <v>2.1469907407407406E-2</v>
      </c>
      <c r="E922" s="1514" t="s">
        <v>13032</v>
      </c>
      <c r="F922" s="1489" t="s">
        <v>13058</v>
      </c>
      <c r="G922" s="1815">
        <v>0.52780000000000005</v>
      </c>
      <c r="I922" s="1514"/>
      <c r="L922" s="1370"/>
      <c r="M922" s="1370"/>
      <c r="N922" s="1370"/>
      <c r="O922" s="1370"/>
      <c r="P922" s="1370"/>
      <c r="Q922" s="1370"/>
      <c r="R922" s="1370"/>
      <c r="S922" s="1370"/>
      <c r="T922" s="1370"/>
      <c r="U922" s="1370"/>
      <c r="V922" s="1370"/>
      <c r="W922" s="1370"/>
      <c r="X922" s="1370"/>
    </row>
    <row r="923" spans="1:24" s="80" customFormat="1" x14ac:dyDescent="0.2">
      <c r="A923" s="523">
        <v>43624</v>
      </c>
      <c r="B923" s="80" t="s">
        <v>1796</v>
      </c>
      <c r="C923" s="1489" t="s">
        <v>1797</v>
      </c>
      <c r="D923" s="1840">
        <v>1.8738425925925926E-2</v>
      </c>
      <c r="E923" s="1493" t="s">
        <v>12848</v>
      </c>
      <c r="F923" s="1493"/>
      <c r="G923" s="1823">
        <v>0.60470000000000002</v>
      </c>
    </row>
    <row r="924" spans="1:24" s="80" customFormat="1" x14ac:dyDescent="0.2">
      <c r="A924" s="1384">
        <v>43617</v>
      </c>
      <c r="B924" s="80" t="s">
        <v>1796</v>
      </c>
      <c r="C924" s="1489" t="s">
        <v>1797</v>
      </c>
      <c r="D924" s="1833">
        <v>1.8900462962962963E-2</v>
      </c>
      <c r="E924" s="1499" t="s">
        <v>12803</v>
      </c>
      <c r="F924" s="1499" t="s">
        <v>12826</v>
      </c>
      <c r="G924" s="1814">
        <v>0.59950000000000003</v>
      </c>
      <c r="H924" s="1370"/>
      <c r="I924" s="1370"/>
      <c r="J924" s="1370"/>
      <c r="K924" s="1370"/>
      <c r="L924" s="1370"/>
      <c r="M924" s="1370"/>
      <c r="N924" s="1370"/>
      <c r="O924" s="1370"/>
      <c r="P924" s="1370"/>
      <c r="Q924" s="1370"/>
      <c r="R924" s="1370"/>
      <c r="S924" s="1370"/>
      <c r="T924" s="1370"/>
      <c r="U924" s="1370"/>
      <c r="V924" s="1370"/>
      <c r="W924" s="1370"/>
      <c r="X924" s="1370"/>
    </row>
    <row r="925" spans="1:24" s="80" customFormat="1" x14ac:dyDescent="0.2">
      <c r="A925" s="1384">
        <v>43610</v>
      </c>
      <c r="B925" s="80" t="s">
        <v>1796</v>
      </c>
      <c r="C925" s="1489" t="s">
        <v>1797</v>
      </c>
      <c r="D925" s="1834">
        <v>1.849537037037037E-2</v>
      </c>
      <c r="E925" s="1370" t="s">
        <v>12725</v>
      </c>
      <c r="F925" s="1370" t="s">
        <v>12749</v>
      </c>
      <c r="G925" s="1816">
        <v>0.61260000000000003</v>
      </c>
      <c r="H925" s="1370"/>
      <c r="I925" s="1370"/>
      <c r="J925" s="1370"/>
      <c r="K925" s="1370"/>
    </row>
    <row r="926" spans="1:24" s="80" customFormat="1" x14ac:dyDescent="0.2">
      <c r="A926" s="1384">
        <v>43596</v>
      </c>
      <c r="B926" s="80" t="s">
        <v>1796</v>
      </c>
      <c r="C926" s="1489" t="s">
        <v>1797</v>
      </c>
      <c r="D926" s="1790">
        <v>1.9398148148148147E-2</v>
      </c>
      <c r="E926" s="1370" t="s">
        <v>12569</v>
      </c>
      <c r="F926" s="1370" t="s">
        <v>12570</v>
      </c>
      <c r="G926" s="1826">
        <v>0.58409999999999995</v>
      </c>
      <c r="H926" s="1370"/>
      <c r="I926" s="1370"/>
      <c r="J926" s="1370"/>
      <c r="K926" s="1370"/>
    </row>
    <row r="927" spans="1:24" s="80" customFormat="1" x14ac:dyDescent="0.2">
      <c r="A927" s="1384">
        <v>43589</v>
      </c>
      <c r="B927" s="80" t="s">
        <v>1796</v>
      </c>
      <c r="C927" s="1489" t="s">
        <v>1797</v>
      </c>
      <c r="D927" s="1790">
        <v>2.1342592592592594E-2</v>
      </c>
      <c r="E927" s="1489" t="s">
        <v>12564</v>
      </c>
      <c r="F927" s="1489" t="s">
        <v>12571</v>
      </c>
      <c r="G927" s="1826">
        <v>0.53090000000000004</v>
      </c>
      <c r="H927" s="1370"/>
      <c r="I927" s="1489"/>
      <c r="J927" s="1370"/>
      <c r="K927" s="1370"/>
    </row>
    <row r="928" spans="1:24" s="80" customFormat="1" x14ac:dyDescent="0.2">
      <c r="A928" s="1384">
        <v>43561</v>
      </c>
      <c r="B928" s="80" t="s">
        <v>1796</v>
      </c>
      <c r="C928" s="1489" t="s">
        <v>1797</v>
      </c>
      <c r="D928" s="1790">
        <v>2.0104166666666666E-2</v>
      </c>
      <c r="E928" s="1370" t="s">
        <v>12336</v>
      </c>
      <c r="F928" s="1370" t="s">
        <v>1601</v>
      </c>
      <c r="G928" s="1826">
        <v>0.56359999999999999</v>
      </c>
      <c r="H928" s="1370"/>
      <c r="I928" s="1370"/>
      <c r="J928" s="1370"/>
      <c r="K928" s="1370"/>
    </row>
    <row r="929" spans="1:24" s="80" customFormat="1" x14ac:dyDescent="0.2">
      <c r="A929" s="1384">
        <v>43554</v>
      </c>
      <c r="B929" s="80" t="s">
        <v>1796</v>
      </c>
      <c r="C929" s="1489" t="s">
        <v>1797</v>
      </c>
      <c r="D929" s="1790">
        <v>2.9618055555555554E-2</v>
      </c>
      <c r="E929" s="1370" t="s">
        <v>12222</v>
      </c>
      <c r="F929" s="1370" t="s">
        <v>12280</v>
      </c>
      <c r="G929" s="1826">
        <v>0.3826</v>
      </c>
      <c r="H929" s="1370"/>
      <c r="I929" s="1370"/>
      <c r="J929" s="1370"/>
      <c r="K929" s="1370"/>
    </row>
    <row r="930" spans="1:24" s="80" customFormat="1" x14ac:dyDescent="0.2">
      <c r="A930" s="1384">
        <v>43547</v>
      </c>
      <c r="B930" s="80" t="s">
        <v>1796</v>
      </c>
      <c r="C930" s="1489" t="s">
        <v>1797</v>
      </c>
      <c r="D930" s="1790">
        <v>1.8449074074074073E-2</v>
      </c>
      <c r="E930" s="1370" t="s">
        <v>12174</v>
      </c>
      <c r="F930" s="1370" t="s">
        <v>12170</v>
      </c>
      <c r="G930" s="1826">
        <v>0.61419999999999997</v>
      </c>
      <c r="H930" s="1370"/>
      <c r="I930" s="1370"/>
      <c r="J930" s="1370"/>
      <c r="K930" s="1370"/>
    </row>
    <row r="931" spans="1:24" s="80" customFormat="1" x14ac:dyDescent="0.2">
      <c r="A931" s="1384">
        <v>43533</v>
      </c>
      <c r="B931" s="80" t="s">
        <v>1796</v>
      </c>
      <c r="C931" s="1489" t="s">
        <v>1797</v>
      </c>
      <c r="D931" s="1790">
        <v>1.7986111111111109E-2</v>
      </c>
      <c r="E931" s="1370" t="s">
        <v>12019</v>
      </c>
      <c r="F931" s="1370" t="s">
        <v>12037</v>
      </c>
      <c r="G931" s="1826">
        <v>0.63</v>
      </c>
      <c r="H931" s="1370"/>
      <c r="I931" s="1370"/>
      <c r="J931" s="1370"/>
      <c r="K931" s="1370"/>
      <c r="L931" s="1370"/>
      <c r="M931" s="1370"/>
      <c r="N931" s="1370"/>
      <c r="O931" s="1370"/>
      <c r="P931" s="1370"/>
      <c r="Q931" s="1370"/>
      <c r="R931" s="1370"/>
      <c r="S931" s="1370"/>
      <c r="T931" s="1370"/>
      <c r="U931" s="1370"/>
      <c r="V931" s="1370"/>
      <c r="W931" s="1370"/>
      <c r="X931" s="1370"/>
    </row>
    <row r="932" spans="1:24" s="80" customFormat="1" x14ac:dyDescent="0.2">
      <c r="A932" s="1384">
        <v>43526</v>
      </c>
      <c r="B932" s="80" t="s">
        <v>1796</v>
      </c>
      <c r="C932" s="1489" t="s">
        <v>1797</v>
      </c>
      <c r="D932" s="1790">
        <v>2.56712962962963E-2</v>
      </c>
      <c r="E932" s="1489" t="s">
        <v>11951</v>
      </c>
      <c r="F932" s="1370" t="s">
        <v>11954</v>
      </c>
      <c r="G932" s="1826">
        <v>0.44140000000000001</v>
      </c>
      <c r="H932" s="1370"/>
      <c r="I932" s="1370"/>
      <c r="J932" s="1370"/>
      <c r="K932" s="1370"/>
      <c r="L932" s="1370"/>
      <c r="M932" s="1370"/>
      <c r="N932" s="1370"/>
      <c r="O932" s="1370"/>
      <c r="P932" s="1370"/>
      <c r="Q932" s="1370"/>
      <c r="R932" s="1370"/>
      <c r="S932" s="1370"/>
      <c r="T932" s="1370"/>
      <c r="U932" s="1370"/>
      <c r="V932" s="1370"/>
      <c r="W932" s="1370"/>
      <c r="X932" s="1370"/>
    </row>
    <row r="933" spans="1:24" s="80" customFormat="1" x14ac:dyDescent="0.2">
      <c r="A933" s="1384">
        <v>43512</v>
      </c>
      <c r="B933" s="80" t="s">
        <v>1796</v>
      </c>
      <c r="C933" s="1489" t="s">
        <v>1797</v>
      </c>
      <c r="D933" s="1790">
        <v>3.5671296296296298E-2</v>
      </c>
      <c r="E933" s="1370" t="s">
        <v>5883</v>
      </c>
      <c r="F933" s="1370" t="s">
        <v>11847</v>
      </c>
      <c r="G933" s="1826">
        <v>0.31769999999999998</v>
      </c>
      <c r="H933" s="1370"/>
      <c r="I933" s="1370"/>
      <c r="J933" s="1370"/>
      <c r="K933" s="1370"/>
    </row>
    <row r="934" spans="1:24" s="80" customFormat="1" x14ac:dyDescent="0.2">
      <c r="A934" s="1384">
        <v>43491</v>
      </c>
      <c r="B934" s="80" t="s">
        <v>1796</v>
      </c>
      <c r="C934" s="1489" t="s">
        <v>1797</v>
      </c>
      <c r="D934" s="1790">
        <v>1.9837962962962963E-2</v>
      </c>
      <c r="E934" s="1370" t="s">
        <v>11684</v>
      </c>
      <c r="F934" s="1415" t="s">
        <v>11710</v>
      </c>
      <c r="G934" s="1826">
        <v>0.5665</v>
      </c>
      <c r="H934" s="1370"/>
      <c r="I934" s="1370"/>
      <c r="J934" s="1370"/>
      <c r="K934" s="1370"/>
      <c r="L934" s="1370"/>
      <c r="M934" s="1370"/>
      <c r="N934" s="1370"/>
      <c r="O934" s="1370"/>
      <c r="P934" s="1370"/>
      <c r="Q934" s="1370"/>
      <c r="R934" s="1370"/>
      <c r="S934" s="1370"/>
      <c r="T934" s="1370"/>
      <c r="U934" s="1370"/>
      <c r="V934" s="1370"/>
      <c r="W934" s="1370"/>
      <c r="X934" s="1370"/>
    </row>
    <row r="935" spans="1:24" s="80" customFormat="1" x14ac:dyDescent="0.2">
      <c r="A935" s="1384">
        <v>43484</v>
      </c>
      <c r="B935" s="80" t="s">
        <v>1796</v>
      </c>
      <c r="C935" s="1489" t="s">
        <v>1797</v>
      </c>
      <c r="D935" s="1790">
        <v>1.8136574074074072E-2</v>
      </c>
      <c r="E935" s="1370" t="s">
        <v>10622</v>
      </c>
      <c r="F935" s="1370" t="s">
        <v>11623</v>
      </c>
      <c r="G935" s="1826">
        <v>0.61970000000000003</v>
      </c>
      <c r="H935" s="1370"/>
      <c r="I935" s="1370"/>
      <c r="J935" s="1370"/>
      <c r="K935" s="1370"/>
      <c r="L935" s="1370"/>
      <c r="M935" s="1370"/>
      <c r="N935" s="1370"/>
      <c r="O935" s="1370"/>
      <c r="P935" s="1370"/>
      <c r="Q935" s="1370"/>
      <c r="R935" s="1370"/>
      <c r="S935" s="1370"/>
      <c r="T935" s="1370"/>
      <c r="U935" s="1370"/>
      <c r="V935" s="1370"/>
      <c r="W935" s="1370"/>
      <c r="X935" s="1370"/>
    </row>
    <row r="936" spans="1:24" s="80" customFormat="1" x14ac:dyDescent="0.2">
      <c r="A936" s="1384">
        <v>43470</v>
      </c>
      <c r="B936" s="80" t="s">
        <v>1796</v>
      </c>
      <c r="C936" s="1489" t="s">
        <v>1797</v>
      </c>
      <c r="D936" s="1790">
        <v>2.011574074074074E-2</v>
      </c>
      <c r="E936" s="1370" t="s">
        <v>10983</v>
      </c>
      <c r="F936" s="1370" t="s">
        <v>11607</v>
      </c>
      <c r="G936" s="1826">
        <v>0.55869999999999997</v>
      </c>
      <c r="H936" s="1370"/>
      <c r="I936" s="1370"/>
      <c r="J936" s="1370"/>
      <c r="K936" s="1370"/>
      <c r="L936" s="1370"/>
      <c r="M936" s="1370"/>
      <c r="N936" s="1370"/>
      <c r="O936" s="1370"/>
      <c r="P936" s="1370"/>
      <c r="Q936" s="1370"/>
      <c r="R936" s="1370"/>
      <c r="S936" s="1370"/>
      <c r="T936" s="1370"/>
      <c r="U936" s="1370"/>
      <c r="V936" s="1370"/>
      <c r="W936" s="1370"/>
      <c r="X936" s="1370"/>
    </row>
    <row r="937" spans="1:24" s="80" customFormat="1" x14ac:dyDescent="0.2">
      <c r="A937" s="1384">
        <v>43466</v>
      </c>
      <c r="B937" s="80" t="s">
        <v>1796</v>
      </c>
      <c r="C937" s="1489" t="s">
        <v>1797</v>
      </c>
      <c r="D937" s="1790">
        <v>3.4837962962962959E-2</v>
      </c>
      <c r="E937" s="1370" t="s">
        <v>11470</v>
      </c>
      <c r="F937" s="1370" t="s">
        <v>11476</v>
      </c>
      <c r="G937" s="1826">
        <v>0.3226</v>
      </c>
      <c r="H937" s="1370"/>
      <c r="I937" s="1370"/>
      <c r="J937" s="1370"/>
      <c r="K937" s="1370"/>
    </row>
    <row r="938" spans="1:24" s="80" customFormat="1" x14ac:dyDescent="0.2">
      <c r="A938" s="1765">
        <v>43813</v>
      </c>
      <c r="B938" s="1489" t="s">
        <v>3535</v>
      </c>
      <c r="C938" s="1489" t="s">
        <v>16258</v>
      </c>
      <c r="D938" s="1573">
        <v>2.1342592592592594E-2</v>
      </c>
      <c r="E938" s="1489" t="s">
        <v>16270</v>
      </c>
      <c r="F938" s="1489" t="s">
        <v>16296</v>
      </c>
      <c r="G938" s="1827">
        <v>0.48370000000000002</v>
      </c>
      <c r="H938" s="1404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</row>
    <row r="939" spans="1:24" s="80" customFormat="1" x14ac:dyDescent="0.2">
      <c r="A939" s="1384">
        <v>43575</v>
      </c>
      <c r="B939" s="1489" t="s">
        <v>868</v>
      </c>
      <c r="C939" s="1489" t="s">
        <v>2480</v>
      </c>
      <c r="D939" s="1790">
        <v>2.3217592592592592E-2</v>
      </c>
      <c r="E939" s="1489" t="s">
        <v>12474</v>
      </c>
      <c r="F939" s="1489" t="s">
        <v>12473</v>
      </c>
      <c r="G939" s="1826">
        <v>0.55730000000000002</v>
      </c>
      <c r="H939" s="1370"/>
      <c r="I939" s="1489"/>
      <c r="J939" s="1370"/>
      <c r="K939" s="1370"/>
      <c r="L939" s="1370"/>
      <c r="M939" s="1370"/>
      <c r="N939" s="1370"/>
      <c r="O939" s="1370"/>
      <c r="P939" s="1370"/>
      <c r="Q939" s="1370"/>
      <c r="R939" s="1370"/>
      <c r="S939" s="1370"/>
      <c r="T939" s="1370"/>
      <c r="U939" s="1370"/>
      <c r="V939" s="1370"/>
      <c r="W939" s="1370"/>
      <c r="X939" s="1370"/>
    </row>
    <row r="940" spans="1:24" s="80" customFormat="1" x14ac:dyDescent="0.2">
      <c r="A940" s="1384">
        <v>43526</v>
      </c>
      <c r="B940" s="1489" t="s">
        <v>868</v>
      </c>
      <c r="C940" s="1489" t="s">
        <v>2480</v>
      </c>
      <c r="D940" s="1790">
        <v>2.2442129629629631E-2</v>
      </c>
      <c r="E940" s="1489" t="s">
        <v>11943</v>
      </c>
      <c r="F940" s="1489" t="s">
        <v>11927</v>
      </c>
      <c r="G940" s="1826">
        <v>0.5766</v>
      </c>
      <c r="H940" s="1489"/>
      <c r="I940" s="1370"/>
      <c r="J940" s="1370"/>
      <c r="K940" s="1370"/>
      <c r="L940" s="1370"/>
      <c r="M940" s="1370"/>
      <c r="N940" s="1370"/>
      <c r="O940" s="1370"/>
      <c r="P940" s="1370"/>
      <c r="Q940" s="1370"/>
      <c r="R940" s="1370"/>
      <c r="S940" s="1370"/>
      <c r="T940" s="1370"/>
      <c r="U940" s="1370"/>
      <c r="V940" s="1370"/>
      <c r="W940" s="1370"/>
      <c r="X940" s="1370"/>
    </row>
    <row r="941" spans="1:24" s="80" customFormat="1" x14ac:dyDescent="0.2">
      <c r="A941" s="1384">
        <v>43505</v>
      </c>
      <c r="B941" s="1489" t="s">
        <v>868</v>
      </c>
      <c r="C941" s="1489" t="s">
        <v>2480</v>
      </c>
      <c r="D941" s="1790">
        <v>2.162037037037037E-2</v>
      </c>
      <c r="E941" s="1370" t="s">
        <v>1214</v>
      </c>
      <c r="F941" s="1370" t="s">
        <v>11764</v>
      </c>
      <c r="G941" s="1826">
        <v>0.59850000000000003</v>
      </c>
      <c r="H941" s="1370"/>
      <c r="I941" s="1370"/>
      <c r="J941" s="1370"/>
      <c r="K941" s="1370"/>
      <c r="L941" s="1370"/>
      <c r="M941" s="1370"/>
      <c r="N941" s="1370"/>
      <c r="O941" s="1370"/>
      <c r="P941" s="1370"/>
      <c r="Q941" s="1370"/>
      <c r="R941" s="1370"/>
      <c r="S941" s="1370"/>
      <c r="T941" s="1370"/>
      <c r="U941" s="1370"/>
      <c r="V941" s="1370"/>
      <c r="W941" s="1370"/>
      <c r="X941" s="1370"/>
    </row>
    <row r="942" spans="1:24" s="80" customFormat="1" x14ac:dyDescent="0.2">
      <c r="A942" s="1384">
        <v>43491</v>
      </c>
      <c r="B942" s="1489" t="s">
        <v>868</v>
      </c>
      <c r="C942" s="1489" t="s">
        <v>2480</v>
      </c>
      <c r="D942" s="1790">
        <v>2.1273148148148149E-2</v>
      </c>
      <c r="E942" s="1370" t="s">
        <v>1214</v>
      </c>
      <c r="F942" s="1415" t="s">
        <v>11685</v>
      </c>
      <c r="G942" s="1826">
        <v>0.61160000000000003</v>
      </c>
      <c r="H942" s="1370"/>
      <c r="I942" s="1370"/>
      <c r="J942" s="1370"/>
      <c r="K942" s="1370"/>
      <c r="L942" s="1370"/>
      <c r="M942" s="1370"/>
      <c r="N942" s="1370"/>
      <c r="O942" s="1370"/>
      <c r="P942" s="1370"/>
      <c r="Q942" s="1370"/>
      <c r="R942" s="1370"/>
      <c r="S942" s="1370"/>
      <c r="T942" s="1370"/>
      <c r="U942" s="1370"/>
      <c r="V942" s="1370"/>
      <c r="W942" s="1370"/>
      <c r="X942" s="1370"/>
    </row>
    <row r="943" spans="1:24" s="80" customFormat="1" x14ac:dyDescent="0.2">
      <c r="A943" s="1384">
        <v>43484</v>
      </c>
      <c r="B943" s="1489" t="s">
        <v>868</v>
      </c>
      <c r="C943" s="1489" t="s">
        <v>2480</v>
      </c>
      <c r="D943" s="1790">
        <v>2.1134259259259259E-2</v>
      </c>
      <c r="E943" s="1370" t="s">
        <v>1214</v>
      </c>
      <c r="F943" s="1370" t="s">
        <v>11564</v>
      </c>
      <c r="G943" s="1826">
        <v>0.61229999999999996</v>
      </c>
      <c r="H943" s="1370"/>
      <c r="I943" s="1370"/>
      <c r="J943" s="1370"/>
      <c r="K943" s="1370"/>
      <c r="L943" s="1370"/>
      <c r="M943" s="1370"/>
      <c r="N943" s="1370"/>
      <c r="O943" s="1370"/>
      <c r="P943" s="1370"/>
      <c r="Q943" s="1370"/>
      <c r="R943" s="1370"/>
      <c r="S943" s="1370"/>
      <c r="T943" s="1370"/>
      <c r="U943" s="1370"/>
      <c r="V943" s="1370"/>
      <c r="W943" s="1370"/>
      <c r="X943" s="1370"/>
    </row>
    <row r="944" spans="1:24" s="80" customFormat="1" x14ac:dyDescent="0.2">
      <c r="A944" s="1384">
        <v>43477</v>
      </c>
      <c r="B944" s="1489" t="s">
        <v>868</v>
      </c>
      <c r="C944" s="1489" t="s">
        <v>2480</v>
      </c>
      <c r="D944" s="1790">
        <v>2.207175925925926E-2</v>
      </c>
      <c r="E944" s="1370" t="s">
        <v>1214</v>
      </c>
      <c r="F944" s="1370" t="s">
        <v>11565</v>
      </c>
      <c r="G944" s="1826">
        <v>0.58630000000000004</v>
      </c>
      <c r="H944" s="1370"/>
      <c r="I944" s="1370"/>
      <c r="J944" s="1370"/>
      <c r="K944" s="1370"/>
      <c r="L944" s="1370"/>
      <c r="M944" s="1370"/>
      <c r="N944" s="1370"/>
      <c r="O944" s="1370"/>
      <c r="P944" s="1370"/>
      <c r="Q944" s="1370"/>
      <c r="R944" s="1370"/>
      <c r="S944" s="1370"/>
      <c r="T944" s="1370"/>
      <c r="U944" s="1370"/>
      <c r="V944" s="1370"/>
      <c r="W944" s="1370"/>
      <c r="X944" s="1370"/>
    </row>
    <row r="945" spans="1:24" s="80" customFormat="1" x14ac:dyDescent="0.2">
      <c r="A945" s="1384">
        <v>43466</v>
      </c>
      <c r="B945" s="1489" t="s">
        <v>868</v>
      </c>
      <c r="C945" s="1489" t="s">
        <v>2480</v>
      </c>
      <c r="D945" s="1790">
        <v>2.148148148148148E-2</v>
      </c>
      <c r="E945" s="1370" t="s">
        <v>11495</v>
      </c>
      <c r="F945" s="1370" t="s">
        <v>11515</v>
      </c>
      <c r="G945" s="1826">
        <v>0.60240000000000005</v>
      </c>
      <c r="H945" s="1370"/>
      <c r="I945" s="1370"/>
      <c r="J945" s="1370"/>
      <c r="K945" s="1370"/>
    </row>
    <row r="946" spans="1:24" s="80" customFormat="1" x14ac:dyDescent="0.2">
      <c r="A946" s="523">
        <v>43659</v>
      </c>
      <c r="B946" s="1489" t="s">
        <v>3999</v>
      </c>
      <c r="C946" s="1489" t="s">
        <v>13130</v>
      </c>
      <c r="D946" s="1734">
        <v>1.3495370370370371E-2</v>
      </c>
      <c r="E946" s="1489" t="s">
        <v>13132</v>
      </c>
      <c r="F946" s="1489" t="s">
        <v>3001</v>
      </c>
      <c r="G946" s="1826">
        <v>0.68700000000000006</v>
      </c>
      <c r="I946" s="1489"/>
    </row>
    <row r="947" spans="1:24" s="80" customFormat="1" x14ac:dyDescent="0.2">
      <c r="A947" s="34">
        <v>43806</v>
      </c>
      <c r="B947" s="1489" t="s">
        <v>5540</v>
      </c>
      <c r="C947" s="1489" t="s">
        <v>5541</v>
      </c>
      <c r="D947" s="1573">
        <v>1.8113425925925925E-2</v>
      </c>
      <c r="E947" s="1489" t="s">
        <v>16221</v>
      </c>
      <c r="F947" s="1404"/>
      <c r="G947" s="1827">
        <v>0.68430000000000002</v>
      </c>
      <c r="H947" s="1486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</row>
    <row r="948" spans="1:24" s="80" customFormat="1" x14ac:dyDescent="0.2">
      <c r="A948" s="1729">
        <v>43799</v>
      </c>
      <c r="B948" s="1489" t="s">
        <v>5540</v>
      </c>
      <c r="C948" s="1489" t="s">
        <v>5541</v>
      </c>
      <c r="D948" s="1745">
        <v>1.8587962962962962E-2</v>
      </c>
      <c r="E948" s="1486" t="s">
        <v>16161</v>
      </c>
      <c r="F948" s="1514" t="s">
        <v>16185</v>
      </c>
      <c r="G948" s="1828">
        <v>0.66690000000000005</v>
      </c>
      <c r="H948" s="1486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</row>
    <row r="949" spans="1:24" s="80" customFormat="1" x14ac:dyDescent="0.2">
      <c r="A949" s="1673">
        <v>43785</v>
      </c>
      <c r="B949" s="1489" t="s">
        <v>5540</v>
      </c>
      <c r="C949" s="1489" t="s">
        <v>5541</v>
      </c>
      <c r="D949" s="1745">
        <v>1.8472222222222223E-2</v>
      </c>
      <c r="E949" s="80" t="s">
        <v>16023</v>
      </c>
      <c r="F949" s="80" t="s">
        <v>16063</v>
      </c>
      <c r="G949" s="1828">
        <v>0.67110000000000003</v>
      </c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</row>
    <row r="950" spans="1:24" s="80" customFormat="1" x14ac:dyDescent="0.2">
      <c r="A950" s="523">
        <v>43757</v>
      </c>
      <c r="B950" s="1489" t="s">
        <v>5540</v>
      </c>
      <c r="C950" s="1489" t="s">
        <v>5541</v>
      </c>
      <c r="D950" s="1734">
        <v>1.8506944444444444E-2</v>
      </c>
      <c r="E950" s="1489" t="s">
        <v>15843</v>
      </c>
      <c r="F950" s="1489"/>
      <c r="G950" s="1826">
        <v>0.66169999999999995</v>
      </c>
      <c r="H950" s="1489"/>
      <c r="I950" s="1489"/>
      <c r="J950" s="1489"/>
      <c r="K950" s="1489"/>
    </row>
    <row r="951" spans="1:24" s="80" customFormat="1" x14ac:dyDescent="0.2">
      <c r="A951" s="523">
        <v>43757</v>
      </c>
      <c r="B951" s="1489" t="s">
        <v>5540</v>
      </c>
      <c r="C951" s="1489" t="s">
        <v>5541</v>
      </c>
      <c r="D951" s="1734">
        <v>1.8506944444444444E-2</v>
      </c>
      <c r="E951" s="1489" t="s">
        <v>15843</v>
      </c>
      <c r="F951" s="1489" t="s">
        <v>15873</v>
      </c>
      <c r="G951" s="1826">
        <v>0.66169999999999995</v>
      </c>
      <c r="H951" s="1489"/>
      <c r="I951" s="1489"/>
      <c r="J951" s="1489"/>
      <c r="K951" s="1489"/>
    </row>
    <row r="952" spans="1:24" s="80" customFormat="1" x14ac:dyDescent="0.2">
      <c r="A952" s="1729">
        <v>43743</v>
      </c>
      <c r="B952" s="1489" t="s">
        <v>5540</v>
      </c>
      <c r="C952" s="1489" t="s">
        <v>5541</v>
      </c>
      <c r="D952" s="1735">
        <v>1.849537037037037E-2</v>
      </c>
      <c r="E952" s="80" t="s">
        <v>15723</v>
      </c>
      <c r="F952" s="80" t="s">
        <v>15775</v>
      </c>
      <c r="G952" s="1829">
        <v>0.66210000000000002</v>
      </c>
      <c r="L952" s="1370"/>
      <c r="M952" s="1370"/>
      <c r="N952" s="1370"/>
      <c r="O952" s="1370"/>
      <c r="P952" s="1370"/>
      <c r="Q952" s="1370"/>
      <c r="R952" s="1370"/>
      <c r="S952" s="1370"/>
      <c r="T952" s="1370"/>
      <c r="U952" s="1370"/>
      <c r="V952" s="1370"/>
      <c r="W952" s="1370"/>
      <c r="X952" s="1370"/>
    </row>
    <row r="953" spans="1:24" s="80" customFormat="1" x14ac:dyDescent="0.2">
      <c r="A953" s="1729">
        <v>43729</v>
      </c>
      <c r="B953" s="1489" t="s">
        <v>5540</v>
      </c>
      <c r="C953" s="1489" t="s">
        <v>5541</v>
      </c>
      <c r="D953" s="1686">
        <v>1.832175925925926E-2</v>
      </c>
      <c r="E953" s="1489" t="s">
        <v>15569</v>
      </c>
      <c r="F953" s="1489" t="s">
        <v>15608</v>
      </c>
      <c r="G953" s="1815">
        <v>0.66839999999999999</v>
      </c>
      <c r="L953" s="1370"/>
      <c r="M953" s="1370"/>
      <c r="N953" s="1370"/>
      <c r="O953" s="1370"/>
      <c r="P953" s="1370"/>
      <c r="Q953" s="1370"/>
      <c r="R953" s="1370"/>
      <c r="S953" s="1370"/>
      <c r="T953" s="1370"/>
      <c r="U953" s="1370"/>
      <c r="V953" s="1370"/>
      <c r="W953" s="1370"/>
      <c r="X953" s="1370"/>
    </row>
    <row r="954" spans="1:24" s="80" customFormat="1" x14ac:dyDescent="0.2">
      <c r="A954" s="523">
        <v>43722</v>
      </c>
      <c r="B954" s="1489" t="s">
        <v>5540</v>
      </c>
      <c r="C954" s="1489" t="s">
        <v>5541</v>
      </c>
      <c r="D954" s="1686">
        <v>1.7754629629629631E-2</v>
      </c>
      <c r="E954" s="1489" t="s">
        <v>15479</v>
      </c>
      <c r="F954" s="1489" t="s">
        <v>15529</v>
      </c>
      <c r="G954" s="1815">
        <v>0.68969999999999998</v>
      </c>
      <c r="L954" s="1370"/>
      <c r="M954" s="1370"/>
      <c r="N954" s="1370"/>
      <c r="O954" s="1370"/>
      <c r="P954" s="1370"/>
      <c r="Q954" s="1370"/>
      <c r="R954" s="1370"/>
      <c r="S954" s="1370"/>
      <c r="T954" s="1370"/>
      <c r="U954" s="1370"/>
      <c r="V954" s="1370"/>
      <c r="W954" s="1370"/>
      <c r="X954" s="1370"/>
    </row>
    <row r="955" spans="1:24" s="80" customFormat="1" x14ac:dyDescent="0.2">
      <c r="A955" s="523">
        <v>43715</v>
      </c>
      <c r="B955" s="1489" t="s">
        <v>5540</v>
      </c>
      <c r="C955" s="1489" t="s">
        <v>5541</v>
      </c>
      <c r="D955" s="1732">
        <v>1.7951388888888888E-2</v>
      </c>
      <c r="E955" s="1514" t="s">
        <v>15426</v>
      </c>
      <c r="F955" s="1489"/>
      <c r="G955" s="1822">
        <v>0.68210000000000004</v>
      </c>
      <c r="L955" s="1370"/>
      <c r="M955" s="1370"/>
      <c r="N955" s="1370"/>
      <c r="O955" s="1370"/>
      <c r="P955" s="1370"/>
      <c r="Q955" s="1370"/>
      <c r="R955" s="1370"/>
      <c r="S955" s="1370"/>
      <c r="T955" s="1370"/>
      <c r="U955" s="1370"/>
      <c r="V955" s="1370"/>
      <c r="W955" s="1370"/>
      <c r="X955" s="1370"/>
    </row>
    <row r="956" spans="1:24" s="80" customFormat="1" x14ac:dyDescent="0.2">
      <c r="A956" s="1526">
        <v>43708</v>
      </c>
      <c r="B956" s="1489" t="s">
        <v>5540</v>
      </c>
      <c r="C956" s="1489" t="s">
        <v>5541</v>
      </c>
      <c r="D956" s="1686">
        <v>1.8981481481481481E-2</v>
      </c>
      <c r="E956" s="1489" t="s">
        <v>15377</v>
      </c>
      <c r="F956" s="1489" t="s">
        <v>15397</v>
      </c>
      <c r="G956" s="1815">
        <v>0.64510000000000001</v>
      </c>
      <c r="H956" s="1489"/>
      <c r="I956" s="1489"/>
      <c r="J956" s="1489"/>
      <c r="L956" s="1370"/>
      <c r="M956" s="1370"/>
      <c r="N956" s="1370"/>
      <c r="O956" s="1370"/>
      <c r="P956" s="1370"/>
      <c r="Q956" s="1370"/>
      <c r="R956" s="1370"/>
      <c r="S956" s="1370"/>
      <c r="T956" s="1370"/>
      <c r="U956" s="1370"/>
      <c r="V956" s="1370"/>
      <c r="W956" s="1370"/>
      <c r="X956" s="1370"/>
    </row>
    <row r="957" spans="1:24" s="80" customFormat="1" x14ac:dyDescent="0.2">
      <c r="A957" s="1384">
        <v>43680</v>
      </c>
      <c r="B957" s="1489" t="s">
        <v>5540</v>
      </c>
      <c r="C957" s="1489" t="s">
        <v>5541</v>
      </c>
      <c r="D957" s="1686">
        <v>1.8252314814814815E-2</v>
      </c>
      <c r="E957" s="1489" t="s">
        <v>13357</v>
      </c>
      <c r="F957" s="1489" t="s">
        <v>15337</v>
      </c>
      <c r="G957" s="1815">
        <v>0.67090000000000005</v>
      </c>
      <c r="I957" s="1514"/>
    </row>
    <row r="958" spans="1:24" s="80" customFormat="1" x14ac:dyDescent="0.2">
      <c r="A958" s="1384">
        <v>43673</v>
      </c>
      <c r="B958" s="1489" t="s">
        <v>5540</v>
      </c>
      <c r="C958" s="1489" t="s">
        <v>5541</v>
      </c>
      <c r="D958" s="1686">
        <v>1.7951388888888888E-2</v>
      </c>
      <c r="E958" s="1489" t="s">
        <v>13298</v>
      </c>
      <c r="F958" s="1489" t="s">
        <v>13317</v>
      </c>
      <c r="G958" s="1815">
        <v>0.68210000000000004</v>
      </c>
    </row>
    <row r="959" spans="1:24" s="80" customFormat="1" x14ac:dyDescent="0.2">
      <c r="A959" s="523">
        <v>43638</v>
      </c>
      <c r="B959" s="1489" t="s">
        <v>5540</v>
      </c>
      <c r="C959" s="1489" t="s">
        <v>5541</v>
      </c>
      <c r="D959" s="1835">
        <v>1.8414351851851852E-2</v>
      </c>
      <c r="E959" s="1493" t="s">
        <v>12990</v>
      </c>
      <c r="F959" s="1493"/>
      <c r="G959" s="1818">
        <v>0.66500000000000004</v>
      </c>
    </row>
    <row r="960" spans="1:24" s="80" customFormat="1" x14ac:dyDescent="0.2">
      <c r="A960" s="1384">
        <v>43617</v>
      </c>
      <c r="B960" s="1489" t="s">
        <v>5540</v>
      </c>
      <c r="C960" s="1489" t="s">
        <v>5541</v>
      </c>
      <c r="D960" s="1836">
        <v>1.7662037037037035E-2</v>
      </c>
      <c r="E960" s="1568" t="s">
        <v>12823</v>
      </c>
      <c r="F960" s="1568" t="s">
        <v>12798</v>
      </c>
      <c r="G960" s="1819">
        <v>0.69330000000000003</v>
      </c>
      <c r="H960" s="1370"/>
      <c r="I960" s="1370"/>
      <c r="J960" s="1370"/>
      <c r="K960" s="1370"/>
    </row>
    <row r="961" spans="1:24" s="80" customFormat="1" x14ac:dyDescent="0.2">
      <c r="A961" s="1384">
        <v>43610</v>
      </c>
      <c r="B961" s="1489" t="s">
        <v>5540</v>
      </c>
      <c r="C961" s="1489" t="s">
        <v>5541</v>
      </c>
      <c r="D961" s="1790">
        <v>1.7835648148148149E-2</v>
      </c>
      <c r="E961" s="1539" t="s">
        <v>12735</v>
      </c>
      <c r="F961" s="1539"/>
      <c r="G961" s="1826">
        <v>0.68659999999999999</v>
      </c>
      <c r="H961" s="1554"/>
      <c r="I961" s="1370"/>
      <c r="J961" s="1370"/>
      <c r="K961" s="1370"/>
      <c r="L961" s="1370"/>
      <c r="M961" s="1370"/>
      <c r="N961" s="1370"/>
      <c r="O961" s="1370"/>
      <c r="P961" s="1370"/>
      <c r="Q961" s="1370"/>
      <c r="R961" s="1370"/>
      <c r="S961" s="1370"/>
      <c r="T961" s="1370"/>
      <c r="U961" s="1370"/>
      <c r="V961" s="1370"/>
      <c r="W961" s="1370"/>
      <c r="X961" s="1370"/>
    </row>
    <row r="962" spans="1:24" s="80" customFormat="1" x14ac:dyDescent="0.2">
      <c r="A962" s="1384">
        <v>43603</v>
      </c>
      <c r="B962" s="1489" t="s">
        <v>5540</v>
      </c>
      <c r="C962" s="1489" t="s">
        <v>5541</v>
      </c>
      <c r="D962" s="1790">
        <v>1.7662037037037035E-2</v>
      </c>
      <c r="E962" s="1539" t="s">
        <v>12681</v>
      </c>
      <c r="F962" s="1554" t="s">
        <v>2629</v>
      </c>
      <c r="G962" s="1826">
        <v>0.69330000000000003</v>
      </c>
      <c r="H962" s="1554"/>
      <c r="I962" s="1370"/>
      <c r="J962" s="1370"/>
      <c r="K962" s="1370"/>
    </row>
    <row r="963" spans="1:24" s="80" customFormat="1" x14ac:dyDescent="0.2">
      <c r="A963" s="1384">
        <v>43596</v>
      </c>
      <c r="B963" s="1489" t="s">
        <v>5540</v>
      </c>
      <c r="C963" s="1489" t="s">
        <v>5541</v>
      </c>
      <c r="D963" s="1790">
        <v>1.8020833333333333E-2</v>
      </c>
      <c r="E963" s="1539" t="s">
        <v>12521</v>
      </c>
      <c r="F963" s="1554" t="s">
        <v>12516</v>
      </c>
      <c r="G963" s="1826">
        <v>0.67949999999999999</v>
      </c>
      <c r="H963" s="1554"/>
      <c r="I963" s="1370" t="s">
        <v>12511</v>
      </c>
      <c r="J963" s="1370"/>
      <c r="K963" s="1370"/>
    </row>
    <row r="964" spans="1:24" s="80" customFormat="1" x14ac:dyDescent="0.2">
      <c r="A964" s="1384">
        <v>43575</v>
      </c>
      <c r="B964" s="1489" t="s">
        <v>5540</v>
      </c>
      <c r="C964" s="1489" t="s">
        <v>5541</v>
      </c>
      <c r="D964" s="1790">
        <v>1.8298611111111113E-2</v>
      </c>
      <c r="E964" s="1539" t="s">
        <v>12482</v>
      </c>
      <c r="F964" s="1554" t="s">
        <v>12483</v>
      </c>
      <c r="G964" s="1826">
        <v>0.66920000000000002</v>
      </c>
      <c r="H964" s="1554"/>
      <c r="I964" s="1489"/>
      <c r="J964" s="1370"/>
      <c r="K964" s="1370"/>
    </row>
    <row r="965" spans="1:24" s="80" customFormat="1" x14ac:dyDescent="0.2">
      <c r="A965" s="1384">
        <v>43568</v>
      </c>
      <c r="B965" s="1489" t="s">
        <v>5540</v>
      </c>
      <c r="C965" s="1489" t="s">
        <v>5541</v>
      </c>
      <c r="D965" s="1790">
        <v>1.8692129629629631E-2</v>
      </c>
      <c r="E965" s="1539" t="s">
        <v>12423</v>
      </c>
      <c r="F965" s="1554" t="s">
        <v>12422</v>
      </c>
      <c r="G965" s="1826">
        <v>0.65510000000000002</v>
      </c>
      <c r="H965" s="1554"/>
      <c r="I965" s="1370"/>
      <c r="J965" s="1370"/>
      <c r="K965" s="1370"/>
    </row>
    <row r="966" spans="1:24" s="80" customFormat="1" x14ac:dyDescent="0.2">
      <c r="A966" s="1384">
        <v>43561</v>
      </c>
      <c r="B966" s="1489" t="s">
        <v>5540</v>
      </c>
      <c r="C966" s="1489" t="s">
        <v>5541</v>
      </c>
      <c r="D966" s="1790">
        <v>1.8634259259259257E-2</v>
      </c>
      <c r="E966" s="1539" t="s">
        <v>12330</v>
      </c>
      <c r="F966" s="1554" t="s">
        <v>12310</v>
      </c>
      <c r="G966" s="1826">
        <v>0.65710000000000002</v>
      </c>
      <c r="H966" s="1554"/>
      <c r="I966" s="1370" t="s">
        <v>12340</v>
      </c>
      <c r="J966" s="1370"/>
      <c r="K966" s="1370"/>
      <c r="L966" s="1370"/>
      <c r="M966" s="1370"/>
      <c r="N966" s="1370"/>
      <c r="O966" s="1370"/>
      <c r="P966" s="1370"/>
      <c r="Q966" s="1370"/>
      <c r="R966" s="1370"/>
      <c r="S966" s="1370"/>
      <c r="T966" s="1370"/>
      <c r="U966" s="1370"/>
      <c r="V966" s="1370"/>
      <c r="W966" s="1370"/>
      <c r="X966" s="1370"/>
    </row>
    <row r="967" spans="1:24" s="80" customFormat="1" x14ac:dyDescent="0.2">
      <c r="A967" s="1384">
        <v>43554</v>
      </c>
      <c r="B967" s="1489" t="s">
        <v>5540</v>
      </c>
      <c r="C967" s="1489" t="s">
        <v>5541</v>
      </c>
      <c r="D967" s="1790">
        <v>1.9027777777777779E-2</v>
      </c>
      <c r="E967" s="1539" t="s">
        <v>12223</v>
      </c>
      <c r="F967" s="1554" t="s">
        <v>12279</v>
      </c>
      <c r="G967" s="1826">
        <v>0.64359999999999995</v>
      </c>
      <c r="H967" s="1554"/>
      <c r="I967" s="1370"/>
      <c r="J967" s="1370"/>
      <c r="K967" s="1370"/>
      <c r="L967" s="1370"/>
      <c r="M967" s="1370"/>
      <c r="N967" s="1370"/>
      <c r="O967" s="1370"/>
      <c r="P967" s="1370"/>
      <c r="Q967" s="1370"/>
      <c r="R967" s="1370"/>
      <c r="S967" s="1370"/>
      <c r="T967" s="1370"/>
      <c r="U967" s="1370"/>
      <c r="V967" s="1370"/>
      <c r="W967" s="1370"/>
      <c r="X967" s="1370"/>
    </row>
    <row r="968" spans="1:24" s="80" customFormat="1" x14ac:dyDescent="0.2">
      <c r="A968" s="1384">
        <v>43526</v>
      </c>
      <c r="B968" s="1489" t="s">
        <v>5540</v>
      </c>
      <c r="C968" s="1489" t="s">
        <v>5541</v>
      </c>
      <c r="D968" s="1790">
        <v>1.8854166666666665E-2</v>
      </c>
      <c r="E968" s="1539" t="s">
        <v>11949</v>
      </c>
      <c r="F968" s="1554" t="s">
        <v>11948</v>
      </c>
      <c r="G968" s="1826">
        <v>0.64949999999999997</v>
      </c>
      <c r="H968" s="1554"/>
      <c r="I968" s="1370"/>
      <c r="J968" s="1370"/>
      <c r="K968" s="1370"/>
      <c r="L968" s="1370"/>
      <c r="M968" s="1370"/>
      <c r="N968" s="1370"/>
      <c r="O968" s="1370"/>
      <c r="P968" s="1370"/>
      <c r="Q968" s="1370"/>
      <c r="R968" s="1370"/>
      <c r="S968" s="1370"/>
      <c r="T968" s="1370"/>
      <c r="U968" s="1370"/>
      <c r="V968" s="1370"/>
      <c r="W968" s="1370"/>
      <c r="X968" s="1370"/>
    </row>
    <row r="969" spans="1:24" s="80" customFormat="1" x14ac:dyDescent="0.2">
      <c r="A969" s="1384">
        <v>43512</v>
      </c>
      <c r="B969" s="1489" t="s">
        <v>5540</v>
      </c>
      <c r="C969" s="1489" t="s">
        <v>5541</v>
      </c>
      <c r="D969" s="1790">
        <v>1.8726851851851852E-2</v>
      </c>
      <c r="E969" s="1539" t="s">
        <v>2627</v>
      </c>
      <c r="F969" s="1554" t="s">
        <v>11825</v>
      </c>
      <c r="G969" s="1826">
        <v>0.65390000000000004</v>
      </c>
      <c r="H969" s="1554"/>
      <c r="I969" s="1370"/>
      <c r="J969" s="1370"/>
      <c r="K969" s="1370"/>
      <c r="L969" s="1370"/>
      <c r="M969" s="1370"/>
      <c r="N969" s="1370"/>
      <c r="O969" s="1370"/>
      <c r="P969" s="1370"/>
      <c r="Q969" s="1370"/>
      <c r="R969" s="1370"/>
      <c r="S969" s="1370"/>
      <c r="T969" s="1370"/>
      <c r="U969" s="1370"/>
      <c r="V969" s="1370"/>
      <c r="W969" s="1370"/>
      <c r="X969" s="1370"/>
    </row>
    <row r="970" spans="1:24" s="80" customFormat="1" x14ac:dyDescent="0.2">
      <c r="A970" s="1384">
        <v>43491</v>
      </c>
      <c r="B970" s="1489" t="s">
        <v>5540</v>
      </c>
      <c r="C970" s="1489" t="s">
        <v>5541</v>
      </c>
      <c r="D970" s="1790">
        <v>1.9317129629629629E-2</v>
      </c>
      <c r="E970" s="1539" t="s">
        <v>2627</v>
      </c>
      <c r="F970" s="1761" t="s">
        <v>11686</v>
      </c>
      <c r="G970" s="1826">
        <v>0.63390000000000002</v>
      </c>
      <c r="H970" s="1554"/>
      <c r="I970" s="1370"/>
      <c r="J970" s="1370"/>
      <c r="K970" s="1370"/>
      <c r="L970" s="1370"/>
      <c r="M970" s="1370"/>
      <c r="N970" s="1370"/>
      <c r="O970" s="1370"/>
      <c r="P970" s="1370"/>
      <c r="Q970" s="1370"/>
      <c r="R970" s="1370"/>
      <c r="S970" s="1370"/>
      <c r="T970" s="1370"/>
      <c r="U970" s="1370"/>
      <c r="V970" s="1370"/>
      <c r="W970" s="1370"/>
      <c r="X970" s="1370"/>
    </row>
    <row r="971" spans="1:24" s="80" customFormat="1" x14ac:dyDescent="0.2">
      <c r="A971" s="1384">
        <v>43466</v>
      </c>
      <c r="B971" s="1489" t="s">
        <v>5540</v>
      </c>
      <c r="C971" s="1489" t="s">
        <v>5541</v>
      </c>
      <c r="D971" s="1790">
        <v>1.9247685185185184E-2</v>
      </c>
      <c r="E971" s="1539" t="s">
        <v>11498</v>
      </c>
      <c r="F971" s="1554" t="s">
        <v>11527</v>
      </c>
      <c r="G971" s="1826">
        <v>0.63619999999999999</v>
      </c>
      <c r="H971" s="1554"/>
      <c r="I971" s="1370"/>
      <c r="J971" s="1370"/>
      <c r="K971" s="1370"/>
      <c r="L971" s="1370"/>
      <c r="M971" s="1370"/>
      <c r="N971" s="1370"/>
      <c r="O971" s="1370"/>
      <c r="P971" s="1370"/>
      <c r="Q971" s="1370"/>
      <c r="R971" s="1370"/>
      <c r="S971" s="1370"/>
      <c r="T971" s="1370"/>
      <c r="U971" s="1370"/>
      <c r="V971" s="1370"/>
      <c r="W971" s="1370"/>
      <c r="X971" s="1370"/>
    </row>
    <row r="972" spans="1:24" s="80" customFormat="1" x14ac:dyDescent="0.2">
      <c r="A972" s="523">
        <v>43659</v>
      </c>
      <c r="B972" s="1370" t="s">
        <v>3543</v>
      </c>
      <c r="C972" s="1489" t="s">
        <v>3100</v>
      </c>
      <c r="D972" s="1734">
        <v>1.59375E-2</v>
      </c>
      <c r="E972" s="1539" t="s">
        <v>13135</v>
      </c>
      <c r="F972" s="1554" t="s">
        <v>13176</v>
      </c>
      <c r="G972" s="1826">
        <v>0.66379999999999995</v>
      </c>
      <c r="H972" s="1580"/>
      <c r="I972" s="1489"/>
    </row>
    <row r="973" spans="1:24" s="80" customFormat="1" x14ac:dyDescent="0.2">
      <c r="A973" s="523">
        <v>43645</v>
      </c>
      <c r="B973" s="1370" t="s">
        <v>3543</v>
      </c>
      <c r="C973" s="1489" t="s">
        <v>3100</v>
      </c>
      <c r="D973" s="1734">
        <v>1.5960648148148151E-2</v>
      </c>
      <c r="E973" s="1557" t="s">
        <v>13022</v>
      </c>
      <c r="F973" s="1554" t="s">
        <v>2629</v>
      </c>
      <c r="G973" s="1826">
        <v>0.66279999999999994</v>
      </c>
      <c r="H973" s="1580"/>
      <c r="I973" s="80" t="s">
        <v>13055</v>
      </c>
      <c r="L973" s="1370"/>
      <c r="M973" s="1370"/>
      <c r="N973" s="1370"/>
      <c r="O973" s="1370"/>
      <c r="P973" s="1370"/>
      <c r="Q973" s="1370"/>
      <c r="R973" s="1370"/>
      <c r="S973" s="1370"/>
      <c r="T973" s="1370"/>
      <c r="U973" s="1370"/>
      <c r="V973" s="1370"/>
      <c r="W973" s="1370"/>
      <c r="X973" s="1370"/>
    </row>
    <row r="974" spans="1:24" s="80" customFormat="1" x14ac:dyDescent="0.2">
      <c r="A974" s="1384">
        <v>43554</v>
      </c>
      <c r="B974" s="1370" t="s">
        <v>3543</v>
      </c>
      <c r="C974" s="1489" t="s">
        <v>3100</v>
      </c>
      <c r="D974" s="1790">
        <v>1.638888888888889E-2</v>
      </c>
      <c r="E974" s="1539" t="s">
        <v>12221</v>
      </c>
      <c r="F974" s="1554" t="s">
        <v>12281</v>
      </c>
      <c r="G974" s="1826">
        <v>0.64049999999999996</v>
      </c>
      <c r="H974" s="1554"/>
      <c r="I974" s="1370"/>
      <c r="J974" s="1370"/>
      <c r="K974" s="1370"/>
      <c r="L974" s="1370"/>
      <c r="M974" s="1370"/>
      <c r="N974" s="1370"/>
      <c r="O974" s="1370"/>
      <c r="P974" s="1370"/>
      <c r="Q974" s="1370"/>
      <c r="R974" s="1370"/>
      <c r="S974" s="1370"/>
      <c r="T974" s="1370"/>
      <c r="U974" s="1370"/>
      <c r="V974" s="1370"/>
      <c r="W974" s="1370"/>
      <c r="X974" s="1370"/>
    </row>
    <row r="975" spans="1:24" s="80" customFormat="1" x14ac:dyDescent="0.2">
      <c r="A975" s="1729">
        <v>43827</v>
      </c>
      <c r="B975" s="1489" t="s">
        <v>5980</v>
      </c>
      <c r="C975" s="1489" t="s">
        <v>4818</v>
      </c>
      <c r="D975" s="1734" t="s">
        <v>787</v>
      </c>
      <c r="E975" s="1752" t="s">
        <v>5656</v>
      </c>
      <c r="F975" s="1553" t="s">
        <v>16204</v>
      </c>
      <c r="G975" s="1827"/>
      <c r="H975" s="1762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</row>
    <row r="976" spans="1:24" s="80" customFormat="1" x14ac:dyDescent="0.2">
      <c r="A976" s="34">
        <v>43824</v>
      </c>
      <c r="B976" s="1489" t="s">
        <v>5980</v>
      </c>
      <c r="C976" s="1489" t="s">
        <v>4818</v>
      </c>
      <c r="D976" s="1573">
        <v>2.3518518518518518E-2</v>
      </c>
      <c r="E976" s="1539" t="s">
        <v>16369</v>
      </c>
      <c r="F976" s="1554" t="s">
        <v>16391</v>
      </c>
      <c r="G976" s="1827">
        <v>0.58120000000000005</v>
      </c>
      <c r="H976" s="1553" t="s">
        <v>16357</v>
      </c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</row>
    <row r="977" spans="1:24" s="80" customFormat="1" x14ac:dyDescent="0.2">
      <c r="A977" s="1765">
        <v>43813</v>
      </c>
      <c r="B977" s="1489" t="s">
        <v>5980</v>
      </c>
      <c r="C977" s="1489" t="s">
        <v>4818</v>
      </c>
      <c r="D977" s="1573">
        <v>2.3854166666666669E-2</v>
      </c>
      <c r="E977" s="1539" t="s">
        <v>16276</v>
      </c>
      <c r="F977" s="1553" t="s">
        <v>16286</v>
      </c>
      <c r="G977" s="1827">
        <v>0.57299999999999995</v>
      </c>
      <c r="H977" s="1553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</row>
    <row r="978" spans="1:24" s="80" customFormat="1" x14ac:dyDescent="0.2">
      <c r="A978" s="34">
        <v>43806</v>
      </c>
      <c r="B978" s="1489" t="s">
        <v>5980</v>
      </c>
      <c r="C978" s="1489" t="s">
        <v>4818</v>
      </c>
      <c r="D978" s="1573"/>
      <c r="E978" s="1752" t="s">
        <v>5656</v>
      </c>
      <c r="F978" s="1553" t="s">
        <v>16204</v>
      </c>
      <c r="G978" s="1827"/>
      <c r="H978" s="1762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</row>
    <row r="979" spans="1:24" s="80" customFormat="1" x14ac:dyDescent="0.2">
      <c r="A979" s="1729">
        <v>43799</v>
      </c>
      <c r="B979" s="1489" t="s">
        <v>5980</v>
      </c>
      <c r="C979" s="1489" t="s">
        <v>4818</v>
      </c>
      <c r="D979" s="1745">
        <v>2.5347222222222222E-2</v>
      </c>
      <c r="E979" s="1747" t="s">
        <v>16148</v>
      </c>
      <c r="F979" s="1580" t="s">
        <v>16188</v>
      </c>
      <c r="G979" s="1828">
        <v>0.5393</v>
      </c>
      <c r="H979" s="1762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</row>
    <row r="980" spans="1:24" s="80" customFormat="1" x14ac:dyDescent="0.2">
      <c r="A980" s="1751">
        <v>43792</v>
      </c>
      <c r="B980" s="1489" t="s">
        <v>5980</v>
      </c>
      <c r="C980" s="1489" t="s">
        <v>4818</v>
      </c>
      <c r="D980" s="1789">
        <v>2.2546296296296297E-2</v>
      </c>
      <c r="E980" s="1539" t="s">
        <v>16077</v>
      </c>
      <c r="F980" s="1553" t="s">
        <v>16118</v>
      </c>
      <c r="G980" s="1827">
        <v>0.60629999999999995</v>
      </c>
      <c r="H980" s="1762"/>
      <c r="I980" s="1486" t="s">
        <v>16123</v>
      </c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</row>
    <row r="981" spans="1:24" s="80" customFormat="1" x14ac:dyDescent="0.2">
      <c r="A981" s="1673">
        <v>43785</v>
      </c>
      <c r="B981" s="1489" t="s">
        <v>5980</v>
      </c>
      <c r="C981" s="1489" t="s">
        <v>4818</v>
      </c>
      <c r="D981" s="1736" t="s">
        <v>787</v>
      </c>
      <c r="E981" s="1747" t="s">
        <v>5656</v>
      </c>
      <c r="F981" s="1762" t="s">
        <v>16000</v>
      </c>
      <c r="G981" s="1828"/>
      <c r="H981" s="1762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</row>
    <row r="982" spans="1:24" s="80" customFormat="1" x14ac:dyDescent="0.2">
      <c r="A982" s="1384">
        <v>43778</v>
      </c>
      <c r="B982" s="1489" t="s">
        <v>5980</v>
      </c>
      <c r="C982" s="1489" t="s">
        <v>4818</v>
      </c>
      <c r="D982" s="1738">
        <v>2.2210648148148149E-2</v>
      </c>
      <c r="E982" s="1740" t="s">
        <v>15949</v>
      </c>
      <c r="F982" s="1742" t="s">
        <v>15985</v>
      </c>
      <c r="G982" s="1830">
        <v>0.61539999999999995</v>
      </c>
      <c r="H982" s="1554"/>
      <c r="I982" s="1370"/>
      <c r="J982" s="1370"/>
      <c r="K982" s="1370"/>
      <c r="L982" s="1370"/>
      <c r="M982" s="1370"/>
      <c r="N982" s="1370"/>
      <c r="O982" s="1370"/>
      <c r="P982" s="1370"/>
      <c r="Q982" s="1370"/>
      <c r="R982" s="1370"/>
      <c r="S982" s="1370"/>
      <c r="T982" s="1370"/>
      <c r="U982" s="1370"/>
      <c r="V982" s="1370"/>
      <c r="W982" s="1370"/>
      <c r="X982" s="1370"/>
    </row>
    <row r="983" spans="1:24" s="80" customFormat="1" x14ac:dyDescent="0.2">
      <c r="A983" s="523">
        <v>43757</v>
      </c>
      <c r="B983" s="1489" t="s">
        <v>5980</v>
      </c>
      <c r="C983" s="1489" t="s">
        <v>4818</v>
      </c>
      <c r="D983" s="1734">
        <v>2.2314814814814812E-2</v>
      </c>
      <c r="E983" s="1539" t="s">
        <v>15857</v>
      </c>
      <c r="F983" s="1554"/>
      <c r="G983" s="1826">
        <v>0.61260000000000003</v>
      </c>
      <c r="H983" s="1554"/>
      <c r="I983" s="1489"/>
      <c r="J983" s="1489"/>
      <c r="K983" s="1489"/>
    </row>
    <row r="984" spans="1:24" s="80" customFormat="1" x14ac:dyDescent="0.2">
      <c r="A984" s="523">
        <v>43757</v>
      </c>
      <c r="B984" s="1489" t="s">
        <v>5980</v>
      </c>
      <c r="C984" s="1489" t="s">
        <v>4818</v>
      </c>
      <c r="D984" s="1734">
        <v>2.2314814814814812E-2</v>
      </c>
      <c r="E984" s="1539" t="s">
        <v>15857</v>
      </c>
      <c r="F984" s="1554"/>
      <c r="G984" s="1826">
        <v>0.61260000000000003</v>
      </c>
      <c r="H984" s="1554"/>
      <c r="I984" s="1489"/>
      <c r="J984" s="1489"/>
      <c r="K984" s="1489"/>
    </row>
    <row r="985" spans="1:24" s="80" customFormat="1" x14ac:dyDescent="0.2">
      <c r="A985" s="523">
        <v>43750</v>
      </c>
      <c r="B985" s="1489" t="s">
        <v>5980</v>
      </c>
      <c r="C985" s="1489" t="s">
        <v>4818</v>
      </c>
      <c r="D985" s="1734">
        <v>2.2523148148148146E-2</v>
      </c>
      <c r="E985" s="1539" t="s">
        <v>15789</v>
      </c>
      <c r="F985" s="1554"/>
      <c r="G985" s="1826">
        <v>0.6069</v>
      </c>
      <c r="H985" s="1580"/>
    </row>
    <row r="986" spans="1:24" s="80" customFormat="1" x14ac:dyDescent="0.2">
      <c r="A986" s="1729">
        <v>43743</v>
      </c>
      <c r="B986" s="1489" t="s">
        <v>5980</v>
      </c>
      <c r="C986" s="1489" t="s">
        <v>4818</v>
      </c>
      <c r="D986" s="1735">
        <v>2.3136574074074077E-2</v>
      </c>
      <c r="E986" s="1557" t="s">
        <v>15703</v>
      </c>
      <c r="F986" s="1580" t="s">
        <v>15742</v>
      </c>
      <c r="G986" s="1829">
        <v>0.59079999999999999</v>
      </c>
      <c r="H986" s="1580"/>
    </row>
    <row r="987" spans="1:24" s="80" customFormat="1" x14ac:dyDescent="0.2">
      <c r="A987" s="1729">
        <v>43736</v>
      </c>
      <c r="B987" s="1489" t="s">
        <v>5980</v>
      </c>
      <c r="C987" s="1489" t="s">
        <v>4818</v>
      </c>
      <c r="D987" s="1734">
        <v>2.1724537037037039E-2</v>
      </c>
      <c r="E987" s="1539" t="s">
        <v>15633</v>
      </c>
      <c r="F987" s="1554" t="s">
        <v>15680</v>
      </c>
      <c r="G987" s="1826">
        <v>0.62919999999999998</v>
      </c>
      <c r="H987" s="1580"/>
    </row>
    <row r="988" spans="1:24" s="80" customFormat="1" x14ac:dyDescent="0.2">
      <c r="A988" s="1729">
        <v>43729</v>
      </c>
      <c r="B988" s="1489" t="s">
        <v>5980</v>
      </c>
      <c r="C988" s="1489" t="s">
        <v>4818</v>
      </c>
      <c r="D988" s="1734">
        <v>2.3263888888888886E-2</v>
      </c>
      <c r="E988" s="1539" t="s">
        <v>15572</v>
      </c>
      <c r="F988" s="1554" t="s">
        <v>15609</v>
      </c>
      <c r="G988" s="1826">
        <v>0.58760000000000001</v>
      </c>
      <c r="H988" s="1580"/>
    </row>
    <row r="989" spans="1:24" s="80" customFormat="1" x14ac:dyDescent="0.2">
      <c r="A989" s="523">
        <v>43722</v>
      </c>
      <c r="B989" s="1489" t="s">
        <v>5980</v>
      </c>
      <c r="C989" s="1489" t="s">
        <v>4818</v>
      </c>
      <c r="D989" s="1734">
        <v>2.3344907407407408E-2</v>
      </c>
      <c r="E989" s="1539" t="s">
        <v>15457</v>
      </c>
      <c r="F989" s="1554" t="s">
        <v>15497</v>
      </c>
      <c r="G989" s="1826">
        <v>0.58550000000000002</v>
      </c>
      <c r="H989" s="1580"/>
      <c r="I989" s="1514"/>
    </row>
    <row r="990" spans="1:24" s="80" customFormat="1" x14ac:dyDescent="0.2">
      <c r="A990" s="1526">
        <v>43708</v>
      </c>
      <c r="B990" s="1489" t="s">
        <v>5980</v>
      </c>
      <c r="C990" s="1489" t="s">
        <v>4818</v>
      </c>
      <c r="D990" s="1734">
        <v>2.3368055555555555E-2</v>
      </c>
      <c r="E990" s="1539" t="s">
        <v>15355</v>
      </c>
      <c r="F990" s="1554"/>
      <c r="G990" s="1826">
        <v>0.58489999999999998</v>
      </c>
      <c r="H990" s="1554"/>
      <c r="I990" s="1489"/>
      <c r="J990" s="1489"/>
    </row>
    <row r="991" spans="1:24" s="80" customFormat="1" x14ac:dyDescent="0.2">
      <c r="A991" s="1526">
        <v>43701</v>
      </c>
      <c r="B991" s="1489" t="s">
        <v>5980</v>
      </c>
      <c r="C991" s="1489" t="s">
        <v>4818</v>
      </c>
      <c r="D991" s="1734">
        <v>2.4988425925925928E-2</v>
      </c>
      <c r="E991" s="1539" t="s">
        <v>15282</v>
      </c>
      <c r="F991" s="1554" t="s">
        <v>15329</v>
      </c>
      <c r="G991" s="1826">
        <v>0.54700000000000004</v>
      </c>
      <c r="H991" s="1580"/>
    </row>
    <row r="992" spans="1:24" s="80" customFormat="1" x14ac:dyDescent="0.2">
      <c r="A992" s="523">
        <v>43694</v>
      </c>
      <c r="B992" s="1489" t="s">
        <v>5980</v>
      </c>
      <c r="C992" s="1489" t="s">
        <v>4818</v>
      </c>
      <c r="D992" s="1790">
        <v>3.0462962962962963E-2</v>
      </c>
      <c r="E992" s="1539" t="s">
        <v>15159</v>
      </c>
      <c r="F992" s="1554" t="s">
        <v>15177</v>
      </c>
      <c r="G992" s="1826">
        <v>0.44869999999999999</v>
      </c>
      <c r="H992" s="1580"/>
    </row>
    <row r="993" spans="1:24" s="80" customFormat="1" x14ac:dyDescent="0.2">
      <c r="A993" s="523">
        <v>43687</v>
      </c>
      <c r="B993" s="1489" t="s">
        <v>5980</v>
      </c>
      <c r="C993" s="1489" t="s">
        <v>4818</v>
      </c>
      <c r="D993" s="1686">
        <v>2.3356481481481482E-2</v>
      </c>
      <c r="E993" s="1489" t="s">
        <v>13428</v>
      </c>
      <c r="F993" s="1489" t="s">
        <v>13464</v>
      </c>
      <c r="G993" s="1815">
        <v>0.58520000000000005</v>
      </c>
      <c r="H993" s="1514"/>
      <c r="I993" s="1514"/>
    </row>
    <row r="994" spans="1:24" s="80" customFormat="1" x14ac:dyDescent="0.2">
      <c r="A994" s="1384">
        <v>43680</v>
      </c>
      <c r="B994" s="1489" t="s">
        <v>5980</v>
      </c>
      <c r="C994" s="1489" t="s">
        <v>4818</v>
      </c>
      <c r="D994" s="1686">
        <v>2.34375E-2</v>
      </c>
      <c r="E994" s="1489" t="s">
        <v>13350</v>
      </c>
      <c r="F994" s="1489" t="s">
        <v>13379</v>
      </c>
      <c r="G994" s="1815">
        <v>0.58320000000000005</v>
      </c>
      <c r="H994" s="1514"/>
    </row>
    <row r="995" spans="1:24" s="80" customFormat="1" x14ac:dyDescent="0.2">
      <c r="A995" s="523">
        <v>43666</v>
      </c>
      <c r="B995" s="1489" t="s">
        <v>5980</v>
      </c>
      <c r="C995" s="1489" t="s">
        <v>4818</v>
      </c>
      <c r="D995" s="1686">
        <v>2.4178240740740743E-2</v>
      </c>
      <c r="E995" s="1489" t="s">
        <v>13206</v>
      </c>
      <c r="F995" s="1489" t="s">
        <v>13228</v>
      </c>
      <c r="G995" s="1815">
        <v>0.56530000000000002</v>
      </c>
      <c r="H995" s="1514"/>
    </row>
    <row r="996" spans="1:24" s="80" customFormat="1" x14ac:dyDescent="0.2">
      <c r="A996" s="523">
        <v>43652</v>
      </c>
      <c r="B996" s="1489" t="s">
        <v>5980</v>
      </c>
      <c r="C996" s="1489" t="s">
        <v>4818</v>
      </c>
      <c r="D996" s="1686">
        <v>2.2685185185185183E-2</v>
      </c>
      <c r="E996" s="1489" t="s">
        <v>13070</v>
      </c>
      <c r="F996" s="1489"/>
      <c r="G996" s="1815">
        <v>0.60260000000000002</v>
      </c>
      <c r="H996" s="1489"/>
    </row>
    <row r="997" spans="1:24" s="80" customFormat="1" x14ac:dyDescent="0.2">
      <c r="A997" s="523">
        <v>43645</v>
      </c>
      <c r="B997" s="1489" t="s">
        <v>5980</v>
      </c>
      <c r="C997" s="1489" t="s">
        <v>4818</v>
      </c>
      <c r="D997" s="1686">
        <v>2.3854166666666669E-2</v>
      </c>
      <c r="E997" s="1514" t="s">
        <v>13035</v>
      </c>
      <c r="F997" s="1514"/>
      <c r="G997" s="1815">
        <v>0.57299999999999995</v>
      </c>
      <c r="H997" s="1514"/>
    </row>
    <row r="998" spans="1:24" s="80" customFormat="1" x14ac:dyDescent="0.2">
      <c r="A998" s="523">
        <v>43631</v>
      </c>
      <c r="B998" s="1489" t="s">
        <v>5980</v>
      </c>
      <c r="C998" s="1489" t="s">
        <v>4818</v>
      </c>
      <c r="D998" s="1835">
        <v>2.4201388888888887E-2</v>
      </c>
      <c r="E998" s="1569" t="s">
        <v>12930</v>
      </c>
      <c r="F998" s="1569" t="s">
        <v>12943</v>
      </c>
      <c r="G998" s="1818">
        <v>0.56479999999999997</v>
      </c>
      <c r="H998" s="1514"/>
    </row>
    <row r="999" spans="1:24" s="80" customFormat="1" x14ac:dyDescent="0.2">
      <c r="A999" s="1384">
        <v>43617</v>
      </c>
      <c r="B999" s="1489" t="s">
        <v>5980</v>
      </c>
      <c r="C999" s="1489" t="s">
        <v>4818</v>
      </c>
      <c r="D999" s="1836">
        <v>2.3159722222222224E-2</v>
      </c>
      <c r="E999" s="1568" t="s">
        <v>12802</v>
      </c>
      <c r="F999" s="1568" t="s">
        <v>12792</v>
      </c>
      <c r="G999" s="1819">
        <v>0.59019999999999995</v>
      </c>
      <c r="H999" s="1489"/>
      <c r="I999" s="1489"/>
      <c r="J999" s="1370"/>
      <c r="K999" s="1370"/>
    </row>
    <row r="1000" spans="1:24" s="80" customFormat="1" x14ac:dyDescent="0.2">
      <c r="A1000" s="1384">
        <v>43603</v>
      </c>
      <c r="B1000" s="1489" t="s">
        <v>5980</v>
      </c>
      <c r="C1000" s="1489" t="s">
        <v>4818</v>
      </c>
      <c r="D1000" s="1733">
        <v>2.1828703703703701E-2</v>
      </c>
      <c r="E1000" s="1489" t="s">
        <v>12685</v>
      </c>
      <c r="F1000" s="1489"/>
      <c r="G1000" s="1815">
        <v>0.62619999999999998</v>
      </c>
      <c r="H1000" s="1489"/>
      <c r="I1000" s="1370"/>
      <c r="J1000" s="1370"/>
      <c r="K1000" s="1370"/>
    </row>
    <row r="1001" spans="1:24" s="80" customFormat="1" x14ac:dyDescent="0.2">
      <c r="A1001" s="1384">
        <v>43582</v>
      </c>
      <c r="B1001" s="1489" t="s">
        <v>5980</v>
      </c>
      <c r="C1001" s="1489" t="s">
        <v>4818</v>
      </c>
      <c r="D1001" s="1733">
        <v>2.1678240740740738E-2</v>
      </c>
      <c r="E1001" s="1489" t="s">
        <v>668</v>
      </c>
      <c r="F1001" s="1489" t="s">
        <v>12623</v>
      </c>
      <c r="G1001" s="1815">
        <v>0.63049999999999995</v>
      </c>
      <c r="H1001" s="1489"/>
      <c r="I1001" s="1370"/>
      <c r="J1001" s="1370"/>
      <c r="K1001" s="1370"/>
      <c r="L1001" s="1370"/>
      <c r="M1001" s="1370"/>
      <c r="N1001" s="1370"/>
      <c r="O1001" s="1370"/>
      <c r="P1001" s="1370"/>
      <c r="Q1001" s="1370"/>
      <c r="R1001" s="1370"/>
      <c r="S1001" s="1370"/>
      <c r="T1001" s="1370"/>
      <c r="U1001" s="1370"/>
      <c r="V1001" s="1370"/>
      <c r="W1001" s="1370"/>
      <c r="X1001" s="1370"/>
    </row>
    <row r="1002" spans="1:24" s="80" customFormat="1" x14ac:dyDescent="0.2">
      <c r="A1002" s="1384">
        <v>43561</v>
      </c>
      <c r="B1002" s="1489" t="s">
        <v>5980</v>
      </c>
      <c r="C1002" s="1489" t="s">
        <v>4818</v>
      </c>
      <c r="D1002" s="1733">
        <v>2.224537037037037E-2</v>
      </c>
      <c r="E1002" s="1489" t="s">
        <v>12346</v>
      </c>
      <c r="F1002" s="1489" t="s">
        <v>12345</v>
      </c>
      <c r="G1002" s="1815">
        <v>0.61450000000000005</v>
      </c>
      <c r="H1002" s="1489"/>
      <c r="I1002" s="1370"/>
      <c r="J1002" s="1370"/>
      <c r="K1002" s="1370"/>
    </row>
    <row r="1003" spans="1:24" s="80" customFormat="1" x14ac:dyDescent="0.2">
      <c r="A1003" s="1384">
        <v>43554</v>
      </c>
      <c r="B1003" s="1489" t="s">
        <v>5980</v>
      </c>
      <c r="C1003" s="1489" t="s">
        <v>4818</v>
      </c>
      <c r="D1003" s="1733">
        <v>2.1840277777777778E-2</v>
      </c>
      <c r="E1003" s="1489" t="s">
        <v>12255</v>
      </c>
      <c r="F1003" s="1489" t="s">
        <v>12254</v>
      </c>
      <c r="G1003" s="1815">
        <v>0.62590000000000001</v>
      </c>
      <c r="H1003" s="1489"/>
      <c r="I1003" s="1370"/>
      <c r="J1003" s="1370"/>
      <c r="K1003" s="1370"/>
    </row>
    <row r="1004" spans="1:24" s="80" customFormat="1" x14ac:dyDescent="0.2">
      <c r="A1004" s="1384">
        <v>43547</v>
      </c>
      <c r="B1004" s="1489" t="s">
        <v>5980</v>
      </c>
      <c r="C1004" s="1489" t="s">
        <v>4818</v>
      </c>
      <c r="D1004" s="1733">
        <v>2.1770833333333336E-2</v>
      </c>
      <c r="E1004" s="1489" t="s">
        <v>12200</v>
      </c>
      <c r="F1004" s="1489" t="s">
        <v>12201</v>
      </c>
      <c r="G1004" s="1815">
        <v>0.62790000000000001</v>
      </c>
      <c r="H1004" s="1489"/>
      <c r="I1004" s="1370"/>
      <c r="J1004" s="1370"/>
      <c r="K1004" s="1370"/>
    </row>
    <row r="1005" spans="1:24" s="80" customFormat="1" x14ac:dyDescent="0.2">
      <c r="A1005" s="1384">
        <v>43526</v>
      </c>
      <c r="B1005" s="1489" t="s">
        <v>5980</v>
      </c>
      <c r="C1005" s="1489" t="s">
        <v>4818</v>
      </c>
      <c r="D1005" s="1733">
        <v>2.2337962962962962E-2</v>
      </c>
      <c r="E1005" s="1489" t="s">
        <v>11941</v>
      </c>
      <c r="F1005" s="1489" t="s">
        <v>11929</v>
      </c>
      <c r="G1005" s="1815">
        <v>0.6119</v>
      </c>
      <c r="H1005" s="1489"/>
      <c r="I1005" s="1370"/>
      <c r="J1005" s="1370"/>
      <c r="K1005" s="1370"/>
    </row>
    <row r="1006" spans="1:24" s="80" customFormat="1" x14ac:dyDescent="0.2">
      <c r="A1006" s="1384">
        <v>43519</v>
      </c>
      <c r="B1006" s="1489" t="s">
        <v>5980</v>
      </c>
      <c r="C1006" s="1489" t="s">
        <v>4818</v>
      </c>
      <c r="D1006" s="1733">
        <v>2.2997685185185187E-2</v>
      </c>
      <c r="E1006" s="1489" t="s">
        <v>11405</v>
      </c>
      <c r="F1006" s="1489" t="s">
        <v>11899</v>
      </c>
      <c r="G1006" s="1815">
        <v>0.59440000000000004</v>
      </c>
      <c r="H1006" s="1489"/>
      <c r="I1006" s="1489"/>
      <c r="J1006" s="1370"/>
      <c r="K1006" s="1370"/>
    </row>
    <row r="1007" spans="1:24" s="80" customFormat="1" x14ac:dyDescent="0.2">
      <c r="A1007" s="1384">
        <v>43512</v>
      </c>
      <c r="B1007" s="1489" t="s">
        <v>5980</v>
      </c>
      <c r="C1007" s="1489" t="s">
        <v>4818</v>
      </c>
      <c r="D1007" s="1733">
        <v>2.2094907407407407E-2</v>
      </c>
      <c r="E1007" s="1489" t="s">
        <v>5656</v>
      </c>
      <c r="F1007" s="1489" t="s">
        <v>11842</v>
      </c>
      <c r="G1007" s="1815">
        <v>0.61860000000000004</v>
      </c>
      <c r="H1007" s="1489"/>
      <c r="I1007" s="1370"/>
      <c r="J1007" s="1370"/>
      <c r="K1007" s="1370"/>
    </row>
    <row r="1008" spans="1:24" s="80" customFormat="1" x14ac:dyDescent="0.2">
      <c r="A1008" s="1384">
        <v>43505</v>
      </c>
      <c r="B1008" s="1489" t="s">
        <v>5980</v>
      </c>
      <c r="C1008" s="1489" t="s">
        <v>4818</v>
      </c>
      <c r="D1008" s="1733">
        <v>2.2800925925925929E-2</v>
      </c>
      <c r="E1008" s="1489" t="s">
        <v>5656</v>
      </c>
      <c r="F1008" s="1489" t="s">
        <v>11843</v>
      </c>
      <c r="G1008" s="1815">
        <v>0.59950000000000003</v>
      </c>
      <c r="H1008" s="1489"/>
      <c r="I1008" s="1489"/>
      <c r="J1008" s="1370"/>
      <c r="K1008" s="1370"/>
    </row>
    <row r="1009" spans="1:24" s="80" customFormat="1" x14ac:dyDescent="0.2">
      <c r="A1009" s="1384">
        <v>43498</v>
      </c>
      <c r="B1009" s="1489" t="s">
        <v>5980</v>
      </c>
      <c r="C1009" s="1489" t="s">
        <v>4818</v>
      </c>
      <c r="D1009" s="1733">
        <v>2.4247685185185181E-2</v>
      </c>
      <c r="E1009" s="1489" t="s">
        <v>11670</v>
      </c>
      <c r="F1009" s="1489" t="s">
        <v>11752</v>
      </c>
      <c r="G1009" s="1815">
        <v>0.56369999999999998</v>
      </c>
      <c r="H1009" s="1489"/>
      <c r="I1009" s="1370"/>
      <c r="J1009" s="1370"/>
      <c r="K1009" s="1370"/>
      <c r="L1009" s="1370"/>
      <c r="M1009" s="1370"/>
      <c r="N1009" s="1370"/>
      <c r="O1009" s="1370"/>
      <c r="P1009" s="1370"/>
      <c r="Q1009" s="1370"/>
      <c r="R1009" s="1370"/>
      <c r="S1009" s="1370"/>
      <c r="T1009" s="1370"/>
      <c r="U1009" s="1370"/>
      <c r="V1009" s="1370"/>
      <c r="W1009" s="1370"/>
      <c r="X1009" s="1370"/>
    </row>
    <row r="1010" spans="1:24" s="80" customFormat="1" x14ac:dyDescent="0.2">
      <c r="A1010" s="1384">
        <v>43491</v>
      </c>
      <c r="B1010" s="1489" t="s">
        <v>5980</v>
      </c>
      <c r="C1010" s="1489" t="s">
        <v>4818</v>
      </c>
      <c r="D1010" s="1733">
        <v>2.6203703703703705E-2</v>
      </c>
      <c r="E1010" s="1489" t="s">
        <v>5656</v>
      </c>
      <c r="F1010" s="1545" t="s">
        <v>11682</v>
      </c>
      <c r="G1010" s="1815">
        <v>0.52159999999999995</v>
      </c>
      <c r="H1010" s="1489"/>
      <c r="I1010" s="1370"/>
      <c r="J1010" s="1370"/>
      <c r="K1010" s="1370"/>
    </row>
    <row r="1011" spans="1:24" s="80" customFormat="1" x14ac:dyDescent="0.2">
      <c r="A1011" s="1384">
        <v>43466</v>
      </c>
      <c r="B1011" s="1489" t="s">
        <v>5980</v>
      </c>
      <c r="C1011" s="1489" t="s">
        <v>4818</v>
      </c>
      <c r="D1011" s="1733">
        <v>2.1979166666666664E-2</v>
      </c>
      <c r="E1011" s="1489" t="s">
        <v>11500</v>
      </c>
      <c r="F1011" s="1489" t="s">
        <v>11519</v>
      </c>
      <c r="G1011" s="1815">
        <v>0.61299999999999999</v>
      </c>
      <c r="H1011" s="1489"/>
      <c r="I1011" s="1370"/>
      <c r="J1011" s="1370"/>
      <c r="K1011" s="1370"/>
    </row>
    <row r="1012" spans="1:24" s="80" customFormat="1" x14ac:dyDescent="0.2">
      <c r="A1012" s="1384">
        <v>43466</v>
      </c>
      <c r="B1012" s="1489" t="s">
        <v>5980</v>
      </c>
      <c r="C1012" s="1489" t="s">
        <v>4818</v>
      </c>
      <c r="D1012" s="1733">
        <v>2.3518518518518518E-2</v>
      </c>
      <c r="E1012" s="1489" t="s">
        <v>11493</v>
      </c>
      <c r="F1012" s="1489" t="s">
        <v>11520</v>
      </c>
      <c r="G1012" s="1815">
        <v>0.57279999999999998</v>
      </c>
      <c r="H1012" s="1489"/>
      <c r="I1012" s="1539"/>
      <c r="J1012" s="1370"/>
      <c r="K1012" s="1370"/>
      <c r="L1012" s="1370"/>
      <c r="M1012" s="1370"/>
      <c r="N1012" s="1370"/>
      <c r="O1012" s="1370"/>
      <c r="P1012" s="1370"/>
      <c r="Q1012" s="1370"/>
      <c r="R1012" s="1370"/>
      <c r="S1012" s="1370"/>
      <c r="T1012" s="1370"/>
      <c r="U1012" s="1370"/>
      <c r="V1012" s="1370"/>
      <c r="W1012" s="1370"/>
      <c r="X1012" s="1370"/>
    </row>
    <row r="1013" spans="1:24" s="80" customFormat="1" x14ac:dyDescent="0.2">
      <c r="A1013" s="1729">
        <v>43827</v>
      </c>
      <c r="B1013" s="1404" t="s">
        <v>15565</v>
      </c>
      <c r="C1013" s="1489" t="s">
        <v>1691</v>
      </c>
      <c r="D1013" s="1621">
        <v>2.841435185185185E-2</v>
      </c>
      <c r="E1013" s="1489" t="s">
        <v>16422</v>
      </c>
      <c r="F1013" s="1489" t="s">
        <v>16452</v>
      </c>
      <c r="G1013" s="1817">
        <v>0.43669999999999998</v>
      </c>
      <c r="H1013"/>
      <c r="I1013" s="1747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</row>
    <row r="1014" spans="1:24" s="80" customFormat="1" x14ac:dyDescent="0.2">
      <c r="A1014" s="1729">
        <v>43729</v>
      </c>
      <c r="B1014" s="1489" t="s">
        <v>15565</v>
      </c>
      <c r="C1014" s="1489" t="s">
        <v>1691</v>
      </c>
      <c r="D1014" s="1686">
        <v>2.7951388888888887E-2</v>
      </c>
      <c r="E1014" s="1489" t="s">
        <v>15580</v>
      </c>
      <c r="F1014" s="1489" t="s">
        <v>15558</v>
      </c>
      <c r="G1014" s="1815">
        <v>0.44390000000000002</v>
      </c>
      <c r="H1014" s="1514"/>
      <c r="I1014" s="1557"/>
    </row>
    <row r="1015" spans="1:24" s="80" customFormat="1" x14ac:dyDescent="0.2">
      <c r="A1015" s="1751">
        <v>43792</v>
      </c>
      <c r="B1015" s="1489" t="s">
        <v>3011</v>
      </c>
      <c r="C1015" s="1489" t="s">
        <v>3012</v>
      </c>
      <c r="D1015" s="1786">
        <v>1.3379629629629628E-2</v>
      </c>
      <c r="E1015" s="1489" t="s">
        <v>16084</v>
      </c>
      <c r="F1015" s="1489" t="s">
        <v>16121</v>
      </c>
      <c r="G1015" s="1817">
        <v>0.77769999999999995</v>
      </c>
      <c r="H1015" s="1486"/>
      <c r="I1015" s="1747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</row>
    <row r="1016" spans="1:24" s="80" customFormat="1" x14ac:dyDescent="0.2">
      <c r="A1016" s="1673">
        <v>43785</v>
      </c>
      <c r="B1016" s="1489" t="s">
        <v>3011</v>
      </c>
      <c r="C1016" s="1489" t="s">
        <v>3012</v>
      </c>
      <c r="D1016" s="1754">
        <v>1.3194444444444444E-2</v>
      </c>
      <c r="E1016" s="1514" t="s">
        <v>16015</v>
      </c>
      <c r="F1016" s="1514" t="s">
        <v>16035</v>
      </c>
      <c r="G1016" s="1825">
        <v>0.78859999999999997</v>
      </c>
      <c r="H1016" s="1486"/>
      <c r="I1016" s="1747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</row>
    <row r="1017" spans="1:24" s="80" customFormat="1" x14ac:dyDescent="0.2">
      <c r="A1017" s="1729">
        <v>43743</v>
      </c>
      <c r="B1017" s="1489" t="s">
        <v>3011</v>
      </c>
      <c r="C1017" s="1489" t="s">
        <v>3012</v>
      </c>
      <c r="D1017" s="1737">
        <v>1.3136574074074075E-2</v>
      </c>
      <c r="E1017" s="1514" t="s">
        <v>15725</v>
      </c>
      <c r="F1017" s="1514" t="s">
        <v>15761</v>
      </c>
      <c r="G1017" s="1822">
        <v>0.79210000000000003</v>
      </c>
      <c r="H1017" s="1514"/>
      <c r="I1017" s="1557" t="s">
        <v>15782</v>
      </c>
      <c r="L1017" s="1370"/>
      <c r="M1017" s="1370"/>
      <c r="N1017" s="1370"/>
      <c r="O1017" s="1370"/>
      <c r="P1017" s="1370"/>
      <c r="Q1017" s="1370"/>
      <c r="R1017" s="1370"/>
      <c r="S1017" s="1370"/>
      <c r="T1017" s="1370"/>
      <c r="U1017" s="1370"/>
      <c r="V1017" s="1370"/>
      <c r="W1017" s="1370"/>
      <c r="X1017" s="1370"/>
    </row>
    <row r="1018" spans="1:24" s="80" customFormat="1" x14ac:dyDescent="0.2">
      <c r="A1018" s="523">
        <v>43722</v>
      </c>
      <c r="B1018" s="1489" t="s">
        <v>3011</v>
      </c>
      <c r="C1018" s="1489" t="s">
        <v>3012</v>
      </c>
      <c r="D1018" s="1686">
        <v>1.2916666666666667E-2</v>
      </c>
      <c r="E1018" s="1489" t="s">
        <v>15481</v>
      </c>
      <c r="F1018" s="1489" t="s">
        <v>15526</v>
      </c>
      <c r="G1018" s="1815">
        <v>0.80559999999999998</v>
      </c>
      <c r="H1018" s="1514"/>
      <c r="I1018" s="1557"/>
      <c r="L1018" s="1370"/>
      <c r="M1018" s="1370"/>
      <c r="N1018" s="1370"/>
      <c r="O1018" s="1370"/>
      <c r="P1018" s="1370"/>
      <c r="Q1018" s="1370"/>
      <c r="R1018" s="1370"/>
      <c r="S1018" s="1370"/>
      <c r="T1018" s="1370"/>
      <c r="U1018" s="1370"/>
      <c r="V1018" s="1370"/>
      <c r="W1018" s="1370"/>
      <c r="X1018" s="1370"/>
    </row>
    <row r="1019" spans="1:24" s="80" customFormat="1" x14ac:dyDescent="0.2">
      <c r="A1019" s="523">
        <v>43659</v>
      </c>
      <c r="B1019" s="1489" t="s">
        <v>3011</v>
      </c>
      <c r="C1019" s="1489" t="s">
        <v>3012</v>
      </c>
      <c r="D1019" s="1686">
        <v>1.3020833333333334E-2</v>
      </c>
      <c r="E1019" s="1489" t="s">
        <v>13146</v>
      </c>
      <c r="F1019" s="1489" t="s">
        <v>13155</v>
      </c>
      <c r="G1019" s="1815">
        <v>0.79910000000000003</v>
      </c>
      <c r="H1019" s="1514"/>
      <c r="I1019" s="1539">
        <f>I1006</f>
        <v>0</v>
      </c>
      <c r="L1019" s="1370"/>
      <c r="M1019" s="1370"/>
      <c r="N1019" s="1370"/>
      <c r="O1019" s="1370"/>
      <c r="P1019" s="1370"/>
      <c r="Q1019" s="1370"/>
      <c r="R1019" s="1370"/>
      <c r="S1019" s="1370"/>
      <c r="T1019" s="1370"/>
      <c r="U1019" s="1370"/>
      <c r="V1019" s="1370"/>
      <c r="W1019" s="1370"/>
      <c r="X1019" s="1370"/>
    </row>
    <row r="1020" spans="1:24" s="80" customFormat="1" x14ac:dyDescent="0.2">
      <c r="A1020" s="1384">
        <v>43568</v>
      </c>
      <c r="B1020" s="1489" t="s">
        <v>3011</v>
      </c>
      <c r="C1020" s="1489" t="s">
        <v>3012</v>
      </c>
      <c r="D1020" s="1733">
        <v>1.3807870370370371E-2</v>
      </c>
      <c r="E1020" s="1489" t="s">
        <v>12401</v>
      </c>
      <c r="F1020" s="1810" t="s">
        <v>12435</v>
      </c>
      <c r="G1020" s="1815">
        <v>0.74770000000000003</v>
      </c>
      <c r="H1020" s="1489"/>
      <c r="I1020" s="1539" t="s">
        <v>12402</v>
      </c>
      <c r="J1020" s="1370"/>
      <c r="K1020" s="1370"/>
      <c r="L1020" s="1370"/>
      <c r="M1020" s="1370"/>
      <c r="N1020" s="1370"/>
      <c r="O1020" s="1370"/>
      <c r="P1020" s="1370"/>
      <c r="Q1020" s="1370"/>
      <c r="R1020" s="1370"/>
      <c r="S1020" s="1370"/>
      <c r="T1020" s="1370"/>
      <c r="U1020" s="1370"/>
      <c r="V1020" s="1370"/>
      <c r="W1020" s="1370"/>
      <c r="X1020" s="1370"/>
    </row>
    <row r="1021" spans="1:24" s="80" customFormat="1" x14ac:dyDescent="0.2">
      <c r="A1021" s="1729">
        <v>43743</v>
      </c>
      <c r="B1021" s="1489" t="s">
        <v>1308</v>
      </c>
      <c r="C1021" s="1489" t="s">
        <v>428</v>
      </c>
      <c r="D1021" s="1737">
        <v>1.3981481481481482E-2</v>
      </c>
      <c r="E1021" s="1514" t="s">
        <v>15706</v>
      </c>
      <c r="F1021" s="1514" t="s">
        <v>15753</v>
      </c>
      <c r="G1021" s="1822">
        <v>0.73260000000000003</v>
      </c>
      <c r="H1021" s="1514"/>
      <c r="I1021" s="1557" t="s">
        <v>15751</v>
      </c>
      <c r="L1021" s="1370"/>
      <c r="M1021" s="1370"/>
      <c r="N1021" s="1370"/>
      <c r="O1021" s="1370"/>
      <c r="P1021" s="1370"/>
      <c r="Q1021" s="1370"/>
      <c r="R1021" s="1370"/>
      <c r="S1021" s="1370"/>
      <c r="T1021" s="1370"/>
      <c r="U1021" s="1370"/>
      <c r="V1021" s="1370"/>
      <c r="W1021" s="1370"/>
      <c r="X1021" s="1370"/>
    </row>
    <row r="1022" spans="1:24" s="80" customFormat="1" x14ac:dyDescent="0.2">
      <c r="A1022" s="1384">
        <v>43680</v>
      </c>
      <c r="B1022" s="1489" t="s">
        <v>1308</v>
      </c>
      <c r="C1022" s="1489" t="s">
        <v>428</v>
      </c>
      <c r="D1022" s="1686">
        <v>1.9745370370370371E-2</v>
      </c>
      <c r="E1022" s="1489" t="s">
        <v>13349</v>
      </c>
      <c r="F1022" s="1489" t="s">
        <v>13381</v>
      </c>
      <c r="G1022" s="1815">
        <v>0.51880000000000004</v>
      </c>
      <c r="H1022" s="1514"/>
      <c r="I1022" s="1557"/>
      <c r="L1022" s="1370"/>
      <c r="M1022" s="1370"/>
      <c r="N1022" s="1370"/>
      <c r="O1022" s="1370"/>
      <c r="P1022" s="1370"/>
      <c r="Q1022" s="1370"/>
      <c r="R1022" s="1370"/>
      <c r="S1022" s="1370"/>
      <c r="T1022" s="1370"/>
      <c r="U1022" s="1370"/>
      <c r="V1022" s="1370"/>
      <c r="W1022" s="1370"/>
      <c r="X1022" s="1370"/>
    </row>
    <row r="1023" spans="1:24" s="80" customFormat="1" x14ac:dyDescent="0.2">
      <c r="A1023" s="1384">
        <v>43547</v>
      </c>
      <c r="B1023" s="1489" t="s">
        <v>1308</v>
      </c>
      <c r="C1023" s="1489" t="s">
        <v>428</v>
      </c>
      <c r="D1023" s="1733">
        <v>2.3055555555555555E-2</v>
      </c>
      <c r="E1023" s="1489" t="s">
        <v>12176</v>
      </c>
      <c r="F1023" s="1489" t="s">
        <v>12168</v>
      </c>
      <c r="G1023" s="1815">
        <v>0.44080000000000003</v>
      </c>
      <c r="H1023" s="1489"/>
      <c r="I1023" s="1539"/>
      <c r="J1023" s="1370"/>
      <c r="K1023" s="1370"/>
      <c r="L1023" s="1370"/>
      <c r="M1023" s="1370"/>
      <c r="N1023" s="1370"/>
      <c r="O1023" s="1370"/>
      <c r="P1023" s="1370"/>
      <c r="Q1023" s="1370"/>
      <c r="R1023" s="1370"/>
      <c r="S1023" s="1370"/>
      <c r="T1023" s="1370"/>
      <c r="U1023" s="1370"/>
      <c r="V1023" s="1370"/>
      <c r="W1023" s="1370"/>
      <c r="X1023" s="1370"/>
    </row>
    <row r="1024" spans="1:24" s="80" customFormat="1" x14ac:dyDescent="0.2">
      <c r="A1024" s="1729">
        <v>43827</v>
      </c>
      <c r="B1024" s="1370" t="s">
        <v>4640</v>
      </c>
      <c r="C1024" s="1623" t="s">
        <v>4641</v>
      </c>
      <c r="D1024" s="1733" t="s">
        <v>787</v>
      </c>
      <c r="E1024" s="1489" t="s">
        <v>16424</v>
      </c>
      <c r="F1024" s="1404" t="s">
        <v>2331</v>
      </c>
      <c r="G1024" s="1817"/>
      <c r="H1024"/>
      <c r="I1024" s="1747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</row>
    <row r="1025" spans="1:24" s="80" customFormat="1" x14ac:dyDescent="0.2">
      <c r="A1025" s="1673">
        <v>43785</v>
      </c>
      <c r="B1025" s="1370" t="s">
        <v>4640</v>
      </c>
      <c r="C1025" s="1623" t="s">
        <v>4641</v>
      </c>
      <c r="D1025" s="1732" t="s">
        <v>787</v>
      </c>
      <c r="E1025" s="1514" t="s">
        <v>15994</v>
      </c>
      <c r="F1025" s="1514" t="s">
        <v>16006</v>
      </c>
      <c r="G1025" s="1825"/>
      <c r="H1025" s="1486"/>
      <c r="I1025" s="1747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</row>
    <row r="1026" spans="1:24" s="80" customFormat="1" x14ac:dyDescent="0.2">
      <c r="A1026" s="1384">
        <v>43778</v>
      </c>
      <c r="B1026" s="1370" t="s">
        <v>4640</v>
      </c>
      <c r="C1026" s="1623" t="s">
        <v>4641</v>
      </c>
      <c r="D1026" s="1744" t="s">
        <v>787</v>
      </c>
      <c r="E1026" s="1723" t="s">
        <v>15957</v>
      </c>
      <c r="F1026" s="1723" t="s">
        <v>94</v>
      </c>
      <c r="G1026" s="1820"/>
      <c r="H1026" s="1489"/>
      <c r="I1026" s="1539"/>
      <c r="J1026" s="1370"/>
      <c r="K1026" s="1370"/>
      <c r="L1026" s="1370"/>
      <c r="M1026" s="1370"/>
      <c r="N1026" s="1370"/>
      <c r="O1026" s="1370"/>
      <c r="P1026" s="1370"/>
      <c r="Q1026" s="1370"/>
      <c r="R1026" s="1370"/>
      <c r="S1026" s="1370"/>
      <c r="T1026" s="1370"/>
      <c r="U1026" s="1370"/>
      <c r="V1026" s="1370"/>
      <c r="W1026" s="1370"/>
      <c r="X1026" s="1370"/>
    </row>
    <row r="1027" spans="1:24" s="80" customFormat="1" x14ac:dyDescent="0.2">
      <c r="A1027" s="523">
        <v>43757</v>
      </c>
      <c r="B1027" s="1370" t="s">
        <v>4640</v>
      </c>
      <c r="C1027" s="1623" t="s">
        <v>4641</v>
      </c>
      <c r="D1027" s="1733" t="s">
        <v>787</v>
      </c>
      <c r="E1027" s="1489" t="s">
        <v>5947</v>
      </c>
      <c r="F1027" s="1545" t="s">
        <v>5508</v>
      </c>
      <c r="G1027" s="1822"/>
      <c r="H1027" s="1514"/>
      <c r="I1027" s="1557"/>
    </row>
    <row r="1028" spans="1:24" s="80" customFormat="1" x14ac:dyDescent="0.2">
      <c r="A1028" s="523">
        <v>43750</v>
      </c>
      <c r="B1028" s="1370" t="s">
        <v>4640</v>
      </c>
      <c r="C1028" s="1623" t="s">
        <v>4641</v>
      </c>
      <c r="D1028" s="1753" t="s">
        <v>787</v>
      </c>
      <c r="E1028" s="1514" t="s">
        <v>5947</v>
      </c>
      <c r="F1028" s="1811" t="s">
        <v>2052</v>
      </c>
      <c r="G1028" s="1822"/>
      <c r="H1028" s="1514"/>
      <c r="I1028" s="1557"/>
      <c r="L1028" s="1370"/>
      <c r="M1028" s="1370"/>
      <c r="N1028" s="1370"/>
      <c r="O1028" s="1370"/>
      <c r="P1028" s="1370"/>
      <c r="Q1028" s="1370"/>
      <c r="R1028" s="1370"/>
      <c r="S1028" s="1370"/>
      <c r="T1028" s="1370"/>
      <c r="U1028" s="1370"/>
      <c r="V1028" s="1370"/>
      <c r="W1028" s="1370"/>
      <c r="X1028" s="1370"/>
    </row>
    <row r="1029" spans="1:24" s="80" customFormat="1" x14ac:dyDescent="0.2">
      <c r="A1029" s="523">
        <v>43743</v>
      </c>
      <c r="B1029" s="1370" t="s">
        <v>4640</v>
      </c>
      <c r="C1029" s="1623" t="s">
        <v>4641</v>
      </c>
      <c r="D1029" s="1686" t="s">
        <v>787</v>
      </c>
      <c r="E1029" s="1489" t="s">
        <v>5947</v>
      </c>
      <c r="F1029" s="1489" t="s">
        <v>15698</v>
      </c>
      <c r="G1029" s="1815"/>
      <c r="H1029" s="1514"/>
      <c r="I1029" s="1557"/>
      <c r="L1029" s="1370"/>
      <c r="M1029" s="1370"/>
      <c r="N1029" s="1370"/>
      <c r="O1029" s="1370"/>
      <c r="P1029" s="1370"/>
      <c r="Q1029" s="1370"/>
      <c r="R1029" s="1370"/>
      <c r="S1029" s="1370"/>
      <c r="T1029" s="1370"/>
      <c r="U1029" s="1370"/>
      <c r="V1029" s="1370"/>
      <c r="W1029" s="1370"/>
      <c r="X1029" s="1370"/>
    </row>
    <row r="1030" spans="1:24" s="80" customFormat="1" x14ac:dyDescent="0.2">
      <c r="A1030" s="1729">
        <v>43736</v>
      </c>
      <c r="B1030" s="1370" t="s">
        <v>4640</v>
      </c>
      <c r="C1030" s="1623" t="s">
        <v>4641</v>
      </c>
      <c r="D1030" s="1686" t="s">
        <v>8346</v>
      </c>
      <c r="E1030" s="1489" t="s">
        <v>15638</v>
      </c>
      <c r="F1030" s="1489" t="s">
        <v>2052</v>
      </c>
      <c r="G1030" s="1815"/>
      <c r="H1030" s="1514"/>
      <c r="I1030" s="1557"/>
      <c r="L1030" s="1370"/>
      <c r="M1030" s="1370"/>
      <c r="N1030" s="1370"/>
      <c r="O1030" s="1370"/>
      <c r="P1030" s="1370"/>
      <c r="Q1030" s="1370"/>
      <c r="R1030" s="1370"/>
      <c r="S1030" s="1370"/>
      <c r="T1030" s="1370"/>
      <c r="U1030" s="1370"/>
      <c r="V1030" s="1370"/>
      <c r="W1030" s="1370"/>
      <c r="X1030" s="1370"/>
    </row>
    <row r="1031" spans="1:24" s="80" customFormat="1" x14ac:dyDescent="0.2">
      <c r="A1031" s="523">
        <v>43729</v>
      </c>
      <c r="B1031" s="1370" t="s">
        <v>4640</v>
      </c>
      <c r="C1031" s="1623" t="s">
        <v>4641</v>
      </c>
      <c r="D1031" s="1686" t="s">
        <v>787</v>
      </c>
      <c r="E1031" s="1489" t="s">
        <v>5947</v>
      </c>
      <c r="F1031" s="1489" t="s">
        <v>5508</v>
      </c>
      <c r="G1031" s="1822"/>
      <c r="H1031" s="1514"/>
      <c r="I1031" s="1557"/>
      <c r="L1031" s="1370"/>
      <c r="M1031" s="1370"/>
      <c r="N1031" s="1370"/>
      <c r="O1031" s="1370"/>
      <c r="P1031" s="1370"/>
      <c r="Q1031" s="1370"/>
      <c r="R1031" s="1370"/>
      <c r="S1031" s="1370"/>
      <c r="T1031" s="1370"/>
      <c r="U1031" s="1370"/>
      <c r="V1031" s="1370"/>
      <c r="W1031" s="1370"/>
      <c r="X1031" s="1370"/>
    </row>
    <row r="1032" spans="1:24" s="80" customFormat="1" x14ac:dyDescent="0.2">
      <c r="A1032" s="523">
        <v>43708</v>
      </c>
      <c r="B1032" s="1370" t="s">
        <v>4640</v>
      </c>
      <c r="C1032" s="1623" t="s">
        <v>4641</v>
      </c>
      <c r="D1032" s="1686" t="s">
        <v>787</v>
      </c>
      <c r="E1032" s="1489" t="s">
        <v>5947</v>
      </c>
      <c r="F1032" s="1489" t="s">
        <v>15336</v>
      </c>
      <c r="G1032" s="1815"/>
      <c r="H1032" s="1514"/>
      <c r="I1032" s="1557"/>
      <c r="L1032" s="1370"/>
      <c r="M1032" s="1370"/>
      <c r="N1032" s="1370"/>
      <c r="O1032" s="1370"/>
      <c r="P1032" s="1370"/>
      <c r="Q1032" s="1370"/>
      <c r="R1032" s="1370"/>
      <c r="S1032" s="1370"/>
      <c r="T1032" s="1370"/>
      <c r="U1032" s="1370"/>
      <c r="V1032" s="1370"/>
      <c r="W1032" s="1370"/>
      <c r="X1032" s="1370"/>
    </row>
    <row r="1033" spans="1:24" s="80" customFormat="1" x14ac:dyDescent="0.2">
      <c r="A1033" s="523">
        <v>43701</v>
      </c>
      <c r="B1033" s="1370" t="s">
        <v>4640</v>
      </c>
      <c r="C1033" s="1623" t="s">
        <v>4641</v>
      </c>
      <c r="D1033" s="1686" t="s">
        <v>787</v>
      </c>
      <c r="E1033" s="1489" t="s">
        <v>5947</v>
      </c>
      <c r="F1033" s="1489" t="s">
        <v>1549</v>
      </c>
      <c r="G1033" s="1815"/>
      <c r="H1033" s="1514"/>
      <c r="I1033" s="1557"/>
      <c r="L1033" s="1370"/>
      <c r="M1033" s="1370"/>
      <c r="N1033" s="1370"/>
      <c r="O1033" s="1370"/>
      <c r="P1033" s="1370"/>
      <c r="Q1033" s="1370"/>
      <c r="R1033" s="1370"/>
      <c r="S1033" s="1370"/>
      <c r="T1033" s="1370"/>
      <c r="U1033" s="1370"/>
      <c r="V1033" s="1370"/>
      <c r="W1033" s="1370"/>
      <c r="X1033" s="1370"/>
    </row>
    <row r="1034" spans="1:24" s="80" customFormat="1" x14ac:dyDescent="0.2">
      <c r="A1034" s="523">
        <v>43694</v>
      </c>
      <c r="B1034" s="1370" t="s">
        <v>4640</v>
      </c>
      <c r="C1034" s="1623" t="s">
        <v>4641</v>
      </c>
      <c r="D1034" s="1695" t="s">
        <v>787</v>
      </c>
      <c r="E1034" s="1489" t="s">
        <v>15176</v>
      </c>
      <c r="F1034" s="1489" t="s">
        <v>4854</v>
      </c>
      <c r="G1034" s="1815"/>
      <c r="H1034" s="1514"/>
      <c r="I1034" s="1557"/>
      <c r="L1034" s="1370"/>
      <c r="M1034" s="1370"/>
      <c r="N1034" s="1370"/>
      <c r="O1034" s="1370"/>
      <c r="P1034" s="1370"/>
      <c r="Q1034" s="1370"/>
      <c r="R1034" s="1370"/>
      <c r="S1034" s="1370"/>
      <c r="T1034" s="1370"/>
      <c r="U1034" s="1370"/>
      <c r="V1034" s="1370"/>
      <c r="W1034" s="1370"/>
      <c r="X1034" s="1370"/>
    </row>
    <row r="1035" spans="1:24" s="80" customFormat="1" x14ac:dyDescent="0.2">
      <c r="A1035" s="523">
        <v>43687</v>
      </c>
      <c r="B1035" s="1370" t="s">
        <v>4640</v>
      </c>
      <c r="C1035" s="1623" t="s">
        <v>4641</v>
      </c>
      <c r="D1035" s="1838" t="s">
        <v>787</v>
      </c>
      <c r="E1035" s="1489" t="s">
        <v>5947</v>
      </c>
      <c r="F1035" s="1489" t="s">
        <v>4854</v>
      </c>
      <c r="G1035" s="1815"/>
      <c r="H1035" s="1514"/>
      <c r="I1035" s="1557"/>
    </row>
    <row r="1036" spans="1:24" s="80" customFormat="1" x14ac:dyDescent="0.2">
      <c r="A1036" s="523">
        <v>43666</v>
      </c>
      <c r="B1036" s="1370" t="s">
        <v>4640</v>
      </c>
      <c r="C1036" s="1623" t="s">
        <v>4641</v>
      </c>
      <c r="D1036" s="1733" t="s">
        <v>787</v>
      </c>
      <c r="E1036" s="1514" t="s">
        <v>5947</v>
      </c>
      <c r="F1036" s="1489" t="s">
        <v>5508</v>
      </c>
      <c r="G1036" s="1815"/>
      <c r="H1036" s="1514"/>
      <c r="I1036" s="1557"/>
    </row>
    <row r="1037" spans="1:24" s="80" customFormat="1" x14ac:dyDescent="0.2">
      <c r="A1037" s="523">
        <v>43659</v>
      </c>
      <c r="B1037" s="1370" t="s">
        <v>4640</v>
      </c>
      <c r="C1037" s="1623" t="s">
        <v>4641</v>
      </c>
      <c r="D1037" s="1753" t="s">
        <v>787</v>
      </c>
      <c r="E1037" s="1514" t="s">
        <v>5947</v>
      </c>
      <c r="F1037" s="1514"/>
      <c r="G1037" s="1822"/>
      <c r="H1037" s="1514"/>
      <c r="I1037" s="1557"/>
      <c r="L1037" s="1370"/>
      <c r="M1037" s="1370"/>
      <c r="N1037" s="1370"/>
      <c r="O1037" s="1370"/>
      <c r="P1037" s="1370"/>
      <c r="Q1037" s="1370"/>
      <c r="R1037" s="1370"/>
      <c r="S1037" s="1370"/>
      <c r="T1037" s="1370"/>
      <c r="U1037" s="1370"/>
      <c r="V1037" s="1370"/>
      <c r="W1037" s="1370"/>
      <c r="X1037" s="1370"/>
    </row>
    <row r="1038" spans="1:24" s="80" customFormat="1" x14ac:dyDescent="0.2">
      <c r="A1038" s="523">
        <v>43645</v>
      </c>
      <c r="B1038" s="1370" t="s">
        <v>4640</v>
      </c>
      <c r="C1038" s="1623" t="s">
        <v>4641</v>
      </c>
      <c r="D1038" s="1753" t="s">
        <v>787</v>
      </c>
      <c r="E1038" s="1514" t="s">
        <v>13022</v>
      </c>
      <c r="F1038" s="1514" t="s">
        <v>6083</v>
      </c>
      <c r="G1038" s="1818"/>
      <c r="H1038" s="1514"/>
      <c r="I1038" s="1557"/>
      <c r="L1038" s="1370"/>
      <c r="M1038" s="1370"/>
      <c r="N1038" s="1370"/>
      <c r="O1038" s="1370"/>
      <c r="P1038" s="1370"/>
      <c r="Q1038" s="1370"/>
      <c r="R1038" s="1370"/>
      <c r="S1038" s="1370"/>
      <c r="T1038" s="1370"/>
      <c r="U1038" s="1370"/>
      <c r="V1038" s="1370"/>
      <c r="W1038" s="1370"/>
      <c r="X1038" s="1370"/>
    </row>
    <row r="1039" spans="1:24" s="80" customFormat="1" x14ac:dyDescent="0.2">
      <c r="A1039" s="523">
        <v>43638</v>
      </c>
      <c r="B1039" s="1370" t="s">
        <v>4640</v>
      </c>
      <c r="C1039" s="1623" t="s">
        <v>4641</v>
      </c>
      <c r="D1039" s="1753" t="s">
        <v>787</v>
      </c>
      <c r="E1039" s="1514" t="s">
        <v>5947</v>
      </c>
      <c r="F1039" s="1514" t="s">
        <v>4101</v>
      </c>
      <c r="G1039" s="1822"/>
      <c r="H1039" s="1514"/>
      <c r="I1039" s="1557"/>
    </row>
    <row r="1040" spans="1:24" s="80" customFormat="1" x14ac:dyDescent="0.2">
      <c r="A1040" s="523">
        <v>43631</v>
      </c>
      <c r="B1040" s="1370" t="s">
        <v>4640</v>
      </c>
      <c r="C1040" s="1623" t="s">
        <v>4641</v>
      </c>
      <c r="D1040" s="1837" t="s">
        <v>787</v>
      </c>
      <c r="E1040" s="1569" t="s">
        <v>5947</v>
      </c>
      <c r="F1040" s="1569" t="s">
        <v>5508</v>
      </c>
      <c r="G1040" s="1822"/>
      <c r="H1040" s="1514"/>
      <c r="I1040" s="1557"/>
    </row>
    <row r="1041" spans="1:24" s="80" customFormat="1" x14ac:dyDescent="0.2">
      <c r="A1041" s="523">
        <v>43624</v>
      </c>
      <c r="B1041" s="1370" t="s">
        <v>4640</v>
      </c>
      <c r="C1041" s="1623" t="s">
        <v>4641</v>
      </c>
      <c r="D1041" s="1753" t="s">
        <v>787</v>
      </c>
      <c r="E1041" s="1569" t="s">
        <v>12850</v>
      </c>
      <c r="F1041" s="1569" t="s">
        <v>4854</v>
      </c>
      <c r="G1041" s="1822"/>
      <c r="H1041" s="1514"/>
      <c r="I1041" s="1557"/>
    </row>
    <row r="1042" spans="1:24" s="80" customFormat="1" x14ac:dyDescent="0.2">
      <c r="A1042" s="1384">
        <v>43603</v>
      </c>
      <c r="B1042" s="1370" t="s">
        <v>4640</v>
      </c>
      <c r="C1042" s="1623" t="s">
        <v>4641</v>
      </c>
      <c r="D1042" s="1733" t="s">
        <v>787</v>
      </c>
      <c r="E1042" s="1489" t="s">
        <v>12689</v>
      </c>
      <c r="F1042" s="1489" t="s">
        <v>12688</v>
      </c>
      <c r="G1042" s="1815"/>
      <c r="H1042" s="1489"/>
      <c r="I1042" s="1539"/>
      <c r="J1042" s="1370"/>
      <c r="K1042" s="1370"/>
    </row>
    <row r="1043" spans="1:24" s="80" customFormat="1" x14ac:dyDescent="0.2">
      <c r="A1043" s="1384">
        <v>43575</v>
      </c>
      <c r="B1043" s="1370" t="s">
        <v>4640</v>
      </c>
      <c r="C1043" s="1623" t="s">
        <v>4641</v>
      </c>
      <c r="D1043" s="1733" t="s">
        <v>787</v>
      </c>
      <c r="E1043" s="1489" t="s">
        <v>5947</v>
      </c>
      <c r="F1043" s="1489" t="s">
        <v>4185</v>
      </c>
      <c r="G1043" s="1815"/>
      <c r="H1043" s="1489"/>
      <c r="I1043" s="1539"/>
      <c r="J1043" s="1370"/>
      <c r="K1043" s="1370"/>
    </row>
    <row r="1044" spans="1:24" s="80" customFormat="1" x14ac:dyDescent="0.2">
      <c r="A1044" s="1384">
        <v>43568</v>
      </c>
      <c r="B1044" s="1370" t="s">
        <v>4640</v>
      </c>
      <c r="C1044" s="1623" t="s">
        <v>4641</v>
      </c>
      <c r="D1044" s="1733" t="s">
        <v>787</v>
      </c>
      <c r="E1044" s="1489" t="s">
        <v>5947</v>
      </c>
      <c r="F1044" s="1489" t="s">
        <v>2052</v>
      </c>
      <c r="G1044" s="1815"/>
      <c r="H1044" s="1489"/>
      <c r="I1044" s="1539"/>
      <c r="J1044" s="1370"/>
      <c r="K1044" s="1370"/>
    </row>
    <row r="1045" spans="1:24" s="80" customFormat="1" x14ac:dyDescent="0.2">
      <c r="A1045" s="1384">
        <v>43554</v>
      </c>
      <c r="B1045" s="1370" t="s">
        <v>4640</v>
      </c>
      <c r="C1045" s="1623" t="s">
        <v>4641</v>
      </c>
      <c r="D1045" s="1733" t="s">
        <v>787</v>
      </c>
      <c r="E1045" s="1489" t="s">
        <v>12221</v>
      </c>
      <c r="F1045" s="1489" t="s">
        <v>2052</v>
      </c>
      <c r="G1045" s="1815"/>
      <c r="H1045" s="1489"/>
      <c r="I1045" s="1539"/>
      <c r="J1045" s="1370"/>
      <c r="K1045" s="1370"/>
    </row>
    <row r="1046" spans="1:24" s="80" customFormat="1" x14ac:dyDescent="0.2">
      <c r="A1046" s="1384">
        <v>43547</v>
      </c>
      <c r="B1046" s="1370" t="s">
        <v>4640</v>
      </c>
      <c r="C1046" s="1623" t="s">
        <v>4641</v>
      </c>
      <c r="D1046" s="1695" t="s">
        <v>787</v>
      </c>
      <c r="E1046" s="1489" t="s">
        <v>5947</v>
      </c>
      <c r="F1046" s="1545" t="s">
        <v>4185</v>
      </c>
      <c r="G1046" s="1815"/>
      <c r="H1046" s="1489"/>
      <c r="I1046" s="1539"/>
      <c r="J1046" s="1370"/>
      <c r="K1046" s="1370"/>
      <c r="L1046" s="1370"/>
      <c r="M1046" s="1370"/>
      <c r="N1046" s="1370"/>
      <c r="O1046" s="1370"/>
      <c r="P1046" s="1370"/>
      <c r="Q1046" s="1370"/>
      <c r="R1046" s="1370"/>
      <c r="S1046" s="1370"/>
      <c r="T1046" s="1370"/>
      <c r="U1046" s="1370"/>
      <c r="V1046" s="1370"/>
      <c r="W1046" s="1370"/>
      <c r="X1046" s="1370"/>
    </row>
    <row r="1047" spans="1:24" s="80" customFormat="1" x14ac:dyDescent="0.2">
      <c r="A1047" s="1384">
        <v>43540</v>
      </c>
      <c r="B1047" s="1370" t="s">
        <v>4640</v>
      </c>
      <c r="C1047" s="1623" t="s">
        <v>4641</v>
      </c>
      <c r="D1047" s="1733" t="s">
        <v>787</v>
      </c>
      <c r="E1047" s="1489" t="s">
        <v>12104</v>
      </c>
      <c r="F1047" s="1489" t="s">
        <v>5508</v>
      </c>
      <c r="G1047" s="1815"/>
      <c r="H1047" s="1489"/>
      <c r="I1047" s="1539"/>
      <c r="J1047" s="1370"/>
      <c r="K1047" s="1370"/>
    </row>
    <row r="1048" spans="1:24" s="80" customFormat="1" x14ac:dyDescent="0.2">
      <c r="A1048" s="1384">
        <v>43533</v>
      </c>
      <c r="B1048" s="1370" t="s">
        <v>4640</v>
      </c>
      <c r="C1048" s="1623" t="s">
        <v>4641</v>
      </c>
      <c r="D1048" s="1733">
        <v>2.6666666666666668E-2</v>
      </c>
      <c r="E1048" s="1489" t="s">
        <v>12010</v>
      </c>
      <c r="F1048" s="1489" t="s">
        <v>12064</v>
      </c>
      <c r="G1048" s="1815">
        <v>0.43659999999999999</v>
      </c>
      <c r="H1048" s="1489"/>
      <c r="I1048" s="1539"/>
      <c r="J1048" s="1370"/>
      <c r="K1048" s="1370"/>
      <c r="L1048" s="1370"/>
      <c r="M1048" s="1370"/>
      <c r="N1048" s="1370"/>
      <c r="O1048" s="1370"/>
      <c r="P1048" s="1370"/>
      <c r="Q1048" s="1370"/>
      <c r="R1048" s="1370"/>
      <c r="S1048" s="1370"/>
      <c r="T1048" s="1370"/>
      <c r="U1048" s="1370"/>
      <c r="V1048" s="1370"/>
      <c r="W1048" s="1370"/>
      <c r="X1048" s="1370"/>
    </row>
    <row r="1049" spans="1:24" s="80" customFormat="1" x14ac:dyDescent="0.2">
      <c r="A1049" s="1384">
        <v>43512</v>
      </c>
      <c r="B1049" s="1370" t="s">
        <v>4640</v>
      </c>
      <c r="C1049" s="1623" t="s">
        <v>4641</v>
      </c>
      <c r="D1049" s="1733" t="s">
        <v>787</v>
      </c>
      <c r="E1049" s="1489" t="s">
        <v>5947</v>
      </c>
      <c r="F1049" s="1489" t="s">
        <v>5508</v>
      </c>
      <c r="G1049" s="1815"/>
      <c r="H1049" s="1489"/>
      <c r="I1049" s="1539"/>
      <c r="J1049" s="1370"/>
      <c r="K1049" s="1370"/>
      <c r="L1049" s="1370"/>
      <c r="M1049" s="1370"/>
      <c r="N1049" s="1370"/>
      <c r="O1049" s="1370"/>
      <c r="P1049" s="1370"/>
      <c r="Q1049" s="1370"/>
      <c r="R1049" s="1370"/>
      <c r="S1049" s="1370"/>
      <c r="T1049" s="1370"/>
      <c r="U1049" s="1370"/>
      <c r="V1049" s="1370"/>
      <c r="W1049" s="1370"/>
      <c r="X1049" s="1370"/>
    </row>
    <row r="1050" spans="1:24" s="80" customFormat="1" x14ac:dyDescent="0.2">
      <c r="A1050" s="1384">
        <v>43505</v>
      </c>
      <c r="B1050" s="1370" t="s">
        <v>4640</v>
      </c>
      <c r="C1050" s="1623" t="s">
        <v>4641</v>
      </c>
      <c r="D1050" s="1733" t="s">
        <v>787</v>
      </c>
      <c r="E1050" s="1489" t="s">
        <v>5947</v>
      </c>
      <c r="F1050" s="1489" t="s">
        <v>11795</v>
      </c>
      <c r="G1050" s="1815"/>
      <c r="H1050" s="1489"/>
      <c r="I1050" s="1539"/>
      <c r="J1050" s="1370"/>
      <c r="K1050" s="1370"/>
      <c r="L1050" s="1370"/>
      <c r="M1050" s="1370"/>
      <c r="N1050" s="1370"/>
      <c r="O1050" s="1370"/>
      <c r="P1050" s="1370"/>
      <c r="Q1050" s="1370"/>
      <c r="R1050" s="1370"/>
      <c r="S1050" s="1370"/>
      <c r="T1050" s="1370"/>
      <c r="U1050" s="1370"/>
      <c r="V1050" s="1370"/>
      <c r="W1050" s="1370"/>
      <c r="X1050" s="1370"/>
    </row>
    <row r="1051" spans="1:24" s="80" customFormat="1" x14ac:dyDescent="0.2">
      <c r="A1051" s="1384">
        <v>43491</v>
      </c>
      <c r="B1051" s="1370" t="s">
        <v>4640</v>
      </c>
      <c r="C1051" s="1623" t="s">
        <v>4641</v>
      </c>
      <c r="D1051" s="1695" t="s">
        <v>787</v>
      </c>
      <c r="E1051" s="1489" t="s">
        <v>5947</v>
      </c>
      <c r="F1051" s="1545" t="s">
        <v>2052</v>
      </c>
      <c r="G1051" s="1815"/>
      <c r="H1051" s="1489"/>
      <c r="I1051" s="1489"/>
      <c r="J1051" s="1370"/>
      <c r="K1051" s="1370"/>
      <c r="L1051" s="1370"/>
      <c r="M1051" s="1370"/>
      <c r="N1051" s="1370"/>
      <c r="O1051" s="1370"/>
      <c r="P1051" s="1370"/>
      <c r="Q1051" s="1370"/>
      <c r="R1051" s="1370"/>
      <c r="S1051" s="1370"/>
      <c r="T1051" s="1370"/>
      <c r="U1051" s="1370"/>
      <c r="V1051" s="1370"/>
      <c r="W1051" s="1370"/>
      <c r="X1051" s="1370"/>
    </row>
    <row r="1052" spans="1:24" s="80" customFormat="1" x14ac:dyDescent="0.2">
      <c r="A1052" s="1384">
        <v>43484</v>
      </c>
      <c r="B1052" s="1370" t="s">
        <v>4640</v>
      </c>
      <c r="C1052" s="1623" t="s">
        <v>4641</v>
      </c>
      <c r="D1052" s="1733" t="s">
        <v>787</v>
      </c>
      <c r="E1052" s="1489" t="s">
        <v>5947</v>
      </c>
      <c r="F1052" s="1489" t="s">
        <v>5508</v>
      </c>
      <c r="G1052" s="1815"/>
      <c r="H1052" s="1489"/>
      <c r="I1052" s="1489"/>
      <c r="J1052" s="1370"/>
      <c r="K1052" s="1370"/>
      <c r="L1052" s="1370"/>
      <c r="M1052" s="1370"/>
      <c r="N1052" s="1370"/>
      <c r="O1052" s="1370"/>
      <c r="P1052" s="1370"/>
      <c r="Q1052" s="1370"/>
      <c r="R1052" s="1370"/>
      <c r="S1052" s="1370"/>
      <c r="T1052" s="1370"/>
      <c r="U1052" s="1370"/>
      <c r="V1052" s="1370"/>
      <c r="W1052" s="1370"/>
      <c r="X1052" s="1370"/>
    </row>
    <row r="1053" spans="1:24" s="80" customFormat="1" x14ac:dyDescent="0.2">
      <c r="A1053" s="1384">
        <v>43477</v>
      </c>
      <c r="B1053" s="1370" t="s">
        <v>4640</v>
      </c>
      <c r="C1053" s="1623" t="s">
        <v>4641</v>
      </c>
      <c r="D1053" s="1733" t="s">
        <v>787</v>
      </c>
      <c r="E1053" s="1489" t="s">
        <v>5947</v>
      </c>
      <c r="F1053" s="1489"/>
      <c r="G1053" s="1815"/>
      <c r="H1053" s="1489"/>
      <c r="I1053" s="1489"/>
      <c r="J1053" s="1370"/>
      <c r="K1053" s="1370"/>
      <c r="L1053" s="1370"/>
      <c r="M1053" s="1370"/>
      <c r="N1053" s="1370"/>
      <c r="O1053" s="1370"/>
      <c r="P1053" s="1370"/>
      <c r="Q1053" s="1370"/>
      <c r="R1053" s="1370"/>
      <c r="S1053" s="1370"/>
      <c r="T1053" s="1370"/>
      <c r="U1053" s="1370"/>
      <c r="V1053" s="1370"/>
      <c r="W1053" s="1370"/>
      <c r="X1053" s="1370"/>
    </row>
    <row r="1054" spans="1:24" s="80" customFormat="1" x14ac:dyDescent="0.2">
      <c r="A1054" s="1384">
        <v>43466</v>
      </c>
      <c r="B1054" s="1370" t="s">
        <v>4640</v>
      </c>
      <c r="C1054" s="1623" t="s">
        <v>4641</v>
      </c>
      <c r="D1054" s="1695" t="s">
        <v>787</v>
      </c>
      <c r="E1054" s="1489" t="s">
        <v>5517</v>
      </c>
      <c r="F1054" s="1545" t="s">
        <v>4185</v>
      </c>
      <c r="G1054" s="1815" t="s">
        <v>4185</v>
      </c>
      <c r="H1054" s="1489"/>
      <c r="I1054" s="1489"/>
      <c r="J1054" s="1370"/>
      <c r="K1054" s="1370"/>
      <c r="L1054" s="1370"/>
      <c r="M1054" s="1370"/>
      <c r="N1054" s="1370"/>
      <c r="O1054" s="1370"/>
      <c r="P1054" s="1370"/>
      <c r="Q1054" s="1370"/>
      <c r="R1054" s="1370"/>
      <c r="S1054" s="1370"/>
      <c r="T1054" s="1370"/>
      <c r="U1054" s="1370"/>
      <c r="V1054" s="1370"/>
      <c r="W1054" s="1370"/>
      <c r="X1054" s="1370"/>
    </row>
    <row r="1055" spans="1:24" s="80" customFormat="1" x14ac:dyDescent="0.2">
      <c r="A1055" s="1729">
        <v>43827</v>
      </c>
      <c r="B1055" s="1809" t="s">
        <v>11839</v>
      </c>
      <c r="C1055" s="1623" t="s">
        <v>4641</v>
      </c>
      <c r="D1055" s="1733" t="s">
        <v>787</v>
      </c>
      <c r="E1055" s="1489" t="s">
        <v>16424</v>
      </c>
      <c r="F1055" s="1404" t="s">
        <v>94</v>
      </c>
      <c r="G1055" s="1817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</row>
    <row r="1056" spans="1:24" s="80" customFormat="1" x14ac:dyDescent="0.2">
      <c r="A1056" s="523">
        <v>43645</v>
      </c>
      <c r="B1056" s="1809" t="s">
        <v>11839</v>
      </c>
      <c r="C1056" s="1623" t="s">
        <v>4641</v>
      </c>
      <c r="D1056" s="1753" t="s">
        <v>787</v>
      </c>
      <c r="E1056" s="1514" t="s">
        <v>13022</v>
      </c>
      <c r="F1056" s="1514" t="s">
        <v>4185</v>
      </c>
      <c r="G1056" s="1822"/>
      <c r="H1056" s="1514"/>
      <c r="I1056" s="1806"/>
      <c r="L1056" s="1370"/>
      <c r="M1056" s="1370"/>
      <c r="N1056" s="1370"/>
      <c r="O1056" s="1370"/>
      <c r="P1056" s="1370"/>
      <c r="Q1056" s="1370"/>
      <c r="R1056" s="1370"/>
      <c r="S1056" s="1370"/>
      <c r="T1056" s="1370"/>
      <c r="U1056" s="1370"/>
      <c r="V1056" s="1370"/>
      <c r="W1056" s="1370"/>
      <c r="X1056" s="1370"/>
    </row>
    <row r="1057" spans="1:24" s="80" customFormat="1" x14ac:dyDescent="0.2">
      <c r="A1057" s="1384">
        <v>43512</v>
      </c>
      <c r="B1057" s="1809" t="s">
        <v>11839</v>
      </c>
      <c r="C1057" s="1623" t="s">
        <v>4641</v>
      </c>
      <c r="D1057" s="1733" t="s">
        <v>787</v>
      </c>
      <c r="E1057" s="1489" t="s">
        <v>5947</v>
      </c>
      <c r="F1057" s="1489" t="s">
        <v>4185</v>
      </c>
      <c r="G1057" s="1815"/>
      <c r="H1057" s="1489"/>
      <c r="I1057" s="1489"/>
      <c r="J1057" s="1370"/>
      <c r="K1057" s="1370"/>
      <c r="L1057" s="1370"/>
      <c r="M1057" s="1370"/>
      <c r="N1057" s="1370"/>
      <c r="O1057" s="1370"/>
      <c r="P1057" s="1370"/>
      <c r="Q1057" s="1370"/>
      <c r="R1057" s="1370"/>
      <c r="S1057" s="1370"/>
      <c r="T1057" s="1370"/>
      <c r="U1057" s="1370"/>
      <c r="V1057" s="1370"/>
      <c r="W1057" s="1370"/>
      <c r="X1057" s="1370"/>
    </row>
    <row r="1058" spans="1:24" s="80" customFormat="1" x14ac:dyDescent="0.2">
      <c r="A1058" s="523">
        <v>43666</v>
      </c>
      <c r="B1058" s="1808" t="s">
        <v>5433</v>
      </c>
      <c r="C1058" s="1489" t="s">
        <v>2708</v>
      </c>
      <c r="D1058" s="1686">
        <v>2.1817129629629631E-2</v>
      </c>
      <c r="E1058" s="1489" t="s">
        <v>13192</v>
      </c>
      <c r="F1058" s="1489" t="s">
        <v>13186</v>
      </c>
      <c r="G1058" s="1815">
        <v>0.53369999999999995</v>
      </c>
      <c r="H1058" s="1514"/>
      <c r="I1058" s="1514"/>
      <c r="L1058" s="1370"/>
      <c r="M1058" s="1370"/>
      <c r="N1058" s="1370"/>
      <c r="O1058" s="1370"/>
      <c r="P1058" s="1370"/>
      <c r="Q1058" s="1370"/>
      <c r="R1058" s="1370"/>
      <c r="S1058" s="1370"/>
      <c r="T1058" s="1370"/>
      <c r="U1058" s="1370"/>
      <c r="V1058" s="1370"/>
      <c r="W1058" s="1370"/>
      <c r="X1058" s="1370"/>
    </row>
    <row r="1059" spans="1:24" s="80" customFormat="1" x14ac:dyDescent="0.2">
      <c r="A1059" s="1729">
        <v>43827</v>
      </c>
      <c r="B1059" s="1808" t="s">
        <v>665</v>
      </c>
      <c r="C1059" s="1489" t="s">
        <v>666</v>
      </c>
      <c r="D1059" s="1621">
        <v>2.1539351851851851E-2</v>
      </c>
      <c r="E1059" s="1489" t="s">
        <v>16422</v>
      </c>
      <c r="F1059" s="1489" t="s">
        <v>16438</v>
      </c>
      <c r="G1059" s="1817">
        <v>0.51259999999999994</v>
      </c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</row>
    <row r="1060" spans="1:24" s="80" customFormat="1" x14ac:dyDescent="0.2">
      <c r="A1060" s="34">
        <v>43824</v>
      </c>
      <c r="B1060" s="1808" t="s">
        <v>665</v>
      </c>
      <c r="C1060" s="1489" t="s">
        <v>666</v>
      </c>
      <c r="D1060" s="1621"/>
      <c r="E1060" s="1489" t="s">
        <v>16377</v>
      </c>
      <c r="F1060" s="1489" t="s">
        <v>5508</v>
      </c>
      <c r="G1060" s="1817"/>
      <c r="H1060" s="1404" t="s">
        <v>16365</v>
      </c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</row>
    <row r="1061" spans="1:24" s="80" customFormat="1" x14ac:dyDescent="0.2">
      <c r="A1061" s="1765">
        <v>43813</v>
      </c>
      <c r="B1061" s="1808" t="s">
        <v>665</v>
      </c>
      <c r="C1061" s="1489" t="s">
        <v>666</v>
      </c>
      <c r="D1061" s="1621">
        <v>2.0601851851851854E-2</v>
      </c>
      <c r="E1061" s="1489" t="s">
        <v>16276</v>
      </c>
      <c r="F1061" s="1489" t="s">
        <v>16290</v>
      </c>
      <c r="G1061" s="1817">
        <v>0.53600000000000003</v>
      </c>
      <c r="H1061" s="1404" t="s">
        <v>16297</v>
      </c>
      <c r="I1061" s="1486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</row>
    <row r="1062" spans="1:24" s="80" customFormat="1" x14ac:dyDescent="0.2">
      <c r="A1062" s="34">
        <v>43806</v>
      </c>
      <c r="B1062" s="1808" t="s">
        <v>665</v>
      </c>
      <c r="C1062" s="1489" t="s">
        <v>666</v>
      </c>
      <c r="D1062" s="1621">
        <v>2.074074074074074E-2</v>
      </c>
      <c r="E1062" s="1489" t="s">
        <v>16206</v>
      </c>
      <c r="F1062" s="1489" t="s">
        <v>16226</v>
      </c>
      <c r="G1062" s="1817">
        <v>0.53239999999999998</v>
      </c>
      <c r="H1062"/>
      <c r="I1062" s="1486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</row>
    <row r="1063" spans="1:24" s="80" customFormat="1" x14ac:dyDescent="0.2">
      <c r="A1063" s="1729">
        <v>43799</v>
      </c>
      <c r="B1063" s="1808" t="s">
        <v>665</v>
      </c>
      <c r="C1063" s="1489" t="s">
        <v>666</v>
      </c>
      <c r="D1063" s="1754">
        <v>2.222222222222222E-2</v>
      </c>
      <c r="E1063" s="1486" t="s">
        <v>16158</v>
      </c>
      <c r="F1063" s="1514" t="s">
        <v>16167</v>
      </c>
      <c r="G1063" s="1825">
        <v>0.49690000000000001</v>
      </c>
      <c r="H1063"/>
      <c r="I1063" s="1514" t="s">
        <v>16196</v>
      </c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</row>
    <row r="1064" spans="1:24" s="80" customFormat="1" x14ac:dyDescent="0.2">
      <c r="A1064" s="1751">
        <v>43792</v>
      </c>
      <c r="B1064" s="1808" t="s">
        <v>665</v>
      </c>
      <c r="C1064" s="1489" t="s">
        <v>666</v>
      </c>
      <c r="D1064" s="1786">
        <v>2.0057870370370372E-2</v>
      </c>
      <c r="E1064" s="1489" t="s">
        <v>16077</v>
      </c>
      <c r="F1064" s="1489" t="s">
        <v>16117</v>
      </c>
      <c r="G1064" s="1817">
        <v>0.55049999999999999</v>
      </c>
      <c r="H1064"/>
      <c r="I1064" s="1486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</row>
    <row r="1065" spans="1:24" s="80" customFormat="1" x14ac:dyDescent="0.2">
      <c r="A1065" s="1673">
        <v>43785</v>
      </c>
      <c r="B1065" s="1808" t="s">
        <v>665</v>
      </c>
      <c r="C1065" s="1489" t="s">
        <v>666</v>
      </c>
      <c r="D1065" s="1754">
        <v>2.0520833333333332E-2</v>
      </c>
      <c r="E1065" s="1514" t="s">
        <v>16065</v>
      </c>
      <c r="F1065" s="1514" t="s">
        <v>16038</v>
      </c>
      <c r="G1065" s="1825">
        <v>0.53810000000000002</v>
      </c>
      <c r="H1065" s="1486"/>
      <c r="I1065" s="1486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</row>
    <row r="1066" spans="1:24" s="80" customFormat="1" x14ac:dyDescent="0.2">
      <c r="A1066" s="1384">
        <v>43778</v>
      </c>
      <c r="B1066" s="1808" t="s">
        <v>665</v>
      </c>
      <c r="C1066" s="1489" t="s">
        <v>666</v>
      </c>
      <c r="D1066" s="1744">
        <v>2.0069444444444442E-2</v>
      </c>
      <c r="E1066" s="1723" t="s">
        <v>15952</v>
      </c>
      <c r="F1066" s="1723" t="s">
        <v>15977</v>
      </c>
      <c r="G1066" s="1820">
        <v>0.55020000000000002</v>
      </c>
      <c r="H1066" s="1489"/>
      <c r="I1066" s="1489"/>
      <c r="J1066" s="1370"/>
      <c r="K1066" s="1370"/>
      <c r="L1066" s="1370"/>
      <c r="M1066" s="1370"/>
      <c r="N1066" s="1370"/>
      <c r="O1066" s="1370"/>
      <c r="P1066" s="1370"/>
      <c r="Q1066" s="1370"/>
      <c r="R1066" s="1370"/>
      <c r="S1066" s="1370"/>
      <c r="T1066" s="1370"/>
      <c r="U1066" s="1370"/>
      <c r="V1066" s="1370"/>
      <c r="W1066" s="1370"/>
      <c r="X1066" s="1370"/>
    </row>
    <row r="1067" spans="1:24" s="80" customFormat="1" x14ac:dyDescent="0.2">
      <c r="A1067" s="1384">
        <v>43771</v>
      </c>
      <c r="B1067" s="1808" t="s">
        <v>665</v>
      </c>
      <c r="C1067" s="1489" t="s">
        <v>666</v>
      </c>
      <c r="D1067" s="1737">
        <v>2.2025462962962962E-2</v>
      </c>
      <c r="E1067" s="1489" t="s">
        <v>15883</v>
      </c>
      <c r="F1067" s="1489" t="s">
        <v>15972</v>
      </c>
      <c r="G1067" s="1815">
        <v>0.50129999999999997</v>
      </c>
      <c r="H1067" s="1489"/>
      <c r="I1067" s="1489"/>
      <c r="J1067" s="1370"/>
      <c r="K1067" s="1370"/>
      <c r="L1067" s="1370"/>
      <c r="M1067" s="1370"/>
      <c r="N1067" s="1370"/>
      <c r="O1067" s="1370"/>
      <c r="P1067" s="1370"/>
      <c r="Q1067" s="1370"/>
      <c r="R1067" s="1370"/>
      <c r="S1067" s="1370"/>
      <c r="T1067" s="1370"/>
      <c r="U1067" s="1370"/>
      <c r="V1067" s="1370"/>
      <c r="W1067" s="1370"/>
      <c r="X1067" s="1370"/>
    </row>
    <row r="1068" spans="1:24" s="80" customFormat="1" x14ac:dyDescent="0.2">
      <c r="A1068" s="1384">
        <v>43764</v>
      </c>
      <c r="B1068" s="1808" t="s">
        <v>665</v>
      </c>
      <c r="C1068" s="1489" t="s">
        <v>666</v>
      </c>
      <c r="D1068" s="1727">
        <v>2.0995370370370373E-2</v>
      </c>
      <c r="E1068" s="1728" t="s">
        <v>15911</v>
      </c>
      <c r="F1068" s="1728" t="s">
        <v>15923</v>
      </c>
      <c r="G1068" s="1821">
        <v>0.52590000000000003</v>
      </c>
      <c r="H1068" s="1489"/>
      <c r="I1068" s="1489"/>
      <c r="J1068" s="1370"/>
      <c r="K1068" s="1370"/>
      <c r="L1068" s="1370"/>
      <c r="M1068" s="1370"/>
      <c r="N1068" s="1370"/>
      <c r="O1068" s="1370"/>
      <c r="P1068" s="1370"/>
      <c r="Q1068" s="1370"/>
      <c r="R1068" s="1370"/>
      <c r="S1068" s="1370"/>
      <c r="T1068" s="1370"/>
      <c r="U1068" s="1370"/>
      <c r="V1068" s="1370"/>
      <c r="W1068" s="1370"/>
      <c r="X1068" s="1370"/>
    </row>
    <row r="1069" spans="1:24" s="80" customFormat="1" x14ac:dyDescent="0.2">
      <c r="A1069" s="523">
        <v>43757</v>
      </c>
      <c r="B1069" s="1808" t="s">
        <v>665</v>
      </c>
      <c r="C1069" s="1489" t="s">
        <v>666</v>
      </c>
      <c r="D1069" s="1686">
        <v>2.0069444444444442E-2</v>
      </c>
      <c r="E1069" s="1489" t="s">
        <v>15841</v>
      </c>
      <c r="F1069" s="1489"/>
      <c r="G1069" s="1815">
        <v>0.55020000000000002</v>
      </c>
      <c r="H1069" s="1489"/>
      <c r="I1069" s="1489"/>
      <c r="J1069" s="1489"/>
      <c r="K1069" s="1489"/>
    </row>
    <row r="1070" spans="1:24" s="80" customFormat="1" x14ac:dyDescent="0.2">
      <c r="A1070" s="523">
        <v>43757</v>
      </c>
      <c r="B1070" s="1808" t="s">
        <v>665</v>
      </c>
      <c r="C1070" s="1489" t="s">
        <v>666</v>
      </c>
      <c r="D1070" s="1686">
        <v>2.0069444444444442E-2</v>
      </c>
      <c r="E1070" s="1489" t="s">
        <v>15841</v>
      </c>
      <c r="F1070" s="1489" t="s">
        <v>15874</v>
      </c>
      <c r="G1070" s="1815">
        <v>0.55020000000000002</v>
      </c>
      <c r="H1070" s="1489"/>
      <c r="I1070" s="1489"/>
      <c r="J1070" s="1489"/>
      <c r="K1070" s="1489"/>
    </row>
    <row r="1071" spans="1:24" s="80" customFormat="1" x14ac:dyDescent="0.2">
      <c r="A1071" s="523">
        <v>43750</v>
      </c>
      <c r="B1071" s="1808" t="s">
        <v>665</v>
      </c>
      <c r="C1071" s="1489" t="s">
        <v>666</v>
      </c>
      <c r="D1071" s="1686">
        <v>1.9432870370370371E-2</v>
      </c>
      <c r="E1071" s="1489" t="s">
        <v>15794</v>
      </c>
      <c r="F1071" s="1489" t="s">
        <v>15826</v>
      </c>
      <c r="G1071" s="1815">
        <v>0.56820000000000004</v>
      </c>
      <c r="H1071" s="1514"/>
      <c r="I1071" s="1514"/>
    </row>
    <row r="1072" spans="1:24" s="80" customFormat="1" x14ac:dyDescent="0.2">
      <c r="A1072" s="1729">
        <v>43743</v>
      </c>
      <c r="B1072" s="1808" t="s">
        <v>665</v>
      </c>
      <c r="C1072" s="1489" t="s">
        <v>666</v>
      </c>
      <c r="D1072" s="1737">
        <v>2.0555555555555556E-2</v>
      </c>
      <c r="E1072" s="1514" t="s">
        <v>15708</v>
      </c>
      <c r="F1072" s="1514" t="s">
        <v>15760</v>
      </c>
      <c r="G1072" s="1822">
        <v>0.53720000000000001</v>
      </c>
      <c r="H1072" s="1514"/>
      <c r="I1072" s="1514"/>
    </row>
    <row r="1073" spans="1:24" s="80" customFormat="1" x14ac:dyDescent="0.2">
      <c r="A1073" s="523">
        <v>43741</v>
      </c>
      <c r="B1073" s="1808" t="s">
        <v>665</v>
      </c>
      <c r="C1073" s="1489" t="s">
        <v>666</v>
      </c>
      <c r="D1073" s="1686">
        <v>2.0219907407407409E-2</v>
      </c>
      <c r="E1073" s="1489" t="s">
        <v>15692</v>
      </c>
      <c r="F1073" s="1489" t="s">
        <v>15693</v>
      </c>
      <c r="G1073" s="1815">
        <v>0.54610000000000003</v>
      </c>
      <c r="H1073" s="1514"/>
      <c r="I1073" s="1514"/>
      <c r="L1073" s="1370"/>
      <c r="M1073" s="1370"/>
      <c r="N1073" s="1370"/>
      <c r="O1073" s="1370"/>
      <c r="P1073" s="1370"/>
      <c r="Q1073" s="1370"/>
      <c r="R1073" s="1370"/>
      <c r="S1073" s="1370"/>
      <c r="T1073" s="1370"/>
      <c r="U1073" s="1370"/>
      <c r="V1073" s="1370"/>
      <c r="W1073" s="1370"/>
      <c r="X1073" s="1370"/>
    </row>
    <row r="1074" spans="1:24" s="80" customFormat="1" x14ac:dyDescent="0.2">
      <c r="A1074" s="1729">
        <v>43736</v>
      </c>
      <c r="B1074" s="1808" t="s">
        <v>665</v>
      </c>
      <c r="C1074" s="1489" t="s">
        <v>666</v>
      </c>
      <c r="D1074" s="1686">
        <v>2.1747685185185182E-2</v>
      </c>
      <c r="E1074" s="1489" t="s">
        <v>15647</v>
      </c>
      <c r="F1074" s="1489" t="s">
        <v>15659</v>
      </c>
      <c r="G1074" s="1815">
        <v>0.50770000000000004</v>
      </c>
      <c r="H1074" s="1514"/>
      <c r="I1074" s="1514"/>
    </row>
    <row r="1075" spans="1:24" s="80" customFormat="1" x14ac:dyDescent="0.2">
      <c r="A1075" s="1729">
        <v>43729</v>
      </c>
      <c r="B1075" s="1808" t="s">
        <v>665</v>
      </c>
      <c r="C1075" s="1489" t="s">
        <v>666</v>
      </c>
      <c r="D1075" s="1686">
        <v>2.2303240740740742E-2</v>
      </c>
      <c r="E1075" s="1489" t="s">
        <v>15580</v>
      </c>
      <c r="F1075" s="1489" t="s">
        <v>15585</v>
      </c>
      <c r="G1075" s="1815">
        <v>0.49509999999999998</v>
      </c>
      <c r="H1075" s="1514"/>
      <c r="I1075" s="1514"/>
      <c r="L1075" s="1370"/>
      <c r="M1075" s="1370"/>
      <c r="N1075" s="1370"/>
      <c r="O1075" s="1370"/>
      <c r="P1075" s="1370"/>
      <c r="Q1075" s="1370"/>
      <c r="R1075" s="1370"/>
      <c r="S1075" s="1370"/>
      <c r="T1075" s="1370"/>
      <c r="U1075" s="1370"/>
      <c r="V1075" s="1370"/>
      <c r="W1075" s="1370"/>
      <c r="X1075" s="1370"/>
    </row>
    <row r="1076" spans="1:24" s="80" customFormat="1" x14ac:dyDescent="0.2">
      <c r="A1076" s="523">
        <v>43722</v>
      </c>
      <c r="B1076" s="1808" t="s">
        <v>665</v>
      </c>
      <c r="C1076" s="1489" t="s">
        <v>666</v>
      </c>
      <c r="D1076" s="1686">
        <v>2.0543981481481479E-2</v>
      </c>
      <c r="E1076" s="1489" t="s">
        <v>15457</v>
      </c>
      <c r="F1076" s="1489" t="s">
        <v>15498</v>
      </c>
      <c r="G1076" s="1815">
        <v>0.53749999999999998</v>
      </c>
      <c r="H1076" s="1514"/>
      <c r="I1076" s="1514"/>
      <c r="L1076" s="1370"/>
      <c r="M1076" s="1370"/>
      <c r="N1076" s="1370"/>
      <c r="O1076" s="1370"/>
      <c r="P1076" s="1370"/>
      <c r="Q1076" s="1370"/>
      <c r="R1076" s="1370"/>
      <c r="S1076" s="1370"/>
      <c r="T1076" s="1370"/>
      <c r="U1076" s="1370"/>
      <c r="V1076" s="1370"/>
      <c r="W1076" s="1370"/>
      <c r="X1076" s="1370"/>
    </row>
    <row r="1077" spans="1:24" s="80" customFormat="1" x14ac:dyDescent="0.2">
      <c r="A1077" s="523">
        <v>43708</v>
      </c>
      <c r="B1077" s="1808" t="s">
        <v>665</v>
      </c>
      <c r="C1077" s="1489" t="s">
        <v>666</v>
      </c>
      <c r="D1077" s="1686" t="s">
        <v>787</v>
      </c>
      <c r="E1077" s="1489" t="s">
        <v>12510</v>
      </c>
      <c r="F1077" s="1489" t="s">
        <v>5201</v>
      </c>
      <c r="G1077" s="1815"/>
      <c r="H1077" s="1514"/>
      <c r="I1077" s="1514"/>
      <c r="L1077" s="1370"/>
      <c r="M1077" s="1370"/>
      <c r="N1077" s="1370"/>
      <c r="O1077" s="1370"/>
      <c r="P1077" s="1370"/>
      <c r="Q1077" s="1370"/>
      <c r="R1077" s="1370"/>
      <c r="S1077" s="1370"/>
      <c r="T1077" s="1370"/>
      <c r="U1077" s="1370"/>
      <c r="V1077" s="1370"/>
      <c r="W1077" s="1370"/>
      <c r="X1077" s="1370"/>
    </row>
    <row r="1078" spans="1:24" s="80" customFormat="1" x14ac:dyDescent="0.2">
      <c r="A1078" s="1526">
        <v>43708</v>
      </c>
      <c r="B1078" s="1808" t="s">
        <v>665</v>
      </c>
      <c r="C1078" s="1489" t="s">
        <v>666</v>
      </c>
      <c r="D1078" s="1686">
        <v>2.0011574074074074E-2</v>
      </c>
      <c r="E1078" s="1489" t="s">
        <v>15367</v>
      </c>
      <c r="F1078" s="1489" t="s">
        <v>15387</v>
      </c>
      <c r="G1078" s="1815">
        <v>0.55179999999999996</v>
      </c>
      <c r="H1078" s="1489"/>
      <c r="I1078" s="1489"/>
      <c r="J1078" s="1489"/>
    </row>
    <row r="1079" spans="1:24" s="80" customFormat="1" x14ac:dyDescent="0.2">
      <c r="A1079" s="1526">
        <v>43701</v>
      </c>
      <c r="B1079" s="1808" t="s">
        <v>665</v>
      </c>
      <c r="C1079" s="1489" t="s">
        <v>666</v>
      </c>
      <c r="D1079" s="1686">
        <v>2.1874999999999999E-2</v>
      </c>
      <c r="E1079" s="1489" t="s">
        <v>15297</v>
      </c>
      <c r="F1079" s="1489" t="s">
        <v>15315</v>
      </c>
      <c r="G1079" s="1815">
        <v>0.50480000000000003</v>
      </c>
      <c r="H1079" s="1514"/>
      <c r="I1079" s="1514"/>
    </row>
    <row r="1080" spans="1:24" s="80" customFormat="1" x14ac:dyDescent="0.2">
      <c r="A1080" s="523">
        <v>43694</v>
      </c>
      <c r="B1080" s="1808" t="s">
        <v>665</v>
      </c>
      <c r="C1080" s="1489" t="s">
        <v>666</v>
      </c>
      <c r="D1080" s="1733">
        <v>1.9791666666666666E-2</v>
      </c>
      <c r="E1080" s="1489" t="s">
        <v>15166</v>
      </c>
      <c r="F1080" s="1489" t="s">
        <v>15178</v>
      </c>
      <c r="G1080" s="1815">
        <v>0.55789999999999995</v>
      </c>
      <c r="H1080" s="1514"/>
      <c r="I1080" s="1514"/>
    </row>
    <row r="1081" spans="1:24" s="80" customFormat="1" x14ac:dyDescent="0.2">
      <c r="A1081" s="523">
        <v>43687</v>
      </c>
      <c r="B1081" s="1808" t="s">
        <v>665</v>
      </c>
      <c r="C1081" s="1489" t="s">
        <v>666</v>
      </c>
      <c r="D1081" s="1686">
        <v>1.9884259259259258E-2</v>
      </c>
      <c r="E1081" s="1489" t="s">
        <v>13434</v>
      </c>
      <c r="F1081" s="1489" t="s">
        <v>13470</v>
      </c>
      <c r="G1081" s="1815">
        <v>0.55530000000000002</v>
      </c>
      <c r="H1081" s="1514"/>
      <c r="I1081" s="1514"/>
    </row>
    <row r="1082" spans="1:24" s="80" customFormat="1" x14ac:dyDescent="0.2">
      <c r="A1082" s="1384">
        <v>43680</v>
      </c>
      <c r="B1082" s="1808" t="s">
        <v>665</v>
      </c>
      <c r="C1082" s="1489" t="s">
        <v>666</v>
      </c>
      <c r="D1082" s="1686">
        <v>2.2650462962962963E-2</v>
      </c>
      <c r="E1082" s="1489" t="s">
        <v>13356</v>
      </c>
      <c r="F1082" s="1489" t="s">
        <v>13391</v>
      </c>
      <c r="G1082" s="1815">
        <v>0.48749999999999999</v>
      </c>
      <c r="H1082" s="1514"/>
      <c r="I1082" s="1514"/>
    </row>
    <row r="1083" spans="1:24" s="80" customFormat="1" x14ac:dyDescent="0.2">
      <c r="A1083" s="1384">
        <v>43673</v>
      </c>
      <c r="B1083" s="1808" t="s">
        <v>665</v>
      </c>
      <c r="C1083" s="1489" t="s">
        <v>666</v>
      </c>
      <c r="D1083" s="1686">
        <v>2.0613425925925924E-2</v>
      </c>
      <c r="E1083" s="1489" t="s">
        <v>13292</v>
      </c>
      <c r="F1083" s="1489" t="s">
        <v>13305</v>
      </c>
      <c r="G1083" s="1815">
        <v>0.53569999999999995</v>
      </c>
      <c r="H1083" s="1514"/>
      <c r="I1083" s="1514"/>
    </row>
    <row r="1084" spans="1:24" s="80" customFormat="1" x14ac:dyDescent="0.2">
      <c r="A1084" s="523">
        <v>43666</v>
      </c>
      <c r="B1084" s="1808" t="s">
        <v>665</v>
      </c>
      <c r="C1084" s="1489" t="s">
        <v>666</v>
      </c>
      <c r="D1084" s="1686">
        <v>2.1064814814814814E-2</v>
      </c>
      <c r="E1084" s="1489" t="s">
        <v>13196</v>
      </c>
      <c r="F1084" s="1489" t="s">
        <v>13223</v>
      </c>
      <c r="G1084" s="1815">
        <v>0.51980000000000004</v>
      </c>
      <c r="H1084" s="1514"/>
      <c r="I1084" s="1514"/>
    </row>
    <row r="1085" spans="1:24" s="80" customFormat="1" x14ac:dyDescent="0.2">
      <c r="A1085" s="523">
        <v>43659</v>
      </c>
      <c r="B1085" s="1808" t="s">
        <v>665</v>
      </c>
      <c r="C1085" s="1489" t="s">
        <v>666</v>
      </c>
      <c r="D1085" s="1686">
        <v>1.9733796296296298E-2</v>
      </c>
      <c r="E1085" s="1489" t="s">
        <v>13140</v>
      </c>
      <c r="F1085" s="1489" t="s">
        <v>13172</v>
      </c>
      <c r="G1085" s="1815">
        <v>0.55479999999999996</v>
      </c>
      <c r="H1085" s="1514"/>
      <c r="I1085" s="1489"/>
    </row>
    <row r="1086" spans="1:24" s="80" customFormat="1" x14ac:dyDescent="0.2">
      <c r="A1086" s="523">
        <v>43652</v>
      </c>
      <c r="B1086" s="1808" t="s">
        <v>665</v>
      </c>
      <c r="C1086" s="1489" t="s">
        <v>666</v>
      </c>
      <c r="D1086" s="1695" t="s">
        <v>3334</v>
      </c>
      <c r="E1086" s="1514" t="s">
        <v>12510</v>
      </c>
      <c r="F1086" s="1489" t="s">
        <v>13087</v>
      </c>
      <c r="G1086" s="1822"/>
      <c r="H1086" s="1579"/>
      <c r="I1086" s="1489"/>
      <c r="J1086" s="1489"/>
      <c r="K1086" s="1489"/>
      <c r="L1086" s="1370"/>
      <c r="M1086" s="1370"/>
      <c r="N1086" s="1370"/>
      <c r="O1086" s="1370"/>
      <c r="P1086" s="1370"/>
      <c r="Q1086" s="1370"/>
      <c r="R1086" s="1370"/>
      <c r="S1086" s="1370"/>
      <c r="T1086" s="1370"/>
      <c r="U1086" s="1370"/>
      <c r="V1086" s="1370"/>
      <c r="W1086" s="1370"/>
      <c r="X1086" s="1370"/>
    </row>
    <row r="1087" spans="1:24" s="80" customFormat="1" x14ac:dyDescent="0.2">
      <c r="A1087" s="523">
        <v>43645</v>
      </c>
      <c r="B1087" s="1808" t="s">
        <v>665</v>
      </c>
      <c r="C1087" s="1489" t="s">
        <v>666</v>
      </c>
      <c r="D1087" s="1686">
        <v>2.0451388888888887E-2</v>
      </c>
      <c r="E1087" s="1514" t="s">
        <v>13024</v>
      </c>
      <c r="F1087" s="1514"/>
      <c r="G1087" s="1815">
        <v>0.53539999999999999</v>
      </c>
      <c r="H1087" s="1514"/>
      <c r="I1087" s="1514"/>
      <c r="L1087" s="1370"/>
      <c r="M1087" s="1370"/>
      <c r="N1087" s="1370"/>
      <c r="O1087" s="1370"/>
      <c r="P1087" s="1370"/>
      <c r="Q1087" s="1370"/>
      <c r="R1087" s="1370"/>
      <c r="S1087" s="1370"/>
      <c r="T1087" s="1370"/>
      <c r="U1087" s="1370"/>
      <c r="V1087" s="1370"/>
      <c r="W1087" s="1370"/>
      <c r="X1087" s="1370"/>
    </row>
    <row r="1088" spans="1:24" s="80" customFormat="1" x14ac:dyDescent="0.2">
      <c r="A1088" s="523">
        <v>43638</v>
      </c>
      <c r="B1088" s="1808" t="s">
        <v>665</v>
      </c>
      <c r="C1088" s="1489" t="s">
        <v>666</v>
      </c>
      <c r="D1088" s="1835">
        <v>2.148148148148148E-2</v>
      </c>
      <c r="E1088" s="1569" t="s">
        <v>12992</v>
      </c>
      <c r="F1088" s="1569" t="s">
        <v>13010</v>
      </c>
      <c r="G1088" s="1818">
        <v>0.50970000000000004</v>
      </c>
      <c r="H1088" s="1514"/>
      <c r="I1088" s="1514" t="s">
        <v>13011</v>
      </c>
      <c r="L1088" s="1370"/>
      <c r="M1088" s="1370"/>
      <c r="N1088" s="1370"/>
      <c r="O1088" s="1370"/>
      <c r="P1088" s="1370"/>
      <c r="Q1088" s="1370"/>
      <c r="R1088" s="1370"/>
      <c r="S1088" s="1370"/>
      <c r="T1088" s="1370"/>
      <c r="U1088" s="1370"/>
      <c r="V1088" s="1370"/>
      <c r="W1088" s="1370"/>
      <c r="X1088" s="1370"/>
    </row>
    <row r="1089" spans="1:24" s="80" customFormat="1" x14ac:dyDescent="0.2">
      <c r="A1089" s="523">
        <v>43631</v>
      </c>
      <c r="B1089" s="1808" t="s">
        <v>665</v>
      </c>
      <c r="C1089" s="1489" t="s">
        <v>666</v>
      </c>
      <c r="D1089" s="1835">
        <v>1.9143518518518518E-2</v>
      </c>
      <c r="E1089" s="1569" t="s">
        <v>12934</v>
      </c>
      <c r="F1089" s="1624" t="s">
        <v>12946</v>
      </c>
      <c r="G1089" s="1818">
        <v>0.57189999999999996</v>
      </c>
      <c r="H1089" s="1514"/>
      <c r="I1089" s="1514"/>
      <c r="L1089" s="1370"/>
      <c r="M1089" s="1370"/>
      <c r="N1089" s="1370"/>
      <c r="O1089" s="1370"/>
      <c r="P1089" s="1370"/>
      <c r="Q1089" s="1370"/>
      <c r="R1089" s="1370"/>
      <c r="S1089" s="1370"/>
      <c r="T1089" s="1370"/>
      <c r="U1089" s="1370"/>
      <c r="V1089" s="1370"/>
      <c r="W1089" s="1370"/>
      <c r="X1089" s="1370"/>
    </row>
    <row r="1090" spans="1:24" s="80" customFormat="1" x14ac:dyDescent="0.2">
      <c r="A1090" s="523">
        <v>43624</v>
      </c>
      <c r="B1090" s="1808" t="s">
        <v>665</v>
      </c>
      <c r="C1090" s="1489" t="s">
        <v>666</v>
      </c>
      <c r="D1090" s="1835">
        <v>2.0254629629629629E-2</v>
      </c>
      <c r="E1090" s="1569" t="s">
        <v>12850</v>
      </c>
      <c r="F1090" s="1569" t="s">
        <v>12846</v>
      </c>
      <c r="G1090" s="1818">
        <v>0.54059999999999997</v>
      </c>
      <c r="H1090" s="1514"/>
      <c r="I1090" s="1514"/>
    </row>
    <row r="1091" spans="1:24" s="80" customFormat="1" ht="25.5" x14ac:dyDescent="0.2">
      <c r="A1091" s="1384">
        <v>43617</v>
      </c>
      <c r="B1091" s="1808" t="s">
        <v>665</v>
      </c>
      <c r="C1091" s="1489" t="s">
        <v>666</v>
      </c>
      <c r="D1091" s="1836">
        <v>2.3298611111111107E-2</v>
      </c>
      <c r="E1091" s="1568" t="s">
        <v>12811</v>
      </c>
      <c r="F1091" s="1568" t="s">
        <v>12776</v>
      </c>
      <c r="G1091" s="1819">
        <v>0.46989999999999998</v>
      </c>
      <c r="H1091" s="1489"/>
      <c r="I1091" s="1489"/>
      <c r="J1091" s="1370"/>
      <c r="K1091" s="1370"/>
    </row>
    <row r="1092" spans="1:24" s="80" customFormat="1" x14ac:dyDescent="0.2">
      <c r="A1092" s="1384">
        <v>43610</v>
      </c>
      <c r="B1092" s="1808" t="s">
        <v>665</v>
      </c>
      <c r="C1092" s="1489" t="s">
        <v>666</v>
      </c>
      <c r="D1092" s="1733">
        <v>2.0208333333333335E-2</v>
      </c>
      <c r="E1092" s="1489" t="s">
        <v>12725</v>
      </c>
      <c r="F1092" s="1489" t="s">
        <v>12752</v>
      </c>
      <c r="G1092" s="1815">
        <v>0.54179999999999995</v>
      </c>
      <c r="H1092" s="1489"/>
      <c r="I1092" s="1489"/>
      <c r="J1092" s="1370"/>
      <c r="K1092" s="1370"/>
      <c r="L1092" s="1370"/>
      <c r="M1092" s="1370"/>
      <c r="N1092" s="1370"/>
      <c r="O1092" s="1370"/>
      <c r="P1092" s="1370"/>
      <c r="Q1092" s="1370"/>
      <c r="R1092" s="1370"/>
      <c r="S1092" s="1370"/>
      <c r="T1092" s="1370"/>
      <c r="U1092" s="1370"/>
      <c r="V1092" s="1370"/>
      <c r="W1092" s="1370"/>
      <c r="X1092" s="1370"/>
    </row>
    <row r="1093" spans="1:24" s="80" customFormat="1" x14ac:dyDescent="0.2">
      <c r="A1093" s="1384">
        <v>43603</v>
      </c>
      <c r="B1093" s="1808" t="s">
        <v>665</v>
      </c>
      <c r="C1093" s="1489" t="s">
        <v>666</v>
      </c>
      <c r="D1093" s="1733" t="s">
        <v>787</v>
      </c>
      <c r="E1093" s="1489" t="s">
        <v>12690</v>
      </c>
      <c r="F1093" s="1489" t="s">
        <v>1549</v>
      </c>
      <c r="G1093" s="1815"/>
      <c r="H1093" s="1489"/>
      <c r="I1093" s="1489"/>
      <c r="J1093" s="1370"/>
      <c r="K1093" s="1370"/>
      <c r="L1093" s="1370"/>
      <c r="M1093" s="1370"/>
      <c r="N1093" s="1370"/>
      <c r="O1093" s="1370"/>
      <c r="P1093" s="1370"/>
      <c r="Q1093" s="1370"/>
      <c r="R1093" s="1370"/>
      <c r="S1093" s="1370"/>
      <c r="T1093" s="1370"/>
      <c r="U1093" s="1370"/>
      <c r="V1093" s="1370"/>
      <c r="W1093" s="1370"/>
      <c r="X1093" s="1370"/>
    </row>
    <row r="1094" spans="1:24" s="80" customFormat="1" x14ac:dyDescent="0.2">
      <c r="A1094" s="1384">
        <v>43596</v>
      </c>
      <c r="B1094" s="1808" t="s">
        <v>665</v>
      </c>
      <c r="C1094" s="1489" t="s">
        <v>666</v>
      </c>
      <c r="D1094" s="1733">
        <v>2.165509259259259E-2</v>
      </c>
      <c r="E1094" s="1489" t="s">
        <v>12514</v>
      </c>
      <c r="F1094" s="1489" t="s">
        <v>12517</v>
      </c>
      <c r="G1094" s="1815">
        <v>0.50560000000000005</v>
      </c>
      <c r="H1094" s="1489"/>
      <c r="I1094" s="1489" t="s">
        <v>1139</v>
      </c>
      <c r="J1094" s="1370"/>
      <c r="K1094" s="1370"/>
      <c r="L1094" s="1370"/>
      <c r="M1094" s="1370"/>
      <c r="N1094" s="1370"/>
      <c r="O1094" s="1370"/>
      <c r="P1094" s="1370"/>
      <c r="Q1094" s="1370"/>
      <c r="R1094" s="1370"/>
      <c r="S1094" s="1370"/>
      <c r="T1094" s="1370"/>
      <c r="U1094" s="1370"/>
      <c r="V1094" s="1370"/>
      <c r="W1094" s="1370"/>
      <c r="X1094" s="1370"/>
    </row>
    <row r="1095" spans="1:24" s="80" customFormat="1" x14ac:dyDescent="0.2">
      <c r="A1095" s="1384">
        <v>43589</v>
      </c>
      <c r="B1095" s="1808" t="s">
        <v>665</v>
      </c>
      <c r="C1095" s="1489" t="s">
        <v>666</v>
      </c>
      <c r="D1095" s="1733">
        <v>1.923611111111111E-2</v>
      </c>
      <c r="E1095" s="1489" t="s">
        <v>12522</v>
      </c>
      <c r="F1095" s="1489" t="s">
        <v>12520</v>
      </c>
      <c r="G1095" s="1815">
        <v>0.56920000000000004</v>
      </c>
      <c r="H1095" s="1489"/>
      <c r="I1095" s="1489"/>
      <c r="J1095" s="1370"/>
      <c r="K1095" s="1370"/>
      <c r="L1095" s="1370"/>
      <c r="M1095" s="1370"/>
      <c r="N1095" s="1370"/>
      <c r="O1095" s="1370"/>
      <c r="P1095" s="1370"/>
      <c r="Q1095" s="1370"/>
      <c r="R1095" s="1370"/>
      <c r="S1095" s="1370"/>
      <c r="T1095" s="1370"/>
      <c r="U1095" s="1370"/>
      <c r="V1095" s="1370"/>
      <c r="W1095" s="1370"/>
      <c r="X1095" s="1370"/>
    </row>
    <row r="1096" spans="1:24" s="80" customFormat="1" x14ac:dyDescent="0.2">
      <c r="A1096" s="1384">
        <v>43582</v>
      </c>
      <c r="B1096" s="1808" t="s">
        <v>665</v>
      </c>
      <c r="C1096" s="1489" t="s">
        <v>666</v>
      </c>
      <c r="D1096" s="1733">
        <v>2.028935185185185E-2</v>
      </c>
      <c r="E1096" s="1489" t="s">
        <v>12519</v>
      </c>
      <c r="F1096" s="1489" t="s">
        <v>12518</v>
      </c>
      <c r="G1096" s="1815">
        <v>0.53959999999999997</v>
      </c>
      <c r="H1096" s="1489">
        <v>12</v>
      </c>
      <c r="I1096" s="1489" t="s">
        <v>12770</v>
      </c>
      <c r="J1096" s="1370"/>
      <c r="K1096" s="1370"/>
    </row>
    <row r="1097" spans="1:24" s="80" customFormat="1" x14ac:dyDescent="0.2">
      <c r="A1097" s="1384">
        <v>43575</v>
      </c>
      <c r="B1097" s="1808" t="s">
        <v>665</v>
      </c>
      <c r="C1097" s="1489" t="s">
        <v>666</v>
      </c>
      <c r="D1097" s="1733">
        <v>1.954861111111111E-2</v>
      </c>
      <c r="E1097" s="1489" t="s">
        <v>12497</v>
      </c>
      <c r="F1097" s="1489" t="s">
        <v>12490</v>
      </c>
      <c r="G1097" s="1815">
        <v>0.56010000000000004</v>
      </c>
      <c r="H1097" s="1489">
        <v>11</v>
      </c>
      <c r="I1097" s="1489" t="s">
        <v>12771</v>
      </c>
      <c r="J1097" s="1370"/>
      <c r="K1097" s="1370"/>
    </row>
    <row r="1098" spans="1:24" s="80" customFormat="1" x14ac:dyDescent="0.2">
      <c r="A1098" s="1384">
        <v>43568</v>
      </c>
      <c r="B1098" s="1808" t="s">
        <v>665</v>
      </c>
      <c r="C1098" s="1489" t="s">
        <v>666</v>
      </c>
      <c r="D1098" s="1733">
        <v>1.8865740740740742E-2</v>
      </c>
      <c r="E1098" s="1489" t="s">
        <v>12424</v>
      </c>
      <c r="F1098" s="1489" t="s">
        <v>12434</v>
      </c>
      <c r="G1098" s="1815">
        <v>0.58040000000000003</v>
      </c>
      <c r="H1098" s="1489">
        <v>10</v>
      </c>
      <c r="I1098" s="1489" t="s">
        <v>12425</v>
      </c>
      <c r="J1098" s="1370"/>
      <c r="K1098" s="1370"/>
    </row>
    <row r="1099" spans="1:24" s="80" customFormat="1" x14ac:dyDescent="0.2">
      <c r="A1099" s="1384">
        <v>43561</v>
      </c>
      <c r="B1099" s="1808" t="s">
        <v>665</v>
      </c>
      <c r="C1099" s="1489" t="s">
        <v>666</v>
      </c>
      <c r="D1099" s="1733">
        <v>2.0393518518518519E-2</v>
      </c>
      <c r="E1099" s="1489" t="s">
        <v>12332</v>
      </c>
      <c r="F1099" s="1489" t="s">
        <v>12349</v>
      </c>
      <c r="G1099" s="1815">
        <v>0.53690000000000004</v>
      </c>
      <c r="H1099" s="1489">
        <v>9</v>
      </c>
      <c r="I1099" s="1489"/>
      <c r="J1099" s="1370"/>
      <c r="K1099" s="1370"/>
    </row>
    <row r="1100" spans="1:24" s="80" customFormat="1" x14ac:dyDescent="0.2">
      <c r="A1100" s="1384">
        <v>43554</v>
      </c>
      <c r="B1100" s="1808" t="s">
        <v>665</v>
      </c>
      <c r="C1100" s="1489" t="s">
        <v>666</v>
      </c>
      <c r="D1100" s="1733">
        <v>1.9918981481481482E-2</v>
      </c>
      <c r="E1100" s="1489" t="s">
        <v>12288</v>
      </c>
      <c r="F1100" s="1489" t="s">
        <v>12276</v>
      </c>
      <c r="G1100" s="1815">
        <v>0.54969999999999997</v>
      </c>
      <c r="H1100" s="1489">
        <v>8</v>
      </c>
      <c r="I1100" s="1489"/>
      <c r="J1100" s="1370"/>
      <c r="K1100" s="1370"/>
    </row>
    <row r="1101" spans="1:24" s="80" customFormat="1" x14ac:dyDescent="0.2">
      <c r="A1101" s="1384">
        <v>43547</v>
      </c>
      <c r="B1101" s="1808" t="s">
        <v>665</v>
      </c>
      <c r="C1101" s="1489" t="s">
        <v>666</v>
      </c>
      <c r="D1101" s="1733">
        <v>1.9884259259259258E-2</v>
      </c>
      <c r="E1101" s="1489" t="s">
        <v>12164</v>
      </c>
      <c r="F1101" s="1489" t="s">
        <v>12165</v>
      </c>
      <c r="G1101" s="1815">
        <v>0.55059999999999998</v>
      </c>
      <c r="H1101" s="1489">
        <v>7</v>
      </c>
      <c r="I1101" s="1489"/>
      <c r="J1101" s="1370"/>
      <c r="K1101" s="1370"/>
      <c r="L1101" s="1370"/>
      <c r="M1101" s="1370"/>
      <c r="N1101" s="1370"/>
      <c r="O1101" s="1370"/>
      <c r="P1101" s="1370"/>
      <c r="Q1101" s="1370"/>
      <c r="R1101" s="1370"/>
      <c r="S1101" s="1370"/>
      <c r="T1101" s="1370"/>
      <c r="U1101" s="1370"/>
      <c r="V1101" s="1370"/>
      <c r="W1101" s="1370"/>
      <c r="X1101" s="1370"/>
    </row>
    <row r="1102" spans="1:24" s="80" customFormat="1" x14ac:dyDescent="0.2">
      <c r="A1102" s="1384">
        <v>43540</v>
      </c>
      <c r="B1102" s="1808" t="s">
        <v>665</v>
      </c>
      <c r="C1102" s="1489" t="s">
        <v>666</v>
      </c>
      <c r="D1102" s="1733">
        <v>1.9027777777777779E-2</v>
      </c>
      <c r="E1102" s="1489" t="s">
        <v>12133</v>
      </c>
      <c r="F1102" s="1489" t="s">
        <v>12147</v>
      </c>
      <c r="G1102" s="1815">
        <v>0.57540000000000002</v>
      </c>
      <c r="H1102" s="1489">
        <v>6</v>
      </c>
      <c r="I1102" s="1489" t="s">
        <v>12148</v>
      </c>
      <c r="J1102" s="1370"/>
      <c r="K1102" s="1370"/>
    </row>
    <row r="1103" spans="1:24" s="80" customFormat="1" x14ac:dyDescent="0.2">
      <c r="A1103" s="1384">
        <v>43533</v>
      </c>
      <c r="B1103" s="1808" t="s">
        <v>665</v>
      </c>
      <c r="C1103" s="1489" t="s">
        <v>666</v>
      </c>
      <c r="D1103" s="1733">
        <v>1.8981481481481481E-2</v>
      </c>
      <c r="E1103" s="1489" t="s">
        <v>12008</v>
      </c>
      <c r="F1103" s="1489" t="s">
        <v>12151</v>
      </c>
      <c r="G1103" s="1815">
        <v>0.57679999999999998</v>
      </c>
      <c r="H1103" s="1756">
        <v>5</v>
      </c>
      <c r="I1103" s="1489" t="s">
        <v>12009</v>
      </c>
      <c r="J1103" s="1370"/>
      <c r="K1103" s="1370"/>
    </row>
    <row r="1104" spans="1:24" s="80" customFormat="1" x14ac:dyDescent="0.2">
      <c r="A1104" s="1384">
        <v>43526</v>
      </c>
      <c r="B1104" s="1808" t="s">
        <v>665</v>
      </c>
      <c r="C1104" s="1489" t="s">
        <v>666</v>
      </c>
      <c r="D1104" s="1733">
        <v>2.0532407407407405E-2</v>
      </c>
      <c r="E1104" s="1489" t="s">
        <v>11955</v>
      </c>
      <c r="F1104" s="1489" t="s">
        <v>11956</v>
      </c>
      <c r="G1104" s="1815">
        <v>0.5363</v>
      </c>
      <c r="H1104" s="1756">
        <v>4</v>
      </c>
      <c r="I1104" s="1489"/>
      <c r="J1104" s="1370"/>
      <c r="K1104" s="1370"/>
    </row>
    <row r="1105" spans="1:24" s="80" customFormat="1" x14ac:dyDescent="0.2">
      <c r="A1105" s="1384">
        <v>43519</v>
      </c>
      <c r="B1105" s="1808" t="s">
        <v>665</v>
      </c>
      <c r="C1105" s="1489" t="s">
        <v>666</v>
      </c>
      <c r="D1105" s="1733">
        <v>2.0162037037037037E-2</v>
      </c>
      <c r="E1105" s="1489" t="s">
        <v>11869</v>
      </c>
      <c r="F1105" s="1489" t="s">
        <v>12150</v>
      </c>
      <c r="G1105" s="1815">
        <v>0.57310000000000005</v>
      </c>
      <c r="H1105" s="1756">
        <v>3</v>
      </c>
      <c r="I1105" s="1489"/>
      <c r="J1105" s="1370"/>
      <c r="K1105" s="1370"/>
    </row>
    <row r="1106" spans="1:24" s="80" customFormat="1" x14ac:dyDescent="0.2">
      <c r="A1106" s="1384">
        <v>43512</v>
      </c>
      <c r="B1106" s="1808" t="s">
        <v>665</v>
      </c>
      <c r="C1106" s="1489" t="s">
        <v>666</v>
      </c>
      <c r="D1106" s="1733">
        <v>1.9733796296296298E-2</v>
      </c>
      <c r="E1106" s="1489" t="s">
        <v>11815</v>
      </c>
      <c r="F1106" s="1489" t="s">
        <v>12149</v>
      </c>
      <c r="G1106" s="1815">
        <v>0.55479999999999996</v>
      </c>
      <c r="H1106" s="1756">
        <v>2</v>
      </c>
      <c r="I1106" s="1489" t="s">
        <v>11816</v>
      </c>
      <c r="J1106" s="1370"/>
      <c r="K1106" s="1370"/>
    </row>
    <row r="1107" spans="1:24" s="80" customFormat="1" x14ac:dyDescent="0.2">
      <c r="A1107" s="1384">
        <v>43505</v>
      </c>
      <c r="B1107" s="1808" t="s">
        <v>665</v>
      </c>
      <c r="C1107" s="1489" t="s">
        <v>666</v>
      </c>
      <c r="D1107" s="1733">
        <v>2.074074074074074E-2</v>
      </c>
      <c r="E1107" s="1489" t="s">
        <v>11769</v>
      </c>
      <c r="F1107" s="1489" t="s">
        <v>12146</v>
      </c>
      <c r="G1107" s="1815">
        <v>0.52790000000000004</v>
      </c>
      <c r="H1107" s="1489">
        <v>1</v>
      </c>
      <c r="I1107" s="1489"/>
      <c r="J1107" s="1370"/>
      <c r="K1107" s="1370"/>
    </row>
    <row r="1108" spans="1:24" s="80" customFormat="1" x14ac:dyDescent="0.2">
      <c r="A1108" s="1384">
        <v>43498</v>
      </c>
      <c r="B1108" s="1808" t="s">
        <v>665</v>
      </c>
      <c r="C1108" s="1489" t="s">
        <v>666</v>
      </c>
      <c r="D1108" s="1733">
        <v>2.1458333333333333E-2</v>
      </c>
      <c r="E1108" s="1489" t="s">
        <v>11670</v>
      </c>
      <c r="F1108" s="1489" t="s">
        <v>11748</v>
      </c>
      <c r="G1108" s="1815">
        <v>0.51019999999999999</v>
      </c>
      <c r="H1108" s="1489"/>
      <c r="I1108" s="1489"/>
      <c r="J1108" s="1370"/>
      <c r="K1108" s="1370"/>
    </row>
    <row r="1109" spans="1:24" s="80" customFormat="1" x14ac:dyDescent="0.2">
      <c r="A1109" s="1384">
        <v>43491</v>
      </c>
      <c r="B1109" s="1808" t="s">
        <v>665</v>
      </c>
      <c r="C1109" s="1489" t="s">
        <v>666</v>
      </c>
      <c r="D1109" s="1733">
        <v>1.9166666666666669E-2</v>
      </c>
      <c r="E1109" s="1489" t="s">
        <v>9620</v>
      </c>
      <c r="F1109" s="1545" t="s">
        <v>11692</v>
      </c>
      <c r="G1109" s="1815">
        <v>0.57130000000000003</v>
      </c>
      <c r="H1109" s="1489"/>
      <c r="I1109" s="1489"/>
      <c r="J1109" s="1370"/>
      <c r="K1109" s="1370"/>
    </row>
    <row r="1110" spans="1:24" s="80" customFormat="1" x14ac:dyDescent="0.2">
      <c r="A1110" s="1384">
        <v>43484</v>
      </c>
      <c r="B1110" s="1808" t="s">
        <v>665</v>
      </c>
      <c r="C1110" s="1489" t="s">
        <v>666</v>
      </c>
      <c r="D1110" s="1733">
        <v>1.8912037037037036E-2</v>
      </c>
      <c r="E1110" s="1489" t="s">
        <v>10622</v>
      </c>
      <c r="F1110" s="1489" t="s">
        <v>11549</v>
      </c>
      <c r="G1110" s="1815">
        <v>0.57889999999999997</v>
      </c>
      <c r="H1110" s="1489"/>
      <c r="I1110" s="1489"/>
      <c r="J1110" s="1370"/>
      <c r="K1110" s="1370"/>
    </row>
    <row r="1111" spans="1:24" s="80" customFormat="1" x14ac:dyDescent="0.2">
      <c r="A1111" s="1384">
        <v>43477</v>
      </c>
      <c r="B1111" s="1808" t="s">
        <v>665</v>
      </c>
      <c r="C1111" s="1489" t="s">
        <v>666</v>
      </c>
      <c r="D1111" s="1733">
        <v>2.0763888888888887E-2</v>
      </c>
      <c r="E1111" s="1489" t="s">
        <v>11552</v>
      </c>
      <c r="F1111" s="1489" t="s">
        <v>11611</v>
      </c>
      <c r="G1111" s="1815">
        <v>0.52729999999999999</v>
      </c>
      <c r="H1111" s="1489"/>
      <c r="I1111" s="1489"/>
      <c r="J1111" s="1370"/>
      <c r="K1111" s="1370"/>
    </row>
    <row r="1112" spans="1:24" s="80" customFormat="1" x14ac:dyDescent="0.2">
      <c r="A1112" s="1384">
        <v>43470</v>
      </c>
      <c r="B1112" s="1808" t="s">
        <v>665</v>
      </c>
      <c r="C1112" s="1489" t="s">
        <v>666</v>
      </c>
      <c r="D1112" s="1733">
        <v>1.8043981481481484E-2</v>
      </c>
      <c r="E1112" s="1489" t="s">
        <v>9304</v>
      </c>
      <c r="F1112" s="1489" t="s">
        <v>11553</v>
      </c>
      <c r="G1112" s="1815">
        <v>0.60680000000000001</v>
      </c>
      <c r="H1112" s="1489"/>
      <c r="I1112" s="1489"/>
      <c r="J1112" s="1370"/>
      <c r="K1112" s="1370"/>
    </row>
    <row r="1113" spans="1:24" s="80" customFormat="1" x14ac:dyDescent="0.2">
      <c r="A1113" s="1384">
        <v>43466</v>
      </c>
      <c r="B1113" s="1808" t="s">
        <v>665</v>
      </c>
      <c r="C1113" s="1489" t="s">
        <v>666</v>
      </c>
      <c r="D1113" s="1733">
        <v>2.0011574074074074E-2</v>
      </c>
      <c r="E1113" s="1489" t="s">
        <v>11494</v>
      </c>
      <c r="F1113" s="1489" t="s">
        <v>11530</v>
      </c>
      <c r="G1113" s="1815">
        <v>0.54710000000000003</v>
      </c>
      <c r="H1113" s="1489"/>
      <c r="I1113" s="1489"/>
      <c r="J1113" s="1370"/>
      <c r="K1113" s="1370"/>
    </row>
    <row r="1114" spans="1:24" s="80" customFormat="1" x14ac:dyDescent="0.2">
      <c r="A1114" s="1384">
        <v>43466</v>
      </c>
      <c r="B1114" s="1808" t="s">
        <v>665</v>
      </c>
      <c r="C1114" s="1489" t="s">
        <v>666</v>
      </c>
      <c r="D1114" s="1733">
        <v>2.056712962962963E-2</v>
      </c>
      <c r="E1114" s="1489" t="s">
        <v>11501</v>
      </c>
      <c r="F1114" s="1489" t="s">
        <v>11531</v>
      </c>
      <c r="G1114" s="1815">
        <v>0.53239999999999998</v>
      </c>
      <c r="H1114" s="1489"/>
      <c r="I1114" s="1489" t="s">
        <v>11532</v>
      </c>
      <c r="J1114" s="1370"/>
      <c r="K1114" s="1370"/>
      <c r="L1114" s="1370"/>
      <c r="M1114" s="1370"/>
      <c r="N1114" s="1370"/>
      <c r="O1114" s="1370"/>
      <c r="P1114" s="1370"/>
      <c r="Q1114" s="1370"/>
      <c r="R1114" s="1370"/>
      <c r="S1114" s="1370"/>
      <c r="T1114" s="1370"/>
      <c r="U1114" s="1370"/>
      <c r="V1114" s="1370"/>
      <c r="W1114" s="1370"/>
      <c r="X1114" s="1370"/>
    </row>
    <row r="1115" spans="1:24" s="80" customFormat="1" x14ac:dyDescent="0.2">
      <c r="A1115" s="34">
        <v>43827</v>
      </c>
      <c r="B1115" s="1808" t="s">
        <v>12797</v>
      </c>
      <c r="C1115" s="1489" t="s">
        <v>12718</v>
      </c>
      <c r="D1115" s="1621">
        <v>1.5636574074074074E-2</v>
      </c>
      <c r="E1115" s="1489" t="s">
        <v>16420</v>
      </c>
      <c r="F1115" s="1489" t="s">
        <v>16443</v>
      </c>
      <c r="G1115" s="1817">
        <v>0.6573</v>
      </c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</row>
    <row r="1116" spans="1:24" s="80" customFormat="1" x14ac:dyDescent="0.2">
      <c r="A1116" s="34">
        <v>43824</v>
      </c>
      <c r="B1116" s="1808" t="s">
        <v>12797</v>
      </c>
      <c r="C1116" s="1489" t="s">
        <v>12718</v>
      </c>
      <c r="D1116" s="1621">
        <v>1.6331018518518519E-2</v>
      </c>
      <c r="E1116" s="1489" t="s">
        <v>16373</v>
      </c>
      <c r="F1116" s="1489" t="s">
        <v>16393</v>
      </c>
      <c r="G1116" s="1817">
        <v>0.62929999999999997</v>
      </c>
      <c r="H1116" s="1404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</row>
    <row r="1117" spans="1:24" s="80" customFormat="1" x14ac:dyDescent="0.2">
      <c r="A1117" s="1673">
        <v>43820</v>
      </c>
      <c r="B1117" s="1808" t="s">
        <v>12797</v>
      </c>
      <c r="C1117" s="1489" t="s">
        <v>12718</v>
      </c>
      <c r="D1117" s="1805">
        <v>1.6284722222222221E-2</v>
      </c>
      <c r="E1117" s="1514" t="s">
        <v>16330</v>
      </c>
      <c r="F1117" s="1514" t="s">
        <v>16335</v>
      </c>
      <c r="G1117" s="1825">
        <v>0.63109999999999999</v>
      </c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</row>
    <row r="1118" spans="1:24" s="80" customFormat="1" x14ac:dyDescent="0.2">
      <c r="A1118" s="1765">
        <v>43813</v>
      </c>
      <c r="B1118" s="1808" t="s">
        <v>12797</v>
      </c>
      <c r="C1118" s="1489" t="s">
        <v>12718</v>
      </c>
      <c r="D1118" s="1621">
        <v>1.5821759259259261E-2</v>
      </c>
      <c r="E1118" s="1489" t="s">
        <v>16275</v>
      </c>
      <c r="F1118" s="1489" t="s">
        <v>5908</v>
      </c>
      <c r="G1118" s="1817">
        <v>0.64959999999999996</v>
      </c>
      <c r="H1118" s="1404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</row>
    <row r="1119" spans="1:24" s="80" customFormat="1" x14ac:dyDescent="0.2">
      <c r="A1119" s="34">
        <v>43806</v>
      </c>
      <c r="B1119" s="1808" t="s">
        <v>12797</v>
      </c>
      <c r="C1119" s="1489" t="s">
        <v>12718</v>
      </c>
      <c r="D1119" s="1621">
        <v>1.6087962962962964E-2</v>
      </c>
      <c r="E1119" s="1489" t="s">
        <v>16218</v>
      </c>
      <c r="F1119" s="1404"/>
      <c r="G1119" s="1817">
        <v>0.63880000000000003</v>
      </c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</row>
    <row r="1120" spans="1:24" s="80" customFormat="1" x14ac:dyDescent="0.2">
      <c r="A1120" s="1751">
        <v>43792</v>
      </c>
      <c r="B1120" s="1808" t="s">
        <v>12797</v>
      </c>
      <c r="C1120" s="1489" t="s">
        <v>12718</v>
      </c>
      <c r="D1120" s="1786">
        <v>1.5983796296296295E-2</v>
      </c>
      <c r="E1120" s="1489" t="s">
        <v>16091</v>
      </c>
      <c r="F1120" s="1404" t="s">
        <v>16109</v>
      </c>
      <c r="G1120" s="1817">
        <v>0.64300000000000002</v>
      </c>
      <c r="H1120"/>
      <c r="I1120" s="1486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</row>
    <row r="1121" spans="1:24" s="80" customFormat="1" x14ac:dyDescent="0.2">
      <c r="A1121" s="1673">
        <v>43785</v>
      </c>
      <c r="B1121" s="1808" t="s">
        <v>12797</v>
      </c>
      <c r="C1121" s="1489" t="s">
        <v>12718</v>
      </c>
      <c r="D1121" s="1754">
        <v>1.6250000000000001E-2</v>
      </c>
      <c r="E1121" s="1514" t="s">
        <v>16016</v>
      </c>
      <c r="F1121" s="1514" t="s">
        <v>16042</v>
      </c>
      <c r="G1121" s="1825">
        <v>0.63249999999999995</v>
      </c>
      <c r="H1121"/>
      <c r="I1121" s="1486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</row>
    <row r="1122" spans="1:24" s="80" customFormat="1" x14ac:dyDescent="0.2">
      <c r="A1122" s="523">
        <v>43750</v>
      </c>
      <c r="B1122" s="1808" t="s">
        <v>12797</v>
      </c>
      <c r="C1122" s="1489" t="s">
        <v>12718</v>
      </c>
      <c r="D1122" s="1686">
        <v>1.5995370370370372E-2</v>
      </c>
      <c r="E1122" s="1489" t="s">
        <v>15787</v>
      </c>
      <c r="F1122" s="1489"/>
      <c r="G1122" s="1815">
        <v>0.64249999999999996</v>
      </c>
      <c r="H1122" s="1514"/>
      <c r="I1122" s="1514"/>
    </row>
    <row r="1123" spans="1:24" s="80" customFormat="1" x14ac:dyDescent="0.2">
      <c r="A1123" s="1729">
        <v>43743</v>
      </c>
      <c r="B1123" s="1808" t="s">
        <v>12797</v>
      </c>
      <c r="C1123" s="1489" t="s">
        <v>12718</v>
      </c>
      <c r="D1123" s="1737">
        <v>1.5405092592592593E-2</v>
      </c>
      <c r="E1123" s="1514" t="s">
        <v>15721</v>
      </c>
      <c r="F1123" s="1514" t="s">
        <v>15773</v>
      </c>
      <c r="G1123" s="1822">
        <v>0.66720000000000002</v>
      </c>
      <c r="H1123" s="1514"/>
      <c r="I1123" s="1514"/>
    </row>
    <row r="1124" spans="1:24" s="80" customFormat="1" x14ac:dyDescent="0.2">
      <c r="A1124" s="1729">
        <v>43729</v>
      </c>
      <c r="B1124" s="1808" t="s">
        <v>12797</v>
      </c>
      <c r="C1124" s="1489" t="s">
        <v>12718</v>
      </c>
      <c r="D1124" s="1686">
        <v>1.5648148148148151E-2</v>
      </c>
      <c r="E1124" s="1489" t="s">
        <v>15581</v>
      </c>
      <c r="F1124" s="1489" t="s">
        <v>15603</v>
      </c>
      <c r="G1124" s="1815">
        <v>0.65680000000000005</v>
      </c>
      <c r="H1124" s="1514"/>
      <c r="I1124" s="1514"/>
    </row>
    <row r="1125" spans="1:24" s="80" customFormat="1" x14ac:dyDescent="0.2">
      <c r="A1125" s="523">
        <v>43722</v>
      </c>
      <c r="B1125" s="1808" t="s">
        <v>12797</v>
      </c>
      <c r="C1125" s="1489" t="s">
        <v>12718</v>
      </c>
      <c r="D1125" s="1686">
        <v>1.5092592592592593E-2</v>
      </c>
      <c r="E1125" s="1489" t="s">
        <v>15478</v>
      </c>
      <c r="F1125" s="1489" t="s">
        <v>15523</v>
      </c>
      <c r="G1125" s="1815">
        <v>0.68100000000000005</v>
      </c>
      <c r="H1125" s="1514"/>
      <c r="I1125" s="1514" t="s">
        <v>15521</v>
      </c>
    </row>
    <row r="1126" spans="1:24" s="80" customFormat="1" x14ac:dyDescent="0.2">
      <c r="A1126" s="523">
        <v>43715</v>
      </c>
      <c r="B1126" s="1808" t="s">
        <v>12797</v>
      </c>
      <c r="C1126" s="1489" t="s">
        <v>12718</v>
      </c>
      <c r="D1126" s="1732">
        <v>1.5520833333333334E-2</v>
      </c>
      <c r="E1126" s="1514" t="s">
        <v>15424</v>
      </c>
      <c r="F1126" s="1489" t="s">
        <v>363</v>
      </c>
      <c r="G1126" s="1822">
        <v>0.66220000000000001</v>
      </c>
      <c r="H1126" s="1514"/>
      <c r="I1126" s="1514"/>
    </row>
    <row r="1127" spans="1:24" s="80" customFormat="1" x14ac:dyDescent="0.2">
      <c r="A1127" s="1526">
        <v>43708</v>
      </c>
      <c r="B1127" s="1808" t="s">
        <v>12797</v>
      </c>
      <c r="C1127" s="1489" t="s">
        <v>12718</v>
      </c>
      <c r="D1127" s="1686">
        <v>1.5682870370370371E-2</v>
      </c>
      <c r="E1127" s="1489" t="s">
        <v>15375</v>
      </c>
      <c r="F1127" s="1489" t="s">
        <v>15348</v>
      </c>
      <c r="G1127" s="1815">
        <v>0.65539999999999998</v>
      </c>
      <c r="H1127" s="1489"/>
      <c r="I1127" s="1489"/>
      <c r="J1127" s="1489"/>
      <c r="L1127" s="1370"/>
      <c r="M1127" s="1370"/>
      <c r="N1127" s="1370"/>
      <c r="O1127" s="1370"/>
      <c r="P1127" s="1370"/>
      <c r="Q1127" s="1370"/>
      <c r="R1127" s="1370"/>
      <c r="S1127" s="1370"/>
      <c r="T1127" s="1370"/>
      <c r="U1127" s="1370"/>
      <c r="V1127" s="1370"/>
      <c r="W1127" s="1370"/>
      <c r="X1127" s="1370"/>
    </row>
    <row r="1128" spans="1:24" s="80" customFormat="1" x14ac:dyDescent="0.2">
      <c r="A1128" s="1526">
        <v>43701</v>
      </c>
      <c r="B1128" s="1808" t="s">
        <v>12797</v>
      </c>
      <c r="C1128" s="1489" t="s">
        <v>12718</v>
      </c>
      <c r="D1128" s="1686">
        <v>1.6030092592592592E-2</v>
      </c>
      <c r="E1128" s="1489" t="s">
        <v>15294</v>
      </c>
      <c r="F1128" s="1489" t="s">
        <v>15296</v>
      </c>
      <c r="G1128" s="1815">
        <v>0.64119999999999999</v>
      </c>
      <c r="H1128" s="1514"/>
      <c r="I1128" s="1514"/>
      <c r="L1128" s="1370"/>
      <c r="M1128" s="1370"/>
      <c r="N1128" s="1370"/>
      <c r="O1128" s="1370"/>
      <c r="P1128" s="1370"/>
      <c r="Q1128" s="1370"/>
      <c r="R1128" s="1370"/>
      <c r="S1128" s="1370"/>
      <c r="T1128" s="1370"/>
      <c r="U1128" s="1370"/>
      <c r="V1128" s="1370"/>
      <c r="W1128" s="1370"/>
      <c r="X1128" s="1370"/>
    </row>
    <row r="1129" spans="1:24" s="80" customFormat="1" x14ac:dyDescent="0.2">
      <c r="A1129" s="523">
        <v>43624</v>
      </c>
      <c r="B1129" s="1808" t="s">
        <v>12797</v>
      </c>
      <c r="C1129" s="1489" t="s">
        <v>12718</v>
      </c>
      <c r="D1129" s="1835">
        <v>1.7037037037037038E-2</v>
      </c>
      <c r="E1129" s="1569" t="s">
        <v>12857</v>
      </c>
      <c r="F1129" s="1569"/>
      <c r="G1129" s="1818">
        <v>0.60329999999999995</v>
      </c>
      <c r="H1129" s="1514"/>
      <c r="I1129" s="1514"/>
    </row>
    <row r="1130" spans="1:24" s="80" customFormat="1" x14ac:dyDescent="0.2">
      <c r="A1130" s="1384">
        <v>43617</v>
      </c>
      <c r="B1130" s="1808" t="s">
        <v>12797</v>
      </c>
      <c r="C1130" s="1489" t="s">
        <v>12718</v>
      </c>
      <c r="D1130" s="1836">
        <v>1.6701388888888887E-2</v>
      </c>
      <c r="E1130" s="1568" t="s">
        <v>12819</v>
      </c>
      <c r="F1130" s="1568"/>
      <c r="G1130" s="1819">
        <v>0.61539999999999995</v>
      </c>
      <c r="H1130" s="1489"/>
      <c r="I1130" s="1489"/>
      <c r="J1130" s="1370"/>
      <c r="K1130" s="1370"/>
    </row>
    <row r="1131" spans="1:24" s="80" customFormat="1" x14ac:dyDescent="0.2">
      <c r="A1131" s="34">
        <v>43827</v>
      </c>
      <c r="B1131" s="1489" t="s">
        <v>12758</v>
      </c>
      <c r="C1131" s="1489" t="s">
        <v>12718</v>
      </c>
      <c r="D1131" s="1621">
        <v>1.5636574074074074E-2</v>
      </c>
      <c r="E1131" s="1489" t="s">
        <v>16420</v>
      </c>
      <c r="F1131" s="1489" t="s">
        <v>16442</v>
      </c>
      <c r="G1131" s="1817">
        <v>0.70609999999999995</v>
      </c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</row>
    <row r="1132" spans="1:24" s="80" customFormat="1" x14ac:dyDescent="0.2">
      <c r="A1132" s="34">
        <v>43824</v>
      </c>
      <c r="B1132" s="1489" t="s">
        <v>12758</v>
      </c>
      <c r="C1132" s="1489" t="s">
        <v>12718</v>
      </c>
      <c r="D1132" s="1621">
        <v>1.6342592592592593E-2</v>
      </c>
      <c r="E1132" s="1572" t="s">
        <v>16373</v>
      </c>
      <c r="F1132" s="1489" t="s">
        <v>16393</v>
      </c>
      <c r="G1132" s="1817">
        <v>0.67559999999999998</v>
      </c>
      <c r="H1132" s="1404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</row>
    <row r="1133" spans="1:24" s="80" customFormat="1" x14ac:dyDescent="0.2">
      <c r="A1133" s="1673">
        <v>43820</v>
      </c>
      <c r="B1133" s="1489" t="s">
        <v>12758</v>
      </c>
      <c r="C1133" s="1489" t="s">
        <v>12718</v>
      </c>
      <c r="D1133" s="1805">
        <v>1.6296296296296295E-2</v>
      </c>
      <c r="E1133" s="1514" t="s">
        <v>16330</v>
      </c>
      <c r="F1133" s="1514" t="s">
        <v>16334</v>
      </c>
      <c r="G1133" s="1825">
        <v>0.67759999999999998</v>
      </c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</row>
    <row r="1134" spans="1:24" s="80" customFormat="1" x14ac:dyDescent="0.2">
      <c r="A1134" s="1765">
        <v>43813</v>
      </c>
      <c r="B1134" s="1489" t="s">
        <v>12758</v>
      </c>
      <c r="C1134" s="1489" t="s">
        <v>12718</v>
      </c>
      <c r="D1134" s="1621">
        <v>1.5821759259259261E-2</v>
      </c>
      <c r="E1134" s="1489" t="s">
        <v>16275</v>
      </c>
      <c r="F1134" s="1404"/>
      <c r="G1134" s="1817">
        <v>0.69789999999999996</v>
      </c>
      <c r="H1134" s="140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</row>
    <row r="1135" spans="1:24" s="80" customFormat="1" x14ac:dyDescent="0.2">
      <c r="A1135" s="34">
        <v>43806</v>
      </c>
      <c r="B1135" s="1489" t="s">
        <v>12758</v>
      </c>
      <c r="C1135" s="1489" t="s">
        <v>12718</v>
      </c>
      <c r="D1135" s="1621">
        <v>1.6099537037037037E-2</v>
      </c>
      <c r="E1135" s="1489" t="s">
        <v>16218</v>
      </c>
      <c r="F1135" s="1404"/>
      <c r="G1135" s="1817">
        <v>0.68579999999999997</v>
      </c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</row>
    <row r="1136" spans="1:24" s="80" customFormat="1" x14ac:dyDescent="0.2">
      <c r="A1136" s="1751">
        <v>43792</v>
      </c>
      <c r="B1136" s="1489" t="s">
        <v>12758</v>
      </c>
      <c r="C1136" s="1489" t="s">
        <v>12718</v>
      </c>
      <c r="D1136" s="1786">
        <v>1.5995370370370372E-2</v>
      </c>
      <c r="E1136" s="1489" t="s">
        <v>16091</v>
      </c>
      <c r="F1136" s="1404" t="s">
        <v>16108</v>
      </c>
      <c r="G1136" s="1817">
        <v>0.69030000000000002</v>
      </c>
      <c r="H1136"/>
      <c r="I1136" s="148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</row>
    <row r="1137" spans="1:24" s="80" customFormat="1" x14ac:dyDescent="0.2">
      <c r="A1137" s="1673">
        <v>43785</v>
      </c>
      <c r="B1137" s="1489" t="s">
        <v>12758</v>
      </c>
      <c r="C1137" s="1489" t="s">
        <v>12718</v>
      </c>
      <c r="D1137" s="1754">
        <v>1.5648148148148151E-2</v>
      </c>
      <c r="E1137" s="1514" t="s">
        <v>16020</v>
      </c>
      <c r="F1137" s="1514" t="s">
        <v>1212</v>
      </c>
      <c r="G1137" s="1825">
        <v>0.7056</v>
      </c>
      <c r="H1137"/>
      <c r="I1137" s="1486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</row>
    <row r="1138" spans="1:24" s="80" customFormat="1" x14ac:dyDescent="0.2">
      <c r="A1138" s="1384">
        <v>43764</v>
      </c>
      <c r="B1138" s="1489" t="s">
        <v>12758</v>
      </c>
      <c r="C1138" s="1489" t="s">
        <v>12718</v>
      </c>
      <c r="D1138" s="1727">
        <v>1.6041666666666666E-2</v>
      </c>
      <c r="E1138" s="1728" t="s">
        <v>142</v>
      </c>
      <c r="F1138" s="1728"/>
      <c r="G1138" s="1821">
        <v>0.68830000000000002</v>
      </c>
      <c r="H1138" s="1489"/>
      <c r="I1138" s="1489"/>
      <c r="J1138" s="1370"/>
      <c r="K1138" s="1370"/>
      <c r="L1138" s="1370"/>
      <c r="M1138" s="1370"/>
      <c r="N1138" s="1370"/>
      <c r="O1138" s="1370"/>
      <c r="P1138" s="1370"/>
      <c r="Q1138" s="1370"/>
      <c r="R1138" s="1370"/>
      <c r="S1138" s="1370"/>
      <c r="T1138" s="1370"/>
      <c r="U1138" s="1370"/>
      <c r="V1138" s="1370"/>
      <c r="W1138" s="1370"/>
      <c r="X1138" s="1370"/>
    </row>
    <row r="1139" spans="1:24" s="80" customFormat="1" x14ac:dyDescent="0.2">
      <c r="A1139" s="523">
        <v>43750</v>
      </c>
      <c r="B1139" s="1489" t="s">
        <v>12758</v>
      </c>
      <c r="C1139" s="1489" t="s">
        <v>12718</v>
      </c>
      <c r="D1139" s="1686">
        <v>1.5995370370370372E-2</v>
      </c>
      <c r="E1139" s="1489" t="s">
        <v>15787</v>
      </c>
      <c r="F1139" s="1489"/>
      <c r="G1139" s="1815">
        <v>0.69030000000000002</v>
      </c>
      <c r="H1139" s="1514"/>
      <c r="I1139" s="1514"/>
    </row>
    <row r="1140" spans="1:24" s="80" customFormat="1" x14ac:dyDescent="0.2">
      <c r="A1140" s="1729">
        <v>43743</v>
      </c>
      <c r="B1140" s="1489" t="s">
        <v>12758</v>
      </c>
      <c r="C1140" s="1489" t="s">
        <v>12718</v>
      </c>
      <c r="D1140" s="1737">
        <v>1.5416666666666665E-2</v>
      </c>
      <c r="E1140" s="1514" t="s">
        <v>15721</v>
      </c>
      <c r="F1140" s="1514" t="s">
        <v>15774</v>
      </c>
      <c r="G1140" s="1822">
        <v>0.71619999999999995</v>
      </c>
      <c r="H1140" s="1514"/>
      <c r="I1140" s="1514"/>
    </row>
    <row r="1141" spans="1:24" s="80" customFormat="1" x14ac:dyDescent="0.2">
      <c r="A1141" s="1729">
        <v>43736</v>
      </c>
      <c r="B1141" s="1489" t="s">
        <v>12758</v>
      </c>
      <c r="C1141" s="1489" t="s">
        <v>12718</v>
      </c>
      <c r="D1141" s="1686">
        <v>1.5092592592592593E-2</v>
      </c>
      <c r="E1141" s="1489" t="s">
        <v>15645</v>
      </c>
      <c r="F1141" s="1489" t="s">
        <v>513</v>
      </c>
      <c r="G1141" s="1815">
        <v>0.72550000000000003</v>
      </c>
      <c r="H1141" s="1514"/>
      <c r="I1141" s="1514"/>
    </row>
    <row r="1142" spans="1:24" s="80" customFormat="1" x14ac:dyDescent="0.2">
      <c r="A1142" s="1729">
        <v>43729</v>
      </c>
      <c r="B1142" s="1489" t="s">
        <v>12758</v>
      </c>
      <c r="C1142" s="1489" t="s">
        <v>12718</v>
      </c>
      <c r="D1142" s="1686">
        <v>1.5648148148148151E-2</v>
      </c>
      <c r="E1142" s="1489" t="s">
        <v>15581</v>
      </c>
      <c r="F1142" s="1489" t="s">
        <v>15604</v>
      </c>
      <c r="G1142" s="1815">
        <v>0.69969999999999999</v>
      </c>
      <c r="H1142" s="1514"/>
      <c r="I1142" s="1514"/>
    </row>
    <row r="1143" spans="1:24" s="80" customFormat="1" x14ac:dyDescent="0.2">
      <c r="A1143" s="523">
        <v>43722</v>
      </c>
      <c r="B1143" s="1489" t="s">
        <v>12758</v>
      </c>
      <c r="C1143" s="1489" t="s">
        <v>12718</v>
      </c>
      <c r="D1143" s="1686">
        <v>1.5104166666666667E-2</v>
      </c>
      <c r="E1143" s="1489" t="s">
        <v>15478</v>
      </c>
      <c r="F1143" s="1489"/>
      <c r="G1143" s="1815">
        <v>0.72489999999999999</v>
      </c>
      <c r="H1143" s="1514"/>
      <c r="I1143" s="1514" t="s">
        <v>15520</v>
      </c>
    </row>
    <row r="1144" spans="1:24" s="80" customFormat="1" x14ac:dyDescent="0.2">
      <c r="A1144" s="523">
        <v>43715</v>
      </c>
      <c r="B1144" s="1489" t="s">
        <v>12758</v>
      </c>
      <c r="C1144" s="1489" t="s">
        <v>12718</v>
      </c>
      <c r="D1144" s="1732">
        <v>1.5532407407407408E-2</v>
      </c>
      <c r="E1144" s="1514" t="s">
        <v>15424</v>
      </c>
      <c r="F1144" s="1489"/>
      <c r="G1144" s="1822">
        <v>0.70489999999999997</v>
      </c>
      <c r="H1144" s="1514"/>
      <c r="I1144" s="1514"/>
    </row>
    <row r="1145" spans="1:24" s="80" customFormat="1" x14ac:dyDescent="0.2">
      <c r="A1145" s="1526">
        <v>43708</v>
      </c>
      <c r="B1145" s="1489" t="s">
        <v>12758</v>
      </c>
      <c r="C1145" s="1489" t="s">
        <v>12718</v>
      </c>
      <c r="D1145" s="1686">
        <v>1.5682870370370371E-2</v>
      </c>
      <c r="E1145" s="1489" t="s">
        <v>15375</v>
      </c>
      <c r="F1145" s="1489"/>
      <c r="G1145" s="1815">
        <v>0.69820000000000004</v>
      </c>
      <c r="H1145" s="1489"/>
      <c r="I1145" s="1489"/>
      <c r="J1145" s="1489"/>
    </row>
    <row r="1146" spans="1:24" s="80" customFormat="1" x14ac:dyDescent="0.2">
      <c r="A1146" s="1526">
        <v>43701</v>
      </c>
      <c r="B1146" s="1489" t="s">
        <v>12758</v>
      </c>
      <c r="C1146" s="1489" t="s">
        <v>12718</v>
      </c>
      <c r="D1146" s="1686">
        <v>1.6041666666666666E-2</v>
      </c>
      <c r="E1146" s="1489" t="s">
        <v>15294</v>
      </c>
      <c r="F1146" s="1489" t="s">
        <v>15296</v>
      </c>
      <c r="G1146" s="1815">
        <v>0.6825</v>
      </c>
      <c r="H1146" s="1514"/>
      <c r="I1146" s="1514"/>
    </row>
    <row r="1147" spans="1:24" s="80" customFormat="1" x14ac:dyDescent="0.2">
      <c r="A1147" s="1384">
        <v>43680</v>
      </c>
      <c r="B1147" s="1489" t="s">
        <v>12758</v>
      </c>
      <c r="C1147" s="1489" t="s">
        <v>12718</v>
      </c>
      <c r="D1147" s="1686">
        <v>1.4930555555555556E-2</v>
      </c>
      <c r="E1147" s="1489" t="s">
        <v>13363</v>
      </c>
      <c r="F1147" s="1489" t="s">
        <v>13395</v>
      </c>
      <c r="G1147" s="1815">
        <v>0.73329999999999995</v>
      </c>
      <c r="H1147" s="1514"/>
      <c r="I1147" s="1514"/>
    </row>
    <row r="1148" spans="1:24" s="80" customFormat="1" x14ac:dyDescent="0.2">
      <c r="A1148" s="523">
        <v>43659</v>
      </c>
      <c r="B1148" s="1489" t="s">
        <v>12758</v>
      </c>
      <c r="C1148" s="1489" t="s">
        <v>12718</v>
      </c>
      <c r="D1148" s="1686">
        <v>1.5092592592592593E-2</v>
      </c>
      <c r="E1148" s="1489" t="s">
        <v>13132</v>
      </c>
      <c r="F1148" s="1489" t="s">
        <v>13170</v>
      </c>
      <c r="G1148" s="1815">
        <v>0.72550000000000003</v>
      </c>
      <c r="H1148" s="1514"/>
      <c r="I1148" s="1489"/>
      <c r="L1148" s="1370"/>
      <c r="M1148" s="1370"/>
      <c r="N1148" s="1370"/>
      <c r="O1148" s="1370"/>
      <c r="P1148" s="1370"/>
      <c r="Q1148" s="1370"/>
      <c r="R1148" s="1370"/>
      <c r="S1148" s="1370"/>
      <c r="T1148" s="1370"/>
      <c r="U1148" s="1370"/>
      <c r="V1148" s="1370"/>
      <c r="W1148" s="1370"/>
      <c r="X1148" s="1370"/>
    </row>
    <row r="1149" spans="1:24" s="80" customFormat="1" x14ac:dyDescent="0.2">
      <c r="A1149" s="523">
        <v>43631</v>
      </c>
      <c r="B1149" s="1489" t="s">
        <v>12758</v>
      </c>
      <c r="C1149" s="1489" t="s">
        <v>12718</v>
      </c>
      <c r="D1149" s="1835">
        <v>1.4826388888888889E-2</v>
      </c>
      <c r="E1149" s="1569" t="s">
        <v>12920</v>
      </c>
      <c r="F1149" s="1624"/>
      <c r="G1149" s="1818">
        <v>0.73850000000000005</v>
      </c>
      <c r="H1149" s="1514"/>
      <c r="I1149" s="1514"/>
      <c r="L1149" s="1370"/>
      <c r="M1149" s="1370"/>
      <c r="N1149" s="1370"/>
      <c r="O1149" s="1370"/>
      <c r="P1149" s="1370"/>
      <c r="Q1149" s="1370"/>
      <c r="R1149" s="1370"/>
      <c r="S1149" s="1370"/>
      <c r="T1149" s="1370"/>
      <c r="U1149" s="1370"/>
      <c r="V1149" s="1370"/>
      <c r="W1149" s="1370"/>
      <c r="X1149" s="1370"/>
    </row>
    <row r="1150" spans="1:24" s="80" customFormat="1" x14ac:dyDescent="0.2">
      <c r="A1150" s="523">
        <v>43624</v>
      </c>
      <c r="B1150" s="1489" t="s">
        <v>12758</v>
      </c>
      <c r="C1150" s="1489" t="s">
        <v>12718</v>
      </c>
      <c r="D1150" s="1835">
        <v>1.7037037037037038E-2</v>
      </c>
      <c r="E1150" s="1569" t="s">
        <v>12857</v>
      </c>
      <c r="F1150" s="1569"/>
      <c r="G1150" s="1818">
        <v>0.64270000000000005</v>
      </c>
      <c r="H1150" s="1514"/>
      <c r="I1150" s="1514"/>
      <c r="L1150" s="1370"/>
      <c r="M1150" s="1370"/>
      <c r="N1150" s="1370"/>
      <c r="O1150" s="1370"/>
      <c r="P1150" s="1370"/>
      <c r="Q1150" s="1370"/>
      <c r="R1150" s="1370"/>
      <c r="S1150" s="1370"/>
      <c r="T1150" s="1370"/>
      <c r="U1150" s="1370"/>
      <c r="V1150" s="1370"/>
      <c r="W1150" s="1370"/>
      <c r="X1150" s="1370"/>
    </row>
    <row r="1151" spans="1:24" s="80" customFormat="1" x14ac:dyDescent="0.2">
      <c r="A1151" s="1384">
        <v>43617</v>
      </c>
      <c r="B1151" s="1489" t="s">
        <v>12758</v>
      </c>
      <c r="C1151" s="1489" t="s">
        <v>12718</v>
      </c>
      <c r="D1151" s="1836">
        <v>1.6701388888888887E-2</v>
      </c>
      <c r="E1151" s="1568" t="s">
        <v>12819</v>
      </c>
      <c r="F1151" s="1568" t="s">
        <v>12828</v>
      </c>
      <c r="G1151" s="1819">
        <v>0.65559999999999996</v>
      </c>
      <c r="H1151" s="1489"/>
      <c r="I1151" s="1489"/>
      <c r="J1151" s="1370"/>
      <c r="K1151" s="1370"/>
      <c r="L1151" s="1370"/>
      <c r="M1151" s="1370"/>
      <c r="N1151" s="1370"/>
      <c r="O1151" s="1370"/>
      <c r="P1151" s="1370"/>
      <c r="Q1151" s="1370"/>
      <c r="R1151" s="1370"/>
      <c r="S1151" s="1370"/>
      <c r="T1151" s="1370"/>
      <c r="U1151" s="1370"/>
      <c r="V1151" s="1370"/>
      <c r="W1151" s="1370"/>
      <c r="X1151" s="1370"/>
    </row>
    <row r="1152" spans="1:24" s="80" customFormat="1" x14ac:dyDescent="0.2">
      <c r="A1152" s="1384">
        <v>43610</v>
      </c>
      <c r="B1152" s="1489" t="s">
        <v>12758</v>
      </c>
      <c r="C1152" s="1489" t="s">
        <v>12718</v>
      </c>
      <c r="D1152" s="1733">
        <v>1.4884259259259259E-2</v>
      </c>
      <c r="E1152" s="1489" t="s">
        <v>12728</v>
      </c>
      <c r="F1152" s="1489" t="s">
        <v>12757</v>
      </c>
      <c r="G1152" s="1815">
        <v>0.73560000000000003</v>
      </c>
      <c r="H1152" s="1489"/>
      <c r="I1152" s="1489"/>
      <c r="J1152" s="1370"/>
      <c r="K1152" s="1370"/>
    </row>
    <row r="1153" spans="1:24" s="80" customFormat="1" x14ac:dyDescent="0.2">
      <c r="A1153" s="34">
        <v>43806</v>
      </c>
      <c r="B1153" s="1404" t="s">
        <v>4677</v>
      </c>
      <c r="C1153" s="1404" t="s">
        <v>4678</v>
      </c>
      <c r="D1153" s="1621">
        <v>2.7592592592592596E-2</v>
      </c>
      <c r="E1153" s="1489" t="s">
        <v>16209</v>
      </c>
      <c r="F1153" s="1489" t="s">
        <v>16228</v>
      </c>
      <c r="G1153" s="1817">
        <v>0.44919999999999999</v>
      </c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</row>
    <row r="1154" spans="1:24" s="80" customFormat="1" x14ac:dyDescent="0.2">
      <c r="A1154" s="1751">
        <v>43792</v>
      </c>
      <c r="B1154" s="1404" t="s">
        <v>4677</v>
      </c>
      <c r="C1154" s="1404" t="s">
        <v>4678</v>
      </c>
      <c r="D1154" s="1786">
        <v>2.9479166666666667E-2</v>
      </c>
      <c r="E1154" s="1489" t="s">
        <v>16093</v>
      </c>
      <c r="F1154" s="1404" t="s">
        <v>16128</v>
      </c>
      <c r="G1154" s="1817">
        <v>0.42049999999999998</v>
      </c>
      <c r="H1154"/>
      <c r="I1154" s="1486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</row>
    <row r="1155" spans="1:24" s="80" customFormat="1" x14ac:dyDescent="0.2">
      <c r="A1155" s="1384">
        <v>43603</v>
      </c>
      <c r="B1155" s="1404" t="s">
        <v>4677</v>
      </c>
      <c r="C1155" s="1404" t="s">
        <v>4678</v>
      </c>
      <c r="D1155" s="1733">
        <v>2.8854166666666667E-2</v>
      </c>
      <c r="E1155" s="1489" t="s">
        <v>12678</v>
      </c>
      <c r="F1155" s="1489"/>
      <c r="G1155" s="1815">
        <v>0.42959999999999998</v>
      </c>
      <c r="H1155" s="1489"/>
      <c r="I1155" s="1489"/>
      <c r="J1155" s="1370"/>
      <c r="K1155" s="1370"/>
    </row>
    <row r="1156" spans="1:24" s="80" customFormat="1" x14ac:dyDescent="0.2">
      <c r="A1156" s="1384">
        <v>43526</v>
      </c>
      <c r="B1156" s="1404" t="s">
        <v>4677</v>
      </c>
      <c r="C1156" s="1404" t="s">
        <v>4678</v>
      </c>
      <c r="D1156" s="1733" t="s">
        <v>787</v>
      </c>
      <c r="E1156" s="1489" t="s">
        <v>11971</v>
      </c>
      <c r="F1156" s="1489" t="s">
        <v>4061</v>
      </c>
      <c r="G1156" s="1815"/>
      <c r="H1156" s="1489"/>
      <c r="I1156" s="1489"/>
      <c r="J1156" s="1370"/>
      <c r="K1156" s="1370"/>
    </row>
    <row r="1157" spans="1:24" s="80" customFormat="1" x14ac:dyDescent="0.2">
      <c r="A1157" s="1384">
        <v>43771</v>
      </c>
      <c r="B1157" s="1804" t="s">
        <v>15879</v>
      </c>
      <c r="C1157" s="1804" t="s">
        <v>13368</v>
      </c>
      <c r="D1157" s="1737">
        <v>2.8171296296296298E-2</v>
      </c>
      <c r="E1157" s="1489" t="s">
        <v>15895</v>
      </c>
      <c r="F1157" s="1489" t="s">
        <v>15940</v>
      </c>
      <c r="G1157" s="1815">
        <v>0.41</v>
      </c>
      <c r="H1157" s="1370"/>
      <c r="I1157" s="1489"/>
      <c r="J1157" s="1370"/>
      <c r="K1157" s="1370"/>
      <c r="L1157" s="1370"/>
      <c r="M1157" s="1370"/>
      <c r="N1157" s="1370"/>
      <c r="O1157" s="1370"/>
      <c r="P1157" s="1370"/>
      <c r="Q1157" s="1370"/>
      <c r="R1157" s="1370"/>
      <c r="S1157" s="1370"/>
      <c r="T1157" s="1370"/>
      <c r="U1157" s="1370"/>
      <c r="V1157" s="1370"/>
      <c r="W1157" s="1370"/>
      <c r="X1157" s="1370"/>
    </row>
    <row r="1158" spans="1:24" s="80" customFormat="1" x14ac:dyDescent="0.2">
      <c r="A1158" s="1729">
        <v>43827</v>
      </c>
      <c r="B1158" s="1489" t="s">
        <v>13403</v>
      </c>
      <c r="C1158" s="1489" t="s">
        <v>13368</v>
      </c>
      <c r="D1158" s="1621">
        <v>1.8460648148148146E-2</v>
      </c>
      <c r="E1158" s="1489" t="s">
        <v>16432</v>
      </c>
      <c r="F1158" s="1489" t="s">
        <v>16450</v>
      </c>
      <c r="G1158" s="1817">
        <v>0.55049999999999999</v>
      </c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</row>
    <row r="1159" spans="1:24" s="80" customFormat="1" x14ac:dyDescent="0.2">
      <c r="A1159" s="34">
        <v>43824</v>
      </c>
      <c r="B1159" s="1489" t="s">
        <v>13403</v>
      </c>
      <c r="C1159" s="1489" t="s">
        <v>13368</v>
      </c>
      <c r="D1159" s="1621">
        <v>1.8958333333333334E-2</v>
      </c>
      <c r="E1159" s="1489" t="s">
        <v>16379</v>
      </c>
      <c r="F1159" s="1489"/>
      <c r="G1159" s="1817">
        <v>0.53600000000000003</v>
      </c>
      <c r="H1159" s="1404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</row>
    <row r="1160" spans="1:24" s="80" customFormat="1" x14ac:dyDescent="0.2">
      <c r="A1160" s="1673">
        <v>43820</v>
      </c>
      <c r="B1160" s="1489" t="s">
        <v>13403</v>
      </c>
      <c r="C1160" s="1489" t="s">
        <v>13368</v>
      </c>
      <c r="D1160" s="1777">
        <v>2.2187500000000002E-2</v>
      </c>
      <c r="E1160" s="1514" t="s">
        <v>16329</v>
      </c>
      <c r="F1160" s="1514" t="s">
        <v>16336</v>
      </c>
      <c r="G1160" s="314">
        <v>0.45800000000000002</v>
      </c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</row>
    <row r="1161" spans="1:24" s="80" customFormat="1" x14ac:dyDescent="0.2">
      <c r="A1161" s="1765">
        <v>43813</v>
      </c>
      <c r="B1161" s="1489" t="s">
        <v>13403</v>
      </c>
      <c r="C1161" s="1489" t="s">
        <v>13368</v>
      </c>
      <c r="D1161" s="1621">
        <v>1.8298611111111109E-2</v>
      </c>
      <c r="E1161" s="1489" t="s">
        <v>16279</v>
      </c>
      <c r="F1161" s="1404"/>
      <c r="G1161" s="1817">
        <v>0.55530000000000002</v>
      </c>
      <c r="H1161" s="1404"/>
      <c r="I1161" s="1404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</row>
    <row r="1162" spans="1:24" s="80" customFormat="1" x14ac:dyDescent="0.2">
      <c r="A1162" s="34">
        <v>43806</v>
      </c>
      <c r="B1162" s="1489" t="s">
        <v>13403</v>
      </c>
      <c r="C1162" s="1489" t="s">
        <v>13368</v>
      </c>
      <c r="D1162" s="1621">
        <v>1.7002314814814814E-2</v>
      </c>
      <c r="E1162" s="1489" t="s">
        <v>16223</v>
      </c>
      <c r="F1162" s="1404"/>
      <c r="G1162" s="1817">
        <v>0.59770000000000001</v>
      </c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</row>
    <row r="1163" spans="1:24" s="80" customFormat="1" x14ac:dyDescent="0.2">
      <c r="A1163" s="1729">
        <v>43799</v>
      </c>
      <c r="B1163" s="1489" t="s">
        <v>13403</v>
      </c>
      <c r="C1163" s="1489" t="s">
        <v>13368</v>
      </c>
      <c r="D1163" s="1754">
        <v>1.7256944444444443E-2</v>
      </c>
      <c r="E1163" s="1486" t="s">
        <v>16162</v>
      </c>
      <c r="F1163" s="1514" t="s">
        <v>16193</v>
      </c>
      <c r="G1163" s="1825">
        <v>0.58889999999999998</v>
      </c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</row>
    <row r="1164" spans="1:24" s="80" customFormat="1" x14ac:dyDescent="0.2">
      <c r="A1164" s="1751">
        <v>43792</v>
      </c>
      <c r="B1164" s="1489" t="s">
        <v>13403</v>
      </c>
      <c r="C1164" s="1489" t="s">
        <v>13368</v>
      </c>
      <c r="D1164" s="1786">
        <v>1.7141203703703704E-2</v>
      </c>
      <c r="E1164" s="1489" t="s">
        <v>16081</v>
      </c>
      <c r="F1164" s="1489" t="s">
        <v>16100</v>
      </c>
      <c r="G1164" s="1817">
        <v>0.59279999999999999</v>
      </c>
      <c r="H1164"/>
      <c r="I1164" s="1486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</row>
    <row r="1165" spans="1:24" s="80" customFormat="1" x14ac:dyDescent="0.2">
      <c r="A1165" s="1673">
        <v>43785</v>
      </c>
      <c r="B1165" s="1489" t="s">
        <v>13403</v>
      </c>
      <c r="C1165" s="1489" t="s">
        <v>13368</v>
      </c>
      <c r="D1165" s="1754">
        <v>1.6354166666666666E-2</v>
      </c>
      <c r="E1165" s="1514" t="s">
        <v>16024</v>
      </c>
      <c r="F1165" s="1514" t="s">
        <v>16044</v>
      </c>
      <c r="G1165" s="1825">
        <v>0.62139999999999995</v>
      </c>
      <c r="H1165"/>
      <c r="I1165" s="1486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</row>
    <row r="1166" spans="1:24" s="80" customFormat="1" x14ac:dyDescent="0.2">
      <c r="A1166" s="1384">
        <v>43778</v>
      </c>
      <c r="B1166" s="1489" t="s">
        <v>13403</v>
      </c>
      <c r="C1166" s="1489" t="s">
        <v>13368</v>
      </c>
      <c r="D1166" s="1744">
        <v>1.7534722222222222E-2</v>
      </c>
      <c r="E1166" s="1723" t="s">
        <v>15967</v>
      </c>
      <c r="F1166" s="1723"/>
      <c r="G1166" s="1820">
        <v>0.57950000000000002</v>
      </c>
      <c r="H1166" s="1370"/>
      <c r="I1166" s="1489"/>
      <c r="J1166" s="1370"/>
      <c r="K1166" s="1370"/>
      <c r="L1166" s="1370"/>
      <c r="M1166" s="1370"/>
      <c r="N1166" s="1370"/>
      <c r="O1166" s="1370"/>
      <c r="P1166" s="1370"/>
      <c r="Q1166" s="1370"/>
      <c r="R1166" s="1370"/>
      <c r="S1166" s="1370"/>
      <c r="T1166" s="1370"/>
      <c r="U1166" s="1370"/>
      <c r="V1166" s="1370"/>
      <c r="W1166" s="1370"/>
      <c r="X1166" s="1370"/>
    </row>
    <row r="1167" spans="1:24" s="80" customFormat="1" x14ac:dyDescent="0.2">
      <c r="A1167" s="1384">
        <v>43771</v>
      </c>
      <c r="B1167" s="1489" t="s">
        <v>13403</v>
      </c>
      <c r="C1167" s="1489" t="s">
        <v>13368</v>
      </c>
      <c r="D1167" s="1737">
        <v>2.8182870370370372E-2</v>
      </c>
      <c r="E1167" s="1489" t="s">
        <v>15895</v>
      </c>
      <c r="F1167" s="1489" t="s">
        <v>2540</v>
      </c>
      <c r="G1167" s="1815">
        <v>0.36059999999999998</v>
      </c>
      <c r="H1167" s="1370"/>
      <c r="I1167" s="1489"/>
      <c r="J1167" s="1370"/>
      <c r="K1167" s="1370"/>
      <c r="L1167" s="1370"/>
      <c r="M1167" s="1370"/>
      <c r="N1167" s="1370"/>
      <c r="O1167" s="1370"/>
      <c r="P1167" s="1370"/>
      <c r="Q1167" s="1370"/>
      <c r="R1167" s="1370"/>
      <c r="S1167" s="1370"/>
      <c r="T1167" s="1370"/>
      <c r="U1167" s="1370"/>
      <c r="V1167" s="1370"/>
      <c r="W1167" s="1370"/>
      <c r="X1167" s="1370"/>
    </row>
    <row r="1168" spans="1:24" s="80" customFormat="1" x14ac:dyDescent="0.2">
      <c r="A1168" s="1384">
        <v>43764</v>
      </c>
      <c r="B1168" s="1489" t="s">
        <v>13403</v>
      </c>
      <c r="C1168" s="1489" t="s">
        <v>13368</v>
      </c>
      <c r="D1168" s="1727">
        <v>1.7627314814814814E-2</v>
      </c>
      <c r="E1168" s="1728" t="s">
        <v>145</v>
      </c>
      <c r="F1168" s="1728"/>
      <c r="G1168" s="1821">
        <v>0.57650000000000001</v>
      </c>
      <c r="H1168" s="1370"/>
      <c r="I1168" s="1489"/>
      <c r="J1168" s="1370"/>
      <c r="K1168" s="1370"/>
      <c r="L1168" s="1370"/>
      <c r="M1168" s="1370"/>
      <c r="N1168" s="1370"/>
      <c r="O1168" s="1370"/>
      <c r="P1168" s="1370"/>
      <c r="Q1168" s="1370"/>
      <c r="R1168" s="1370"/>
      <c r="S1168" s="1370"/>
      <c r="T1168" s="1370"/>
      <c r="U1168" s="1370"/>
      <c r="V1168" s="1370"/>
      <c r="W1168" s="1370"/>
      <c r="X1168" s="1370"/>
    </row>
    <row r="1169" spans="1:24" s="80" customFormat="1" x14ac:dyDescent="0.2">
      <c r="A1169" s="523">
        <v>43757</v>
      </c>
      <c r="B1169" s="1489" t="s">
        <v>13403</v>
      </c>
      <c r="C1169" s="1489" t="s">
        <v>13368</v>
      </c>
      <c r="D1169" s="1686">
        <v>1.7245370370370369E-2</v>
      </c>
      <c r="E1169" s="1489" t="s">
        <v>15842</v>
      </c>
      <c r="F1169" s="1489"/>
      <c r="G1169" s="1815">
        <v>0.58930000000000005</v>
      </c>
      <c r="H1169" s="1489"/>
      <c r="I1169" s="1489"/>
      <c r="J1169" s="1489"/>
      <c r="K1169" s="1489"/>
    </row>
    <row r="1170" spans="1:24" s="80" customFormat="1" ht="15" customHeight="1" x14ac:dyDescent="0.2">
      <c r="A1170" s="523">
        <v>43757</v>
      </c>
      <c r="B1170" s="1489" t="s">
        <v>13403</v>
      </c>
      <c r="C1170" s="1489" t="s">
        <v>13368</v>
      </c>
      <c r="D1170" s="1686">
        <v>1.7245370370370369E-2</v>
      </c>
      <c r="E1170" s="1489" t="s">
        <v>15842</v>
      </c>
      <c r="F1170" s="1489"/>
      <c r="G1170" s="1815">
        <v>0.58930000000000005</v>
      </c>
      <c r="H1170" s="1489"/>
      <c r="I1170" s="1489"/>
      <c r="J1170" s="1489"/>
      <c r="K1170" s="1489"/>
    </row>
    <row r="1171" spans="1:24" s="80" customFormat="1" x14ac:dyDescent="0.2">
      <c r="A1171" s="523">
        <v>43750</v>
      </c>
      <c r="B1171" s="1489" t="s">
        <v>13403</v>
      </c>
      <c r="C1171" s="1489" t="s">
        <v>13368</v>
      </c>
      <c r="D1171" s="1686">
        <v>1.7592592592592594E-2</v>
      </c>
      <c r="E1171" s="1489" t="s">
        <v>15799</v>
      </c>
      <c r="F1171" s="1489" t="s">
        <v>15824</v>
      </c>
      <c r="G1171" s="1815">
        <v>0.5776</v>
      </c>
      <c r="I1171" s="1514"/>
      <c r="L1171" s="1370"/>
      <c r="M1171" s="1370"/>
      <c r="N1171" s="1370"/>
      <c r="O1171" s="1370"/>
      <c r="P1171" s="1370"/>
      <c r="Q1171" s="1370"/>
      <c r="R1171" s="1370"/>
      <c r="S1171" s="1370"/>
      <c r="T1171" s="1370"/>
      <c r="U1171" s="1370"/>
      <c r="V1171" s="1370"/>
      <c r="W1171" s="1370"/>
      <c r="X1171" s="1370"/>
    </row>
    <row r="1172" spans="1:24" s="80" customFormat="1" x14ac:dyDescent="0.2">
      <c r="A1172" s="1729">
        <v>43743</v>
      </c>
      <c r="B1172" s="1489" t="s">
        <v>13403</v>
      </c>
      <c r="C1172" s="1489" t="s">
        <v>13368</v>
      </c>
      <c r="D1172" s="1737">
        <v>1.740740740740741E-2</v>
      </c>
      <c r="E1172" s="1514" t="s">
        <v>15724</v>
      </c>
      <c r="F1172" s="1514" t="s">
        <v>15776</v>
      </c>
      <c r="G1172" s="1822">
        <v>0.58379999999999999</v>
      </c>
      <c r="I1172" s="1514"/>
      <c r="L1172" s="1370"/>
      <c r="M1172" s="1370"/>
      <c r="N1172" s="1370"/>
      <c r="O1172" s="1370"/>
      <c r="P1172" s="1370"/>
      <c r="Q1172" s="1370"/>
      <c r="R1172" s="1370"/>
      <c r="S1172" s="1370"/>
      <c r="T1172" s="1370"/>
      <c r="U1172" s="1370"/>
      <c r="V1172" s="1370"/>
      <c r="W1172" s="1370"/>
      <c r="X1172" s="1370"/>
    </row>
    <row r="1173" spans="1:24" s="80" customFormat="1" x14ac:dyDescent="0.2">
      <c r="A1173" s="523">
        <v>43722</v>
      </c>
      <c r="B1173" s="1489" t="s">
        <v>13403</v>
      </c>
      <c r="C1173" s="1489" t="s">
        <v>13368</v>
      </c>
      <c r="D1173" s="1686">
        <v>1.7465277777777777E-2</v>
      </c>
      <c r="E1173" s="1489" t="s">
        <v>15480</v>
      </c>
      <c r="F1173" s="1489" t="s">
        <v>15528</v>
      </c>
      <c r="G1173" s="1815">
        <v>0.58179999999999998</v>
      </c>
      <c r="I1173" s="1514"/>
      <c r="L1173" s="1370"/>
      <c r="M1173" s="1370"/>
      <c r="N1173" s="1370"/>
      <c r="O1173" s="1370"/>
      <c r="P1173" s="1370"/>
      <c r="Q1173" s="1370"/>
      <c r="R1173" s="1370"/>
      <c r="S1173" s="1370"/>
      <c r="T1173" s="1370"/>
      <c r="U1173" s="1370"/>
      <c r="V1173" s="1370"/>
      <c r="W1173" s="1370"/>
      <c r="X1173" s="1370"/>
    </row>
    <row r="1174" spans="1:24" s="80" customFormat="1" x14ac:dyDescent="0.2">
      <c r="A1174" s="523">
        <v>43715</v>
      </c>
      <c r="B1174" s="1489" t="s">
        <v>13403</v>
      </c>
      <c r="C1174" s="1489" t="s">
        <v>13368</v>
      </c>
      <c r="D1174" s="1732">
        <v>1.6921296296296295E-2</v>
      </c>
      <c r="E1174" s="1514" t="s">
        <v>15427</v>
      </c>
      <c r="F1174" s="1489" t="s">
        <v>15436</v>
      </c>
      <c r="G1174" s="1822">
        <v>0.60050000000000003</v>
      </c>
      <c r="I1174" s="1514"/>
      <c r="L1174" s="1370"/>
      <c r="M1174" s="1370"/>
      <c r="N1174" s="1370"/>
      <c r="O1174" s="1370"/>
      <c r="P1174" s="1370"/>
      <c r="Q1174" s="1370"/>
      <c r="R1174" s="1370"/>
      <c r="S1174" s="1370"/>
      <c r="T1174" s="1370"/>
      <c r="U1174" s="1370"/>
      <c r="V1174" s="1370"/>
      <c r="W1174" s="1370"/>
      <c r="X1174" s="1370"/>
    </row>
    <row r="1175" spans="1:24" s="80" customFormat="1" x14ac:dyDescent="0.2">
      <c r="A1175" s="1526">
        <v>43708</v>
      </c>
      <c r="B1175" s="1489" t="s">
        <v>13403</v>
      </c>
      <c r="C1175" s="1489" t="s">
        <v>13368</v>
      </c>
      <c r="D1175" s="1686">
        <v>1.7592592592592594E-2</v>
      </c>
      <c r="E1175" s="1489" t="s">
        <v>15379</v>
      </c>
      <c r="F1175" s="1489" t="s">
        <v>15399</v>
      </c>
      <c r="G1175" s="1815">
        <v>0.5776</v>
      </c>
      <c r="I1175" s="1514"/>
      <c r="L1175" s="1370"/>
      <c r="M1175" s="1370"/>
      <c r="N1175" s="1370"/>
      <c r="O1175" s="1370"/>
      <c r="P1175" s="1370"/>
      <c r="Q1175" s="1370"/>
      <c r="R1175" s="1370"/>
      <c r="S1175" s="1370"/>
      <c r="T1175" s="1370"/>
      <c r="U1175" s="1370"/>
      <c r="V1175" s="1370"/>
      <c r="W1175" s="1370"/>
      <c r="X1175" s="1370"/>
    </row>
    <row r="1176" spans="1:24" s="80" customFormat="1" x14ac:dyDescent="0.2">
      <c r="A1176" s="523">
        <v>43694</v>
      </c>
      <c r="B1176" s="1489" t="s">
        <v>13403</v>
      </c>
      <c r="C1176" s="1489" t="s">
        <v>13368</v>
      </c>
      <c r="D1176" s="1733">
        <v>1.7557870370370373E-2</v>
      </c>
      <c r="E1176" s="1489" t="s">
        <v>15173</v>
      </c>
      <c r="F1176" s="1489" t="s">
        <v>15197</v>
      </c>
      <c r="G1176" s="1815">
        <v>0.57879999999999998</v>
      </c>
      <c r="I1176" s="1514"/>
      <c r="L1176" s="1370"/>
      <c r="M1176" s="1370"/>
      <c r="N1176" s="1370"/>
      <c r="O1176" s="1370"/>
      <c r="P1176" s="1370"/>
      <c r="Q1176" s="1370"/>
      <c r="R1176" s="1370"/>
      <c r="S1176" s="1370"/>
      <c r="T1176" s="1370"/>
      <c r="U1176" s="1370"/>
      <c r="V1176" s="1370"/>
      <c r="W1176" s="1370"/>
      <c r="X1176" s="1370"/>
    </row>
    <row r="1177" spans="1:24" s="80" customFormat="1" x14ac:dyDescent="0.2">
      <c r="A1177" s="523">
        <v>43687</v>
      </c>
      <c r="B1177" s="1489" t="s">
        <v>13403</v>
      </c>
      <c r="C1177" s="1489" t="s">
        <v>13368</v>
      </c>
      <c r="D1177" s="1686">
        <v>1.726851851851852E-2</v>
      </c>
      <c r="E1177" s="1489" t="s">
        <v>13433</v>
      </c>
      <c r="F1177" s="1489" t="s">
        <v>13469</v>
      </c>
      <c r="G1177" s="1815">
        <v>0.58850000000000002</v>
      </c>
      <c r="I1177" s="1514"/>
    </row>
    <row r="1178" spans="1:24" s="80" customFormat="1" x14ac:dyDescent="0.2">
      <c r="A1178" s="1384">
        <v>43680</v>
      </c>
      <c r="B1178" s="1489" t="s">
        <v>13403</v>
      </c>
      <c r="C1178" s="1489" t="s">
        <v>13368</v>
      </c>
      <c r="D1178" s="1686">
        <v>1.7361111111111112E-2</v>
      </c>
      <c r="E1178" s="1489" t="s">
        <v>13365</v>
      </c>
      <c r="F1178" s="1489" t="s">
        <v>13406</v>
      </c>
      <c r="G1178" s="1815">
        <v>0.58530000000000004</v>
      </c>
      <c r="I1178" s="1514"/>
      <c r="L1178" s="1370"/>
      <c r="M1178" s="1370"/>
      <c r="N1178" s="1370"/>
      <c r="O1178" s="1370"/>
      <c r="P1178" s="1370"/>
      <c r="Q1178" s="1370"/>
      <c r="R1178" s="1370"/>
      <c r="S1178" s="1370"/>
      <c r="T1178" s="1370"/>
      <c r="U1178" s="1370"/>
      <c r="V1178" s="1370"/>
      <c r="W1178" s="1370"/>
      <c r="X1178" s="1370"/>
    </row>
    <row r="1179" spans="1:24" s="80" customFormat="1" x14ac:dyDescent="0.2">
      <c r="A1179" s="1765">
        <v>43813</v>
      </c>
      <c r="B1179" s="1489" t="s">
        <v>3014</v>
      </c>
      <c r="C1179" s="1489" t="s">
        <v>3015</v>
      </c>
      <c r="D1179" s="1621">
        <v>2.3391203703703699E-2</v>
      </c>
      <c r="E1179" s="1489" t="s">
        <v>16278</v>
      </c>
      <c r="F1179" s="1404" t="s">
        <v>16298</v>
      </c>
      <c r="G1179" s="1817">
        <v>0.5171</v>
      </c>
      <c r="H1179" s="1404"/>
      <c r="I1179" s="1404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</row>
    <row r="1180" spans="1:24" s="80" customFormat="1" x14ac:dyDescent="0.2">
      <c r="A1180" s="1729">
        <v>43799</v>
      </c>
      <c r="B1180" s="1489" t="s">
        <v>3014</v>
      </c>
      <c r="C1180" s="1489" t="s">
        <v>3015</v>
      </c>
      <c r="D1180" s="1754">
        <v>1.9641203703703706E-2</v>
      </c>
      <c r="E1180" s="1486" t="s">
        <v>16149</v>
      </c>
      <c r="F1180" s="1514" t="s">
        <v>16187</v>
      </c>
      <c r="G1180" s="1825">
        <v>0.61580000000000001</v>
      </c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</row>
    <row r="1181" spans="1:24" s="80" customFormat="1" x14ac:dyDescent="0.2">
      <c r="A1181" s="1673">
        <v>43785</v>
      </c>
      <c r="B1181" s="1489" t="s">
        <v>3014</v>
      </c>
      <c r="C1181" s="1489" t="s">
        <v>3015</v>
      </c>
      <c r="D1181" s="1754">
        <v>2.0300925925925927E-2</v>
      </c>
      <c r="E1181" s="1514" t="s">
        <v>16015</v>
      </c>
      <c r="F1181" s="1514" t="s">
        <v>16037</v>
      </c>
      <c r="G1181" s="1825">
        <v>0.5958</v>
      </c>
      <c r="H1181"/>
      <c r="I1181" s="1486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</row>
    <row r="1182" spans="1:24" s="80" customFormat="1" x14ac:dyDescent="0.2">
      <c r="A1182" s="523">
        <v>43757</v>
      </c>
      <c r="B1182" s="1489" t="s">
        <v>3014</v>
      </c>
      <c r="C1182" s="1489" t="s">
        <v>3015</v>
      </c>
      <c r="D1182" s="1686">
        <v>2.0185185185185184E-2</v>
      </c>
      <c r="E1182" s="1489" t="s">
        <v>15848</v>
      </c>
      <c r="F1182" s="1489" t="s">
        <v>15864</v>
      </c>
      <c r="G1182" s="1815">
        <v>0.59919999999999995</v>
      </c>
      <c r="H1182" s="1489"/>
      <c r="I1182" s="1489"/>
      <c r="J1182" s="1489"/>
      <c r="K1182" s="1489"/>
    </row>
    <row r="1183" spans="1:24" s="80" customFormat="1" x14ac:dyDescent="0.2">
      <c r="A1183" s="1729">
        <v>43743</v>
      </c>
      <c r="B1183" s="1489" t="s">
        <v>3014</v>
      </c>
      <c r="C1183" s="1489" t="s">
        <v>3015</v>
      </c>
      <c r="D1183" s="1737">
        <v>2.0462962962962961E-2</v>
      </c>
      <c r="E1183" s="1514" t="s">
        <v>15701</v>
      </c>
      <c r="F1183" s="1489" t="s">
        <v>15764</v>
      </c>
      <c r="G1183" s="1822">
        <v>0.59109999999999996</v>
      </c>
      <c r="H1183" s="1514"/>
      <c r="I1183" s="1514"/>
      <c r="L1183" s="1370"/>
      <c r="M1183" s="1370"/>
      <c r="N1183" s="1370"/>
      <c r="O1183" s="1370"/>
      <c r="P1183" s="1370"/>
      <c r="Q1183" s="1370"/>
      <c r="R1183" s="1370"/>
      <c r="S1183" s="1370"/>
      <c r="T1183" s="1370"/>
      <c r="U1183" s="1370"/>
      <c r="V1183" s="1370"/>
      <c r="W1183" s="1370"/>
      <c r="X1183" s="1370"/>
    </row>
    <row r="1184" spans="1:24" s="80" customFormat="1" x14ac:dyDescent="0.2">
      <c r="A1184" s="1729">
        <v>43736</v>
      </c>
      <c r="B1184" s="1489" t="s">
        <v>3014</v>
      </c>
      <c r="C1184" s="1489" t="s">
        <v>3015</v>
      </c>
      <c r="D1184" s="1686">
        <v>2.224537037037037E-2</v>
      </c>
      <c r="E1184" s="1489" t="s">
        <v>15643</v>
      </c>
      <c r="F1184" s="1489" t="s">
        <v>15666</v>
      </c>
      <c r="G1184" s="1815">
        <v>0.54369999999999996</v>
      </c>
      <c r="H1184" s="1514"/>
      <c r="I1184" s="1514"/>
      <c r="L1184" s="1370"/>
      <c r="M1184" s="1370"/>
      <c r="N1184" s="1370"/>
      <c r="O1184" s="1370"/>
      <c r="P1184" s="1370"/>
      <c r="Q1184" s="1370"/>
      <c r="R1184" s="1370"/>
      <c r="S1184" s="1370"/>
      <c r="T1184" s="1370"/>
      <c r="U1184" s="1370"/>
      <c r="V1184" s="1370"/>
      <c r="W1184" s="1370"/>
      <c r="X1184" s="1370"/>
    </row>
    <row r="1185" spans="1:24" s="80" customFormat="1" x14ac:dyDescent="0.2">
      <c r="A1185" s="523">
        <v>43722</v>
      </c>
      <c r="B1185" s="1489" t="s">
        <v>3014</v>
      </c>
      <c r="C1185" s="1489" t="s">
        <v>3015</v>
      </c>
      <c r="D1185" s="1686">
        <v>2.0324074074074071E-2</v>
      </c>
      <c r="E1185" s="1489" t="s">
        <v>15472</v>
      </c>
      <c r="F1185" s="1489" t="s">
        <v>15507</v>
      </c>
      <c r="G1185" s="1815">
        <v>0.59509999999999996</v>
      </c>
      <c r="H1185" s="1514"/>
      <c r="I1185" s="1514"/>
      <c r="L1185" s="1370"/>
      <c r="M1185" s="1370"/>
      <c r="N1185" s="1370"/>
      <c r="O1185" s="1370"/>
      <c r="P1185" s="1370"/>
      <c r="Q1185" s="1370"/>
      <c r="R1185" s="1370"/>
      <c r="S1185" s="1370"/>
      <c r="T1185" s="1370"/>
      <c r="U1185" s="1370"/>
      <c r="V1185" s="1370"/>
      <c r="W1185" s="1370"/>
      <c r="X1185" s="1370"/>
    </row>
    <row r="1186" spans="1:24" s="80" customFormat="1" x14ac:dyDescent="0.2">
      <c r="A1186" s="1384">
        <v>43680</v>
      </c>
      <c r="B1186" s="1489" t="s">
        <v>3014</v>
      </c>
      <c r="C1186" s="1489" t="s">
        <v>3015</v>
      </c>
      <c r="D1186" s="1686">
        <v>2.1678240740740741E-2</v>
      </c>
      <c r="E1186" s="1489" t="s">
        <v>13358</v>
      </c>
      <c r="F1186" s="1489" t="s">
        <v>13388</v>
      </c>
      <c r="G1186" s="1815">
        <v>0.55789999999999995</v>
      </c>
      <c r="H1186" s="1514"/>
      <c r="I1186" s="1514"/>
      <c r="L1186" s="1370"/>
      <c r="M1186" s="1370"/>
      <c r="N1186" s="1370"/>
      <c r="O1186" s="1370"/>
      <c r="P1186" s="1370"/>
      <c r="Q1186" s="1370"/>
      <c r="R1186" s="1370"/>
      <c r="S1186" s="1370"/>
      <c r="T1186" s="1370"/>
      <c r="U1186" s="1370"/>
      <c r="V1186" s="1370"/>
      <c r="W1186" s="1370"/>
      <c r="X1186" s="1370"/>
    </row>
    <row r="1187" spans="1:24" s="80" customFormat="1" x14ac:dyDescent="0.2">
      <c r="A1187" s="523">
        <v>43652</v>
      </c>
      <c r="B1187" s="1489" t="s">
        <v>3014</v>
      </c>
      <c r="C1187" s="1489" t="s">
        <v>3015</v>
      </c>
      <c r="D1187" s="1686">
        <v>2.2615740740740742E-2</v>
      </c>
      <c r="E1187" s="1489" t="s">
        <v>13081</v>
      </c>
      <c r="F1187" s="1489" t="s">
        <v>13113</v>
      </c>
      <c r="G1187" s="1815">
        <v>0.53480000000000005</v>
      </c>
      <c r="H1187" s="1489"/>
      <c r="I1187" s="1489"/>
      <c r="J1187" s="1489"/>
      <c r="L1187" s="1370"/>
      <c r="M1187" s="1370"/>
      <c r="N1187" s="1370"/>
      <c r="O1187" s="1370"/>
      <c r="P1187" s="1370"/>
      <c r="Q1187" s="1370"/>
      <c r="R1187" s="1370"/>
      <c r="S1187" s="1370"/>
      <c r="T1187" s="1370"/>
      <c r="U1187" s="1370"/>
      <c r="V1187" s="1370"/>
      <c r="W1187" s="1370"/>
      <c r="X1187" s="1370"/>
    </row>
    <row r="1188" spans="1:24" s="80" customFormat="1" x14ac:dyDescent="0.2">
      <c r="A1188" s="523">
        <v>43624</v>
      </c>
      <c r="B1188" s="1489" t="s">
        <v>3014</v>
      </c>
      <c r="C1188" s="1489" t="s">
        <v>3015</v>
      </c>
      <c r="D1188" s="1835">
        <v>2.3078703703703702E-2</v>
      </c>
      <c r="E1188" s="1569" t="s">
        <v>12856</v>
      </c>
      <c r="F1188" s="1625" t="s">
        <v>12879</v>
      </c>
      <c r="G1188" s="1818">
        <v>0.52410000000000001</v>
      </c>
      <c r="I1188" s="1514"/>
      <c r="L1188" s="1370"/>
      <c r="M1188" s="1370"/>
      <c r="N1188" s="1370"/>
      <c r="O1188" s="1370"/>
      <c r="P1188" s="1370"/>
      <c r="Q1188" s="1370"/>
      <c r="R1188" s="1370"/>
      <c r="S1188" s="1370"/>
      <c r="T1188" s="1370"/>
      <c r="U1188" s="1370"/>
      <c r="V1188" s="1370"/>
      <c r="W1188" s="1370"/>
      <c r="X1188" s="1370"/>
    </row>
    <row r="1189" spans="1:24" s="80" customFormat="1" x14ac:dyDescent="0.2">
      <c r="A1189" s="1384">
        <v>43596</v>
      </c>
      <c r="B1189" s="1489" t="s">
        <v>3014</v>
      </c>
      <c r="C1189" s="1489" t="s">
        <v>3015</v>
      </c>
      <c r="D1189" s="1733">
        <v>2.1944444444444447E-2</v>
      </c>
      <c r="E1189" s="1489" t="s">
        <v>12542</v>
      </c>
      <c r="F1189" s="1489" t="s">
        <v>12551</v>
      </c>
      <c r="G1189" s="1815">
        <v>0.54379999999999995</v>
      </c>
      <c r="H1189" s="1489"/>
      <c r="I1189" s="1489"/>
      <c r="J1189" s="1370"/>
      <c r="K1189" s="1370"/>
      <c r="L1189" s="1370"/>
      <c r="M1189" s="1370"/>
      <c r="N1189" s="1370"/>
      <c r="O1189" s="1370"/>
      <c r="P1189" s="1370"/>
      <c r="Q1189" s="1370"/>
      <c r="R1189" s="1370"/>
      <c r="S1189" s="1370"/>
      <c r="T1189" s="1370"/>
      <c r="U1189" s="1370"/>
      <c r="V1189" s="1370"/>
      <c r="W1189" s="1370"/>
      <c r="X1189" s="1370"/>
    </row>
    <row r="1190" spans="1:24" s="80" customFormat="1" x14ac:dyDescent="0.2">
      <c r="A1190" s="1384">
        <v>43582</v>
      </c>
      <c r="B1190" s="1489" t="s">
        <v>3014</v>
      </c>
      <c r="C1190" s="1489" t="s">
        <v>3015</v>
      </c>
      <c r="D1190" s="1733">
        <v>2.2581018518518518E-2</v>
      </c>
      <c r="E1190" s="1489" t="s">
        <v>12550</v>
      </c>
      <c r="F1190" s="1489" t="s">
        <v>12552</v>
      </c>
      <c r="G1190" s="1815">
        <v>0.52839999999999998</v>
      </c>
      <c r="H1190" s="1489"/>
      <c r="I1190" s="1489"/>
      <c r="J1190" s="1370"/>
      <c r="K1190" s="1370"/>
      <c r="L1190" s="1370"/>
      <c r="M1190" s="1370"/>
      <c r="N1190" s="1370"/>
      <c r="O1190" s="1370"/>
      <c r="P1190" s="1370"/>
      <c r="Q1190" s="1370"/>
      <c r="R1190" s="1370"/>
      <c r="S1190" s="1370"/>
      <c r="T1190" s="1370"/>
      <c r="U1190" s="1370"/>
      <c r="V1190" s="1370"/>
      <c r="W1190" s="1370"/>
      <c r="X1190" s="1370"/>
    </row>
    <row r="1191" spans="1:24" s="80" customFormat="1" x14ac:dyDescent="0.2">
      <c r="A1191" s="1384">
        <v>43540</v>
      </c>
      <c r="B1191" s="1489" t="s">
        <v>3014</v>
      </c>
      <c r="C1191" s="1489" t="s">
        <v>3015</v>
      </c>
      <c r="D1191" s="1733">
        <v>2.2592592592592591E-2</v>
      </c>
      <c r="E1191" s="1489" t="s">
        <v>12093</v>
      </c>
      <c r="F1191" s="1489" t="s">
        <v>12092</v>
      </c>
      <c r="G1191" s="1815">
        <v>0.5282</v>
      </c>
      <c r="H1191" s="1489"/>
      <c r="I1191" s="1489"/>
      <c r="J1191" s="1370"/>
      <c r="K1191" s="1370"/>
      <c r="L1191" s="1370"/>
      <c r="M1191" s="1370"/>
      <c r="N1191" s="1370"/>
      <c r="O1191" s="1370"/>
      <c r="P1191" s="1370"/>
      <c r="Q1191" s="1370"/>
      <c r="R1191" s="1370"/>
      <c r="S1191" s="1370"/>
      <c r="T1191" s="1370"/>
      <c r="U1191" s="1370"/>
      <c r="V1191" s="1370"/>
      <c r="W1191" s="1370"/>
      <c r="X1191" s="1370"/>
    </row>
    <row r="1192" spans="1:24" s="80" customFormat="1" x14ac:dyDescent="0.2">
      <c r="A1192" s="1384">
        <v>43533</v>
      </c>
      <c r="B1192" s="1489" t="s">
        <v>3014</v>
      </c>
      <c r="C1192" s="1489" t="s">
        <v>3015</v>
      </c>
      <c r="D1192" s="1733">
        <v>2.1377314814814818E-2</v>
      </c>
      <c r="E1192" s="1489" t="s">
        <v>12029</v>
      </c>
      <c r="F1192" s="1489" t="s">
        <v>12033</v>
      </c>
      <c r="G1192" s="1815">
        <v>0.55820000000000003</v>
      </c>
      <c r="H1192" s="1489"/>
      <c r="I1192" s="1489"/>
      <c r="J1192" s="1370"/>
      <c r="K1192" s="1370"/>
      <c r="L1192" s="1370"/>
      <c r="M1192" s="1370"/>
      <c r="N1192" s="1370"/>
      <c r="O1192" s="1370"/>
      <c r="P1192" s="1370"/>
      <c r="Q1192" s="1370"/>
      <c r="R1192" s="1370"/>
      <c r="S1192" s="1370"/>
      <c r="T1192" s="1370"/>
      <c r="U1192" s="1370"/>
      <c r="V1192" s="1370"/>
      <c r="W1192" s="1370"/>
      <c r="X1192" s="1370"/>
    </row>
    <row r="1193" spans="1:24" s="80" customFormat="1" x14ac:dyDescent="0.2">
      <c r="A1193" s="34">
        <v>43824</v>
      </c>
      <c r="B1193" s="1489" t="s">
        <v>5649</v>
      </c>
      <c r="C1193" s="1489" t="s">
        <v>1047</v>
      </c>
      <c r="D1193" s="1621">
        <v>2.7870370370370372E-2</v>
      </c>
      <c r="E1193" s="1489" t="s">
        <v>16380</v>
      </c>
      <c r="F1193" s="1489" t="s">
        <v>16399</v>
      </c>
      <c r="G1193" s="1817">
        <v>0.37959999999999999</v>
      </c>
      <c r="H1193" s="1404" t="s">
        <v>16366</v>
      </c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</row>
    <row r="1194" spans="1:24" s="80" customFormat="1" x14ac:dyDescent="0.2">
      <c r="A1194" s="1765">
        <v>43813</v>
      </c>
      <c r="B1194" s="1489" t="s">
        <v>5649</v>
      </c>
      <c r="C1194" s="1489" t="s">
        <v>1047</v>
      </c>
      <c r="D1194" s="1621">
        <v>1.556712962962963E-2</v>
      </c>
      <c r="E1194" s="1489" t="s">
        <v>16262</v>
      </c>
      <c r="F1194" s="1404" t="s">
        <v>16285</v>
      </c>
      <c r="G1194" s="1817">
        <v>0.67430000000000001</v>
      </c>
      <c r="H1194" s="1404"/>
      <c r="I1194" s="1489" t="s">
        <v>1212</v>
      </c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</row>
    <row r="1195" spans="1:24" s="80" customFormat="1" x14ac:dyDescent="0.2">
      <c r="A1195" s="34">
        <v>43701</v>
      </c>
      <c r="B1195" s="1489" t="s">
        <v>5649</v>
      </c>
      <c r="C1195" s="1489" t="s">
        <v>1047</v>
      </c>
      <c r="D1195" s="65">
        <v>1.6331018518518519E-2</v>
      </c>
      <c r="E1195" s="1489" t="s">
        <v>2526</v>
      </c>
      <c r="F1195" s="1489" t="s">
        <v>16301</v>
      </c>
      <c r="G1195" s="314">
        <v>0.64280000000000004</v>
      </c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</row>
    <row r="1196" spans="1:24" s="80" customFormat="1" x14ac:dyDescent="0.2">
      <c r="A1196" s="1729">
        <v>43827</v>
      </c>
      <c r="B1196" s="1489" t="s">
        <v>2342</v>
      </c>
      <c r="C1196" s="1489" t="s">
        <v>2343</v>
      </c>
      <c r="D1196" s="1621">
        <v>1.5173611111111113E-2</v>
      </c>
      <c r="E1196" s="1489" t="s">
        <v>16428</v>
      </c>
      <c r="F1196" s="1489" t="s">
        <v>16444</v>
      </c>
      <c r="G1196" s="1817">
        <v>0.7147</v>
      </c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</row>
    <row r="1197" spans="1:24" s="80" customFormat="1" x14ac:dyDescent="0.2">
      <c r="A1197" s="34">
        <v>43824</v>
      </c>
      <c r="B1197" s="1489" t="s">
        <v>2342</v>
      </c>
      <c r="C1197" s="1489" t="s">
        <v>2343</v>
      </c>
      <c r="D1197" s="1621">
        <v>2.4386574074074074E-2</v>
      </c>
      <c r="E1197" s="1489" t="s">
        <v>16372</v>
      </c>
      <c r="F1197" s="1489"/>
      <c r="G1197" s="1817">
        <v>0.44469999999999998</v>
      </c>
      <c r="H1197" s="1404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</row>
    <row r="1198" spans="1:24" s="80" customFormat="1" x14ac:dyDescent="0.2">
      <c r="A1198" s="1673">
        <v>43820</v>
      </c>
      <c r="B1198" s="1489" t="s">
        <v>2342</v>
      </c>
      <c r="C1198" s="1489" t="s">
        <v>2343</v>
      </c>
      <c r="D1198" s="1777">
        <v>1.4224537037037039E-2</v>
      </c>
      <c r="E1198" s="80" t="s">
        <v>16327</v>
      </c>
      <c r="F1198" s="80" t="s">
        <v>16341</v>
      </c>
      <c r="G1198" s="314">
        <v>0.76239999999999997</v>
      </c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</row>
    <row r="1199" spans="1:24" s="80" customFormat="1" x14ac:dyDescent="0.2">
      <c r="A1199" s="1765">
        <v>43813</v>
      </c>
      <c r="B1199" s="1489" t="s">
        <v>2342</v>
      </c>
      <c r="C1199" s="1489" t="s">
        <v>2343</v>
      </c>
      <c r="D1199" s="1621">
        <v>1.511574074074074E-2</v>
      </c>
      <c r="E1199" s="1489" t="s">
        <v>16263</v>
      </c>
      <c r="F1199" s="1404"/>
      <c r="G1199" s="1817">
        <v>0.71750000000000003</v>
      </c>
      <c r="H1199" s="1404"/>
      <c r="I1199" s="1404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</row>
    <row r="1200" spans="1:24" s="80" customFormat="1" x14ac:dyDescent="0.2">
      <c r="A1200" s="34">
        <v>43806</v>
      </c>
      <c r="B1200" s="1489" t="s">
        <v>2342</v>
      </c>
      <c r="C1200" s="1489" t="s">
        <v>2343</v>
      </c>
      <c r="D1200" s="1621">
        <v>1.4710648148148148E-2</v>
      </c>
      <c r="E1200" s="1489" t="s">
        <v>16213</v>
      </c>
      <c r="F1200" s="1489" t="s">
        <v>15938</v>
      </c>
      <c r="G1200" s="1817">
        <v>0.73719999999999997</v>
      </c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</row>
    <row r="1201" spans="1:24" s="80" customFormat="1" x14ac:dyDescent="0.2">
      <c r="A1201" s="1729">
        <v>43799</v>
      </c>
      <c r="B1201" s="1489" t="s">
        <v>2342</v>
      </c>
      <c r="C1201" s="1489" t="s">
        <v>2343</v>
      </c>
      <c r="D1201" s="1674">
        <v>1.8715277777777775E-2</v>
      </c>
      <c r="E1201" s="1486" t="s">
        <v>16145</v>
      </c>
      <c r="F1201" t="s">
        <v>16141</v>
      </c>
      <c r="G1201" s="314">
        <v>0.57950000000000002</v>
      </c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</row>
    <row r="1202" spans="1:24" s="80" customFormat="1" ht="15" customHeight="1" x14ac:dyDescent="0.2">
      <c r="A1202" s="1751">
        <v>43792</v>
      </c>
      <c r="B1202" s="1489" t="s">
        <v>2342</v>
      </c>
      <c r="C1202" s="1489" t="s">
        <v>2343</v>
      </c>
      <c r="D1202" s="1786">
        <v>1.4166666666666666E-2</v>
      </c>
      <c r="E1202" s="1489" t="s">
        <v>16078</v>
      </c>
      <c r="F1202" s="1404" t="s">
        <v>16111</v>
      </c>
      <c r="G1202" s="1817">
        <v>0.76549999999999996</v>
      </c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</row>
    <row r="1203" spans="1:24" s="80" customFormat="1" x14ac:dyDescent="0.2">
      <c r="A1203" s="1673">
        <v>43785</v>
      </c>
      <c r="B1203" s="1489" t="s">
        <v>2342</v>
      </c>
      <c r="C1203" s="1489" t="s">
        <v>2343</v>
      </c>
      <c r="D1203" s="1754">
        <v>1.4849537037037036E-2</v>
      </c>
      <c r="E1203" s="1514" t="s">
        <v>15993</v>
      </c>
      <c r="F1203" s="1514" t="s">
        <v>16045</v>
      </c>
      <c r="G1203" s="1825">
        <v>0.73029999999999995</v>
      </c>
      <c r="H1203" s="1370"/>
      <c r="I1203" s="1370"/>
      <c r="J1203" s="1370"/>
      <c r="K1203" s="1370"/>
      <c r="L1203" s="1370"/>
      <c r="M1203" s="1370"/>
      <c r="N1203" s="1370"/>
      <c r="O1203" s="1370"/>
      <c r="P1203" s="1370"/>
      <c r="Q1203" s="1370"/>
      <c r="R1203" s="1370"/>
      <c r="S1203" s="1370"/>
      <c r="T1203" s="1370"/>
      <c r="U1203" s="1370"/>
      <c r="V1203" s="1370"/>
      <c r="W1203" s="1370"/>
      <c r="X1203" s="1370"/>
    </row>
    <row r="1204" spans="1:24" s="80" customFormat="1" x14ac:dyDescent="0.2">
      <c r="A1204" s="1384">
        <v>43778</v>
      </c>
      <c r="B1204" s="1489" t="s">
        <v>2342</v>
      </c>
      <c r="C1204" s="1489" t="s">
        <v>2343</v>
      </c>
      <c r="D1204" s="1744">
        <v>1.4953703703703703E-2</v>
      </c>
      <c r="E1204" s="1723" t="s">
        <v>15959</v>
      </c>
      <c r="F1204" s="1723" t="s">
        <v>15969</v>
      </c>
      <c r="G1204" s="1820">
        <v>0.72519999999999996</v>
      </c>
      <c r="H1204" s="1370"/>
      <c r="I1204" s="1489"/>
      <c r="J1204" s="1370"/>
      <c r="K1204" s="1370"/>
      <c r="L1204" s="1370"/>
      <c r="M1204" s="1370"/>
      <c r="N1204" s="1370"/>
      <c r="O1204" s="1370"/>
      <c r="P1204" s="1370"/>
      <c r="Q1204" s="1370"/>
      <c r="R1204" s="1370"/>
      <c r="S1204" s="1370"/>
      <c r="T1204" s="1370"/>
      <c r="U1204" s="1370"/>
      <c r="V1204" s="1370"/>
      <c r="W1204" s="1370"/>
      <c r="X1204" s="1370"/>
    </row>
    <row r="1205" spans="1:24" s="80" customFormat="1" x14ac:dyDescent="0.2">
      <c r="A1205" s="1384">
        <v>43771</v>
      </c>
      <c r="B1205" s="1489" t="s">
        <v>2342</v>
      </c>
      <c r="C1205" s="1489" t="s">
        <v>2343</v>
      </c>
      <c r="D1205" s="1737">
        <v>2.0648148148148148E-2</v>
      </c>
      <c r="E1205" s="1489" t="s">
        <v>15891</v>
      </c>
      <c r="F1205" s="1489"/>
      <c r="G1205" s="1815">
        <v>0.5252</v>
      </c>
      <c r="H1205" s="1370"/>
      <c r="I1205" s="1489"/>
      <c r="J1205" s="1370"/>
      <c r="K1205" s="1370"/>
      <c r="L1205" s="1370"/>
      <c r="M1205" s="1370"/>
      <c r="N1205" s="1370"/>
      <c r="O1205" s="1370"/>
      <c r="P1205" s="1370"/>
      <c r="Q1205" s="1370"/>
      <c r="R1205" s="1370"/>
      <c r="S1205" s="1370"/>
      <c r="T1205" s="1370"/>
      <c r="U1205" s="1370"/>
      <c r="V1205" s="1370"/>
      <c r="W1205" s="1370"/>
      <c r="X1205" s="1370"/>
    </row>
    <row r="1206" spans="1:24" s="80" customFormat="1" x14ac:dyDescent="0.2">
      <c r="A1206" s="1384">
        <v>43764</v>
      </c>
      <c r="B1206" s="1489" t="s">
        <v>2342</v>
      </c>
      <c r="C1206" s="1489" t="s">
        <v>2343</v>
      </c>
      <c r="D1206" s="1727">
        <v>1.5509259259259257E-2</v>
      </c>
      <c r="E1206" s="1728" t="s">
        <v>4822</v>
      </c>
      <c r="F1206" s="1728" t="s">
        <v>15924</v>
      </c>
      <c r="G1206" s="1821">
        <v>0.69930000000000003</v>
      </c>
      <c r="H1206" s="1370"/>
      <c r="I1206" s="1489"/>
      <c r="J1206" s="1370"/>
      <c r="K1206" s="1370"/>
      <c r="L1206" s="1370"/>
      <c r="M1206" s="1370"/>
      <c r="N1206" s="1370"/>
      <c r="O1206" s="1370"/>
      <c r="P1206" s="1370"/>
      <c r="Q1206" s="1370"/>
      <c r="R1206" s="1370"/>
      <c r="S1206" s="1370"/>
      <c r="T1206" s="1370"/>
      <c r="U1206" s="1370"/>
      <c r="V1206" s="1370"/>
      <c r="W1206" s="1370"/>
      <c r="X1206" s="1370"/>
    </row>
    <row r="1207" spans="1:24" s="80" customFormat="1" x14ac:dyDescent="0.2">
      <c r="A1207" s="523">
        <v>43757</v>
      </c>
      <c r="B1207" s="1489" t="s">
        <v>2342</v>
      </c>
      <c r="C1207" s="1489" t="s">
        <v>2343</v>
      </c>
      <c r="D1207" s="1686">
        <v>1.4699074074074076E-2</v>
      </c>
      <c r="E1207" s="1489" t="s">
        <v>15853</v>
      </c>
      <c r="F1207" s="1489" t="s">
        <v>15839</v>
      </c>
      <c r="G1207" s="1815">
        <v>0.73780000000000001</v>
      </c>
      <c r="H1207" s="1489"/>
      <c r="I1207" s="1489"/>
      <c r="J1207" s="1489"/>
      <c r="K1207" s="1489"/>
    </row>
    <row r="1208" spans="1:24" s="80" customFormat="1" x14ac:dyDescent="0.2">
      <c r="A1208" s="523">
        <v>43750</v>
      </c>
      <c r="B1208" s="1489" t="s">
        <v>2342</v>
      </c>
      <c r="C1208" s="1489" t="s">
        <v>2343</v>
      </c>
      <c r="D1208" s="1753" t="s">
        <v>787</v>
      </c>
      <c r="E1208" s="1514" t="s">
        <v>5883</v>
      </c>
      <c r="F1208" s="1514" t="s">
        <v>4185</v>
      </c>
      <c r="G1208" s="1822"/>
      <c r="H1208" s="1514"/>
      <c r="I1208" s="1514"/>
      <c r="L1208" s="1370"/>
      <c r="M1208" s="1370"/>
      <c r="N1208" s="1370"/>
      <c r="O1208" s="1370"/>
      <c r="P1208" s="1370"/>
      <c r="Q1208" s="1370"/>
      <c r="R1208" s="1370"/>
      <c r="S1208" s="1370"/>
      <c r="T1208" s="1370"/>
      <c r="U1208" s="1370"/>
      <c r="V1208" s="1370"/>
      <c r="W1208" s="1370"/>
      <c r="X1208" s="1370"/>
    </row>
    <row r="1209" spans="1:24" s="80" customFormat="1" x14ac:dyDescent="0.2">
      <c r="A1209" s="1729">
        <v>43743</v>
      </c>
      <c r="B1209" s="1489" t="s">
        <v>2342</v>
      </c>
      <c r="C1209" s="1489" t="s">
        <v>2343</v>
      </c>
      <c r="D1209" s="1737">
        <v>1.4016203703703704E-2</v>
      </c>
      <c r="E1209" s="1514" t="s">
        <v>15707</v>
      </c>
      <c r="F1209" s="1514" t="s">
        <v>15737</v>
      </c>
      <c r="G1209" s="1822">
        <v>0.77370000000000005</v>
      </c>
      <c r="H1209" s="1514"/>
      <c r="I1209" s="1514"/>
    </row>
    <row r="1210" spans="1:24" s="80" customFormat="1" x14ac:dyDescent="0.2">
      <c r="A1210" s="1729">
        <v>43736</v>
      </c>
      <c r="B1210" s="1489" t="s">
        <v>2342</v>
      </c>
      <c r="C1210" s="1489" t="s">
        <v>2343</v>
      </c>
      <c r="D1210" s="1686">
        <v>1.4837962962962964E-2</v>
      </c>
      <c r="E1210" s="1489" t="s">
        <v>15631</v>
      </c>
      <c r="F1210" s="1489" t="s">
        <v>5151</v>
      </c>
      <c r="G1210" s="1815">
        <v>0.73089999999999999</v>
      </c>
      <c r="H1210" s="1514"/>
      <c r="I1210" s="1514"/>
    </row>
    <row r="1211" spans="1:24" s="80" customFormat="1" x14ac:dyDescent="0.2">
      <c r="A1211" s="523">
        <v>43729</v>
      </c>
      <c r="B1211" s="1489" t="s">
        <v>2342</v>
      </c>
      <c r="C1211" s="1489" t="s">
        <v>2343</v>
      </c>
      <c r="D1211" s="1686" t="s">
        <v>787</v>
      </c>
      <c r="E1211" s="1489" t="s">
        <v>5883</v>
      </c>
      <c r="F1211" s="1489" t="s">
        <v>4185</v>
      </c>
      <c r="G1211" s="1822"/>
      <c r="H1211" s="1514"/>
      <c r="I1211" s="1514"/>
      <c r="L1211" s="1370"/>
      <c r="M1211" s="1370"/>
      <c r="N1211" s="1370"/>
      <c r="O1211" s="1370"/>
      <c r="P1211" s="1370"/>
      <c r="Q1211" s="1370"/>
      <c r="R1211" s="1370"/>
      <c r="S1211" s="1370"/>
      <c r="T1211" s="1370"/>
      <c r="U1211" s="1370"/>
      <c r="V1211" s="1370"/>
      <c r="W1211" s="1370"/>
      <c r="X1211" s="1370"/>
    </row>
    <row r="1212" spans="1:24" s="80" customFormat="1" x14ac:dyDescent="0.2">
      <c r="A1212" s="523">
        <v>43722</v>
      </c>
      <c r="B1212" s="1489" t="s">
        <v>2342</v>
      </c>
      <c r="C1212" s="1489" t="s">
        <v>2343</v>
      </c>
      <c r="D1212" s="1686">
        <v>1.4479166666666666E-2</v>
      </c>
      <c r="E1212" s="1489" t="s">
        <v>15465</v>
      </c>
      <c r="F1212" s="1489" t="s">
        <v>15508</v>
      </c>
      <c r="G1212" s="1815">
        <v>0.749</v>
      </c>
      <c r="H1212" s="1514"/>
      <c r="I1212" s="1514"/>
      <c r="L1212" s="1370"/>
      <c r="M1212" s="1370"/>
      <c r="N1212" s="1370"/>
      <c r="O1212" s="1370"/>
      <c r="P1212" s="1370"/>
      <c r="Q1212" s="1370"/>
      <c r="R1212" s="1370"/>
      <c r="S1212" s="1370"/>
      <c r="T1212" s="1370"/>
      <c r="U1212" s="1370"/>
      <c r="V1212" s="1370"/>
      <c r="W1212" s="1370"/>
      <c r="X1212" s="1370"/>
    </row>
    <row r="1213" spans="1:24" s="80" customFormat="1" x14ac:dyDescent="0.2">
      <c r="A1213" s="523">
        <v>43715</v>
      </c>
      <c r="B1213" s="1489" t="s">
        <v>2342</v>
      </c>
      <c r="C1213" s="1489" t="s">
        <v>2343</v>
      </c>
      <c r="D1213" s="1732">
        <v>1.4282407407407407E-2</v>
      </c>
      <c r="E1213" s="1514" t="s">
        <v>15416</v>
      </c>
      <c r="F1213" s="1489" t="s">
        <v>15437</v>
      </c>
      <c r="G1213" s="1822">
        <v>0.75929999999999997</v>
      </c>
      <c r="H1213" s="1514"/>
      <c r="I1213" s="1514"/>
      <c r="L1213" s="1370"/>
      <c r="M1213" s="1370"/>
      <c r="N1213" s="1370"/>
      <c r="O1213" s="1370"/>
      <c r="P1213" s="1370"/>
      <c r="Q1213" s="1370"/>
      <c r="R1213" s="1370"/>
      <c r="S1213" s="1370"/>
      <c r="T1213" s="1370"/>
      <c r="U1213" s="1370"/>
      <c r="V1213" s="1370"/>
      <c r="W1213" s="1370"/>
      <c r="X1213" s="1370"/>
    </row>
    <row r="1214" spans="1:24" s="80" customFormat="1" x14ac:dyDescent="0.2">
      <c r="A1214" s="523">
        <v>43708</v>
      </c>
      <c r="B1214" s="1489" t="s">
        <v>2342</v>
      </c>
      <c r="C1214" s="1489" t="s">
        <v>2343</v>
      </c>
      <c r="D1214" s="1686" t="s">
        <v>787</v>
      </c>
      <c r="E1214" s="1489" t="s">
        <v>5883</v>
      </c>
      <c r="F1214" s="1489" t="s">
        <v>4185</v>
      </c>
      <c r="G1214" s="1815"/>
      <c r="H1214" s="1514"/>
      <c r="I1214" s="1514"/>
    </row>
    <row r="1215" spans="1:24" s="80" customFormat="1" x14ac:dyDescent="0.2">
      <c r="A1215" s="1526">
        <v>43701</v>
      </c>
      <c r="B1215" s="1489" t="s">
        <v>2342</v>
      </c>
      <c r="C1215" s="1489" t="s">
        <v>2343</v>
      </c>
      <c r="D1215" s="1686">
        <v>1.4675925925925926E-2</v>
      </c>
      <c r="E1215" s="1489" t="s">
        <v>15275</v>
      </c>
      <c r="F1215" s="1489" t="s">
        <v>15301</v>
      </c>
      <c r="G1215" s="1815">
        <v>0.73899999999999999</v>
      </c>
      <c r="H1215" s="1514"/>
      <c r="I1215" s="1514"/>
    </row>
    <row r="1216" spans="1:24" s="80" customFormat="1" x14ac:dyDescent="0.2">
      <c r="A1216" s="523">
        <v>43694</v>
      </c>
      <c r="B1216" s="1489" t="s">
        <v>2342</v>
      </c>
      <c r="C1216" s="1489" t="s">
        <v>2343</v>
      </c>
      <c r="D1216" s="1733">
        <v>1.4872685185185187E-2</v>
      </c>
      <c r="E1216" s="1489" t="s">
        <v>15156</v>
      </c>
      <c r="F1216" s="1489" t="s">
        <v>15199</v>
      </c>
      <c r="G1216" s="1815">
        <v>0.72919999999999996</v>
      </c>
      <c r="H1216" s="1514"/>
      <c r="I1216" s="1514"/>
      <c r="L1216" s="1370"/>
      <c r="M1216" s="1370"/>
      <c r="N1216" s="1370"/>
      <c r="O1216" s="1370"/>
      <c r="P1216" s="1370"/>
      <c r="Q1216" s="1370"/>
      <c r="R1216" s="1370"/>
      <c r="S1216" s="1370"/>
      <c r="T1216" s="1370"/>
      <c r="U1216" s="1370"/>
      <c r="V1216" s="1370"/>
      <c r="W1216" s="1370"/>
      <c r="X1216" s="1370"/>
    </row>
    <row r="1217" spans="1:24" s="80" customFormat="1" x14ac:dyDescent="0.2">
      <c r="A1217" s="1384">
        <v>43673</v>
      </c>
      <c r="B1217" s="1489" t="s">
        <v>2342</v>
      </c>
      <c r="C1217" s="1489" t="s">
        <v>2343</v>
      </c>
      <c r="D1217" s="1686">
        <v>1.4490740740740742E-2</v>
      </c>
      <c r="E1217" s="1489" t="s">
        <v>13281</v>
      </c>
      <c r="F1217" s="1489" t="s">
        <v>13312</v>
      </c>
      <c r="G1217" s="1815">
        <v>0.74839999999999995</v>
      </c>
      <c r="H1217" s="1514"/>
      <c r="I1217" s="1514"/>
    </row>
    <row r="1218" spans="1:24" s="80" customFormat="1" x14ac:dyDescent="0.2">
      <c r="A1218" s="523">
        <v>43666</v>
      </c>
      <c r="B1218" s="1489" t="s">
        <v>2342</v>
      </c>
      <c r="C1218" s="1489" t="s">
        <v>2343</v>
      </c>
      <c r="D1218" s="1686">
        <v>1.5671296296296298E-2</v>
      </c>
      <c r="E1218" s="1489" t="s">
        <v>13188</v>
      </c>
      <c r="F1218" s="1489" t="s">
        <v>13213</v>
      </c>
      <c r="G1218" s="1815">
        <v>0.69199999999999995</v>
      </c>
      <c r="H1218" s="1514"/>
      <c r="I1218" s="1514"/>
      <c r="L1218" s="1370"/>
      <c r="M1218" s="1370"/>
      <c r="N1218" s="1370"/>
      <c r="O1218" s="1370"/>
      <c r="P1218" s="1370"/>
      <c r="Q1218" s="1370"/>
      <c r="R1218" s="1370"/>
      <c r="S1218" s="1370"/>
      <c r="T1218" s="1370"/>
      <c r="U1218" s="1370"/>
      <c r="V1218" s="1370"/>
      <c r="W1218" s="1370"/>
      <c r="X1218" s="1370"/>
    </row>
    <row r="1219" spans="1:24" s="80" customFormat="1" x14ac:dyDescent="0.2">
      <c r="A1219" s="523">
        <v>43659</v>
      </c>
      <c r="B1219" s="1489" t="s">
        <v>2342</v>
      </c>
      <c r="C1219" s="1489" t="s">
        <v>2343</v>
      </c>
      <c r="D1219" s="1686">
        <v>1.3634259259259259E-2</v>
      </c>
      <c r="E1219" s="1489" t="s">
        <v>13131</v>
      </c>
      <c r="F1219" s="1489" t="s">
        <v>13127</v>
      </c>
      <c r="G1219" s="1815">
        <v>0.7954</v>
      </c>
      <c r="H1219" s="1514"/>
      <c r="I1219" s="1489"/>
    </row>
    <row r="1220" spans="1:24" s="80" customFormat="1" x14ac:dyDescent="0.2">
      <c r="A1220" s="523">
        <v>43652</v>
      </c>
      <c r="B1220" s="1489" t="s">
        <v>2342</v>
      </c>
      <c r="C1220" s="1489" t="s">
        <v>2343</v>
      </c>
      <c r="D1220" s="1695" t="s">
        <v>3334</v>
      </c>
      <c r="E1220" s="1514" t="s">
        <v>12510</v>
      </c>
      <c r="F1220" s="1489" t="s">
        <v>13089</v>
      </c>
      <c r="G1220" s="1815"/>
      <c r="H1220" s="1579"/>
      <c r="I1220" s="1489"/>
      <c r="J1220" s="1489"/>
    </row>
    <row r="1221" spans="1:24" s="80" customFormat="1" x14ac:dyDescent="0.2">
      <c r="A1221" s="523">
        <v>43645</v>
      </c>
      <c r="B1221" s="1489" t="s">
        <v>2342</v>
      </c>
      <c r="C1221" s="1489" t="s">
        <v>2343</v>
      </c>
      <c r="D1221" s="1753" t="s">
        <v>787</v>
      </c>
      <c r="E1221" s="1514" t="s">
        <v>13019</v>
      </c>
      <c r="F1221" s="1514" t="s">
        <v>4185</v>
      </c>
      <c r="G1221" s="1822"/>
      <c r="H1221" s="1514"/>
      <c r="I1221" s="1514"/>
    </row>
    <row r="1222" spans="1:24" s="80" customFormat="1" x14ac:dyDescent="0.2">
      <c r="A1222" s="523">
        <v>43638</v>
      </c>
      <c r="B1222" s="1489" t="s">
        <v>2342</v>
      </c>
      <c r="C1222" s="1489" t="s">
        <v>2343</v>
      </c>
      <c r="D1222" s="1835">
        <v>1.4143518518518519E-2</v>
      </c>
      <c r="E1222" s="1569" t="s">
        <v>12981</v>
      </c>
      <c r="F1222" s="1569" t="s">
        <v>12999</v>
      </c>
      <c r="G1222" s="1818">
        <v>0.76680000000000004</v>
      </c>
      <c r="H1222" s="1514"/>
      <c r="I1222" s="1514"/>
      <c r="L1222" s="1370"/>
      <c r="M1222" s="1370"/>
      <c r="N1222" s="1370"/>
      <c r="O1222" s="1370"/>
      <c r="P1222" s="1370"/>
      <c r="Q1222" s="1370"/>
      <c r="R1222" s="1370"/>
      <c r="S1222" s="1370"/>
      <c r="T1222" s="1370"/>
      <c r="U1222" s="1370"/>
      <c r="V1222" s="1370"/>
      <c r="W1222" s="1370"/>
      <c r="X1222" s="1370"/>
    </row>
    <row r="1223" spans="1:24" s="80" customFormat="1" x14ac:dyDescent="0.2">
      <c r="A1223" s="523">
        <v>43624</v>
      </c>
      <c r="B1223" s="1489" t="s">
        <v>2342</v>
      </c>
      <c r="C1223" s="1489" t="s">
        <v>2343</v>
      </c>
      <c r="D1223" s="1835">
        <v>1.4548611111111111E-2</v>
      </c>
      <c r="E1223" s="1569" t="s">
        <v>12854</v>
      </c>
      <c r="F1223" s="1569" t="s">
        <v>12884</v>
      </c>
      <c r="G1223" s="1818">
        <v>0.74539999999999995</v>
      </c>
      <c r="H1223" s="1514"/>
      <c r="I1223" s="1514"/>
    </row>
    <row r="1224" spans="1:24" s="80" customFormat="1" x14ac:dyDescent="0.2">
      <c r="A1224" s="1384">
        <v>43617</v>
      </c>
      <c r="B1224" s="1489" t="s">
        <v>2342</v>
      </c>
      <c r="C1224" s="1489" t="s">
        <v>2343</v>
      </c>
      <c r="D1224" s="1836">
        <v>1.4722222222222222E-2</v>
      </c>
      <c r="E1224" s="1568" t="s">
        <v>12807</v>
      </c>
      <c r="F1224" s="1568" t="s">
        <v>12793</v>
      </c>
      <c r="G1224" s="1819">
        <v>0.73660000000000003</v>
      </c>
      <c r="H1224" s="1489"/>
      <c r="I1224" s="1489"/>
      <c r="J1224" s="1370"/>
      <c r="K1224" s="1370"/>
    </row>
    <row r="1225" spans="1:24" s="80" customFormat="1" x14ac:dyDescent="0.2">
      <c r="A1225" s="1384">
        <v>43610</v>
      </c>
      <c r="B1225" s="1489" t="s">
        <v>2342</v>
      </c>
      <c r="C1225" s="1489" t="s">
        <v>2343</v>
      </c>
      <c r="D1225" s="1733">
        <v>2.1504629629629627E-2</v>
      </c>
      <c r="E1225" s="1489" t="s">
        <v>12727</v>
      </c>
      <c r="F1225" s="1489"/>
      <c r="G1225" s="1815">
        <v>0.50429999999999997</v>
      </c>
      <c r="H1225" s="1489"/>
      <c r="I1225" s="1489"/>
      <c r="J1225" s="1370"/>
      <c r="K1225" s="1370"/>
    </row>
    <row r="1226" spans="1:24" s="80" customFormat="1" x14ac:dyDescent="0.2">
      <c r="A1226" s="1384">
        <v>43596</v>
      </c>
      <c r="B1226" s="1489" t="s">
        <v>2342</v>
      </c>
      <c r="C1226" s="1489" t="s">
        <v>2343</v>
      </c>
      <c r="D1226" s="1733">
        <v>1.4085648148148151E-2</v>
      </c>
      <c r="E1226" s="1489" t="s">
        <v>12531</v>
      </c>
      <c r="F1226" s="1489" t="s">
        <v>12525</v>
      </c>
      <c r="G1226" s="1815">
        <v>0.76990000000000003</v>
      </c>
      <c r="H1226" s="1489"/>
      <c r="I1226" s="1489"/>
      <c r="J1226" s="1370"/>
      <c r="K1226" s="1370"/>
    </row>
    <row r="1227" spans="1:24" s="80" customFormat="1" x14ac:dyDescent="0.2">
      <c r="A1227" s="1384">
        <v>43589</v>
      </c>
      <c r="B1227" s="1489" t="s">
        <v>2342</v>
      </c>
      <c r="C1227" s="1489" t="s">
        <v>2343</v>
      </c>
      <c r="D1227" s="1733">
        <v>2.2094907407407407E-2</v>
      </c>
      <c r="E1227" s="1489" t="s">
        <v>12532</v>
      </c>
      <c r="F1227" s="1489" t="s">
        <v>12944</v>
      </c>
      <c r="G1227" s="1815">
        <v>0.49080000000000001</v>
      </c>
      <c r="H1227" s="1489"/>
      <c r="I1227" s="1489"/>
      <c r="J1227" s="1370"/>
      <c r="K1227" s="1370"/>
      <c r="L1227" s="1370"/>
      <c r="M1227" s="1370"/>
      <c r="N1227" s="1370"/>
      <c r="O1227" s="1370"/>
      <c r="P1227" s="1370"/>
      <c r="Q1227" s="1370"/>
      <c r="R1227" s="1370"/>
      <c r="S1227" s="1370"/>
      <c r="T1227" s="1370"/>
      <c r="U1227" s="1370"/>
      <c r="V1227" s="1370"/>
      <c r="W1227" s="1370"/>
      <c r="X1227" s="1370"/>
    </row>
    <row r="1228" spans="1:24" s="80" customFormat="1" x14ac:dyDescent="0.2">
      <c r="A1228" s="1384">
        <v>43582</v>
      </c>
      <c r="B1228" s="1489" t="s">
        <v>2342</v>
      </c>
      <c r="C1228" s="1489" t="s">
        <v>2343</v>
      </c>
      <c r="D1228" s="1733">
        <v>1.7962962962962962E-2</v>
      </c>
      <c r="E1228" s="1489" t="s">
        <v>12563</v>
      </c>
      <c r="F1228" s="1489" t="s">
        <v>12529</v>
      </c>
      <c r="G1228" s="1815">
        <v>0.60370000000000001</v>
      </c>
      <c r="H1228" s="1489"/>
      <c r="I1228" s="1489"/>
      <c r="J1228" s="1370"/>
      <c r="K1228" s="1370"/>
      <c r="L1228" s="1370"/>
      <c r="M1228" s="1370"/>
      <c r="N1228" s="1370"/>
      <c r="O1228" s="1370"/>
      <c r="P1228" s="1370"/>
      <c r="Q1228" s="1370"/>
      <c r="R1228" s="1370"/>
      <c r="S1228" s="1370"/>
      <c r="T1228" s="1370"/>
      <c r="U1228" s="1370"/>
      <c r="V1228" s="1370"/>
      <c r="W1228" s="1370"/>
      <c r="X1228" s="1370"/>
    </row>
    <row r="1229" spans="1:24" s="80" customFormat="1" x14ac:dyDescent="0.2">
      <c r="A1229" s="1384">
        <v>43575</v>
      </c>
      <c r="B1229" s="1489" t="s">
        <v>2342</v>
      </c>
      <c r="C1229" s="1489" t="s">
        <v>2343</v>
      </c>
      <c r="D1229" s="1733" t="s">
        <v>787</v>
      </c>
      <c r="E1229" s="1489" t="s">
        <v>12451</v>
      </c>
      <c r="F1229" s="1489" t="s">
        <v>4185</v>
      </c>
      <c r="G1229" s="1815"/>
      <c r="H1229" s="1489"/>
      <c r="I1229" s="1489"/>
      <c r="J1229" s="1370"/>
      <c r="K1229" s="1370"/>
      <c r="L1229" s="1370"/>
      <c r="M1229" s="1370"/>
      <c r="N1229" s="1370"/>
      <c r="O1229" s="1370"/>
      <c r="P1229" s="1370"/>
      <c r="Q1229" s="1370"/>
      <c r="R1229" s="1370"/>
      <c r="S1229" s="1370"/>
      <c r="T1229" s="1370"/>
      <c r="U1229" s="1370"/>
      <c r="V1229" s="1370"/>
      <c r="W1229" s="1370"/>
      <c r="X1229" s="1370"/>
    </row>
    <row r="1230" spans="1:24" s="80" customFormat="1" x14ac:dyDescent="0.2">
      <c r="A1230" s="1384">
        <v>43568</v>
      </c>
      <c r="B1230" s="1489" t="s">
        <v>2342</v>
      </c>
      <c r="C1230" s="1489" t="s">
        <v>2343</v>
      </c>
      <c r="D1230" s="1733">
        <v>1.4791666666666668E-2</v>
      </c>
      <c r="E1230" s="1489" t="s">
        <v>12384</v>
      </c>
      <c r="F1230" s="1489" t="s">
        <v>12433</v>
      </c>
      <c r="G1230" s="1815">
        <v>0.73319999999999996</v>
      </c>
      <c r="H1230" s="1489"/>
      <c r="I1230" s="1489"/>
      <c r="J1230" s="1370"/>
      <c r="K1230" s="1370"/>
    </row>
    <row r="1231" spans="1:24" s="80" customFormat="1" x14ac:dyDescent="0.2">
      <c r="A1231" s="1384">
        <v>43561</v>
      </c>
      <c r="B1231" s="1489" t="s">
        <v>2342</v>
      </c>
      <c r="C1231" s="1489" t="s">
        <v>2343</v>
      </c>
      <c r="D1231" s="1733">
        <v>1.3854166666666666E-2</v>
      </c>
      <c r="E1231" s="1489" t="s">
        <v>12329</v>
      </c>
      <c r="F1231" s="1489" t="s">
        <v>12312</v>
      </c>
      <c r="G1231" s="1815">
        <v>0.78280000000000005</v>
      </c>
      <c r="H1231" s="1489"/>
      <c r="I1231" s="1489"/>
      <c r="J1231" s="1370"/>
      <c r="K1231" s="1370"/>
    </row>
    <row r="1232" spans="1:24" s="80" customFormat="1" x14ac:dyDescent="0.2">
      <c r="A1232" s="1384">
        <v>43554</v>
      </c>
      <c r="B1232" s="1489" t="s">
        <v>2342</v>
      </c>
      <c r="C1232" s="1489" t="s">
        <v>2343</v>
      </c>
      <c r="D1232" s="1733">
        <v>1.8807870370370371E-2</v>
      </c>
      <c r="E1232" s="1489" t="s">
        <v>12230</v>
      </c>
      <c r="F1232" s="1489" t="s">
        <v>12267</v>
      </c>
      <c r="G1232" s="1815">
        <v>0.5766</v>
      </c>
      <c r="H1232" s="1489"/>
      <c r="I1232" s="1489"/>
      <c r="J1232" s="1370"/>
      <c r="K1232" s="1370"/>
    </row>
    <row r="1233" spans="1:24" s="80" customFormat="1" x14ac:dyDescent="0.2">
      <c r="A1233" s="1384">
        <v>43547</v>
      </c>
      <c r="B1233" s="1489" t="s">
        <v>2342</v>
      </c>
      <c r="C1233" s="1489" t="s">
        <v>2343</v>
      </c>
      <c r="D1233" s="1733">
        <v>1.3703703703703704E-2</v>
      </c>
      <c r="E1233" s="1489" t="s">
        <v>12178</v>
      </c>
      <c r="F1233" s="1489" t="s">
        <v>12183</v>
      </c>
      <c r="G1233" s="1815">
        <v>0.79139999999999999</v>
      </c>
      <c r="H1233" s="1489"/>
      <c r="I1233" s="1489"/>
      <c r="J1233" s="1370"/>
      <c r="K1233" s="1370"/>
      <c r="L1233" s="1370"/>
      <c r="M1233" s="1370"/>
      <c r="N1233" s="1370"/>
      <c r="O1233" s="1370"/>
      <c r="P1233" s="1370"/>
      <c r="Q1233" s="1370"/>
      <c r="R1233" s="1370"/>
      <c r="S1233" s="1370"/>
      <c r="T1233" s="1370"/>
      <c r="U1233" s="1370"/>
      <c r="V1233" s="1370"/>
      <c r="W1233" s="1370"/>
      <c r="X1233" s="1370"/>
    </row>
    <row r="1234" spans="1:24" s="80" customFormat="1" x14ac:dyDescent="0.2">
      <c r="A1234" s="1384">
        <v>43540</v>
      </c>
      <c r="B1234" s="1489" t="s">
        <v>2342</v>
      </c>
      <c r="C1234" s="1489" t="s">
        <v>2343</v>
      </c>
      <c r="D1234" s="1733">
        <v>1.4259259259259261E-2</v>
      </c>
      <c r="E1234" s="1489" t="s">
        <v>12108</v>
      </c>
      <c r="F1234" s="1489" t="s">
        <v>12106</v>
      </c>
      <c r="G1234" s="1815">
        <v>0.76060000000000005</v>
      </c>
      <c r="H1234" s="1489"/>
      <c r="I1234" s="1489"/>
      <c r="J1234" s="1370"/>
      <c r="K1234" s="1370"/>
    </row>
    <row r="1235" spans="1:24" s="80" customFormat="1" x14ac:dyDescent="0.2">
      <c r="A1235" s="1384">
        <v>43533</v>
      </c>
      <c r="B1235" s="1489" t="s">
        <v>2342</v>
      </c>
      <c r="C1235" s="1489" t="s">
        <v>2343</v>
      </c>
      <c r="D1235" s="1733">
        <v>1.4768518518518519E-2</v>
      </c>
      <c r="E1235" s="1489" t="s">
        <v>12019</v>
      </c>
      <c r="F1235" s="1489" t="s">
        <v>12034</v>
      </c>
      <c r="G1235" s="1815">
        <v>0.73429999999999995</v>
      </c>
      <c r="H1235" s="1489"/>
      <c r="I1235" s="1489"/>
      <c r="J1235" s="1370"/>
      <c r="K1235" s="1370"/>
    </row>
    <row r="1236" spans="1:24" s="80" customFormat="1" x14ac:dyDescent="0.2">
      <c r="A1236" s="1384">
        <v>43526</v>
      </c>
      <c r="B1236" s="1489" t="s">
        <v>2342</v>
      </c>
      <c r="C1236" s="1489" t="s">
        <v>2343</v>
      </c>
      <c r="D1236" s="1733">
        <v>1.5995370370370372E-2</v>
      </c>
      <c r="E1236" s="1489" t="s">
        <v>11938</v>
      </c>
      <c r="F1236" s="1489" t="s">
        <v>11932</v>
      </c>
      <c r="G1236" s="1815">
        <v>0.67800000000000005</v>
      </c>
      <c r="H1236" s="1489"/>
      <c r="I1236" s="1489"/>
      <c r="J1236" s="1370"/>
      <c r="K1236" s="1370"/>
      <c r="L1236" s="1370"/>
      <c r="M1236" s="1370"/>
      <c r="N1236" s="1370"/>
      <c r="O1236" s="1370"/>
      <c r="P1236" s="1370"/>
      <c r="Q1236" s="1370"/>
      <c r="R1236" s="1370"/>
      <c r="S1236" s="1370"/>
      <c r="T1236" s="1370"/>
      <c r="U1236" s="1370"/>
      <c r="V1236" s="1370"/>
      <c r="W1236" s="1370"/>
      <c r="X1236" s="1370"/>
    </row>
    <row r="1237" spans="1:24" s="80" customFormat="1" x14ac:dyDescent="0.2">
      <c r="A1237" s="1384">
        <v>43519</v>
      </c>
      <c r="B1237" s="1489" t="s">
        <v>2342</v>
      </c>
      <c r="C1237" s="1489" t="s">
        <v>2343</v>
      </c>
      <c r="D1237" s="1733" t="s">
        <v>787</v>
      </c>
      <c r="E1237" s="1489" t="s">
        <v>5883</v>
      </c>
      <c r="F1237" s="1489" t="s">
        <v>4185</v>
      </c>
      <c r="G1237" s="1815"/>
      <c r="H1237" s="1489"/>
      <c r="I1237" s="1370"/>
      <c r="J1237" s="1370"/>
      <c r="K1237" s="1370"/>
    </row>
    <row r="1238" spans="1:24" s="80" customFormat="1" x14ac:dyDescent="0.2">
      <c r="A1238" s="1384">
        <v>43505</v>
      </c>
      <c r="B1238" s="1489" t="s">
        <v>2342</v>
      </c>
      <c r="C1238" s="1489" t="s">
        <v>2343</v>
      </c>
      <c r="D1238" s="1733">
        <v>1.4444444444444446E-2</v>
      </c>
      <c r="E1238" s="1489" t="s">
        <v>2818</v>
      </c>
      <c r="F1238" s="1489" t="s">
        <v>11793</v>
      </c>
      <c r="G1238" s="1815">
        <v>0.75080000000000002</v>
      </c>
      <c r="H1238" s="1489"/>
      <c r="I1238" s="1489"/>
      <c r="J1238" s="1370"/>
      <c r="K1238" s="1370"/>
      <c r="L1238" s="1370"/>
      <c r="M1238" s="1370"/>
      <c r="N1238" s="1370"/>
      <c r="O1238" s="1370"/>
      <c r="P1238" s="1370"/>
      <c r="Q1238" s="1370"/>
      <c r="R1238" s="1370"/>
      <c r="S1238" s="1370"/>
      <c r="T1238" s="1370"/>
      <c r="U1238" s="1370"/>
      <c r="V1238" s="1370"/>
      <c r="W1238" s="1370"/>
      <c r="X1238" s="1370"/>
    </row>
    <row r="1239" spans="1:24" s="80" customFormat="1" x14ac:dyDescent="0.2">
      <c r="A1239" s="1384">
        <v>43498</v>
      </c>
      <c r="B1239" s="1489" t="s">
        <v>2342</v>
      </c>
      <c r="C1239" s="1489" t="s">
        <v>2343</v>
      </c>
      <c r="D1239" s="1733">
        <v>1.4918981481481483E-2</v>
      </c>
      <c r="E1239" s="1489" t="s">
        <v>998</v>
      </c>
      <c r="F1239" s="1489" t="s">
        <v>11722</v>
      </c>
      <c r="G1239" s="1815">
        <v>0.7369</v>
      </c>
      <c r="H1239" s="1489"/>
      <c r="I1239" s="1489"/>
      <c r="J1239" s="1370"/>
      <c r="K1239" s="1370"/>
      <c r="L1239" s="1370"/>
      <c r="M1239" s="1370"/>
      <c r="N1239" s="1370"/>
      <c r="O1239" s="1370"/>
      <c r="P1239" s="1370"/>
      <c r="Q1239" s="1370"/>
      <c r="R1239" s="1370"/>
      <c r="S1239" s="1370"/>
      <c r="T1239" s="1370"/>
      <c r="U1239" s="1370"/>
      <c r="V1239" s="1370"/>
      <c r="W1239" s="1370"/>
      <c r="X1239" s="1370"/>
    </row>
    <row r="1240" spans="1:24" s="80" customFormat="1" x14ac:dyDescent="0.2">
      <c r="A1240" s="1384">
        <v>43491</v>
      </c>
      <c r="B1240" s="1489" t="s">
        <v>2342</v>
      </c>
      <c r="C1240" s="1489" t="s">
        <v>2343</v>
      </c>
      <c r="D1240" s="1733">
        <v>1.5671296296296298E-2</v>
      </c>
      <c r="E1240" s="1489" t="s">
        <v>5883</v>
      </c>
      <c r="F1240" s="1545" t="s">
        <v>11707</v>
      </c>
      <c r="G1240" s="1815">
        <v>0.69200000000000006</v>
      </c>
      <c r="H1240" s="1489"/>
      <c r="I1240" s="1489"/>
      <c r="J1240" s="1370"/>
      <c r="K1240" s="1370"/>
      <c r="L1240" s="1370"/>
      <c r="M1240" s="1370"/>
      <c r="N1240" s="1370"/>
      <c r="O1240" s="1370"/>
      <c r="P1240" s="1370"/>
      <c r="Q1240" s="1370"/>
      <c r="R1240" s="1370"/>
      <c r="S1240" s="1370"/>
      <c r="T1240" s="1370"/>
      <c r="U1240" s="1370"/>
      <c r="V1240" s="1370"/>
      <c r="W1240" s="1370"/>
      <c r="X1240" s="1370"/>
    </row>
    <row r="1241" spans="1:24" s="80" customFormat="1" x14ac:dyDescent="0.2">
      <c r="A1241" s="1384">
        <v>43484</v>
      </c>
      <c r="B1241" s="1489" t="s">
        <v>2342</v>
      </c>
      <c r="C1241" s="1489" t="s">
        <v>2343</v>
      </c>
      <c r="D1241" s="1733">
        <v>1.4513888888888889E-2</v>
      </c>
      <c r="E1241" s="1489" t="s">
        <v>10622</v>
      </c>
      <c r="F1241" s="1489" t="s">
        <v>11546</v>
      </c>
      <c r="G1241" s="1815">
        <v>0.74719999999999998</v>
      </c>
      <c r="H1241" s="1489"/>
      <c r="I1241" s="1489"/>
      <c r="J1241" s="1370"/>
      <c r="K1241" s="1370"/>
      <c r="L1241" s="1370"/>
      <c r="M1241" s="1370"/>
      <c r="N1241" s="1370"/>
      <c r="O1241" s="1370"/>
      <c r="P1241" s="1370"/>
      <c r="Q1241" s="1370"/>
      <c r="R1241" s="1370"/>
      <c r="S1241" s="1370"/>
      <c r="T1241" s="1370"/>
      <c r="U1241" s="1370"/>
      <c r="V1241" s="1370"/>
      <c r="W1241" s="1370"/>
      <c r="X1241" s="1370"/>
    </row>
    <row r="1242" spans="1:24" s="80" customFormat="1" x14ac:dyDescent="0.2">
      <c r="A1242" s="1384">
        <v>43477</v>
      </c>
      <c r="B1242" s="1489" t="s">
        <v>2342</v>
      </c>
      <c r="C1242" s="1489" t="s">
        <v>2343</v>
      </c>
      <c r="D1242" s="1733">
        <v>1.3645833333333331E-2</v>
      </c>
      <c r="E1242" s="1489" t="s">
        <v>2147</v>
      </c>
      <c r="F1242" s="1489" t="s">
        <v>11547</v>
      </c>
      <c r="G1242" s="1815">
        <v>0.79469999999999996</v>
      </c>
      <c r="H1242" s="1489"/>
      <c r="I1242" s="1489"/>
      <c r="J1242" s="1370"/>
      <c r="K1242" s="1370"/>
      <c r="L1242" s="1370"/>
      <c r="M1242" s="1370"/>
      <c r="N1242" s="1370"/>
      <c r="O1242" s="1370"/>
      <c r="P1242" s="1370"/>
      <c r="Q1242" s="1370"/>
      <c r="R1242" s="1370"/>
      <c r="S1242" s="1370"/>
      <c r="T1242" s="1370"/>
      <c r="U1242" s="1370"/>
      <c r="V1242" s="1370"/>
      <c r="W1242" s="1370"/>
      <c r="X1242" s="1370"/>
    </row>
    <row r="1243" spans="1:24" s="80" customFormat="1" x14ac:dyDescent="0.2">
      <c r="A1243" s="1384">
        <v>43470</v>
      </c>
      <c r="B1243" s="1489" t="s">
        <v>2342</v>
      </c>
      <c r="C1243" s="1489" t="s">
        <v>2343</v>
      </c>
      <c r="D1243" s="1733">
        <v>1.4988425925925926E-2</v>
      </c>
      <c r="E1243" s="1489" t="s">
        <v>129</v>
      </c>
      <c r="F1243" s="1489" t="s">
        <v>11548</v>
      </c>
      <c r="G1243" s="1815">
        <v>0.72360000000000002</v>
      </c>
      <c r="H1243" s="1489"/>
      <c r="I1243" s="1489"/>
      <c r="J1243" s="1370"/>
      <c r="K1243" s="1370"/>
      <c r="L1243" s="1370"/>
      <c r="M1243" s="1370"/>
      <c r="N1243" s="1370"/>
      <c r="O1243" s="1370"/>
      <c r="P1243" s="1370"/>
      <c r="Q1243" s="1370"/>
      <c r="R1243" s="1370"/>
      <c r="S1243" s="1370"/>
      <c r="T1243" s="1370"/>
      <c r="U1243" s="1370"/>
      <c r="V1243" s="1370"/>
      <c r="W1243" s="1370"/>
      <c r="X1243" s="1370"/>
    </row>
    <row r="1244" spans="1:24" s="80" customFormat="1" x14ac:dyDescent="0.2">
      <c r="A1244" s="1384">
        <v>43466</v>
      </c>
      <c r="B1244" s="1489" t="s">
        <v>2342</v>
      </c>
      <c r="C1244" s="1489" t="s">
        <v>2343</v>
      </c>
      <c r="D1244" s="1733">
        <v>1.5555555555555553E-2</v>
      </c>
      <c r="E1244" s="1489" t="s">
        <v>11464</v>
      </c>
      <c r="F1244" s="1489" t="s">
        <v>10814</v>
      </c>
      <c r="G1244" s="1815">
        <v>0.69199999999999995</v>
      </c>
      <c r="H1244" s="1489"/>
      <c r="I1244" s="1489" t="s">
        <v>11533</v>
      </c>
      <c r="J1244" s="1370"/>
      <c r="K1244" s="1370"/>
      <c r="L1244" s="1370"/>
      <c r="M1244" s="1370"/>
      <c r="N1244" s="1370"/>
      <c r="O1244" s="1370"/>
      <c r="P1244" s="1370"/>
      <c r="Q1244" s="1370"/>
      <c r="R1244" s="1370"/>
      <c r="S1244" s="1370"/>
      <c r="T1244" s="1370"/>
      <c r="U1244" s="1370"/>
      <c r="V1244" s="1370"/>
      <c r="W1244" s="1370"/>
      <c r="X1244" s="1370"/>
    </row>
    <row r="1245" spans="1:24" s="80" customFormat="1" x14ac:dyDescent="0.2">
      <c r="A1245" s="1384">
        <v>43466</v>
      </c>
      <c r="B1245" s="1489" t="s">
        <v>2342</v>
      </c>
      <c r="C1245" s="1489" t="s">
        <v>2343</v>
      </c>
      <c r="D1245" s="1733">
        <v>1.6354166666666666E-2</v>
      </c>
      <c r="E1245" s="1489" t="s">
        <v>11466</v>
      </c>
      <c r="F1245" s="1489" t="s">
        <v>11467</v>
      </c>
      <c r="G1245" s="1815">
        <v>0.65820000000000001</v>
      </c>
      <c r="H1245" s="1489"/>
      <c r="I1245" s="1489" t="s">
        <v>11482</v>
      </c>
      <c r="J1245" s="1370"/>
      <c r="K1245" s="1370"/>
      <c r="L1245" s="1370"/>
      <c r="M1245" s="1370"/>
      <c r="N1245" s="1370"/>
      <c r="O1245" s="1370"/>
      <c r="P1245" s="1370"/>
      <c r="Q1245" s="1370"/>
      <c r="R1245" s="1370"/>
      <c r="S1245" s="1370"/>
      <c r="T1245" s="1370"/>
      <c r="U1245" s="1370"/>
      <c r="V1245" s="1370"/>
      <c r="W1245" s="1370"/>
      <c r="X1245" s="1370"/>
    </row>
    <row r="1246" spans="1:24" s="80" customFormat="1" x14ac:dyDescent="0.2">
      <c r="A1246" s="34">
        <v>43824</v>
      </c>
      <c r="B1246" s="1489" t="s">
        <v>398</v>
      </c>
      <c r="C1246" s="1489" t="s">
        <v>4943</v>
      </c>
      <c r="D1246" s="1621">
        <v>2.8136574074074071E-2</v>
      </c>
      <c r="E1246" s="1489" t="s">
        <v>16377</v>
      </c>
      <c r="F1246" s="1489"/>
      <c r="G1246" s="1817">
        <v>0.49280000000000002</v>
      </c>
      <c r="H1246" s="1404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</row>
    <row r="1247" spans="1:24" s="80" customFormat="1" x14ac:dyDescent="0.2">
      <c r="A1247" s="523">
        <v>43750</v>
      </c>
      <c r="B1247" s="1489" t="s">
        <v>398</v>
      </c>
      <c r="C1247" s="1489" t="s">
        <v>4943</v>
      </c>
      <c r="D1247" s="1686">
        <v>2.7523148148148147E-2</v>
      </c>
      <c r="E1247" s="1489" t="s">
        <v>15812</v>
      </c>
      <c r="F1247" s="1489" t="s">
        <v>15813</v>
      </c>
      <c r="G1247" s="1815">
        <v>0.49659999999999999</v>
      </c>
      <c r="H1247" s="1514"/>
    </row>
    <row r="1248" spans="1:24" s="80" customFormat="1" x14ac:dyDescent="0.2">
      <c r="A1248" s="1384">
        <v>43498</v>
      </c>
      <c r="B1248" s="1489" t="s">
        <v>398</v>
      </c>
      <c r="C1248" s="1489" t="s">
        <v>4943</v>
      </c>
      <c r="D1248" s="1733">
        <v>3.9907407407407412E-2</v>
      </c>
      <c r="E1248" s="1489" t="s">
        <v>5544</v>
      </c>
      <c r="F1248" s="1489" t="s">
        <v>11726</v>
      </c>
      <c r="G1248" s="1815">
        <v>0.34250000000000003</v>
      </c>
      <c r="H1248" s="1489"/>
      <c r="I1248" s="1370"/>
      <c r="J1248" s="1370"/>
      <c r="K1248" s="1370"/>
    </row>
    <row r="1249" spans="1:24" s="80" customFormat="1" x14ac:dyDescent="0.2">
      <c r="A1249" s="34">
        <v>43824</v>
      </c>
      <c r="B1249" s="1489" t="s">
        <v>2137</v>
      </c>
      <c r="C1249" s="1489" t="s">
        <v>4943</v>
      </c>
      <c r="D1249" s="1621">
        <v>2.0833333333333332E-2</v>
      </c>
      <c r="E1249" s="1489" t="s">
        <v>16377</v>
      </c>
      <c r="F1249" s="1489"/>
      <c r="G1249" s="1817">
        <v>0.54390000000000005</v>
      </c>
      <c r="H1249" s="1404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</row>
    <row r="1250" spans="1:24" s="80" customFormat="1" x14ac:dyDescent="0.2">
      <c r="A1250" s="1673">
        <v>43820</v>
      </c>
      <c r="B1250" s="1489" t="s">
        <v>2137</v>
      </c>
      <c r="C1250" s="1489" t="s">
        <v>4943</v>
      </c>
      <c r="D1250" s="1834" t="s">
        <v>787</v>
      </c>
      <c r="E1250" t="s">
        <v>5544</v>
      </c>
      <c r="F1250" t="s">
        <v>16353</v>
      </c>
      <c r="G1250" s="314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</row>
    <row r="1251" spans="1:24" s="80" customFormat="1" x14ac:dyDescent="0.2">
      <c r="A1251" s="1765">
        <v>43813</v>
      </c>
      <c r="B1251" s="1489" t="s">
        <v>2137</v>
      </c>
      <c r="C1251" s="1489" t="s">
        <v>4943</v>
      </c>
      <c r="D1251" s="1621">
        <v>2.1273148148148145E-2</v>
      </c>
      <c r="E1251" s="1489" t="s">
        <v>16277</v>
      </c>
      <c r="F1251" s="1489" t="s">
        <v>16282</v>
      </c>
      <c r="G1251" s="1817">
        <v>0.53259999999999996</v>
      </c>
      <c r="H1251" s="1404"/>
      <c r="I1251" s="1404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</row>
    <row r="1252" spans="1:24" s="80" customFormat="1" x14ac:dyDescent="0.2">
      <c r="A1252" s="1729">
        <v>43799</v>
      </c>
      <c r="B1252" s="1489" t="s">
        <v>2137</v>
      </c>
      <c r="C1252" s="1489" t="s">
        <v>4943</v>
      </c>
      <c r="D1252" s="1674">
        <v>1.9675925925925927E-2</v>
      </c>
      <c r="E1252" t="s">
        <v>16153</v>
      </c>
      <c r="F1252" s="80" t="s">
        <v>16178</v>
      </c>
      <c r="G1252" s="314">
        <v>0.57589999999999997</v>
      </c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</row>
    <row r="1253" spans="1:24" s="80" customFormat="1" x14ac:dyDescent="0.2">
      <c r="A1253" s="1751">
        <v>43792</v>
      </c>
      <c r="B1253" s="1489" t="s">
        <v>2137</v>
      </c>
      <c r="C1253" s="1489" t="s">
        <v>4943</v>
      </c>
      <c r="D1253" s="1786">
        <v>1.894675925925926E-2</v>
      </c>
      <c r="E1253" s="1489" t="s">
        <v>16090</v>
      </c>
      <c r="F1253" s="1404" t="s">
        <v>16129</v>
      </c>
      <c r="G1253" s="1817">
        <v>0.59799999999999998</v>
      </c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</row>
    <row r="1254" spans="1:24" s="80" customFormat="1" x14ac:dyDescent="0.2">
      <c r="A1254" s="1673">
        <v>43785</v>
      </c>
      <c r="B1254" s="1489" t="s">
        <v>2137</v>
      </c>
      <c r="C1254" s="1489" t="s">
        <v>4943</v>
      </c>
      <c r="D1254" s="1754">
        <v>2.0243055555555556E-2</v>
      </c>
      <c r="E1254" s="1514" t="s">
        <v>16011</v>
      </c>
      <c r="F1254" s="1514"/>
      <c r="G1254" s="1825">
        <v>0.55969999999999998</v>
      </c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</row>
    <row r="1255" spans="1:24" s="80" customFormat="1" x14ac:dyDescent="0.2">
      <c r="A1255" s="1384">
        <v>43778</v>
      </c>
      <c r="B1255" s="1489" t="s">
        <v>2137</v>
      </c>
      <c r="C1255" s="1489" t="s">
        <v>4943</v>
      </c>
      <c r="D1255" s="1744">
        <v>1.8541666666666668E-2</v>
      </c>
      <c r="E1255" s="1723" t="s">
        <v>15958</v>
      </c>
      <c r="F1255" s="1723"/>
      <c r="G1255" s="1820">
        <v>0.61109999999999998</v>
      </c>
      <c r="H1255" s="1370"/>
      <c r="I1255" s="1370"/>
      <c r="J1255" s="1370"/>
      <c r="K1255" s="1370"/>
      <c r="L1255" s="1370"/>
      <c r="M1255" s="1370"/>
      <c r="N1255" s="1370"/>
      <c r="O1255" s="1370"/>
      <c r="P1255" s="1370"/>
      <c r="Q1255" s="1370"/>
      <c r="R1255" s="1370"/>
      <c r="S1255" s="1370"/>
      <c r="T1255" s="1370"/>
      <c r="U1255" s="1370"/>
      <c r="V1255" s="1370"/>
      <c r="W1255" s="1370"/>
      <c r="X1255" s="1370"/>
    </row>
    <row r="1256" spans="1:24" s="80" customFormat="1" x14ac:dyDescent="0.2">
      <c r="A1256" s="1384">
        <v>43764</v>
      </c>
      <c r="B1256" s="1489" t="s">
        <v>2137</v>
      </c>
      <c r="C1256" s="1489" t="s">
        <v>4943</v>
      </c>
      <c r="D1256" s="1727">
        <v>1.7893518518518517E-2</v>
      </c>
      <c r="E1256" s="1728" t="s">
        <v>15914</v>
      </c>
      <c r="F1256" s="1728"/>
      <c r="G1256" s="1821">
        <v>0.63319999999999999</v>
      </c>
      <c r="H1256" s="1370"/>
      <c r="I1256" s="1370"/>
      <c r="J1256" s="1370"/>
      <c r="K1256" s="1370"/>
      <c r="L1256" s="1370"/>
      <c r="M1256" s="1370"/>
      <c r="N1256" s="1370"/>
      <c r="O1256" s="1370"/>
      <c r="P1256" s="1370"/>
      <c r="Q1256" s="1370"/>
      <c r="R1256" s="1370"/>
      <c r="S1256" s="1370"/>
      <c r="T1256" s="1370"/>
      <c r="U1256" s="1370"/>
      <c r="V1256" s="1370"/>
      <c r="W1256" s="1370"/>
      <c r="X1256" s="1370"/>
    </row>
    <row r="1257" spans="1:24" s="80" customFormat="1" x14ac:dyDescent="0.2">
      <c r="A1257" s="523">
        <v>43757</v>
      </c>
      <c r="B1257" s="1489" t="s">
        <v>2137</v>
      </c>
      <c r="C1257" s="1489" t="s">
        <v>4943</v>
      </c>
      <c r="D1257" s="1686">
        <v>1.7858796296296293E-2</v>
      </c>
      <c r="E1257" s="1489" t="s">
        <v>15827</v>
      </c>
      <c r="F1257" s="1489" t="s">
        <v>1113</v>
      </c>
      <c r="G1257" s="1815">
        <v>0.63449999999999995</v>
      </c>
      <c r="H1257" s="1489"/>
      <c r="I1257" s="1489"/>
      <c r="J1257" s="1489"/>
      <c r="K1257" s="1489"/>
    </row>
    <row r="1258" spans="1:24" s="80" customFormat="1" x14ac:dyDescent="0.2">
      <c r="A1258" s="523">
        <v>43750</v>
      </c>
      <c r="B1258" s="1489" t="s">
        <v>2137</v>
      </c>
      <c r="C1258" s="1489" t="s">
        <v>4943</v>
      </c>
      <c r="D1258" s="1686">
        <v>1.9699074074074074E-2</v>
      </c>
      <c r="E1258" s="1489" t="s">
        <v>15812</v>
      </c>
      <c r="F1258" s="1489" t="s">
        <v>15823</v>
      </c>
      <c r="G1258" s="1815">
        <v>0.57520000000000004</v>
      </c>
      <c r="H1258" s="1514"/>
      <c r="I1258" s="1514"/>
    </row>
    <row r="1259" spans="1:24" s="80" customFormat="1" x14ac:dyDescent="0.2">
      <c r="A1259" s="1729">
        <v>43736</v>
      </c>
      <c r="B1259" s="1489" t="s">
        <v>2137</v>
      </c>
      <c r="C1259" s="1489" t="s">
        <v>4943</v>
      </c>
      <c r="D1259" s="1686">
        <v>1.8900462962962959E-2</v>
      </c>
      <c r="E1259" s="1489" t="s">
        <v>15647</v>
      </c>
      <c r="F1259" s="1489" t="s">
        <v>15663</v>
      </c>
      <c r="G1259" s="1815">
        <v>0.59950000000000003</v>
      </c>
      <c r="H1259" s="1514"/>
      <c r="I1259" s="1514"/>
      <c r="L1259" s="1370"/>
      <c r="M1259" s="1370"/>
      <c r="N1259" s="1370"/>
      <c r="O1259" s="1370"/>
      <c r="P1259" s="1370"/>
      <c r="Q1259" s="1370"/>
      <c r="R1259" s="1370"/>
      <c r="S1259" s="1370"/>
      <c r="T1259" s="1370"/>
      <c r="U1259" s="1370"/>
      <c r="V1259" s="1370"/>
      <c r="W1259" s="1370"/>
      <c r="X1259" s="1370"/>
    </row>
    <row r="1260" spans="1:24" s="80" customFormat="1" x14ac:dyDescent="0.2">
      <c r="A1260" s="1729">
        <v>43729</v>
      </c>
      <c r="B1260" s="1489" t="s">
        <v>2137</v>
      </c>
      <c r="C1260" s="1489" t="s">
        <v>4943</v>
      </c>
      <c r="D1260" s="1686">
        <v>1.740740740740741E-2</v>
      </c>
      <c r="E1260" s="1489" t="s">
        <v>15574</v>
      </c>
      <c r="F1260" s="1489" t="s">
        <v>15584</v>
      </c>
      <c r="G1260" s="1815">
        <v>0.65090000000000003</v>
      </c>
      <c r="H1260" s="1514"/>
      <c r="I1260" s="1514"/>
      <c r="L1260" s="1370"/>
      <c r="M1260" s="1370"/>
      <c r="N1260" s="1370"/>
      <c r="O1260" s="1370"/>
      <c r="P1260" s="1370"/>
      <c r="Q1260" s="1370"/>
      <c r="R1260" s="1370"/>
      <c r="S1260" s="1370"/>
      <c r="T1260" s="1370"/>
      <c r="U1260" s="1370"/>
      <c r="V1260" s="1370"/>
      <c r="W1260" s="1370"/>
      <c r="X1260" s="1370"/>
    </row>
    <row r="1261" spans="1:24" s="80" customFormat="1" x14ac:dyDescent="0.2">
      <c r="A1261" s="523">
        <v>43722</v>
      </c>
      <c r="B1261" s="1489" t="s">
        <v>2137</v>
      </c>
      <c r="C1261" s="1489" t="s">
        <v>4943</v>
      </c>
      <c r="D1261" s="1686">
        <v>1.7604166666666667E-2</v>
      </c>
      <c r="E1261" s="1489" t="s">
        <v>15467</v>
      </c>
      <c r="F1261" s="1489" t="s">
        <v>15514</v>
      </c>
      <c r="G1261" s="1815">
        <v>0.64370000000000005</v>
      </c>
      <c r="H1261" s="1514"/>
      <c r="I1261" s="1514"/>
      <c r="L1261" s="1370"/>
      <c r="M1261" s="1370"/>
      <c r="N1261" s="1370"/>
      <c r="O1261" s="1370"/>
      <c r="P1261" s="1370"/>
      <c r="Q1261" s="1370"/>
      <c r="R1261" s="1370"/>
      <c r="S1261" s="1370"/>
      <c r="T1261" s="1370"/>
      <c r="U1261" s="1370"/>
      <c r="V1261" s="1370"/>
      <c r="W1261" s="1370"/>
      <c r="X1261" s="1370"/>
    </row>
    <row r="1262" spans="1:24" s="80" customFormat="1" x14ac:dyDescent="0.2">
      <c r="A1262" s="1526">
        <v>43708</v>
      </c>
      <c r="B1262" s="1489" t="s">
        <v>2137</v>
      </c>
      <c r="C1262" s="1489" t="s">
        <v>4943</v>
      </c>
      <c r="D1262" s="1686">
        <v>1.7847222222222223E-2</v>
      </c>
      <c r="E1262" s="1489" t="s">
        <v>15366</v>
      </c>
      <c r="F1262" s="1489"/>
      <c r="G1262" s="1815">
        <v>0.63490000000000002</v>
      </c>
      <c r="H1262" s="1489"/>
      <c r="I1262" s="1489"/>
      <c r="J1262" s="1489"/>
      <c r="L1262" s="1370"/>
      <c r="M1262" s="1370"/>
      <c r="N1262" s="1370"/>
      <c r="O1262" s="1370"/>
      <c r="P1262" s="1370"/>
      <c r="Q1262" s="1370"/>
      <c r="R1262" s="1370"/>
      <c r="S1262" s="1370"/>
      <c r="T1262" s="1370"/>
      <c r="U1262" s="1370"/>
      <c r="V1262" s="1370"/>
      <c r="W1262" s="1370"/>
      <c r="X1262" s="1370"/>
    </row>
    <row r="1263" spans="1:24" s="80" customFormat="1" x14ac:dyDescent="0.2">
      <c r="A1263" s="523">
        <v>43694</v>
      </c>
      <c r="B1263" s="1489" t="s">
        <v>2137</v>
      </c>
      <c r="C1263" s="1489" t="s">
        <v>4943</v>
      </c>
      <c r="D1263" s="1841">
        <v>4.4201388888888887E-2</v>
      </c>
      <c r="E1263" s="1489" t="s">
        <v>15162</v>
      </c>
      <c r="F1263" s="1489" t="s">
        <v>15181</v>
      </c>
      <c r="G1263" s="1815">
        <v>0.25629999999999997</v>
      </c>
      <c r="H1263" s="1514"/>
      <c r="I1263" s="1514" t="s">
        <v>15204</v>
      </c>
      <c r="L1263" s="1370"/>
      <c r="M1263" s="1370"/>
      <c r="N1263" s="1370"/>
      <c r="O1263" s="1370"/>
      <c r="P1263" s="1370"/>
      <c r="Q1263" s="1370"/>
      <c r="R1263" s="1370"/>
      <c r="S1263" s="1370"/>
      <c r="T1263" s="1370"/>
      <c r="U1263" s="1370"/>
      <c r="V1263" s="1370"/>
      <c r="W1263" s="1370"/>
      <c r="X1263" s="1370"/>
    </row>
    <row r="1264" spans="1:24" s="80" customFormat="1" x14ac:dyDescent="0.2">
      <c r="A1264" s="523">
        <v>43687</v>
      </c>
      <c r="B1264" s="1489" t="s">
        <v>2137</v>
      </c>
      <c r="C1264" s="1489" t="s">
        <v>4943</v>
      </c>
      <c r="D1264" s="1686">
        <v>1.8148148148148146E-2</v>
      </c>
      <c r="E1264" s="1489" t="s">
        <v>13431</v>
      </c>
      <c r="F1264" s="1489" t="s">
        <v>13424</v>
      </c>
      <c r="G1264" s="1815">
        <v>0.62439999999999996</v>
      </c>
      <c r="H1264" s="1514"/>
      <c r="I1264" s="1514"/>
      <c r="L1264" s="1370"/>
      <c r="M1264" s="1370"/>
      <c r="N1264" s="1370"/>
      <c r="O1264" s="1370"/>
      <c r="P1264" s="1370"/>
      <c r="Q1264" s="1370"/>
      <c r="R1264" s="1370"/>
      <c r="S1264" s="1370"/>
      <c r="T1264" s="1370"/>
      <c r="U1264" s="1370"/>
      <c r="V1264" s="1370"/>
      <c r="W1264" s="1370"/>
      <c r="X1264" s="1370"/>
    </row>
    <row r="1265" spans="1:24" s="80" customFormat="1" x14ac:dyDescent="0.2">
      <c r="A1265" s="1384">
        <v>43680</v>
      </c>
      <c r="B1265" s="1489" t="s">
        <v>2137</v>
      </c>
      <c r="C1265" s="1489" t="s">
        <v>4943</v>
      </c>
      <c r="D1265" s="1686">
        <v>1.7141203703703704E-2</v>
      </c>
      <c r="E1265" s="1489" t="s">
        <v>13352</v>
      </c>
      <c r="F1265" s="1489" t="s">
        <v>13402</v>
      </c>
      <c r="G1265" s="1815">
        <v>0.66100000000000003</v>
      </c>
      <c r="H1265" s="1514"/>
      <c r="I1265" s="1514"/>
      <c r="L1265" s="1370"/>
      <c r="M1265" s="1370"/>
      <c r="N1265" s="1370"/>
      <c r="O1265" s="1370"/>
      <c r="P1265" s="1370"/>
      <c r="Q1265" s="1370"/>
      <c r="R1265" s="1370"/>
      <c r="S1265" s="1370"/>
      <c r="T1265" s="1370"/>
      <c r="U1265" s="1370"/>
      <c r="V1265" s="1370"/>
      <c r="W1265" s="1370"/>
      <c r="X1265" s="1370"/>
    </row>
    <row r="1266" spans="1:24" s="80" customFormat="1" x14ac:dyDescent="0.2">
      <c r="A1266" s="1384">
        <v>43673</v>
      </c>
      <c r="B1266" s="1489" t="s">
        <v>2137</v>
      </c>
      <c r="C1266" s="1489" t="s">
        <v>4943</v>
      </c>
      <c r="D1266" s="1686">
        <v>0.02</v>
      </c>
      <c r="E1266" s="1489" t="s">
        <v>13287</v>
      </c>
      <c r="F1266" s="1489" t="s">
        <v>13333</v>
      </c>
      <c r="G1266" s="1815">
        <v>0.56659999999999999</v>
      </c>
      <c r="H1266" s="1514"/>
      <c r="I1266" s="1514"/>
      <c r="L1266" s="1370"/>
      <c r="M1266" s="1370"/>
      <c r="N1266" s="1370"/>
      <c r="O1266" s="1370"/>
      <c r="P1266" s="1370"/>
      <c r="Q1266" s="1370"/>
      <c r="R1266" s="1370"/>
      <c r="S1266" s="1370"/>
      <c r="T1266" s="1370"/>
      <c r="U1266" s="1370"/>
      <c r="V1266" s="1370"/>
      <c r="W1266" s="1370"/>
      <c r="X1266" s="1370"/>
    </row>
    <row r="1267" spans="1:24" s="80" customFormat="1" x14ac:dyDescent="0.2">
      <c r="A1267" s="523">
        <v>43666</v>
      </c>
      <c r="B1267" s="1489" t="s">
        <v>2137</v>
      </c>
      <c r="C1267" s="1489" t="s">
        <v>4943</v>
      </c>
      <c r="D1267" s="1686">
        <v>1.7812499999999998E-2</v>
      </c>
      <c r="E1267" s="1489" t="s">
        <v>13193</v>
      </c>
      <c r="F1267" s="1489" t="s">
        <v>13217</v>
      </c>
      <c r="G1267" s="1815">
        <v>0.6361</v>
      </c>
      <c r="H1267" s="1514"/>
      <c r="I1267" s="1514"/>
      <c r="L1267" s="1370"/>
      <c r="M1267" s="1370"/>
      <c r="N1267" s="1370"/>
      <c r="O1267" s="1370"/>
      <c r="P1267" s="1370"/>
      <c r="Q1267" s="1370"/>
      <c r="R1267" s="1370"/>
      <c r="S1267" s="1370"/>
      <c r="T1267" s="1370"/>
      <c r="U1267" s="1370"/>
      <c r="V1267" s="1370"/>
      <c r="W1267" s="1370"/>
      <c r="X1267" s="1370"/>
    </row>
    <row r="1268" spans="1:24" s="80" customFormat="1" x14ac:dyDescent="0.2">
      <c r="A1268" s="523">
        <v>43659</v>
      </c>
      <c r="B1268" s="1489" t="s">
        <v>2137</v>
      </c>
      <c r="C1268" s="1489" t="s">
        <v>4943</v>
      </c>
      <c r="D1268" s="1686">
        <v>1.9872685185185188E-2</v>
      </c>
      <c r="E1268" s="1489" t="s">
        <v>13137</v>
      </c>
      <c r="F1268" s="1489" t="s">
        <v>13165</v>
      </c>
      <c r="G1268" s="1815">
        <v>0.57020000000000004</v>
      </c>
      <c r="H1268" s="1514"/>
      <c r="I1268" s="1489" t="s">
        <v>13166</v>
      </c>
      <c r="L1268" s="1370"/>
      <c r="M1268" s="1370"/>
      <c r="N1268" s="1370"/>
      <c r="O1268" s="1370"/>
      <c r="P1268" s="1370"/>
      <c r="Q1268" s="1370"/>
      <c r="R1268" s="1370"/>
      <c r="S1268" s="1370"/>
      <c r="T1268" s="1370"/>
      <c r="U1268" s="1370"/>
      <c r="V1268" s="1370"/>
      <c r="W1268" s="1370"/>
      <c r="X1268" s="1370"/>
    </row>
    <row r="1269" spans="1:24" s="80" customFormat="1" x14ac:dyDescent="0.2">
      <c r="A1269" s="523">
        <v>43652</v>
      </c>
      <c r="B1269" s="1489" t="s">
        <v>2137</v>
      </c>
      <c r="C1269" s="1489" t="s">
        <v>4943</v>
      </c>
      <c r="D1269" s="1686">
        <v>3.5972222222222218E-2</v>
      </c>
      <c r="E1269" s="1489" t="s">
        <v>13068</v>
      </c>
      <c r="F1269" s="1489" t="s">
        <v>13094</v>
      </c>
      <c r="G1269" s="1815">
        <v>0.315</v>
      </c>
      <c r="H1269" s="1489"/>
      <c r="I1269" s="1514"/>
      <c r="L1269" s="1370"/>
      <c r="M1269" s="1370"/>
      <c r="N1269" s="1370"/>
      <c r="O1269" s="1370"/>
      <c r="P1269" s="1370"/>
      <c r="Q1269" s="1370"/>
      <c r="R1269" s="1370"/>
      <c r="S1269" s="1370"/>
      <c r="T1269" s="1370"/>
      <c r="U1269" s="1370"/>
      <c r="V1269" s="1370"/>
      <c r="W1269" s="1370"/>
      <c r="X1269" s="1370"/>
    </row>
    <row r="1270" spans="1:24" s="80" customFormat="1" x14ac:dyDescent="0.2">
      <c r="A1270" s="523">
        <v>43652</v>
      </c>
      <c r="B1270" s="1489" t="s">
        <v>2137</v>
      </c>
      <c r="C1270" s="1489" t="s">
        <v>4943</v>
      </c>
      <c r="D1270" s="1695" t="s">
        <v>3334</v>
      </c>
      <c r="E1270" s="1514" t="s">
        <v>12510</v>
      </c>
      <c r="F1270" s="1489" t="s">
        <v>8160</v>
      </c>
      <c r="G1270" s="1822"/>
      <c r="H1270" s="1489"/>
      <c r="I1270" s="1489"/>
      <c r="J1270" s="1489"/>
      <c r="K1270" s="1489"/>
      <c r="L1270" s="1370"/>
      <c r="M1270" s="1370"/>
      <c r="N1270" s="1370"/>
      <c r="O1270" s="1370"/>
      <c r="P1270" s="1370"/>
      <c r="Q1270" s="1370"/>
      <c r="R1270" s="1370"/>
      <c r="S1270" s="1370"/>
      <c r="T1270" s="1370"/>
      <c r="U1270" s="1370"/>
      <c r="V1270" s="1370"/>
      <c r="W1270" s="1370"/>
      <c r="X1270" s="1370"/>
    </row>
    <row r="1271" spans="1:24" s="80" customFormat="1" x14ac:dyDescent="0.2">
      <c r="A1271" s="523">
        <v>43645</v>
      </c>
      <c r="B1271" s="1489" t="s">
        <v>2137</v>
      </c>
      <c r="C1271" s="1489" t="s">
        <v>4943</v>
      </c>
      <c r="D1271" s="1686">
        <v>3.7824074074074072E-2</v>
      </c>
      <c r="E1271" s="1514" t="s">
        <v>13034</v>
      </c>
      <c r="F1271" s="1489" t="s">
        <v>8160</v>
      </c>
      <c r="G1271" s="1815">
        <v>0.29959999999999998</v>
      </c>
      <c r="H1271" s="1514"/>
      <c r="I1271" s="1514"/>
      <c r="L1271" s="1370"/>
      <c r="M1271" s="1370"/>
      <c r="N1271" s="1370"/>
      <c r="O1271" s="1370"/>
      <c r="P1271" s="1370"/>
      <c r="Q1271" s="1370"/>
      <c r="R1271" s="1370"/>
      <c r="S1271" s="1370"/>
      <c r="T1271" s="1370"/>
      <c r="U1271" s="1370"/>
      <c r="V1271" s="1370"/>
      <c r="W1271" s="1370"/>
      <c r="X1271" s="1370"/>
    </row>
    <row r="1272" spans="1:24" s="80" customFormat="1" x14ac:dyDescent="0.2">
      <c r="A1272" s="523">
        <v>43645</v>
      </c>
      <c r="B1272" s="1489" t="s">
        <v>2137</v>
      </c>
      <c r="C1272" s="1489" t="s">
        <v>4943</v>
      </c>
      <c r="D1272" s="1753" t="s">
        <v>787</v>
      </c>
      <c r="E1272" s="1514" t="s">
        <v>13034</v>
      </c>
      <c r="F1272" s="1514" t="s">
        <v>8160</v>
      </c>
      <c r="G1272" s="1818"/>
      <c r="H1272" s="1514"/>
      <c r="I1272" s="1514"/>
      <c r="L1272" s="1370"/>
      <c r="M1272" s="1370"/>
      <c r="N1272" s="1370"/>
      <c r="O1272" s="1370"/>
      <c r="P1272" s="1370"/>
      <c r="Q1272" s="1370"/>
      <c r="R1272" s="1370"/>
      <c r="S1272" s="1370"/>
      <c r="T1272" s="1370"/>
      <c r="U1272" s="1370"/>
      <c r="V1272" s="1370"/>
      <c r="W1272" s="1370"/>
      <c r="X1272" s="1370"/>
    </row>
    <row r="1273" spans="1:24" s="80" customFormat="1" x14ac:dyDescent="0.2">
      <c r="A1273" s="523">
        <v>43638</v>
      </c>
      <c r="B1273" s="1489" t="s">
        <v>2137</v>
      </c>
      <c r="C1273" s="1489" t="s">
        <v>4943</v>
      </c>
      <c r="D1273" s="1835">
        <v>1.8842592592592591E-2</v>
      </c>
      <c r="E1273" s="1569" t="s">
        <v>12979</v>
      </c>
      <c r="F1273" s="1569"/>
      <c r="G1273" s="1818">
        <v>0.60140000000000005</v>
      </c>
      <c r="H1273" s="1514"/>
      <c r="I1273" s="1514"/>
      <c r="L1273" s="1370"/>
      <c r="M1273" s="1370"/>
      <c r="N1273" s="1370"/>
      <c r="O1273" s="1370"/>
      <c r="P1273" s="1370"/>
      <c r="Q1273" s="1370"/>
      <c r="R1273" s="1370"/>
      <c r="S1273" s="1370"/>
      <c r="T1273" s="1370"/>
      <c r="U1273" s="1370"/>
      <c r="V1273" s="1370"/>
      <c r="W1273" s="1370"/>
      <c r="X1273" s="1370"/>
    </row>
    <row r="1274" spans="1:24" s="80" customFormat="1" x14ac:dyDescent="0.2">
      <c r="A1274" s="523">
        <v>43631</v>
      </c>
      <c r="B1274" s="1489" t="s">
        <v>2137</v>
      </c>
      <c r="C1274" s="1489" t="s">
        <v>4943</v>
      </c>
      <c r="D1274" s="1835">
        <v>1.7337962962962961E-2</v>
      </c>
      <c r="E1274" s="1569" t="s">
        <v>12923</v>
      </c>
      <c r="F1274" s="1624"/>
      <c r="G1274" s="1818">
        <v>0.65349999999999997</v>
      </c>
      <c r="H1274" s="1514"/>
      <c r="I1274" s="1514"/>
      <c r="L1274" s="1370"/>
      <c r="M1274" s="1370"/>
      <c r="N1274" s="1370"/>
      <c r="O1274" s="1370"/>
      <c r="P1274" s="1370"/>
      <c r="Q1274" s="1370"/>
      <c r="R1274" s="1370"/>
      <c r="S1274" s="1370"/>
      <c r="T1274" s="1370"/>
      <c r="U1274" s="1370"/>
      <c r="V1274" s="1370"/>
      <c r="W1274" s="1370"/>
      <c r="X1274" s="1370"/>
    </row>
    <row r="1275" spans="1:24" s="80" customFormat="1" x14ac:dyDescent="0.2">
      <c r="A1275" s="523">
        <v>43624</v>
      </c>
      <c r="B1275" s="1489" t="s">
        <v>2137</v>
      </c>
      <c r="C1275" s="1489" t="s">
        <v>4943</v>
      </c>
      <c r="D1275" s="1835">
        <v>1.7673611111111109E-2</v>
      </c>
      <c r="E1275" s="1569" t="s">
        <v>12851</v>
      </c>
      <c r="F1275" s="1569"/>
      <c r="G1275" s="1818">
        <v>0.6411</v>
      </c>
      <c r="H1275" s="1514"/>
      <c r="I1275" s="1514"/>
      <c r="L1275" s="1370"/>
      <c r="M1275" s="1370"/>
      <c r="N1275" s="1370"/>
      <c r="O1275" s="1370"/>
      <c r="P1275" s="1370"/>
      <c r="Q1275" s="1370"/>
      <c r="R1275" s="1370"/>
      <c r="S1275" s="1370"/>
      <c r="T1275" s="1370"/>
      <c r="U1275" s="1370"/>
      <c r="V1275" s="1370"/>
      <c r="W1275" s="1370"/>
      <c r="X1275" s="1370"/>
    </row>
    <row r="1276" spans="1:24" s="80" customFormat="1" x14ac:dyDescent="0.2">
      <c r="A1276" s="1384">
        <v>43617</v>
      </c>
      <c r="B1276" s="1489" t="s">
        <v>2137</v>
      </c>
      <c r="C1276" s="1489" t="s">
        <v>4943</v>
      </c>
      <c r="D1276" s="1836">
        <v>2.0381944444444446E-2</v>
      </c>
      <c r="E1276" s="1568" t="s">
        <v>12813</v>
      </c>
      <c r="F1276" s="1568" t="s">
        <v>12780</v>
      </c>
      <c r="G1276" s="1819">
        <v>0.55589999999999995</v>
      </c>
      <c r="H1276" s="1489"/>
      <c r="I1276" s="1489"/>
      <c r="J1276" s="1370"/>
      <c r="K1276" s="1370"/>
      <c r="L1276" s="1370"/>
      <c r="M1276" s="1370"/>
      <c r="N1276" s="1370"/>
      <c r="O1276" s="1370"/>
      <c r="P1276" s="1370"/>
      <c r="Q1276" s="1370"/>
      <c r="R1276" s="1370"/>
      <c r="S1276" s="1370"/>
      <c r="T1276" s="1370"/>
      <c r="U1276" s="1370"/>
      <c r="V1276" s="1370"/>
      <c r="W1276" s="1370"/>
      <c r="X1276" s="1370"/>
    </row>
    <row r="1277" spans="1:24" s="80" customFormat="1" x14ac:dyDescent="0.2">
      <c r="A1277" s="1384">
        <v>43610</v>
      </c>
      <c r="B1277" s="1489" t="s">
        <v>2137</v>
      </c>
      <c r="C1277" s="1489" t="s">
        <v>4943</v>
      </c>
      <c r="D1277" s="1733">
        <v>1.8437499999999999E-2</v>
      </c>
      <c r="E1277" s="1489" t="s">
        <v>12741</v>
      </c>
      <c r="F1277" s="1489" t="s">
        <v>12721</v>
      </c>
      <c r="G1277" s="1815">
        <v>0.61460000000000004</v>
      </c>
      <c r="H1277" s="1489"/>
      <c r="I1277" s="1489"/>
      <c r="J1277" s="1370"/>
      <c r="K1277" s="1370"/>
      <c r="L1277" s="1370"/>
      <c r="M1277" s="1370"/>
      <c r="N1277" s="1370"/>
      <c r="O1277" s="1370"/>
      <c r="P1277" s="1370"/>
      <c r="Q1277" s="1370"/>
      <c r="R1277" s="1370"/>
      <c r="S1277" s="1370"/>
      <c r="T1277" s="1370"/>
      <c r="U1277" s="1370"/>
      <c r="V1277" s="1370"/>
      <c r="W1277" s="1370"/>
      <c r="X1277" s="1370"/>
    </row>
    <row r="1278" spans="1:24" s="80" customFormat="1" x14ac:dyDescent="0.2">
      <c r="A1278" s="1384">
        <v>43589</v>
      </c>
      <c r="B1278" s="1489" t="s">
        <v>2137</v>
      </c>
      <c r="C1278" s="1489" t="s">
        <v>4943</v>
      </c>
      <c r="D1278" s="1733">
        <v>1.9456018518518518E-2</v>
      </c>
      <c r="E1278" s="1489" t="s">
        <v>12607</v>
      </c>
      <c r="F1278" s="1489" t="s">
        <v>12609</v>
      </c>
      <c r="G1278" s="1815">
        <v>0.58240000000000003</v>
      </c>
      <c r="H1278" s="1489"/>
      <c r="I1278" s="1489"/>
      <c r="J1278" s="1370"/>
      <c r="K1278" s="1370"/>
    </row>
    <row r="1279" spans="1:24" s="80" customFormat="1" x14ac:dyDescent="0.2">
      <c r="A1279" s="1384">
        <v>43582</v>
      </c>
      <c r="B1279" s="1489" t="s">
        <v>2137</v>
      </c>
      <c r="C1279" s="1489" t="s">
        <v>4943</v>
      </c>
      <c r="D1279" s="1733">
        <v>1.90625E-2</v>
      </c>
      <c r="E1279" s="1489" t="s">
        <v>12606</v>
      </c>
      <c r="F1279" s="1489" t="s">
        <v>12608</v>
      </c>
      <c r="G1279" s="1815">
        <v>0.59440000000000004</v>
      </c>
      <c r="H1279" s="1489"/>
      <c r="I1279" s="1489"/>
      <c r="J1279" s="1370"/>
      <c r="K1279" s="1370"/>
    </row>
    <row r="1280" spans="1:24" s="80" customFormat="1" x14ac:dyDescent="0.2">
      <c r="A1280" s="1384">
        <v>43575</v>
      </c>
      <c r="B1280" s="1489" t="s">
        <v>2137</v>
      </c>
      <c r="C1280" s="1489" t="s">
        <v>4943</v>
      </c>
      <c r="D1280" s="1733">
        <v>1.7743055555555557E-2</v>
      </c>
      <c r="E1280" s="1489" t="s">
        <v>12464</v>
      </c>
      <c r="F1280" s="1489" t="s">
        <v>12458</v>
      </c>
      <c r="G1280" s="1815">
        <v>0.63859999999999995</v>
      </c>
      <c r="H1280" s="1489"/>
      <c r="I1280" s="1489"/>
      <c r="J1280" s="1370"/>
      <c r="K1280" s="1370"/>
    </row>
    <row r="1281" spans="1:24" s="80" customFormat="1" x14ac:dyDescent="0.2">
      <c r="A1281" s="1384">
        <v>43568</v>
      </c>
      <c r="B1281" s="1489" t="s">
        <v>2137</v>
      </c>
      <c r="C1281" s="1489" t="s">
        <v>4943</v>
      </c>
      <c r="D1281" s="1733">
        <v>1.8622685185185183E-2</v>
      </c>
      <c r="E1281" s="1489" t="s">
        <v>12399</v>
      </c>
      <c r="F1281" s="1489" t="s">
        <v>12391</v>
      </c>
      <c r="G1281" s="1815">
        <v>0.60850000000000004</v>
      </c>
      <c r="H1281" s="1489"/>
      <c r="I1281" s="1489"/>
      <c r="J1281" s="1370"/>
      <c r="K1281" s="1370"/>
    </row>
    <row r="1282" spans="1:24" s="80" customFormat="1" x14ac:dyDescent="0.2">
      <c r="A1282" s="1384">
        <v>43554</v>
      </c>
      <c r="B1282" s="1489" t="s">
        <v>2137</v>
      </c>
      <c r="C1282" s="1489" t="s">
        <v>4943</v>
      </c>
      <c r="D1282" s="1733">
        <v>1.8020833333333333E-2</v>
      </c>
      <c r="E1282" s="1489" t="s">
        <v>5544</v>
      </c>
      <c r="F1282" s="1489" t="s">
        <v>12247</v>
      </c>
      <c r="G1282" s="1815">
        <v>0.62880000000000003</v>
      </c>
      <c r="H1282" s="1489"/>
      <c r="I1282" s="1489"/>
      <c r="J1282" s="1370"/>
      <c r="K1282" s="1370"/>
    </row>
    <row r="1283" spans="1:24" s="80" customFormat="1" x14ac:dyDescent="0.2">
      <c r="A1283" s="1384">
        <v>43540</v>
      </c>
      <c r="B1283" s="1489" t="s">
        <v>2137</v>
      </c>
      <c r="C1283" s="1489" t="s">
        <v>4943</v>
      </c>
      <c r="D1283" s="1733">
        <v>1.8020833333333333E-2</v>
      </c>
      <c r="E1283" s="1489" t="s">
        <v>12108</v>
      </c>
      <c r="F1283" s="1489" t="s">
        <v>12125</v>
      </c>
      <c r="G1283" s="1815">
        <v>0.62360000000000004</v>
      </c>
      <c r="H1283" s="1489"/>
      <c r="I1283" s="1489"/>
      <c r="J1283" s="1370"/>
      <c r="K1283" s="1370"/>
    </row>
    <row r="1284" spans="1:24" s="80" customFormat="1" x14ac:dyDescent="0.2">
      <c r="A1284" s="1384">
        <v>43533</v>
      </c>
      <c r="B1284" s="1489" t="s">
        <v>2137</v>
      </c>
      <c r="C1284" s="1489" t="s">
        <v>4943</v>
      </c>
      <c r="D1284" s="1733">
        <v>1.7962962962962962E-2</v>
      </c>
      <c r="E1284" s="1489" t="s">
        <v>12049</v>
      </c>
      <c r="F1284" s="1489" t="s">
        <v>12047</v>
      </c>
      <c r="G1284" s="1815">
        <v>0.62560000000000004</v>
      </c>
      <c r="H1284" s="1489"/>
      <c r="I1284" s="1489"/>
      <c r="J1284" s="1370"/>
      <c r="K1284" s="1370"/>
    </row>
    <row r="1285" spans="1:24" s="80" customFormat="1" x14ac:dyDescent="0.2">
      <c r="A1285" s="1384">
        <v>43526</v>
      </c>
      <c r="B1285" s="1489" t="s">
        <v>2137</v>
      </c>
      <c r="C1285" s="1489" t="s">
        <v>4943</v>
      </c>
      <c r="D1285" s="1733">
        <v>2.0833333333333332E-2</v>
      </c>
      <c r="E1285" s="1489" t="s">
        <v>11965</v>
      </c>
      <c r="F1285" s="1489" t="s">
        <v>11961</v>
      </c>
      <c r="G1285" s="1815">
        <v>0.53939999999999999</v>
      </c>
      <c r="H1285" s="1489"/>
      <c r="I1285" s="1489"/>
      <c r="J1285" s="1370"/>
      <c r="K1285" s="1370"/>
    </row>
    <row r="1286" spans="1:24" s="80" customFormat="1" x14ac:dyDescent="0.2">
      <c r="A1286" s="1384">
        <v>43519</v>
      </c>
      <c r="B1286" s="1489" t="s">
        <v>2137</v>
      </c>
      <c r="C1286" s="1489" t="s">
        <v>4943</v>
      </c>
      <c r="D1286" s="1733">
        <v>1.9988425925925927E-2</v>
      </c>
      <c r="E1286" s="1623" t="s">
        <v>11405</v>
      </c>
      <c r="F1286" s="1489" t="s">
        <v>11889</v>
      </c>
      <c r="G1286" s="1815">
        <v>0.56220000000000003</v>
      </c>
      <c r="H1286" s="1579"/>
      <c r="I1286" s="1489"/>
      <c r="J1286" s="1370"/>
      <c r="K1286" s="1370"/>
    </row>
    <row r="1287" spans="1:24" s="80" customFormat="1" x14ac:dyDescent="0.2">
      <c r="A1287" s="1384">
        <v>43505</v>
      </c>
      <c r="B1287" s="1489" t="s">
        <v>2137</v>
      </c>
      <c r="C1287" s="1489" t="s">
        <v>4943</v>
      </c>
      <c r="D1287" s="1733">
        <v>1.951388888888889E-2</v>
      </c>
      <c r="E1287" s="1489" t="s">
        <v>5544</v>
      </c>
      <c r="F1287" s="1489" t="s">
        <v>11779</v>
      </c>
      <c r="G1287" s="1815">
        <v>0.5756</v>
      </c>
      <c r="H1287" s="1489"/>
      <c r="I1287" s="1489"/>
      <c r="J1287" s="1370"/>
      <c r="K1287" s="1370"/>
    </row>
    <row r="1288" spans="1:24" s="80" customFormat="1" x14ac:dyDescent="0.2">
      <c r="A1288" s="1384">
        <v>43498</v>
      </c>
      <c r="B1288" s="1489" t="s">
        <v>2137</v>
      </c>
      <c r="C1288" s="1489" t="s">
        <v>4943</v>
      </c>
      <c r="D1288" s="1733">
        <v>1.9375E-2</v>
      </c>
      <c r="E1288" s="1489" t="s">
        <v>5544</v>
      </c>
      <c r="F1288" s="1489" t="s">
        <v>11725</v>
      </c>
      <c r="G1288" s="1815">
        <v>0.57999999999999996</v>
      </c>
      <c r="H1288" s="1489"/>
      <c r="I1288" s="1489"/>
      <c r="J1288" s="1370"/>
      <c r="K1288" s="1370"/>
    </row>
    <row r="1289" spans="1:24" s="80" customFormat="1" x14ac:dyDescent="0.2">
      <c r="A1289" s="1384">
        <v>43477</v>
      </c>
      <c r="B1289" s="1489" t="s">
        <v>2137</v>
      </c>
      <c r="C1289" s="1489" t="s">
        <v>4943</v>
      </c>
      <c r="D1289" s="1733">
        <v>2.539351851851852E-2</v>
      </c>
      <c r="E1289" s="1489" t="s">
        <v>5544</v>
      </c>
      <c r="F1289" s="1489" t="s">
        <v>11593</v>
      </c>
      <c r="G1289" s="1815">
        <v>0.44259999999999999</v>
      </c>
      <c r="H1289" s="1489"/>
      <c r="I1289" s="1489"/>
      <c r="J1289" s="1370"/>
      <c r="K1289" s="1370"/>
    </row>
    <row r="1290" spans="1:24" s="80" customFormat="1" ht="12.75" customHeight="1" x14ac:dyDescent="0.2">
      <c r="A1290" s="1384">
        <v>43470</v>
      </c>
      <c r="B1290" s="1489" t="s">
        <v>2137</v>
      </c>
      <c r="C1290" s="1489" t="s">
        <v>4943</v>
      </c>
      <c r="D1290" s="1733">
        <v>1.7893518518518517E-2</v>
      </c>
      <c r="E1290" s="1489" t="s">
        <v>5544</v>
      </c>
      <c r="F1290" s="1489" t="s">
        <v>11594</v>
      </c>
      <c r="G1290" s="1815">
        <v>0.62809999999999999</v>
      </c>
      <c r="H1290" s="1489"/>
      <c r="I1290" s="1489"/>
      <c r="J1290" s="1370"/>
      <c r="K1290" s="1370"/>
    </row>
    <row r="1291" spans="1:24" s="80" customFormat="1" ht="12.75" customHeight="1" x14ac:dyDescent="0.2">
      <c r="A1291" s="1384">
        <v>43466</v>
      </c>
      <c r="B1291" s="1489" t="s">
        <v>2137</v>
      </c>
      <c r="C1291" s="1489" t="s">
        <v>4943</v>
      </c>
      <c r="D1291" s="1733">
        <v>1.8796296296296297E-2</v>
      </c>
      <c r="E1291" s="1489" t="s">
        <v>11507</v>
      </c>
      <c r="F1291" s="1489" t="s">
        <v>11526</v>
      </c>
      <c r="G1291" s="1815">
        <v>0.59789999999999999</v>
      </c>
      <c r="H1291" s="1489"/>
      <c r="I1291" s="1489"/>
      <c r="J1291" s="1370"/>
      <c r="K1291" s="1370"/>
      <c r="L1291" s="1370"/>
      <c r="M1291" s="1370"/>
      <c r="N1291" s="1370"/>
      <c r="O1291" s="1370"/>
      <c r="P1291" s="1370"/>
      <c r="Q1291" s="1370"/>
      <c r="R1291" s="1370"/>
      <c r="S1291" s="1370"/>
      <c r="T1291" s="1370"/>
      <c r="U1291" s="1370"/>
      <c r="V1291" s="1370"/>
      <c r="W1291" s="1370"/>
      <c r="X1291" s="1370"/>
    </row>
    <row r="1292" spans="1:24" s="80" customFormat="1" ht="12.75" customHeight="1" x14ac:dyDescent="0.2">
      <c r="A1292" s="1729">
        <v>43827</v>
      </c>
      <c r="B1292" s="1489" t="s">
        <v>2478</v>
      </c>
      <c r="C1292" s="1489" t="s">
        <v>2479</v>
      </c>
      <c r="D1292" s="1621">
        <v>2.8078703703703699E-2</v>
      </c>
      <c r="E1292" s="1489" t="s">
        <v>16420</v>
      </c>
      <c r="F1292" s="1489" t="s">
        <v>16436</v>
      </c>
      <c r="G1292" s="1817">
        <v>0.37680000000000002</v>
      </c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</row>
    <row r="1293" spans="1:24" s="80" customFormat="1" ht="12.75" customHeight="1" x14ac:dyDescent="0.2">
      <c r="A1293" s="34">
        <v>43824</v>
      </c>
      <c r="B1293" s="1489" t="s">
        <v>2478</v>
      </c>
      <c r="C1293" s="1489" t="s">
        <v>2479</v>
      </c>
      <c r="D1293" s="1621">
        <v>2.809027777777778E-2</v>
      </c>
      <c r="E1293" s="1489" t="s">
        <v>16371</v>
      </c>
      <c r="F1293" s="1489" t="s">
        <v>16382</v>
      </c>
      <c r="G1293" s="1817">
        <v>0.37659999999999999</v>
      </c>
      <c r="H1293" s="1404" t="s">
        <v>16360</v>
      </c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</row>
    <row r="1294" spans="1:24" s="80" customFormat="1" ht="12.75" customHeight="1" x14ac:dyDescent="0.2">
      <c r="A1294" s="1673">
        <v>43820</v>
      </c>
      <c r="B1294" s="1489" t="s">
        <v>2478</v>
      </c>
      <c r="C1294" s="1489" t="s">
        <v>2479</v>
      </c>
      <c r="D1294" s="1777">
        <v>2.7233796296296298E-2</v>
      </c>
      <c r="E1294" s="80" t="s">
        <v>16309</v>
      </c>
      <c r="F1294" t="s">
        <v>16352</v>
      </c>
      <c r="G1294" s="314">
        <v>0.38840000000000002</v>
      </c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</row>
    <row r="1295" spans="1:24" s="80" customFormat="1" ht="12.75" customHeight="1" x14ac:dyDescent="0.2">
      <c r="A1295" s="1765">
        <v>43813</v>
      </c>
      <c r="B1295" s="1489" t="s">
        <v>2478</v>
      </c>
      <c r="C1295" s="1489" t="s">
        <v>2479</v>
      </c>
      <c r="D1295" s="1621">
        <v>2.9768518518518521E-2</v>
      </c>
      <c r="E1295" s="1489" t="s">
        <v>16275</v>
      </c>
      <c r="F1295" s="1404"/>
      <c r="G1295" s="1817">
        <v>0.35539999999999999</v>
      </c>
      <c r="H1295" s="1404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</row>
    <row r="1296" spans="1:24" s="80" customFormat="1" ht="12.75" customHeight="1" x14ac:dyDescent="0.2">
      <c r="A1296" s="34">
        <v>43806</v>
      </c>
      <c r="B1296" s="1489" t="s">
        <v>2478</v>
      </c>
      <c r="C1296" s="1489" t="s">
        <v>2479</v>
      </c>
      <c r="D1296" s="1621">
        <v>2.8136574074074071E-2</v>
      </c>
      <c r="E1296" s="1489" t="s">
        <v>16218</v>
      </c>
      <c r="F1296" s="1404"/>
      <c r="G1296" s="1817">
        <v>0.376</v>
      </c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</row>
    <row r="1297" spans="1:24" s="80" customFormat="1" ht="12.75" customHeight="1" x14ac:dyDescent="0.2">
      <c r="A1297" s="1729">
        <v>43799</v>
      </c>
      <c r="B1297" s="1489" t="s">
        <v>2478</v>
      </c>
      <c r="C1297" s="1489" t="s">
        <v>2479</v>
      </c>
      <c r="D1297" s="1674">
        <v>2.9745370370370373E-2</v>
      </c>
      <c r="E1297" t="s">
        <v>16160</v>
      </c>
      <c r="F1297" t="s">
        <v>16144</v>
      </c>
      <c r="G1297" s="314">
        <v>0.35560000000000003</v>
      </c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</row>
    <row r="1298" spans="1:24" s="80" customFormat="1" ht="12.75" customHeight="1" x14ac:dyDescent="0.2">
      <c r="A1298" s="1751">
        <v>43792</v>
      </c>
      <c r="B1298" s="1489" t="s">
        <v>2478</v>
      </c>
      <c r="C1298" s="1489" t="s">
        <v>2479</v>
      </c>
      <c r="D1298" s="1786">
        <v>1.6006944444444445E-2</v>
      </c>
      <c r="E1298" s="1489" t="s">
        <v>16091</v>
      </c>
      <c r="F1298" s="1404" t="s">
        <v>16110</v>
      </c>
      <c r="G1298" s="1817">
        <v>0.66090000000000004</v>
      </c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</row>
    <row r="1299" spans="1:24" s="80" customFormat="1" ht="12.75" customHeight="1" x14ac:dyDescent="0.2">
      <c r="A1299" s="1673">
        <v>43785</v>
      </c>
      <c r="B1299" s="1489" t="s">
        <v>2478</v>
      </c>
      <c r="C1299" s="1489" t="s">
        <v>2479</v>
      </c>
      <c r="D1299" s="1674">
        <v>3.0520833333333334E-2</v>
      </c>
      <c r="E1299" s="80" t="s">
        <v>16020</v>
      </c>
      <c r="F1299" s="80" t="s">
        <v>7823</v>
      </c>
      <c r="G1299" s="314">
        <v>0.34660000000000002</v>
      </c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</row>
    <row r="1300" spans="1:24" s="80" customFormat="1" ht="12.75" customHeight="1" x14ac:dyDescent="0.2">
      <c r="A1300" s="1384">
        <v>43778</v>
      </c>
      <c r="B1300" s="1489" t="s">
        <v>2478</v>
      </c>
      <c r="C1300" s="1489" t="s">
        <v>2479</v>
      </c>
      <c r="D1300" s="1725">
        <v>3.0208333333333334E-2</v>
      </c>
      <c r="E1300" s="1723" t="s">
        <v>15965</v>
      </c>
      <c r="F1300" s="1723"/>
      <c r="G1300" s="1820">
        <v>0.35020000000000001</v>
      </c>
      <c r="H1300" s="1370"/>
      <c r="I1300" s="1370"/>
      <c r="J1300" s="1370"/>
      <c r="K1300" s="1370"/>
      <c r="L1300" s="1370"/>
      <c r="M1300" s="1370"/>
      <c r="N1300" s="1370"/>
      <c r="O1300" s="1370"/>
      <c r="P1300" s="1370"/>
      <c r="Q1300" s="1370"/>
      <c r="R1300" s="1370"/>
      <c r="S1300" s="1370"/>
      <c r="T1300" s="1370"/>
      <c r="U1300" s="1370"/>
      <c r="V1300" s="1370"/>
      <c r="W1300" s="1370"/>
      <c r="X1300" s="1370"/>
    </row>
    <row r="1301" spans="1:24" s="80" customFormat="1" ht="12.75" customHeight="1" x14ac:dyDescent="0.2">
      <c r="A1301" s="1384">
        <v>43771</v>
      </c>
      <c r="B1301" s="1489" t="s">
        <v>2478</v>
      </c>
      <c r="C1301" s="1489" t="s">
        <v>2479</v>
      </c>
      <c r="D1301" s="1731">
        <v>1.6655092592592593E-2</v>
      </c>
      <c r="E1301" s="1489" t="s">
        <v>15884</v>
      </c>
      <c r="F1301" s="1370" t="s">
        <v>15929</v>
      </c>
      <c r="G1301" s="1816">
        <v>0.63519999999999999</v>
      </c>
      <c r="H1301" s="1370"/>
      <c r="I1301" s="1370"/>
      <c r="J1301" s="1370"/>
      <c r="K1301" s="1370"/>
      <c r="L1301" s="1370"/>
      <c r="M1301" s="1370"/>
      <c r="N1301" s="1370"/>
      <c r="O1301" s="1370"/>
      <c r="P1301" s="1370"/>
      <c r="Q1301" s="1370"/>
      <c r="R1301" s="1370"/>
      <c r="S1301" s="1370"/>
      <c r="T1301" s="1370"/>
      <c r="U1301" s="1370"/>
      <c r="V1301" s="1370"/>
      <c r="W1301" s="1370"/>
      <c r="X1301" s="1370"/>
    </row>
    <row r="1302" spans="1:24" s="80" customFormat="1" ht="12.75" customHeight="1" x14ac:dyDescent="0.2">
      <c r="A1302" s="523">
        <v>43757</v>
      </c>
      <c r="B1302" s="1489" t="s">
        <v>2478</v>
      </c>
      <c r="C1302" s="1489" t="s">
        <v>2479</v>
      </c>
      <c r="D1302" s="1686">
        <v>3.3958333333333333E-2</v>
      </c>
      <c r="E1302" s="1489" t="s">
        <v>15852</v>
      </c>
      <c r="F1302" s="1489"/>
      <c r="G1302" s="1815">
        <v>0.3115</v>
      </c>
      <c r="H1302" s="1489"/>
      <c r="I1302" s="1489"/>
      <c r="J1302" s="1489"/>
      <c r="K1302" s="1489"/>
    </row>
    <row r="1303" spans="1:24" s="80" customFormat="1" ht="12.75" customHeight="1" x14ac:dyDescent="0.2">
      <c r="A1303" s="523">
        <v>43750</v>
      </c>
      <c r="B1303" s="1489" t="s">
        <v>2478</v>
      </c>
      <c r="C1303" s="1489" t="s">
        <v>2479</v>
      </c>
      <c r="D1303" s="1686">
        <v>3.1400462962962963E-2</v>
      </c>
      <c r="E1303" s="1489" t="s">
        <v>15787</v>
      </c>
      <c r="F1303" s="1489"/>
      <c r="G1303" s="1815">
        <v>0.33689999999999998</v>
      </c>
      <c r="I1303" s="1514"/>
      <c r="L1303" s="1370"/>
      <c r="M1303" s="1370"/>
      <c r="N1303" s="1370"/>
      <c r="O1303" s="1370"/>
      <c r="P1303" s="1370"/>
      <c r="Q1303" s="1370"/>
      <c r="R1303" s="1370"/>
      <c r="S1303" s="1370"/>
      <c r="T1303" s="1370"/>
      <c r="U1303" s="1370"/>
      <c r="V1303" s="1370"/>
      <c r="W1303" s="1370"/>
      <c r="X1303" s="1370"/>
    </row>
    <row r="1304" spans="1:24" s="80" customFormat="1" ht="12.75" customHeight="1" x14ac:dyDescent="0.2">
      <c r="A1304" s="1729">
        <v>43743</v>
      </c>
      <c r="B1304" s="1489" t="s">
        <v>2478</v>
      </c>
      <c r="C1304" s="1489" t="s">
        <v>2479</v>
      </c>
      <c r="D1304" s="1737">
        <v>3.3749999999999995E-2</v>
      </c>
      <c r="E1304" s="1514" t="s">
        <v>15721</v>
      </c>
      <c r="F1304" s="1514" t="s">
        <v>15772</v>
      </c>
      <c r="G1304" s="1822">
        <v>0.31340000000000001</v>
      </c>
      <c r="I1304" s="1514"/>
      <c r="L1304" s="1370"/>
      <c r="M1304" s="1370"/>
      <c r="N1304" s="1370"/>
      <c r="O1304" s="1370"/>
      <c r="P1304" s="1370"/>
      <c r="Q1304" s="1370"/>
      <c r="R1304" s="1370"/>
      <c r="S1304" s="1370"/>
      <c r="T1304" s="1370"/>
      <c r="U1304" s="1370"/>
      <c r="V1304" s="1370"/>
      <c r="W1304" s="1370"/>
      <c r="X1304" s="1370"/>
    </row>
    <row r="1305" spans="1:24" s="80" customFormat="1" ht="12.75" customHeight="1" x14ac:dyDescent="0.2">
      <c r="A1305" s="1729">
        <v>43736</v>
      </c>
      <c r="B1305" s="1489" t="s">
        <v>2478</v>
      </c>
      <c r="C1305" s="1489" t="s">
        <v>2479</v>
      </c>
      <c r="D1305" s="1686">
        <v>3.7731481481481484E-2</v>
      </c>
      <c r="E1305" s="1489" t="s">
        <v>15646</v>
      </c>
      <c r="F1305" s="1489" t="s">
        <v>15660</v>
      </c>
      <c r="G1305" s="1815">
        <v>0.28039999999999998</v>
      </c>
      <c r="H1305" s="1514"/>
      <c r="I1305" s="1514"/>
      <c r="L1305" s="1370"/>
      <c r="M1305" s="1370"/>
      <c r="N1305" s="1370"/>
      <c r="O1305" s="1370"/>
      <c r="P1305" s="1370"/>
      <c r="Q1305" s="1370"/>
      <c r="R1305" s="1370"/>
      <c r="S1305" s="1370"/>
      <c r="T1305" s="1370"/>
      <c r="U1305" s="1370"/>
      <c r="V1305" s="1370"/>
      <c r="W1305" s="1370"/>
      <c r="X1305" s="1370"/>
    </row>
    <row r="1306" spans="1:24" s="80" customFormat="1" ht="12.75" customHeight="1" x14ac:dyDescent="0.2">
      <c r="A1306" s="1729">
        <v>43729</v>
      </c>
      <c r="B1306" s="1489" t="s">
        <v>2478</v>
      </c>
      <c r="C1306" s="1489" t="s">
        <v>2479</v>
      </c>
      <c r="D1306" s="1686">
        <v>3.3981481481481481E-2</v>
      </c>
      <c r="E1306" s="1489" t="s">
        <v>15581</v>
      </c>
      <c r="F1306" s="1489" t="s">
        <v>15618</v>
      </c>
      <c r="G1306" s="1815">
        <v>0.31130000000000002</v>
      </c>
      <c r="H1306" s="1514"/>
      <c r="I1306" s="1514"/>
      <c r="L1306" s="1370"/>
      <c r="M1306" s="1370"/>
      <c r="N1306" s="1370"/>
      <c r="O1306" s="1370"/>
      <c r="P1306" s="1370"/>
      <c r="Q1306" s="1370"/>
      <c r="R1306" s="1370"/>
      <c r="S1306" s="1370"/>
      <c r="T1306" s="1370"/>
      <c r="U1306" s="1370"/>
      <c r="V1306" s="1370"/>
      <c r="W1306" s="1370"/>
      <c r="X1306" s="1370"/>
    </row>
    <row r="1307" spans="1:24" s="80" customFormat="1" ht="12.75" customHeight="1" x14ac:dyDescent="0.2">
      <c r="A1307" s="523">
        <v>43722</v>
      </c>
      <c r="B1307" s="1489" t="s">
        <v>2478</v>
      </c>
      <c r="C1307" s="1489" t="s">
        <v>2479</v>
      </c>
      <c r="D1307" s="1686">
        <v>3.8842592592592588E-2</v>
      </c>
      <c r="E1307" s="1489" t="s">
        <v>15478</v>
      </c>
      <c r="F1307" s="1489" t="s">
        <v>15524</v>
      </c>
      <c r="G1307" s="1815">
        <v>0.27229999999999999</v>
      </c>
      <c r="H1307" s="1514"/>
      <c r="I1307" s="1514"/>
      <c r="L1307" s="1370"/>
      <c r="M1307" s="1370"/>
      <c r="N1307" s="1370"/>
      <c r="O1307" s="1370"/>
      <c r="P1307" s="1370"/>
      <c r="Q1307" s="1370"/>
      <c r="R1307" s="1370"/>
      <c r="S1307" s="1370"/>
      <c r="T1307" s="1370"/>
      <c r="U1307" s="1370"/>
      <c r="V1307" s="1370"/>
      <c r="W1307" s="1370"/>
      <c r="X1307" s="1370"/>
    </row>
    <row r="1308" spans="1:24" s="80" customFormat="1" ht="12.75" customHeight="1" x14ac:dyDescent="0.2">
      <c r="A1308" s="523">
        <v>43715</v>
      </c>
      <c r="B1308" s="1489" t="s">
        <v>2478</v>
      </c>
      <c r="C1308" s="1489" t="s">
        <v>2479</v>
      </c>
      <c r="D1308" s="1732">
        <v>3.5150462962962967E-2</v>
      </c>
      <c r="E1308" s="1514" t="s">
        <v>15424</v>
      </c>
      <c r="F1308" s="1489"/>
      <c r="G1308" s="1822">
        <v>0.30099999999999999</v>
      </c>
      <c r="H1308" s="1514"/>
      <c r="I1308" s="1514"/>
    </row>
    <row r="1309" spans="1:24" s="80" customFormat="1" ht="12.75" customHeight="1" x14ac:dyDescent="0.2">
      <c r="A1309" s="1526">
        <v>43708</v>
      </c>
      <c r="B1309" s="1489" t="s">
        <v>2478</v>
      </c>
      <c r="C1309" s="1489" t="s">
        <v>2479</v>
      </c>
      <c r="D1309" s="1686">
        <v>3.2835648148148149E-2</v>
      </c>
      <c r="E1309" s="1489" t="s">
        <v>15375</v>
      </c>
      <c r="F1309" s="1489" t="s">
        <v>15400</v>
      </c>
      <c r="G1309" s="1815">
        <v>0.32219999999999999</v>
      </c>
      <c r="H1309" s="1489"/>
      <c r="I1309" s="1489"/>
      <c r="J1309" s="1489"/>
      <c r="L1309" s="1370"/>
      <c r="M1309" s="1370"/>
      <c r="N1309" s="1370"/>
      <c r="O1309" s="1370"/>
      <c r="P1309" s="1370"/>
      <c r="Q1309" s="1370"/>
      <c r="R1309" s="1370"/>
      <c r="S1309" s="1370"/>
      <c r="T1309" s="1370"/>
      <c r="U1309" s="1370"/>
      <c r="V1309" s="1370"/>
      <c r="W1309" s="1370"/>
      <c r="X1309" s="1370"/>
    </row>
    <row r="1310" spans="1:24" s="80" customFormat="1" ht="12.75" customHeight="1" x14ac:dyDescent="0.2">
      <c r="A1310" s="1526">
        <v>43701</v>
      </c>
      <c r="B1310" s="1489" t="s">
        <v>2478</v>
      </c>
      <c r="C1310" s="1489" t="s">
        <v>2479</v>
      </c>
      <c r="D1310" s="1686">
        <v>3.2152777777777773E-2</v>
      </c>
      <c r="E1310" s="1489" t="s">
        <v>15273</v>
      </c>
      <c r="F1310" s="1489" t="s">
        <v>15299</v>
      </c>
      <c r="G1310" s="1815">
        <v>0.32900000000000001</v>
      </c>
      <c r="H1310" s="1514"/>
      <c r="I1310" s="1514"/>
      <c r="L1310" s="1370"/>
      <c r="M1310" s="1370"/>
      <c r="N1310" s="1370"/>
      <c r="O1310" s="1370"/>
      <c r="P1310" s="1370"/>
      <c r="Q1310" s="1370"/>
      <c r="R1310" s="1370"/>
      <c r="S1310" s="1370"/>
      <c r="T1310" s="1370"/>
      <c r="U1310" s="1370"/>
      <c r="V1310" s="1370"/>
      <c r="W1310" s="1370"/>
      <c r="X1310" s="1370"/>
    </row>
    <row r="1311" spans="1:24" s="80" customFormat="1" ht="12.75" customHeight="1" x14ac:dyDescent="0.2">
      <c r="A1311" s="523">
        <v>43694</v>
      </c>
      <c r="B1311" s="1489" t="s">
        <v>2478</v>
      </c>
      <c r="C1311" s="1489" t="s">
        <v>2479</v>
      </c>
      <c r="D1311" s="1733">
        <v>3.473379629629629E-2</v>
      </c>
      <c r="E1311" s="1489" t="s">
        <v>15172</v>
      </c>
      <c r="F1311" s="1489" t="s">
        <v>15203</v>
      </c>
      <c r="G1311" s="1815">
        <v>0.30459999999999998</v>
      </c>
      <c r="H1311" s="1514"/>
      <c r="I1311" s="1514"/>
    </row>
    <row r="1312" spans="1:24" s="80" customFormat="1" ht="12.75" customHeight="1" x14ac:dyDescent="0.2">
      <c r="A1312" s="523">
        <v>43687</v>
      </c>
      <c r="B1312" s="1489" t="s">
        <v>2478</v>
      </c>
      <c r="C1312" s="1489" t="s">
        <v>2479</v>
      </c>
      <c r="D1312" s="1686">
        <v>3.2557870370370369E-2</v>
      </c>
      <c r="E1312" s="1489" t="s">
        <v>13442</v>
      </c>
      <c r="F1312" s="1489" t="s">
        <v>13465</v>
      </c>
      <c r="G1312" s="1815">
        <v>0.32490000000000002</v>
      </c>
      <c r="H1312" s="1514"/>
      <c r="I1312" s="1514"/>
    </row>
    <row r="1313" spans="1:24" s="80" customFormat="1" ht="12.75" customHeight="1" x14ac:dyDescent="0.2">
      <c r="A1313" s="1384">
        <v>43680</v>
      </c>
      <c r="B1313" s="1489" t="s">
        <v>2478</v>
      </c>
      <c r="C1313" s="1489" t="s">
        <v>2479</v>
      </c>
      <c r="D1313" s="1686">
        <v>1.5902777777777776E-2</v>
      </c>
      <c r="E1313" s="1489" t="s">
        <v>13363</v>
      </c>
      <c r="F1313" s="1489" t="s">
        <v>13396</v>
      </c>
      <c r="G1313" s="1815">
        <v>0.66520000000000001</v>
      </c>
      <c r="H1313" s="1514"/>
      <c r="I1313" s="1514"/>
      <c r="L1313" s="1370"/>
      <c r="M1313" s="1370"/>
      <c r="N1313" s="1370"/>
      <c r="O1313" s="1370"/>
      <c r="P1313" s="1370"/>
      <c r="Q1313" s="1370"/>
      <c r="R1313" s="1370"/>
      <c r="S1313" s="1370"/>
      <c r="T1313" s="1370"/>
      <c r="U1313" s="1370"/>
      <c r="V1313" s="1370"/>
      <c r="W1313" s="1370"/>
      <c r="X1313" s="1370"/>
    </row>
    <row r="1314" spans="1:24" s="80" customFormat="1" ht="12.75" customHeight="1" x14ac:dyDescent="0.2">
      <c r="A1314" s="1384">
        <v>43673</v>
      </c>
      <c r="B1314" s="1489" t="s">
        <v>2478</v>
      </c>
      <c r="C1314" s="1489" t="s">
        <v>2479</v>
      </c>
      <c r="D1314" s="1686">
        <v>1.5069444444444444E-2</v>
      </c>
      <c r="E1314" s="1489" t="s">
        <v>13294</v>
      </c>
      <c r="F1314" s="1489" t="s">
        <v>13334</v>
      </c>
      <c r="G1314" s="1815">
        <v>0.70199999999999996</v>
      </c>
      <c r="H1314" s="1514"/>
      <c r="I1314" s="1514"/>
    </row>
    <row r="1315" spans="1:24" s="80" customFormat="1" ht="12.75" customHeight="1" x14ac:dyDescent="0.2">
      <c r="A1315" s="523">
        <v>43666</v>
      </c>
      <c r="B1315" s="1489" t="s">
        <v>2478</v>
      </c>
      <c r="C1315" s="1489" t="s">
        <v>2479</v>
      </c>
      <c r="D1315" s="1686">
        <v>1.4918981481481483E-2</v>
      </c>
      <c r="E1315" s="1489" t="s">
        <v>13190</v>
      </c>
      <c r="F1315" s="1489" t="s">
        <v>13215</v>
      </c>
      <c r="G1315" s="1815">
        <v>0.70909999999999995</v>
      </c>
      <c r="H1315" s="1514"/>
      <c r="I1315" s="1514"/>
    </row>
    <row r="1316" spans="1:24" s="80" customFormat="1" ht="12.75" customHeight="1" x14ac:dyDescent="0.2">
      <c r="A1316" s="523">
        <v>43659</v>
      </c>
      <c r="B1316" s="1489" t="s">
        <v>2478</v>
      </c>
      <c r="C1316" s="1489" t="s">
        <v>2479</v>
      </c>
      <c r="D1316" s="1686">
        <v>1.480324074074074E-2</v>
      </c>
      <c r="E1316" s="1489" t="s">
        <v>13132</v>
      </c>
      <c r="F1316" s="1489" t="s">
        <v>13173</v>
      </c>
      <c r="G1316" s="1815">
        <v>0.71460000000000001</v>
      </c>
      <c r="H1316" s="1514"/>
      <c r="I1316" s="1489"/>
    </row>
    <row r="1317" spans="1:24" s="80" customFormat="1" ht="12.75" customHeight="1" x14ac:dyDescent="0.2">
      <c r="A1317" s="523">
        <v>43652</v>
      </c>
      <c r="B1317" s="1489" t="s">
        <v>2478</v>
      </c>
      <c r="C1317" s="1489" t="s">
        <v>2479</v>
      </c>
      <c r="D1317" s="1686">
        <v>1.5277777777777777E-2</v>
      </c>
      <c r="E1317" s="1489" t="s">
        <v>13068</v>
      </c>
      <c r="F1317" s="1489" t="s">
        <v>13098</v>
      </c>
      <c r="G1317" s="1815">
        <v>0.69240000000000002</v>
      </c>
      <c r="H1317" s="1489"/>
      <c r="I1317" s="1514"/>
    </row>
    <row r="1318" spans="1:24" s="80" customFormat="1" ht="12.75" customHeight="1" x14ac:dyDescent="0.2">
      <c r="A1318" s="523">
        <v>43652</v>
      </c>
      <c r="B1318" s="1489" t="s">
        <v>2478</v>
      </c>
      <c r="C1318" s="1489" t="s">
        <v>2479</v>
      </c>
      <c r="D1318" s="1695" t="s">
        <v>3334</v>
      </c>
      <c r="E1318" s="1514" t="s">
        <v>12510</v>
      </c>
      <c r="F1318" s="1489" t="s">
        <v>1549</v>
      </c>
      <c r="G1318" s="1815"/>
      <c r="H1318" s="1578"/>
      <c r="I1318" s="1489"/>
      <c r="J1318" s="1489"/>
      <c r="K1318" s="1489"/>
    </row>
    <row r="1319" spans="1:24" s="80" customFormat="1" ht="12.75" customHeight="1" x14ac:dyDescent="0.2">
      <c r="A1319" s="523">
        <v>43624</v>
      </c>
      <c r="B1319" s="1489" t="s">
        <v>2478</v>
      </c>
      <c r="C1319" s="1489" t="s">
        <v>2479</v>
      </c>
      <c r="D1319" s="1835">
        <v>4.0671296296296296E-2</v>
      </c>
      <c r="E1319" s="1569" t="s">
        <v>12885</v>
      </c>
      <c r="F1319" s="1569" t="s">
        <v>12871</v>
      </c>
      <c r="G1319" s="1818">
        <v>0.2581</v>
      </c>
      <c r="H1319" s="1514"/>
      <c r="I1319" s="1514"/>
    </row>
    <row r="1320" spans="1:24" s="80" customFormat="1" ht="12.75" customHeight="1" x14ac:dyDescent="0.2">
      <c r="A1320" s="1384">
        <v>43617</v>
      </c>
      <c r="B1320" s="1489" t="s">
        <v>2478</v>
      </c>
      <c r="C1320" s="1489" t="s">
        <v>2479</v>
      </c>
      <c r="D1320" s="1836">
        <v>1.6064814814814813E-2</v>
      </c>
      <c r="E1320" s="1568" t="s">
        <v>12819</v>
      </c>
      <c r="F1320" s="1568"/>
      <c r="G1320" s="1819">
        <v>0.65349999999999997</v>
      </c>
      <c r="H1320" s="1489"/>
      <c r="I1320" s="1489"/>
      <c r="J1320" s="1370"/>
      <c r="K1320" s="1370"/>
      <c r="L1320" s="1370"/>
      <c r="M1320" s="1370"/>
      <c r="N1320" s="1370"/>
      <c r="O1320" s="1370"/>
      <c r="P1320" s="1370"/>
      <c r="Q1320" s="1370"/>
      <c r="R1320" s="1370"/>
      <c r="S1320" s="1370"/>
      <c r="T1320" s="1370"/>
      <c r="U1320" s="1370"/>
      <c r="V1320" s="1370"/>
      <c r="W1320" s="1370"/>
      <c r="X1320" s="1370"/>
    </row>
    <row r="1321" spans="1:24" s="80" customFormat="1" ht="12.75" customHeight="1" x14ac:dyDescent="0.2">
      <c r="A1321" s="1384">
        <v>43610</v>
      </c>
      <c r="B1321" s="1489" t="s">
        <v>2478</v>
      </c>
      <c r="C1321" s="1489" t="s">
        <v>2479</v>
      </c>
      <c r="D1321" s="1733">
        <v>1.7962962962962962E-2</v>
      </c>
      <c r="E1321" s="1489" t="s">
        <v>12728</v>
      </c>
      <c r="F1321" s="1489"/>
      <c r="G1321" s="1815">
        <v>0.58440000000000003</v>
      </c>
      <c r="H1321" s="1489"/>
      <c r="I1321" s="1489"/>
      <c r="J1321" s="1370"/>
      <c r="K1321" s="1370"/>
    </row>
    <row r="1322" spans="1:24" s="80" customFormat="1" ht="12.75" customHeight="1" x14ac:dyDescent="0.2">
      <c r="A1322" s="1384">
        <v>43596</v>
      </c>
      <c r="B1322" s="1489" t="s">
        <v>2478</v>
      </c>
      <c r="C1322" s="1489" t="s">
        <v>2479</v>
      </c>
      <c r="D1322" s="1733">
        <v>1.7905092592592594E-2</v>
      </c>
      <c r="E1322" s="1489" t="s">
        <v>12555</v>
      </c>
      <c r="F1322" s="1489" t="s">
        <v>12556</v>
      </c>
      <c r="G1322" s="1815">
        <v>0.56830000000000003</v>
      </c>
      <c r="H1322" s="1489"/>
      <c r="I1322" s="1489"/>
      <c r="J1322" s="1370"/>
      <c r="K1322" s="1370"/>
    </row>
    <row r="1323" spans="1:24" s="80" customFormat="1" ht="12.75" customHeight="1" x14ac:dyDescent="0.2">
      <c r="A1323" s="1384">
        <v>43589</v>
      </c>
      <c r="B1323" s="1489" t="s">
        <v>2478</v>
      </c>
      <c r="C1323" s="1489" t="s">
        <v>2479</v>
      </c>
      <c r="D1323" s="1733">
        <v>1.4826388888888889E-2</v>
      </c>
      <c r="E1323" s="1489" t="s">
        <v>12554</v>
      </c>
      <c r="F1323" s="1489" t="s">
        <v>12557</v>
      </c>
      <c r="G1323" s="1815">
        <v>0.70799999999999996</v>
      </c>
      <c r="H1323" s="1489"/>
      <c r="I1323" s="1489"/>
      <c r="J1323" s="1370"/>
      <c r="K1323" s="1370"/>
    </row>
    <row r="1324" spans="1:24" s="80" customFormat="1" ht="12.75" customHeight="1" x14ac:dyDescent="0.2">
      <c r="A1324" s="1384">
        <v>43582</v>
      </c>
      <c r="B1324" s="1489" t="s">
        <v>2478</v>
      </c>
      <c r="C1324" s="1489" t="s">
        <v>2479</v>
      </c>
      <c r="D1324" s="1733">
        <v>1.6423611111111111E-2</v>
      </c>
      <c r="E1324" s="1489" t="s">
        <v>12553</v>
      </c>
      <c r="F1324" s="1489" t="s">
        <v>12558</v>
      </c>
      <c r="G1324" s="1815">
        <v>0.63919999999999999</v>
      </c>
      <c r="H1324" s="1489"/>
      <c r="I1324" s="1489"/>
      <c r="J1324" s="1370"/>
      <c r="K1324" s="1370"/>
      <c r="L1324" s="1370"/>
      <c r="M1324" s="1370"/>
      <c r="N1324" s="1370"/>
      <c r="O1324" s="1370"/>
      <c r="P1324" s="1370"/>
      <c r="Q1324" s="1370"/>
      <c r="R1324" s="1370"/>
      <c r="S1324" s="1370"/>
      <c r="T1324" s="1370"/>
      <c r="U1324" s="1370"/>
      <c r="V1324" s="1370"/>
      <c r="W1324" s="1370"/>
      <c r="X1324" s="1370"/>
    </row>
    <row r="1325" spans="1:24" s="80" customFormat="1" ht="12.75" customHeight="1" x14ac:dyDescent="0.2">
      <c r="A1325" s="1384">
        <v>43575</v>
      </c>
      <c r="B1325" s="1489" t="s">
        <v>2478</v>
      </c>
      <c r="C1325" s="1489" t="s">
        <v>2479</v>
      </c>
      <c r="D1325" s="1733">
        <v>1.6261574074074074E-2</v>
      </c>
      <c r="E1325" s="1489" t="s">
        <v>12479</v>
      </c>
      <c r="F1325" s="1489" t="s">
        <v>12478</v>
      </c>
      <c r="G1325" s="1815">
        <v>0.64559999999999995</v>
      </c>
      <c r="H1325" s="1489"/>
      <c r="I1325" s="1489"/>
      <c r="J1325" s="1370"/>
      <c r="K1325" s="1370"/>
      <c r="L1325" s="1370"/>
      <c r="M1325" s="1370"/>
      <c r="N1325" s="1370"/>
      <c r="O1325" s="1370"/>
      <c r="P1325" s="1370"/>
      <c r="Q1325" s="1370"/>
      <c r="R1325" s="1370"/>
      <c r="S1325" s="1370"/>
      <c r="T1325" s="1370"/>
      <c r="U1325" s="1370"/>
      <c r="V1325" s="1370"/>
      <c r="W1325" s="1370"/>
      <c r="X1325" s="1370"/>
    </row>
    <row r="1326" spans="1:24" s="80" customFormat="1" ht="12.75" customHeight="1" x14ac:dyDescent="0.2">
      <c r="A1326" s="1384">
        <v>43568</v>
      </c>
      <c r="B1326" s="1489" t="s">
        <v>2478</v>
      </c>
      <c r="C1326" s="1489" t="s">
        <v>2479</v>
      </c>
      <c r="D1326" s="1733">
        <v>1.5104166666666667E-2</v>
      </c>
      <c r="E1326" s="1489" t="s">
        <v>12403</v>
      </c>
      <c r="F1326" s="1489" t="s">
        <v>12404</v>
      </c>
      <c r="G1326" s="1815">
        <v>0.69499999999999995</v>
      </c>
      <c r="H1326" s="1489"/>
      <c r="I1326" s="1489"/>
      <c r="J1326" s="1370"/>
      <c r="K1326" s="1370"/>
    </row>
    <row r="1327" spans="1:24" s="80" customFormat="1" ht="12.75" customHeight="1" x14ac:dyDescent="0.2">
      <c r="A1327" s="1384">
        <v>43561</v>
      </c>
      <c r="B1327" s="1489" t="s">
        <v>2478</v>
      </c>
      <c r="C1327" s="1489" t="s">
        <v>2479</v>
      </c>
      <c r="D1327" s="1733">
        <v>1.4456018518518519E-2</v>
      </c>
      <c r="E1327" s="1489" t="s">
        <v>12335</v>
      </c>
      <c r="F1327" s="1489" t="s">
        <v>1092</v>
      </c>
      <c r="G1327" s="1815">
        <v>0.72619999999999996</v>
      </c>
      <c r="H1327" s="1489"/>
      <c r="I1327" s="1489"/>
      <c r="J1327" s="1370"/>
      <c r="K1327" s="1370"/>
    </row>
    <row r="1328" spans="1:24" s="80" customFormat="1" ht="12.75" customHeight="1" x14ac:dyDescent="0.2">
      <c r="A1328" s="1384">
        <v>43554</v>
      </c>
      <c r="B1328" s="1489" t="s">
        <v>2478</v>
      </c>
      <c r="C1328" s="1489" t="s">
        <v>2479</v>
      </c>
      <c r="D1328" s="1733">
        <v>1.5069444444444443E-2</v>
      </c>
      <c r="E1328" s="1489" t="s">
        <v>12220</v>
      </c>
      <c r="F1328" s="1489" t="s">
        <v>12282</v>
      </c>
      <c r="G1328" s="1815">
        <v>0.6966</v>
      </c>
      <c r="H1328" s="1489"/>
      <c r="I1328" s="1489"/>
      <c r="J1328" s="1370"/>
      <c r="K1328" s="1370"/>
    </row>
    <row r="1329" spans="1:24" s="80" customFormat="1" ht="12.75" customHeight="1" x14ac:dyDescent="0.2">
      <c r="A1329" s="1384">
        <v>43547</v>
      </c>
      <c r="B1329" s="1489" t="s">
        <v>2478</v>
      </c>
      <c r="C1329" s="1489" t="s">
        <v>2479</v>
      </c>
      <c r="D1329" s="1733">
        <v>1.5671296296296298E-2</v>
      </c>
      <c r="E1329" s="1489" t="s">
        <v>12175</v>
      </c>
      <c r="F1329" s="1489" t="s">
        <v>12169</v>
      </c>
      <c r="G1329" s="1815">
        <v>0.66990000000000005</v>
      </c>
      <c r="H1329" s="1489"/>
      <c r="I1329" s="1489"/>
      <c r="J1329" s="1370"/>
      <c r="K1329" s="1370"/>
      <c r="L1329" s="1370"/>
      <c r="M1329" s="1370"/>
      <c r="N1329" s="1370"/>
      <c r="O1329" s="1370"/>
      <c r="P1329" s="1370"/>
      <c r="Q1329" s="1370"/>
      <c r="R1329" s="1370"/>
      <c r="S1329" s="1370"/>
      <c r="T1329" s="1370"/>
      <c r="U1329" s="1370"/>
      <c r="V1329" s="1370"/>
      <c r="W1329" s="1370"/>
      <c r="X1329" s="1370"/>
    </row>
    <row r="1330" spans="1:24" s="80" customFormat="1" ht="12.75" customHeight="1" x14ac:dyDescent="0.2">
      <c r="A1330" s="1384">
        <v>43540</v>
      </c>
      <c r="B1330" s="1489" t="s">
        <v>2478</v>
      </c>
      <c r="C1330" s="1489" t="s">
        <v>2479</v>
      </c>
      <c r="D1330" s="1733">
        <v>1.5740740740740743E-2</v>
      </c>
      <c r="E1330" s="1489" t="s">
        <v>12098</v>
      </c>
      <c r="F1330" s="1489" t="s">
        <v>12097</v>
      </c>
      <c r="G1330" s="1815">
        <v>0.66590000000000005</v>
      </c>
      <c r="H1330" s="1489"/>
      <c r="I1330" s="1489"/>
      <c r="J1330" s="1370"/>
      <c r="K1330" s="1370"/>
    </row>
    <row r="1331" spans="1:24" s="80" customFormat="1" ht="12.75" customHeight="1" x14ac:dyDescent="0.2">
      <c r="A1331" s="1384">
        <v>43533</v>
      </c>
      <c r="B1331" s="1489" t="s">
        <v>2478</v>
      </c>
      <c r="C1331" s="1489" t="s">
        <v>2479</v>
      </c>
      <c r="D1331" s="1733">
        <v>1.6655092592592593E-2</v>
      </c>
      <c r="E1331" s="1489" t="s">
        <v>12057</v>
      </c>
      <c r="F1331" s="1489" t="s">
        <v>12058</v>
      </c>
      <c r="G1331" s="1815">
        <v>0.63029999999999997</v>
      </c>
      <c r="H1331" s="1489"/>
      <c r="I1331" s="1489"/>
      <c r="J1331" s="1370"/>
      <c r="K1331" s="1370"/>
      <c r="L1331" s="1370"/>
      <c r="M1331" s="1370"/>
      <c r="N1331" s="1370"/>
      <c r="O1331" s="1370"/>
      <c r="P1331" s="1370"/>
      <c r="Q1331" s="1370"/>
      <c r="R1331" s="1370"/>
      <c r="S1331" s="1370"/>
      <c r="T1331" s="1370"/>
      <c r="U1331" s="1370"/>
      <c r="V1331" s="1370"/>
      <c r="W1331" s="1370"/>
      <c r="X1331" s="1370"/>
    </row>
    <row r="1332" spans="1:24" s="80" customFormat="1" ht="12.75" customHeight="1" x14ac:dyDescent="0.2">
      <c r="A1332" s="1384">
        <v>43526</v>
      </c>
      <c r="B1332" s="1489" t="s">
        <v>2478</v>
      </c>
      <c r="C1332" s="1489" t="s">
        <v>2479</v>
      </c>
      <c r="D1332" s="1733">
        <v>1.7650462962962962E-2</v>
      </c>
      <c r="E1332" s="1489" t="s">
        <v>11943</v>
      </c>
      <c r="F1332" s="1489" t="s">
        <v>11926</v>
      </c>
      <c r="G1332" s="1815">
        <v>0.5948</v>
      </c>
      <c r="H1332" s="1489"/>
      <c r="I1332" s="1489"/>
      <c r="J1332" s="1370"/>
      <c r="K1332" s="1370"/>
      <c r="L1332" s="1370"/>
      <c r="M1332" s="1370"/>
      <c r="N1332" s="1370"/>
      <c r="O1332" s="1370"/>
      <c r="P1332" s="1370"/>
      <c r="Q1332" s="1370"/>
      <c r="R1332" s="1370"/>
      <c r="S1332" s="1370"/>
      <c r="T1332" s="1370"/>
      <c r="U1332" s="1370"/>
      <c r="V1332" s="1370"/>
      <c r="W1332" s="1370"/>
      <c r="X1332" s="1370"/>
    </row>
    <row r="1333" spans="1:24" s="80" customFormat="1" ht="12.75" customHeight="1" x14ac:dyDescent="0.2">
      <c r="A1333" s="1384">
        <v>43519</v>
      </c>
      <c r="B1333" s="1489" t="s">
        <v>2478</v>
      </c>
      <c r="C1333" s="1489" t="s">
        <v>2479</v>
      </c>
      <c r="D1333" s="1733">
        <v>1.699074074074074E-2</v>
      </c>
      <c r="E1333" s="1489" t="s">
        <v>3167</v>
      </c>
      <c r="F1333" s="1489" t="s">
        <v>11877</v>
      </c>
      <c r="G1333" s="1815">
        <v>0.61780000000000002</v>
      </c>
      <c r="H1333" s="1489"/>
      <c r="I1333" s="1489"/>
      <c r="J1333" s="1370"/>
      <c r="K1333" s="1370"/>
    </row>
    <row r="1334" spans="1:24" s="80" customFormat="1" ht="12.75" customHeight="1" x14ac:dyDescent="0.2">
      <c r="A1334" s="1384">
        <v>43512</v>
      </c>
      <c r="B1334" s="1489" t="s">
        <v>2478</v>
      </c>
      <c r="C1334" s="1489" t="s">
        <v>2479</v>
      </c>
      <c r="D1334" s="1733">
        <v>1.7094907407407409E-2</v>
      </c>
      <c r="E1334" s="1489" t="s">
        <v>3167</v>
      </c>
      <c r="F1334" s="1489" t="s">
        <v>11818</v>
      </c>
      <c r="G1334" s="1815">
        <v>0.61409999999999998</v>
      </c>
      <c r="H1334" s="1489"/>
      <c r="I1334" s="1489"/>
      <c r="J1334" s="1370"/>
      <c r="K1334" s="1370"/>
    </row>
    <row r="1335" spans="1:24" s="80" customFormat="1" ht="12.75" customHeight="1" x14ac:dyDescent="0.2">
      <c r="A1335" s="1384">
        <v>43505</v>
      </c>
      <c r="B1335" s="1489" t="s">
        <v>2478</v>
      </c>
      <c r="C1335" s="1489" t="s">
        <v>2479</v>
      </c>
      <c r="D1335" s="1733">
        <v>1.8530092592592595E-2</v>
      </c>
      <c r="E1335" s="1489" t="s">
        <v>3167</v>
      </c>
      <c r="F1335" s="1489" t="s">
        <v>11763</v>
      </c>
      <c r="G1335" s="1815">
        <v>0.5665</v>
      </c>
      <c r="H1335" s="1489"/>
      <c r="I1335" s="1489"/>
      <c r="J1335" s="1370"/>
      <c r="K1335" s="1370"/>
    </row>
    <row r="1336" spans="1:24" s="80" customFormat="1" ht="12.75" customHeight="1" x14ac:dyDescent="0.2">
      <c r="A1336" s="1384">
        <v>43491</v>
      </c>
      <c r="B1336" s="1489" t="s">
        <v>2478</v>
      </c>
      <c r="C1336" s="1489" t="s">
        <v>2479</v>
      </c>
      <c r="D1336" s="1733">
        <v>1.7847222222222223E-2</v>
      </c>
      <c r="E1336" s="1489" t="s">
        <v>3167</v>
      </c>
      <c r="F1336" s="1545" t="s">
        <v>11678</v>
      </c>
      <c r="G1336" s="1815">
        <v>0.58819999999999995</v>
      </c>
      <c r="H1336" s="1489"/>
      <c r="I1336" s="1489"/>
      <c r="J1336" s="1370"/>
      <c r="K1336" s="1370"/>
      <c r="L1336" s="1370"/>
      <c r="M1336" s="1370"/>
      <c r="N1336" s="1370"/>
      <c r="O1336" s="1370"/>
      <c r="P1336" s="1370"/>
      <c r="Q1336" s="1370"/>
      <c r="R1336" s="1370"/>
      <c r="S1336" s="1370"/>
      <c r="T1336" s="1370"/>
      <c r="U1336" s="1370"/>
      <c r="V1336" s="1370"/>
      <c r="W1336" s="1370"/>
      <c r="X1336" s="1370"/>
    </row>
    <row r="1337" spans="1:24" s="80" customFormat="1" ht="12.75" customHeight="1" x14ac:dyDescent="0.2">
      <c r="A1337" s="1384">
        <v>43484</v>
      </c>
      <c r="B1337" s="1489" t="s">
        <v>2478</v>
      </c>
      <c r="C1337" s="1489" t="s">
        <v>2479</v>
      </c>
      <c r="D1337" s="1733">
        <v>1.800925925925926E-2</v>
      </c>
      <c r="E1337" s="1489" t="s">
        <v>10622</v>
      </c>
      <c r="F1337" s="1489" t="s">
        <v>11624</v>
      </c>
      <c r="G1337" s="1815">
        <v>0.58289999999999997</v>
      </c>
      <c r="H1337" s="1489"/>
      <c r="I1337" s="1489"/>
      <c r="J1337" s="1370"/>
      <c r="K1337" s="1370"/>
      <c r="L1337" s="1370"/>
      <c r="M1337" s="1370"/>
      <c r="N1337" s="1370"/>
      <c r="O1337" s="1370"/>
      <c r="P1337" s="1370"/>
      <c r="Q1337" s="1370"/>
      <c r="R1337" s="1370"/>
      <c r="S1337" s="1370"/>
      <c r="T1337" s="1370"/>
      <c r="U1337" s="1370"/>
      <c r="V1337" s="1370"/>
      <c r="W1337" s="1370"/>
      <c r="X1337" s="1370"/>
    </row>
    <row r="1338" spans="1:24" s="80" customFormat="1" ht="12.75" customHeight="1" x14ac:dyDescent="0.2">
      <c r="A1338" s="1384">
        <v>43477</v>
      </c>
      <c r="B1338" s="1489" t="s">
        <v>2478</v>
      </c>
      <c r="C1338" s="1489" t="s">
        <v>2479</v>
      </c>
      <c r="D1338" s="1733">
        <v>1.6006944444444445E-2</v>
      </c>
      <c r="E1338" s="1489" t="s">
        <v>3167</v>
      </c>
      <c r="F1338" s="1489" t="s">
        <v>11550</v>
      </c>
      <c r="G1338" s="1815">
        <v>0.65580000000000005</v>
      </c>
      <c r="H1338" s="1489"/>
      <c r="I1338" s="1489"/>
      <c r="J1338" s="1370"/>
      <c r="K1338" s="1370"/>
    </row>
    <row r="1339" spans="1:24" s="80" customFormat="1" ht="12.75" customHeight="1" x14ac:dyDescent="0.2">
      <c r="A1339" s="1384">
        <v>43470</v>
      </c>
      <c r="B1339" s="1489" t="s">
        <v>2478</v>
      </c>
      <c r="C1339" s="1489" t="s">
        <v>2479</v>
      </c>
      <c r="D1339" s="1733">
        <v>1.4675925925925926E-2</v>
      </c>
      <c r="E1339" s="1489" t="s">
        <v>3167</v>
      </c>
      <c r="F1339" s="1489" t="s">
        <v>11551</v>
      </c>
      <c r="G1339" s="1815">
        <v>0.71530000000000005</v>
      </c>
      <c r="H1339" s="1489"/>
      <c r="I1339" s="1489"/>
      <c r="J1339" s="1370"/>
      <c r="K1339" s="1370"/>
    </row>
    <row r="1340" spans="1:24" s="80" customFormat="1" ht="12.75" customHeight="1" x14ac:dyDescent="0.2">
      <c r="A1340" s="1384">
        <v>43466</v>
      </c>
      <c r="B1340" s="1489" t="s">
        <v>2478</v>
      </c>
      <c r="C1340" s="1489" t="s">
        <v>2479</v>
      </c>
      <c r="D1340" s="1733">
        <v>1.4305555555555557E-2</v>
      </c>
      <c r="E1340" s="1489" t="s">
        <v>11488</v>
      </c>
      <c r="F1340" s="1489" t="s">
        <v>11480</v>
      </c>
      <c r="G1340" s="1815">
        <v>0.73380000000000001</v>
      </c>
      <c r="H1340" s="1489"/>
      <c r="I1340" s="1489"/>
      <c r="J1340" s="1370"/>
      <c r="K1340" s="1370"/>
    </row>
    <row r="1341" spans="1:24" s="80" customFormat="1" ht="12.75" customHeight="1" x14ac:dyDescent="0.2">
      <c r="A1341" s="1384">
        <v>43466</v>
      </c>
      <c r="B1341" s="1489" t="s">
        <v>2478</v>
      </c>
      <c r="C1341" s="1489" t="s">
        <v>2479</v>
      </c>
      <c r="D1341" s="1733">
        <v>1.486111111111111E-2</v>
      </c>
      <c r="E1341" s="1489" t="s">
        <v>11487</v>
      </c>
      <c r="F1341" s="1489" t="s">
        <v>11481</v>
      </c>
      <c r="G1341" s="1815">
        <v>0.70640000000000003</v>
      </c>
      <c r="H1341" s="1489"/>
      <c r="I1341" s="1489"/>
      <c r="J1341" s="1370"/>
      <c r="K1341" s="1370"/>
      <c r="L1341" s="1370"/>
      <c r="M1341" s="1370"/>
      <c r="N1341" s="1370"/>
      <c r="O1341" s="1370"/>
      <c r="P1341" s="1370"/>
      <c r="Q1341" s="1370"/>
      <c r="R1341" s="1370"/>
      <c r="S1341" s="1370"/>
      <c r="T1341" s="1370"/>
      <c r="U1341" s="1370"/>
      <c r="V1341" s="1370"/>
      <c r="W1341" s="1370"/>
      <c r="X1341" s="1370"/>
    </row>
    <row r="1342" spans="1:24" s="80" customFormat="1" ht="12.75" customHeight="1" x14ac:dyDescent="0.2">
      <c r="A1342" s="1729">
        <v>43827</v>
      </c>
      <c r="B1342" s="1807" t="s">
        <v>5980</v>
      </c>
      <c r="C1342" s="1807" t="s">
        <v>2479</v>
      </c>
      <c r="D1342" s="1621">
        <v>2.8067129629629629E-2</v>
      </c>
      <c r="E1342" s="1489" t="s">
        <v>16420</v>
      </c>
      <c r="F1342" s="1489" t="s">
        <v>16435</v>
      </c>
      <c r="G1342" s="1817">
        <v>0.48</v>
      </c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</row>
    <row r="1343" spans="1:24" s="80" customFormat="1" ht="12.75" customHeight="1" x14ac:dyDescent="0.2">
      <c r="A1343" s="34">
        <v>43824</v>
      </c>
      <c r="B1343" s="1807" t="s">
        <v>5980</v>
      </c>
      <c r="C1343" s="1807" t="s">
        <v>2479</v>
      </c>
      <c r="D1343" s="1621">
        <v>2.809027777777778E-2</v>
      </c>
      <c r="E1343" s="1489" t="s">
        <v>16371</v>
      </c>
      <c r="F1343" s="1489" t="s">
        <v>16382</v>
      </c>
      <c r="G1343" s="1817">
        <v>0.47960000000000003</v>
      </c>
      <c r="H1343" s="1404" t="s">
        <v>16360</v>
      </c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</row>
    <row r="1344" spans="1:24" s="80" customFormat="1" ht="12.75" customHeight="1" x14ac:dyDescent="0.2">
      <c r="A1344" s="34">
        <v>43806</v>
      </c>
      <c r="B1344" s="1807" t="s">
        <v>5980</v>
      </c>
      <c r="C1344" s="1807" t="s">
        <v>2479</v>
      </c>
      <c r="D1344" s="1621">
        <v>2.8136574074074071E-2</v>
      </c>
      <c r="E1344" s="1489" t="s">
        <v>16218</v>
      </c>
      <c r="F1344" s="1489" t="s">
        <v>16231</v>
      </c>
      <c r="G1344" s="1817">
        <v>0.4788</v>
      </c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</row>
    <row r="1345" spans="1:24" s="80" customFormat="1" ht="12.75" customHeight="1" x14ac:dyDescent="0.2">
      <c r="A1345" s="1384">
        <v>43778</v>
      </c>
      <c r="B1345" s="1807" t="s">
        <v>5980</v>
      </c>
      <c r="C1345" s="1807" t="s">
        <v>2479</v>
      </c>
      <c r="D1345" s="1725">
        <v>3.0162037037037032E-2</v>
      </c>
      <c r="E1345" s="1726" t="s">
        <v>15965</v>
      </c>
      <c r="F1345" s="1723" t="s">
        <v>15982</v>
      </c>
      <c r="G1345" s="1820">
        <v>0.4405</v>
      </c>
      <c r="H1345" s="1370"/>
      <c r="I1345" s="1370"/>
      <c r="J1345" s="1370"/>
      <c r="K1345" s="1370"/>
      <c r="L1345" s="1370"/>
      <c r="M1345" s="1370"/>
      <c r="N1345" s="1370"/>
      <c r="O1345" s="1370"/>
      <c r="P1345" s="1370"/>
      <c r="Q1345" s="1370"/>
      <c r="R1345" s="1370"/>
      <c r="S1345" s="1370"/>
      <c r="T1345" s="1370"/>
      <c r="U1345" s="1370"/>
      <c r="V1345" s="1370"/>
      <c r="W1345" s="1370"/>
      <c r="X1345" s="1370"/>
    </row>
    <row r="1346" spans="1:24" s="80" customFormat="1" ht="12.75" customHeight="1" x14ac:dyDescent="0.2">
      <c r="A1346" s="523">
        <v>43757</v>
      </c>
      <c r="B1346" s="1807" t="s">
        <v>5980</v>
      </c>
      <c r="C1346" s="1807" t="s">
        <v>2479</v>
      </c>
      <c r="D1346" s="1686">
        <v>3.394675925925926E-2</v>
      </c>
      <c r="E1346" s="1489" t="s">
        <v>15852</v>
      </c>
      <c r="F1346" s="1489"/>
      <c r="G1346" s="1815">
        <v>0.39140000000000003</v>
      </c>
      <c r="H1346" s="1489"/>
      <c r="I1346" s="1489"/>
      <c r="J1346" s="1489"/>
      <c r="K1346" s="1489"/>
    </row>
    <row r="1347" spans="1:24" s="80" customFormat="1" ht="12.75" customHeight="1" x14ac:dyDescent="0.2">
      <c r="A1347" s="1729">
        <v>43799</v>
      </c>
      <c r="B1347" s="1489" t="s">
        <v>5540</v>
      </c>
      <c r="C1347" s="1489" t="s">
        <v>7672</v>
      </c>
      <c r="D1347" s="1674">
        <v>2.8969907407407409E-2</v>
      </c>
      <c r="E1347" t="s">
        <v>16145</v>
      </c>
      <c r="F1347" s="80" t="s">
        <v>16173</v>
      </c>
      <c r="G1347" s="314">
        <v>0.3947</v>
      </c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</row>
    <row r="1348" spans="1:24" s="80" customFormat="1" ht="12.75" customHeight="1" x14ac:dyDescent="0.2">
      <c r="A1348" s="1673">
        <v>43785</v>
      </c>
      <c r="B1348" s="1489" t="s">
        <v>5540</v>
      </c>
      <c r="C1348" s="1489" t="s">
        <v>7672</v>
      </c>
      <c r="D1348" s="1674">
        <v>2.9340277777777778E-2</v>
      </c>
      <c r="E1348" s="80" t="s">
        <v>15993</v>
      </c>
      <c r="F1348" s="80" t="s">
        <v>16049</v>
      </c>
      <c r="G1348" s="314">
        <v>0.38969999999999999</v>
      </c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</row>
    <row r="1349" spans="1:24" s="80" customFormat="1" ht="12.75" customHeight="1" x14ac:dyDescent="0.2">
      <c r="A1349" s="523">
        <v>43757</v>
      </c>
      <c r="B1349" s="1489" t="s">
        <v>5540</v>
      </c>
      <c r="C1349" s="1489" t="s">
        <v>7672</v>
      </c>
      <c r="D1349" s="1686">
        <v>2.9259259259259259E-2</v>
      </c>
      <c r="E1349" s="1489" t="s">
        <v>15853</v>
      </c>
      <c r="F1349" s="1489" t="s">
        <v>15863</v>
      </c>
      <c r="G1349" s="1815">
        <v>0.38729999999999998</v>
      </c>
      <c r="H1349" s="1489"/>
      <c r="I1349" s="1489"/>
      <c r="J1349" s="1489"/>
      <c r="K1349" s="1489"/>
    </row>
    <row r="1350" spans="1:24" s="80" customFormat="1" ht="12.75" customHeight="1" x14ac:dyDescent="0.2">
      <c r="A1350" s="1729">
        <v>43736</v>
      </c>
      <c r="B1350" s="1489" t="s">
        <v>5540</v>
      </c>
      <c r="C1350" s="1489" t="s">
        <v>7672</v>
      </c>
      <c r="D1350" s="1686">
        <v>2.9895833333333333E-2</v>
      </c>
      <c r="E1350" s="1489" t="s">
        <v>15648</v>
      </c>
      <c r="F1350" s="1489" t="s">
        <v>15684</v>
      </c>
      <c r="G1350" s="1815">
        <v>0.379</v>
      </c>
      <c r="H1350" s="1514"/>
      <c r="I1350" s="1514"/>
    </row>
    <row r="1351" spans="1:24" s="80" customFormat="1" ht="12.75" customHeight="1" x14ac:dyDescent="0.2">
      <c r="A1351" s="523">
        <v>43722</v>
      </c>
      <c r="B1351" s="1489" t="s">
        <v>5540</v>
      </c>
      <c r="C1351" s="1489" t="s">
        <v>7672</v>
      </c>
      <c r="D1351" s="1686">
        <v>3.0219907407407407E-2</v>
      </c>
      <c r="E1351" s="1489" t="s">
        <v>15458</v>
      </c>
      <c r="F1351" s="1489" t="s">
        <v>15503</v>
      </c>
      <c r="G1351" s="1815">
        <v>0.375</v>
      </c>
      <c r="H1351" s="1514"/>
      <c r="I1351" s="1514"/>
    </row>
    <row r="1352" spans="1:24" s="80" customFormat="1" ht="12.75" customHeight="1" x14ac:dyDescent="0.2">
      <c r="A1352" s="523">
        <v>43715</v>
      </c>
      <c r="B1352" s="1489" t="s">
        <v>5540</v>
      </c>
      <c r="C1352" s="1489" t="s">
        <v>7672</v>
      </c>
      <c r="D1352" s="1732">
        <v>3.2025462962962964E-2</v>
      </c>
      <c r="E1352" s="1514" t="s">
        <v>15416</v>
      </c>
      <c r="F1352" s="1489" t="s">
        <v>2057</v>
      </c>
      <c r="G1352" s="1822">
        <v>0.3538</v>
      </c>
      <c r="H1352" s="1514"/>
      <c r="I1352" s="1514"/>
    </row>
    <row r="1353" spans="1:24" s="80" customFormat="1" ht="12.75" customHeight="1" x14ac:dyDescent="0.2">
      <c r="A1353" s="1729">
        <v>43827</v>
      </c>
      <c r="B1353" s="1489" t="s">
        <v>3535</v>
      </c>
      <c r="C1353" s="1489" t="s">
        <v>3536</v>
      </c>
      <c r="D1353" s="1621">
        <v>1.2291666666666666E-2</v>
      </c>
      <c r="E1353" s="1489" t="s">
        <v>16419</v>
      </c>
      <c r="F1353" s="1404" t="s">
        <v>16416</v>
      </c>
      <c r="G1353" s="1817">
        <v>0.82020000000000004</v>
      </c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</row>
    <row r="1354" spans="1:24" s="80" customFormat="1" ht="12.75" customHeight="1" x14ac:dyDescent="0.2">
      <c r="A1354" s="34">
        <v>43824</v>
      </c>
      <c r="B1354" s="1489" t="s">
        <v>3535</v>
      </c>
      <c r="C1354" s="1489" t="s">
        <v>3536</v>
      </c>
      <c r="D1354" s="1621">
        <v>1.224537037037037E-2</v>
      </c>
      <c r="E1354" s="1489" t="s">
        <v>16370</v>
      </c>
      <c r="F1354" s="1489" t="s">
        <v>16387</v>
      </c>
      <c r="G1354" s="1817">
        <v>0.82330000000000003</v>
      </c>
      <c r="H1354" s="1404" t="s">
        <v>16358</v>
      </c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</row>
    <row r="1355" spans="1:24" s="80" customFormat="1" ht="12.75" customHeight="1" x14ac:dyDescent="0.2">
      <c r="A1355" s="1384">
        <v>43568</v>
      </c>
      <c r="B1355" s="1489" t="s">
        <v>3535</v>
      </c>
      <c r="C1355" s="1489" t="s">
        <v>3536</v>
      </c>
      <c r="D1355" s="1733">
        <v>1.2372685185185186E-2</v>
      </c>
      <c r="E1355" s="1489" t="s">
        <v>12361</v>
      </c>
      <c r="F1355" s="1489" t="s">
        <v>12430</v>
      </c>
      <c r="G1355" s="1815">
        <v>0.80820000000000003</v>
      </c>
      <c r="H1355" s="1489"/>
      <c r="I1355" s="1489"/>
      <c r="J1355" s="1370"/>
      <c r="K1355" s="1370"/>
      <c r="L1355" s="1370"/>
      <c r="M1355" s="1370"/>
      <c r="N1355" s="1370"/>
      <c r="O1355" s="1370"/>
      <c r="P1355" s="1370"/>
      <c r="Q1355" s="1370"/>
      <c r="R1355" s="1370"/>
      <c r="S1355" s="1370"/>
      <c r="T1355" s="1370"/>
      <c r="U1355" s="1370"/>
      <c r="V1355" s="1370"/>
      <c r="W1355" s="1370"/>
      <c r="X1355" s="1370"/>
    </row>
    <row r="1356" spans="1:24" s="80" customFormat="1" ht="12.75" customHeight="1" x14ac:dyDescent="0.2">
      <c r="A1356" s="523">
        <v>43750</v>
      </c>
      <c r="B1356" s="1489" t="s">
        <v>3230</v>
      </c>
      <c r="C1356" s="1489" t="s">
        <v>49</v>
      </c>
      <c r="D1356" s="1733">
        <v>1.6157407407407409E-2</v>
      </c>
      <c r="E1356" s="1489" t="s">
        <v>15786</v>
      </c>
      <c r="F1356" s="1578" t="s">
        <v>15803</v>
      </c>
      <c r="G1356" s="1815">
        <v>0.70129999999999992</v>
      </c>
      <c r="I1356" s="1514"/>
    </row>
    <row r="1357" spans="1:24" s="80" customFormat="1" ht="12.75" customHeight="1" x14ac:dyDescent="0.2">
      <c r="A1357" s="1729">
        <v>43827</v>
      </c>
      <c r="B1357" s="1384" t="s">
        <v>866</v>
      </c>
      <c r="C1357" s="1384" t="s">
        <v>4635</v>
      </c>
      <c r="D1357" s="1621">
        <v>2.5775462962962962E-2</v>
      </c>
      <c r="E1357" s="1489" t="s">
        <v>16424</v>
      </c>
      <c r="F1357" s="1489" t="s">
        <v>16451</v>
      </c>
      <c r="G1357" s="1817">
        <v>0.42480000000000001</v>
      </c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</row>
    <row r="1358" spans="1:24" s="80" customFormat="1" ht="12.75" customHeight="1" x14ac:dyDescent="0.2">
      <c r="A1358" s="34">
        <v>43824</v>
      </c>
      <c r="B1358" s="1384" t="s">
        <v>866</v>
      </c>
      <c r="C1358" s="1384" t="s">
        <v>4635</v>
      </c>
      <c r="D1358" s="1621">
        <v>2.5613425925925925E-2</v>
      </c>
      <c r="E1358" s="1489" t="s">
        <v>16374</v>
      </c>
      <c r="F1358" s="1489" t="s">
        <v>16401</v>
      </c>
      <c r="G1358" s="1817">
        <v>0.42749999999999999</v>
      </c>
      <c r="H1358" s="1404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</row>
    <row r="1359" spans="1:24" s="80" customFormat="1" ht="12.75" customHeight="1" x14ac:dyDescent="0.2">
      <c r="A1359" s="1751">
        <v>43792</v>
      </c>
      <c r="B1359" s="1384" t="s">
        <v>866</v>
      </c>
      <c r="C1359" s="1384" t="s">
        <v>4635</v>
      </c>
      <c r="D1359" s="1786">
        <v>2.4733796296296295E-2</v>
      </c>
      <c r="E1359" s="1489" t="s">
        <v>16089</v>
      </c>
      <c r="F1359" s="1404"/>
      <c r="G1359" s="1817">
        <v>0.44269999999999998</v>
      </c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</row>
    <row r="1360" spans="1:24" s="80" customFormat="1" ht="12.75" customHeight="1" x14ac:dyDescent="0.2">
      <c r="A1360" s="1673">
        <v>43785</v>
      </c>
      <c r="B1360" s="1384" t="s">
        <v>866</v>
      </c>
      <c r="C1360" s="1384" t="s">
        <v>4635</v>
      </c>
      <c r="D1360" s="1674">
        <v>2.4548611111111111E-2</v>
      </c>
      <c r="E1360" s="80" t="s">
        <v>15994</v>
      </c>
      <c r="G1360" s="314">
        <v>0.44600000000000001</v>
      </c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</row>
    <row r="1361" spans="1:24" s="80" customFormat="1" ht="12.75" customHeight="1" x14ac:dyDescent="0.2">
      <c r="A1361" s="1384">
        <v>43778</v>
      </c>
      <c r="B1361" s="1384" t="s">
        <v>866</v>
      </c>
      <c r="C1361" s="1384" t="s">
        <v>4635</v>
      </c>
      <c r="D1361" s="1725">
        <v>2.4745370370370372E-2</v>
      </c>
      <c r="E1361" s="1723" t="s">
        <v>15957</v>
      </c>
      <c r="F1361" s="1723" t="s">
        <v>15984</v>
      </c>
      <c r="G1361" s="1820">
        <v>0.4425</v>
      </c>
      <c r="H1361" s="1370"/>
      <c r="I1361" s="1370"/>
      <c r="J1361" s="1370"/>
      <c r="K1361" s="1370"/>
      <c r="L1361" s="1370"/>
      <c r="M1361" s="1370"/>
      <c r="N1361" s="1370"/>
      <c r="O1361" s="1370"/>
      <c r="P1361" s="1370"/>
      <c r="Q1361" s="1370"/>
      <c r="R1361" s="1370"/>
      <c r="S1361" s="1370"/>
      <c r="T1361" s="1370"/>
      <c r="U1361" s="1370"/>
      <c r="V1361" s="1370"/>
      <c r="W1361" s="1370"/>
      <c r="X1361" s="1370"/>
    </row>
    <row r="1362" spans="1:24" s="80" customFormat="1" ht="12.75" customHeight="1" x14ac:dyDescent="0.2">
      <c r="A1362" s="1384">
        <v>43764</v>
      </c>
      <c r="B1362" s="1384" t="s">
        <v>866</v>
      </c>
      <c r="C1362" s="1384" t="s">
        <v>4635</v>
      </c>
      <c r="D1362" s="1727">
        <v>2.8217592592592589E-2</v>
      </c>
      <c r="E1362" s="1728" t="s">
        <v>5517</v>
      </c>
      <c r="F1362" s="1728"/>
      <c r="G1362" s="1821">
        <v>0.38800000000000001</v>
      </c>
      <c r="H1362" s="1370"/>
      <c r="I1362" s="1370"/>
      <c r="J1362" s="1370"/>
      <c r="K1362" s="1370"/>
      <c r="L1362" s="1370"/>
      <c r="M1362" s="1370"/>
      <c r="N1362" s="1370"/>
      <c r="O1362" s="1370"/>
      <c r="P1362" s="1370"/>
      <c r="Q1362" s="1370"/>
      <c r="R1362" s="1370"/>
      <c r="S1362" s="1370"/>
      <c r="T1362" s="1370"/>
      <c r="U1362" s="1370"/>
      <c r="V1362" s="1370"/>
      <c r="W1362" s="1370"/>
      <c r="X1362" s="1370"/>
    </row>
    <row r="1363" spans="1:24" s="80" customFormat="1" ht="12.75" customHeight="1" x14ac:dyDescent="0.2">
      <c r="A1363" s="523">
        <v>43757</v>
      </c>
      <c r="B1363" s="1384" t="s">
        <v>866</v>
      </c>
      <c r="C1363" s="1384" t="s">
        <v>4635</v>
      </c>
      <c r="D1363" s="1686">
        <v>2.9560185185185186E-2</v>
      </c>
      <c r="E1363" s="1489" t="s">
        <v>15850</v>
      </c>
      <c r="F1363" s="1489"/>
      <c r="G1363" s="1815">
        <v>0.37040000000000001</v>
      </c>
      <c r="H1363" s="1489"/>
      <c r="I1363" s="1489"/>
      <c r="J1363" s="1489"/>
      <c r="K1363" s="1489"/>
    </row>
    <row r="1364" spans="1:24" s="80" customFormat="1" ht="12.75" customHeight="1" x14ac:dyDescent="0.2">
      <c r="A1364" s="1729">
        <v>43743</v>
      </c>
      <c r="B1364" s="1384" t="s">
        <v>866</v>
      </c>
      <c r="C1364" s="1384" t="s">
        <v>4635</v>
      </c>
      <c r="D1364" s="1737">
        <v>2.1539351851851851E-2</v>
      </c>
      <c r="E1364" s="1514" t="s">
        <v>15709</v>
      </c>
      <c r="F1364" s="1514" t="s">
        <v>15762</v>
      </c>
      <c r="G1364" s="1822">
        <v>0.50829999999999997</v>
      </c>
      <c r="I1364" s="1514"/>
      <c r="L1364" s="1370"/>
      <c r="M1364" s="1370"/>
      <c r="N1364" s="1370"/>
      <c r="O1364" s="1370"/>
      <c r="P1364" s="1370"/>
      <c r="Q1364" s="1370"/>
      <c r="R1364" s="1370"/>
      <c r="S1364" s="1370"/>
      <c r="T1364" s="1370"/>
      <c r="U1364" s="1370"/>
      <c r="V1364" s="1370"/>
      <c r="W1364" s="1370"/>
      <c r="X1364" s="1370"/>
    </row>
    <row r="1365" spans="1:24" s="80" customFormat="1" ht="12.75" customHeight="1" x14ac:dyDescent="0.2">
      <c r="A1365" s="1729">
        <v>43736</v>
      </c>
      <c r="B1365" s="1384" t="s">
        <v>866</v>
      </c>
      <c r="C1365" s="1384" t="s">
        <v>4635</v>
      </c>
      <c r="D1365" s="1686">
        <v>2.1585648148148149E-2</v>
      </c>
      <c r="E1365" s="1489" t="s">
        <v>15638</v>
      </c>
      <c r="F1365" s="1489" t="s">
        <v>15678</v>
      </c>
      <c r="G1365" s="1815">
        <v>0.50719999999999998</v>
      </c>
      <c r="H1365" s="1514"/>
      <c r="I1365" s="1514" t="s">
        <v>15763</v>
      </c>
    </row>
    <row r="1366" spans="1:24" s="80" customFormat="1" ht="12.75" customHeight="1" x14ac:dyDescent="0.2">
      <c r="A1366" s="1526">
        <v>43701</v>
      </c>
      <c r="B1366" s="1384" t="s">
        <v>866</v>
      </c>
      <c r="C1366" s="1384" t="s">
        <v>4635</v>
      </c>
      <c r="D1366" s="1686">
        <v>2.2465277777777778E-2</v>
      </c>
      <c r="E1366" s="1489" t="s">
        <v>15280</v>
      </c>
      <c r="F1366" s="1489" t="s">
        <v>15328</v>
      </c>
      <c r="G1366" s="1815">
        <v>0.4874</v>
      </c>
      <c r="H1366" s="1514"/>
      <c r="I1366" s="1514"/>
      <c r="L1366" s="1370"/>
      <c r="M1366" s="1370"/>
      <c r="N1366" s="1370"/>
      <c r="O1366" s="1370"/>
      <c r="P1366" s="1370"/>
      <c r="Q1366" s="1370"/>
      <c r="R1366" s="1370"/>
      <c r="S1366" s="1370"/>
      <c r="T1366" s="1370"/>
      <c r="U1366" s="1370"/>
      <c r="V1366" s="1370"/>
      <c r="W1366" s="1370"/>
      <c r="X1366" s="1370"/>
    </row>
    <row r="1367" spans="1:24" s="80" customFormat="1" ht="12.75" customHeight="1" x14ac:dyDescent="0.2">
      <c r="A1367" s="523">
        <v>43659</v>
      </c>
      <c r="B1367" s="1384" t="s">
        <v>866</v>
      </c>
      <c r="C1367" s="1384" t="s">
        <v>4635</v>
      </c>
      <c r="D1367" s="1686">
        <v>2.2650462962962963E-2</v>
      </c>
      <c r="E1367" s="1489" t="s">
        <v>13152</v>
      </c>
      <c r="F1367" s="1489"/>
      <c r="G1367" s="1815">
        <v>0.4834</v>
      </c>
      <c r="H1367" s="1514"/>
      <c r="I1367" s="1489"/>
      <c r="L1367" s="1370"/>
      <c r="M1367" s="1370"/>
      <c r="N1367" s="1370"/>
      <c r="O1367" s="1370"/>
      <c r="P1367" s="1370"/>
      <c r="Q1367" s="1370"/>
      <c r="R1367" s="1370"/>
      <c r="S1367" s="1370"/>
      <c r="T1367" s="1370"/>
      <c r="U1367" s="1370"/>
      <c r="V1367" s="1370"/>
      <c r="W1367" s="1370"/>
      <c r="X1367" s="1370"/>
    </row>
    <row r="1368" spans="1:24" s="80" customFormat="1" ht="12.75" customHeight="1" x14ac:dyDescent="0.2">
      <c r="A1368" s="523">
        <v>43631</v>
      </c>
      <c r="B1368" s="1384" t="s">
        <v>866</v>
      </c>
      <c r="C1368" s="1384" t="s">
        <v>4635</v>
      </c>
      <c r="D1368" s="1835">
        <v>2.3182870370370371E-2</v>
      </c>
      <c r="E1368" s="1569" t="s">
        <v>12922</v>
      </c>
      <c r="F1368" s="1514"/>
      <c r="G1368" s="1818">
        <v>0.4723</v>
      </c>
      <c r="H1368" s="1514"/>
      <c r="I1368" s="1514"/>
      <c r="L1368" s="1370"/>
      <c r="M1368" s="1370"/>
      <c r="N1368" s="1370"/>
      <c r="O1368" s="1370"/>
      <c r="P1368" s="1370"/>
      <c r="Q1368" s="1370"/>
      <c r="R1368" s="1370"/>
      <c r="S1368" s="1370"/>
      <c r="T1368" s="1370"/>
      <c r="U1368" s="1370"/>
      <c r="V1368" s="1370"/>
      <c r="W1368" s="1370"/>
      <c r="X1368" s="1370"/>
    </row>
    <row r="1369" spans="1:24" s="80" customFormat="1" ht="12.75" customHeight="1" x14ac:dyDescent="0.2">
      <c r="A1369" s="1384">
        <v>43568</v>
      </c>
      <c r="B1369" s="1384" t="s">
        <v>866</v>
      </c>
      <c r="C1369" s="1384" t="s">
        <v>4635</v>
      </c>
      <c r="D1369" s="1733">
        <v>2.4502314814814814E-2</v>
      </c>
      <c r="E1369" s="1489" t="s">
        <v>12419</v>
      </c>
      <c r="F1369" s="1489" t="s">
        <v>12408</v>
      </c>
      <c r="G1369" s="1815">
        <v>0.44690000000000002</v>
      </c>
      <c r="H1369" s="1489"/>
      <c r="I1369" s="1489"/>
      <c r="J1369" s="1370"/>
      <c r="K1369" s="1370"/>
    </row>
    <row r="1370" spans="1:24" s="80" customFormat="1" ht="12.75" customHeight="1" x14ac:dyDescent="0.2">
      <c r="A1370" s="1384">
        <v>43505</v>
      </c>
      <c r="B1370" s="1384" t="s">
        <v>866</v>
      </c>
      <c r="C1370" s="1384" t="s">
        <v>4635</v>
      </c>
      <c r="D1370" s="1733">
        <v>2.3923611111111114E-2</v>
      </c>
      <c r="E1370" s="1489" t="s">
        <v>5883</v>
      </c>
      <c r="F1370" s="1489" t="s">
        <v>11782</v>
      </c>
      <c r="G1370" s="1815">
        <v>0.4577</v>
      </c>
      <c r="H1370" s="1489"/>
      <c r="I1370" s="1489"/>
      <c r="J1370" s="1370"/>
      <c r="K1370" s="1370"/>
    </row>
    <row r="1371" spans="1:24" s="80" customFormat="1" ht="12.75" customHeight="1" x14ac:dyDescent="0.2">
      <c r="A1371" s="1384">
        <v>43466</v>
      </c>
      <c r="B1371" s="1384" t="s">
        <v>866</v>
      </c>
      <c r="C1371" s="1384" t="s">
        <v>4635</v>
      </c>
      <c r="D1371" s="1733">
        <v>2.1331018518518517E-2</v>
      </c>
      <c r="E1371" s="1489" t="s">
        <v>11491</v>
      </c>
      <c r="F1371" s="1489" t="s">
        <v>11524</v>
      </c>
      <c r="G1371" s="1815">
        <v>0.50900000000000001</v>
      </c>
      <c r="H1371" s="1489"/>
      <c r="I1371" s="1489"/>
      <c r="J1371" s="1370"/>
      <c r="K1371" s="1370"/>
      <c r="L1371" s="1370"/>
      <c r="M1371" s="1370"/>
      <c r="N1371" s="1370"/>
      <c r="O1371" s="1370"/>
      <c r="P1371" s="1370"/>
      <c r="Q1371" s="1370"/>
      <c r="R1371" s="1370"/>
      <c r="S1371" s="1370"/>
      <c r="T1371" s="1370"/>
      <c r="U1371" s="1370"/>
      <c r="V1371" s="1370"/>
      <c r="W1371" s="1370"/>
      <c r="X1371" s="1370"/>
    </row>
    <row r="1372" spans="1:24" s="80" customFormat="1" ht="12.75" customHeight="1" x14ac:dyDescent="0.2">
      <c r="A1372" s="1384">
        <v>43466</v>
      </c>
      <c r="B1372" s="1384" t="s">
        <v>866</v>
      </c>
      <c r="C1372" s="1384" t="s">
        <v>4635</v>
      </c>
      <c r="D1372" s="1733">
        <v>2.3252314814814812E-2</v>
      </c>
      <c r="E1372" s="1489" t="s">
        <v>11496</v>
      </c>
      <c r="F1372" s="1489" t="s">
        <v>11517</v>
      </c>
      <c r="G1372" s="1815">
        <v>0.46689999999999998</v>
      </c>
      <c r="H1372" s="1489"/>
      <c r="I1372" s="1489"/>
      <c r="J1372" s="1370"/>
      <c r="K1372" s="1370"/>
      <c r="L1372" s="1370"/>
      <c r="M1372" s="1370"/>
      <c r="N1372" s="1370"/>
      <c r="O1372" s="1370"/>
      <c r="P1372" s="1370"/>
      <c r="Q1372" s="1370"/>
      <c r="R1372" s="1370"/>
      <c r="S1372" s="1370"/>
      <c r="T1372" s="1370"/>
      <c r="U1372" s="1370"/>
      <c r="V1372" s="1370"/>
      <c r="W1372" s="1370"/>
      <c r="X1372" s="1370"/>
    </row>
    <row r="1373" spans="1:24" s="80" customFormat="1" ht="12.75" customHeight="1" x14ac:dyDescent="0.2">
      <c r="A1373" s="1384">
        <v>43764</v>
      </c>
      <c r="B1373" s="1384" t="s">
        <v>429</v>
      </c>
      <c r="C1373" s="1384" t="s">
        <v>430</v>
      </c>
      <c r="D1373" s="1727">
        <v>1.8229166666666668E-2</v>
      </c>
      <c r="E1373" s="1728" t="s">
        <v>15914</v>
      </c>
      <c r="F1373" s="1728"/>
      <c r="G1373" s="1821">
        <v>0.64510000000000001</v>
      </c>
      <c r="H1373" s="1370"/>
      <c r="I1373" s="1370"/>
      <c r="J1373" s="1370"/>
      <c r="K1373" s="1370"/>
      <c r="L1373" s="1370"/>
      <c r="M1373" s="1370"/>
      <c r="N1373" s="1370"/>
      <c r="O1373" s="1370"/>
      <c r="P1373" s="1370"/>
      <c r="Q1373" s="1370"/>
      <c r="R1373" s="1370"/>
      <c r="S1373" s="1370"/>
      <c r="T1373" s="1370"/>
      <c r="U1373" s="1370"/>
      <c r="V1373" s="1370"/>
      <c r="W1373" s="1370"/>
      <c r="X1373" s="1370"/>
    </row>
    <row r="1374" spans="1:24" s="80" customFormat="1" ht="12.75" customHeight="1" x14ac:dyDescent="0.2">
      <c r="A1374" s="1729">
        <v>43743</v>
      </c>
      <c r="B1374" s="1384" t="s">
        <v>429</v>
      </c>
      <c r="C1374" s="1384" t="s">
        <v>430</v>
      </c>
      <c r="D1374" s="1737">
        <v>1.7592592592592594E-2</v>
      </c>
      <c r="E1374" s="1514" t="s">
        <v>15710</v>
      </c>
      <c r="F1374" s="1514" t="s">
        <v>15765</v>
      </c>
      <c r="G1374" s="1822">
        <v>0.66180000000000005</v>
      </c>
      <c r="I1374" s="1514"/>
    </row>
    <row r="1375" spans="1:24" s="80" customFormat="1" ht="12.75" customHeight="1" x14ac:dyDescent="0.2">
      <c r="A1375" s="1729">
        <v>43736</v>
      </c>
      <c r="B1375" s="1384" t="s">
        <v>429</v>
      </c>
      <c r="C1375" s="1384" t="s">
        <v>430</v>
      </c>
      <c r="D1375" s="1686">
        <v>1.7650462962962965E-2</v>
      </c>
      <c r="E1375" s="1489" t="s">
        <v>15639</v>
      </c>
      <c r="F1375" s="1489"/>
      <c r="G1375" s="1815">
        <v>0.65969999999999995</v>
      </c>
      <c r="I1375" s="1514"/>
    </row>
    <row r="1376" spans="1:24" s="80" customFormat="1" ht="12.75" customHeight="1" x14ac:dyDescent="0.2">
      <c r="A1376" s="523">
        <v>43722</v>
      </c>
      <c r="B1376" s="1384" t="s">
        <v>429</v>
      </c>
      <c r="C1376" s="1384" t="s">
        <v>430</v>
      </c>
      <c r="D1376" s="1686">
        <v>1.7060185185185185E-2</v>
      </c>
      <c r="E1376" s="1489" t="s">
        <v>15462</v>
      </c>
      <c r="F1376" s="1489" t="s">
        <v>15519</v>
      </c>
      <c r="G1376" s="1815">
        <v>0.6825</v>
      </c>
      <c r="H1376" s="1514"/>
      <c r="I1376" s="1514"/>
    </row>
    <row r="1377" spans="1:24" s="80" customFormat="1" ht="12.75" customHeight="1" x14ac:dyDescent="0.2">
      <c r="A1377" s="1526">
        <v>43708</v>
      </c>
      <c r="B1377" s="1384" t="s">
        <v>429</v>
      </c>
      <c r="C1377" s="1384" t="s">
        <v>430</v>
      </c>
      <c r="D1377" s="1686">
        <v>1.7175925925925928E-2</v>
      </c>
      <c r="E1377" s="1489" t="s">
        <v>15357</v>
      </c>
      <c r="F1377" s="1489" t="s">
        <v>15395</v>
      </c>
      <c r="G1377" s="1815">
        <v>0.67789999999999995</v>
      </c>
      <c r="H1377" s="1489"/>
      <c r="I1377" s="1489"/>
      <c r="J1377" s="1489"/>
    </row>
    <row r="1378" spans="1:24" s="80" customFormat="1" ht="12.75" customHeight="1" x14ac:dyDescent="0.2">
      <c r="A1378" s="1526">
        <v>43701</v>
      </c>
      <c r="B1378" s="1384" t="s">
        <v>429</v>
      </c>
      <c r="C1378" s="1384" t="s">
        <v>430</v>
      </c>
      <c r="D1378" s="1686">
        <v>1.7280092592592593E-2</v>
      </c>
      <c r="E1378" s="1489" t="s">
        <v>15281</v>
      </c>
      <c r="F1378" s="1489"/>
      <c r="G1378" s="1815">
        <v>0.67379999999999995</v>
      </c>
      <c r="H1378" s="1514"/>
      <c r="I1378" s="1514"/>
      <c r="L1378" s="1370"/>
      <c r="M1378" s="1370"/>
      <c r="N1378" s="1370"/>
      <c r="O1378" s="1370"/>
      <c r="P1378" s="1370"/>
      <c r="Q1378" s="1370"/>
      <c r="R1378" s="1370"/>
      <c r="S1378" s="1370"/>
      <c r="T1378" s="1370"/>
      <c r="U1378" s="1370"/>
      <c r="V1378" s="1370"/>
      <c r="W1378" s="1370"/>
      <c r="X1378" s="1370"/>
    </row>
    <row r="1379" spans="1:24" s="80" customFormat="1" ht="12.75" customHeight="1" x14ac:dyDescent="0.2">
      <c r="A1379" s="523">
        <v>43687</v>
      </c>
      <c r="B1379" s="1384" t="s">
        <v>429</v>
      </c>
      <c r="C1379" s="1384" t="s">
        <v>430</v>
      </c>
      <c r="D1379" s="1686">
        <v>1.7175925925925928E-2</v>
      </c>
      <c r="E1379" s="1489" t="s">
        <v>13435</v>
      </c>
      <c r="F1379" s="1489"/>
      <c r="G1379" s="1815">
        <v>0.67789999999999995</v>
      </c>
      <c r="H1379" s="1514"/>
      <c r="I1379" s="1514"/>
      <c r="L1379" s="1370"/>
      <c r="M1379" s="1370"/>
      <c r="N1379" s="1370"/>
      <c r="O1379" s="1370"/>
      <c r="P1379" s="1370"/>
      <c r="Q1379" s="1370"/>
      <c r="R1379" s="1370"/>
      <c r="S1379" s="1370"/>
      <c r="T1379" s="1370"/>
      <c r="U1379" s="1370"/>
      <c r="V1379" s="1370"/>
      <c r="W1379" s="1370"/>
      <c r="X1379" s="1370"/>
    </row>
    <row r="1380" spans="1:24" s="80" customFormat="1" ht="12.75" customHeight="1" x14ac:dyDescent="0.2">
      <c r="A1380" s="523">
        <v>43659</v>
      </c>
      <c r="B1380" s="1384" t="s">
        <v>429</v>
      </c>
      <c r="C1380" s="1384" t="s">
        <v>430</v>
      </c>
      <c r="D1380" s="1686">
        <v>1.7326388888888888E-2</v>
      </c>
      <c r="E1380" s="1489" t="s">
        <v>13131</v>
      </c>
      <c r="F1380" s="1489"/>
      <c r="G1380" s="1815">
        <v>0.67200000000000004</v>
      </c>
      <c r="H1380" s="1514"/>
      <c r="I1380" s="1489"/>
      <c r="L1380" s="1370"/>
      <c r="M1380" s="1370"/>
      <c r="N1380" s="1370"/>
      <c r="O1380" s="1370"/>
      <c r="P1380" s="1370"/>
      <c r="Q1380" s="1370"/>
      <c r="R1380" s="1370"/>
      <c r="S1380" s="1370"/>
      <c r="T1380" s="1370"/>
      <c r="U1380" s="1370"/>
      <c r="V1380" s="1370"/>
      <c r="W1380" s="1370"/>
      <c r="X1380" s="1370"/>
    </row>
    <row r="1381" spans="1:24" s="80" customFormat="1" ht="12.75" customHeight="1" x14ac:dyDescent="0.2">
      <c r="A1381" s="523">
        <v>43652</v>
      </c>
      <c r="B1381" s="1384" t="s">
        <v>429</v>
      </c>
      <c r="C1381" s="1384" t="s">
        <v>430</v>
      </c>
      <c r="D1381" s="1686">
        <v>1.7476851851851851E-2</v>
      </c>
      <c r="E1381" s="1489" t="s">
        <v>13072</v>
      </c>
      <c r="F1381" s="1489"/>
      <c r="G1381" s="1815">
        <v>0.66620000000000001</v>
      </c>
      <c r="H1381" s="1489"/>
      <c r="I1381" s="1514"/>
      <c r="L1381" s="1370"/>
      <c r="M1381" s="1370"/>
      <c r="N1381" s="1370"/>
      <c r="O1381" s="1370"/>
      <c r="P1381" s="1370"/>
      <c r="Q1381" s="1370"/>
      <c r="R1381" s="1370"/>
      <c r="S1381" s="1370"/>
      <c r="T1381" s="1370"/>
      <c r="U1381" s="1370"/>
      <c r="V1381" s="1370"/>
      <c r="W1381" s="1370"/>
      <c r="X1381" s="1370"/>
    </row>
    <row r="1382" spans="1:24" s="80" customFormat="1" ht="12.75" customHeight="1" x14ac:dyDescent="0.2">
      <c r="A1382" s="523">
        <v>43645</v>
      </c>
      <c r="B1382" s="1384" t="s">
        <v>429</v>
      </c>
      <c r="C1382" s="1384" t="s">
        <v>430</v>
      </c>
      <c r="D1382" s="1686">
        <v>1.7673611111111109E-2</v>
      </c>
      <c r="E1382" s="1514" t="s">
        <v>13018</v>
      </c>
      <c r="F1382" s="1489" t="s">
        <v>13050</v>
      </c>
      <c r="G1382" s="1815">
        <v>0.65880000000000005</v>
      </c>
      <c r="H1382" s="1514"/>
      <c r="I1382" s="1514"/>
      <c r="L1382" s="1370"/>
      <c r="M1382" s="1370"/>
      <c r="N1382" s="1370"/>
      <c r="O1382" s="1370"/>
      <c r="P1382" s="1370"/>
      <c r="Q1382" s="1370"/>
      <c r="R1382" s="1370"/>
      <c r="S1382" s="1370"/>
      <c r="T1382" s="1370"/>
      <c r="U1382" s="1370"/>
      <c r="V1382" s="1370"/>
      <c r="W1382" s="1370"/>
      <c r="X1382" s="1370"/>
    </row>
    <row r="1383" spans="1:24" s="80" customFormat="1" ht="12.75" customHeight="1" x14ac:dyDescent="0.2">
      <c r="A1383" s="1384">
        <v>43610</v>
      </c>
      <c r="B1383" s="1384" t="s">
        <v>429</v>
      </c>
      <c r="C1383" s="1384" t="s">
        <v>430</v>
      </c>
      <c r="D1383" s="1733">
        <v>1.7384259259259262E-2</v>
      </c>
      <c r="E1383" s="1489" t="s">
        <v>12726</v>
      </c>
      <c r="F1383" s="1489"/>
      <c r="G1383" s="1815">
        <v>0.66979999999999995</v>
      </c>
      <c r="H1383" s="1489"/>
      <c r="I1383" s="1489"/>
      <c r="J1383" s="1370"/>
      <c r="K1383" s="1370"/>
      <c r="L1383" s="1370"/>
      <c r="M1383" s="1370"/>
      <c r="N1383" s="1370"/>
      <c r="O1383" s="1370"/>
      <c r="P1383" s="1370"/>
      <c r="Q1383" s="1370"/>
      <c r="R1383" s="1370"/>
      <c r="S1383" s="1370"/>
      <c r="T1383" s="1370"/>
      <c r="U1383" s="1370"/>
      <c r="V1383" s="1370"/>
      <c r="W1383" s="1370"/>
      <c r="X1383" s="1370"/>
    </row>
    <row r="1384" spans="1:24" s="80" customFormat="1" ht="12.75" customHeight="1" x14ac:dyDescent="0.2">
      <c r="A1384" s="1384">
        <v>43603</v>
      </c>
      <c r="B1384" s="1384" t="s">
        <v>429</v>
      </c>
      <c r="C1384" s="1384" t="s">
        <v>430</v>
      </c>
      <c r="D1384" s="1733">
        <v>1.7372685185185185E-2</v>
      </c>
      <c r="E1384" s="1489" t="s">
        <v>12674</v>
      </c>
      <c r="F1384" s="1489"/>
      <c r="G1384" s="1815">
        <v>0.25009999999999999</v>
      </c>
      <c r="H1384" s="1489"/>
      <c r="I1384" s="1489"/>
      <c r="J1384" s="1370"/>
      <c r="K1384" s="1370"/>
      <c r="L1384" s="1370"/>
      <c r="M1384" s="1370"/>
      <c r="N1384" s="1370"/>
      <c r="O1384" s="1370"/>
      <c r="P1384" s="1370"/>
      <c r="Q1384" s="1370"/>
      <c r="R1384" s="1370"/>
      <c r="S1384" s="1370"/>
      <c r="T1384" s="1370"/>
      <c r="U1384" s="1370"/>
      <c r="V1384" s="1370"/>
      <c r="W1384" s="1370"/>
      <c r="X1384" s="1370"/>
    </row>
    <row r="1385" spans="1:24" s="80" customFormat="1" ht="12.75" customHeight="1" x14ac:dyDescent="0.2">
      <c r="A1385" s="1384">
        <v>43575</v>
      </c>
      <c r="B1385" s="1384" t="s">
        <v>429</v>
      </c>
      <c r="C1385" s="1384" t="s">
        <v>430</v>
      </c>
      <c r="D1385" s="1733">
        <v>1.7291666666666667E-2</v>
      </c>
      <c r="E1385" s="1489" t="s">
        <v>12464</v>
      </c>
      <c r="F1385" s="1489" t="s">
        <v>12457</v>
      </c>
      <c r="G1385" s="1815">
        <v>0.6734</v>
      </c>
      <c r="H1385" s="1489"/>
      <c r="I1385" s="1489"/>
      <c r="J1385" s="1370"/>
      <c r="K1385" s="1370"/>
      <c r="L1385" s="1370"/>
      <c r="M1385" s="1370"/>
      <c r="N1385" s="1370"/>
      <c r="O1385" s="1370"/>
      <c r="P1385" s="1370"/>
      <c r="Q1385" s="1370"/>
      <c r="R1385" s="1370"/>
      <c r="S1385" s="1370"/>
      <c r="T1385" s="1370"/>
      <c r="U1385" s="1370"/>
      <c r="V1385" s="1370"/>
      <c r="W1385" s="1370"/>
      <c r="X1385" s="1370"/>
    </row>
    <row r="1386" spans="1:24" s="80" customFormat="1" ht="12.75" customHeight="1" x14ac:dyDescent="0.2">
      <c r="A1386" s="1384">
        <v>43568</v>
      </c>
      <c r="B1386" s="1384" t="s">
        <v>429</v>
      </c>
      <c r="C1386" s="1384" t="s">
        <v>430</v>
      </c>
      <c r="D1386" s="1733">
        <v>1.7499999999999998E-2</v>
      </c>
      <c r="E1386" s="1489" t="s">
        <v>12399</v>
      </c>
      <c r="F1386" s="1489" t="s">
        <v>12410</v>
      </c>
      <c r="G1386" s="1815">
        <v>0.6653</v>
      </c>
      <c r="H1386" s="1489"/>
      <c r="I1386" s="1489"/>
      <c r="J1386" s="1370"/>
      <c r="K1386" s="1370"/>
      <c r="L1386" s="1370"/>
      <c r="M1386" s="1370"/>
      <c r="N1386" s="1370"/>
      <c r="O1386" s="1370"/>
      <c r="P1386" s="1370"/>
      <c r="Q1386" s="1370"/>
      <c r="R1386" s="1370"/>
      <c r="S1386" s="1370"/>
      <c r="T1386" s="1370"/>
      <c r="U1386" s="1370"/>
      <c r="V1386" s="1370"/>
      <c r="W1386" s="1370"/>
      <c r="X1386" s="1370"/>
    </row>
    <row r="1387" spans="1:24" s="80" customFormat="1" ht="12.75" customHeight="1" x14ac:dyDescent="0.2">
      <c r="A1387" s="1384">
        <v>43561</v>
      </c>
      <c r="B1387" s="1384" t="s">
        <v>429</v>
      </c>
      <c r="C1387" s="1384" t="s">
        <v>430</v>
      </c>
      <c r="D1387" s="1733">
        <v>1.7476851851851851E-2</v>
      </c>
      <c r="E1387" s="1489" t="s">
        <v>12328</v>
      </c>
      <c r="F1387" s="1489" t="s">
        <v>12319</v>
      </c>
      <c r="G1387" s="1815">
        <v>0.66620000000000001</v>
      </c>
      <c r="H1387" s="1489"/>
      <c r="I1387" s="1489"/>
      <c r="J1387" s="1370"/>
      <c r="K1387" s="1370"/>
      <c r="L1387" s="1370"/>
      <c r="M1387" s="1370"/>
      <c r="N1387" s="1370"/>
      <c r="O1387" s="1370"/>
      <c r="P1387" s="1370"/>
      <c r="Q1387" s="1370"/>
      <c r="R1387" s="1370"/>
      <c r="S1387" s="1370"/>
      <c r="T1387" s="1370"/>
      <c r="U1387" s="1370"/>
      <c r="V1387" s="1370"/>
      <c r="W1387" s="1370"/>
      <c r="X1387" s="1370"/>
    </row>
    <row r="1388" spans="1:24" s="80" customFormat="1" ht="12.75" customHeight="1" x14ac:dyDescent="0.2">
      <c r="A1388" s="1384">
        <v>43540</v>
      </c>
      <c r="B1388" s="1384" t="s">
        <v>429</v>
      </c>
      <c r="C1388" s="1384" t="s">
        <v>430</v>
      </c>
      <c r="D1388" s="1733">
        <v>1.7731481481481483E-2</v>
      </c>
      <c r="E1388" s="1489" t="s">
        <v>12108</v>
      </c>
      <c r="F1388" s="1489" t="s">
        <v>12107</v>
      </c>
      <c r="G1388" s="1815">
        <v>0.65669999999999995</v>
      </c>
      <c r="H1388" s="1489"/>
      <c r="I1388" s="1489"/>
      <c r="J1388" s="1370"/>
      <c r="K1388" s="1370"/>
      <c r="L1388" s="1370"/>
      <c r="M1388" s="1370"/>
      <c r="N1388" s="1370"/>
      <c r="O1388" s="1370"/>
      <c r="P1388" s="1370"/>
      <c r="Q1388" s="1370"/>
      <c r="R1388" s="1370"/>
      <c r="S1388" s="1370"/>
      <c r="T1388" s="1370"/>
      <c r="U1388" s="1370"/>
      <c r="V1388" s="1370"/>
      <c r="W1388" s="1370"/>
      <c r="X1388" s="1370"/>
    </row>
    <row r="1389" spans="1:24" s="80" customFormat="1" ht="12.75" customHeight="1" x14ac:dyDescent="0.2">
      <c r="A1389" s="1384">
        <v>43512</v>
      </c>
      <c r="B1389" s="1384" t="s">
        <v>429</v>
      </c>
      <c r="C1389" s="1384" t="s">
        <v>430</v>
      </c>
      <c r="D1389" s="1733">
        <v>1.7384259259259262E-2</v>
      </c>
      <c r="E1389" s="1489" t="s">
        <v>5544</v>
      </c>
      <c r="F1389" s="1489" t="s">
        <v>11821</v>
      </c>
      <c r="G1389" s="1815">
        <v>0.66979999999999995</v>
      </c>
      <c r="H1389" s="1489"/>
      <c r="I1389" s="1489"/>
      <c r="J1389" s="1370"/>
      <c r="K1389" s="1370"/>
      <c r="L1389" s="1370"/>
      <c r="M1389" s="1370"/>
      <c r="N1389" s="1370"/>
      <c r="O1389" s="1370"/>
      <c r="P1389" s="1370"/>
      <c r="Q1389" s="1370"/>
      <c r="R1389" s="1370"/>
      <c r="S1389" s="1370"/>
      <c r="T1389" s="1370"/>
      <c r="U1389" s="1370"/>
      <c r="V1389" s="1370"/>
      <c r="W1389" s="1370"/>
      <c r="X1389" s="1370"/>
    </row>
    <row r="1390" spans="1:24" s="80" customFormat="1" ht="12.75" customHeight="1" x14ac:dyDescent="0.2">
      <c r="A1390" s="1384">
        <v>43505</v>
      </c>
      <c r="B1390" s="1384" t="s">
        <v>429</v>
      </c>
      <c r="C1390" s="1384" t="s">
        <v>430</v>
      </c>
      <c r="D1390" s="1733">
        <v>1.8206018518518517E-2</v>
      </c>
      <c r="E1390" s="1489" t="s">
        <v>5544</v>
      </c>
      <c r="F1390" s="1489" t="s">
        <v>11761</v>
      </c>
      <c r="G1390" s="1815">
        <v>0.63949999999999996</v>
      </c>
      <c r="H1390" s="1489"/>
      <c r="I1390" s="1489"/>
      <c r="J1390" s="1370"/>
      <c r="K1390" s="1370"/>
      <c r="L1390" s="1370"/>
      <c r="M1390" s="1370"/>
      <c r="N1390" s="1370"/>
      <c r="O1390" s="1370"/>
      <c r="P1390" s="1370"/>
      <c r="Q1390" s="1370"/>
      <c r="R1390" s="1370"/>
      <c r="S1390" s="1370"/>
      <c r="T1390" s="1370"/>
      <c r="U1390" s="1370"/>
      <c r="V1390" s="1370"/>
      <c r="W1390" s="1370"/>
      <c r="X1390" s="1370"/>
    </row>
    <row r="1391" spans="1:24" s="80" customFormat="1" ht="12.75" customHeight="1" x14ac:dyDescent="0.2">
      <c r="A1391" s="1729">
        <v>43736</v>
      </c>
      <c r="B1391" s="1626" t="s">
        <v>4878</v>
      </c>
      <c r="C1391" s="1626" t="s">
        <v>3250</v>
      </c>
      <c r="D1391" s="1686">
        <v>1.9675925925925927E-2</v>
      </c>
      <c r="E1391" s="1489" t="s">
        <v>15650</v>
      </c>
      <c r="F1391" s="1489" t="s">
        <v>15655</v>
      </c>
      <c r="G1391" s="1815">
        <v>0.52759999999999996</v>
      </c>
      <c r="I1391" s="1514"/>
      <c r="L1391" s="1370"/>
      <c r="M1391" s="1370"/>
      <c r="N1391" s="1370"/>
      <c r="O1391" s="1370"/>
      <c r="P1391" s="1370"/>
      <c r="Q1391" s="1370"/>
      <c r="R1391" s="1370"/>
      <c r="S1391" s="1370"/>
      <c r="T1391" s="1370"/>
      <c r="U1391" s="1370"/>
      <c r="V1391" s="1370"/>
      <c r="W1391" s="1370"/>
      <c r="X1391" s="1370"/>
    </row>
    <row r="1392" spans="1:24" s="80" customFormat="1" ht="12.75" customHeight="1" x14ac:dyDescent="0.2">
      <c r="A1392" s="1526">
        <v>43708</v>
      </c>
      <c r="B1392" s="1626" t="s">
        <v>4878</v>
      </c>
      <c r="C1392" s="1626" t="s">
        <v>3250</v>
      </c>
      <c r="D1392" s="1686">
        <v>1.9270833333333334E-2</v>
      </c>
      <c r="E1392" s="1489" t="s">
        <v>15363</v>
      </c>
      <c r="F1392" s="1489" t="s">
        <v>3698</v>
      </c>
      <c r="G1392" s="1815">
        <v>0.53869999999999996</v>
      </c>
      <c r="H1392" s="1489"/>
      <c r="I1392" s="1489"/>
      <c r="J1392" s="1489"/>
    </row>
    <row r="1393" spans="1:24" s="80" customFormat="1" ht="12.75" customHeight="1" x14ac:dyDescent="0.2">
      <c r="A1393" s="1526">
        <v>43701</v>
      </c>
      <c r="B1393" s="1626" t="s">
        <v>4878</v>
      </c>
      <c r="C1393" s="1626" t="s">
        <v>3250</v>
      </c>
      <c r="D1393" s="1686">
        <v>1.9490740740740743E-2</v>
      </c>
      <c r="E1393" s="1489" t="s">
        <v>15278</v>
      </c>
      <c r="F1393" s="1489" t="s">
        <v>15303</v>
      </c>
      <c r="G1393" s="1815">
        <v>0.53269999999999995</v>
      </c>
      <c r="H1393" s="1514"/>
      <c r="I1393" s="1514"/>
      <c r="L1393" s="1370"/>
      <c r="M1393" s="1370"/>
      <c r="N1393" s="1370"/>
      <c r="O1393" s="1370"/>
      <c r="P1393" s="1370"/>
      <c r="Q1393" s="1370"/>
      <c r="R1393" s="1370"/>
      <c r="S1393" s="1370"/>
      <c r="T1393" s="1370"/>
      <c r="U1393" s="1370"/>
      <c r="V1393" s="1370"/>
      <c r="W1393" s="1370"/>
      <c r="X1393" s="1370"/>
    </row>
    <row r="1394" spans="1:24" s="80" customFormat="1" ht="12.75" customHeight="1" x14ac:dyDescent="0.2">
      <c r="A1394" s="1384">
        <v>43617</v>
      </c>
      <c r="B1394" s="1626" t="s">
        <v>4878</v>
      </c>
      <c r="C1394" s="1626" t="s">
        <v>3250</v>
      </c>
      <c r="D1394" s="1836">
        <v>1.9594907407407405E-2</v>
      </c>
      <c r="E1394" s="1568" t="s">
        <v>12812</v>
      </c>
      <c r="F1394" s="1568" t="s">
        <v>3698</v>
      </c>
      <c r="G1394" s="1819">
        <v>0.52980000000000005</v>
      </c>
      <c r="H1394" s="1489"/>
      <c r="I1394" s="1489"/>
      <c r="J1394" s="1370"/>
      <c r="K1394" s="1370"/>
      <c r="L1394" s="1370"/>
      <c r="M1394" s="1370"/>
      <c r="N1394" s="1370"/>
      <c r="O1394" s="1370"/>
      <c r="P1394" s="1370"/>
      <c r="Q1394" s="1370"/>
      <c r="R1394" s="1370"/>
      <c r="S1394" s="1370"/>
      <c r="T1394" s="1370"/>
      <c r="U1394" s="1370"/>
      <c r="V1394" s="1370"/>
      <c r="W1394" s="1370"/>
      <c r="X1394" s="1370"/>
    </row>
    <row r="1395" spans="1:24" s="80" customFormat="1" ht="12.75" customHeight="1" x14ac:dyDescent="0.2">
      <c r="A1395" s="1384">
        <v>43533</v>
      </c>
      <c r="B1395" s="1626" t="s">
        <v>4878</v>
      </c>
      <c r="C1395" s="1626" t="s">
        <v>3250</v>
      </c>
      <c r="D1395" s="1733">
        <v>2.0613425925925927E-2</v>
      </c>
      <c r="E1395" s="1489" t="s">
        <v>12014</v>
      </c>
      <c r="F1395" s="1489" t="s">
        <v>12013</v>
      </c>
      <c r="G1395" s="1815">
        <v>0.502</v>
      </c>
      <c r="H1395" s="1489"/>
      <c r="I1395" s="1489"/>
      <c r="J1395" s="1370"/>
      <c r="K1395" s="1370"/>
      <c r="L1395" s="1370"/>
      <c r="M1395" s="1370"/>
      <c r="N1395" s="1370"/>
      <c r="O1395" s="1370"/>
      <c r="P1395" s="1370"/>
      <c r="Q1395" s="1370"/>
      <c r="R1395" s="1370"/>
      <c r="S1395" s="1370"/>
      <c r="T1395" s="1370"/>
      <c r="U1395" s="1370"/>
      <c r="V1395" s="1370"/>
      <c r="W1395" s="1370"/>
      <c r="X1395" s="1370"/>
    </row>
    <row r="1396" spans="1:24" s="80" customFormat="1" ht="12.75" customHeight="1" x14ac:dyDescent="0.2">
      <c r="A1396" s="1729">
        <v>43827</v>
      </c>
      <c r="B1396" s="1489" t="s">
        <v>4561</v>
      </c>
      <c r="C1396" s="1489" t="s">
        <v>4562</v>
      </c>
      <c r="D1396" s="1621">
        <v>2.0219907407407409E-2</v>
      </c>
      <c r="E1396" s="1489" t="s">
        <v>16459</v>
      </c>
      <c r="F1396" s="1489" t="s">
        <v>16462</v>
      </c>
      <c r="G1396" s="1817">
        <v>0.5323</v>
      </c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 s="80" customFormat="1" ht="12.75" customHeight="1" x14ac:dyDescent="0.2">
      <c r="A1397" s="1765">
        <v>43813</v>
      </c>
      <c r="B1397" s="1489" t="s">
        <v>4561</v>
      </c>
      <c r="C1397" s="1489" t="s">
        <v>4562</v>
      </c>
      <c r="D1397" s="1621">
        <v>2.1712962962962965E-2</v>
      </c>
      <c r="E1397" s="1489" t="s">
        <v>16259</v>
      </c>
      <c r="F1397" s="1489" t="s">
        <v>16304</v>
      </c>
      <c r="G1397" s="1817">
        <v>0.49569999999999997</v>
      </c>
      <c r="H1397" s="1404"/>
      <c r="I1397" s="1404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</row>
    <row r="1398" spans="1:24" s="80" customFormat="1" ht="12.75" customHeight="1" x14ac:dyDescent="0.2">
      <c r="A1398" s="34">
        <v>43806</v>
      </c>
      <c r="B1398" s="1489" t="s">
        <v>4561</v>
      </c>
      <c r="C1398" s="1489" t="s">
        <v>4562</v>
      </c>
      <c r="D1398" s="1621">
        <v>1.9942129629629626E-2</v>
      </c>
      <c r="E1398" s="1489" t="s">
        <v>16212</v>
      </c>
      <c r="F1398" s="1404"/>
      <c r="G1398" s="1817">
        <v>0.53979999999999995</v>
      </c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</row>
    <row r="1399" spans="1:24" s="80" customFormat="1" ht="12.75" customHeight="1" x14ac:dyDescent="0.2">
      <c r="A1399" s="1729">
        <v>43799</v>
      </c>
      <c r="B1399" s="1489" t="s">
        <v>4561</v>
      </c>
      <c r="C1399" s="1489" t="s">
        <v>4562</v>
      </c>
      <c r="D1399" s="1674">
        <v>2.042824074074074E-2</v>
      </c>
      <c r="E1399" t="s">
        <v>16154</v>
      </c>
      <c r="F1399" s="80" t="s">
        <v>16190</v>
      </c>
      <c r="G1399" s="314">
        <v>0.52690000000000003</v>
      </c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 s="80" customFormat="1" ht="12.75" customHeight="1" x14ac:dyDescent="0.2">
      <c r="A1400" s="1751">
        <v>43792</v>
      </c>
      <c r="B1400" s="1489" t="s">
        <v>4561</v>
      </c>
      <c r="C1400" s="1489" t="s">
        <v>4562</v>
      </c>
      <c r="D1400" s="1786">
        <v>1.9710648148148147E-2</v>
      </c>
      <c r="E1400" s="1489" t="s">
        <v>16094</v>
      </c>
      <c r="F1400" s="1404" t="s">
        <v>16107</v>
      </c>
      <c r="G1400" s="1817">
        <v>0.54610000000000003</v>
      </c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</row>
    <row r="1401" spans="1:24" s="80" customFormat="1" ht="12.75" customHeight="1" x14ac:dyDescent="0.2">
      <c r="A1401" s="1673">
        <v>43785</v>
      </c>
      <c r="B1401" s="1489" t="s">
        <v>4561</v>
      </c>
      <c r="C1401" s="1489" t="s">
        <v>4562</v>
      </c>
      <c r="D1401" s="1674">
        <v>1.9467592592592595E-2</v>
      </c>
      <c r="E1401" s="80" t="s">
        <v>16018</v>
      </c>
      <c r="F1401" s="80" t="s">
        <v>16034</v>
      </c>
      <c r="G1401" s="314">
        <v>0.55289999999999995</v>
      </c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</row>
    <row r="1402" spans="1:24" s="80" customFormat="1" ht="12.75" customHeight="1" x14ac:dyDescent="0.2">
      <c r="A1402" s="1384">
        <v>43778</v>
      </c>
      <c r="B1402" s="1489" t="s">
        <v>4561</v>
      </c>
      <c r="C1402" s="1489" t="s">
        <v>4562</v>
      </c>
      <c r="D1402" s="1725">
        <v>1.9490740740740743E-2</v>
      </c>
      <c r="E1402" s="1726" t="s">
        <v>15966</v>
      </c>
      <c r="F1402" s="1723" t="s">
        <v>15971</v>
      </c>
      <c r="G1402" s="1820">
        <v>0.55230000000000001</v>
      </c>
      <c r="H1402" s="1370"/>
      <c r="I1402" s="1370"/>
      <c r="J1402" s="1370"/>
      <c r="K1402" s="1370"/>
      <c r="L1402" s="1370"/>
      <c r="M1402" s="1370"/>
      <c r="N1402" s="1370"/>
      <c r="O1402" s="1370"/>
      <c r="P1402" s="1370"/>
      <c r="Q1402" s="1370"/>
      <c r="R1402" s="1370"/>
      <c r="S1402" s="1370"/>
      <c r="T1402" s="1370"/>
      <c r="U1402" s="1370"/>
      <c r="V1402" s="1370"/>
      <c r="W1402" s="1370"/>
      <c r="X1402" s="1370"/>
    </row>
    <row r="1403" spans="1:24" s="80" customFormat="1" ht="12.75" customHeight="1" x14ac:dyDescent="0.2">
      <c r="A1403" s="1384">
        <v>43771</v>
      </c>
      <c r="B1403" s="1489" t="s">
        <v>4561</v>
      </c>
      <c r="C1403" s="1489" t="s">
        <v>4562</v>
      </c>
      <c r="D1403" s="1731">
        <v>2.0763888888888891E-2</v>
      </c>
      <c r="E1403" s="1370" t="s">
        <v>15898</v>
      </c>
      <c r="F1403" s="1370" t="s">
        <v>8927</v>
      </c>
      <c r="G1403" s="1816">
        <v>0.51839999999999997</v>
      </c>
      <c r="H1403" s="1370"/>
      <c r="I1403" s="1370"/>
      <c r="J1403" s="1370"/>
      <c r="K1403" s="1370"/>
      <c r="L1403" s="1370"/>
      <c r="M1403" s="1370"/>
      <c r="N1403" s="1370"/>
      <c r="O1403" s="1370"/>
      <c r="P1403" s="1370"/>
      <c r="Q1403" s="1370"/>
      <c r="R1403" s="1370"/>
      <c r="S1403" s="1370"/>
      <c r="T1403" s="1370"/>
      <c r="U1403" s="1370"/>
      <c r="V1403" s="1370"/>
      <c r="W1403" s="1370"/>
      <c r="X1403" s="1370"/>
    </row>
    <row r="1404" spans="1:24" s="80" customFormat="1" ht="12.75" customHeight="1" x14ac:dyDescent="0.2">
      <c r="A1404" s="523">
        <v>43757</v>
      </c>
      <c r="B1404" s="1489" t="s">
        <v>4561</v>
      </c>
      <c r="C1404" s="1489" t="s">
        <v>4562</v>
      </c>
      <c r="D1404" s="1686">
        <v>1.9490740740740743E-2</v>
      </c>
      <c r="E1404" s="1489" t="s">
        <v>15849</v>
      </c>
      <c r="F1404" s="1489" t="s">
        <v>15867</v>
      </c>
      <c r="G1404" s="1815">
        <v>0.55230000000000001</v>
      </c>
      <c r="H1404" s="1489"/>
      <c r="I1404" s="1489"/>
      <c r="J1404" s="1489"/>
      <c r="K1404" s="1489"/>
    </row>
    <row r="1405" spans="1:24" s="80" customFormat="1" ht="12.75" customHeight="1" x14ac:dyDescent="0.2">
      <c r="A1405" s="523">
        <v>43750</v>
      </c>
      <c r="B1405" s="1489" t="s">
        <v>4561</v>
      </c>
      <c r="C1405" s="1489" t="s">
        <v>4562</v>
      </c>
      <c r="D1405" s="1686">
        <v>1.9479166666666665E-2</v>
      </c>
      <c r="E1405" s="1489" t="s">
        <v>15793</v>
      </c>
      <c r="F1405" s="1489" t="s">
        <v>15819</v>
      </c>
      <c r="G1405" s="1815">
        <v>0.55259999999999998</v>
      </c>
      <c r="L1405" s="1370"/>
      <c r="M1405" s="1370"/>
      <c r="N1405" s="1370"/>
      <c r="O1405" s="1370"/>
      <c r="P1405" s="1370"/>
      <c r="Q1405" s="1370"/>
      <c r="R1405" s="1370"/>
      <c r="S1405" s="1370"/>
      <c r="T1405" s="1370"/>
      <c r="U1405" s="1370"/>
      <c r="V1405" s="1370"/>
      <c r="W1405" s="1370"/>
      <c r="X1405" s="1370"/>
    </row>
    <row r="1406" spans="1:24" s="80" customFormat="1" ht="12.75" customHeight="1" x14ac:dyDescent="0.2">
      <c r="A1406" s="1729">
        <v>43743</v>
      </c>
      <c r="B1406" s="1489" t="s">
        <v>4561</v>
      </c>
      <c r="C1406" s="1489" t="s">
        <v>4562</v>
      </c>
      <c r="D1406" s="1737">
        <v>2.042824074074074E-2</v>
      </c>
      <c r="E1406" s="1514" t="s">
        <v>15713</v>
      </c>
      <c r="F1406" s="1514" t="s">
        <v>15768</v>
      </c>
      <c r="G1406" s="1822">
        <v>0.52690000000000003</v>
      </c>
      <c r="L1406" s="1370"/>
      <c r="M1406" s="1370"/>
      <c r="N1406" s="1370"/>
      <c r="O1406" s="1370"/>
      <c r="P1406" s="1370"/>
      <c r="Q1406" s="1370"/>
      <c r="R1406" s="1370"/>
      <c r="S1406" s="1370"/>
      <c r="T1406" s="1370"/>
      <c r="U1406" s="1370"/>
      <c r="V1406" s="1370"/>
      <c r="W1406" s="1370"/>
      <c r="X1406" s="1370"/>
    </row>
    <row r="1407" spans="1:24" s="80" customFormat="1" ht="12.75" customHeight="1" x14ac:dyDescent="0.2">
      <c r="A1407" s="1729">
        <v>43736</v>
      </c>
      <c r="B1407" s="1489" t="s">
        <v>4561</v>
      </c>
      <c r="C1407" s="1489" t="s">
        <v>4562</v>
      </c>
      <c r="D1407" s="1686">
        <v>1.9780092592592596E-2</v>
      </c>
      <c r="E1407" s="1489" t="s">
        <v>15635</v>
      </c>
      <c r="F1407" s="1489" t="s">
        <v>15662</v>
      </c>
      <c r="G1407" s="1815">
        <v>0.54420000000000002</v>
      </c>
      <c r="I1407" s="1514" t="s">
        <v>15661</v>
      </c>
    </row>
    <row r="1408" spans="1:24" s="80" customFormat="1" ht="12.75" customHeight="1" x14ac:dyDescent="0.2">
      <c r="A1408" s="1729">
        <v>43729</v>
      </c>
      <c r="B1408" s="1489" t="s">
        <v>4561</v>
      </c>
      <c r="C1408" s="1489" t="s">
        <v>4562</v>
      </c>
      <c r="D1408" s="1686">
        <v>1.9780092592592596E-2</v>
      </c>
      <c r="E1408" s="1489" t="s">
        <v>15573</v>
      </c>
      <c r="F1408" s="1489" t="s">
        <v>15622</v>
      </c>
      <c r="G1408" s="1815">
        <v>0.54420000000000002</v>
      </c>
      <c r="I1408" s="1514"/>
    </row>
    <row r="1409" spans="1:24" s="80" customFormat="1" ht="12.75" customHeight="1" x14ac:dyDescent="0.2">
      <c r="A1409" s="1526">
        <v>43708</v>
      </c>
      <c r="B1409" s="1489" t="s">
        <v>4561</v>
      </c>
      <c r="C1409" s="1489" t="s">
        <v>4562</v>
      </c>
      <c r="D1409" s="1686">
        <v>1.9814814814814816E-2</v>
      </c>
      <c r="E1409" s="1489" t="s">
        <v>15380</v>
      </c>
      <c r="F1409" s="1489" t="s">
        <v>15398</v>
      </c>
      <c r="G1409" s="1815">
        <v>0.54320000000000002</v>
      </c>
      <c r="H1409" s="1514"/>
      <c r="I1409" s="1514"/>
    </row>
    <row r="1410" spans="1:24" s="80" customFormat="1" ht="12.75" customHeight="1" x14ac:dyDescent="0.2">
      <c r="A1410" s="1526">
        <v>43701</v>
      </c>
      <c r="B1410" s="1489" t="s">
        <v>4561</v>
      </c>
      <c r="C1410" s="1489" t="s">
        <v>4562</v>
      </c>
      <c r="D1410" s="1686">
        <v>1.9733796296296298E-2</v>
      </c>
      <c r="E1410" s="1489" t="s">
        <v>15277</v>
      </c>
      <c r="F1410" s="1489" t="s">
        <v>15302</v>
      </c>
      <c r="G1410" s="1815">
        <v>0.54549999999999998</v>
      </c>
      <c r="H1410" s="1514"/>
      <c r="I1410" s="1514"/>
    </row>
    <row r="1411" spans="1:24" s="80" customFormat="1" ht="12.75" customHeight="1" x14ac:dyDescent="0.2">
      <c r="A1411" s="523">
        <v>43694</v>
      </c>
      <c r="B1411" s="1489" t="s">
        <v>4561</v>
      </c>
      <c r="C1411" s="1489" t="s">
        <v>4562</v>
      </c>
      <c r="D1411" s="1733">
        <v>1.9942129629629626E-2</v>
      </c>
      <c r="E1411" s="1489" t="s">
        <v>15166</v>
      </c>
      <c r="F1411" s="1489" t="s">
        <v>15194</v>
      </c>
      <c r="G1411" s="1815">
        <v>0.53979999999999995</v>
      </c>
      <c r="H1411" s="1514"/>
      <c r="I1411" s="1514"/>
      <c r="L1411" s="1370"/>
      <c r="M1411" s="1370"/>
      <c r="N1411" s="1370"/>
      <c r="O1411" s="1370"/>
      <c r="P1411" s="1370"/>
      <c r="Q1411" s="1370"/>
      <c r="R1411" s="1370"/>
      <c r="S1411" s="1370"/>
      <c r="T1411" s="1370"/>
      <c r="U1411" s="1370"/>
      <c r="V1411" s="1370"/>
      <c r="W1411" s="1370"/>
      <c r="X1411" s="1370"/>
    </row>
    <row r="1412" spans="1:24" s="80" customFormat="1" ht="12.75" customHeight="1" x14ac:dyDescent="0.2">
      <c r="A1412" s="523">
        <v>43687</v>
      </c>
      <c r="B1412" s="1489" t="s">
        <v>4561</v>
      </c>
      <c r="C1412" s="1489" t="s">
        <v>4562</v>
      </c>
      <c r="D1412" s="1686">
        <v>2.0902777777777777E-2</v>
      </c>
      <c r="E1412" s="1489" t="s">
        <v>13432</v>
      </c>
      <c r="F1412" s="1489" t="s">
        <v>13425</v>
      </c>
      <c r="G1412" s="1815">
        <v>0.51500000000000001</v>
      </c>
      <c r="H1412" s="1514"/>
      <c r="I1412" s="1514"/>
      <c r="L1412" s="1370"/>
      <c r="M1412" s="1370"/>
      <c r="N1412" s="1370"/>
      <c r="O1412" s="1370"/>
      <c r="P1412" s="1370"/>
      <c r="Q1412" s="1370"/>
      <c r="R1412" s="1370"/>
      <c r="S1412" s="1370"/>
      <c r="T1412" s="1370"/>
      <c r="U1412" s="1370"/>
      <c r="V1412" s="1370"/>
      <c r="W1412" s="1370"/>
      <c r="X1412" s="1370"/>
    </row>
    <row r="1413" spans="1:24" s="80" customFormat="1" ht="12.75" customHeight="1" x14ac:dyDescent="0.2">
      <c r="A1413" s="1384">
        <v>43680</v>
      </c>
      <c r="B1413" s="1489" t="s">
        <v>4561</v>
      </c>
      <c r="C1413" s="1489" t="s">
        <v>4562</v>
      </c>
      <c r="D1413" s="1686">
        <v>2.0219907407407409E-2</v>
      </c>
      <c r="E1413" s="1489" t="s">
        <v>13366</v>
      </c>
      <c r="F1413" s="1489" t="s">
        <v>13397</v>
      </c>
      <c r="G1413" s="1815">
        <v>0.5323</v>
      </c>
      <c r="H1413" s="1514"/>
      <c r="I1413" s="1514"/>
    </row>
    <row r="1414" spans="1:24" s="80" customFormat="1" ht="12.75" customHeight="1" x14ac:dyDescent="0.2">
      <c r="A1414" s="1384">
        <v>43673</v>
      </c>
      <c r="B1414" s="1489" t="s">
        <v>4561</v>
      </c>
      <c r="C1414" s="1489" t="s">
        <v>4562</v>
      </c>
      <c r="D1414" s="1686">
        <v>2.0578703703703703E-2</v>
      </c>
      <c r="E1414" s="1489" t="s">
        <v>13293</v>
      </c>
      <c r="F1414" s="1489" t="s">
        <v>13332</v>
      </c>
      <c r="G1414" s="1815">
        <v>0.52310000000000001</v>
      </c>
      <c r="H1414" s="1514"/>
      <c r="I1414" s="1514"/>
    </row>
    <row r="1415" spans="1:24" s="80" customFormat="1" ht="12.75" customHeight="1" x14ac:dyDescent="0.2">
      <c r="A1415" s="523">
        <v>43666</v>
      </c>
      <c r="B1415" s="1489" t="s">
        <v>4561</v>
      </c>
      <c r="C1415" s="1489" t="s">
        <v>4562</v>
      </c>
      <c r="D1415" s="1686">
        <v>2.1909722222222223E-2</v>
      </c>
      <c r="E1415" s="1489" t="s">
        <v>13195</v>
      </c>
      <c r="F1415" s="1489" t="s">
        <v>13221</v>
      </c>
      <c r="G1415" s="1815">
        <v>0.49130000000000001</v>
      </c>
      <c r="H1415" s="1514"/>
      <c r="I1415" s="1514"/>
    </row>
    <row r="1416" spans="1:24" s="80" customFormat="1" ht="12.75" customHeight="1" x14ac:dyDescent="0.2">
      <c r="A1416" s="523">
        <v>43659</v>
      </c>
      <c r="B1416" s="1489" t="s">
        <v>4561</v>
      </c>
      <c r="C1416" s="1489" t="s">
        <v>4562</v>
      </c>
      <c r="D1416" s="1686">
        <v>2.1666666666666667E-2</v>
      </c>
      <c r="E1416" s="1489" t="s">
        <v>13139</v>
      </c>
      <c r="F1416" s="1489" t="s">
        <v>13158</v>
      </c>
      <c r="G1416" s="1815">
        <v>0.49680000000000002</v>
      </c>
      <c r="H1416" s="1514"/>
      <c r="I1416" s="1489" t="s">
        <v>13156</v>
      </c>
      <c r="L1416" s="1370"/>
      <c r="M1416" s="1370"/>
      <c r="N1416" s="1370"/>
      <c r="O1416" s="1370"/>
      <c r="P1416" s="1370"/>
      <c r="Q1416" s="1370"/>
      <c r="R1416" s="1370"/>
      <c r="S1416" s="1370"/>
      <c r="T1416" s="1370"/>
      <c r="U1416" s="1370"/>
      <c r="V1416" s="1370"/>
      <c r="W1416" s="1370"/>
      <c r="X1416" s="1370"/>
    </row>
    <row r="1417" spans="1:24" s="80" customFormat="1" ht="12.75" customHeight="1" x14ac:dyDescent="0.2">
      <c r="A1417" s="1384">
        <v>43617</v>
      </c>
      <c r="B1417" s="1489" t="s">
        <v>4561</v>
      </c>
      <c r="C1417" s="1489" t="s">
        <v>4562</v>
      </c>
      <c r="D1417" s="1836">
        <v>1.9641203703703706E-2</v>
      </c>
      <c r="E1417" s="1568" t="s">
        <v>12801</v>
      </c>
      <c r="F1417" s="1568"/>
      <c r="G1417" s="1819">
        <v>0.54800000000000004</v>
      </c>
      <c r="H1417" s="1489"/>
      <c r="I1417" s="1489"/>
      <c r="J1417" s="1370"/>
      <c r="K1417" s="1370"/>
      <c r="L1417" s="1370"/>
      <c r="M1417" s="1370"/>
      <c r="N1417" s="1370"/>
      <c r="O1417" s="1370"/>
      <c r="P1417" s="1370"/>
      <c r="Q1417" s="1370"/>
      <c r="R1417" s="1370"/>
      <c r="S1417" s="1370"/>
      <c r="T1417" s="1370"/>
      <c r="U1417" s="1370"/>
      <c r="V1417" s="1370"/>
      <c r="W1417" s="1370"/>
      <c r="X1417" s="1370"/>
    </row>
    <row r="1418" spans="1:24" s="80" customFormat="1" ht="12.75" customHeight="1" x14ac:dyDescent="0.2">
      <c r="A1418" s="1384">
        <v>43610</v>
      </c>
      <c r="B1418" s="1489" t="s">
        <v>4561</v>
      </c>
      <c r="C1418" s="1489" t="s">
        <v>4562</v>
      </c>
      <c r="D1418" s="1733">
        <v>3.4837962962962959E-2</v>
      </c>
      <c r="E1418" s="1489" t="s">
        <v>12730</v>
      </c>
      <c r="F1418" s="1489" t="s">
        <v>12763</v>
      </c>
      <c r="G1418" s="1815">
        <v>0.309</v>
      </c>
      <c r="H1418" s="1489"/>
      <c r="I1418" s="1489"/>
      <c r="J1418" s="1370"/>
      <c r="K1418" s="1370"/>
    </row>
    <row r="1419" spans="1:24" s="80" customFormat="1" ht="12.75" customHeight="1" x14ac:dyDescent="0.2">
      <c r="A1419" s="1384">
        <v>43603</v>
      </c>
      <c r="B1419" s="1489" t="s">
        <v>4561</v>
      </c>
      <c r="C1419" s="1489" t="s">
        <v>4562</v>
      </c>
      <c r="D1419" s="1733">
        <v>2.0937499999999998E-2</v>
      </c>
      <c r="E1419" s="1489" t="s">
        <v>12672</v>
      </c>
      <c r="F1419" s="1489"/>
      <c r="G1419" s="1815">
        <v>0.5141</v>
      </c>
      <c r="H1419" s="1489"/>
      <c r="I1419" s="1489"/>
      <c r="J1419" s="1370"/>
      <c r="K1419" s="1370"/>
    </row>
    <row r="1420" spans="1:24" s="80" customFormat="1" ht="12.75" customHeight="1" x14ac:dyDescent="0.2">
      <c r="A1420" s="1384">
        <v>43596</v>
      </c>
      <c r="B1420" s="1489" t="s">
        <v>4561</v>
      </c>
      <c r="C1420" s="1489" t="s">
        <v>4562</v>
      </c>
      <c r="D1420" s="1733">
        <v>1.96875E-2</v>
      </c>
      <c r="E1420" s="1489" t="s">
        <v>12531</v>
      </c>
      <c r="F1420" s="1489" t="s">
        <v>12580</v>
      </c>
      <c r="G1420" s="1815">
        <v>0.54669999999999996</v>
      </c>
      <c r="H1420" s="1489"/>
      <c r="I1420" s="1489"/>
      <c r="J1420" s="1370"/>
      <c r="K1420" s="1370"/>
      <c r="L1420" s="1370"/>
      <c r="M1420" s="1370"/>
      <c r="N1420" s="1370"/>
      <c r="O1420" s="1370"/>
      <c r="P1420" s="1370"/>
      <c r="Q1420" s="1370"/>
      <c r="R1420" s="1370"/>
      <c r="S1420" s="1370"/>
      <c r="T1420" s="1370"/>
      <c r="U1420" s="1370"/>
      <c r="V1420" s="1370"/>
      <c r="W1420" s="1370"/>
      <c r="X1420" s="1370"/>
    </row>
    <row r="1421" spans="1:24" s="80" customFormat="1" ht="12.75" customHeight="1" x14ac:dyDescent="0.2">
      <c r="A1421" s="1384">
        <v>43589</v>
      </c>
      <c r="B1421" s="1489" t="s">
        <v>4561</v>
      </c>
      <c r="C1421" s="1489" t="s">
        <v>4562</v>
      </c>
      <c r="D1421" s="1733">
        <v>2.0046296296296295E-2</v>
      </c>
      <c r="E1421" s="1489" t="s">
        <v>12579</v>
      </c>
      <c r="F1421" s="1489" t="s">
        <v>12533</v>
      </c>
      <c r="G1421" s="1815">
        <v>0.53700000000000003</v>
      </c>
      <c r="H1421" s="1489"/>
      <c r="I1421" s="1489"/>
      <c r="J1421" s="1370"/>
      <c r="K1421" s="1370"/>
      <c r="L1421" s="1370"/>
      <c r="M1421" s="1370"/>
      <c r="N1421" s="1370"/>
      <c r="O1421" s="1370"/>
      <c r="P1421" s="1370"/>
      <c r="Q1421" s="1370"/>
      <c r="R1421" s="1370"/>
      <c r="S1421" s="1370"/>
      <c r="T1421" s="1370"/>
      <c r="U1421" s="1370"/>
      <c r="V1421" s="1370"/>
      <c r="W1421" s="1370"/>
      <c r="X1421" s="1370"/>
    </row>
    <row r="1422" spans="1:24" s="80" customFormat="1" ht="12.75" customHeight="1" x14ac:dyDescent="0.2">
      <c r="A1422" s="1384">
        <v>43582</v>
      </c>
      <c r="B1422" s="1489" t="s">
        <v>4561</v>
      </c>
      <c r="C1422" s="1489" t="s">
        <v>4562</v>
      </c>
      <c r="D1422" s="1733">
        <v>1.9525462962962963E-2</v>
      </c>
      <c r="E1422" s="1489" t="s">
        <v>12581</v>
      </c>
      <c r="F1422" s="1489" t="s">
        <v>12534</v>
      </c>
      <c r="G1422" s="1815">
        <v>0.55130000000000001</v>
      </c>
      <c r="H1422" s="1489"/>
      <c r="I1422" s="1489"/>
      <c r="J1422" s="1370"/>
      <c r="K1422" s="1370"/>
      <c r="L1422" s="1370"/>
      <c r="M1422" s="1370"/>
      <c r="N1422" s="1370"/>
      <c r="O1422" s="1370"/>
      <c r="P1422" s="1370"/>
      <c r="Q1422" s="1370"/>
      <c r="R1422" s="1370"/>
      <c r="S1422" s="1370"/>
      <c r="T1422" s="1370"/>
      <c r="U1422" s="1370"/>
      <c r="V1422" s="1370"/>
      <c r="W1422" s="1370"/>
      <c r="X1422" s="1370"/>
    </row>
    <row r="1423" spans="1:24" s="80" customFormat="1" ht="12.75" customHeight="1" x14ac:dyDescent="0.2">
      <c r="A1423" s="1384">
        <v>43575</v>
      </c>
      <c r="B1423" s="1489" t="s">
        <v>4561</v>
      </c>
      <c r="C1423" s="1489" t="s">
        <v>4562</v>
      </c>
      <c r="D1423" s="1733">
        <v>2.101851851851852E-2</v>
      </c>
      <c r="E1423" s="1489" t="s">
        <v>12469</v>
      </c>
      <c r="F1423" s="1489" t="s">
        <v>12470</v>
      </c>
      <c r="G1423" s="1815">
        <v>0.5121</v>
      </c>
      <c r="H1423" s="1489"/>
      <c r="I1423" s="1489"/>
      <c r="J1423" s="1370"/>
      <c r="K1423" s="1370"/>
    </row>
    <row r="1424" spans="1:24" s="80" customFormat="1" ht="12.75" customHeight="1" x14ac:dyDescent="0.2">
      <c r="A1424" s="1384">
        <v>43561</v>
      </c>
      <c r="B1424" s="1489" t="s">
        <v>4561</v>
      </c>
      <c r="C1424" s="1489" t="s">
        <v>4562</v>
      </c>
      <c r="D1424" s="1733">
        <v>1.9224537037037037E-2</v>
      </c>
      <c r="E1424" s="1489" t="s">
        <v>12329</v>
      </c>
      <c r="F1424" s="1489" t="s">
        <v>12314</v>
      </c>
      <c r="G1424" s="1815">
        <v>0.55989999999999995</v>
      </c>
      <c r="H1424" s="1489"/>
      <c r="I1424" s="1489"/>
      <c r="J1424" s="1370"/>
      <c r="K1424" s="1370"/>
    </row>
    <row r="1425" spans="1:24" s="80" customFormat="1" ht="12.75" customHeight="1" x14ac:dyDescent="0.2">
      <c r="A1425" s="1384">
        <v>43554</v>
      </c>
      <c r="B1425" s="1489" t="s">
        <v>4561</v>
      </c>
      <c r="C1425" s="1489" t="s">
        <v>4562</v>
      </c>
      <c r="D1425" s="1733">
        <v>2.011574074074074E-2</v>
      </c>
      <c r="E1425" s="1489" t="s">
        <v>12230</v>
      </c>
      <c r="F1425" s="1489" t="s">
        <v>12268</v>
      </c>
      <c r="G1425" s="1815">
        <v>0.53510000000000002</v>
      </c>
      <c r="H1425" s="1489"/>
      <c r="I1425" s="1489"/>
      <c r="J1425" s="1370"/>
      <c r="K1425" s="1370"/>
      <c r="L1425" s="1370"/>
      <c r="M1425" s="1370"/>
      <c r="N1425" s="1370"/>
      <c r="O1425" s="1370"/>
      <c r="P1425" s="1370"/>
      <c r="Q1425" s="1370"/>
      <c r="R1425" s="1370"/>
      <c r="S1425" s="1370"/>
      <c r="T1425" s="1370"/>
      <c r="U1425" s="1370"/>
      <c r="V1425" s="1370"/>
      <c r="W1425" s="1370"/>
      <c r="X1425" s="1370"/>
    </row>
    <row r="1426" spans="1:24" s="80" customFormat="1" ht="12.75" customHeight="1" x14ac:dyDescent="0.2">
      <c r="A1426" s="1384">
        <v>43547</v>
      </c>
      <c r="B1426" s="1489" t="s">
        <v>4561</v>
      </c>
      <c r="C1426" s="1489" t="s">
        <v>4562</v>
      </c>
      <c r="D1426" s="1733">
        <v>1.9282407407407408E-2</v>
      </c>
      <c r="E1426" s="1489" t="s">
        <v>12177</v>
      </c>
      <c r="F1426" s="1489" t="s">
        <v>12185</v>
      </c>
      <c r="G1426" s="1815">
        <v>0.55820000000000003</v>
      </c>
      <c r="H1426" s="1489"/>
      <c r="I1426" s="1489"/>
      <c r="J1426" s="1370"/>
      <c r="K1426" s="1370"/>
      <c r="L1426" s="1370"/>
      <c r="M1426" s="1370"/>
      <c r="N1426" s="1370"/>
      <c r="O1426" s="1370"/>
      <c r="P1426" s="1370"/>
      <c r="Q1426" s="1370"/>
      <c r="R1426" s="1370"/>
      <c r="S1426" s="1370"/>
      <c r="T1426" s="1370"/>
      <c r="U1426" s="1370"/>
      <c r="V1426" s="1370"/>
      <c r="W1426" s="1370"/>
      <c r="X1426" s="1370"/>
    </row>
    <row r="1427" spans="1:24" s="80" customFormat="1" ht="12.75" customHeight="1" x14ac:dyDescent="0.2">
      <c r="A1427" s="1384">
        <v>43540</v>
      </c>
      <c r="B1427" s="1489" t="s">
        <v>4561</v>
      </c>
      <c r="C1427" s="1489" t="s">
        <v>4562</v>
      </c>
      <c r="D1427" s="1733">
        <v>1.9629629629629629E-2</v>
      </c>
      <c r="E1427" s="1489" t="s">
        <v>12109</v>
      </c>
      <c r="F1427" s="1489" t="s">
        <v>12110</v>
      </c>
      <c r="G1427" s="1815">
        <v>0.54830000000000001</v>
      </c>
      <c r="H1427" s="1489"/>
      <c r="I1427" s="1489"/>
      <c r="J1427" s="1370"/>
      <c r="K1427" s="1370"/>
      <c r="L1427" s="1370"/>
      <c r="M1427" s="1370"/>
      <c r="N1427" s="1370"/>
      <c r="O1427" s="1370"/>
      <c r="P1427" s="1370"/>
      <c r="Q1427" s="1370"/>
      <c r="R1427" s="1370"/>
      <c r="S1427" s="1370"/>
      <c r="T1427" s="1370"/>
      <c r="U1427" s="1370"/>
      <c r="V1427" s="1370"/>
      <c r="W1427" s="1370"/>
      <c r="X1427" s="1370"/>
    </row>
    <row r="1428" spans="1:24" s="80" customFormat="1" ht="12.75" customHeight="1" x14ac:dyDescent="0.2">
      <c r="A1428" s="1384">
        <v>43533</v>
      </c>
      <c r="B1428" s="1489" t="s">
        <v>4561</v>
      </c>
      <c r="C1428" s="1489" t="s">
        <v>4562</v>
      </c>
      <c r="D1428" s="1733">
        <v>2.0254629629629629E-2</v>
      </c>
      <c r="E1428" s="1489" t="s">
        <v>12019</v>
      </c>
      <c r="F1428" s="1489" t="s">
        <v>12040</v>
      </c>
      <c r="G1428" s="1815">
        <v>0.53139999999999998</v>
      </c>
      <c r="H1428" s="1489"/>
      <c r="I1428" s="1489"/>
      <c r="J1428" s="1370"/>
      <c r="K1428" s="1370"/>
      <c r="L1428" s="1370"/>
      <c r="M1428" s="1370"/>
      <c r="N1428" s="1370"/>
      <c r="O1428" s="1370"/>
      <c r="P1428" s="1370"/>
      <c r="Q1428" s="1370"/>
      <c r="R1428" s="1370"/>
      <c r="S1428" s="1370"/>
      <c r="T1428" s="1370"/>
      <c r="U1428" s="1370"/>
      <c r="V1428" s="1370"/>
      <c r="W1428" s="1370"/>
      <c r="X1428" s="1370"/>
    </row>
    <row r="1429" spans="1:24" s="80" customFormat="1" ht="12.75" customHeight="1" x14ac:dyDescent="0.2">
      <c r="A1429" s="1384">
        <v>43526</v>
      </c>
      <c r="B1429" s="1489" t="s">
        <v>4561</v>
      </c>
      <c r="C1429" s="1489" t="s">
        <v>4562</v>
      </c>
      <c r="D1429" s="1733">
        <v>2.1030092592592597E-2</v>
      </c>
      <c r="E1429" s="1489" t="s">
        <v>11939</v>
      </c>
      <c r="F1429" s="1489" t="s">
        <v>11931</v>
      </c>
      <c r="G1429" s="1815">
        <v>0.51180000000000003</v>
      </c>
      <c r="H1429" s="1489"/>
      <c r="I1429" s="1489"/>
      <c r="J1429" s="1370"/>
      <c r="K1429" s="1370"/>
      <c r="L1429" s="1370"/>
      <c r="M1429" s="1370"/>
      <c r="N1429" s="1370"/>
      <c r="O1429" s="1370"/>
      <c r="P1429" s="1370"/>
      <c r="Q1429" s="1370"/>
      <c r="R1429" s="1370"/>
      <c r="S1429" s="1370"/>
      <c r="T1429" s="1370"/>
      <c r="U1429" s="1370"/>
      <c r="V1429" s="1370"/>
      <c r="W1429" s="1370"/>
      <c r="X1429" s="1370"/>
    </row>
    <row r="1430" spans="1:24" s="80" customFormat="1" ht="12.75" customHeight="1" x14ac:dyDescent="0.2">
      <c r="A1430" s="1384">
        <v>43519</v>
      </c>
      <c r="B1430" s="1489" t="s">
        <v>4561</v>
      </c>
      <c r="C1430" s="1489" t="s">
        <v>4562</v>
      </c>
      <c r="D1430" s="1733">
        <v>1.8912037037037036E-2</v>
      </c>
      <c r="E1430" s="1489" t="s">
        <v>5456</v>
      </c>
      <c r="F1430" s="1489" t="s">
        <v>11881</v>
      </c>
      <c r="G1430" s="1815">
        <v>0.56920000000000004</v>
      </c>
      <c r="H1430" s="1489"/>
      <c r="I1430" s="1489"/>
      <c r="J1430" s="1370"/>
      <c r="K1430" s="1370"/>
    </row>
    <row r="1431" spans="1:24" s="80" customFormat="1" ht="12.75" customHeight="1" x14ac:dyDescent="0.2">
      <c r="A1431" s="1384">
        <v>43512</v>
      </c>
      <c r="B1431" s="1489" t="s">
        <v>4561</v>
      </c>
      <c r="C1431" s="1489" t="s">
        <v>4562</v>
      </c>
      <c r="D1431" s="1733">
        <v>1.9247685185185184E-2</v>
      </c>
      <c r="E1431" s="1489" t="s">
        <v>5456</v>
      </c>
      <c r="F1431" s="1489" t="s">
        <v>11823</v>
      </c>
      <c r="G1431" s="1815">
        <v>0.55920000000000003</v>
      </c>
      <c r="H1431" s="1489"/>
      <c r="I1431" s="1489"/>
      <c r="J1431" s="1370"/>
      <c r="K1431" s="1370"/>
      <c r="L1431" s="1370"/>
      <c r="M1431" s="1370"/>
      <c r="N1431" s="1370"/>
      <c r="O1431" s="1370"/>
      <c r="P1431" s="1370"/>
      <c r="Q1431" s="1370"/>
      <c r="R1431" s="1370"/>
      <c r="S1431" s="1370"/>
      <c r="T1431" s="1370"/>
      <c r="U1431" s="1370"/>
      <c r="V1431" s="1370"/>
      <c r="W1431" s="1370"/>
      <c r="X1431" s="1370"/>
    </row>
    <row r="1432" spans="1:24" s="80" customFormat="1" ht="12.75" customHeight="1" x14ac:dyDescent="0.2">
      <c r="A1432" s="1384">
        <v>43505</v>
      </c>
      <c r="B1432" s="1489" t="s">
        <v>4561</v>
      </c>
      <c r="C1432" s="1489" t="s">
        <v>4562</v>
      </c>
      <c r="D1432" s="1733">
        <v>1.9618055555555555E-2</v>
      </c>
      <c r="E1432" s="1489" t="s">
        <v>5453</v>
      </c>
      <c r="F1432" s="1489" t="s">
        <v>11797</v>
      </c>
      <c r="G1432" s="1815">
        <v>0.54869999999999997</v>
      </c>
      <c r="H1432" s="1489"/>
      <c r="I1432" s="1489"/>
      <c r="J1432" s="1370"/>
      <c r="K1432" s="1370"/>
    </row>
    <row r="1433" spans="1:24" s="80" customFormat="1" ht="12.75" customHeight="1" x14ac:dyDescent="0.2">
      <c r="A1433" s="1384">
        <v>43491</v>
      </c>
      <c r="B1433" s="1489" t="s">
        <v>4561</v>
      </c>
      <c r="C1433" s="1489" t="s">
        <v>4562</v>
      </c>
      <c r="D1433" s="1733">
        <v>2.0057870370370368E-2</v>
      </c>
      <c r="E1433" s="1489" t="s">
        <v>5883</v>
      </c>
      <c r="F1433" s="1545" t="s">
        <v>11674</v>
      </c>
      <c r="G1433" s="1815">
        <v>0.53659999999999997</v>
      </c>
      <c r="H1433" s="1489"/>
      <c r="I1433" s="1489"/>
      <c r="J1433" s="1370"/>
      <c r="K1433" s="1370"/>
    </row>
    <row r="1434" spans="1:24" s="80" customFormat="1" ht="12.75" customHeight="1" x14ac:dyDescent="0.2">
      <c r="A1434" s="1384">
        <v>43484</v>
      </c>
      <c r="B1434" s="1489" t="s">
        <v>4561</v>
      </c>
      <c r="C1434" s="1489" t="s">
        <v>4562</v>
      </c>
      <c r="D1434" s="1733">
        <v>1.9756944444444445E-2</v>
      </c>
      <c r="E1434" s="1489" t="s">
        <v>5198</v>
      </c>
      <c r="F1434" s="1489" t="s">
        <v>11620</v>
      </c>
      <c r="G1434" s="1815">
        <v>0.54479999999999995</v>
      </c>
      <c r="H1434" s="1489"/>
      <c r="I1434" s="1489"/>
      <c r="J1434" s="1370"/>
      <c r="K1434" s="1370"/>
    </row>
    <row r="1435" spans="1:24" s="80" customFormat="1" ht="12.75" customHeight="1" x14ac:dyDescent="0.2">
      <c r="A1435" s="1384">
        <v>43477</v>
      </c>
      <c r="B1435" s="1489" t="s">
        <v>4561</v>
      </c>
      <c r="C1435" s="1489" t="s">
        <v>4562</v>
      </c>
      <c r="D1435" s="1733">
        <v>1.9270833333333334E-2</v>
      </c>
      <c r="E1435" s="1489" t="s">
        <v>10983</v>
      </c>
      <c r="F1435" s="1489" t="s">
        <v>11559</v>
      </c>
      <c r="G1435" s="1815">
        <v>0.5544</v>
      </c>
      <c r="H1435" s="1489"/>
      <c r="I1435" s="1489"/>
      <c r="J1435" s="1370"/>
      <c r="K1435" s="1370"/>
    </row>
    <row r="1436" spans="1:24" s="80" customFormat="1" ht="12.75" customHeight="1" x14ac:dyDescent="0.2">
      <c r="A1436" s="1384">
        <v>43470</v>
      </c>
      <c r="B1436" s="1489" t="s">
        <v>4561</v>
      </c>
      <c r="C1436" s="1489" t="s">
        <v>4562</v>
      </c>
      <c r="D1436" s="1733">
        <v>1.8784722222222223E-2</v>
      </c>
      <c r="E1436" s="1489" t="s">
        <v>5456</v>
      </c>
      <c r="F1436" s="1489" t="s">
        <v>11560</v>
      </c>
      <c r="G1436" s="1815">
        <v>0.56869999999999998</v>
      </c>
      <c r="H1436" s="1489"/>
      <c r="I1436" s="1489"/>
      <c r="J1436" s="1370"/>
      <c r="K1436" s="1370"/>
    </row>
    <row r="1437" spans="1:24" s="80" customFormat="1" ht="12.75" customHeight="1" x14ac:dyDescent="0.2">
      <c r="A1437" s="1384">
        <v>43466</v>
      </c>
      <c r="B1437" s="1489" t="s">
        <v>4561</v>
      </c>
      <c r="C1437" s="1489" t="s">
        <v>4562</v>
      </c>
      <c r="D1437" s="1733">
        <v>1.894675925925926E-2</v>
      </c>
      <c r="E1437" s="1489" t="s">
        <v>11468</v>
      </c>
      <c r="F1437" s="1489" t="s">
        <v>11469</v>
      </c>
      <c r="G1437" s="1815">
        <v>0.56379999999999997</v>
      </c>
      <c r="H1437" s="1489"/>
      <c r="I1437" s="1489"/>
      <c r="J1437" s="1370"/>
      <c r="K1437" s="1370"/>
    </row>
    <row r="1438" spans="1:24" s="80" customFormat="1" ht="12.75" customHeight="1" x14ac:dyDescent="0.2">
      <c r="A1438" s="1384">
        <v>43466</v>
      </c>
      <c r="B1438" s="1489" t="s">
        <v>4561</v>
      </c>
      <c r="C1438" s="1489" t="s">
        <v>4562</v>
      </c>
      <c r="D1438" s="1733">
        <v>1.9988425925925927E-2</v>
      </c>
      <c r="E1438" s="1489" t="s">
        <v>11470</v>
      </c>
      <c r="F1438" s="1489" t="s">
        <v>11471</v>
      </c>
      <c r="G1438" s="1815">
        <v>0.53449999999999998</v>
      </c>
      <c r="H1438" s="1489"/>
      <c r="I1438" s="1489"/>
      <c r="J1438" s="1370"/>
      <c r="K1438" s="1370"/>
    </row>
    <row r="1439" spans="1:24" s="80" customFormat="1" ht="12.75" customHeight="1" x14ac:dyDescent="0.2">
      <c r="A1439" s="523">
        <v>43750</v>
      </c>
      <c r="B1439" s="1489" t="s">
        <v>3184</v>
      </c>
      <c r="C1439" s="1489" t="s">
        <v>3185</v>
      </c>
      <c r="D1439" s="1733">
        <v>3.8483796296296294E-2</v>
      </c>
      <c r="E1439" s="1489" t="s">
        <v>15786</v>
      </c>
      <c r="F1439" s="1578" t="s">
        <v>15833</v>
      </c>
      <c r="G1439" s="1815">
        <v>0.31130000000000002</v>
      </c>
    </row>
    <row r="1440" spans="1:24" s="80" customFormat="1" ht="12.75" customHeight="1" x14ac:dyDescent="0.2">
      <c r="A1440" s="1751">
        <v>43792</v>
      </c>
      <c r="B1440" s="1404" t="s">
        <v>13272</v>
      </c>
      <c r="C1440" s="1404" t="s">
        <v>16102</v>
      </c>
      <c r="D1440" s="1786">
        <v>1.954861111111111E-2</v>
      </c>
      <c r="E1440" s="1489" t="s">
        <v>16077</v>
      </c>
      <c r="F1440" s="1489" t="s">
        <v>16116</v>
      </c>
      <c r="G1440" s="1817">
        <v>0.60150000000000003</v>
      </c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</row>
    <row r="1441" spans="1:24" s="80" customFormat="1" ht="12.75" customHeight="1" x14ac:dyDescent="0.2">
      <c r="A1441" s="1384">
        <v>43617</v>
      </c>
      <c r="B1441" s="1489" t="s">
        <v>10839</v>
      </c>
      <c r="C1441" s="1489" t="s">
        <v>10840</v>
      </c>
      <c r="D1441" s="1836">
        <v>1.2731481481481481E-2</v>
      </c>
      <c r="E1441" s="1568" t="s">
        <v>12808</v>
      </c>
      <c r="F1441" s="1568" t="s">
        <v>12790</v>
      </c>
      <c r="G1441" s="1819">
        <v>0.70909999999999995</v>
      </c>
      <c r="H1441" s="1489"/>
      <c r="I1441" s="1489"/>
      <c r="J1441" s="1370"/>
      <c r="K1441" s="1370"/>
    </row>
    <row r="1442" spans="1:24" s="80" customFormat="1" ht="12.75" customHeight="1" x14ac:dyDescent="0.2">
      <c r="A1442" s="1384">
        <v>43610</v>
      </c>
      <c r="B1442" s="1489" t="s">
        <v>10839</v>
      </c>
      <c r="C1442" s="1489" t="s">
        <v>10840</v>
      </c>
      <c r="D1442" s="1733">
        <v>1.269675925925926E-2</v>
      </c>
      <c r="E1442" s="1489" t="s">
        <v>12740</v>
      </c>
      <c r="F1442" s="1489" t="s">
        <v>12720</v>
      </c>
      <c r="G1442" s="1815">
        <v>0.71099999999999997</v>
      </c>
      <c r="H1442" s="1489"/>
      <c r="I1442" s="1489"/>
      <c r="J1442" s="1370"/>
      <c r="K1442" s="1370"/>
    </row>
    <row r="1443" spans="1:24" s="80" customFormat="1" ht="12.75" customHeight="1" x14ac:dyDescent="0.2">
      <c r="A1443" s="1384">
        <v>43603</v>
      </c>
      <c r="B1443" s="1489" t="s">
        <v>10839</v>
      </c>
      <c r="C1443" s="1489" t="s">
        <v>10840</v>
      </c>
      <c r="D1443" s="1733">
        <v>1.2858796296296297E-2</v>
      </c>
      <c r="E1443" s="1489" t="s">
        <v>12687</v>
      </c>
      <c r="F1443" s="1489" t="s">
        <v>12703</v>
      </c>
      <c r="G1443" s="1815">
        <v>0.70209999999999995</v>
      </c>
      <c r="H1443" s="1489"/>
      <c r="I1443" s="1489"/>
      <c r="J1443" s="1370"/>
      <c r="K1443" s="1370"/>
    </row>
    <row r="1444" spans="1:24" s="80" customFormat="1" ht="12.75" customHeight="1" x14ac:dyDescent="0.2">
      <c r="A1444" s="1729">
        <v>43729</v>
      </c>
      <c r="B1444" s="1489" t="s">
        <v>10186</v>
      </c>
      <c r="C1444" s="1489" t="s">
        <v>10187</v>
      </c>
      <c r="D1444" s="1686">
        <v>2.2916666666666665E-2</v>
      </c>
      <c r="E1444" s="1489" t="s">
        <v>15580</v>
      </c>
      <c r="F1444" s="1489" t="s">
        <v>15605</v>
      </c>
      <c r="G1444" s="1815">
        <v>0.502</v>
      </c>
      <c r="I1444" s="1514"/>
      <c r="L1444" s="1370"/>
      <c r="M1444" s="1370"/>
      <c r="N1444" s="1370"/>
      <c r="O1444" s="1370"/>
      <c r="P1444" s="1370"/>
      <c r="Q1444" s="1370"/>
      <c r="R1444" s="1370"/>
      <c r="S1444" s="1370"/>
      <c r="T1444" s="1370"/>
      <c r="U1444" s="1370"/>
      <c r="V1444" s="1370"/>
      <c r="W1444" s="1370"/>
      <c r="X1444" s="1370"/>
    </row>
    <row r="1445" spans="1:24" s="80" customFormat="1" ht="12.75" customHeight="1" x14ac:dyDescent="0.2">
      <c r="A1445" s="523">
        <v>43722</v>
      </c>
      <c r="B1445" s="1489" t="s">
        <v>10186</v>
      </c>
      <c r="C1445" s="1489" t="s">
        <v>10187</v>
      </c>
      <c r="D1445" s="1686">
        <v>2.3043981481481478E-2</v>
      </c>
      <c r="E1445" s="1489" t="s">
        <v>15464</v>
      </c>
      <c r="F1445" s="1489" t="s">
        <v>15539</v>
      </c>
      <c r="G1445" s="1815">
        <v>0.49919999999999998</v>
      </c>
      <c r="I1445" s="1514" t="s">
        <v>15540</v>
      </c>
      <c r="L1445" s="1370"/>
      <c r="M1445" s="1370"/>
      <c r="N1445" s="1370"/>
      <c r="O1445" s="1370"/>
      <c r="P1445" s="1370"/>
      <c r="Q1445" s="1370"/>
      <c r="R1445" s="1370"/>
      <c r="S1445" s="1370"/>
      <c r="T1445" s="1370"/>
      <c r="U1445" s="1370"/>
      <c r="V1445" s="1370"/>
      <c r="W1445" s="1370"/>
      <c r="X1445" s="1370"/>
    </row>
    <row r="1446" spans="1:24" s="80" customFormat="1" x14ac:dyDescent="0.2">
      <c r="A1446" s="1384">
        <v>43610</v>
      </c>
      <c r="B1446" s="1489" t="s">
        <v>10186</v>
      </c>
      <c r="C1446" s="1489" t="s">
        <v>10187</v>
      </c>
      <c r="D1446" s="1733">
        <v>2.2962962962962966E-2</v>
      </c>
      <c r="E1446" s="1489" t="s">
        <v>12739</v>
      </c>
      <c r="F1446" s="1489"/>
      <c r="G1446" s="1815">
        <v>0.495</v>
      </c>
      <c r="H1446" s="1489"/>
      <c r="I1446" s="1489"/>
      <c r="J1446" s="1370"/>
      <c r="K1446" s="1370"/>
      <c r="L1446" s="1370"/>
      <c r="M1446" s="1370"/>
      <c r="N1446" s="1370"/>
      <c r="O1446" s="1370"/>
      <c r="P1446" s="1370"/>
      <c r="Q1446" s="1370"/>
      <c r="R1446" s="1370"/>
      <c r="S1446" s="1370"/>
      <c r="T1446" s="1370"/>
      <c r="U1446" s="1370"/>
      <c r="V1446" s="1370"/>
      <c r="W1446" s="1370"/>
      <c r="X1446" s="1370"/>
    </row>
    <row r="1447" spans="1:24" s="80" customFormat="1" x14ac:dyDescent="0.2">
      <c r="A1447" s="1384">
        <v>43582</v>
      </c>
      <c r="B1447" s="1489" t="s">
        <v>10186</v>
      </c>
      <c r="C1447" s="1489" t="s">
        <v>10187</v>
      </c>
      <c r="D1447" s="1733">
        <v>2.2777777777777775E-2</v>
      </c>
      <c r="E1447" s="1489" t="s">
        <v>1002</v>
      </c>
      <c r="F1447" s="1489" t="s">
        <v>12622</v>
      </c>
      <c r="G1447" s="1815">
        <v>0.499</v>
      </c>
      <c r="H1447" s="1489"/>
      <c r="I1447" s="1489"/>
      <c r="J1447" s="1370"/>
      <c r="K1447" s="1370"/>
    </row>
    <row r="1448" spans="1:24" s="80" customFormat="1" x14ac:dyDescent="0.2">
      <c r="A1448" s="1384">
        <v>43554</v>
      </c>
      <c r="B1448" s="1489" t="s">
        <v>10186</v>
      </c>
      <c r="C1448" s="1489" t="s">
        <v>10187</v>
      </c>
      <c r="D1448" s="1733">
        <v>2.2013888888888888E-2</v>
      </c>
      <c r="E1448" s="1489" t="s">
        <v>12253</v>
      </c>
      <c r="F1448" s="1489" t="s">
        <v>12252</v>
      </c>
      <c r="G1448" s="1815">
        <v>0.51629999999999998</v>
      </c>
      <c r="H1448" s="1489"/>
      <c r="I1448" s="1489"/>
      <c r="J1448" s="1370"/>
      <c r="K1448" s="1370"/>
      <c r="L1448" s="1370"/>
      <c r="M1448" s="1370"/>
      <c r="N1448" s="1370"/>
      <c r="O1448" s="1370"/>
      <c r="P1448" s="1370"/>
      <c r="Q1448" s="1370"/>
      <c r="R1448" s="1370"/>
      <c r="S1448" s="1370"/>
      <c r="T1448" s="1370"/>
      <c r="U1448" s="1370"/>
      <c r="V1448" s="1370"/>
      <c r="W1448" s="1370"/>
      <c r="X1448" s="1370"/>
    </row>
    <row r="1449" spans="1:24" s="80" customFormat="1" x14ac:dyDescent="0.2">
      <c r="A1449" s="34">
        <v>43824</v>
      </c>
      <c r="B1449" s="1489" t="s">
        <v>2349</v>
      </c>
      <c r="C1449" s="1489" t="s">
        <v>2350</v>
      </c>
      <c r="D1449" s="1621">
        <v>1.6516203703703703E-2</v>
      </c>
      <c r="E1449" s="1489" t="s">
        <v>16368</v>
      </c>
      <c r="F1449" s="1489"/>
      <c r="G1449" s="1817">
        <v>0.71340000000000003</v>
      </c>
      <c r="H1449" s="1404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</row>
    <row r="1450" spans="1:24" s="80" customFormat="1" x14ac:dyDescent="0.2">
      <c r="A1450" s="1765">
        <v>43813</v>
      </c>
      <c r="B1450" s="1489" t="s">
        <v>2349</v>
      </c>
      <c r="C1450" s="1489" t="s">
        <v>2350</v>
      </c>
      <c r="D1450" s="1621">
        <v>1.8206018518518517E-2</v>
      </c>
      <c r="E1450" s="1489" t="s">
        <v>16264</v>
      </c>
      <c r="F1450" s="1489" t="s">
        <v>6132</v>
      </c>
      <c r="G1450" s="1817">
        <v>0.6472</v>
      </c>
      <c r="H1450" s="1404"/>
      <c r="I1450" s="1404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 s="80" customFormat="1" x14ac:dyDescent="0.2">
      <c r="A1451" s="523">
        <v>43715</v>
      </c>
      <c r="B1451" s="1489" t="s">
        <v>2349</v>
      </c>
      <c r="C1451" s="1489" t="s">
        <v>2350</v>
      </c>
      <c r="D1451" s="1732">
        <v>1.5671296296296298E-2</v>
      </c>
      <c r="E1451" s="1514" t="s">
        <v>15429</v>
      </c>
      <c r="F1451" s="1489" t="s">
        <v>15445</v>
      </c>
      <c r="G1451" s="1822">
        <v>0.75180000000000002</v>
      </c>
      <c r="H1451" s="1514"/>
      <c r="I1451" s="1514"/>
      <c r="L1451" s="1370"/>
      <c r="M1451" s="1370"/>
      <c r="N1451" s="1370"/>
      <c r="O1451" s="1370"/>
      <c r="P1451" s="1370"/>
      <c r="Q1451" s="1370"/>
      <c r="R1451" s="1370"/>
      <c r="S1451" s="1370"/>
      <c r="T1451" s="1370"/>
      <c r="U1451" s="1370"/>
      <c r="V1451" s="1370"/>
      <c r="W1451" s="1370"/>
      <c r="X1451" s="1370"/>
    </row>
    <row r="1452" spans="1:24" s="80" customFormat="1" x14ac:dyDescent="0.2">
      <c r="A1452" s="1384">
        <v>43680</v>
      </c>
      <c r="B1452" s="1489" t="s">
        <v>2349</v>
      </c>
      <c r="C1452" s="1489" t="s">
        <v>2350</v>
      </c>
      <c r="D1452" s="1686">
        <v>1.5578703703703704E-2</v>
      </c>
      <c r="E1452" s="1489" t="s">
        <v>13367</v>
      </c>
      <c r="F1452" s="1489" t="s">
        <v>13398</v>
      </c>
      <c r="G1452" s="1815">
        <v>0.75629999999999997</v>
      </c>
      <c r="H1452" s="1514"/>
      <c r="I1452" s="1514"/>
      <c r="L1452" s="1370"/>
      <c r="M1452" s="1370"/>
      <c r="N1452" s="1370"/>
      <c r="O1452" s="1370"/>
      <c r="P1452" s="1370"/>
      <c r="Q1452" s="1370"/>
      <c r="R1452" s="1370"/>
      <c r="S1452" s="1370"/>
      <c r="T1452" s="1370"/>
      <c r="U1452" s="1370"/>
      <c r="V1452" s="1370"/>
      <c r="W1452" s="1370"/>
      <c r="X1452" s="1370"/>
    </row>
    <row r="1453" spans="1:24" s="80" customFormat="1" x14ac:dyDescent="0.2">
      <c r="A1453" s="1384">
        <v>43673</v>
      </c>
      <c r="B1453" s="1489" t="s">
        <v>2349</v>
      </c>
      <c r="C1453" s="1489" t="s">
        <v>2350</v>
      </c>
      <c r="D1453" s="1686">
        <v>1.5625E-2</v>
      </c>
      <c r="E1453" s="1489" t="s">
        <v>13302</v>
      </c>
      <c r="F1453" s="1489"/>
      <c r="G1453" s="1815">
        <v>0.75409999999999999</v>
      </c>
      <c r="H1453" s="1514"/>
      <c r="I1453" s="1514"/>
      <c r="L1453" s="1370"/>
      <c r="M1453" s="1370"/>
      <c r="N1453" s="1370"/>
      <c r="O1453" s="1370"/>
      <c r="P1453" s="1370"/>
      <c r="Q1453" s="1370"/>
      <c r="R1453" s="1370"/>
      <c r="S1453" s="1370"/>
      <c r="T1453" s="1370"/>
      <c r="U1453" s="1370"/>
      <c r="V1453" s="1370"/>
      <c r="W1453" s="1370"/>
      <c r="X1453" s="1370"/>
    </row>
    <row r="1454" spans="1:24" s="80" customFormat="1" x14ac:dyDescent="0.2">
      <c r="A1454" s="523">
        <v>43666</v>
      </c>
      <c r="B1454" s="1489" t="s">
        <v>2349</v>
      </c>
      <c r="C1454" s="1489" t="s">
        <v>2350</v>
      </c>
      <c r="D1454" s="1686">
        <v>1.576388888888889E-2</v>
      </c>
      <c r="E1454" s="1489" t="s">
        <v>13197</v>
      </c>
      <c r="F1454" s="1489"/>
      <c r="G1454" s="1815">
        <v>0.74739999999999995</v>
      </c>
      <c r="H1454" s="1514"/>
      <c r="I1454" s="1514"/>
      <c r="L1454" s="1370"/>
      <c r="M1454" s="1370"/>
      <c r="N1454" s="1370"/>
      <c r="O1454" s="1370"/>
      <c r="P1454" s="1370"/>
      <c r="Q1454" s="1370"/>
      <c r="R1454" s="1370"/>
      <c r="S1454" s="1370"/>
      <c r="T1454" s="1370"/>
      <c r="U1454" s="1370"/>
      <c r="V1454" s="1370"/>
      <c r="W1454" s="1370"/>
      <c r="X1454" s="1370"/>
    </row>
    <row r="1455" spans="1:24" s="80" customFormat="1" x14ac:dyDescent="0.2">
      <c r="A1455" s="523">
        <v>43652</v>
      </c>
      <c r="B1455" s="1489" t="s">
        <v>2349</v>
      </c>
      <c r="C1455" s="1489" t="s">
        <v>2350</v>
      </c>
      <c r="D1455" s="1686">
        <v>1.5960648148148147E-2</v>
      </c>
      <c r="E1455" s="1489" t="s">
        <v>13071</v>
      </c>
      <c r="F1455" s="1489" t="s">
        <v>13108</v>
      </c>
      <c r="G1455" s="1815">
        <v>0.73819999999999997</v>
      </c>
      <c r="H1455" s="1489"/>
      <c r="I1455" s="1514"/>
      <c r="L1455" s="1370"/>
      <c r="M1455" s="1370"/>
      <c r="N1455" s="1370"/>
      <c r="O1455" s="1370"/>
      <c r="P1455" s="1370"/>
      <c r="Q1455" s="1370"/>
      <c r="R1455" s="1370"/>
      <c r="S1455" s="1370"/>
      <c r="T1455" s="1370"/>
      <c r="U1455" s="1370"/>
      <c r="V1455" s="1370"/>
      <c r="W1455" s="1370"/>
      <c r="X1455" s="1370"/>
    </row>
    <row r="1456" spans="1:24" s="80" customFormat="1" x14ac:dyDescent="0.2">
      <c r="A1456" s="523">
        <v>43638</v>
      </c>
      <c r="B1456" s="1489" t="s">
        <v>2349</v>
      </c>
      <c r="C1456" s="1489" t="s">
        <v>2350</v>
      </c>
      <c r="D1456" s="1835">
        <v>1.5231481481481483E-2</v>
      </c>
      <c r="E1456" s="1569" t="s">
        <v>12991</v>
      </c>
      <c r="F1456" s="1569" t="s">
        <v>12975</v>
      </c>
      <c r="G1456" s="1818">
        <v>0.77359999999999995</v>
      </c>
      <c r="H1456" s="1514"/>
      <c r="I1456" s="1514"/>
      <c r="L1456" s="1370"/>
      <c r="M1456" s="1370"/>
      <c r="N1456" s="1370"/>
      <c r="O1456" s="1370"/>
      <c r="P1456" s="1370"/>
      <c r="Q1456" s="1370"/>
      <c r="R1456" s="1370"/>
      <c r="S1456" s="1370"/>
      <c r="T1456" s="1370"/>
      <c r="U1456" s="1370"/>
      <c r="V1456" s="1370"/>
      <c r="W1456" s="1370"/>
      <c r="X1456" s="1370"/>
    </row>
    <row r="1457" spans="1:24" s="80" customFormat="1" x14ac:dyDescent="0.2">
      <c r="A1457" s="523">
        <v>43624</v>
      </c>
      <c r="B1457" s="1489" t="s">
        <v>2349</v>
      </c>
      <c r="C1457" s="1489" t="s">
        <v>2350</v>
      </c>
      <c r="D1457" s="1835">
        <v>1.5509259259259257E-2</v>
      </c>
      <c r="E1457" s="1569" t="s">
        <v>12860</v>
      </c>
      <c r="F1457" s="1569" t="s">
        <v>12866</v>
      </c>
      <c r="G1457" s="1818">
        <v>0.75970000000000004</v>
      </c>
      <c r="H1457" s="1514"/>
      <c r="I1457" s="1514"/>
      <c r="L1457" s="1370"/>
      <c r="M1457" s="1370"/>
      <c r="N1457" s="1370"/>
      <c r="O1457" s="1370"/>
      <c r="P1457" s="1370"/>
      <c r="Q1457" s="1370"/>
      <c r="R1457" s="1370"/>
      <c r="S1457" s="1370"/>
      <c r="T1457" s="1370"/>
      <c r="U1457" s="1370"/>
      <c r="V1457" s="1370"/>
      <c r="W1457" s="1370"/>
      <c r="X1457" s="1370"/>
    </row>
    <row r="1458" spans="1:24" s="80" customFormat="1" x14ac:dyDescent="0.2">
      <c r="A1458" s="1384">
        <v>43596</v>
      </c>
      <c r="B1458" s="1489" t="s">
        <v>2349</v>
      </c>
      <c r="C1458" s="1489" t="s">
        <v>2350</v>
      </c>
      <c r="D1458" s="1733">
        <v>1.5821759259259261E-2</v>
      </c>
      <c r="E1458" s="1489" t="s">
        <v>12524</v>
      </c>
      <c r="F1458" s="1489" t="s">
        <v>12523</v>
      </c>
      <c r="G1458" s="1815">
        <v>0.7359</v>
      </c>
      <c r="H1458" s="1489"/>
      <c r="I1458" s="1489"/>
      <c r="J1458" s="1370"/>
      <c r="K1458" s="1370"/>
      <c r="L1458" s="1370"/>
      <c r="M1458" s="1370"/>
      <c r="N1458" s="1370"/>
      <c r="O1458" s="1370"/>
      <c r="P1458" s="1370"/>
      <c r="Q1458" s="1370"/>
      <c r="R1458" s="1370"/>
      <c r="S1458" s="1370"/>
      <c r="T1458" s="1370"/>
      <c r="U1458" s="1370"/>
      <c r="V1458" s="1370"/>
      <c r="W1458" s="1370"/>
      <c r="X1458" s="1370"/>
    </row>
    <row r="1459" spans="1:24" s="80" customFormat="1" x14ac:dyDescent="0.2">
      <c r="A1459" s="1384">
        <v>43554</v>
      </c>
      <c r="B1459" s="1489" t="s">
        <v>2349</v>
      </c>
      <c r="C1459" s="1489" t="s">
        <v>2350</v>
      </c>
      <c r="D1459" s="1733">
        <v>1.5983796296296295E-2</v>
      </c>
      <c r="E1459" s="1489" t="s">
        <v>12238</v>
      </c>
      <c r="F1459" s="1489" t="s">
        <v>12249</v>
      </c>
      <c r="G1459" s="1815">
        <v>0.72850000000000004</v>
      </c>
      <c r="H1459" s="1489"/>
      <c r="I1459" s="1489"/>
      <c r="J1459" s="1370"/>
      <c r="K1459" s="1370"/>
      <c r="L1459" s="1370"/>
      <c r="M1459" s="1370"/>
      <c r="N1459" s="1370"/>
      <c r="O1459" s="1370"/>
      <c r="P1459" s="1370"/>
      <c r="Q1459" s="1370"/>
      <c r="R1459" s="1370"/>
      <c r="S1459" s="1370"/>
      <c r="T1459" s="1370"/>
      <c r="U1459" s="1370"/>
      <c r="V1459" s="1370"/>
      <c r="W1459" s="1370"/>
      <c r="X1459" s="1370"/>
    </row>
    <row r="1460" spans="1:24" s="80" customFormat="1" x14ac:dyDescent="0.2">
      <c r="A1460" s="1384">
        <v>43547</v>
      </c>
      <c r="B1460" s="1489" t="s">
        <v>2349</v>
      </c>
      <c r="C1460" s="1489" t="s">
        <v>2350</v>
      </c>
      <c r="D1460" s="1733">
        <v>1.6770833333333332E-2</v>
      </c>
      <c r="E1460" s="1489" t="s">
        <v>12195</v>
      </c>
      <c r="F1460" s="1489" t="s">
        <v>12194</v>
      </c>
      <c r="G1460" s="1815">
        <v>0.69430000000000003</v>
      </c>
      <c r="H1460" s="1489"/>
      <c r="I1460" s="1489"/>
      <c r="J1460" s="1370"/>
      <c r="K1460" s="1370"/>
      <c r="L1460" s="1370"/>
      <c r="M1460" s="1370"/>
      <c r="N1460" s="1370"/>
      <c r="O1460" s="1370"/>
      <c r="P1460" s="1370"/>
      <c r="Q1460" s="1370"/>
      <c r="R1460" s="1370"/>
      <c r="S1460" s="1370"/>
      <c r="T1460" s="1370"/>
      <c r="U1460" s="1370"/>
      <c r="V1460" s="1370"/>
      <c r="W1460" s="1370"/>
      <c r="X1460" s="1370"/>
    </row>
    <row r="1461" spans="1:24" s="80" customFormat="1" x14ac:dyDescent="0.2">
      <c r="A1461" s="1384">
        <v>43540</v>
      </c>
      <c r="B1461" s="1489" t="s">
        <v>2349</v>
      </c>
      <c r="C1461" s="1489" t="s">
        <v>2350</v>
      </c>
      <c r="D1461" s="1733">
        <v>1.9166666666666669E-2</v>
      </c>
      <c r="E1461" s="1489" t="s">
        <v>12126</v>
      </c>
      <c r="F1461" s="1489" t="s">
        <v>12127</v>
      </c>
      <c r="G1461" s="1815">
        <v>0.60750000000000004</v>
      </c>
      <c r="H1461" s="1489"/>
      <c r="I1461" s="1489"/>
      <c r="J1461" s="1370"/>
      <c r="K1461" s="1370"/>
      <c r="L1461" s="1370"/>
      <c r="M1461" s="1370"/>
      <c r="N1461" s="1370"/>
      <c r="O1461" s="1370"/>
      <c r="P1461" s="1370"/>
      <c r="Q1461" s="1370"/>
      <c r="R1461" s="1370"/>
      <c r="S1461" s="1370"/>
      <c r="T1461" s="1370"/>
      <c r="U1461" s="1370"/>
      <c r="V1461" s="1370"/>
      <c r="W1461" s="1370"/>
      <c r="X1461" s="1370"/>
    </row>
    <row r="1462" spans="1:24" s="80" customFormat="1" x14ac:dyDescent="0.2">
      <c r="A1462" s="1384">
        <v>43519</v>
      </c>
      <c r="B1462" s="1489" t="s">
        <v>2349</v>
      </c>
      <c r="C1462" s="1489" t="s">
        <v>2350</v>
      </c>
      <c r="D1462" s="1733">
        <v>1.6099537037037037E-2</v>
      </c>
      <c r="E1462" s="1489" t="s">
        <v>5198</v>
      </c>
      <c r="F1462" s="1489" t="s">
        <v>11891</v>
      </c>
      <c r="G1462" s="1815">
        <v>0.72319999999999995</v>
      </c>
      <c r="H1462" s="1489"/>
      <c r="I1462" s="1489"/>
      <c r="J1462" s="1370"/>
      <c r="K1462" s="1370"/>
      <c r="L1462" s="1370"/>
      <c r="M1462" s="1370"/>
      <c r="N1462" s="1370"/>
      <c r="O1462" s="1370"/>
      <c r="P1462" s="1370"/>
      <c r="Q1462" s="1370"/>
      <c r="R1462" s="1370"/>
      <c r="S1462" s="1370"/>
      <c r="T1462" s="1370"/>
      <c r="U1462" s="1370"/>
      <c r="V1462" s="1370"/>
      <c r="W1462" s="1370"/>
      <c r="X1462" s="1370"/>
    </row>
    <row r="1463" spans="1:24" s="80" customFormat="1" x14ac:dyDescent="0.2">
      <c r="A1463" s="1384">
        <v>43491</v>
      </c>
      <c r="B1463" s="1489" t="s">
        <v>2349</v>
      </c>
      <c r="C1463" s="1489" t="s">
        <v>2350</v>
      </c>
      <c r="D1463" s="1733">
        <v>1.6377314814814813E-2</v>
      </c>
      <c r="E1463" s="1489" t="s">
        <v>2431</v>
      </c>
      <c r="F1463" s="1545" t="s">
        <v>11703</v>
      </c>
      <c r="G1463" s="1815">
        <v>0.71099999999999997</v>
      </c>
      <c r="H1463" s="1489"/>
      <c r="I1463" s="1489"/>
      <c r="J1463" s="1370"/>
      <c r="K1463" s="1370"/>
      <c r="L1463" s="1370"/>
      <c r="M1463" s="1370"/>
      <c r="N1463" s="1370"/>
      <c r="O1463" s="1370"/>
      <c r="P1463" s="1370"/>
      <c r="Q1463" s="1370"/>
      <c r="R1463" s="1370"/>
      <c r="S1463" s="1370"/>
      <c r="T1463" s="1370"/>
      <c r="U1463" s="1370"/>
      <c r="V1463" s="1370"/>
      <c r="W1463" s="1370"/>
      <c r="X1463" s="1370"/>
    </row>
    <row r="1464" spans="1:24" s="80" customFormat="1" x14ac:dyDescent="0.2">
      <c r="A1464" s="1384">
        <v>43484</v>
      </c>
      <c r="B1464" s="1489" t="s">
        <v>2349</v>
      </c>
      <c r="C1464" s="1489" t="s">
        <v>2350</v>
      </c>
      <c r="D1464" s="1733">
        <v>1.6342592592592593E-2</v>
      </c>
      <c r="E1464" s="1489" t="s">
        <v>2431</v>
      </c>
      <c r="F1464" s="1489" t="s">
        <v>11596</v>
      </c>
      <c r="G1464" s="1815">
        <v>0.71250000000000002</v>
      </c>
      <c r="H1464" s="1489"/>
      <c r="I1464" s="1489"/>
      <c r="J1464" s="1370"/>
      <c r="K1464" s="1370"/>
      <c r="L1464" s="1370"/>
      <c r="M1464" s="1370"/>
      <c r="N1464" s="1370"/>
      <c r="O1464" s="1370"/>
      <c r="P1464" s="1370"/>
      <c r="Q1464" s="1370"/>
      <c r="R1464" s="1370"/>
      <c r="S1464" s="1370"/>
      <c r="T1464" s="1370"/>
      <c r="U1464" s="1370"/>
      <c r="V1464" s="1370"/>
      <c r="W1464" s="1370"/>
      <c r="X1464" s="1370"/>
    </row>
    <row r="1465" spans="1:24" s="80" customFormat="1" x14ac:dyDescent="0.2">
      <c r="A1465" s="1384">
        <v>43477</v>
      </c>
      <c r="B1465" s="1489" t="s">
        <v>2349</v>
      </c>
      <c r="C1465" s="1489" t="s">
        <v>2350</v>
      </c>
      <c r="D1465" s="1733">
        <v>1.650462962962963E-2</v>
      </c>
      <c r="E1465" s="1489" t="s">
        <v>7944</v>
      </c>
      <c r="F1465" s="1489" t="s">
        <v>11597</v>
      </c>
      <c r="G1465" s="1815">
        <v>0.70550000000000002</v>
      </c>
      <c r="H1465" s="1489"/>
      <c r="I1465" s="1489"/>
      <c r="J1465" s="1370"/>
      <c r="K1465" s="1370"/>
    </row>
    <row r="1466" spans="1:24" s="80" customFormat="1" x14ac:dyDescent="0.2">
      <c r="A1466" s="1384">
        <v>43470</v>
      </c>
      <c r="B1466" s="1489" t="s">
        <v>2349</v>
      </c>
      <c r="C1466" s="1489" t="s">
        <v>2350</v>
      </c>
      <c r="D1466" s="1733">
        <v>0.1615972222222222</v>
      </c>
      <c r="E1466" s="1489" t="s">
        <v>5198</v>
      </c>
      <c r="F1466" s="1489" t="s">
        <v>11598</v>
      </c>
      <c r="G1466" s="1815">
        <v>0.70750000000000002</v>
      </c>
      <c r="H1466" s="1489"/>
      <c r="I1466" s="1489"/>
      <c r="J1466" s="1370"/>
      <c r="K1466" s="1370"/>
    </row>
    <row r="1467" spans="1:24" s="80" customFormat="1" x14ac:dyDescent="0.2">
      <c r="A1467" s="1729">
        <v>43827</v>
      </c>
      <c r="B1467" s="1489" t="s">
        <v>1794</v>
      </c>
      <c r="C1467" s="1489" t="s">
        <v>1795</v>
      </c>
      <c r="D1467" s="1733" t="s">
        <v>787</v>
      </c>
      <c r="E1467" s="1489" t="s">
        <v>16458</v>
      </c>
      <c r="F1467" s="1404" t="s">
        <v>2331</v>
      </c>
      <c r="G1467" s="181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</row>
    <row r="1468" spans="1:24" s="80" customFormat="1" x14ac:dyDescent="0.2">
      <c r="A1468" s="1673">
        <v>43820</v>
      </c>
      <c r="B1468" s="1489" t="s">
        <v>1794</v>
      </c>
      <c r="C1468" s="1489" t="s">
        <v>1795</v>
      </c>
      <c r="D1468" s="1834" t="s">
        <v>787</v>
      </c>
      <c r="E1468" t="s">
        <v>5544</v>
      </c>
      <c r="F1468" t="s">
        <v>16346</v>
      </c>
      <c r="G1468" s="314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 s="80" customFormat="1" x14ac:dyDescent="0.2">
      <c r="A1469" s="1765">
        <v>43813</v>
      </c>
      <c r="B1469" s="1489" t="s">
        <v>1794</v>
      </c>
      <c r="C1469" s="1489" t="s">
        <v>1795</v>
      </c>
      <c r="D1469" s="1733" t="s">
        <v>787</v>
      </c>
      <c r="E1469" s="1404" t="s">
        <v>5544</v>
      </c>
      <c r="F1469" s="1404" t="s">
        <v>1549</v>
      </c>
      <c r="G1469" s="1817"/>
      <c r="H1469" s="1404"/>
      <c r="I1469" s="1489" t="s">
        <v>1212</v>
      </c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</row>
    <row r="1470" spans="1:24" s="80" customFormat="1" x14ac:dyDescent="0.2">
      <c r="A1470" s="1750">
        <v>43792</v>
      </c>
      <c r="B1470" s="1489" t="s">
        <v>1794</v>
      </c>
      <c r="C1470" s="1489" t="s">
        <v>1795</v>
      </c>
      <c r="D1470" s="1621" t="s">
        <v>787</v>
      </c>
      <c r="E1470" s="1489" t="s">
        <v>5544</v>
      </c>
      <c r="F1470" s="1489" t="s">
        <v>2052</v>
      </c>
      <c r="G1470" s="1817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</row>
    <row r="1471" spans="1:24" s="80" customFormat="1" x14ac:dyDescent="0.2">
      <c r="A1471" s="1673">
        <v>43785</v>
      </c>
      <c r="B1471" s="1489" t="s">
        <v>1794</v>
      </c>
      <c r="C1471" s="1489" t="s">
        <v>1795</v>
      </c>
      <c r="D1471" s="1732" t="s">
        <v>787</v>
      </c>
      <c r="E1471" s="1514" t="s">
        <v>15993</v>
      </c>
      <c r="F1471" s="1514"/>
      <c r="G1471" s="1825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 s="80" customFormat="1" x14ac:dyDescent="0.2">
      <c r="A1472" s="1384">
        <v>43778</v>
      </c>
      <c r="B1472" s="1489" t="s">
        <v>1794</v>
      </c>
      <c r="C1472" s="1489" t="s">
        <v>1795</v>
      </c>
      <c r="D1472" s="1744">
        <v>4.0092592592592589E-2</v>
      </c>
      <c r="E1472" s="1723" t="s">
        <v>15958</v>
      </c>
      <c r="F1472" s="1723" t="s">
        <v>15946</v>
      </c>
      <c r="G1472" s="1820">
        <v>0.32819999999999999</v>
      </c>
      <c r="H1472" s="1370"/>
      <c r="I1472" s="1370"/>
      <c r="J1472" s="1370"/>
      <c r="K1472" s="1370"/>
      <c r="L1472" s="1370"/>
      <c r="M1472" s="1370"/>
      <c r="N1472" s="1370"/>
      <c r="O1472" s="1370"/>
      <c r="P1472" s="1370"/>
      <c r="Q1472" s="1370"/>
      <c r="R1472" s="1370"/>
      <c r="S1472" s="1370"/>
      <c r="T1472" s="1370"/>
      <c r="U1472" s="1370"/>
      <c r="V1472" s="1370"/>
      <c r="W1472" s="1370"/>
      <c r="X1472" s="1370"/>
    </row>
    <row r="1473" spans="1:24" s="80" customFormat="1" x14ac:dyDescent="0.2">
      <c r="A1473" s="523">
        <v>43757</v>
      </c>
      <c r="B1473" s="1489" t="s">
        <v>1794</v>
      </c>
      <c r="C1473" s="1489" t="s">
        <v>1795</v>
      </c>
      <c r="D1473" s="1686" t="s">
        <v>787</v>
      </c>
      <c r="E1473" s="1489" t="s">
        <v>5544</v>
      </c>
      <c r="F1473" s="1489" t="s">
        <v>4061</v>
      </c>
      <c r="G1473" s="1815"/>
    </row>
    <row r="1474" spans="1:24" s="80" customFormat="1" x14ac:dyDescent="0.2">
      <c r="A1474" s="523">
        <v>43750</v>
      </c>
      <c r="B1474" s="1489" t="s">
        <v>1794</v>
      </c>
      <c r="C1474" s="1489" t="s">
        <v>1795</v>
      </c>
      <c r="D1474" s="1686">
        <v>3.847222222222222E-2</v>
      </c>
      <c r="E1474" s="1489" t="s">
        <v>15786</v>
      </c>
      <c r="F1474" s="1489" t="s">
        <v>15811</v>
      </c>
      <c r="G1474" s="1815">
        <v>0.34210000000000002</v>
      </c>
    </row>
    <row r="1475" spans="1:24" s="80" customFormat="1" x14ac:dyDescent="0.2">
      <c r="A1475" s="1729">
        <v>43743</v>
      </c>
      <c r="B1475" s="1489" t="s">
        <v>1794</v>
      </c>
      <c r="C1475" s="1489" t="s">
        <v>1795</v>
      </c>
      <c r="D1475" s="1731">
        <v>3.2303240740740737E-2</v>
      </c>
      <c r="E1475" s="1514" t="s">
        <v>15717</v>
      </c>
      <c r="F1475" s="80" t="s">
        <v>15736</v>
      </c>
      <c r="G1475" s="317">
        <v>0.40739999999999998</v>
      </c>
      <c r="L1475" s="1370"/>
      <c r="M1475" s="1370"/>
      <c r="N1475" s="1370"/>
      <c r="O1475" s="1370"/>
      <c r="P1475" s="1370"/>
      <c r="Q1475" s="1370"/>
      <c r="R1475" s="1370"/>
      <c r="S1475" s="1370"/>
      <c r="T1475" s="1370"/>
      <c r="U1475" s="1370"/>
      <c r="V1475" s="1370"/>
      <c r="W1475" s="1370"/>
      <c r="X1475" s="1370"/>
    </row>
    <row r="1476" spans="1:24" s="80" customFormat="1" x14ac:dyDescent="0.2">
      <c r="A1476" s="1729">
        <v>43736</v>
      </c>
      <c r="B1476" s="1489" t="s">
        <v>1794</v>
      </c>
      <c r="C1476" s="1489" t="s">
        <v>1795</v>
      </c>
      <c r="D1476" s="1686">
        <v>4.1122685185185186E-2</v>
      </c>
      <c r="E1476" s="1489" t="s">
        <v>15647</v>
      </c>
      <c r="F1476" s="1489" t="s">
        <v>8160</v>
      </c>
      <c r="G1476" s="1815">
        <v>0.32</v>
      </c>
    </row>
    <row r="1477" spans="1:24" s="80" customFormat="1" x14ac:dyDescent="0.2">
      <c r="A1477" s="1729">
        <v>43729</v>
      </c>
      <c r="B1477" s="1489" t="s">
        <v>1794</v>
      </c>
      <c r="C1477" s="1489" t="s">
        <v>1795</v>
      </c>
      <c r="D1477" s="1686">
        <v>2.7719907407407408E-2</v>
      </c>
      <c r="E1477" s="1489" t="s">
        <v>15578</v>
      </c>
      <c r="F1477" s="1489" t="s">
        <v>15583</v>
      </c>
      <c r="G1477" s="1815">
        <v>0.47470000000000001</v>
      </c>
    </row>
    <row r="1478" spans="1:24" s="80" customFormat="1" x14ac:dyDescent="0.2">
      <c r="A1478" s="523">
        <v>43722</v>
      </c>
      <c r="B1478" s="1489" t="s">
        <v>1794</v>
      </c>
      <c r="C1478" s="1489" t="s">
        <v>1795</v>
      </c>
      <c r="D1478" s="1686">
        <v>2.7164351851851853E-2</v>
      </c>
      <c r="E1478" s="1489" t="s">
        <v>15471</v>
      </c>
      <c r="F1478" s="1489" t="s">
        <v>15533</v>
      </c>
      <c r="G1478" s="1815">
        <v>0.4844</v>
      </c>
      <c r="I1478" s="1514"/>
    </row>
    <row r="1479" spans="1:24" s="80" customFormat="1" x14ac:dyDescent="0.2">
      <c r="A1479" s="1526">
        <v>43708</v>
      </c>
      <c r="B1479" s="1489" t="s">
        <v>1794</v>
      </c>
      <c r="C1479" s="1489" t="s">
        <v>1795</v>
      </c>
      <c r="D1479" s="1686">
        <v>2.9791666666666664E-2</v>
      </c>
      <c r="E1479" s="1489" t="s">
        <v>15360</v>
      </c>
      <c r="F1479" s="1489"/>
      <c r="G1479" s="1815">
        <v>0.44169999999999998</v>
      </c>
      <c r="H1479" s="1489"/>
      <c r="I1479" s="1489"/>
      <c r="J1479" s="1489"/>
    </row>
    <row r="1480" spans="1:24" s="80" customFormat="1" x14ac:dyDescent="0.2">
      <c r="A1480" s="1526">
        <v>43701</v>
      </c>
      <c r="B1480" s="1489" t="s">
        <v>1794</v>
      </c>
      <c r="C1480" s="1489" t="s">
        <v>1795</v>
      </c>
      <c r="D1480" s="1686">
        <v>2.732638888888889E-2</v>
      </c>
      <c r="E1480" s="1489" t="s">
        <v>15285</v>
      </c>
      <c r="F1480" s="1489" t="s">
        <v>15319</v>
      </c>
      <c r="G1480" s="1815">
        <v>0.48159999999999997</v>
      </c>
      <c r="H1480" s="1514"/>
      <c r="I1480" s="1514"/>
    </row>
    <row r="1481" spans="1:24" s="80" customFormat="1" x14ac:dyDescent="0.2">
      <c r="A1481" s="523">
        <v>43694</v>
      </c>
      <c r="B1481" s="1489" t="s">
        <v>1794</v>
      </c>
      <c r="C1481" s="1489" t="s">
        <v>1795</v>
      </c>
      <c r="D1481" s="1733">
        <v>2.6828703703703705E-2</v>
      </c>
      <c r="E1481" s="1489" t="s">
        <v>15162</v>
      </c>
      <c r="F1481" s="1489" t="s">
        <v>15180</v>
      </c>
      <c r="G1481" s="1815">
        <v>0.49049999999999999</v>
      </c>
      <c r="H1481" s="1514"/>
      <c r="I1481" s="1514"/>
    </row>
    <row r="1482" spans="1:24" s="80" customFormat="1" x14ac:dyDescent="0.2">
      <c r="A1482" s="523">
        <v>43687</v>
      </c>
      <c r="B1482" s="1489" t="s">
        <v>1794</v>
      </c>
      <c r="C1482" s="1489" t="s">
        <v>1795</v>
      </c>
      <c r="D1482" s="1686">
        <v>2.7013888888888889E-2</v>
      </c>
      <c r="E1482" s="1489" t="s">
        <v>13420</v>
      </c>
      <c r="F1482" s="1489" t="s">
        <v>13471</v>
      </c>
      <c r="G1482" s="1815">
        <v>0.48709999999999998</v>
      </c>
      <c r="H1482" s="1514"/>
      <c r="I1482" s="1514"/>
    </row>
    <row r="1483" spans="1:24" s="80" customFormat="1" ht="12.75" customHeight="1" x14ac:dyDescent="0.2">
      <c r="A1483" s="1384">
        <v>43680</v>
      </c>
      <c r="B1483" s="1489" t="s">
        <v>1794</v>
      </c>
      <c r="C1483" s="1489" t="s">
        <v>1795</v>
      </c>
      <c r="D1483" s="1686">
        <v>2.6828703703703705E-2</v>
      </c>
      <c r="E1483" s="1489" t="s">
        <v>13349</v>
      </c>
      <c r="F1483" s="1489" t="s">
        <v>13380</v>
      </c>
      <c r="G1483" s="1815">
        <v>0.49049999999999999</v>
      </c>
      <c r="H1483" s="1514"/>
      <c r="I1483" s="1514"/>
    </row>
    <row r="1484" spans="1:24" s="80" customFormat="1" ht="12.75" customHeight="1" x14ac:dyDescent="0.2">
      <c r="A1484" s="1384">
        <v>43673</v>
      </c>
      <c r="B1484" s="1489" t="s">
        <v>1794</v>
      </c>
      <c r="C1484" s="1489" t="s">
        <v>1795</v>
      </c>
      <c r="D1484" s="1686">
        <v>2.7581018518518519E-2</v>
      </c>
      <c r="E1484" s="1489" t="s">
        <v>13286</v>
      </c>
      <c r="F1484" s="1489" t="s">
        <v>13308</v>
      </c>
      <c r="G1484" s="1815">
        <v>0.47710000000000002</v>
      </c>
      <c r="H1484" s="1514"/>
      <c r="I1484" s="1514"/>
    </row>
    <row r="1485" spans="1:24" s="80" customFormat="1" ht="12.75" customHeight="1" x14ac:dyDescent="0.2">
      <c r="A1485" s="523">
        <v>43666</v>
      </c>
      <c r="B1485" s="1489" t="s">
        <v>1794</v>
      </c>
      <c r="C1485" s="1489" t="s">
        <v>1795</v>
      </c>
      <c r="D1485" s="1686">
        <v>2.7604166666666666E-2</v>
      </c>
      <c r="E1485" s="1489" t="s">
        <v>13204</v>
      </c>
      <c r="F1485" s="1489" t="s">
        <v>13224</v>
      </c>
      <c r="G1485" s="1815">
        <v>0.47670000000000001</v>
      </c>
      <c r="H1485" s="1514"/>
      <c r="I1485" s="1514"/>
    </row>
    <row r="1486" spans="1:24" s="80" customFormat="1" ht="12.75" customHeight="1" x14ac:dyDescent="0.2">
      <c r="A1486" s="523">
        <v>43659</v>
      </c>
      <c r="B1486" s="1489" t="s">
        <v>1794</v>
      </c>
      <c r="C1486" s="1489" t="s">
        <v>1795</v>
      </c>
      <c r="D1486" s="1686">
        <v>2.7523148148148147E-2</v>
      </c>
      <c r="E1486" s="1489" t="s">
        <v>13150</v>
      </c>
      <c r="F1486" s="1489"/>
      <c r="G1486" s="1815">
        <v>0.47810000000000002</v>
      </c>
      <c r="H1486" s="1514"/>
      <c r="I1486" s="1489"/>
    </row>
    <row r="1487" spans="1:24" s="80" customFormat="1" ht="12.75" customHeight="1" x14ac:dyDescent="0.2">
      <c r="A1487" s="523">
        <v>43652</v>
      </c>
      <c r="B1487" s="1489" t="s">
        <v>1794</v>
      </c>
      <c r="C1487" s="1489" t="s">
        <v>1795</v>
      </c>
      <c r="D1487" s="1695" t="s">
        <v>3334</v>
      </c>
      <c r="E1487" s="1514" t="s">
        <v>12510</v>
      </c>
      <c r="F1487" s="1489" t="s">
        <v>3710</v>
      </c>
      <c r="G1487" s="1815"/>
      <c r="H1487" s="1578"/>
      <c r="I1487" s="1489"/>
      <c r="J1487" s="1489"/>
      <c r="K1487" s="1489"/>
    </row>
    <row r="1488" spans="1:24" s="80" customFormat="1" ht="12.75" customHeight="1" x14ac:dyDescent="0.2">
      <c r="A1488" s="523">
        <v>43645</v>
      </c>
      <c r="B1488" s="1489" t="s">
        <v>1794</v>
      </c>
      <c r="C1488" s="1489" t="s">
        <v>1795</v>
      </c>
      <c r="D1488" s="1686">
        <v>2.809027777777778E-2</v>
      </c>
      <c r="E1488" s="1514" t="s">
        <v>13026</v>
      </c>
      <c r="F1488" s="1489" t="s">
        <v>13052</v>
      </c>
      <c r="G1488" s="1815">
        <v>0.46850000000000003</v>
      </c>
      <c r="H1488" s="1514"/>
      <c r="I1488" s="1514"/>
      <c r="L1488" s="1370"/>
      <c r="M1488" s="1370"/>
      <c r="N1488" s="1370"/>
      <c r="O1488" s="1370"/>
      <c r="P1488" s="1370"/>
      <c r="Q1488" s="1370"/>
      <c r="R1488" s="1370"/>
      <c r="S1488" s="1370"/>
      <c r="T1488" s="1370"/>
      <c r="U1488" s="1370"/>
      <c r="V1488" s="1370"/>
      <c r="W1488" s="1370"/>
      <c r="X1488" s="1370"/>
    </row>
    <row r="1489" spans="1:24" s="80" customFormat="1" ht="12.75" customHeight="1" x14ac:dyDescent="0.2">
      <c r="A1489" s="523">
        <v>43638</v>
      </c>
      <c r="B1489" s="1489" t="s">
        <v>1794</v>
      </c>
      <c r="C1489" s="1489" t="s">
        <v>1795</v>
      </c>
      <c r="D1489" s="1835">
        <v>2.6875E-2</v>
      </c>
      <c r="E1489" s="1569" t="s">
        <v>12984</v>
      </c>
      <c r="F1489" s="1569" t="s">
        <v>13005</v>
      </c>
      <c r="G1489" s="1818">
        <v>0.48970000000000002</v>
      </c>
      <c r="H1489" s="1514"/>
      <c r="I1489" s="1514"/>
    </row>
    <row r="1490" spans="1:24" s="80" customFormat="1" ht="12.75" customHeight="1" x14ac:dyDescent="0.2">
      <c r="A1490" s="523">
        <v>43631</v>
      </c>
      <c r="B1490" s="1489" t="s">
        <v>1794</v>
      </c>
      <c r="C1490" s="1489" t="s">
        <v>1795</v>
      </c>
      <c r="D1490" s="1835">
        <v>2.7835648148148151E-2</v>
      </c>
      <c r="E1490" s="1569" t="s">
        <v>12931</v>
      </c>
      <c r="F1490" s="1569" t="s">
        <v>12911</v>
      </c>
      <c r="G1490" s="1818">
        <v>0.4728</v>
      </c>
      <c r="H1490" s="1514"/>
      <c r="I1490" s="1514"/>
    </row>
    <row r="1491" spans="1:24" s="80" customFormat="1" ht="12.75" customHeight="1" x14ac:dyDescent="0.2">
      <c r="A1491" s="523">
        <v>43624</v>
      </c>
      <c r="B1491" s="1489" t="s">
        <v>1794</v>
      </c>
      <c r="C1491" s="1489" t="s">
        <v>1795</v>
      </c>
      <c r="D1491" s="1835">
        <v>2.6608796296296297E-2</v>
      </c>
      <c r="E1491" s="1569" t="s">
        <v>12853</v>
      </c>
      <c r="F1491" s="1569" t="s">
        <v>12863</v>
      </c>
      <c r="G1491" s="1818">
        <v>0.49459999999999998</v>
      </c>
      <c r="H1491" s="1514"/>
      <c r="I1491" s="1514"/>
    </row>
    <row r="1492" spans="1:24" s="80" customFormat="1" ht="12.75" customHeight="1" x14ac:dyDescent="0.2">
      <c r="A1492" s="1384">
        <v>43617</v>
      </c>
      <c r="B1492" s="1489" t="s">
        <v>1794</v>
      </c>
      <c r="C1492" s="1489" t="s">
        <v>1795</v>
      </c>
      <c r="D1492" s="1836">
        <v>2.7418981481481485E-2</v>
      </c>
      <c r="E1492" s="1568" t="s">
        <v>12829</v>
      </c>
      <c r="F1492" s="1568" t="s">
        <v>12787</v>
      </c>
      <c r="G1492" s="1819">
        <v>0.47989999999999999</v>
      </c>
      <c r="H1492" s="1489"/>
      <c r="I1492" s="1489"/>
      <c r="J1492" s="1370"/>
      <c r="K1492" s="1370"/>
    </row>
    <row r="1493" spans="1:24" s="80" customFormat="1" ht="12.75" customHeight="1" x14ac:dyDescent="0.2">
      <c r="A1493" s="1384">
        <v>43610</v>
      </c>
      <c r="B1493" s="1489" t="s">
        <v>1794</v>
      </c>
      <c r="C1493" s="1489" t="s">
        <v>1795</v>
      </c>
      <c r="D1493" s="1733">
        <v>2.75E-2</v>
      </c>
      <c r="E1493" s="1489" t="s">
        <v>12725</v>
      </c>
      <c r="F1493" s="1489" t="s">
        <v>12748</v>
      </c>
      <c r="G1493" s="1815">
        <v>0.47849999999999998</v>
      </c>
      <c r="H1493" s="1489"/>
      <c r="I1493" s="1489"/>
      <c r="J1493" s="1370"/>
      <c r="K1493" s="1370"/>
    </row>
    <row r="1494" spans="1:24" s="80" customFormat="1" ht="12.75" customHeight="1" x14ac:dyDescent="0.2">
      <c r="A1494" s="1384">
        <v>43603</v>
      </c>
      <c r="B1494" s="1489" t="s">
        <v>1794</v>
      </c>
      <c r="C1494" s="1489" t="s">
        <v>1795</v>
      </c>
      <c r="D1494" s="1733">
        <v>2.6759259259259257E-2</v>
      </c>
      <c r="E1494" s="1489" t="s">
        <v>12670</v>
      </c>
      <c r="F1494" s="1489"/>
      <c r="G1494" s="1815">
        <v>0.49180000000000001</v>
      </c>
      <c r="H1494" s="1489"/>
      <c r="I1494" s="1489"/>
      <c r="J1494" s="1370"/>
      <c r="K1494" s="1370"/>
    </row>
    <row r="1495" spans="1:24" s="80" customFormat="1" ht="12.75" customHeight="1" x14ac:dyDescent="0.2">
      <c r="A1495" s="1384">
        <v>43575</v>
      </c>
      <c r="B1495" s="1489" t="s">
        <v>1794</v>
      </c>
      <c r="C1495" s="1489" t="s">
        <v>1795</v>
      </c>
      <c r="D1495" s="1733">
        <v>2.6481481481481481E-2</v>
      </c>
      <c r="E1495" s="1489" t="s">
        <v>12448</v>
      </c>
      <c r="F1495" s="1489" t="s">
        <v>12447</v>
      </c>
      <c r="G1495" s="1815">
        <v>0.49690000000000001</v>
      </c>
      <c r="H1495" s="1489"/>
      <c r="I1495" s="1489"/>
      <c r="J1495" s="1370"/>
      <c r="K1495" s="1370"/>
    </row>
    <row r="1496" spans="1:24" s="80" customFormat="1" ht="12.75" customHeight="1" x14ac:dyDescent="0.2">
      <c r="A1496" s="1384">
        <v>43568</v>
      </c>
      <c r="B1496" s="1489" t="s">
        <v>1794</v>
      </c>
      <c r="C1496" s="1489" t="s">
        <v>1795</v>
      </c>
      <c r="D1496" s="1733">
        <v>2.5578703703703704E-2</v>
      </c>
      <c r="E1496" s="1489" t="s">
        <v>12361</v>
      </c>
      <c r="F1496" s="1489" t="s">
        <v>12362</v>
      </c>
      <c r="G1496" s="1815">
        <v>0.51449999999999996</v>
      </c>
      <c r="H1496" s="1489"/>
      <c r="I1496" s="1489"/>
      <c r="J1496" s="1370"/>
      <c r="K1496" s="1370"/>
      <c r="L1496" s="1370"/>
      <c r="M1496" s="1370"/>
      <c r="N1496" s="1370"/>
      <c r="O1496" s="1370"/>
      <c r="P1496" s="1370"/>
      <c r="Q1496" s="1370"/>
      <c r="R1496" s="1370"/>
      <c r="S1496" s="1370"/>
      <c r="T1496" s="1370"/>
      <c r="U1496" s="1370"/>
      <c r="V1496" s="1370"/>
      <c r="W1496" s="1370"/>
      <c r="X1496" s="1370"/>
    </row>
    <row r="1497" spans="1:24" s="80" customFormat="1" ht="12.75" customHeight="1" x14ac:dyDescent="0.2">
      <c r="A1497" s="1384">
        <v>43561</v>
      </c>
      <c r="B1497" s="1489" t="s">
        <v>1794</v>
      </c>
      <c r="C1497" s="1489" t="s">
        <v>1795</v>
      </c>
      <c r="D1497" s="1733">
        <v>2.6979166666666669E-2</v>
      </c>
      <c r="E1497" s="1489" t="s">
        <v>12327</v>
      </c>
      <c r="F1497" s="1489" t="s">
        <v>12303</v>
      </c>
      <c r="G1497" s="1815">
        <v>0.47960000000000003</v>
      </c>
      <c r="H1497" s="1489"/>
      <c r="I1497" s="1489"/>
      <c r="J1497" s="1370"/>
      <c r="K1497" s="1370"/>
      <c r="L1497" s="1370"/>
      <c r="M1497" s="1370"/>
      <c r="N1497" s="1370"/>
      <c r="O1497" s="1370"/>
      <c r="P1497" s="1370"/>
      <c r="Q1497" s="1370"/>
      <c r="R1497" s="1370"/>
      <c r="S1497" s="1370"/>
      <c r="T1497" s="1370"/>
      <c r="U1497" s="1370"/>
      <c r="V1497" s="1370"/>
      <c r="W1497" s="1370"/>
      <c r="X1497" s="1370"/>
    </row>
    <row r="1498" spans="1:24" s="80" customFormat="1" ht="12.75" customHeight="1" x14ac:dyDescent="0.2">
      <c r="A1498" s="1384">
        <v>43554</v>
      </c>
      <c r="B1498" s="1489" t="s">
        <v>1794</v>
      </c>
      <c r="C1498" s="1489" t="s">
        <v>1795</v>
      </c>
      <c r="D1498" s="1733">
        <v>2.6712962962962966E-2</v>
      </c>
      <c r="E1498" s="1489" t="s">
        <v>12258</v>
      </c>
      <c r="F1498" s="1489" t="s">
        <v>12274</v>
      </c>
      <c r="G1498" s="1815">
        <v>0.4844</v>
      </c>
      <c r="H1498" s="1489"/>
      <c r="I1498" s="1489"/>
      <c r="J1498" s="1370"/>
      <c r="K1498" s="1370"/>
      <c r="L1498" s="1370"/>
      <c r="M1498" s="1370"/>
      <c r="N1498" s="1370"/>
      <c r="O1498" s="1370"/>
      <c r="P1498" s="1370"/>
      <c r="Q1498" s="1370"/>
      <c r="R1498" s="1370"/>
      <c r="S1498" s="1370"/>
      <c r="T1498" s="1370"/>
      <c r="U1498" s="1370"/>
      <c r="V1498" s="1370"/>
      <c r="W1498" s="1370"/>
      <c r="X1498" s="1370"/>
    </row>
    <row r="1499" spans="1:24" s="80" customFormat="1" ht="12.75" customHeight="1" x14ac:dyDescent="0.2">
      <c r="A1499" s="1384">
        <v>43547</v>
      </c>
      <c r="B1499" s="1489" t="s">
        <v>1794</v>
      </c>
      <c r="C1499" s="1489" t="s">
        <v>1795</v>
      </c>
      <c r="D1499" s="1733">
        <v>2.479166666666667E-2</v>
      </c>
      <c r="E1499" s="1489" t="s">
        <v>12001</v>
      </c>
      <c r="F1499" s="1489" t="s">
        <v>12208</v>
      </c>
      <c r="G1499" s="1815">
        <v>0.52190000000000003</v>
      </c>
      <c r="H1499" s="1489"/>
      <c r="I1499" s="1489"/>
      <c r="J1499" s="1370"/>
      <c r="K1499" s="1370"/>
      <c r="L1499" s="1370"/>
      <c r="M1499" s="1370"/>
      <c r="N1499" s="1370"/>
      <c r="O1499" s="1370"/>
      <c r="P1499" s="1370"/>
      <c r="Q1499" s="1370"/>
      <c r="R1499" s="1370"/>
      <c r="S1499" s="1370"/>
      <c r="T1499" s="1370"/>
      <c r="U1499" s="1370"/>
      <c r="V1499" s="1370"/>
      <c r="W1499" s="1370"/>
      <c r="X1499" s="1370"/>
    </row>
    <row r="1500" spans="1:24" s="80" customFormat="1" ht="12.75" customHeight="1" x14ac:dyDescent="0.2">
      <c r="A1500" s="1384">
        <v>43540</v>
      </c>
      <c r="B1500" s="1489" t="s">
        <v>1794</v>
      </c>
      <c r="C1500" s="1489" t="s">
        <v>1795</v>
      </c>
      <c r="D1500" s="1733">
        <v>2.6493055555555558E-2</v>
      </c>
      <c r="E1500" s="1489" t="s">
        <v>12090</v>
      </c>
      <c r="F1500" s="1489" t="s">
        <v>12091</v>
      </c>
      <c r="G1500" s="1815">
        <v>0.4884</v>
      </c>
      <c r="H1500" s="1489"/>
      <c r="I1500" s="1489"/>
      <c r="J1500" s="1370"/>
      <c r="K1500" s="1370"/>
      <c r="L1500" s="1370"/>
      <c r="M1500" s="1370"/>
      <c r="N1500" s="1370"/>
      <c r="O1500" s="1370"/>
      <c r="P1500" s="1370"/>
      <c r="Q1500" s="1370"/>
      <c r="R1500" s="1370"/>
      <c r="S1500" s="1370"/>
      <c r="T1500" s="1370"/>
      <c r="U1500" s="1370"/>
      <c r="V1500" s="1370"/>
      <c r="W1500" s="1370"/>
      <c r="X1500" s="1370"/>
    </row>
    <row r="1501" spans="1:24" s="80" customFormat="1" ht="12.75" customHeight="1" x14ac:dyDescent="0.2">
      <c r="A1501" s="1384">
        <v>43533</v>
      </c>
      <c r="B1501" s="1489" t="s">
        <v>1794</v>
      </c>
      <c r="C1501" s="1489" t="s">
        <v>1795</v>
      </c>
      <c r="D1501" s="1733">
        <v>2.5914351851851855E-2</v>
      </c>
      <c r="E1501" s="1489" t="s">
        <v>11747</v>
      </c>
      <c r="F1501" s="1489" t="s">
        <v>11994</v>
      </c>
      <c r="G1501" s="1815">
        <v>0.49930000000000002</v>
      </c>
      <c r="H1501" s="1489"/>
      <c r="I1501" s="1489"/>
      <c r="J1501" s="1370"/>
      <c r="K1501" s="1370"/>
      <c r="L1501" s="1370"/>
      <c r="M1501" s="1370"/>
      <c r="N1501" s="1370"/>
      <c r="O1501" s="1370"/>
      <c r="P1501" s="1370"/>
      <c r="Q1501" s="1370"/>
      <c r="R1501" s="1370"/>
      <c r="S1501" s="1370"/>
      <c r="T1501" s="1370"/>
      <c r="U1501" s="1370"/>
      <c r="V1501" s="1370"/>
      <c r="W1501" s="1370"/>
      <c r="X1501" s="1370"/>
    </row>
    <row r="1502" spans="1:24" s="80" customFormat="1" ht="12.75" customHeight="1" x14ac:dyDescent="0.2">
      <c r="A1502" s="1384">
        <v>43526</v>
      </c>
      <c r="B1502" s="1489" t="s">
        <v>1794</v>
      </c>
      <c r="C1502" s="1489" t="s">
        <v>1795</v>
      </c>
      <c r="D1502" s="1733">
        <v>2.525462962962963E-2</v>
      </c>
      <c r="E1502" s="1489" t="s">
        <v>11972</v>
      </c>
      <c r="F1502" s="1489" t="s">
        <v>11919</v>
      </c>
      <c r="G1502" s="1815">
        <v>0.51239999999999997</v>
      </c>
      <c r="H1502" s="1489"/>
      <c r="I1502" s="1489"/>
      <c r="J1502" s="1370"/>
      <c r="K1502" s="1370"/>
      <c r="L1502" s="1370"/>
      <c r="M1502" s="1370"/>
      <c r="N1502" s="1370"/>
      <c r="O1502" s="1370"/>
      <c r="P1502" s="1370"/>
      <c r="Q1502" s="1370"/>
      <c r="R1502" s="1370"/>
      <c r="S1502" s="1370"/>
      <c r="T1502" s="1370"/>
      <c r="U1502" s="1370"/>
      <c r="V1502" s="1370"/>
      <c r="W1502" s="1370"/>
      <c r="X1502" s="1370"/>
    </row>
    <row r="1503" spans="1:24" s="80" customFormat="1" ht="12.75" customHeight="1" x14ac:dyDescent="0.2">
      <c r="A1503" s="1384">
        <v>43519</v>
      </c>
      <c r="B1503" s="1489" t="s">
        <v>1794</v>
      </c>
      <c r="C1503" s="1489" t="s">
        <v>1795</v>
      </c>
      <c r="D1503" s="1733">
        <v>2.6458333333333334E-2</v>
      </c>
      <c r="E1503" s="1489" t="s">
        <v>1002</v>
      </c>
      <c r="F1503" s="1489" t="s">
        <v>11866</v>
      </c>
      <c r="G1503" s="1815">
        <v>0.48909999999999998</v>
      </c>
      <c r="H1503" s="1489"/>
      <c r="I1503" s="1489"/>
      <c r="J1503" s="1370"/>
      <c r="K1503" s="1370"/>
      <c r="L1503" s="1370"/>
      <c r="M1503" s="1370"/>
      <c r="N1503" s="1370"/>
      <c r="O1503" s="1370"/>
      <c r="P1503" s="1370"/>
      <c r="Q1503" s="1370"/>
      <c r="R1503" s="1370"/>
      <c r="S1503" s="1370"/>
      <c r="T1503" s="1370"/>
      <c r="U1503" s="1370"/>
      <c r="V1503" s="1370"/>
      <c r="W1503" s="1370"/>
      <c r="X1503" s="1370"/>
    </row>
    <row r="1504" spans="1:24" s="80" customFormat="1" ht="12.75" customHeight="1" x14ac:dyDescent="0.2">
      <c r="A1504" s="1384">
        <v>43512</v>
      </c>
      <c r="B1504" s="1489" t="s">
        <v>1794</v>
      </c>
      <c r="C1504" s="1489" t="s">
        <v>1795</v>
      </c>
      <c r="D1504" s="1733">
        <v>2.6493055555555558E-2</v>
      </c>
      <c r="E1504" s="1489" t="s">
        <v>11009</v>
      </c>
      <c r="F1504" s="1489" t="s">
        <v>11813</v>
      </c>
      <c r="G1504" s="1815">
        <v>0.4884</v>
      </c>
      <c r="H1504" s="1489"/>
      <c r="I1504" s="1489" t="s">
        <v>2944</v>
      </c>
      <c r="J1504" s="1370"/>
      <c r="K1504" s="1370"/>
      <c r="L1504" s="1370"/>
      <c r="M1504" s="1370"/>
      <c r="N1504" s="1370"/>
      <c r="O1504" s="1370"/>
      <c r="P1504" s="1370"/>
      <c r="Q1504" s="1370"/>
      <c r="R1504" s="1370"/>
      <c r="S1504" s="1370"/>
      <c r="T1504" s="1370"/>
      <c r="U1504" s="1370"/>
      <c r="V1504" s="1370"/>
      <c r="W1504" s="1370"/>
      <c r="X1504" s="1370"/>
    </row>
    <row r="1505" spans="1:24" s="80" customFormat="1" ht="12.75" customHeight="1" x14ac:dyDescent="0.2">
      <c r="A1505" s="1384">
        <v>43505</v>
      </c>
      <c r="B1505" s="1489" t="s">
        <v>1794</v>
      </c>
      <c r="C1505" s="1489" t="s">
        <v>1795</v>
      </c>
      <c r="D1505" s="1733">
        <v>2.7268518518518515E-2</v>
      </c>
      <c r="E1505" s="1489" t="s">
        <v>2818</v>
      </c>
      <c r="F1505" s="1489" t="s">
        <v>11760</v>
      </c>
      <c r="G1505" s="1815">
        <v>0.47449999999999998</v>
      </c>
      <c r="H1505" s="1489"/>
      <c r="I1505" s="1489"/>
      <c r="J1505" s="1370"/>
      <c r="K1505" s="1370"/>
      <c r="L1505" s="1370"/>
      <c r="M1505" s="1370"/>
      <c r="N1505" s="1370"/>
      <c r="O1505" s="1370"/>
      <c r="P1505" s="1370"/>
      <c r="Q1505" s="1370"/>
      <c r="R1505" s="1370"/>
      <c r="S1505" s="1370"/>
      <c r="T1505" s="1370"/>
      <c r="U1505" s="1370"/>
      <c r="V1505" s="1370"/>
      <c r="W1505" s="1370"/>
      <c r="X1505" s="1370"/>
    </row>
    <row r="1506" spans="1:24" s="80" customFormat="1" ht="12.75" customHeight="1" x14ac:dyDescent="0.2">
      <c r="A1506" s="1384">
        <v>43498</v>
      </c>
      <c r="B1506" s="1489" t="s">
        <v>1794</v>
      </c>
      <c r="C1506" s="1489" t="s">
        <v>1795</v>
      </c>
      <c r="D1506" s="1733">
        <v>3.1180555555555555E-2</v>
      </c>
      <c r="E1506" s="1489" t="s">
        <v>998</v>
      </c>
      <c r="F1506" s="1489" t="s">
        <v>11727</v>
      </c>
      <c r="G1506" s="1815">
        <v>0.41499999999999998</v>
      </c>
      <c r="H1506" s="1489"/>
      <c r="I1506" s="1489"/>
      <c r="J1506" s="1370"/>
      <c r="K1506" s="1370"/>
      <c r="L1506" s="1370"/>
      <c r="M1506" s="1370"/>
      <c r="N1506" s="1370"/>
      <c r="O1506" s="1370"/>
      <c r="P1506" s="1370"/>
      <c r="Q1506" s="1370"/>
      <c r="R1506" s="1370"/>
      <c r="S1506" s="1370"/>
      <c r="T1506" s="1370"/>
      <c r="U1506" s="1370"/>
      <c r="V1506" s="1370"/>
      <c r="W1506" s="1370"/>
      <c r="X1506" s="1370"/>
    </row>
    <row r="1507" spans="1:24" s="80" customFormat="1" ht="12.75" customHeight="1" x14ac:dyDescent="0.2">
      <c r="A1507" s="1384">
        <v>43491</v>
      </c>
      <c r="B1507" s="1489" t="s">
        <v>1794</v>
      </c>
      <c r="C1507" s="1489" t="s">
        <v>1795</v>
      </c>
      <c r="D1507" s="1733">
        <v>2.6064814814814815E-2</v>
      </c>
      <c r="E1507" s="1489" t="s">
        <v>9407</v>
      </c>
      <c r="F1507" s="1545" t="s">
        <v>11691</v>
      </c>
      <c r="G1507" s="1815">
        <v>0.49640000000000001</v>
      </c>
      <c r="H1507" s="1489"/>
      <c r="I1507" s="1489"/>
      <c r="J1507" s="1370"/>
      <c r="K1507" s="1370"/>
      <c r="L1507" s="1370"/>
      <c r="M1507" s="1370"/>
      <c r="N1507" s="1370"/>
      <c r="O1507" s="1370"/>
      <c r="P1507" s="1370"/>
      <c r="Q1507" s="1370"/>
      <c r="R1507" s="1370"/>
      <c r="S1507" s="1370"/>
      <c r="T1507" s="1370"/>
      <c r="U1507" s="1370"/>
      <c r="V1507" s="1370"/>
      <c r="W1507" s="1370"/>
      <c r="X1507" s="1370"/>
    </row>
    <row r="1508" spans="1:24" s="80" customFormat="1" ht="12.75" customHeight="1" x14ac:dyDescent="0.2">
      <c r="A1508" s="1384">
        <v>43466</v>
      </c>
      <c r="B1508" s="1489" t="s">
        <v>1794</v>
      </c>
      <c r="C1508" s="1489" t="s">
        <v>1795</v>
      </c>
      <c r="D1508" s="1733">
        <v>2.6215277777777778E-2</v>
      </c>
      <c r="E1508" s="1489" t="s">
        <v>11466</v>
      </c>
      <c r="F1508" s="1489" t="s">
        <v>9950</v>
      </c>
      <c r="G1508" s="1815">
        <v>0.49359999999999998</v>
      </c>
      <c r="H1508" s="1489"/>
      <c r="I1508" s="1489"/>
      <c r="J1508" s="1370"/>
      <c r="K1508" s="1370"/>
      <c r="L1508" s="1370"/>
      <c r="M1508" s="1370"/>
      <c r="N1508" s="1370"/>
      <c r="O1508" s="1370"/>
      <c r="P1508" s="1370"/>
      <c r="Q1508" s="1370"/>
      <c r="R1508" s="1370"/>
      <c r="S1508" s="1370"/>
      <c r="T1508" s="1370"/>
      <c r="U1508" s="1370"/>
      <c r="V1508" s="1370"/>
      <c r="W1508" s="1370"/>
      <c r="X1508" s="1370"/>
    </row>
    <row r="1509" spans="1:24" s="80" customFormat="1" ht="12.75" customHeight="1" x14ac:dyDescent="0.2">
      <c r="A1509" s="1384">
        <v>43466</v>
      </c>
      <c r="B1509" s="1489" t="s">
        <v>1794</v>
      </c>
      <c r="C1509" s="1489" t="s">
        <v>1795</v>
      </c>
      <c r="D1509" s="1733">
        <v>2.8344907407407412E-2</v>
      </c>
      <c r="E1509" s="1489" t="s">
        <v>11464</v>
      </c>
      <c r="F1509" s="1489" t="s">
        <v>11479</v>
      </c>
      <c r="G1509" s="1815">
        <v>0.45650000000000002</v>
      </c>
      <c r="H1509" s="1489"/>
      <c r="I1509" s="1489"/>
      <c r="J1509" s="1370"/>
      <c r="K1509" s="1370"/>
      <c r="L1509" s="1370"/>
      <c r="M1509" s="1370"/>
      <c r="N1509" s="1370"/>
      <c r="O1509" s="1370"/>
      <c r="P1509" s="1370"/>
      <c r="Q1509" s="1370"/>
      <c r="R1509" s="1370"/>
      <c r="S1509" s="1370"/>
      <c r="T1509" s="1370"/>
      <c r="U1509" s="1370"/>
      <c r="V1509" s="1370"/>
      <c r="W1509" s="1370"/>
      <c r="X1509" s="1370"/>
    </row>
    <row r="1510" spans="1:24" s="80" customFormat="1" ht="12.75" customHeight="1" x14ac:dyDescent="0.2">
      <c r="A1510" s="1729">
        <v>43827</v>
      </c>
      <c r="B1510" s="1526" t="s">
        <v>431</v>
      </c>
      <c r="C1510" s="1526" t="s">
        <v>433</v>
      </c>
      <c r="D1510" s="1621">
        <v>2.1527777777777778E-2</v>
      </c>
      <c r="E1510" s="1489" t="s">
        <v>16418</v>
      </c>
      <c r="F1510" s="1489" t="s">
        <v>16456</v>
      </c>
      <c r="G1510" s="1817">
        <v>0.53600000000000003</v>
      </c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 s="80" customFormat="1" ht="12.75" customHeight="1" x14ac:dyDescent="0.2">
      <c r="A1511" s="34">
        <v>43824</v>
      </c>
      <c r="B1511" s="1526" t="s">
        <v>431</v>
      </c>
      <c r="C1511" s="1526" t="s">
        <v>433</v>
      </c>
      <c r="D1511" s="1621">
        <v>2.2997685185185187E-2</v>
      </c>
      <c r="E1511" s="1489" t="s">
        <v>16375</v>
      </c>
      <c r="F1511" s="1489"/>
      <c r="G1511" s="1817">
        <v>0.50180000000000002</v>
      </c>
      <c r="H1511" s="1404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</row>
    <row r="1512" spans="1:24" s="80" customFormat="1" ht="12.75" customHeight="1" x14ac:dyDescent="0.2">
      <c r="A1512" s="1673">
        <v>43820</v>
      </c>
      <c r="B1512" s="1526" t="s">
        <v>431</v>
      </c>
      <c r="C1512" s="1526" t="s">
        <v>433</v>
      </c>
      <c r="D1512" s="1805">
        <v>2.2002314814814815E-2</v>
      </c>
      <c r="E1512" s="1514" t="s">
        <v>16315</v>
      </c>
      <c r="F1512" s="1486" t="s">
        <v>16349</v>
      </c>
      <c r="G1512" s="1825">
        <v>0.52449999999999997</v>
      </c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</row>
    <row r="1513" spans="1:24" s="80" customFormat="1" ht="12.75" customHeight="1" x14ac:dyDescent="0.2">
      <c r="A1513" s="34">
        <v>43806</v>
      </c>
      <c r="B1513" s="1526" t="s">
        <v>431</v>
      </c>
      <c r="C1513" s="1526" t="s">
        <v>433</v>
      </c>
      <c r="D1513" s="1621"/>
      <c r="E1513" s="1489" t="s">
        <v>16208</v>
      </c>
      <c r="F1513" s="1404" t="s">
        <v>16203</v>
      </c>
      <c r="G1513" s="1817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 s="80" customFormat="1" ht="12.75" customHeight="1" x14ac:dyDescent="0.2">
      <c r="A1514" s="1729">
        <v>43799</v>
      </c>
      <c r="B1514" s="1526" t="s">
        <v>431</v>
      </c>
      <c r="C1514" s="1526" t="s">
        <v>433</v>
      </c>
      <c r="D1514" s="1754">
        <v>2.2592592592592591E-2</v>
      </c>
      <c r="E1514" s="1486" t="s">
        <v>16146</v>
      </c>
      <c r="F1514" s="1514" t="s">
        <v>16194</v>
      </c>
      <c r="G1514" s="1825">
        <v>0.51080000000000003</v>
      </c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</row>
    <row r="1515" spans="1:24" s="80" customFormat="1" ht="12.75" customHeight="1" x14ac:dyDescent="0.2">
      <c r="A1515" s="1751">
        <v>43792</v>
      </c>
      <c r="B1515" s="1526" t="s">
        <v>431</v>
      </c>
      <c r="C1515" s="1526" t="s">
        <v>433</v>
      </c>
      <c r="D1515" s="1786">
        <v>2.255787037037037E-2</v>
      </c>
      <c r="E1515" s="1489" t="s">
        <v>16096</v>
      </c>
      <c r="F1515" s="1404"/>
      <c r="G1515" s="1817">
        <v>0.51149999999999995</v>
      </c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</row>
    <row r="1516" spans="1:24" s="80" customFormat="1" ht="12.75" customHeight="1" x14ac:dyDescent="0.2">
      <c r="A1516" s="1673">
        <v>43785</v>
      </c>
      <c r="B1516" s="1526" t="s">
        <v>431</v>
      </c>
      <c r="C1516" s="1526" t="s">
        <v>433</v>
      </c>
      <c r="D1516" s="1754">
        <v>2.2361111111111113E-2</v>
      </c>
      <c r="E1516" s="1514" t="s">
        <v>16008</v>
      </c>
      <c r="F1516" s="1514"/>
      <c r="G1516" s="1825">
        <v>0.51600000000000001</v>
      </c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 s="80" customFormat="1" ht="12.75" customHeight="1" x14ac:dyDescent="0.2">
      <c r="A1517" s="1384">
        <v>43778</v>
      </c>
      <c r="B1517" s="1526" t="s">
        <v>431</v>
      </c>
      <c r="C1517" s="1526" t="s">
        <v>433</v>
      </c>
      <c r="D1517" s="1744">
        <v>2.1516203703703704E-2</v>
      </c>
      <c r="E1517" s="1723" t="s">
        <v>15948</v>
      </c>
      <c r="F1517" s="1723"/>
      <c r="G1517" s="1820">
        <v>0.5363</v>
      </c>
      <c r="H1517" s="1370"/>
      <c r="I1517" s="1370"/>
      <c r="J1517" s="1370"/>
      <c r="K1517" s="1370"/>
      <c r="L1517" s="1370"/>
      <c r="M1517" s="1370"/>
      <c r="N1517" s="1370"/>
      <c r="O1517" s="1370"/>
      <c r="P1517" s="1370"/>
      <c r="Q1517" s="1370"/>
      <c r="R1517" s="1370"/>
      <c r="S1517" s="1370"/>
      <c r="T1517" s="1370"/>
      <c r="U1517" s="1370"/>
      <c r="V1517" s="1370"/>
      <c r="W1517" s="1370"/>
      <c r="X1517" s="1370"/>
    </row>
    <row r="1518" spans="1:24" s="80" customFormat="1" ht="12.75" customHeight="1" x14ac:dyDescent="0.2">
      <c r="A1518" s="1384">
        <v>43764</v>
      </c>
      <c r="B1518" s="1526" t="s">
        <v>431</v>
      </c>
      <c r="C1518" s="1526" t="s">
        <v>433</v>
      </c>
      <c r="D1518" s="1727">
        <v>2.0659722222222222E-2</v>
      </c>
      <c r="E1518" s="1728" t="s">
        <v>1670</v>
      </c>
      <c r="F1518" s="1728"/>
      <c r="G1518" s="1821">
        <v>0.5585</v>
      </c>
      <c r="H1518" s="1370"/>
      <c r="I1518" s="1370"/>
      <c r="J1518" s="1370"/>
      <c r="K1518" s="1370"/>
      <c r="L1518" s="1370"/>
      <c r="M1518" s="1370"/>
      <c r="N1518" s="1370"/>
      <c r="O1518" s="1370"/>
      <c r="P1518" s="1370"/>
      <c r="Q1518" s="1370"/>
      <c r="R1518" s="1370"/>
      <c r="S1518" s="1370"/>
      <c r="T1518" s="1370"/>
      <c r="U1518" s="1370"/>
      <c r="V1518" s="1370"/>
      <c r="W1518" s="1370"/>
      <c r="X1518" s="1370"/>
    </row>
    <row r="1519" spans="1:24" s="80" customFormat="1" ht="12.75" customHeight="1" x14ac:dyDescent="0.2">
      <c r="A1519" s="523">
        <v>43750</v>
      </c>
      <c r="B1519" s="1526" t="s">
        <v>431</v>
      </c>
      <c r="C1519" s="1526" t="s">
        <v>433</v>
      </c>
      <c r="D1519" s="1686">
        <v>2.0173611111111111E-2</v>
      </c>
      <c r="E1519" s="1489" t="s">
        <v>15792</v>
      </c>
      <c r="F1519" s="1489"/>
      <c r="G1519" s="1815">
        <v>0.57199999999999995</v>
      </c>
      <c r="L1519" s="1370"/>
      <c r="M1519" s="1370"/>
      <c r="N1519" s="1370"/>
      <c r="O1519" s="1370"/>
      <c r="P1519" s="1370"/>
      <c r="Q1519" s="1370"/>
      <c r="R1519" s="1370"/>
      <c r="S1519" s="1370"/>
      <c r="T1519" s="1370"/>
      <c r="U1519" s="1370"/>
      <c r="V1519" s="1370"/>
      <c r="W1519" s="1370"/>
      <c r="X1519" s="1370"/>
    </row>
    <row r="1520" spans="1:24" s="80" customFormat="1" ht="12.75" customHeight="1" x14ac:dyDescent="0.2">
      <c r="A1520" s="1729">
        <v>43743</v>
      </c>
      <c r="B1520" s="1526" t="s">
        <v>431</v>
      </c>
      <c r="C1520" s="1526" t="s">
        <v>433</v>
      </c>
      <c r="D1520" s="1737">
        <v>2.0219907407407409E-2</v>
      </c>
      <c r="E1520" s="1514" t="s">
        <v>15704</v>
      </c>
      <c r="F1520" s="1514" t="s">
        <v>15744</v>
      </c>
      <c r="G1520" s="1822">
        <v>0.57069999999999999</v>
      </c>
      <c r="L1520" s="1370"/>
      <c r="M1520" s="1370"/>
      <c r="N1520" s="1370"/>
      <c r="O1520" s="1370"/>
      <c r="P1520" s="1370"/>
      <c r="Q1520" s="1370"/>
      <c r="R1520" s="1370"/>
      <c r="S1520" s="1370"/>
      <c r="T1520" s="1370"/>
      <c r="U1520" s="1370"/>
      <c r="V1520" s="1370"/>
      <c r="W1520" s="1370"/>
      <c r="X1520" s="1370"/>
    </row>
    <row r="1521" spans="1:24" s="80" customFormat="1" ht="12.75" customHeight="1" x14ac:dyDescent="0.2">
      <c r="A1521" s="1729">
        <v>43736</v>
      </c>
      <c r="B1521" s="1526" t="s">
        <v>431</v>
      </c>
      <c r="C1521" s="1526" t="s">
        <v>433</v>
      </c>
      <c r="D1521" s="1686">
        <v>2.1874999999999999E-2</v>
      </c>
      <c r="E1521" s="1489" t="s">
        <v>15632</v>
      </c>
      <c r="F1521" s="1489"/>
      <c r="G1521" s="1815">
        <v>0.52749999999999997</v>
      </c>
      <c r="L1521" s="1370"/>
      <c r="M1521" s="1370"/>
      <c r="N1521" s="1370"/>
      <c r="O1521" s="1370"/>
      <c r="P1521" s="1370"/>
      <c r="Q1521" s="1370"/>
      <c r="R1521" s="1370"/>
      <c r="S1521" s="1370"/>
      <c r="T1521" s="1370"/>
      <c r="U1521" s="1370"/>
      <c r="V1521" s="1370"/>
      <c r="W1521" s="1370"/>
      <c r="X1521" s="1370"/>
    </row>
    <row r="1522" spans="1:24" s="80" customFormat="1" ht="12.75" customHeight="1" x14ac:dyDescent="0.2">
      <c r="A1522" s="1729">
        <v>43729</v>
      </c>
      <c r="B1522" s="1526" t="s">
        <v>431</v>
      </c>
      <c r="C1522" s="1526" t="s">
        <v>433</v>
      </c>
      <c r="D1522" s="1686">
        <v>2.2048611111111113E-2</v>
      </c>
      <c r="E1522" s="1489" t="s">
        <v>15567</v>
      </c>
      <c r="F1522" s="1489" t="s">
        <v>15599</v>
      </c>
      <c r="G1522" s="1815">
        <v>0.52339999999999998</v>
      </c>
      <c r="L1522" s="1370"/>
      <c r="M1522" s="1370"/>
      <c r="N1522" s="1370"/>
      <c r="O1522" s="1370"/>
      <c r="P1522" s="1370"/>
      <c r="Q1522" s="1370"/>
      <c r="R1522" s="1370"/>
      <c r="S1522" s="1370"/>
      <c r="T1522" s="1370"/>
      <c r="U1522" s="1370"/>
      <c r="V1522" s="1370"/>
      <c r="W1522" s="1370"/>
      <c r="X1522" s="1370"/>
    </row>
    <row r="1523" spans="1:24" s="80" customFormat="1" ht="12.75" customHeight="1" x14ac:dyDescent="0.2">
      <c r="A1523" s="523">
        <v>43722</v>
      </c>
      <c r="B1523" s="1526" t="s">
        <v>431</v>
      </c>
      <c r="C1523" s="1526" t="s">
        <v>433</v>
      </c>
      <c r="D1523" s="1686">
        <v>2.3611111111111114E-2</v>
      </c>
      <c r="E1523" s="1489" t="s">
        <v>15460</v>
      </c>
      <c r="F1523" s="1489" t="s">
        <v>15501</v>
      </c>
      <c r="G1523" s="1815">
        <v>0.48870000000000002</v>
      </c>
      <c r="L1523" s="1370"/>
      <c r="M1523" s="1370"/>
      <c r="N1523" s="1370"/>
      <c r="O1523" s="1370"/>
      <c r="P1523" s="1370"/>
      <c r="Q1523" s="1370"/>
      <c r="R1523" s="1370"/>
      <c r="S1523" s="1370"/>
      <c r="T1523" s="1370"/>
      <c r="U1523" s="1370"/>
      <c r="V1523" s="1370"/>
      <c r="W1523" s="1370"/>
      <c r="X1523" s="1370"/>
    </row>
    <row r="1524" spans="1:24" s="80" customFormat="1" ht="12.75" customHeight="1" x14ac:dyDescent="0.2">
      <c r="A1524" s="523">
        <v>43715</v>
      </c>
      <c r="B1524" s="1526" t="s">
        <v>431</v>
      </c>
      <c r="C1524" s="1526" t="s">
        <v>433</v>
      </c>
      <c r="D1524" s="1686" t="s">
        <v>787</v>
      </c>
      <c r="E1524" s="1489" t="s">
        <v>5095</v>
      </c>
      <c r="F1524" s="1489" t="s">
        <v>10631</v>
      </c>
      <c r="G1524" s="1815"/>
      <c r="I1524" s="1514"/>
    </row>
    <row r="1525" spans="1:24" s="80" customFormat="1" ht="12.75" customHeight="1" x14ac:dyDescent="0.2">
      <c r="A1525" s="1384">
        <v>43680</v>
      </c>
      <c r="B1525" s="1526" t="s">
        <v>431</v>
      </c>
      <c r="C1525" s="1526" t="s">
        <v>433</v>
      </c>
      <c r="D1525" s="1733" t="s">
        <v>787</v>
      </c>
      <c r="E1525" s="1489" t="s">
        <v>13411</v>
      </c>
      <c r="F1525" s="1489" t="s">
        <v>10631</v>
      </c>
      <c r="G1525" s="1815"/>
      <c r="H1525" s="1489"/>
      <c r="I1525" s="1489"/>
      <c r="J1525" s="1370"/>
      <c r="K1525" s="1370"/>
    </row>
    <row r="1526" spans="1:24" s="80" customFormat="1" ht="12.75" customHeight="1" x14ac:dyDescent="0.2">
      <c r="A1526" s="1384">
        <v>43673</v>
      </c>
      <c r="B1526" s="1526" t="s">
        <v>431</v>
      </c>
      <c r="C1526" s="1526" t="s">
        <v>433</v>
      </c>
      <c r="D1526" s="1686">
        <v>2.2627314814814819E-2</v>
      </c>
      <c r="E1526" s="1489" t="s">
        <v>13282</v>
      </c>
      <c r="F1526" s="1489" t="s">
        <v>13268</v>
      </c>
      <c r="G1526" s="1815">
        <v>0.51</v>
      </c>
      <c r="H1526" s="1514"/>
      <c r="I1526" s="1514"/>
    </row>
    <row r="1527" spans="1:24" s="80" customFormat="1" ht="12.75" customHeight="1" x14ac:dyDescent="0.2">
      <c r="A1527" s="523">
        <v>43666</v>
      </c>
      <c r="B1527" s="1526" t="s">
        <v>431</v>
      </c>
      <c r="C1527" s="1526" t="s">
        <v>433</v>
      </c>
      <c r="D1527" s="1686">
        <v>2.1319444444444443E-2</v>
      </c>
      <c r="E1527" s="1489" t="s">
        <v>13195</v>
      </c>
      <c r="F1527" s="1489" t="s">
        <v>13220</v>
      </c>
      <c r="G1527" s="1815">
        <v>0.5413</v>
      </c>
      <c r="H1527" s="1514"/>
      <c r="I1527" s="1514"/>
    </row>
    <row r="1528" spans="1:24" s="80" customFormat="1" x14ac:dyDescent="0.2">
      <c r="A1528" s="523">
        <v>43659</v>
      </c>
      <c r="B1528" s="1526" t="s">
        <v>431</v>
      </c>
      <c r="C1528" s="1526" t="s">
        <v>433</v>
      </c>
      <c r="D1528" s="1686">
        <v>2.1469907407407406E-2</v>
      </c>
      <c r="E1528" s="1489" t="s">
        <v>13147</v>
      </c>
      <c r="F1528" s="1489" t="s">
        <v>13160</v>
      </c>
      <c r="G1528" s="1815">
        <v>0.53749999999999998</v>
      </c>
      <c r="H1528" s="1514"/>
      <c r="I1528" s="1489"/>
      <c r="L1528" s="1370"/>
      <c r="M1528" s="1370"/>
      <c r="N1528" s="1370"/>
      <c r="O1528" s="1370"/>
      <c r="P1528" s="1370"/>
      <c r="Q1528" s="1370"/>
      <c r="R1528" s="1370"/>
      <c r="S1528" s="1370"/>
      <c r="T1528" s="1370"/>
      <c r="U1528" s="1370"/>
      <c r="V1528" s="1370"/>
      <c r="W1528" s="1370"/>
      <c r="X1528" s="1370"/>
    </row>
    <row r="1529" spans="1:24" s="80" customFormat="1" x14ac:dyDescent="0.2">
      <c r="A1529" s="523">
        <v>43645</v>
      </c>
      <c r="B1529" s="1526" t="s">
        <v>431</v>
      </c>
      <c r="C1529" s="1526" t="s">
        <v>433</v>
      </c>
      <c r="D1529" s="1686">
        <v>2.1134259259259259E-2</v>
      </c>
      <c r="E1529" s="1514" t="s">
        <v>13020</v>
      </c>
      <c r="F1529" s="1514"/>
      <c r="G1529" s="1815">
        <v>0.54600000000000004</v>
      </c>
      <c r="H1529" s="1514"/>
      <c r="I1529" s="1514"/>
      <c r="L1529" s="1370"/>
      <c r="M1529" s="1370"/>
      <c r="N1529" s="1370"/>
      <c r="O1529" s="1370"/>
      <c r="P1529" s="1370"/>
      <c r="Q1529" s="1370"/>
      <c r="R1529" s="1370"/>
      <c r="S1529" s="1370"/>
      <c r="T1529" s="1370"/>
      <c r="U1529" s="1370"/>
      <c r="V1529" s="1370"/>
      <c r="W1529" s="1370"/>
      <c r="X1529" s="1370"/>
    </row>
    <row r="1530" spans="1:24" s="80" customFormat="1" x14ac:dyDescent="0.2">
      <c r="A1530" s="523">
        <v>43638</v>
      </c>
      <c r="B1530" s="1526" t="s">
        <v>431</v>
      </c>
      <c r="C1530" s="1526" t="s">
        <v>433</v>
      </c>
      <c r="D1530" s="1835">
        <v>1.996527777777778E-2</v>
      </c>
      <c r="E1530" s="1569" t="s">
        <v>12977</v>
      </c>
      <c r="F1530" s="1569" t="s">
        <v>12995</v>
      </c>
      <c r="G1530" s="1818">
        <v>0.57799999999999996</v>
      </c>
      <c r="H1530" s="1514"/>
      <c r="I1530" s="1514"/>
      <c r="L1530" s="1370"/>
      <c r="M1530" s="1370"/>
      <c r="N1530" s="1370"/>
      <c r="O1530" s="1370"/>
      <c r="P1530" s="1370"/>
      <c r="Q1530" s="1370"/>
      <c r="R1530" s="1370"/>
      <c r="S1530" s="1370"/>
      <c r="T1530" s="1370"/>
      <c r="U1530" s="1370"/>
      <c r="V1530" s="1370"/>
      <c r="W1530" s="1370"/>
      <c r="X1530" s="1370"/>
    </row>
    <row r="1531" spans="1:24" s="80" customFormat="1" x14ac:dyDescent="0.2">
      <c r="A1531" s="523">
        <v>43631</v>
      </c>
      <c r="B1531" s="1526" t="s">
        <v>431</v>
      </c>
      <c r="C1531" s="1526" t="s">
        <v>433</v>
      </c>
      <c r="D1531" s="1835">
        <v>2.0543981481481479E-2</v>
      </c>
      <c r="E1531" s="1569" t="s">
        <v>12926</v>
      </c>
      <c r="F1531" s="1624"/>
      <c r="G1531" s="1818">
        <v>0.56169999999999998</v>
      </c>
      <c r="H1531" s="1514"/>
      <c r="I1531" s="1514"/>
      <c r="L1531" s="1370"/>
      <c r="M1531" s="1370"/>
      <c r="N1531" s="1370"/>
      <c r="O1531" s="1370"/>
      <c r="P1531" s="1370"/>
      <c r="Q1531" s="1370"/>
      <c r="R1531" s="1370"/>
      <c r="S1531" s="1370"/>
      <c r="T1531" s="1370"/>
      <c r="U1531" s="1370"/>
      <c r="V1531" s="1370"/>
      <c r="W1531" s="1370"/>
      <c r="X1531" s="1370"/>
    </row>
    <row r="1532" spans="1:24" s="80" customFormat="1" x14ac:dyDescent="0.2">
      <c r="A1532" s="523">
        <v>43624</v>
      </c>
      <c r="B1532" s="1526" t="s">
        <v>431</v>
      </c>
      <c r="C1532" s="1526" t="s">
        <v>433</v>
      </c>
      <c r="D1532" s="1835">
        <v>2.1678240740740738E-2</v>
      </c>
      <c r="E1532" s="1569" t="s">
        <v>12849</v>
      </c>
      <c r="F1532" s="1569" t="s">
        <v>12861</v>
      </c>
      <c r="G1532" s="1818">
        <v>0.5323</v>
      </c>
      <c r="H1532" s="1514"/>
      <c r="I1532" s="1514"/>
      <c r="L1532" s="1370"/>
      <c r="M1532" s="1370"/>
      <c r="N1532" s="1370"/>
      <c r="O1532" s="1370"/>
      <c r="P1532" s="1370"/>
      <c r="Q1532" s="1370"/>
      <c r="R1532" s="1370"/>
      <c r="S1532" s="1370"/>
      <c r="T1532" s="1370"/>
      <c r="U1532" s="1370"/>
      <c r="V1532" s="1370"/>
      <c r="W1532" s="1370"/>
      <c r="X1532" s="1370"/>
    </row>
    <row r="1533" spans="1:24" s="80" customFormat="1" ht="12.75" customHeight="1" x14ac:dyDescent="0.2">
      <c r="A1533" s="1384">
        <v>43617</v>
      </c>
      <c r="B1533" s="1526" t="s">
        <v>431</v>
      </c>
      <c r="C1533" s="1526" t="s">
        <v>433</v>
      </c>
      <c r="D1533" s="1836">
        <v>2.0335648148148148E-2</v>
      </c>
      <c r="E1533" s="1568" t="s">
        <v>12804</v>
      </c>
      <c r="F1533" s="1568" t="s">
        <v>12777</v>
      </c>
      <c r="G1533" s="1819">
        <v>0.56740000000000002</v>
      </c>
      <c r="H1533" s="1489"/>
      <c r="I1533" s="1489"/>
      <c r="J1533" s="1370"/>
      <c r="K1533" s="1370"/>
      <c r="L1533" s="1370"/>
      <c r="M1533" s="1370"/>
      <c r="N1533" s="1370"/>
      <c r="O1533" s="1370"/>
      <c r="P1533" s="1370"/>
      <c r="Q1533" s="1370"/>
      <c r="R1533" s="1370"/>
      <c r="S1533" s="1370"/>
      <c r="T1533" s="1370"/>
      <c r="U1533" s="1370"/>
      <c r="V1533" s="1370"/>
      <c r="W1533" s="1370"/>
      <c r="X1533" s="1370"/>
    </row>
    <row r="1534" spans="1:24" s="80" customFormat="1" x14ac:dyDescent="0.2">
      <c r="A1534" s="1384">
        <v>43610</v>
      </c>
      <c r="B1534" s="1526" t="s">
        <v>431</v>
      </c>
      <c r="C1534" s="1526" t="s">
        <v>433</v>
      </c>
      <c r="D1534" s="1733">
        <v>2.0347222222222221E-2</v>
      </c>
      <c r="E1534" s="1489" t="s">
        <v>12729</v>
      </c>
      <c r="F1534" s="1489" t="s">
        <v>12765</v>
      </c>
      <c r="G1534" s="1815">
        <v>0.56710000000000005</v>
      </c>
      <c r="H1534" s="1489"/>
      <c r="I1534" s="1489"/>
      <c r="J1534" s="1370"/>
      <c r="K1534" s="1370"/>
      <c r="L1534" s="1370"/>
      <c r="M1534" s="1370"/>
      <c r="N1534" s="1370"/>
      <c r="O1534" s="1370"/>
      <c r="P1534" s="1370"/>
      <c r="Q1534" s="1370"/>
      <c r="R1534" s="1370"/>
      <c r="S1534" s="1370"/>
      <c r="T1534" s="1370"/>
      <c r="U1534" s="1370"/>
      <c r="V1534" s="1370"/>
      <c r="W1534" s="1370"/>
      <c r="X1534" s="1370"/>
    </row>
    <row r="1535" spans="1:24" s="80" customFormat="1" x14ac:dyDescent="0.2">
      <c r="A1535" s="1384">
        <v>43603</v>
      </c>
      <c r="B1535" s="1526" t="s">
        <v>431</v>
      </c>
      <c r="C1535" s="1526" t="s">
        <v>433</v>
      </c>
      <c r="D1535" s="1733">
        <v>2.0902777777777781E-2</v>
      </c>
      <c r="E1535" s="1489" t="s">
        <v>12673</v>
      </c>
      <c r="F1535" s="1489"/>
      <c r="G1535" s="1815">
        <v>0.55200000000000005</v>
      </c>
      <c r="H1535" s="1489"/>
      <c r="I1535" s="1489"/>
      <c r="J1535" s="1370"/>
      <c r="K1535" s="1370"/>
      <c r="L1535" s="1370"/>
      <c r="M1535" s="1370"/>
      <c r="N1535" s="1370"/>
      <c r="O1535" s="1370"/>
      <c r="P1535" s="1370"/>
      <c r="Q1535" s="1370"/>
      <c r="R1535" s="1370"/>
      <c r="S1535" s="1370"/>
      <c r="T1535" s="1370"/>
      <c r="U1535" s="1370"/>
      <c r="V1535" s="1370"/>
      <c r="W1535" s="1370"/>
      <c r="X1535" s="1370"/>
    </row>
    <row r="1536" spans="1:24" s="80" customFormat="1" x14ac:dyDescent="0.2">
      <c r="A1536" s="1384">
        <v>43596</v>
      </c>
      <c r="B1536" s="1526" t="s">
        <v>431</v>
      </c>
      <c r="C1536" s="1526" t="s">
        <v>433</v>
      </c>
      <c r="D1536" s="1733">
        <v>2.0937499999999998E-2</v>
      </c>
      <c r="E1536" s="1489" t="s">
        <v>12531</v>
      </c>
      <c r="F1536" s="1489" t="s">
        <v>12526</v>
      </c>
      <c r="G1536" s="1815">
        <v>0.55110000000000003</v>
      </c>
      <c r="H1536" s="1489"/>
      <c r="I1536" s="1489"/>
      <c r="J1536" s="1370"/>
      <c r="K1536" s="1370"/>
    </row>
    <row r="1537" spans="1:24" s="80" customFormat="1" x14ac:dyDescent="0.2">
      <c r="A1537" s="1384">
        <v>43589</v>
      </c>
      <c r="B1537" s="1526" t="s">
        <v>431</v>
      </c>
      <c r="C1537" s="1526" t="s">
        <v>433</v>
      </c>
      <c r="D1537" s="1733">
        <v>2.1597222222222223E-2</v>
      </c>
      <c r="E1537" s="1489" t="s">
        <v>12582</v>
      </c>
      <c r="F1537" s="1489" t="s">
        <v>12536</v>
      </c>
      <c r="G1537" s="1815">
        <v>0.5343</v>
      </c>
      <c r="H1537" s="1489"/>
      <c r="I1537" s="1489"/>
      <c r="J1537" s="1370"/>
      <c r="K1537" s="1370"/>
    </row>
    <row r="1538" spans="1:24" s="80" customFormat="1" x14ac:dyDescent="0.2">
      <c r="A1538" s="1384">
        <v>43582</v>
      </c>
      <c r="B1538" s="1526" t="s">
        <v>431</v>
      </c>
      <c r="C1538" s="1526" t="s">
        <v>433</v>
      </c>
      <c r="D1538" s="1733">
        <v>2.210648148148148E-2</v>
      </c>
      <c r="E1538" s="1489" t="s">
        <v>12583</v>
      </c>
      <c r="F1538" s="1489" t="s">
        <v>12535</v>
      </c>
      <c r="G1538" s="1815">
        <v>0.52200000000000002</v>
      </c>
      <c r="H1538" s="1489"/>
      <c r="I1538" s="1489"/>
      <c r="J1538" s="1370"/>
      <c r="K1538" s="1370"/>
    </row>
    <row r="1539" spans="1:24" s="80" customFormat="1" x14ac:dyDescent="0.2">
      <c r="A1539" s="1384">
        <v>43575</v>
      </c>
      <c r="B1539" s="1526" t="s">
        <v>431</v>
      </c>
      <c r="C1539" s="1526" t="s">
        <v>433</v>
      </c>
      <c r="D1539" s="1733">
        <v>2.2395833333333334E-2</v>
      </c>
      <c r="E1539" s="1489" t="s">
        <v>12469</v>
      </c>
      <c r="F1539" s="1489" t="s">
        <v>12471</v>
      </c>
      <c r="G1539" s="1815">
        <v>0.51519999999999999</v>
      </c>
      <c r="H1539" s="1489"/>
      <c r="I1539" s="1489"/>
      <c r="J1539" s="1370"/>
      <c r="K1539" s="1370"/>
    </row>
    <row r="1540" spans="1:24" s="80" customFormat="1" x14ac:dyDescent="0.2">
      <c r="A1540" s="1384">
        <v>43568</v>
      </c>
      <c r="B1540" s="1526" t="s">
        <v>431</v>
      </c>
      <c r="C1540" s="1526" t="s">
        <v>433</v>
      </c>
      <c r="D1540" s="1733">
        <v>2.4027777777777776E-2</v>
      </c>
      <c r="E1540" s="1489" t="s">
        <v>12405</v>
      </c>
      <c r="F1540" s="1489" t="s">
        <v>12406</v>
      </c>
      <c r="G1540" s="1815">
        <v>0.4803</v>
      </c>
      <c r="H1540" s="1489"/>
      <c r="I1540" s="1489" t="s">
        <v>12407</v>
      </c>
      <c r="J1540" s="1370"/>
      <c r="K1540" s="1370"/>
    </row>
    <row r="1541" spans="1:24" s="80" customFormat="1" x14ac:dyDescent="0.2">
      <c r="A1541" s="1384">
        <v>43526</v>
      </c>
      <c r="B1541" s="1526" t="s">
        <v>431</v>
      </c>
      <c r="C1541" s="1526" t="s">
        <v>433</v>
      </c>
      <c r="D1541" s="1733">
        <v>2.1423611111111112E-2</v>
      </c>
      <c r="E1541" s="1489" t="s">
        <v>11942</v>
      </c>
      <c r="F1541" s="1489" t="s">
        <v>11928</v>
      </c>
      <c r="G1541" s="1815">
        <v>0.53380000000000005</v>
      </c>
      <c r="H1541" s="1489"/>
      <c r="I1541" s="1489"/>
      <c r="J1541" s="1370"/>
      <c r="K1541" s="1370"/>
    </row>
    <row r="1542" spans="1:24" s="80" customFormat="1" x14ac:dyDescent="0.2">
      <c r="A1542" s="1384">
        <v>43519</v>
      </c>
      <c r="B1542" s="1526" t="s">
        <v>431</v>
      </c>
      <c r="C1542" s="1526" t="s">
        <v>433</v>
      </c>
      <c r="D1542" s="1733">
        <v>2.2430555555555554E-2</v>
      </c>
      <c r="E1542" s="1489" t="s">
        <v>5095</v>
      </c>
      <c r="F1542" s="1489" t="s">
        <v>11878</v>
      </c>
      <c r="G1542" s="1815">
        <v>0.50980000000000003</v>
      </c>
      <c r="H1542" s="1489"/>
      <c r="I1542" s="1489"/>
      <c r="J1542" s="1370"/>
      <c r="K1542" s="1370"/>
    </row>
    <row r="1543" spans="1:24" s="80" customFormat="1" x14ac:dyDescent="0.2">
      <c r="A1543" s="1384">
        <v>43512</v>
      </c>
      <c r="B1543" s="1526" t="s">
        <v>431</v>
      </c>
      <c r="C1543" s="1526" t="s">
        <v>433</v>
      </c>
      <c r="D1543" s="1733">
        <v>2.3680555555555555E-2</v>
      </c>
      <c r="E1543" s="1489" t="s">
        <v>5095</v>
      </c>
      <c r="F1543" s="1489" t="s">
        <v>11819</v>
      </c>
      <c r="G1543" s="1815">
        <v>0.4829</v>
      </c>
      <c r="H1543" s="1489"/>
      <c r="I1543" s="1489"/>
      <c r="J1543" s="1370"/>
      <c r="K1543" s="1370"/>
    </row>
    <row r="1544" spans="1:24" s="80" customFormat="1" x14ac:dyDescent="0.2">
      <c r="A1544" s="1384">
        <v>43505</v>
      </c>
      <c r="B1544" s="1526" t="s">
        <v>431</v>
      </c>
      <c r="C1544" s="1526" t="s">
        <v>433</v>
      </c>
      <c r="D1544" s="1733">
        <v>2.3842592592592596E-2</v>
      </c>
      <c r="E1544" s="1489" t="s">
        <v>5095</v>
      </c>
      <c r="F1544" s="1489" t="s">
        <v>11762</v>
      </c>
      <c r="G1544" s="1815">
        <v>0.4798</v>
      </c>
      <c r="H1544" s="1489"/>
      <c r="I1544" s="1489"/>
      <c r="J1544" s="1370"/>
      <c r="K1544" s="1370"/>
    </row>
    <row r="1545" spans="1:24" s="80" customFormat="1" x14ac:dyDescent="0.2">
      <c r="A1545" s="1384">
        <v>43498</v>
      </c>
      <c r="B1545" s="1526" t="s">
        <v>431</v>
      </c>
      <c r="C1545" s="1526" t="s">
        <v>433</v>
      </c>
      <c r="D1545" s="1733">
        <v>2.4097222222222225E-2</v>
      </c>
      <c r="E1545" s="1489" t="s">
        <v>10983</v>
      </c>
      <c r="F1545" s="1489" t="s">
        <v>11740</v>
      </c>
      <c r="G1545" s="1815">
        <v>0.47449999999999998</v>
      </c>
      <c r="H1545" s="1489"/>
      <c r="I1545" s="1489"/>
      <c r="J1545" s="1370"/>
      <c r="K1545" s="1370"/>
      <c r="L1545" s="1370"/>
      <c r="M1545" s="1370"/>
      <c r="N1545" s="1370"/>
      <c r="O1545" s="1370"/>
      <c r="P1545" s="1370"/>
      <c r="Q1545" s="1370"/>
      <c r="R1545" s="1370"/>
      <c r="S1545" s="1370"/>
      <c r="T1545" s="1370"/>
      <c r="U1545" s="1370"/>
      <c r="V1545" s="1370"/>
      <c r="W1545" s="1370"/>
      <c r="X1545" s="1370"/>
    </row>
    <row r="1546" spans="1:24" s="80" customFormat="1" x14ac:dyDescent="0.2">
      <c r="A1546" s="1384">
        <v>43491</v>
      </c>
      <c r="B1546" s="1526" t="s">
        <v>431</v>
      </c>
      <c r="C1546" s="1526" t="s">
        <v>433</v>
      </c>
      <c r="D1546" s="1733">
        <v>2.4363425925925927E-2</v>
      </c>
      <c r="E1546" s="1489" t="s">
        <v>5095</v>
      </c>
      <c r="F1546" s="1545" t="s">
        <v>11680</v>
      </c>
      <c r="G1546" s="1815">
        <v>0.46939999999999998</v>
      </c>
      <c r="H1546" s="1489"/>
      <c r="I1546" s="1489"/>
      <c r="J1546" s="1370"/>
      <c r="K1546" s="1370"/>
      <c r="L1546" s="1370"/>
      <c r="M1546" s="1370"/>
      <c r="N1546" s="1370"/>
      <c r="O1546" s="1370"/>
      <c r="P1546" s="1370"/>
      <c r="Q1546" s="1370"/>
      <c r="R1546" s="1370"/>
      <c r="S1546" s="1370"/>
      <c r="T1546" s="1370"/>
      <c r="U1546" s="1370"/>
      <c r="V1546" s="1370"/>
      <c r="W1546" s="1370"/>
      <c r="X1546" s="1370"/>
    </row>
    <row r="1547" spans="1:24" s="80" customFormat="1" x14ac:dyDescent="0.2">
      <c r="A1547" s="1384">
        <v>43477</v>
      </c>
      <c r="B1547" s="1526" t="s">
        <v>431</v>
      </c>
      <c r="C1547" s="1526" t="s">
        <v>433</v>
      </c>
      <c r="D1547" s="1733">
        <v>2.4861111111111108E-2</v>
      </c>
      <c r="E1547" s="1489" t="s">
        <v>5095</v>
      </c>
      <c r="F1547" s="1489" t="s">
        <v>11602</v>
      </c>
      <c r="G1547" s="1815">
        <v>0.46</v>
      </c>
      <c r="H1547" s="1489"/>
      <c r="I1547" s="1489"/>
      <c r="J1547" s="1370"/>
      <c r="K1547" s="1370"/>
      <c r="L1547" s="1370"/>
      <c r="M1547" s="1370"/>
      <c r="N1547" s="1370"/>
      <c r="O1547" s="1370"/>
      <c r="P1547" s="1370"/>
      <c r="Q1547" s="1370"/>
      <c r="R1547" s="1370"/>
      <c r="S1547" s="1370"/>
      <c r="T1547" s="1370"/>
      <c r="U1547" s="1370"/>
      <c r="V1547" s="1370"/>
      <c r="W1547" s="1370"/>
      <c r="X1547" s="1370"/>
    </row>
    <row r="1548" spans="1:24" s="80" customFormat="1" x14ac:dyDescent="0.2">
      <c r="A1548" s="1765">
        <v>43813</v>
      </c>
      <c r="B1548" s="1489" t="s">
        <v>9377</v>
      </c>
      <c r="C1548" s="1489" t="s">
        <v>9378</v>
      </c>
      <c r="D1548" s="1695" t="s">
        <v>787</v>
      </c>
      <c r="E1548" s="1489" t="s">
        <v>16259</v>
      </c>
      <c r="F1548" s="1489" t="s">
        <v>4185</v>
      </c>
      <c r="G1548" s="1817"/>
      <c r="H1548" s="1404"/>
      <c r="I1548" s="1404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 s="80" customFormat="1" x14ac:dyDescent="0.2">
      <c r="A1549" s="34">
        <v>43806</v>
      </c>
      <c r="B1549" s="1489" t="s">
        <v>9377</v>
      </c>
      <c r="C1549" s="1489" t="s">
        <v>9378</v>
      </c>
      <c r="D1549" s="1621">
        <v>2.3761574074074077E-2</v>
      </c>
      <c r="E1549" s="1489" t="s">
        <v>16210</v>
      </c>
      <c r="F1549" s="1404"/>
      <c r="G1549" s="1817">
        <v>0.5363</v>
      </c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s="80" customFormat="1" x14ac:dyDescent="0.2">
      <c r="A1550" s="1729">
        <v>43799</v>
      </c>
      <c r="B1550" s="1489" t="s">
        <v>9377</v>
      </c>
      <c r="C1550" s="1489" t="s">
        <v>9378</v>
      </c>
      <c r="D1550" s="1754">
        <v>2.3495370370370371E-2</v>
      </c>
      <c r="E1550" s="1486" t="s">
        <v>16152</v>
      </c>
      <c r="F1550" s="1514" t="s">
        <v>16177</v>
      </c>
      <c r="G1550" s="1825">
        <v>0.54239999999999999</v>
      </c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 s="80" customFormat="1" x14ac:dyDescent="0.2">
      <c r="A1551" s="1751">
        <v>43792</v>
      </c>
      <c r="B1551" s="1489" t="s">
        <v>9377</v>
      </c>
      <c r="C1551" s="1489" t="s">
        <v>9378</v>
      </c>
      <c r="D1551" s="1786">
        <v>2.4976851851851851E-2</v>
      </c>
      <c r="E1551" s="1489" t="s">
        <v>16093</v>
      </c>
      <c r="F1551" s="1404"/>
      <c r="G1551" s="1817">
        <v>0.51019999999999999</v>
      </c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 s="80" customFormat="1" x14ac:dyDescent="0.2">
      <c r="A1552" s="1673">
        <v>43785</v>
      </c>
      <c r="B1552" s="1489" t="s">
        <v>9377</v>
      </c>
      <c r="C1552" s="1489" t="s">
        <v>9378</v>
      </c>
      <c r="D1552" s="1754">
        <v>2.4849537037037035E-2</v>
      </c>
      <c r="E1552" s="1514" t="s">
        <v>15993</v>
      </c>
      <c r="F1552" s="1514"/>
      <c r="G1552" s="1825">
        <v>0.51280000000000003</v>
      </c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s="80" customFormat="1" x14ac:dyDescent="0.2">
      <c r="A1553" s="1384">
        <v>43778</v>
      </c>
      <c r="B1553" s="1489" t="s">
        <v>9377</v>
      </c>
      <c r="C1553" s="1489" t="s">
        <v>9378</v>
      </c>
      <c r="D1553" s="1744">
        <v>2.4016203703703706E-2</v>
      </c>
      <c r="E1553" s="1723" t="s">
        <v>15950</v>
      </c>
      <c r="F1553" s="1723" t="s">
        <v>15978</v>
      </c>
      <c r="G1553" s="1820">
        <v>0.53059999999999996</v>
      </c>
      <c r="H1553" s="1370"/>
      <c r="I1553" s="1370"/>
      <c r="J1553" s="1370"/>
      <c r="K1553" s="1370"/>
      <c r="L1553" s="1370"/>
      <c r="M1553" s="1370"/>
      <c r="N1553" s="1370"/>
      <c r="O1553" s="1370"/>
      <c r="P1553" s="1370"/>
      <c r="Q1553" s="1370"/>
      <c r="R1553" s="1370"/>
      <c r="S1553" s="1370"/>
      <c r="T1553" s="1370"/>
      <c r="U1553" s="1370"/>
      <c r="V1553" s="1370"/>
      <c r="W1553" s="1370"/>
      <c r="X1553" s="1370"/>
    </row>
    <row r="1554" spans="1:24" s="80" customFormat="1" x14ac:dyDescent="0.2">
      <c r="A1554" s="523">
        <v>43757</v>
      </c>
      <c r="B1554" s="1489" t="s">
        <v>9377</v>
      </c>
      <c r="C1554" s="1489" t="s">
        <v>9378</v>
      </c>
      <c r="D1554" s="1686">
        <v>2.3981481481481482E-2</v>
      </c>
      <c r="E1554" s="1489" t="s">
        <v>15846</v>
      </c>
      <c r="F1554" s="1489"/>
      <c r="G1554" s="1815">
        <v>0.53139999999999998</v>
      </c>
      <c r="H1554" s="1489"/>
      <c r="I1554" s="1489"/>
      <c r="J1554" s="1489"/>
      <c r="K1554" s="1489"/>
    </row>
    <row r="1555" spans="1:24" s="80" customFormat="1" x14ac:dyDescent="0.2">
      <c r="A1555" s="1729">
        <v>43743</v>
      </c>
      <c r="B1555" s="1489" t="s">
        <v>9377</v>
      </c>
      <c r="C1555" s="1489" t="s">
        <v>9378</v>
      </c>
      <c r="D1555" s="1737">
        <v>2.3703703703703706E-2</v>
      </c>
      <c r="E1555" s="1514" t="s">
        <v>15705</v>
      </c>
      <c r="F1555" s="1514" t="s">
        <v>15748</v>
      </c>
      <c r="G1555" s="1822">
        <v>0.53759999999999997</v>
      </c>
    </row>
    <row r="1556" spans="1:24" s="80" customFormat="1" x14ac:dyDescent="0.2">
      <c r="A1556" s="1729">
        <v>43736</v>
      </c>
      <c r="B1556" s="1489" t="s">
        <v>9377</v>
      </c>
      <c r="C1556" s="1489" t="s">
        <v>9378</v>
      </c>
      <c r="D1556" s="1686" t="s">
        <v>8346</v>
      </c>
      <c r="E1556" s="1489" t="s">
        <v>15631</v>
      </c>
      <c r="F1556" s="1489" t="s">
        <v>4185</v>
      </c>
      <c r="G1556" s="1815"/>
    </row>
    <row r="1557" spans="1:24" s="80" customFormat="1" x14ac:dyDescent="0.2">
      <c r="A1557" s="523">
        <v>43715</v>
      </c>
      <c r="B1557" s="1489" t="s">
        <v>9377</v>
      </c>
      <c r="C1557" s="1489" t="s">
        <v>9378</v>
      </c>
      <c r="D1557" s="1732">
        <v>2.390046296296296E-2</v>
      </c>
      <c r="E1557" s="1514" t="s">
        <v>15416</v>
      </c>
      <c r="F1557" s="1489" t="s">
        <v>15443</v>
      </c>
      <c r="G1557" s="1822">
        <v>0.53320000000000001</v>
      </c>
      <c r="I1557" s="1514"/>
    </row>
    <row r="1558" spans="1:24" s="80" customFormat="1" x14ac:dyDescent="0.2">
      <c r="A1558" s="1526">
        <v>43708</v>
      </c>
      <c r="B1558" s="1489" t="s">
        <v>9377</v>
      </c>
      <c r="C1558" s="1489" t="s">
        <v>9378</v>
      </c>
      <c r="D1558" s="1686">
        <v>2.5532407407407406E-2</v>
      </c>
      <c r="E1558" s="1489" t="s">
        <v>15371</v>
      </c>
      <c r="F1558" s="1489" t="s">
        <v>15386</v>
      </c>
      <c r="G1558" s="1815">
        <v>0.49909999999999999</v>
      </c>
      <c r="H1558" s="1489"/>
      <c r="I1558" s="1489"/>
      <c r="J1558" s="1489"/>
    </row>
    <row r="1559" spans="1:24" s="80" customFormat="1" x14ac:dyDescent="0.2">
      <c r="A1559" s="523">
        <v>43701</v>
      </c>
      <c r="B1559" s="1489" t="s">
        <v>9377</v>
      </c>
      <c r="C1559" s="1489" t="s">
        <v>9378</v>
      </c>
      <c r="D1559" s="1686" t="s">
        <v>787</v>
      </c>
      <c r="E1559" s="1489" t="s">
        <v>5883</v>
      </c>
      <c r="F1559" s="1489" t="s">
        <v>4185</v>
      </c>
      <c r="G1559" s="1815"/>
      <c r="H1559" s="1514"/>
      <c r="I1559" s="1514"/>
      <c r="L1559" s="1370"/>
      <c r="M1559" s="1370"/>
      <c r="N1559" s="1370"/>
      <c r="O1559" s="1370"/>
      <c r="P1559" s="1370"/>
      <c r="Q1559" s="1370"/>
      <c r="R1559" s="1370"/>
      <c r="S1559" s="1370"/>
      <c r="T1559" s="1370"/>
      <c r="U1559" s="1370"/>
      <c r="V1559" s="1370"/>
      <c r="W1559" s="1370"/>
      <c r="X1559" s="1370"/>
    </row>
    <row r="1560" spans="1:24" s="80" customFormat="1" x14ac:dyDescent="0.2">
      <c r="A1560" s="523">
        <v>43694</v>
      </c>
      <c r="B1560" s="1489" t="s">
        <v>9377</v>
      </c>
      <c r="C1560" s="1489" t="s">
        <v>9378</v>
      </c>
      <c r="D1560" s="1733">
        <v>2.3761574074074077E-2</v>
      </c>
      <c r="E1560" s="1489" t="s">
        <v>15166</v>
      </c>
      <c r="F1560" s="1489" t="s">
        <v>15195</v>
      </c>
      <c r="G1560" s="1815">
        <v>0.5363</v>
      </c>
      <c r="H1560" s="1514"/>
      <c r="I1560" s="1514"/>
    </row>
    <row r="1561" spans="1:24" s="80" customFormat="1" x14ac:dyDescent="0.2">
      <c r="A1561" s="523">
        <v>43687</v>
      </c>
      <c r="B1561" s="1489" t="s">
        <v>9377</v>
      </c>
      <c r="C1561" s="1489" t="s">
        <v>9378</v>
      </c>
      <c r="D1561" s="1686">
        <v>2.4004629629629633E-2</v>
      </c>
      <c r="E1561" s="1489" t="s">
        <v>13429</v>
      </c>
      <c r="F1561" s="1489" t="s">
        <v>13449</v>
      </c>
      <c r="G1561" s="1815">
        <v>0.53090000000000004</v>
      </c>
      <c r="H1561" s="1514"/>
      <c r="I1561" s="1514"/>
    </row>
    <row r="1562" spans="1:24" s="80" customFormat="1" x14ac:dyDescent="0.2">
      <c r="A1562" s="1384">
        <v>43680</v>
      </c>
      <c r="B1562" s="1489" t="s">
        <v>9377</v>
      </c>
      <c r="C1562" s="1489" t="s">
        <v>9378</v>
      </c>
      <c r="D1562" s="1686">
        <v>2.4305555555555556E-2</v>
      </c>
      <c r="E1562" s="1489" t="s">
        <v>13348</v>
      </c>
      <c r="F1562" s="1489"/>
      <c r="G1562" s="1815">
        <v>0.52429999999999999</v>
      </c>
      <c r="H1562" s="1514"/>
      <c r="I1562" s="1514"/>
      <c r="L1562" s="1370"/>
      <c r="M1562" s="1370"/>
      <c r="N1562" s="1370"/>
      <c r="O1562" s="1370"/>
      <c r="P1562" s="1370"/>
      <c r="Q1562" s="1370"/>
      <c r="R1562" s="1370"/>
      <c r="S1562" s="1370"/>
      <c r="T1562" s="1370"/>
      <c r="U1562" s="1370"/>
      <c r="V1562" s="1370"/>
      <c r="W1562" s="1370"/>
      <c r="X1562" s="1370"/>
    </row>
    <row r="1563" spans="1:24" s="80" customFormat="1" ht="12.75" customHeight="1" x14ac:dyDescent="0.2">
      <c r="A1563" s="1384">
        <v>43673</v>
      </c>
      <c r="B1563" s="1489" t="s">
        <v>9377</v>
      </c>
      <c r="C1563" s="1489" t="s">
        <v>9378</v>
      </c>
      <c r="D1563" s="1837" t="s">
        <v>787</v>
      </c>
      <c r="E1563" s="1489" t="s">
        <v>13281</v>
      </c>
      <c r="F1563" s="1489" t="s">
        <v>2052</v>
      </c>
      <c r="G1563" s="1822"/>
      <c r="H1563" s="1514"/>
      <c r="I1563" s="1514"/>
      <c r="L1563" s="1370"/>
      <c r="M1563" s="1370"/>
      <c r="N1563" s="1370"/>
      <c r="O1563" s="1370"/>
      <c r="P1563" s="1370"/>
      <c r="Q1563" s="1370"/>
      <c r="R1563" s="1370"/>
      <c r="S1563" s="1370"/>
      <c r="T1563" s="1370"/>
      <c r="U1563" s="1370"/>
      <c r="V1563" s="1370"/>
      <c r="W1563" s="1370"/>
      <c r="X1563" s="1370"/>
    </row>
    <row r="1564" spans="1:24" s="80" customFormat="1" ht="12" customHeight="1" x14ac:dyDescent="0.2">
      <c r="A1564" s="523">
        <v>43666</v>
      </c>
      <c r="B1564" s="1489" t="s">
        <v>9377</v>
      </c>
      <c r="C1564" s="1489" t="s">
        <v>9378</v>
      </c>
      <c r="D1564" s="1686">
        <v>2.5787037037037039E-2</v>
      </c>
      <c r="E1564" s="1489" t="s">
        <v>13195</v>
      </c>
      <c r="F1564" s="1489"/>
      <c r="G1564" s="1815">
        <v>0.49419999999999997</v>
      </c>
      <c r="H1564" s="1514"/>
      <c r="I1564" s="1514"/>
      <c r="L1564" s="1370"/>
      <c r="M1564" s="1370"/>
      <c r="N1564" s="1370"/>
      <c r="O1564" s="1370"/>
      <c r="P1564" s="1370"/>
      <c r="Q1564" s="1370"/>
      <c r="R1564" s="1370"/>
      <c r="S1564" s="1370"/>
      <c r="T1564" s="1370"/>
      <c r="U1564" s="1370"/>
      <c r="V1564" s="1370"/>
      <c r="W1564" s="1370"/>
      <c r="X1564" s="1370"/>
    </row>
    <row r="1565" spans="1:24" s="80" customFormat="1" ht="12.75" customHeight="1" x14ac:dyDescent="0.2">
      <c r="A1565" s="523">
        <v>43659</v>
      </c>
      <c r="B1565" s="1489" t="s">
        <v>9377</v>
      </c>
      <c r="C1565" s="1489" t="s">
        <v>9378</v>
      </c>
      <c r="D1565" s="1753">
        <v>2.6388888888888889E-2</v>
      </c>
      <c r="E1565" s="1489" t="s">
        <v>13152</v>
      </c>
      <c r="F1565" s="1489" t="s">
        <v>13184</v>
      </c>
      <c r="G1565" s="1822">
        <v>0.4829</v>
      </c>
      <c r="H1565" s="1514"/>
      <c r="I1565" s="1514"/>
      <c r="L1565" s="1370"/>
      <c r="M1565" s="1370"/>
      <c r="N1565" s="1370"/>
      <c r="O1565" s="1370"/>
      <c r="P1565" s="1370"/>
      <c r="Q1565" s="1370"/>
      <c r="R1565" s="1370"/>
      <c r="S1565" s="1370"/>
      <c r="T1565" s="1370"/>
      <c r="U1565" s="1370"/>
      <c r="V1565" s="1370"/>
      <c r="W1565" s="1370"/>
      <c r="X1565" s="1370"/>
    </row>
    <row r="1566" spans="1:24" s="80" customFormat="1" ht="12.75" customHeight="1" x14ac:dyDescent="0.2">
      <c r="A1566" s="523">
        <v>43645</v>
      </c>
      <c r="B1566" s="1489" t="s">
        <v>9377</v>
      </c>
      <c r="C1566" s="1489" t="s">
        <v>9378</v>
      </c>
      <c r="D1566" s="1753" t="s">
        <v>787</v>
      </c>
      <c r="E1566" s="1514" t="s">
        <v>13019</v>
      </c>
      <c r="F1566" s="1514" t="s">
        <v>5508</v>
      </c>
      <c r="G1566" s="1822"/>
      <c r="H1566" s="1514"/>
      <c r="I1566" s="1514"/>
      <c r="L1566" s="1370"/>
      <c r="M1566" s="1370"/>
      <c r="N1566" s="1370"/>
      <c r="O1566" s="1370"/>
      <c r="P1566" s="1370"/>
      <c r="Q1566" s="1370"/>
      <c r="R1566" s="1370"/>
      <c r="S1566" s="1370"/>
      <c r="T1566" s="1370"/>
      <c r="U1566" s="1370"/>
      <c r="V1566" s="1370"/>
      <c r="W1566" s="1370"/>
      <c r="X1566" s="1370"/>
    </row>
    <row r="1567" spans="1:24" s="80" customFormat="1" ht="12.75" customHeight="1" x14ac:dyDescent="0.2">
      <c r="A1567" s="523">
        <v>43631</v>
      </c>
      <c r="B1567" s="1489" t="s">
        <v>9377</v>
      </c>
      <c r="C1567" s="1489" t="s">
        <v>9378</v>
      </c>
      <c r="D1567" s="1837" t="s">
        <v>787</v>
      </c>
      <c r="E1567" s="1569" t="s">
        <v>5883</v>
      </c>
      <c r="F1567" s="1569" t="s">
        <v>4185</v>
      </c>
      <c r="G1567" s="1822"/>
      <c r="H1567" s="1514"/>
      <c r="I1567" s="1514"/>
      <c r="L1567" s="1370"/>
      <c r="M1567" s="1370"/>
      <c r="N1567" s="1370"/>
      <c r="O1567" s="1370"/>
      <c r="P1567" s="1370"/>
      <c r="Q1567" s="1370"/>
      <c r="R1567" s="1370"/>
      <c r="S1567" s="1370"/>
      <c r="T1567" s="1370"/>
      <c r="U1567" s="1370"/>
      <c r="V1567" s="1370"/>
      <c r="W1567" s="1370"/>
      <c r="X1567" s="1370"/>
    </row>
    <row r="1568" spans="1:24" s="80" customFormat="1" ht="12.75" customHeight="1" x14ac:dyDescent="0.2">
      <c r="A1568" s="1384">
        <v>43610</v>
      </c>
      <c r="B1568" s="1489" t="s">
        <v>9377</v>
      </c>
      <c r="C1568" s="1489" t="s">
        <v>9378</v>
      </c>
      <c r="D1568" s="1733">
        <v>3.6932870370370366E-2</v>
      </c>
      <c r="E1568" s="1489" t="s">
        <v>12730</v>
      </c>
      <c r="F1568" s="1489" t="s">
        <v>12764</v>
      </c>
      <c r="G1568" s="1815">
        <v>0.34499999999999997</v>
      </c>
      <c r="H1568" s="1489"/>
      <c r="I1568" s="1489"/>
      <c r="J1568" s="1370"/>
      <c r="K1568" s="1370"/>
    </row>
    <row r="1569" spans="1:24" s="80" customFormat="1" ht="12.75" customHeight="1" x14ac:dyDescent="0.2">
      <c r="A1569" s="1384">
        <v>43575</v>
      </c>
      <c r="B1569" s="1489" t="s">
        <v>9377</v>
      </c>
      <c r="C1569" s="1489" t="s">
        <v>9378</v>
      </c>
      <c r="D1569" s="1733">
        <v>2.6666666666666668E-2</v>
      </c>
      <c r="E1569" s="1489" t="s">
        <v>12469</v>
      </c>
      <c r="F1569" s="1489" t="s">
        <v>12495</v>
      </c>
      <c r="G1569" s="1815">
        <v>0.47789999999999999</v>
      </c>
      <c r="H1569" s="1489"/>
      <c r="I1569" s="1489"/>
      <c r="J1569" s="1370"/>
      <c r="K1569" s="1370"/>
    </row>
    <row r="1570" spans="1:24" s="80" customFormat="1" ht="12.75" customHeight="1" x14ac:dyDescent="0.2">
      <c r="A1570" s="1384">
        <v>43568</v>
      </c>
      <c r="B1570" s="1489" t="s">
        <v>9377</v>
      </c>
      <c r="C1570" s="1489" t="s">
        <v>9378</v>
      </c>
      <c r="D1570" s="1733">
        <v>2.5324074074074079E-2</v>
      </c>
      <c r="E1570" s="1489" t="s">
        <v>12361</v>
      </c>
      <c r="F1570" s="1489" t="s">
        <v>12392</v>
      </c>
      <c r="G1570" s="1815">
        <v>0.50319999999999998</v>
      </c>
      <c r="H1570" s="1489"/>
      <c r="I1570" s="1489"/>
      <c r="J1570" s="1370"/>
      <c r="K1570" s="1370"/>
    </row>
    <row r="1571" spans="1:24" s="80" customFormat="1" ht="12.75" customHeight="1" x14ac:dyDescent="0.2">
      <c r="A1571" s="1384">
        <v>43561</v>
      </c>
      <c r="B1571" s="1489" t="s">
        <v>9377</v>
      </c>
      <c r="C1571" s="1489" t="s">
        <v>9378</v>
      </c>
      <c r="D1571" s="1733">
        <v>2.6412037037037036E-2</v>
      </c>
      <c r="E1571" s="1489" t="s">
        <v>12347</v>
      </c>
      <c r="F1571" s="1489" t="s">
        <v>12344</v>
      </c>
      <c r="G1571" s="1815">
        <v>0.47620000000000001</v>
      </c>
      <c r="H1571" s="1489"/>
      <c r="I1571" s="1489"/>
      <c r="J1571" s="1370"/>
      <c r="K1571" s="1370"/>
    </row>
    <row r="1572" spans="1:24" s="80" customFormat="1" ht="12.75" customHeight="1" x14ac:dyDescent="0.2">
      <c r="A1572" s="1384">
        <v>43554</v>
      </c>
      <c r="B1572" s="1489" t="s">
        <v>9377</v>
      </c>
      <c r="C1572" s="1489" t="s">
        <v>9378</v>
      </c>
      <c r="D1572" s="1733" t="s">
        <v>787</v>
      </c>
      <c r="E1572" s="1489" t="s">
        <v>12230</v>
      </c>
      <c r="F1572" s="1489" t="s">
        <v>4185</v>
      </c>
      <c r="G1572" s="1815"/>
      <c r="H1572" s="1489"/>
      <c r="I1572" s="1489"/>
      <c r="J1572" s="1370"/>
      <c r="K1572" s="1370"/>
    </row>
    <row r="1573" spans="1:24" s="80" customFormat="1" ht="12.75" customHeight="1" x14ac:dyDescent="0.2">
      <c r="A1573" s="1384">
        <v>43519</v>
      </c>
      <c r="B1573" s="1489" t="s">
        <v>9377</v>
      </c>
      <c r="C1573" s="1489" t="s">
        <v>9378</v>
      </c>
      <c r="D1573" s="1733">
        <v>3.6979166666666667E-2</v>
      </c>
      <c r="E1573" s="1489" t="s">
        <v>5883</v>
      </c>
      <c r="F1573" s="1489" t="s">
        <v>11901</v>
      </c>
      <c r="G1573" s="1815">
        <v>0.33989999999999998</v>
      </c>
      <c r="H1573" s="1489"/>
      <c r="I1573" s="1489"/>
      <c r="J1573" s="1370"/>
      <c r="K1573" s="1370"/>
    </row>
    <row r="1574" spans="1:24" s="80" customFormat="1" ht="12.75" customHeight="1" x14ac:dyDescent="0.2">
      <c r="A1574" s="1384">
        <v>43512</v>
      </c>
      <c r="B1574" s="1489" t="s">
        <v>9377</v>
      </c>
      <c r="C1574" s="1489" t="s">
        <v>9378</v>
      </c>
      <c r="D1574" s="1733">
        <v>3.9976851851851854E-2</v>
      </c>
      <c r="E1574" s="1489" t="s">
        <v>5883</v>
      </c>
      <c r="F1574" s="1489" t="s">
        <v>11817</v>
      </c>
      <c r="G1574" s="1815">
        <v>0.31440000000000001</v>
      </c>
      <c r="H1574" s="1489"/>
      <c r="I1574" s="1489"/>
      <c r="J1574" s="1370"/>
      <c r="K1574" s="1370"/>
      <c r="L1574" s="1370"/>
      <c r="M1574" s="1370"/>
      <c r="N1574" s="1370"/>
      <c r="O1574" s="1370"/>
      <c r="P1574" s="1370"/>
      <c r="Q1574" s="1370"/>
      <c r="R1574" s="1370"/>
      <c r="S1574" s="1370"/>
      <c r="T1574" s="1370"/>
      <c r="U1574" s="1370"/>
      <c r="V1574" s="1370"/>
      <c r="W1574" s="1370"/>
      <c r="X1574" s="1370"/>
    </row>
    <row r="1575" spans="1:24" s="80" customFormat="1" ht="12.75" customHeight="1" x14ac:dyDescent="0.2">
      <c r="A1575" s="1384">
        <v>43505</v>
      </c>
      <c r="B1575" s="1489" t="s">
        <v>9377</v>
      </c>
      <c r="C1575" s="1489" t="s">
        <v>9378</v>
      </c>
      <c r="D1575" s="1733">
        <v>3.3726851851851855E-2</v>
      </c>
      <c r="E1575" s="1489" t="s">
        <v>129</v>
      </c>
      <c r="F1575" s="1489" t="s">
        <v>11780</v>
      </c>
      <c r="G1575" s="1815">
        <v>0.37269999999999998</v>
      </c>
      <c r="H1575" s="1489"/>
      <c r="I1575" s="1489"/>
      <c r="J1575" s="1370"/>
      <c r="K1575" s="1370"/>
      <c r="L1575" s="1370"/>
      <c r="M1575" s="1370"/>
      <c r="N1575" s="1370"/>
      <c r="O1575" s="1370"/>
      <c r="P1575" s="1370"/>
      <c r="Q1575" s="1370"/>
      <c r="R1575" s="1370"/>
      <c r="S1575" s="1370"/>
      <c r="T1575" s="1370"/>
      <c r="U1575" s="1370"/>
      <c r="V1575" s="1370"/>
      <c r="W1575" s="1370"/>
      <c r="X1575" s="1370"/>
    </row>
    <row r="1576" spans="1:24" s="80" customFormat="1" ht="12.75" customHeight="1" x14ac:dyDescent="0.2">
      <c r="A1576" s="1729">
        <v>43799</v>
      </c>
      <c r="B1576" s="1489" t="s">
        <v>5788</v>
      </c>
      <c r="C1576" s="1489" t="s">
        <v>5789</v>
      </c>
      <c r="D1576" s="1753" t="s">
        <v>787</v>
      </c>
      <c r="E1576" s="1486" t="s">
        <v>10583</v>
      </c>
      <c r="F1576" s="1486" t="s">
        <v>16143</v>
      </c>
      <c r="G1576" s="1825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</row>
    <row r="1577" spans="1:24" s="80" customFormat="1" ht="12.75" customHeight="1" x14ac:dyDescent="0.2">
      <c r="A1577" s="1673">
        <v>43785</v>
      </c>
      <c r="B1577" s="1489" t="s">
        <v>5788</v>
      </c>
      <c r="C1577" s="1489" t="s">
        <v>5789</v>
      </c>
      <c r="D1577" s="1754">
        <v>2.8159722222222221E-2</v>
      </c>
      <c r="E1577" s="1514" t="s">
        <v>16014</v>
      </c>
      <c r="F1577" s="1514" t="s">
        <v>16056</v>
      </c>
      <c r="G1577" s="1825">
        <v>0.5232</v>
      </c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</row>
    <row r="1578" spans="1:24" s="80" customFormat="1" ht="12.75" customHeight="1" x14ac:dyDescent="0.2">
      <c r="A1578" s="1384">
        <v>43778</v>
      </c>
      <c r="B1578" s="1489" t="s">
        <v>5788</v>
      </c>
      <c r="C1578" s="1489" t="s">
        <v>5789</v>
      </c>
      <c r="D1578" s="1744">
        <v>2.6122685185185186E-2</v>
      </c>
      <c r="E1578" s="1723" t="s">
        <v>15963</v>
      </c>
      <c r="F1578" s="1723"/>
      <c r="G1578" s="1820">
        <v>0.56399999999999995</v>
      </c>
      <c r="H1578" s="1370"/>
      <c r="I1578" s="1370"/>
      <c r="J1578" s="1370"/>
      <c r="K1578" s="1370"/>
      <c r="L1578" s="1370"/>
      <c r="M1578" s="1370"/>
      <c r="N1578" s="1370"/>
      <c r="O1578" s="1370"/>
      <c r="P1578" s="1370"/>
      <c r="Q1578" s="1370"/>
      <c r="R1578" s="1370"/>
      <c r="S1578" s="1370"/>
      <c r="T1578" s="1370"/>
      <c r="U1578" s="1370"/>
      <c r="V1578" s="1370"/>
      <c r="W1578" s="1370"/>
      <c r="X1578" s="1370"/>
    </row>
    <row r="1579" spans="1:24" s="80" customFormat="1" ht="12.75" customHeight="1" x14ac:dyDescent="0.2">
      <c r="A1579" s="1384">
        <v>43771</v>
      </c>
      <c r="B1579" s="1489" t="s">
        <v>5788</v>
      </c>
      <c r="C1579" s="1489" t="s">
        <v>5789</v>
      </c>
      <c r="D1579" s="1737">
        <v>2.3912037037037034E-2</v>
      </c>
      <c r="E1579" s="1489" t="s">
        <v>15890</v>
      </c>
      <c r="F1579" s="1489"/>
      <c r="G1579" s="1815">
        <v>0.61619999999999997</v>
      </c>
      <c r="H1579" s="1370"/>
      <c r="I1579" s="1370"/>
      <c r="J1579" s="1370"/>
      <c r="K1579" s="1370"/>
      <c r="L1579" s="1370"/>
      <c r="M1579" s="1370"/>
      <c r="N1579" s="1370"/>
      <c r="O1579" s="1370"/>
      <c r="P1579" s="1370"/>
      <c r="Q1579" s="1370"/>
      <c r="R1579" s="1370"/>
      <c r="S1579" s="1370"/>
      <c r="T1579" s="1370"/>
      <c r="U1579" s="1370"/>
      <c r="V1579" s="1370"/>
      <c r="W1579" s="1370"/>
      <c r="X1579" s="1370"/>
    </row>
    <row r="1580" spans="1:24" s="80" customFormat="1" ht="12.75" customHeight="1" x14ac:dyDescent="0.2">
      <c r="A1580" s="1729">
        <v>43743</v>
      </c>
      <c r="B1580" s="1489" t="s">
        <v>5788</v>
      </c>
      <c r="C1580" s="1489" t="s">
        <v>5789</v>
      </c>
      <c r="D1580" s="1737">
        <v>2.3020833333333331E-2</v>
      </c>
      <c r="E1580" s="1514" t="s">
        <v>15718</v>
      </c>
      <c r="F1580" s="1514" t="s">
        <v>15770</v>
      </c>
      <c r="G1580" s="1822">
        <v>0.64</v>
      </c>
    </row>
    <row r="1581" spans="1:24" s="80" customFormat="1" ht="12.75" customHeight="1" x14ac:dyDescent="0.2">
      <c r="A1581" s="1729">
        <v>43729</v>
      </c>
      <c r="B1581" s="1489" t="s">
        <v>5788</v>
      </c>
      <c r="C1581" s="1489" t="s">
        <v>5789</v>
      </c>
      <c r="D1581" s="1686">
        <v>2.7060185185185184E-2</v>
      </c>
      <c r="E1581" s="1489" t="s">
        <v>15579</v>
      </c>
      <c r="F1581" s="1489" t="s">
        <v>15610</v>
      </c>
      <c r="G1581" s="1815">
        <v>0.54449999999999998</v>
      </c>
    </row>
    <row r="1582" spans="1:24" s="80" customFormat="1" ht="12.75" customHeight="1" x14ac:dyDescent="0.2">
      <c r="A1582" s="523">
        <v>43722</v>
      </c>
      <c r="B1582" s="1489" t="s">
        <v>5788</v>
      </c>
      <c r="C1582" s="1489" t="s">
        <v>5789</v>
      </c>
      <c r="D1582" s="1686">
        <v>2.6990740740740742E-2</v>
      </c>
      <c r="E1582" s="1489" t="s">
        <v>15474</v>
      </c>
      <c r="F1582" s="1489" t="s">
        <v>15535</v>
      </c>
      <c r="G1582" s="1815">
        <v>0.54590000000000005</v>
      </c>
    </row>
    <row r="1583" spans="1:24" s="80" customFormat="1" ht="12.75" customHeight="1" x14ac:dyDescent="0.2">
      <c r="A1583" s="523">
        <v>43715</v>
      </c>
      <c r="B1583" s="1489" t="s">
        <v>5788</v>
      </c>
      <c r="C1583" s="1489" t="s">
        <v>5789</v>
      </c>
      <c r="D1583" s="1732">
        <v>2.3113425925925923E-2</v>
      </c>
      <c r="E1583" s="1514" t="s">
        <v>15420</v>
      </c>
      <c r="F1583" s="1524" t="s">
        <v>15438</v>
      </c>
      <c r="G1583" s="1822">
        <v>0.63749999999999996</v>
      </c>
      <c r="I1583" s="1514"/>
    </row>
    <row r="1584" spans="1:24" s="80" customFormat="1" ht="12.75" customHeight="1" x14ac:dyDescent="0.2">
      <c r="A1584" s="523">
        <v>43708</v>
      </c>
      <c r="B1584" s="1489" t="s">
        <v>5788</v>
      </c>
      <c r="C1584" s="1489" t="s">
        <v>5789</v>
      </c>
      <c r="D1584" s="1686" t="s">
        <v>787</v>
      </c>
      <c r="E1584" s="1489" t="s">
        <v>10583</v>
      </c>
      <c r="F1584" s="1489" t="s">
        <v>4061</v>
      </c>
      <c r="G1584" s="1815"/>
      <c r="I1584" s="1514"/>
      <c r="L1584" s="1370"/>
      <c r="M1584" s="1370"/>
      <c r="N1584" s="1370"/>
      <c r="O1584" s="1370"/>
      <c r="P1584" s="1370"/>
      <c r="Q1584" s="1370"/>
      <c r="R1584" s="1370"/>
      <c r="S1584" s="1370"/>
      <c r="T1584" s="1370"/>
      <c r="U1584" s="1370"/>
      <c r="V1584" s="1370"/>
      <c r="W1584" s="1370"/>
      <c r="X1584" s="1370"/>
    </row>
    <row r="1585" spans="1:24" s="80" customFormat="1" ht="12.75" customHeight="1" x14ac:dyDescent="0.2">
      <c r="A1585" s="523">
        <v>43694</v>
      </c>
      <c r="B1585" s="1489" t="s">
        <v>5788</v>
      </c>
      <c r="C1585" s="1489" t="s">
        <v>5789</v>
      </c>
      <c r="D1585" s="1733">
        <v>2.3831018518518522E-2</v>
      </c>
      <c r="E1585" s="1489" t="s">
        <v>15168</v>
      </c>
      <c r="F1585" s="1489"/>
      <c r="G1585" s="1815">
        <v>0.61829999999999996</v>
      </c>
      <c r="I1585" s="1514"/>
      <c r="L1585" s="1370"/>
      <c r="M1585" s="1370"/>
      <c r="N1585" s="1370"/>
      <c r="O1585" s="1370"/>
      <c r="P1585" s="1370"/>
      <c r="Q1585" s="1370"/>
      <c r="R1585" s="1370"/>
      <c r="S1585" s="1370"/>
      <c r="T1585" s="1370"/>
      <c r="U1585" s="1370"/>
      <c r="V1585" s="1370"/>
      <c r="W1585" s="1370"/>
      <c r="X1585" s="1370"/>
    </row>
    <row r="1586" spans="1:24" s="80" customFormat="1" ht="12.75" customHeight="1" x14ac:dyDescent="0.2">
      <c r="A1586" s="523">
        <v>43687</v>
      </c>
      <c r="B1586" s="1489" t="s">
        <v>5788</v>
      </c>
      <c r="C1586" s="1489" t="s">
        <v>5789</v>
      </c>
      <c r="D1586" s="1686">
        <v>2.4884259259259259E-2</v>
      </c>
      <c r="E1586" s="1489" t="s">
        <v>13440</v>
      </c>
      <c r="F1586" s="1489" t="s">
        <v>13466</v>
      </c>
      <c r="G1586" s="1815">
        <v>0.59209999999999996</v>
      </c>
      <c r="H1586" s="1514"/>
      <c r="I1586" s="1514"/>
      <c r="L1586" s="1370"/>
      <c r="M1586" s="1370"/>
      <c r="N1586" s="1370"/>
      <c r="O1586" s="1370"/>
      <c r="P1586" s="1370"/>
      <c r="Q1586" s="1370"/>
      <c r="R1586" s="1370"/>
      <c r="S1586" s="1370"/>
      <c r="T1586" s="1370"/>
      <c r="U1586" s="1370"/>
      <c r="V1586" s="1370"/>
      <c r="W1586" s="1370"/>
      <c r="X1586" s="1370"/>
    </row>
    <row r="1587" spans="1:24" s="80" customFormat="1" ht="12.75" customHeight="1" x14ac:dyDescent="0.2">
      <c r="A1587" s="1384">
        <v>43680</v>
      </c>
      <c r="B1587" s="1489" t="s">
        <v>5788</v>
      </c>
      <c r="C1587" s="1489" t="s">
        <v>5789</v>
      </c>
      <c r="D1587" s="1686">
        <v>2.4097222222222225E-2</v>
      </c>
      <c r="E1587" s="1489" t="s">
        <v>13355</v>
      </c>
      <c r="F1587" s="1489" t="s">
        <v>13399</v>
      </c>
      <c r="G1587" s="1815">
        <v>0.61140000000000005</v>
      </c>
      <c r="H1587" s="1514"/>
      <c r="I1587" s="1514"/>
      <c r="L1587" s="1370"/>
      <c r="M1587" s="1370"/>
      <c r="N1587" s="1370"/>
      <c r="O1587" s="1370"/>
      <c r="P1587" s="1370"/>
      <c r="Q1587" s="1370"/>
      <c r="R1587" s="1370"/>
      <c r="S1587" s="1370"/>
      <c r="T1587" s="1370"/>
      <c r="U1587" s="1370"/>
      <c r="V1587" s="1370"/>
      <c r="W1587" s="1370"/>
      <c r="X1587" s="1370"/>
    </row>
    <row r="1588" spans="1:24" s="80" customFormat="1" ht="12.75" customHeight="1" x14ac:dyDescent="0.2">
      <c r="A1588" s="1384">
        <v>43673</v>
      </c>
      <c r="B1588" s="1489" t="s">
        <v>5788</v>
      </c>
      <c r="C1588" s="1489" t="s">
        <v>5789</v>
      </c>
      <c r="D1588" s="1686">
        <v>3.3680555555555561E-2</v>
      </c>
      <c r="E1588" s="1489" t="s">
        <v>13291</v>
      </c>
      <c r="F1588" s="1489"/>
      <c r="G1588" s="1815">
        <v>0.43090000000000001</v>
      </c>
      <c r="H1588" s="1514"/>
      <c r="I1588" s="1514"/>
    </row>
    <row r="1589" spans="1:24" s="80" customFormat="1" ht="12.75" customHeight="1" x14ac:dyDescent="0.2">
      <c r="A1589" s="523">
        <v>43666</v>
      </c>
      <c r="B1589" s="1489" t="s">
        <v>5788</v>
      </c>
      <c r="C1589" s="1489" t="s">
        <v>5789</v>
      </c>
      <c r="D1589" s="1686">
        <v>3.5937499999999997E-2</v>
      </c>
      <c r="E1589" s="1489" t="s">
        <v>13205</v>
      </c>
      <c r="F1589" s="1489"/>
      <c r="G1589" s="1815">
        <v>0.40389999999999998</v>
      </c>
      <c r="H1589" s="1514"/>
      <c r="I1589" s="1514"/>
      <c r="L1589" s="1370"/>
      <c r="M1589" s="1370"/>
      <c r="N1589" s="1370"/>
      <c r="O1589" s="1370"/>
      <c r="P1589" s="1370"/>
      <c r="Q1589" s="1370"/>
      <c r="R1589" s="1370"/>
      <c r="S1589" s="1370"/>
      <c r="T1589" s="1370"/>
      <c r="U1589" s="1370"/>
      <c r="V1589" s="1370"/>
      <c r="W1589" s="1370"/>
      <c r="X1589" s="1370"/>
    </row>
    <row r="1590" spans="1:24" s="80" customFormat="1" ht="12.75" customHeight="1" x14ac:dyDescent="0.2">
      <c r="A1590" s="523">
        <v>43659</v>
      </c>
      <c r="B1590" s="1489" t="s">
        <v>5788</v>
      </c>
      <c r="C1590" s="1489" t="s">
        <v>5789</v>
      </c>
      <c r="D1590" s="1686">
        <v>3.1956018518518516E-2</v>
      </c>
      <c r="E1590" s="1489" t="s">
        <v>13151</v>
      </c>
      <c r="F1590" s="1489"/>
      <c r="G1590" s="1815">
        <v>0.45419999999999999</v>
      </c>
      <c r="H1590" s="1514"/>
      <c r="I1590" s="1489"/>
      <c r="L1590" s="1370"/>
      <c r="M1590" s="1370"/>
      <c r="N1590" s="1370"/>
      <c r="O1590" s="1370"/>
      <c r="P1590" s="1370"/>
      <c r="Q1590" s="1370"/>
      <c r="R1590" s="1370"/>
      <c r="S1590" s="1370"/>
      <c r="T1590" s="1370"/>
      <c r="U1590" s="1370"/>
      <c r="V1590" s="1370"/>
      <c r="W1590" s="1370"/>
      <c r="X1590" s="1370"/>
    </row>
    <row r="1591" spans="1:24" s="80" customFormat="1" ht="12.75" customHeight="1" x14ac:dyDescent="0.2">
      <c r="A1591" s="523">
        <v>43645</v>
      </c>
      <c r="B1591" s="1489" t="s">
        <v>5788</v>
      </c>
      <c r="C1591" s="1489" t="s">
        <v>5789</v>
      </c>
      <c r="D1591" s="1686">
        <v>3.1585648148148147E-2</v>
      </c>
      <c r="E1591" s="1514" t="s">
        <v>13027</v>
      </c>
      <c r="F1591" s="1514"/>
      <c r="G1591" s="1815">
        <v>0.45950000000000002</v>
      </c>
      <c r="H1591" s="1514"/>
      <c r="I1591" s="1514"/>
    </row>
    <row r="1592" spans="1:24" s="80" customFormat="1" ht="12.75" customHeight="1" x14ac:dyDescent="0.2">
      <c r="A1592" s="523">
        <v>43638</v>
      </c>
      <c r="B1592" s="1489" t="s">
        <v>5788</v>
      </c>
      <c r="C1592" s="1489" t="s">
        <v>5789</v>
      </c>
      <c r="D1592" s="1835">
        <v>2.4108796296296298E-2</v>
      </c>
      <c r="E1592" s="1569" t="s">
        <v>12986</v>
      </c>
      <c r="F1592" s="1569"/>
      <c r="G1592" s="1818">
        <v>0.60199999999999998</v>
      </c>
      <c r="H1592" s="1514"/>
      <c r="I1592" s="1514"/>
      <c r="L1592" s="1370"/>
      <c r="M1592" s="1370"/>
      <c r="N1592" s="1370"/>
      <c r="O1592" s="1370"/>
      <c r="P1592" s="1370"/>
      <c r="Q1592" s="1370"/>
      <c r="R1592" s="1370"/>
      <c r="S1592" s="1370"/>
      <c r="T1592" s="1370"/>
      <c r="U1592" s="1370"/>
      <c r="V1592" s="1370"/>
      <c r="W1592" s="1370"/>
      <c r="X1592" s="1370"/>
    </row>
    <row r="1593" spans="1:24" s="80" customFormat="1" ht="12.75" customHeight="1" x14ac:dyDescent="0.2">
      <c r="A1593" s="523">
        <v>43631</v>
      </c>
      <c r="B1593" s="1489" t="s">
        <v>5788</v>
      </c>
      <c r="C1593" s="1489" t="s">
        <v>5789</v>
      </c>
      <c r="D1593" s="1835">
        <v>2.3946759259259261E-2</v>
      </c>
      <c r="E1593" s="1569" t="s">
        <v>12929</v>
      </c>
      <c r="F1593" s="1514"/>
      <c r="G1593" s="1818">
        <v>0.60609999999999997</v>
      </c>
      <c r="H1593" s="1514"/>
      <c r="I1593" s="1514"/>
      <c r="L1593" s="1370"/>
      <c r="M1593" s="1370"/>
      <c r="N1593" s="1370"/>
      <c r="O1593" s="1370"/>
      <c r="P1593" s="1370"/>
      <c r="Q1593" s="1370"/>
      <c r="R1593" s="1370"/>
      <c r="S1593" s="1370"/>
      <c r="T1593" s="1370"/>
      <c r="U1593" s="1370"/>
      <c r="V1593" s="1370"/>
      <c r="W1593" s="1370"/>
      <c r="X1593" s="1370"/>
    </row>
    <row r="1594" spans="1:24" s="80" customFormat="1" ht="12.75" customHeight="1" x14ac:dyDescent="0.2">
      <c r="A1594" s="523">
        <v>43624</v>
      </c>
      <c r="B1594" s="1489" t="s">
        <v>5788</v>
      </c>
      <c r="C1594" s="1489" t="s">
        <v>5789</v>
      </c>
      <c r="D1594" s="1835">
        <v>3.3564814814814818E-2</v>
      </c>
      <c r="E1594" s="1569" t="s">
        <v>12873</v>
      </c>
      <c r="F1594" s="1569" t="s">
        <v>12881</v>
      </c>
      <c r="G1594" s="1818">
        <v>0.43240000000000001</v>
      </c>
      <c r="H1594" s="1514"/>
      <c r="I1594" s="1514"/>
    </row>
    <row r="1595" spans="1:24" s="80" customFormat="1" ht="12.75" customHeight="1" x14ac:dyDescent="0.2">
      <c r="A1595" s="1384">
        <v>43617</v>
      </c>
      <c r="B1595" s="1489" t="s">
        <v>5788</v>
      </c>
      <c r="C1595" s="1489" t="s">
        <v>5789</v>
      </c>
      <c r="D1595" s="1836">
        <v>2.3518518518518518E-2</v>
      </c>
      <c r="E1595" s="1568" t="s">
        <v>12822</v>
      </c>
      <c r="F1595" s="1568" t="s">
        <v>12782</v>
      </c>
      <c r="G1595" s="1819">
        <v>0.61709999999999998</v>
      </c>
      <c r="H1595" s="1489"/>
      <c r="I1595" s="1489"/>
      <c r="J1595" s="1370"/>
      <c r="K1595" s="1370"/>
      <c r="L1595" s="1370"/>
      <c r="M1595" s="1370"/>
      <c r="N1595" s="1370"/>
      <c r="O1595" s="1370"/>
      <c r="P1595" s="1370"/>
      <c r="Q1595" s="1370"/>
      <c r="R1595" s="1370"/>
      <c r="S1595" s="1370"/>
      <c r="T1595" s="1370"/>
      <c r="U1595" s="1370"/>
      <c r="V1595" s="1370"/>
      <c r="W1595" s="1370"/>
      <c r="X1595" s="1370"/>
    </row>
    <row r="1596" spans="1:24" s="80" customFormat="1" ht="12.75" customHeight="1" x14ac:dyDescent="0.2">
      <c r="A1596" s="1384">
        <v>43610</v>
      </c>
      <c r="B1596" s="1489" t="s">
        <v>5788</v>
      </c>
      <c r="C1596" s="1489" t="s">
        <v>5789</v>
      </c>
      <c r="D1596" s="1733">
        <v>2.390046296296296E-2</v>
      </c>
      <c r="E1596" s="1489" t="s">
        <v>12738</v>
      </c>
      <c r="F1596" s="1489"/>
      <c r="G1596" s="1815">
        <v>0.60729999999999995</v>
      </c>
      <c r="H1596" s="1489"/>
      <c r="I1596" s="1489"/>
      <c r="J1596" s="1370"/>
      <c r="K1596" s="1370"/>
    </row>
    <row r="1597" spans="1:24" s="80" customFormat="1" ht="12.75" customHeight="1" x14ac:dyDescent="0.2">
      <c r="A1597" s="1384">
        <v>43603</v>
      </c>
      <c r="B1597" s="1489" t="s">
        <v>5788</v>
      </c>
      <c r="C1597" s="1489" t="s">
        <v>5789</v>
      </c>
      <c r="D1597" s="1733">
        <v>2.2222222222222223E-2</v>
      </c>
      <c r="E1597" s="1489" t="s">
        <v>12682</v>
      </c>
      <c r="F1597" s="1489"/>
      <c r="G1597" s="1815">
        <v>0.65310000000000001</v>
      </c>
      <c r="H1597" s="1489"/>
      <c r="I1597" s="1489"/>
      <c r="J1597" s="1370"/>
      <c r="K1597" s="1370"/>
      <c r="L1597" s="1370"/>
      <c r="M1597" s="1370"/>
      <c r="N1597" s="1370"/>
      <c r="O1597" s="1370"/>
      <c r="P1597" s="1370"/>
      <c r="Q1597" s="1370"/>
      <c r="R1597" s="1370"/>
      <c r="S1597" s="1370"/>
      <c r="T1597" s="1370"/>
      <c r="U1597" s="1370"/>
      <c r="V1597" s="1370"/>
      <c r="W1597" s="1370"/>
      <c r="X1597" s="1370"/>
    </row>
    <row r="1598" spans="1:24" s="80" customFormat="1" ht="12.75" customHeight="1" x14ac:dyDescent="0.2">
      <c r="A1598" s="1384">
        <v>43589</v>
      </c>
      <c r="B1598" s="1489" t="s">
        <v>5788</v>
      </c>
      <c r="C1598" s="1489" t="s">
        <v>5789</v>
      </c>
      <c r="D1598" s="1733">
        <v>2.4652777777777777E-2</v>
      </c>
      <c r="E1598" s="1489" t="s">
        <v>12600</v>
      </c>
      <c r="F1598" s="1489" t="s">
        <v>12601</v>
      </c>
      <c r="G1598" s="1815">
        <v>0.5887</v>
      </c>
      <c r="H1598" s="1489"/>
      <c r="I1598" s="1489"/>
      <c r="J1598" s="1370"/>
      <c r="K1598" s="1370"/>
    </row>
    <row r="1599" spans="1:24" s="80" customFormat="1" ht="12.75" customHeight="1" x14ac:dyDescent="0.2">
      <c r="A1599" s="1384">
        <v>43582</v>
      </c>
      <c r="B1599" s="1489" t="s">
        <v>5788</v>
      </c>
      <c r="C1599" s="1489" t="s">
        <v>5789</v>
      </c>
      <c r="D1599" s="1733">
        <v>3.6400462962962961E-2</v>
      </c>
      <c r="E1599" s="1489" t="s">
        <v>12602</v>
      </c>
      <c r="F1599" s="1489" t="s">
        <v>12603</v>
      </c>
      <c r="G1599" s="1815">
        <v>0.3987</v>
      </c>
      <c r="H1599" s="1489"/>
      <c r="I1599" s="1489"/>
      <c r="J1599" s="1370"/>
      <c r="K1599" s="1370"/>
    </row>
    <row r="1600" spans="1:24" s="80" customFormat="1" ht="12.75" customHeight="1" x14ac:dyDescent="0.2">
      <c r="A1600" s="1384">
        <v>43575</v>
      </c>
      <c r="B1600" s="1489" t="s">
        <v>5788</v>
      </c>
      <c r="C1600" s="1489" t="s">
        <v>5789</v>
      </c>
      <c r="D1600" s="1733">
        <v>2.4027777777777776E-2</v>
      </c>
      <c r="E1600" s="1489" t="s">
        <v>12487</v>
      </c>
      <c r="F1600" s="1489" t="s">
        <v>12489</v>
      </c>
      <c r="G1600" s="1815">
        <v>0.60399999999999998</v>
      </c>
      <c r="H1600" s="1489"/>
      <c r="I1600" s="1489"/>
      <c r="J1600" s="1370"/>
      <c r="K1600" s="1370"/>
    </row>
    <row r="1601" spans="1:24" s="80" customFormat="1" ht="12.75" customHeight="1" x14ac:dyDescent="0.2">
      <c r="A1601" s="1384">
        <v>43568</v>
      </c>
      <c r="B1601" s="1489" t="s">
        <v>5788</v>
      </c>
      <c r="C1601" s="1489" t="s">
        <v>5789</v>
      </c>
      <c r="D1601" s="1733">
        <v>2.5115740740740741E-2</v>
      </c>
      <c r="E1601" s="1489" t="s">
        <v>12374</v>
      </c>
      <c r="F1601" s="1489" t="s">
        <v>12373</v>
      </c>
      <c r="G1601" s="1815">
        <v>0.57789999999999997</v>
      </c>
      <c r="H1601" s="1489"/>
      <c r="I1601" s="1489"/>
      <c r="J1601" s="1370"/>
      <c r="K1601" s="1370"/>
    </row>
    <row r="1602" spans="1:24" s="80" customFormat="1" ht="12.75" customHeight="1" x14ac:dyDescent="0.2">
      <c r="A1602" s="1384">
        <v>43554</v>
      </c>
      <c r="B1602" s="1489" t="s">
        <v>5788</v>
      </c>
      <c r="C1602" s="1489" t="s">
        <v>5789</v>
      </c>
      <c r="D1602" s="1733">
        <v>2.3796296296296298E-2</v>
      </c>
      <c r="E1602" s="1489" t="s">
        <v>12225</v>
      </c>
      <c r="F1602" s="1489" t="s">
        <v>12278</v>
      </c>
      <c r="G1602" s="1815">
        <v>0.6099</v>
      </c>
      <c r="H1602" s="1489"/>
      <c r="I1602" s="1489"/>
      <c r="J1602" s="1370"/>
      <c r="K1602" s="1370"/>
    </row>
    <row r="1603" spans="1:24" s="80" customFormat="1" ht="12.75" customHeight="1" x14ac:dyDescent="0.2">
      <c r="A1603" s="1384">
        <v>43540</v>
      </c>
      <c r="B1603" s="1489" t="s">
        <v>5788</v>
      </c>
      <c r="C1603" s="1489" t="s">
        <v>5789</v>
      </c>
      <c r="D1603" s="1733">
        <v>3.4699074074074077E-2</v>
      </c>
      <c r="E1603" s="1489" t="s">
        <v>12116</v>
      </c>
      <c r="F1603" s="1489" t="s">
        <v>12117</v>
      </c>
      <c r="G1603" s="1815">
        <v>0.41830000000000001</v>
      </c>
      <c r="H1603" s="1489"/>
      <c r="I1603" s="1489"/>
      <c r="J1603" s="1370"/>
      <c r="K1603" s="1370"/>
      <c r="L1603" s="1370"/>
      <c r="M1603" s="1370"/>
      <c r="N1603" s="1370"/>
      <c r="O1603" s="1370"/>
      <c r="P1603" s="1370"/>
      <c r="Q1603" s="1370"/>
      <c r="R1603" s="1370"/>
      <c r="S1603" s="1370"/>
      <c r="T1603" s="1370"/>
      <c r="U1603" s="1370"/>
      <c r="V1603" s="1370"/>
      <c r="W1603" s="1370"/>
      <c r="X1603" s="1370"/>
    </row>
    <row r="1604" spans="1:24" s="80" customFormat="1" ht="12.75" customHeight="1" x14ac:dyDescent="0.2">
      <c r="A1604" s="1384">
        <v>43533</v>
      </c>
      <c r="B1604" s="1489" t="s">
        <v>5788</v>
      </c>
      <c r="C1604" s="1489" t="s">
        <v>5789</v>
      </c>
      <c r="D1604" s="1733">
        <v>4.1076388888888891E-2</v>
      </c>
      <c r="E1604" s="1489" t="s">
        <v>12059</v>
      </c>
      <c r="F1604" s="1489" t="s">
        <v>12060</v>
      </c>
      <c r="G1604" s="1815">
        <v>0.3533</v>
      </c>
      <c r="H1604" s="1489"/>
      <c r="I1604" s="1489"/>
      <c r="J1604" s="1370"/>
      <c r="K1604" s="1370"/>
    </row>
    <row r="1605" spans="1:24" s="80" customFormat="1" ht="12.75" customHeight="1" x14ac:dyDescent="0.2">
      <c r="A1605" s="1384">
        <v>43519</v>
      </c>
      <c r="B1605" s="1489" t="s">
        <v>5788</v>
      </c>
      <c r="C1605" s="1489" t="s">
        <v>5789</v>
      </c>
      <c r="D1605" s="1733">
        <v>3.30787037037037E-2</v>
      </c>
      <c r="E1605" s="1489" t="s">
        <v>10851</v>
      </c>
      <c r="F1605" s="1489" t="s">
        <v>11868</v>
      </c>
      <c r="G1605" s="1815">
        <v>0.43880000000000002</v>
      </c>
      <c r="H1605" s="1489"/>
      <c r="I1605" s="1489"/>
      <c r="J1605" s="1370"/>
      <c r="K1605" s="1370"/>
    </row>
    <row r="1606" spans="1:24" s="80" customFormat="1" ht="12.75" customHeight="1" x14ac:dyDescent="0.2">
      <c r="A1606" s="1384">
        <v>43512</v>
      </c>
      <c r="B1606" s="1489" t="s">
        <v>5788</v>
      </c>
      <c r="C1606" s="1489" t="s">
        <v>5789</v>
      </c>
      <c r="D1606" s="1733">
        <v>2.388888888888889E-2</v>
      </c>
      <c r="E1606" s="1489" t="s">
        <v>2464</v>
      </c>
      <c r="F1606" s="1489" t="s">
        <v>11826</v>
      </c>
      <c r="G1606" s="1815">
        <v>0.60760000000000003</v>
      </c>
      <c r="H1606" s="1489"/>
      <c r="I1606" s="1489"/>
      <c r="J1606" s="1370"/>
      <c r="K1606" s="1370"/>
    </row>
    <row r="1607" spans="1:24" s="80" customFormat="1" ht="12.75" customHeight="1" x14ac:dyDescent="0.2">
      <c r="A1607" s="1384">
        <v>43505</v>
      </c>
      <c r="B1607" s="1489" t="s">
        <v>5788</v>
      </c>
      <c r="C1607" s="1489" t="s">
        <v>5789</v>
      </c>
      <c r="D1607" s="1733">
        <v>2.3784722222222221E-2</v>
      </c>
      <c r="E1607" s="1489" t="s">
        <v>2464</v>
      </c>
      <c r="F1607" s="1489" t="s">
        <v>11768</v>
      </c>
      <c r="G1607" s="1815">
        <v>0.61019999999999996</v>
      </c>
      <c r="H1607" s="1489"/>
      <c r="I1607" s="1489"/>
      <c r="J1607" s="1370"/>
      <c r="K1607" s="1370"/>
    </row>
    <row r="1608" spans="1:24" s="80" customFormat="1" ht="12.75" customHeight="1" x14ac:dyDescent="0.2">
      <c r="A1608" s="1384">
        <v>43491</v>
      </c>
      <c r="B1608" s="1489" t="s">
        <v>5788</v>
      </c>
      <c r="C1608" s="1489" t="s">
        <v>5789</v>
      </c>
      <c r="D1608" s="1733">
        <v>2.4050925925925924E-2</v>
      </c>
      <c r="E1608" s="1489" t="s">
        <v>2464</v>
      </c>
      <c r="F1608" s="1545" t="s">
        <v>11687</v>
      </c>
      <c r="G1608" s="1815">
        <v>0.60350000000000004</v>
      </c>
      <c r="H1608" s="1489"/>
      <c r="I1608" s="1489"/>
      <c r="J1608" s="1370"/>
      <c r="K1608" s="1370"/>
    </row>
    <row r="1609" spans="1:24" s="80" customFormat="1" ht="12.75" customHeight="1" x14ac:dyDescent="0.2">
      <c r="A1609" s="1384">
        <v>43484</v>
      </c>
      <c r="B1609" s="1489" t="s">
        <v>5788</v>
      </c>
      <c r="C1609" s="1489" t="s">
        <v>5789</v>
      </c>
      <c r="D1609" s="1733">
        <v>2.56712962962963E-2</v>
      </c>
      <c r="E1609" s="1489" t="s">
        <v>11561</v>
      </c>
      <c r="F1609" s="1489" t="s">
        <v>11610</v>
      </c>
      <c r="G1609" s="1815">
        <v>0.56640000000000001</v>
      </c>
      <c r="H1609" s="1489"/>
      <c r="I1609" s="1489"/>
      <c r="J1609" s="1370"/>
      <c r="K1609" s="1370"/>
    </row>
    <row r="1610" spans="1:24" s="80" customFormat="1" ht="12.75" customHeight="1" x14ac:dyDescent="0.2">
      <c r="A1610" s="1384">
        <v>43477</v>
      </c>
      <c r="B1610" s="1489" t="s">
        <v>5788</v>
      </c>
      <c r="C1610" s="1489" t="s">
        <v>5789</v>
      </c>
      <c r="D1610" s="1733">
        <v>2.3136574074074077E-2</v>
      </c>
      <c r="E1610" s="1489" t="s">
        <v>2464</v>
      </c>
      <c r="F1610" s="1489" t="s">
        <v>11563</v>
      </c>
      <c r="G1610" s="1815">
        <v>0.62729999999999997</v>
      </c>
      <c r="H1610" s="1489"/>
      <c r="I1610" s="1489"/>
      <c r="J1610" s="1370"/>
      <c r="K1610" s="1370"/>
    </row>
    <row r="1611" spans="1:24" s="80" customFormat="1" ht="12.75" customHeight="1" x14ac:dyDescent="0.2">
      <c r="A1611" s="1384">
        <v>43466</v>
      </c>
      <c r="B1611" s="1489" t="s">
        <v>5788</v>
      </c>
      <c r="C1611" s="1489" t="s">
        <v>5789</v>
      </c>
      <c r="D1611" s="1733">
        <v>2.3680555555555555E-2</v>
      </c>
      <c r="E1611" s="1489" t="s">
        <v>11504</v>
      </c>
      <c r="F1611" s="1489" t="s">
        <v>11505</v>
      </c>
      <c r="G1611" s="1815">
        <v>0.6109</v>
      </c>
      <c r="H1611" s="1489"/>
      <c r="I1611" s="1489"/>
      <c r="J1611" s="1370"/>
      <c r="K1611" s="1370"/>
    </row>
    <row r="1612" spans="1:24" s="80" customFormat="1" ht="12.75" customHeight="1" x14ac:dyDescent="0.2">
      <c r="A1612" s="1729">
        <v>43743</v>
      </c>
      <c r="B1612" s="1489" t="s">
        <v>12844</v>
      </c>
      <c r="C1612" s="1489" t="s">
        <v>12648</v>
      </c>
      <c r="D1612" s="1737">
        <v>1.9374999999999996E-2</v>
      </c>
      <c r="E1612" s="1514" t="s">
        <v>15702</v>
      </c>
      <c r="F1612" s="1514" t="s">
        <v>15741</v>
      </c>
      <c r="G1612" s="1822">
        <v>0.53049999999999997</v>
      </c>
    </row>
    <row r="1613" spans="1:24" s="80" customFormat="1" ht="12.75" customHeight="1" x14ac:dyDescent="0.2">
      <c r="A1613" s="1526">
        <v>43708</v>
      </c>
      <c r="B1613" s="1489" t="s">
        <v>12844</v>
      </c>
      <c r="C1613" s="1489" t="s">
        <v>12648</v>
      </c>
      <c r="D1613" s="1686">
        <v>1.9409722222222221E-2</v>
      </c>
      <c r="E1613" s="1489" t="s">
        <v>15354</v>
      </c>
      <c r="F1613" s="1489" t="s">
        <v>15407</v>
      </c>
      <c r="G1613" s="1815">
        <v>0.52949999999999997</v>
      </c>
      <c r="H1613" s="1489"/>
      <c r="I1613" s="1489" t="s">
        <v>15408</v>
      </c>
      <c r="J1613" s="1489"/>
    </row>
    <row r="1614" spans="1:24" s="80" customFormat="1" ht="12.75" customHeight="1" x14ac:dyDescent="0.2">
      <c r="A1614" s="523">
        <v>43631</v>
      </c>
      <c r="B1614" s="1489" t="s">
        <v>12844</v>
      </c>
      <c r="C1614" s="1489" t="s">
        <v>12648</v>
      </c>
      <c r="D1614" s="1835">
        <v>1.8912037037037036E-2</v>
      </c>
      <c r="E1614" s="1569" t="s">
        <v>12918</v>
      </c>
      <c r="F1614" s="1624"/>
      <c r="G1614" s="1818">
        <v>0.54349999999999998</v>
      </c>
      <c r="H1614" s="1514"/>
      <c r="I1614" s="1514"/>
    </row>
    <row r="1615" spans="1:24" s="80" customFormat="1" ht="12.75" customHeight="1" x14ac:dyDescent="0.2">
      <c r="A1615" s="1384">
        <v>43617</v>
      </c>
      <c r="B1615" s="1489" t="s">
        <v>12844</v>
      </c>
      <c r="C1615" s="1489" t="s">
        <v>12648</v>
      </c>
      <c r="D1615" s="1733">
        <v>2.1030092592592597E-2</v>
      </c>
      <c r="E1615" s="1489" t="s">
        <v>12801</v>
      </c>
      <c r="F1615" s="1489" t="s">
        <v>12845</v>
      </c>
      <c r="G1615" s="1815">
        <v>0.48870000000000002</v>
      </c>
      <c r="H1615" s="1489"/>
      <c r="I1615" s="1489"/>
      <c r="J1615" s="1370"/>
      <c r="K1615" s="1370"/>
    </row>
    <row r="1616" spans="1:24" s="80" customFormat="1" ht="12.75" customHeight="1" x14ac:dyDescent="0.2">
      <c r="A1616" s="34">
        <v>43824</v>
      </c>
      <c r="B1616" s="1489" t="s">
        <v>3535</v>
      </c>
      <c r="C1616" s="1489" t="s">
        <v>12648</v>
      </c>
      <c r="D1616" s="1621">
        <v>1.3703703703703706E-2</v>
      </c>
      <c r="E1616" s="1489" t="s">
        <v>16370</v>
      </c>
      <c r="F1616" s="1489"/>
      <c r="G1616" s="1817">
        <v>0.65459999999999996</v>
      </c>
      <c r="H1616" s="1404" t="s">
        <v>16359</v>
      </c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80" customFormat="1" ht="12.75" customHeight="1" x14ac:dyDescent="0.2">
      <c r="A1617" s="1673">
        <v>43820</v>
      </c>
      <c r="B1617" s="1489" t="s">
        <v>3535</v>
      </c>
      <c r="C1617" s="1489" t="s">
        <v>12648</v>
      </c>
      <c r="D1617" s="1777">
        <v>1.4710648148148148E-2</v>
      </c>
      <c r="E1617" s="80" t="s">
        <v>16314</v>
      </c>
      <c r="F1617" t="s">
        <v>16348</v>
      </c>
      <c r="G1617" s="314">
        <v>0.60980000000000001</v>
      </c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80" customFormat="1" ht="12.75" customHeight="1" x14ac:dyDescent="0.2">
      <c r="A1618" s="1765">
        <v>43813</v>
      </c>
      <c r="B1618" s="1489" t="s">
        <v>3535</v>
      </c>
      <c r="C1618" s="1489" t="s">
        <v>12648</v>
      </c>
      <c r="D1618" s="1621">
        <v>1.5023148148148148E-2</v>
      </c>
      <c r="E1618" s="1489" t="s">
        <v>16266</v>
      </c>
      <c r="F1618" s="1489" t="s">
        <v>16281</v>
      </c>
      <c r="G1618" s="1817">
        <v>0.59709999999999996</v>
      </c>
      <c r="H1618" s="1404"/>
      <c r="I1618" s="1404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80" customFormat="1" ht="12.75" customHeight="1" x14ac:dyDescent="0.2">
      <c r="A1619" s="34">
        <v>43806</v>
      </c>
      <c r="B1619" s="1489" t="s">
        <v>3535</v>
      </c>
      <c r="C1619" s="1489" t="s">
        <v>12648</v>
      </c>
      <c r="D1619" s="1621">
        <v>1.465277777777778E-2</v>
      </c>
      <c r="E1619" s="1489" t="s">
        <v>16207</v>
      </c>
      <c r="F1619" s="1404"/>
      <c r="G1619" s="1817">
        <v>0.61219999999999997</v>
      </c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80" customFormat="1" ht="12.75" customHeight="1" x14ac:dyDescent="0.2">
      <c r="A1620" s="1729">
        <v>43799</v>
      </c>
      <c r="B1620" s="1489" t="s">
        <v>3535</v>
      </c>
      <c r="C1620" s="1489" t="s">
        <v>12648</v>
      </c>
      <c r="D1620" s="1754">
        <v>1.539351851851852E-2</v>
      </c>
      <c r="E1620" s="1486" t="s">
        <v>16151</v>
      </c>
      <c r="F1620" s="1514" t="s">
        <v>16189</v>
      </c>
      <c r="G1620" s="1825">
        <v>0.5827</v>
      </c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80" customFormat="1" ht="12.75" customHeight="1" x14ac:dyDescent="0.2">
      <c r="A1621" s="1751">
        <v>43792</v>
      </c>
      <c r="B1621" s="1489" t="s">
        <v>3535</v>
      </c>
      <c r="C1621" s="1489" t="s">
        <v>12648</v>
      </c>
      <c r="D1621" s="1786">
        <v>1.4398148148148149E-2</v>
      </c>
      <c r="E1621" s="1489" t="s">
        <v>16097</v>
      </c>
      <c r="F1621" s="1489" t="s">
        <v>16098</v>
      </c>
      <c r="G1621" s="1817">
        <v>0.623</v>
      </c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80" customFormat="1" ht="12.75" customHeight="1" x14ac:dyDescent="0.2">
      <c r="A1622" s="1673">
        <v>43785</v>
      </c>
      <c r="B1622" s="1489" t="s">
        <v>3535</v>
      </c>
      <c r="C1622" s="1489" t="s">
        <v>12648</v>
      </c>
      <c r="D1622" s="1754">
        <v>1.3877314814814816E-2</v>
      </c>
      <c r="E1622" s="1514" t="s">
        <v>15993</v>
      </c>
      <c r="F1622" s="1514" t="s">
        <v>16051</v>
      </c>
      <c r="G1622" s="1825">
        <v>0.64639999999999997</v>
      </c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80" customFormat="1" ht="12.75" customHeight="1" x14ac:dyDescent="0.2">
      <c r="A1623" s="1384">
        <v>43778</v>
      </c>
      <c r="B1623" s="1489" t="s">
        <v>3535</v>
      </c>
      <c r="C1623" s="1489" t="s">
        <v>12648</v>
      </c>
      <c r="D1623" s="1744">
        <v>1.3842592592592594E-2</v>
      </c>
      <c r="E1623" s="1723" t="s">
        <v>15947</v>
      </c>
      <c r="F1623" s="1723" t="s">
        <v>15968</v>
      </c>
      <c r="G1623" s="1820">
        <v>0.64800000000000002</v>
      </c>
      <c r="H1623" s="1370"/>
      <c r="I1623" s="1370"/>
      <c r="J1623" s="1370"/>
      <c r="K1623" s="1370"/>
      <c r="L1623" s="1370"/>
      <c r="M1623" s="1370"/>
      <c r="N1623" s="1370"/>
      <c r="O1623" s="1370"/>
      <c r="P1623" s="1370"/>
      <c r="Q1623" s="1370"/>
      <c r="R1623" s="1370"/>
      <c r="S1623" s="1370"/>
      <c r="T1623" s="1370"/>
      <c r="U1623" s="1370"/>
      <c r="V1623" s="1370"/>
      <c r="W1623" s="1370"/>
      <c r="X1623" s="1370"/>
    </row>
    <row r="1624" spans="1:24" s="80" customFormat="1" ht="12.75" customHeight="1" x14ac:dyDescent="0.2">
      <c r="A1624" s="1384">
        <v>43764</v>
      </c>
      <c r="B1624" s="1489" t="s">
        <v>3535</v>
      </c>
      <c r="C1624" s="1489" t="s">
        <v>12648</v>
      </c>
      <c r="D1624" s="1727">
        <v>1.4537037037037038E-2</v>
      </c>
      <c r="E1624" s="1728" t="s">
        <v>15910</v>
      </c>
      <c r="F1624" s="1728"/>
      <c r="G1624" s="1821">
        <v>0.61699999999999999</v>
      </c>
      <c r="H1624" s="1370"/>
      <c r="I1624" s="1370"/>
      <c r="J1624" s="1370"/>
      <c r="K1624" s="1370"/>
      <c r="L1624" s="1370"/>
      <c r="M1624" s="1370"/>
      <c r="N1624" s="1370"/>
      <c r="O1624" s="1370"/>
      <c r="P1624" s="1370"/>
      <c r="Q1624" s="1370"/>
      <c r="R1624" s="1370"/>
      <c r="S1624" s="1370"/>
      <c r="T1624" s="1370"/>
      <c r="U1624" s="1370"/>
      <c r="V1624" s="1370"/>
      <c r="W1624" s="1370"/>
      <c r="X1624" s="1370"/>
    </row>
    <row r="1625" spans="1:24" s="80" customFormat="1" ht="12.75" customHeight="1" x14ac:dyDescent="0.2">
      <c r="A1625" s="1729">
        <v>43743</v>
      </c>
      <c r="B1625" s="1489" t="s">
        <v>3535</v>
      </c>
      <c r="C1625" s="1489" t="s">
        <v>12648</v>
      </c>
      <c r="D1625" s="1737">
        <v>1.4722222222222222E-2</v>
      </c>
      <c r="E1625" s="1514" t="s">
        <v>15702</v>
      </c>
      <c r="F1625" s="1514" t="s">
        <v>15739</v>
      </c>
      <c r="G1625" s="1822">
        <v>0.60929999999999995</v>
      </c>
      <c r="L1625" s="1370"/>
      <c r="M1625" s="1370"/>
      <c r="N1625" s="1370"/>
      <c r="O1625" s="1370"/>
      <c r="P1625" s="1370"/>
      <c r="Q1625" s="1370"/>
      <c r="R1625" s="1370"/>
      <c r="S1625" s="1370"/>
      <c r="T1625" s="1370"/>
      <c r="U1625" s="1370"/>
      <c r="V1625" s="1370"/>
      <c r="W1625" s="1370"/>
      <c r="X1625" s="1370"/>
    </row>
    <row r="1626" spans="1:24" s="80" customFormat="1" ht="12.75" customHeight="1" x14ac:dyDescent="0.2">
      <c r="A1626" s="1729">
        <v>43736</v>
      </c>
      <c r="B1626" s="1489" t="s">
        <v>3535</v>
      </c>
      <c r="C1626" s="1489" t="s">
        <v>12648</v>
      </c>
      <c r="D1626" s="1686">
        <v>1.4282407407407407E-2</v>
      </c>
      <c r="E1626" s="1489" t="s">
        <v>15631</v>
      </c>
      <c r="F1626" s="1489"/>
      <c r="G1626" s="1815">
        <v>0.628</v>
      </c>
      <c r="L1626" s="1370"/>
      <c r="M1626" s="1370"/>
      <c r="N1626" s="1370"/>
      <c r="O1626" s="1370"/>
      <c r="P1626" s="1370"/>
      <c r="Q1626" s="1370"/>
      <c r="R1626" s="1370"/>
      <c r="S1626" s="1370"/>
      <c r="T1626" s="1370"/>
      <c r="U1626" s="1370"/>
      <c r="V1626" s="1370"/>
      <c r="W1626" s="1370"/>
      <c r="X1626" s="1370"/>
    </row>
    <row r="1627" spans="1:24" s="80" customFormat="1" ht="12.75" customHeight="1" x14ac:dyDescent="0.2">
      <c r="A1627" s="1729">
        <v>43729</v>
      </c>
      <c r="B1627" s="1489" t="s">
        <v>3535</v>
      </c>
      <c r="C1627" s="1489" t="s">
        <v>12648</v>
      </c>
      <c r="D1627" s="1686">
        <v>1.4618055555555556E-2</v>
      </c>
      <c r="E1627" s="1489" t="s">
        <v>15566</v>
      </c>
      <c r="F1627" s="1489" t="s">
        <v>15587</v>
      </c>
      <c r="G1627" s="1815">
        <v>0.61360000000000003</v>
      </c>
      <c r="L1627" s="1370"/>
      <c r="M1627" s="1370"/>
      <c r="N1627" s="1370"/>
      <c r="O1627" s="1370"/>
      <c r="P1627" s="1370"/>
      <c r="Q1627" s="1370"/>
      <c r="R1627" s="1370"/>
      <c r="S1627" s="1370"/>
      <c r="T1627" s="1370"/>
      <c r="U1627" s="1370"/>
      <c r="V1627" s="1370"/>
      <c r="W1627" s="1370"/>
      <c r="X1627" s="1370"/>
    </row>
    <row r="1628" spans="1:24" s="80" customFormat="1" ht="12.75" customHeight="1" x14ac:dyDescent="0.2">
      <c r="A1628" s="523">
        <v>43722</v>
      </c>
      <c r="B1628" s="1489" t="s">
        <v>3535</v>
      </c>
      <c r="C1628" s="1489" t="s">
        <v>12648</v>
      </c>
      <c r="D1628" s="1686">
        <v>1.3842592592592594E-2</v>
      </c>
      <c r="E1628" s="1489" t="s">
        <v>15458</v>
      </c>
      <c r="F1628" s="1489" t="s">
        <v>15499</v>
      </c>
      <c r="G1628" s="1815">
        <v>0.64800000000000002</v>
      </c>
    </row>
    <row r="1629" spans="1:24" s="80" customFormat="1" ht="12.75" customHeight="1" x14ac:dyDescent="0.2">
      <c r="A1629" s="523">
        <v>43715</v>
      </c>
      <c r="B1629" s="1489" t="s">
        <v>3535</v>
      </c>
      <c r="C1629" s="1489" t="s">
        <v>12648</v>
      </c>
      <c r="D1629" s="1732">
        <v>1.3796296296296298E-2</v>
      </c>
      <c r="E1629" s="1514" t="s">
        <v>15416</v>
      </c>
      <c r="F1629" s="1489"/>
      <c r="G1629" s="1822">
        <v>0.6502</v>
      </c>
      <c r="H1629" s="1514"/>
      <c r="L1629" s="1370"/>
      <c r="M1629" s="1370"/>
      <c r="N1629" s="1370"/>
      <c r="O1629" s="1370"/>
      <c r="P1629" s="1370"/>
      <c r="Q1629" s="1370"/>
      <c r="R1629" s="1370"/>
      <c r="S1629" s="1370"/>
      <c r="T1629" s="1370"/>
      <c r="U1629" s="1370"/>
      <c r="V1629" s="1370"/>
      <c r="W1629" s="1370"/>
      <c r="X1629" s="1370"/>
    </row>
    <row r="1630" spans="1:24" s="80" customFormat="1" ht="12.75" customHeight="1" x14ac:dyDescent="0.2">
      <c r="A1630" s="1526">
        <v>43708</v>
      </c>
      <c r="B1630" s="1489" t="s">
        <v>3535</v>
      </c>
      <c r="C1630" s="1489" t="s">
        <v>12648</v>
      </c>
      <c r="D1630" s="1686">
        <v>1.4178240740740743E-2</v>
      </c>
      <c r="E1630" s="1489" t="s">
        <v>15354</v>
      </c>
      <c r="F1630" s="1489" t="s">
        <v>15405</v>
      </c>
      <c r="G1630" s="1815">
        <v>0.63270000000000004</v>
      </c>
      <c r="H1630" s="1489"/>
      <c r="I1630" s="1489"/>
      <c r="J1630" s="1489"/>
    </row>
    <row r="1631" spans="1:24" s="1370" customFormat="1" x14ac:dyDescent="0.2">
      <c r="A1631" s="1384">
        <v>43680</v>
      </c>
      <c r="B1631" s="1489" t="s">
        <v>3535</v>
      </c>
      <c r="C1631" s="1489" t="s">
        <v>12648</v>
      </c>
      <c r="D1631" s="1686">
        <v>1.4050925925925927E-2</v>
      </c>
      <c r="E1631" s="1489" t="s">
        <v>13348</v>
      </c>
      <c r="F1631" s="1489" t="s">
        <v>13408</v>
      </c>
      <c r="G1631" s="1815">
        <v>0.63839999999999997</v>
      </c>
      <c r="H1631" s="1514"/>
      <c r="I1631" s="1514"/>
      <c r="J1631" s="80"/>
      <c r="K1631" s="80"/>
      <c r="L1631" s="80"/>
      <c r="M1631" s="80"/>
      <c r="N1631" s="80"/>
      <c r="O1631" s="80"/>
      <c r="P1631" s="80"/>
      <c r="Q1631" s="80"/>
      <c r="R1631" s="80"/>
      <c r="S1631" s="80"/>
      <c r="T1631" s="80"/>
      <c r="U1631" s="80"/>
      <c r="V1631" s="80"/>
      <c r="W1631" s="80"/>
      <c r="X1631" s="80"/>
    </row>
    <row r="1632" spans="1:24" s="1370" customFormat="1" x14ac:dyDescent="0.2">
      <c r="A1632" s="1384">
        <v>43673</v>
      </c>
      <c r="B1632" s="1489" t="s">
        <v>3535</v>
      </c>
      <c r="C1632" s="1489" t="s">
        <v>12648</v>
      </c>
      <c r="D1632" s="1686">
        <v>1.3865740740740739E-2</v>
      </c>
      <c r="E1632" s="1489" t="s">
        <v>13281</v>
      </c>
      <c r="F1632" s="1489" t="s">
        <v>13321</v>
      </c>
      <c r="G1632" s="1815">
        <v>0.64690000000000003</v>
      </c>
      <c r="H1632" s="1514"/>
      <c r="I1632" s="1514"/>
      <c r="J1632" s="80"/>
      <c r="K1632" s="80"/>
    </row>
    <row r="1633" spans="1:24" s="1370" customFormat="1" x14ac:dyDescent="0.2">
      <c r="A1633" s="523">
        <v>43652</v>
      </c>
      <c r="B1633" s="1489" t="s">
        <v>3535</v>
      </c>
      <c r="C1633" s="1489" t="s">
        <v>12648</v>
      </c>
      <c r="D1633" s="1686">
        <v>1.4166666666666666E-2</v>
      </c>
      <c r="E1633" s="1489" t="s">
        <v>13069</v>
      </c>
      <c r="F1633" s="1489"/>
      <c r="G1633" s="1815">
        <v>0.63319999999999999</v>
      </c>
      <c r="H1633" s="1489"/>
      <c r="I1633" s="1514"/>
      <c r="J1633" s="80"/>
      <c r="K1633" s="80"/>
    </row>
    <row r="1634" spans="1:24" s="1370" customFormat="1" x14ac:dyDescent="0.2">
      <c r="A1634" s="523">
        <v>43631</v>
      </c>
      <c r="B1634" s="1489" t="s">
        <v>3535</v>
      </c>
      <c r="C1634" s="1489" t="s">
        <v>12648</v>
      </c>
      <c r="D1634" s="1835">
        <v>1.3692129629629629E-2</v>
      </c>
      <c r="E1634" s="1569" t="s">
        <v>12918</v>
      </c>
      <c r="F1634" s="1624"/>
      <c r="G1634" s="1818">
        <v>0.65510000000000002</v>
      </c>
      <c r="H1634" s="1514"/>
      <c r="I1634" s="1514"/>
      <c r="J1634" s="80"/>
      <c r="K1634" s="80"/>
    </row>
    <row r="1635" spans="1:24" s="1370" customFormat="1" ht="25.5" x14ac:dyDescent="0.2">
      <c r="A1635" s="523">
        <v>43624</v>
      </c>
      <c r="B1635" s="1489" t="s">
        <v>3535</v>
      </c>
      <c r="C1635" s="1489" t="s">
        <v>12648</v>
      </c>
      <c r="D1635" s="1835">
        <v>1.3877314814814815E-2</v>
      </c>
      <c r="E1635" s="1569" t="s">
        <v>12852</v>
      </c>
      <c r="F1635" s="1569" t="s">
        <v>12883</v>
      </c>
      <c r="G1635" s="1818">
        <v>0.64639999999999997</v>
      </c>
      <c r="H1635" s="1514"/>
      <c r="I1635" s="1514"/>
      <c r="J1635" s="80"/>
      <c r="K1635" s="80"/>
    </row>
    <row r="1636" spans="1:24" s="1370" customFormat="1" x14ac:dyDescent="0.2">
      <c r="A1636" s="1384">
        <v>43617</v>
      </c>
      <c r="B1636" s="1489" t="s">
        <v>3535</v>
      </c>
      <c r="C1636" s="1489" t="s">
        <v>12648</v>
      </c>
      <c r="D1636" s="1836">
        <v>1.4537037037037038E-2</v>
      </c>
      <c r="E1636" s="1568" t="s">
        <v>12805</v>
      </c>
      <c r="F1636" s="1568" t="s">
        <v>3826</v>
      </c>
      <c r="G1636" s="1819">
        <v>0.61699999999999999</v>
      </c>
      <c r="H1636" s="1489"/>
      <c r="I1636" s="1489"/>
      <c r="L1636" s="80"/>
      <c r="M1636" s="80"/>
      <c r="N1636" s="80"/>
      <c r="O1636" s="80"/>
      <c r="P1636" s="80"/>
      <c r="Q1636" s="80"/>
      <c r="R1636" s="80"/>
      <c r="S1636" s="80"/>
      <c r="T1636" s="80"/>
      <c r="U1636" s="80"/>
      <c r="V1636" s="80"/>
      <c r="W1636" s="80"/>
      <c r="X1636" s="80"/>
    </row>
    <row r="1637" spans="1:24" s="1370" customFormat="1" x14ac:dyDescent="0.2">
      <c r="A1637" s="34">
        <v>43824</v>
      </c>
      <c r="B1637" s="1723" t="s">
        <v>9794</v>
      </c>
      <c r="C1637" s="1724" t="s">
        <v>9795</v>
      </c>
      <c r="D1637" s="1621">
        <v>2.0162037037037041E-2</v>
      </c>
      <c r="E1637" s="1489" t="s">
        <v>16376</v>
      </c>
      <c r="F1637" s="1489" t="s">
        <v>16404</v>
      </c>
      <c r="G1637" s="1817">
        <v>0.60729999999999995</v>
      </c>
      <c r="H1637" s="1404" t="s">
        <v>16364</v>
      </c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1370" customFormat="1" x14ac:dyDescent="0.2">
      <c r="A1638" s="1673">
        <v>43820</v>
      </c>
      <c r="B1638" s="1723" t="s">
        <v>9794</v>
      </c>
      <c r="C1638" s="1724" t="s">
        <v>9795</v>
      </c>
      <c r="D1638" s="1777">
        <v>2.0659722222222222E-2</v>
      </c>
      <c r="E1638" s="80" t="s">
        <v>16326</v>
      </c>
      <c r="F1638" t="s">
        <v>16343</v>
      </c>
      <c r="G1638" s="314">
        <v>0.5927</v>
      </c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1370" customFormat="1" x14ac:dyDescent="0.2">
      <c r="A1639" s="34">
        <v>43806</v>
      </c>
      <c r="B1639" s="1723" t="s">
        <v>9794</v>
      </c>
      <c r="C1639" s="1724" t="s">
        <v>9795</v>
      </c>
      <c r="D1639" s="1621">
        <v>1.9374999999999996E-2</v>
      </c>
      <c r="E1639" s="1489" t="s">
        <v>16219</v>
      </c>
      <c r="F1639" s="1489" t="s">
        <v>16232</v>
      </c>
      <c r="G1639" s="1817">
        <v>0.62429999999999997</v>
      </c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1370" customFormat="1" x14ac:dyDescent="0.2">
      <c r="A1640" s="1751">
        <v>43792</v>
      </c>
      <c r="B1640" s="1723" t="s">
        <v>9794</v>
      </c>
      <c r="C1640" s="1724" t="s">
        <v>9795</v>
      </c>
      <c r="D1640" s="1786">
        <v>2.0196759259259258E-2</v>
      </c>
      <c r="E1640" s="1489" t="s">
        <v>16079</v>
      </c>
      <c r="F1640" s="1404" t="s">
        <v>16115</v>
      </c>
      <c r="G1640" s="1817">
        <v>0.59889999999999999</v>
      </c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1370" customFormat="1" x14ac:dyDescent="0.2">
      <c r="A1641" s="1673">
        <v>43785</v>
      </c>
      <c r="B1641" s="1723" t="s">
        <v>9794</v>
      </c>
      <c r="C1641" s="1724" t="s">
        <v>9795</v>
      </c>
      <c r="D1641" s="1754">
        <v>2.042824074074074E-2</v>
      </c>
      <c r="E1641" s="1514" t="s">
        <v>16022</v>
      </c>
      <c r="F1641" s="1514" t="s">
        <v>16046</v>
      </c>
      <c r="G1641" s="1825">
        <v>0.59209999999999996</v>
      </c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1370" customFormat="1" x14ac:dyDescent="0.2">
      <c r="A1642" s="523">
        <v>43778</v>
      </c>
      <c r="B1642" s="1723" t="s">
        <v>9794</v>
      </c>
      <c r="C1642" s="1724" t="s">
        <v>9795</v>
      </c>
      <c r="D1642" s="1621">
        <v>2.6805555555555555E-2</v>
      </c>
      <c r="E1642" s="1723" t="s">
        <v>16003</v>
      </c>
      <c r="F1642" s="1723" t="s">
        <v>16005</v>
      </c>
      <c r="G1642" s="1817">
        <v>0.45119999999999999</v>
      </c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1370" customFormat="1" x14ac:dyDescent="0.2">
      <c r="A1643" s="1384">
        <v>43764</v>
      </c>
      <c r="B1643" s="1723" t="s">
        <v>9794</v>
      </c>
      <c r="C1643" s="1724" t="s">
        <v>9795</v>
      </c>
      <c r="D1643" s="1727">
        <v>2.431712962962963E-2</v>
      </c>
      <c r="E1643" s="1728" t="s">
        <v>15920</v>
      </c>
      <c r="F1643" s="1728"/>
      <c r="G1643" s="1821">
        <v>0.49740000000000001</v>
      </c>
    </row>
    <row r="1644" spans="1:24" s="1370" customFormat="1" x14ac:dyDescent="0.2">
      <c r="A1644" s="523">
        <v>43757</v>
      </c>
      <c r="B1644" s="1723" t="s">
        <v>9794</v>
      </c>
      <c r="C1644" s="1724" t="s">
        <v>9795</v>
      </c>
      <c r="D1644" s="1686">
        <v>2.2708333333333334E-2</v>
      </c>
      <c r="E1644" s="1489" t="s">
        <v>15854</v>
      </c>
      <c r="F1644" s="1489" t="s">
        <v>15871</v>
      </c>
      <c r="G1644" s="1815">
        <v>0.53259999999999996</v>
      </c>
      <c r="H1644" s="1489"/>
      <c r="I1644" s="1489"/>
      <c r="J1644" s="1489"/>
      <c r="K1644" s="1489"/>
      <c r="L1644" s="80"/>
      <c r="M1644" s="80"/>
      <c r="N1644" s="80"/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</row>
    <row r="1645" spans="1:24" s="1370" customFormat="1" x14ac:dyDescent="0.2">
      <c r="A1645" s="1729">
        <v>43743</v>
      </c>
      <c r="B1645" s="1723" t="s">
        <v>9794</v>
      </c>
      <c r="C1645" s="1724" t="s">
        <v>9795</v>
      </c>
      <c r="D1645" s="1737">
        <v>2.375E-2</v>
      </c>
      <c r="E1645" s="1514" t="s">
        <v>15716</v>
      </c>
      <c r="F1645" s="1514" t="s">
        <v>15777</v>
      </c>
      <c r="G1645" s="1822">
        <v>0.50929999999999997</v>
      </c>
      <c r="H1645" s="80"/>
      <c r="I1645" s="80" t="s">
        <v>15781</v>
      </c>
      <c r="J1645" s="80"/>
      <c r="K1645" s="80"/>
    </row>
    <row r="1646" spans="1:24" s="1370" customFormat="1" x14ac:dyDescent="0.2">
      <c r="A1646" s="1729">
        <v>43736</v>
      </c>
      <c r="B1646" s="1723" t="s">
        <v>9794</v>
      </c>
      <c r="C1646" s="1724" t="s">
        <v>9795</v>
      </c>
      <c r="D1646" s="1686">
        <v>2.3067129629629632E-2</v>
      </c>
      <c r="E1646" s="1489" t="s">
        <v>15641</v>
      </c>
      <c r="F1646" s="1489" t="s">
        <v>15676</v>
      </c>
      <c r="G1646" s="1815">
        <v>0.52429999999999999</v>
      </c>
      <c r="H1646" s="80"/>
      <c r="I1646" s="80"/>
      <c r="J1646" s="80"/>
      <c r="K1646" s="80"/>
    </row>
    <row r="1647" spans="1:24" s="1370" customFormat="1" x14ac:dyDescent="0.2">
      <c r="A1647" s="523">
        <v>43715</v>
      </c>
      <c r="B1647" s="1723" t="s">
        <v>9794</v>
      </c>
      <c r="C1647" s="1724" t="s">
        <v>9795</v>
      </c>
      <c r="D1647" s="1732">
        <v>2.5416666666666667E-2</v>
      </c>
      <c r="E1647" s="1514" t="s">
        <v>15425</v>
      </c>
      <c r="F1647" s="1489"/>
      <c r="G1647" s="1822">
        <v>0.47589999999999999</v>
      </c>
      <c r="H1647" s="80"/>
      <c r="I1647" s="80"/>
      <c r="J1647" s="80"/>
      <c r="K1647" s="80"/>
    </row>
    <row r="1648" spans="1:24" s="1370" customFormat="1" x14ac:dyDescent="0.2">
      <c r="A1648" s="1526">
        <v>43708</v>
      </c>
      <c r="B1648" s="1723" t="s">
        <v>9794</v>
      </c>
      <c r="C1648" s="1724" t="s">
        <v>9795</v>
      </c>
      <c r="D1648" s="1686">
        <v>2.3865740740740739E-2</v>
      </c>
      <c r="E1648" s="1489" t="s">
        <v>15376</v>
      </c>
      <c r="F1648" s="1489"/>
      <c r="G1648" s="1815">
        <v>0.50680000000000003</v>
      </c>
      <c r="H1648" s="1489"/>
      <c r="I1648" s="1489"/>
      <c r="J1648" s="1489"/>
      <c r="K1648" s="80"/>
      <c r="L1648" s="80"/>
      <c r="M1648" s="80"/>
      <c r="N1648" s="80"/>
      <c r="O1648" s="80"/>
      <c r="P1648" s="80"/>
      <c r="Q1648" s="80"/>
      <c r="R1648" s="80"/>
      <c r="S1648" s="80"/>
      <c r="T1648" s="80"/>
      <c r="U1648" s="80"/>
      <c r="V1648" s="80"/>
      <c r="W1648" s="80"/>
      <c r="X1648" s="80"/>
    </row>
    <row r="1649" spans="1:24" s="1370" customFormat="1" x14ac:dyDescent="0.2">
      <c r="A1649" s="1526">
        <v>43701</v>
      </c>
      <c r="B1649" s="1723" t="s">
        <v>9794</v>
      </c>
      <c r="C1649" s="1724" t="s">
        <v>9795</v>
      </c>
      <c r="D1649" s="1686">
        <v>2.3738425925925923E-2</v>
      </c>
      <c r="E1649" s="1489" t="s">
        <v>15292</v>
      </c>
      <c r="F1649" s="1489" t="s">
        <v>15317</v>
      </c>
      <c r="G1649" s="1815">
        <v>0.50949999999999995</v>
      </c>
      <c r="H1649" s="80"/>
      <c r="I1649" s="80"/>
      <c r="J1649" s="80"/>
      <c r="K1649" s="80"/>
      <c r="L1649" s="80"/>
      <c r="M1649" s="80"/>
      <c r="N1649" s="80"/>
      <c r="O1649" s="80"/>
      <c r="P1649" s="80"/>
      <c r="Q1649" s="80"/>
      <c r="R1649" s="80"/>
      <c r="S1649" s="80"/>
      <c r="T1649" s="80"/>
      <c r="U1649" s="80"/>
      <c r="V1649" s="80"/>
      <c r="W1649" s="80"/>
      <c r="X1649" s="80"/>
    </row>
    <row r="1650" spans="1:24" s="1370" customFormat="1" x14ac:dyDescent="0.2">
      <c r="A1650" s="523">
        <v>43687</v>
      </c>
      <c r="B1650" s="1723" t="s">
        <v>9794</v>
      </c>
      <c r="C1650" s="1724" t="s">
        <v>9795</v>
      </c>
      <c r="D1650" s="1686">
        <v>2.4849537037037035E-2</v>
      </c>
      <c r="E1650" s="1489" t="s">
        <v>13443</v>
      </c>
      <c r="F1650" s="1489"/>
      <c r="G1650" s="1815">
        <v>0.48670000000000002</v>
      </c>
      <c r="H1650" s="1514"/>
      <c r="I1650" s="1514"/>
      <c r="J1650" s="80"/>
      <c r="K1650" s="80"/>
    </row>
    <row r="1651" spans="1:24" s="1370" customFormat="1" x14ac:dyDescent="0.2">
      <c r="A1651" s="1384">
        <v>43680</v>
      </c>
      <c r="B1651" s="1723" t="s">
        <v>9794</v>
      </c>
      <c r="C1651" s="1724" t="s">
        <v>9795</v>
      </c>
      <c r="D1651" s="1753">
        <v>2.5509259259259259E-2</v>
      </c>
      <c r="E1651" s="1489" t="s">
        <v>2818</v>
      </c>
      <c r="F1651" s="1489" t="s">
        <v>13405</v>
      </c>
      <c r="G1651" s="1822">
        <v>0.47410000000000002</v>
      </c>
      <c r="H1651" s="1514"/>
      <c r="I1651" s="1514"/>
      <c r="J1651" s="80"/>
      <c r="K1651" s="80"/>
      <c r="L1651" s="80"/>
      <c r="M1651" s="80"/>
      <c r="N1651" s="80"/>
      <c r="O1651" s="80"/>
      <c r="P1651" s="80"/>
      <c r="Q1651" s="80"/>
      <c r="R1651" s="80"/>
      <c r="S1651" s="80"/>
      <c r="T1651" s="80"/>
      <c r="U1651" s="80"/>
      <c r="V1651" s="80"/>
      <c r="W1651" s="80"/>
      <c r="X1651" s="80"/>
    </row>
    <row r="1652" spans="1:24" s="1370" customFormat="1" x14ac:dyDescent="0.2">
      <c r="A1652" s="1384">
        <v>43673</v>
      </c>
      <c r="B1652" s="1723" t="s">
        <v>9794</v>
      </c>
      <c r="C1652" s="1724" t="s">
        <v>9795</v>
      </c>
      <c r="D1652" s="1686">
        <v>2.3819444444444442E-2</v>
      </c>
      <c r="E1652" s="1489" t="s">
        <v>13295</v>
      </c>
      <c r="F1652" s="1489" t="s">
        <v>13314</v>
      </c>
      <c r="G1652" s="1815">
        <v>0.50780000000000003</v>
      </c>
      <c r="H1652" s="1514"/>
      <c r="I1652" s="1514"/>
      <c r="J1652" s="80"/>
      <c r="K1652" s="80"/>
    </row>
    <row r="1653" spans="1:24" s="1370" customFormat="1" x14ac:dyDescent="0.2">
      <c r="A1653" s="523">
        <v>43666</v>
      </c>
      <c r="B1653" s="1723" t="s">
        <v>9794</v>
      </c>
      <c r="C1653" s="1724" t="s">
        <v>9795</v>
      </c>
      <c r="D1653" s="1686">
        <v>3.9120370370370375E-2</v>
      </c>
      <c r="E1653" s="1489" t="s">
        <v>13208</v>
      </c>
      <c r="F1653" s="1489"/>
      <c r="G1653" s="1815">
        <v>0.30919999999999997</v>
      </c>
      <c r="H1653" s="1514"/>
      <c r="I1653" s="1514"/>
      <c r="J1653" s="80"/>
      <c r="K1653" s="80"/>
    </row>
    <row r="1654" spans="1:24" s="1370" customFormat="1" x14ac:dyDescent="0.2">
      <c r="A1654" s="523">
        <v>43652</v>
      </c>
      <c r="B1654" s="1723" t="s">
        <v>9794</v>
      </c>
      <c r="C1654" s="1724" t="s">
        <v>9795</v>
      </c>
      <c r="D1654" s="1695" t="s">
        <v>3334</v>
      </c>
      <c r="E1654" s="1514" t="s">
        <v>12510</v>
      </c>
      <c r="F1654" s="1489" t="s">
        <v>3710</v>
      </c>
      <c r="G1654" s="1822"/>
      <c r="H1654" s="1578"/>
      <c r="I1654" s="1489"/>
      <c r="J1654" s="1489"/>
      <c r="K1654" s="1489"/>
      <c r="L1654" s="80"/>
      <c r="M1654" s="80"/>
      <c r="N1654" s="80"/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</row>
    <row r="1655" spans="1:24" s="1370" customFormat="1" x14ac:dyDescent="0.2">
      <c r="A1655" s="523">
        <v>43645</v>
      </c>
      <c r="B1655" s="1723" t="s">
        <v>9794</v>
      </c>
      <c r="C1655" s="1724" t="s">
        <v>9795</v>
      </c>
      <c r="D1655" s="1686">
        <v>2.4988425925925928E-2</v>
      </c>
      <c r="E1655" s="1514" t="s">
        <v>13017</v>
      </c>
      <c r="F1655" s="1489" t="s">
        <v>13059</v>
      </c>
      <c r="G1655" s="1815">
        <v>0.48399999999999999</v>
      </c>
      <c r="H1655" s="1514"/>
      <c r="I1655" s="1514"/>
      <c r="J1655" s="80"/>
      <c r="K1655" s="80"/>
      <c r="L1655" s="80"/>
      <c r="M1655" s="80"/>
      <c r="N1655" s="80"/>
      <c r="O1655" s="80"/>
      <c r="P1655" s="80"/>
      <c r="Q1655" s="80"/>
      <c r="R1655" s="80"/>
      <c r="S1655" s="80"/>
      <c r="T1655" s="80"/>
      <c r="U1655" s="80"/>
      <c r="V1655" s="80"/>
      <c r="W1655" s="80"/>
      <c r="X1655" s="80"/>
    </row>
    <row r="1656" spans="1:24" s="1370" customFormat="1" x14ac:dyDescent="0.2">
      <c r="A1656" s="523">
        <v>43638</v>
      </c>
      <c r="B1656" s="1723" t="s">
        <v>9794</v>
      </c>
      <c r="C1656" s="1724" t="s">
        <v>9795</v>
      </c>
      <c r="D1656" s="1835">
        <v>2.2187499999999999E-2</v>
      </c>
      <c r="E1656" s="1569" t="s">
        <v>12988</v>
      </c>
      <c r="F1656" s="1569" t="s">
        <v>12994</v>
      </c>
      <c r="G1656" s="1818">
        <v>0.54510000000000003</v>
      </c>
      <c r="H1656" s="1514"/>
      <c r="I1656" s="1514"/>
      <c r="J1656" s="80"/>
      <c r="K1656" s="80"/>
    </row>
    <row r="1657" spans="1:24" s="1370" customFormat="1" x14ac:dyDescent="0.2">
      <c r="A1657" s="1384">
        <v>43617</v>
      </c>
      <c r="B1657" s="1723" t="s">
        <v>9794</v>
      </c>
      <c r="C1657" s="1724" t="s">
        <v>9795</v>
      </c>
      <c r="D1657" s="1836">
        <v>2.1122685185185185E-2</v>
      </c>
      <c r="E1657" s="1568" t="s">
        <v>12820</v>
      </c>
      <c r="F1657" s="1568"/>
      <c r="G1657" s="1819">
        <v>0.5726</v>
      </c>
      <c r="H1657" s="1489"/>
      <c r="I1657" s="1489"/>
    </row>
    <row r="1658" spans="1:24" s="1370" customFormat="1" x14ac:dyDescent="0.2">
      <c r="A1658" s="1384">
        <v>43568</v>
      </c>
      <c r="B1658" s="1723" t="s">
        <v>9794</v>
      </c>
      <c r="C1658" s="1724" t="s">
        <v>9795</v>
      </c>
      <c r="D1658" s="1733">
        <v>1.9594907407407405E-2</v>
      </c>
      <c r="E1658" s="1489" t="s">
        <v>12400</v>
      </c>
      <c r="F1658" s="1489" t="s">
        <v>12393</v>
      </c>
      <c r="G1658" s="1815">
        <v>0.61719999999999997</v>
      </c>
      <c r="H1658" s="1489"/>
      <c r="I1658" s="1489"/>
      <c r="L1658" s="80"/>
      <c r="M1658" s="80"/>
      <c r="N1658" s="80"/>
      <c r="O1658" s="80"/>
      <c r="P1658" s="80"/>
      <c r="Q1658" s="80"/>
      <c r="R1658" s="80"/>
      <c r="S1658" s="80"/>
      <c r="T1658" s="80"/>
      <c r="U1658" s="80"/>
      <c r="V1658" s="80"/>
      <c r="W1658" s="80"/>
      <c r="X1658" s="80"/>
    </row>
    <row r="1659" spans="1:24" s="1370" customFormat="1" x14ac:dyDescent="0.2">
      <c r="A1659" s="1384">
        <v>43554</v>
      </c>
      <c r="B1659" s="1723" t="s">
        <v>9794</v>
      </c>
      <c r="C1659" s="1724" t="s">
        <v>9795</v>
      </c>
      <c r="D1659" s="1733">
        <v>2.4085648148148148E-2</v>
      </c>
      <c r="E1659" s="1489" t="s">
        <v>12251</v>
      </c>
      <c r="F1659" s="1489" t="s">
        <v>12250</v>
      </c>
      <c r="G1659" s="1815">
        <v>0.50219999999999998</v>
      </c>
      <c r="H1659" s="1489"/>
      <c r="I1659" s="1489"/>
    </row>
    <row r="1660" spans="1:24" s="1370" customFormat="1" x14ac:dyDescent="0.2">
      <c r="A1660" s="1384">
        <v>43547</v>
      </c>
      <c r="B1660" s="1723" t="s">
        <v>9794</v>
      </c>
      <c r="C1660" s="1724" t="s">
        <v>9795</v>
      </c>
      <c r="D1660" s="1733">
        <v>2.0219907407407409E-2</v>
      </c>
      <c r="E1660" s="1489" t="s">
        <v>12197</v>
      </c>
      <c r="F1660" s="1489" t="s">
        <v>12196</v>
      </c>
      <c r="G1660" s="1815">
        <v>0.59819999999999995</v>
      </c>
      <c r="H1660" s="1489"/>
      <c r="I1660" s="1489"/>
    </row>
    <row r="1661" spans="1:24" s="1370" customFormat="1" x14ac:dyDescent="0.2">
      <c r="A1661" s="1384">
        <v>43540</v>
      </c>
      <c r="B1661" s="1723" t="s">
        <v>9794</v>
      </c>
      <c r="C1661" s="1724" t="s">
        <v>9795</v>
      </c>
      <c r="D1661" s="1733">
        <v>2.0428240740740743E-2</v>
      </c>
      <c r="E1661" s="1489" t="s">
        <v>12129</v>
      </c>
      <c r="F1661" s="1489" t="s">
        <v>12128</v>
      </c>
      <c r="G1661" s="1815">
        <v>0.59209999999999996</v>
      </c>
      <c r="H1661" s="1489"/>
      <c r="I1661" s="1489"/>
    </row>
    <row r="1662" spans="1:24" s="1370" customFormat="1" x14ac:dyDescent="0.2">
      <c r="A1662" s="1384">
        <v>43526</v>
      </c>
      <c r="B1662" s="1723" t="s">
        <v>9794</v>
      </c>
      <c r="C1662" s="1724" t="s">
        <v>9795</v>
      </c>
      <c r="D1662" s="1733">
        <v>2.0231481481481482E-2</v>
      </c>
      <c r="E1662" s="1489" t="s">
        <v>11964</v>
      </c>
      <c r="F1662" s="1489" t="s">
        <v>11962</v>
      </c>
      <c r="G1662" s="1815">
        <v>0.5978</v>
      </c>
      <c r="H1662" s="1489"/>
      <c r="I1662" s="1489"/>
    </row>
    <row r="1663" spans="1:24" s="1370" customFormat="1" x14ac:dyDescent="0.2">
      <c r="A1663" s="1384">
        <v>43519</v>
      </c>
      <c r="B1663" s="1723" t="s">
        <v>9794</v>
      </c>
      <c r="C1663" s="1724" t="s">
        <v>9795</v>
      </c>
      <c r="D1663" s="1733">
        <v>2.0555555555555556E-2</v>
      </c>
      <c r="E1663" s="1489" t="s">
        <v>2818</v>
      </c>
      <c r="F1663" s="1545" t="s">
        <v>12143</v>
      </c>
      <c r="G1663" s="1815">
        <v>0.58840000000000003</v>
      </c>
      <c r="H1663" s="1489"/>
      <c r="I1663" s="1489"/>
    </row>
    <row r="1664" spans="1:24" s="1370" customFormat="1" x14ac:dyDescent="0.2">
      <c r="A1664" s="1384">
        <v>43491</v>
      </c>
      <c r="B1664" s="1723" t="s">
        <v>9794</v>
      </c>
      <c r="C1664" s="1724" t="s">
        <v>9795</v>
      </c>
      <c r="D1664" s="1733">
        <v>2.1956018518518517E-2</v>
      </c>
      <c r="E1664" s="1489" t="s">
        <v>2818</v>
      </c>
      <c r="F1664" s="1545" t="s">
        <v>11704</v>
      </c>
      <c r="G1664" s="1815">
        <v>0.55089999999999995</v>
      </c>
      <c r="H1664" s="1489"/>
      <c r="I1664" s="1489"/>
    </row>
    <row r="1665" spans="1:24" s="1370" customFormat="1" x14ac:dyDescent="0.2">
      <c r="A1665" s="1384">
        <v>43477</v>
      </c>
      <c r="B1665" s="1723" t="s">
        <v>9794</v>
      </c>
      <c r="C1665" s="1724" t="s">
        <v>9795</v>
      </c>
      <c r="D1665" s="1733">
        <v>2.2326388888888885E-2</v>
      </c>
      <c r="E1665" s="1489" t="s">
        <v>1122</v>
      </c>
      <c r="F1665" s="1489" t="s">
        <v>11599</v>
      </c>
      <c r="G1665" s="1815">
        <v>0.54169999999999996</v>
      </c>
      <c r="H1665" s="1489"/>
      <c r="I1665" s="1489"/>
    </row>
    <row r="1666" spans="1:24" s="1370" customFormat="1" x14ac:dyDescent="0.2">
      <c r="A1666" s="1384">
        <v>43540</v>
      </c>
      <c r="B1666" s="1489" t="s">
        <v>503</v>
      </c>
      <c r="C1666" s="1489" t="s">
        <v>504</v>
      </c>
      <c r="D1666" s="1733" t="s">
        <v>787</v>
      </c>
      <c r="E1666" s="1489" t="s">
        <v>12123</v>
      </c>
      <c r="F1666" s="1489" t="s">
        <v>4061</v>
      </c>
      <c r="G1666" s="1815"/>
      <c r="H1666" s="1489"/>
      <c r="I1666" s="1489"/>
    </row>
    <row r="1667" spans="1:24" s="1370" customFormat="1" x14ac:dyDescent="0.2">
      <c r="A1667" s="1384">
        <v>43526</v>
      </c>
      <c r="B1667" s="1489" t="s">
        <v>503</v>
      </c>
      <c r="C1667" s="1489" t="s">
        <v>504</v>
      </c>
      <c r="D1667" s="1733" t="s">
        <v>787</v>
      </c>
      <c r="E1667" s="1489" t="s">
        <v>11971</v>
      </c>
      <c r="F1667" s="1489" t="s">
        <v>4061</v>
      </c>
      <c r="G1667" s="1815"/>
      <c r="H1667" s="1489"/>
      <c r="I1667" s="1489"/>
      <c r="L1667" s="80"/>
      <c r="M1667" s="80"/>
      <c r="N1667" s="80"/>
      <c r="O1667" s="80"/>
      <c r="P1667" s="80"/>
      <c r="Q1667" s="80"/>
      <c r="R1667" s="80"/>
      <c r="S1667" s="80"/>
      <c r="T1667" s="80"/>
      <c r="U1667" s="80"/>
      <c r="V1667" s="80"/>
      <c r="W1667" s="80"/>
      <c r="X1667" s="80"/>
    </row>
    <row r="1668" spans="1:24" s="1370" customFormat="1" x14ac:dyDescent="0.2">
      <c r="A1668" s="1751">
        <v>43792</v>
      </c>
      <c r="B1668" s="1489" t="s">
        <v>3960</v>
      </c>
      <c r="C1668" s="1489" t="s">
        <v>3961</v>
      </c>
      <c r="D1668" s="1786">
        <v>1.5162037037037036E-2</v>
      </c>
      <c r="E1668" s="1489" t="s">
        <v>16095</v>
      </c>
      <c r="F1668" s="1404" t="s">
        <v>16130</v>
      </c>
      <c r="G1668" s="1817">
        <v>0.72209999999999996</v>
      </c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1370" customFormat="1" x14ac:dyDescent="0.2">
      <c r="A1669" s="523">
        <v>43722</v>
      </c>
      <c r="B1669" s="1489" t="s">
        <v>3960</v>
      </c>
      <c r="C1669" s="1489" t="s">
        <v>3961</v>
      </c>
      <c r="D1669" s="1686">
        <v>1.5358796296296297E-2</v>
      </c>
      <c r="E1669" s="1489" t="s">
        <v>15482</v>
      </c>
      <c r="F1669" s="1489" t="s">
        <v>15527</v>
      </c>
      <c r="G1669" s="1815">
        <v>0.71289999999999998</v>
      </c>
      <c r="H1669" s="80"/>
      <c r="I1669" s="80"/>
      <c r="J1669" s="80"/>
      <c r="K1669" s="80"/>
      <c r="L1669" s="80"/>
      <c r="M1669" s="80"/>
      <c r="N1669" s="80"/>
      <c r="O1669" s="80"/>
      <c r="P1669" s="80"/>
      <c r="Q1669" s="80"/>
      <c r="R1669" s="80"/>
      <c r="S1669" s="80"/>
      <c r="T1669" s="80"/>
      <c r="U1669" s="80"/>
      <c r="V1669" s="80"/>
      <c r="W1669" s="80"/>
      <c r="X1669" s="80"/>
    </row>
    <row r="1670" spans="1:24" s="1370" customFormat="1" x14ac:dyDescent="0.2">
      <c r="A1670" s="1526">
        <v>43701</v>
      </c>
      <c r="B1670" s="1489" t="s">
        <v>3960</v>
      </c>
      <c r="C1670" s="1489" t="s">
        <v>3961</v>
      </c>
      <c r="D1670" s="1686">
        <v>1.4791666666666668E-2</v>
      </c>
      <c r="E1670" s="1489" t="s">
        <v>15297</v>
      </c>
      <c r="F1670" s="1489" t="s">
        <v>15314</v>
      </c>
      <c r="G1670" s="1815">
        <v>0.73399999999999999</v>
      </c>
      <c r="H1670" s="80"/>
      <c r="I1670" s="80"/>
      <c r="J1670" s="80"/>
      <c r="K1670" s="80"/>
      <c r="L1670" s="80"/>
      <c r="M1670" s="80"/>
      <c r="N1670" s="80"/>
      <c r="O1670" s="80"/>
      <c r="P1670" s="80"/>
      <c r="Q1670" s="80"/>
      <c r="R1670" s="80"/>
      <c r="S1670" s="80"/>
      <c r="T1670" s="80"/>
      <c r="U1670" s="80"/>
      <c r="V1670" s="80"/>
      <c r="W1670" s="80"/>
      <c r="X1670" s="80"/>
    </row>
    <row r="1671" spans="1:24" s="1370" customFormat="1" ht="25.5" x14ac:dyDescent="0.2">
      <c r="A1671" s="523">
        <v>43631</v>
      </c>
      <c r="B1671" s="1489" t="s">
        <v>3960</v>
      </c>
      <c r="C1671" s="1489" t="s">
        <v>3961</v>
      </c>
      <c r="D1671" s="1835">
        <v>1.4351851851851852E-2</v>
      </c>
      <c r="E1671" s="1569" t="s">
        <v>12919</v>
      </c>
      <c r="F1671" s="1624" t="s">
        <v>12948</v>
      </c>
      <c r="G1671" s="1818">
        <v>0.75649999999999995</v>
      </c>
      <c r="H1671" s="1514"/>
      <c r="I1671" s="1514"/>
      <c r="J1671" s="80"/>
      <c r="K1671" s="80"/>
      <c r="L1671" s="80"/>
      <c r="M1671" s="80"/>
      <c r="N1671" s="80"/>
      <c r="O1671" s="80"/>
      <c r="P1671" s="80"/>
      <c r="Q1671" s="80"/>
      <c r="R1671" s="80"/>
      <c r="S1671" s="80"/>
      <c r="T1671" s="80"/>
      <c r="U1671" s="80"/>
      <c r="V1671" s="80"/>
      <c r="W1671" s="80"/>
      <c r="X1671" s="80"/>
    </row>
    <row r="1672" spans="1:24" s="1370" customFormat="1" x14ac:dyDescent="0.2">
      <c r="A1672" s="1384">
        <v>43603</v>
      </c>
      <c r="B1672" s="1489" t="s">
        <v>3960</v>
      </c>
      <c r="C1672" s="1489" t="s">
        <v>3961</v>
      </c>
      <c r="D1672" s="1733">
        <v>1.8217592592592594E-2</v>
      </c>
      <c r="E1672" s="1489" t="s">
        <v>12680</v>
      </c>
      <c r="F1672" s="1489"/>
      <c r="G1672" s="1815">
        <v>0.59589999999999999</v>
      </c>
      <c r="H1672" s="1489"/>
      <c r="I1672" s="1489"/>
      <c r="L1672" s="80"/>
      <c r="M1672" s="80"/>
      <c r="N1672" s="80"/>
      <c r="O1672" s="80"/>
      <c r="P1672" s="80"/>
      <c r="Q1672" s="80"/>
      <c r="R1672" s="80"/>
      <c r="S1672" s="80"/>
      <c r="T1672" s="80"/>
      <c r="U1672" s="80"/>
      <c r="V1672" s="80"/>
      <c r="W1672" s="80"/>
      <c r="X1672" s="80"/>
    </row>
    <row r="1673" spans="1:24" s="1370" customFormat="1" x14ac:dyDescent="0.2">
      <c r="A1673" s="1384">
        <v>43589</v>
      </c>
      <c r="B1673" s="1489" t="s">
        <v>3960</v>
      </c>
      <c r="C1673" s="1489" t="s">
        <v>3961</v>
      </c>
      <c r="D1673" s="1733">
        <v>1.5104166666666667E-2</v>
      </c>
      <c r="E1673" s="1489" t="s">
        <v>12605</v>
      </c>
      <c r="F1673" s="1489" t="s">
        <v>12620</v>
      </c>
      <c r="G1673" s="1815">
        <v>0.71879999999999999</v>
      </c>
      <c r="H1673" s="1489"/>
      <c r="I1673" s="1489"/>
      <c r="L1673" s="80"/>
      <c r="M1673" s="80"/>
      <c r="N1673" s="80"/>
      <c r="O1673" s="80"/>
      <c r="P1673" s="80"/>
      <c r="Q1673" s="80"/>
      <c r="R1673" s="80"/>
      <c r="S1673" s="80"/>
      <c r="T1673" s="80"/>
      <c r="U1673" s="80"/>
      <c r="V1673" s="80"/>
      <c r="W1673" s="80"/>
      <c r="X1673" s="80"/>
    </row>
    <row r="1674" spans="1:24" s="1370" customFormat="1" x14ac:dyDescent="0.2">
      <c r="A1674" s="1384">
        <v>43498</v>
      </c>
      <c r="B1674" s="1489" t="s">
        <v>3960</v>
      </c>
      <c r="C1674" s="1489" t="s">
        <v>3961</v>
      </c>
      <c r="D1674" s="1733">
        <v>1.462962962962963E-2</v>
      </c>
      <c r="E1674" s="1489" t="s">
        <v>2960</v>
      </c>
      <c r="F1674" s="1489" t="s">
        <v>11750</v>
      </c>
      <c r="G1674" s="1815">
        <v>0.74209999999999998</v>
      </c>
      <c r="H1674" s="1489"/>
      <c r="I1674" s="1489"/>
      <c r="L1674" s="80"/>
      <c r="M1674" s="80"/>
      <c r="N1674" s="80"/>
      <c r="O1674" s="80"/>
      <c r="P1674" s="80"/>
      <c r="Q1674" s="80"/>
      <c r="R1674" s="80"/>
      <c r="S1674" s="80"/>
      <c r="T1674" s="80"/>
      <c r="U1674" s="80"/>
      <c r="V1674" s="80"/>
      <c r="W1674" s="80"/>
      <c r="X1674" s="80"/>
    </row>
    <row r="1675" spans="1:24" s="1370" customFormat="1" x14ac:dyDescent="0.2">
      <c r="A1675" s="1384">
        <v>43466</v>
      </c>
      <c r="B1675" s="1489" t="s">
        <v>3960</v>
      </c>
      <c r="C1675" s="1489" t="s">
        <v>3961</v>
      </c>
      <c r="D1675" s="1733">
        <v>1.5289351851851851E-2</v>
      </c>
      <c r="E1675" s="1489" t="s">
        <v>11502</v>
      </c>
      <c r="F1675" s="1489" t="s">
        <v>11514</v>
      </c>
      <c r="G1675" s="1815">
        <v>0.71009999999999995</v>
      </c>
      <c r="H1675" s="1489"/>
      <c r="I1675" s="1489"/>
      <c r="L1675" s="80"/>
      <c r="M1675" s="80"/>
      <c r="N1675" s="80"/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</row>
    <row r="1676" spans="1:24" s="1370" customFormat="1" x14ac:dyDescent="0.2">
      <c r="A1676" s="1384">
        <v>43466</v>
      </c>
      <c r="B1676" s="1489" t="s">
        <v>3960</v>
      </c>
      <c r="C1676" s="1489" t="s">
        <v>3961</v>
      </c>
      <c r="D1676" s="1733">
        <v>1.6597222222222222E-2</v>
      </c>
      <c r="E1676" s="1489" t="s">
        <v>11503</v>
      </c>
      <c r="F1676" s="1489" t="s">
        <v>12144</v>
      </c>
      <c r="G1676" s="1815">
        <v>0.65410000000000001</v>
      </c>
      <c r="H1676" s="1489"/>
      <c r="I1676" s="1489"/>
      <c r="L1676" s="80"/>
      <c r="M1676" s="80"/>
      <c r="N1676" s="80"/>
      <c r="O1676" s="80"/>
      <c r="P1676" s="80"/>
      <c r="Q1676" s="80"/>
      <c r="R1676" s="80"/>
      <c r="S1676" s="80"/>
      <c r="T1676" s="80"/>
      <c r="U1676" s="80"/>
      <c r="V1676" s="80"/>
      <c r="W1676" s="80"/>
      <c r="X1676" s="80"/>
    </row>
    <row r="1677" spans="1:24" s="1370" customFormat="1" x14ac:dyDescent="0.2">
      <c r="A1677" s="1384">
        <v>43484</v>
      </c>
      <c r="B1677" s="1489" t="s">
        <v>1308</v>
      </c>
      <c r="C1677" s="1489" t="s">
        <v>1506</v>
      </c>
      <c r="D1677" s="1733">
        <v>2.074074074074074E-2</v>
      </c>
      <c r="E1677" s="1489" t="s">
        <v>6019</v>
      </c>
      <c r="F1677" s="1489" t="s">
        <v>11569</v>
      </c>
      <c r="G1677" s="1815">
        <v>0.4637</v>
      </c>
      <c r="H1677" s="1489"/>
      <c r="I1677" s="1489"/>
      <c r="L1677" s="80"/>
      <c r="M1677" s="80"/>
      <c r="N1677" s="80"/>
      <c r="O1677" s="80"/>
      <c r="P1677" s="80"/>
      <c r="Q1677" s="80"/>
      <c r="R1677" s="80"/>
      <c r="S1677" s="80"/>
      <c r="T1677" s="80"/>
      <c r="U1677" s="80"/>
      <c r="V1677" s="80"/>
      <c r="W1677" s="80"/>
      <c r="X1677" s="80"/>
    </row>
    <row r="1678" spans="1:24" s="1370" customFormat="1" x14ac:dyDescent="0.2">
      <c r="A1678" s="1384">
        <v>43477</v>
      </c>
      <c r="B1678" s="1489" t="s">
        <v>1308</v>
      </c>
      <c r="C1678" s="1489" t="s">
        <v>1506</v>
      </c>
      <c r="D1678" s="1733">
        <v>2.148148148148148E-2</v>
      </c>
      <c r="E1678" s="1489" t="s">
        <v>6019</v>
      </c>
      <c r="F1678" s="1489" t="s">
        <v>11570</v>
      </c>
      <c r="G1678" s="1815">
        <v>0.44769999999999999</v>
      </c>
      <c r="H1678" s="1489"/>
      <c r="I1678" s="1489"/>
      <c r="L1678" s="80"/>
      <c r="M1678" s="80"/>
      <c r="N1678" s="80"/>
      <c r="O1678" s="80"/>
      <c r="P1678" s="80"/>
      <c r="Q1678" s="80"/>
      <c r="R1678" s="80"/>
      <c r="S1678" s="80"/>
      <c r="T1678" s="80"/>
      <c r="U1678" s="80"/>
      <c r="V1678" s="80"/>
      <c r="W1678" s="80"/>
      <c r="X1678" s="80"/>
    </row>
    <row r="1679" spans="1:24" s="1370" customFormat="1" x14ac:dyDescent="0.2">
      <c r="A1679" s="1729">
        <v>43827</v>
      </c>
      <c r="B1679" s="1639" t="s">
        <v>2416</v>
      </c>
      <c r="C1679" s="1639" t="s">
        <v>2417</v>
      </c>
      <c r="D1679" s="1621">
        <v>2.1608796296296296E-2</v>
      </c>
      <c r="E1679" s="1489" t="s">
        <v>16429</v>
      </c>
      <c r="F1679" s="1489" t="s">
        <v>16448</v>
      </c>
      <c r="G1679" s="1817">
        <v>0.65129999999999999</v>
      </c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1370" customFormat="1" x14ac:dyDescent="0.2">
      <c r="A1680" s="34">
        <v>43824</v>
      </c>
      <c r="B1680" s="1639" t="s">
        <v>2416</v>
      </c>
      <c r="C1680" s="1639" t="s">
        <v>2417</v>
      </c>
      <c r="D1680" s="1621">
        <v>2.3310185185185187E-2</v>
      </c>
      <c r="E1680" s="1489" t="s">
        <v>4727</v>
      </c>
      <c r="F1680" s="1489" t="s">
        <v>16396</v>
      </c>
      <c r="G1680" s="1817">
        <v>0.6038</v>
      </c>
      <c r="H1680" s="1404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1370" customFormat="1" x14ac:dyDescent="0.2">
      <c r="A1681" s="1673">
        <v>43820</v>
      </c>
      <c r="B1681" s="1639" t="s">
        <v>2416</v>
      </c>
      <c r="C1681" s="1639" t="s">
        <v>2417</v>
      </c>
      <c r="D1681" s="1777">
        <v>2.267361111111111E-2</v>
      </c>
      <c r="E1681" s="80" t="s">
        <v>16323</v>
      </c>
      <c r="F1681"/>
      <c r="G1681" s="314">
        <v>0.62070000000000003</v>
      </c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1370" customFormat="1" x14ac:dyDescent="0.2">
      <c r="A1682" s="1765">
        <v>43813</v>
      </c>
      <c r="B1682" s="1639" t="s">
        <v>2416</v>
      </c>
      <c r="C1682" s="1639" t="s">
        <v>2417</v>
      </c>
      <c r="D1682" s="1621">
        <v>2.164351851851852E-2</v>
      </c>
      <c r="E1682" s="1489" t="s">
        <v>16274</v>
      </c>
      <c r="F1682" s="1489" t="s">
        <v>16294</v>
      </c>
      <c r="G1682" s="1817">
        <v>0.65029999999999999</v>
      </c>
      <c r="H1682" s="1404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1370" customFormat="1" x14ac:dyDescent="0.2">
      <c r="A1683" s="34">
        <v>43806</v>
      </c>
      <c r="B1683" s="1639" t="s">
        <v>2416</v>
      </c>
      <c r="C1683" s="1639" t="s">
        <v>2417</v>
      </c>
      <c r="D1683" s="1621">
        <v>2.2546296296296297E-2</v>
      </c>
      <c r="E1683" s="1489" t="s">
        <v>16216</v>
      </c>
      <c r="F1683" s="1404"/>
      <c r="G1683" s="1817">
        <v>0.62419999999999998</v>
      </c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1370" customFormat="1" x14ac:dyDescent="0.2">
      <c r="A1684" s="1751">
        <v>43792</v>
      </c>
      <c r="B1684" s="1639" t="s">
        <v>2416</v>
      </c>
      <c r="C1684" s="1639" t="s">
        <v>2417</v>
      </c>
      <c r="D1684" s="1786">
        <v>2.2789351851851856E-2</v>
      </c>
      <c r="E1684" s="1489" t="s">
        <v>16082</v>
      </c>
      <c r="F1684" s="1404"/>
      <c r="G1684" s="1817">
        <v>0.61760000000000004</v>
      </c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1370" customFormat="1" x14ac:dyDescent="0.2">
      <c r="A1685" s="1673">
        <v>43785</v>
      </c>
      <c r="B1685" s="1639" t="s">
        <v>2416</v>
      </c>
      <c r="C1685" s="1639" t="s">
        <v>2417</v>
      </c>
      <c r="D1685" s="1674">
        <v>2.1284722222222222E-2</v>
      </c>
      <c r="E1685" s="80" t="s">
        <v>16026</v>
      </c>
      <c r="F1685" s="80" t="s">
        <v>16028</v>
      </c>
      <c r="G1685" s="314">
        <v>0.66120000000000001</v>
      </c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1370" customFormat="1" x14ac:dyDescent="0.2">
      <c r="A1686" s="1384">
        <v>43778</v>
      </c>
      <c r="B1686" s="1639" t="s">
        <v>2416</v>
      </c>
      <c r="C1686" s="1639" t="s">
        <v>2417</v>
      </c>
      <c r="D1686" s="1744">
        <v>2.5092592592592593E-2</v>
      </c>
      <c r="E1686" s="1723" t="s">
        <v>15962</v>
      </c>
      <c r="F1686" s="1723" t="s">
        <v>15979</v>
      </c>
      <c r="G1686" s="1820">
        <v>0.56089999999999995</v>
      </c>
    </row>
    <row r="1687" spans="1:24" s="1370" customFormat="1" x14ac:dyDescent="0.2">
      <c r="A1687" s="1384">
        <v>43771</v>
      </c>
      <c r="B1687" s="1639" t="s">
        <v>2416</v>
      </c>
      <c r="C1687" s="1639" t="s">
        <v>2417</v>
      </c>
      <c r="D1687" s="1737">
        <v>2.3263888888888886E-2</v>
      </c>
      <c r="E1687" s="1489" t="s">
        <v>15889</v>
      </c>
      <c r="F1687" s="1489"/>
      <c r="G1687" s="1815">
        <v>0.60499999999999998</v>
      </c>
    </row>
    <row r="1688" spans="1:24" s="1370" customFormat="1" x14ac:dyDescent="0.2">
      <c r="A1688" s="1729">
        <v>43736</v>
      </c>
      <c r="B1688" s="1639" t="s">
        <v>2416</v>
      </c>
      <c r="C1688" s="1639" t="s">
        <v>2417</v>
      </c>
      <c r="D1688" s="1686">
        <v>2.2442129629629635E-2</v>
      </c>
      <c r="E1688" s="1489" t="s">
        <v>15644</v>
      </c>
      <c r="F1688" s="1489" t="s">
        <v>15673</v>
      </c>
      <c r="G1688" s="1815">
        <v>0.62709999999999999</v>
      </c>
      <c r="H1688" s="80"/>
      <c r="I1688" s="80"/>
      <c r="J1688" s="80"/>
      <c r="K1688" s="80"/>
      <c r="L1688" s="80"/>
      <c r="M1688" s="80"/>
      <c r="N1688" s="80"/>
      <c r="O1688" s="80"/>
      <c r="P1688" s="80"/>
      <c r="Q1688" s="80"/>
      <c r="R1688" s="80"/>
      <c r="S1688" s="80"/>
      <c r="T1688" s="80"/>
      <c r="U1688" s="80"/>
      <c r="V1688" s="80"/>
      <c r="W1688" s="80"/>
      <c r="X1688" s="80"/>
    </row>
    <row r="1689" spans="1:24" s="1370" customFormat="1" x14ac:dyDescent="0.2">
      <c r="A1689" s="1729">
        <v>43729</v>
      </c>
      <c r="B1689" s="1639" t="s">
        <v>2416</v>
      </c>
      <c r="C1689" s="1639" t="s">
        <v>2417</v>
      </c>
      <c r="D1689" s="1686">
        <v>2.2719907407407411E-2</v>
      </c>
      <c r="E1689" s="1489" t="s">
        <v>15566</v>
      </c>
      <c r="F1689" s="1489" t="s">
        <v>15592</v>
      </c>
      <c r="G1689" s="1815">
        <v>0.61950000000000005</v>
      </c>
      <c r="H1689" s="80"/>
      <c r="I1689" s="80"/>
      <c r="J1689" s="80"/>
      <c r="K1689" s="80"/>
      <c r="L1689" s="80"/>
      <c r="M1689" s="80"/>
      <c r="N1689" s="80"/>
      <c r="O1689" s="80"/>
      <c r="P1689" s="80"/>
      <c r="Q1689" s="80"/>
      <c r="R1689" s="80"/>
      <c r="S1689" s="80"/>
      <c r="T1689" s="80"/>
      <c r="U1689" s="80"/>
      <c r="V1689" s="80"/>
      <c r="W1689" s="80"/>
      <c r="X1689" s="80"/>
    </row>
    <row r="1690" spans="1:24" s="1370" customFormat="1" x14ac:dyDescent="0.2">
      <c r="A1690" s="523">
        <v>43722</v>
      </c>
      <c r="B1690" s="1639" t="s">
        <v>2416</v>
      </c>
      <c r="C1690" s="1639" t="s">
        <v>2417</v>
      </c>
      <c r="D1690" s="1686">
        <v>2.2523148148148146E-2</v>
      </c>
      <c r="E1690" s="1489" t="s">
        <v>15473</v>
      </c>
      <c r="F1690" s="1489"/>
      <c r="G1690" s="1815">
        <v>0.62490000000000001</v>
      </c>
      <c r="H1690" s="1514"/>
      <c r="I1690" s="80"/>
      <c r="J1690" s="80"/>
      <c r="K1690" s="80"/>
      <c r="L1690" s="80"/>
      <c r="M1690" s="80"/>
      <c r="N1690" s="80"/>
      <c r="O1690" s="80"/>
      <c r="P1690" s="80"/>
      <c r="Q1690" s="80"/>
      <c r="R1690" s="80"/>
      <c r="S1690" s="80"/>
      <c r="T1690" s="80"/>
      <c r="U1690" s="80"/>
      <c r="V1690" s="80"/>
      <c r="W1690" s="80"/>
      <c r="X1690" s="80"/>
    </row>
    <row r="1691" spans="1:24" s="1370" customFormat="1" x14ac:dyDescent="0.2">
      <c r="A1691" s="1526">
        <v>43708</v>
      </c>
      <c r="B1691" s="1639" t="s">
        <v>2416</v>
      </c>
      <c r="C1691" s="1639" t="s">
        <v>2417</v>
      </c>
      <c r="D1691" s="1686">
        <v>2.1481481481481483E-2</v>
      </c>
      <c r="E1691" s="1489" t="s">
        <v>15378</v>
      </c>
      <c r="F1691" s="1489" t="s">
        <v>15392</v>
      </c>
      <c r="G1691" s="1815">
        <v>0.6552</v>
      </c>
      <c r="H1691" s="1514"/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</row>
    <row r="1692" spans="1:24" s="1370" customFormat="1" x14ac:dyDescent="0.2">
      <c r="A1692" s="1526">
        <v>43701</v>
      </c>
      <c r="B1692" s="1639" t="s">
        <v>2416</v>
      </c>
      <c r="C1692" s="1639" t="s">
        <v>2417</v>
      </c>
      <c r="D1692" s="1686">
        <v>2.1516203703703704E-2</v>
      </c>
      <c r="E1692" s="1489" t="s">
        <v>15287</v>
      </c>
      <c r="F1692" s="1489" t="s">
        <v>15295</v>
      </c>
      <c r="G1692" s="1815">
        <v>0.65410000000000001</v>
      </c>
      <c r="H1692" s="1514"/>
      <c r="I1692" s="80"/>
      <c r="J1692" s="80"/>
      <c r="K1692" s="80"/>
      <c r="L1692" s="80"/>
      <c r="M1692" s="80"/>
      <c r="N1692" s="80"/>
      <c r="O1692" s="80"/>
      <c r="P1692" s="80"/>
      <c r="Q1692" s="80"/>
      <c r="R1692" s="80"/>
      <c r="S1692" s="80"/>
      <c r="T1692" s="80"/>
      <c r="U1692" s="80"/>
      <c r="V1692" s="80"/>
      <c r="W1692" s="80"/>
      <c r="X1692" s="80"/>
    </row>
    <row r="1693" spans="1:24" s="1370" customFormat="1" x14ac:dyDescent="0.2">
      <c r="A1693" s="523">
        <v>43694</v>
      </c>
      <c r="B1693" s="1639" t="s">
        <v>2416</v>
      </c>
      <c r="C1693" s="1639" t="s">
        <v>2417</v>
      </c>
      <c r="D1693" s="1733">
        <v>2.1631944444444443E-2</v>
      </c>
      <c r="E1693" s="1489" t="s">
        <v>15157</v>
      </c>
      <c r="F1693" s="1489" t="s">
        <v>15201</v>
      </c>
      <c r="G1693" s="1815">
        <v>0.65059999999999996</v>
      </c>
      <c r="H1693" s="1514"/>
      <c r="I1693" s="80"/>
      <c r="J1693" s="80"/>
      <c r="K1693" s="80"/>
      <c r="L1693" s="80"/>
      <c r="M1693" s="80"/>
      <c r="N1693" s="80"/>
      <c r="O1693" s="80"/>
      <c r="P1693" s="80"/>
      <c r="Q1693" s="80"/>
      <c r="R1693" s="80"/>
      <c r="S1693" s="80"/>
      <c r="T1693" s="80"/>
      <c r="U1693" s="80"/>
      <c r="V1693" s="80"/>
      <c r="W1693" s="80"/>
      <c r="X1693" s="80"/>
    </row>
    <row r="1694" spans="1:24" s="1370" customFormat="1" x14ac:dyDescent="0.2">
      <c r="A1694" s="1384">
        <v>43673</v>
      </c>
      <c r="B1694" s="1639" t="s">
        <v>2416</v>
      </c>
      <c r="C1694" s="1639" t="s">
        <v>2417</v>
      </c>
      <c r="D1694" s="1686">
        <v>2.3078703703703702E-2</v>
      </c>
      <c r="E1694" s="1489" t="s">
        <v>13285</v>
      </c>
      <c r="F1694" s="1489" t="s">
        <v>13336</v>
      </c>
      <c r="G1694" s="1815">
        <v>0.60980000000000001</v>
      </c>
      <c r="H1694" s="80"/>
      <c r="I1694" s="1514"/>
      <c r="J1694" s="80"/>
      <c r="K1694" s="80"/>
      <c r="L1694" s="80"/>
      <c r="M1694" s="80"/>
      <c r="N1694" s="80"/>
      <c r="O1694" s="80"/>
      <c r="P1694" s="80"/>
      <c r="Q1694" s="80"/>
      <c r="R1694" s="80"/>
      <c r="S1694" s="80"/>
      <c r="T1694" s="80"/>
      <c r="U1694" s="80"/>
      <c r="V1694" s="80"/>
      <c r="W1694" s="80"/>
      <c r="X1694" s="80"/>
    </row>
    <row r="1695" spans="1:24" s="1370" customFormat="1" x14ac:dyDescent="0.2">
      <c r="A1695" s="523">
        <v>43666</v>
      </c>
      <c r="B1695" s="1639" t="s">
        <v>2416</v>
      </c>
      <c r="C1695" s="1639" t="s">
        <v>2417</v>
      </c>
      <c r="D1695" s="1686">
        <v>2.3101851851851853E-2</v>
      </c>
      <c r="E1695" s="1489" t="s">
        <v>13198</v>
      </c>
      <c r="F1695" s="1489" t="s">
        <v>13225</v>
      </c>
      <c r="G1695" s="1815">
        <v>0.60919999999999996</v>
      </c>
      <c r="H1695" s="1514"/>
      <c r="I1695" s="1514"/>
      <c r="J1695" s="80"/>
      <c r="K1695" s="80"/>
      <c r="L1695" s="80"/>
      <c r="M1695" s="80"/>
      <c r="N1695" s="80"/>
      <c r="O1695" s="80"/>
      <c r="P1695" s="80"/>
      <c r="Q1695" s="80"/>
      <c r="R1695" s="80"/>
      <c r="S1695" s="80"/>
      <c r="T1695" s="80"/>
      <c r="U1695" s="80"/>
      <c r="V1695" s="80"/>
      <c r="W1695" s="80"/>
      <c r="X1695" s="80"/>
    </row>
    <row r="1696" spans="1:24" s="1370" customFormat="1" x14ac:dyDescent="0.2">
      <c r="A1696" s="523">
        <v>43659</v>
      </c>
      <c r="B1696" s="1639" t="s">
        <v>2416</v>
      </c>
      <c r="C1696" s="1639" t="s">
        <v>2417</v>
      </c>
      <c r="D1696" s="1686">
        <v>2.3321759259259261E-2</v>
      </c>
      <c r="E1696" s="1489" t="s">
        <v>13144</v>
      </c>
      <c r="F1696" s="1489"/>
      <c r="G1696" s="1815">
        <v>0.60350000000000004</v>
      </c>
      <c r="H1696" s="1514"/>
      <c r="I1696" s="1489"/>
      <c r="J1696" s="80"/>
      <c r="K1696" s="80"/>
    </row>
    <row r="1697" spans="1:24" s="1370" customFormat="1" x14ac:dyDescent="0.2">
      <c r="A1697" s="523">
        <v>43652</v>
      </c>
      <c r="B1697" s="1639" t="s">
        <v>2416</v>
      </c>
      <c r="C1697" s="1639" t="s">
        <v>2417</v>
      </c>
      <c r="D1697" s="1686">
        <v>2.222222222222222E-2</v>
      </c>
      <c r="E1697" s="1489" t="s">
        <v>13077</v>
      </c>
      <c r="F1697" s="1489" t="s">
        <v>13105</v>
      </c>
      <c r="G1697" s="1815">
        <v>0.63329999999999997</v>
      </c>
      <c r="H1697" s="1489"/>
      <c r="I1697" s="1489"/>
      <c r="J1697" s="1489"/>
      <c r="K1697" s="80"/>
    </row>
    <row r="1698" spans="1:24" s="1370" customFormat="1" x14ac:dyDescent="0.2">
      <c r="A1698" s="523">
        <v>43638</v>
      </c>
      <c r="B1698" s="1639" t="s">
        <v>2416</v>
      </c>
      <c r="C1698" s="1639" t="s">
        <v>2417</v>
      </c>
      <c r="D1698" s="1835">
        <v>2.1006944444444443E-2</v>
      </c>
      <c r="E1698" s="1569" t="s">
        <v>12987</v>
      </c>
      <c r="F1698" s="1569" t="s">
        <v>2629</v>
      </c>
      <c r="G1698" s="1818">
        <v>0.67</v>
      </c>
      <c r="H1698" s="1514"/>
      <c r="I1698" s="1514"/>
      <c r="J1698" s="80"/>
      <c r="K1698" s="80"/>
    </row>
    <row r="1699" spans="1:24" s="1370" customFormat="1" x14ac:dyDescent="0.2">
      <c r="A1699" s="523">
        <v>43631</v>
      </c>
      <c r="B1699" s="1639" t="s">
        <v>2416</v>
      </c>
      <c r="C1699" s="1639" t="s">
        <v>2417</v>
      </c>
      <c r="D1699" s="1835">
        <v>2.2962962962962966E-2</v>
      </c>
      <c r="E1699" s="1569" t="s">
        <v>12928</v>
      </c>
      <c r="F1699" s="1624" t="s">
        <v>12950</v>
      </c>
      <c r="G1699" s="1818">
        <v>0.6129</v>
      </c>
      <c r="H1699" s="1514"/>
      <c r="I1699" s="1514"/>
      <c r="J1699" s="80"/>
      <c r="K1699" s="80"/>
    </row>
    <row r="1700" spans="1:24" s="1370" customFormat="1" x14ac:dyDescent="0.2">
      <c r="A1700" s="1384">
        <v>43617</v>
      </c>
      <c r="B1700" s="1639" t="s">
        <v>2416</v>
      </c>
      <c r="C1700" s="1639" t="s">
        <v>2417</v>
      </c>
      <c r="D1700" s="1836">
        <v>2.297453703703704E-2</v>
      </c>
      <c r="E1700" s="1568" t="s">
        <v>12816</v>
      </c>
      <c r="F1700" s="1568"/>
      <c r="G1700" s="1819">
        <v>0.61260000000000003</v>
      </c>
      <c r="H1700" s="1489"/>
      <c r="I1700" s="1489"/>
    </row>
    <row r="1701" spans="1:24" s="1370" customFormat="1" x14ac:dyDescent="0.2">
      <c r="A1701" s="1384">
        <v>43610</v>
      </c>
      <c r="B1701" s="1639" t="s">
        <v>2416</v>
      </c>
      <c r="C1701" s="1639" t="s">
        <v>2417</v>
      </c>
      <c r="D1701" s="1733">
        <v>2.297453703703704E-2</v>
      </c>
      <c r="E1701" s="1489" t="s">
        <v>12725</v>
      </c>
      <c r="F1701" s="1489" t="s">
        <v>12750</v>
      </c>
      <c r="G1701" s="1815">
        <v>0.61260000000000003</v>
      </c>
      <c r="H1701" s="1489"/>
      <c r="I1701" s="1489"/>
      <c r="L1701" s="80"/>
      <c r="M1701" s="80"/>
      <c r="N1701" s="80"/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</row>
    <row r="1702" spans="1:24" s="1370" customFormat="1" x14ac:dyDescent="0.2">
      <c r="A1702" s="1384">
        <v>43575</v>
      </c>
      <c r="B1702" s="1639" t="s">
        <v>2416</v>
      </c>
      <c r="C1702" s="1639" t="s">
        <v>2417</v>
      </c>
      <c r="D1702" s="1733">
        <v>2.1597222222222223E-2</v>
      </c>
      <c r="E1702" s="1489" t="s">
        <v>12498</v>
      </c>
      <c r="F1702" s="1489" t="s">
        <v>12504</v>
      </c>
      <c r="G1702" s="1815">
        <v>0.64200000000000002</v>
      </c>
      <c r="H1702" s="1489"/>
      <c r="I1702" s="1489"/>
    </row>
    <row r="1703" spans="1:24" s="1370" customFormat="1" x14ac:dyDescent="0.2">
      <c r="A1703" s="1384">
        <v>43568</v>
      </c>
      <c r="B1703" s="1639" t="s">
        <v>2416</v>
      </c>
      <c r="C1703" s="1639" t="s">
        <v>2417</v>
      </c>
      <c r="D1703" s="1733">
        <v>1.5196759259259259E-2</v>
      </c>
      <c r="E1703" s="1489" t="s">
        <v>12361</v>
      </c>
      <c r="F1703" s="1489" t="s">
        <v>12368</v>
      </c>
      <c r="G1703" s="1815">
        <v>0.62619999999999998</v>
      </c>
      <c r="H1703" s="1489"/>
      <c r="I1703" s="1489"/>
    </row>
    <row r="1704" spans="1:24" s="1370" customFormat="1" x14ac:dyDescent="0.2">
      <c r="A1704" s="1384">
        <v>43561</v>
      </c>
      <c r="B1704" s="1639" t="s">
        <v>2416</v>
      </c>
      <c r="C1704" s="1639" t="s">
        <v>2417</v>
      </c>
      <c r="D1704" s="1733">
        <v>2.2280092592592591E-2</v>
      </c>
      <c r="E1704" s="1489" t="s">
        <v>12348</v>
      </c>
      <c r="F1704" s="1489" t="s">
        <v>12342</v>
      </c>
      <c r="G1704" s="1815">
        <v>0.62229999999999996</v>
      </c>
      <c r="H1704" s="1489"/>
      <c r="I1704" s="1489"/>
    </row>
    <row r="1705" spans="1:24" s="1370" customFormat="1" x14ac:dyDescent="0.2">
      <c r="A1705" s="1384">
        <v>43554</v>
      </c>
      <c r="B1705" s="1639" t="s">
        <v>2416</v>
      </c>
      <c r="C1705" s="1639" t="s">
        <v>2417</v>
      </c>
      <c r="D1705" s="1733">
        <v>2.238425925925926E-2</v>
      </c>
      <c r="E1705" s="1489" t="s">
        <v>12242</v>
      </c>
      <c r="F1705" s="1489" t="s">
        <v>12241</v>
      </c>
      <c r="G1705" s="1815">
        <v>0.61939999999999995</v>
      </c>
      <c r="H1705" s="1489"/>
      <c r="I1705" s="1489"/>
    </row>
    <row r="1706" spans="1:24" s="1370" customFormat="1" x14ac:dyDescent="0.2">
      <c r="A1706" s="1384">
        <v>43547</v>
      </c>
      <c r="B1706" s="1639" t="s">
        <v>2416</v>
      </c>
      <c r="C1706" s="1639" t="s">
        <v>2417</v>
      </c>
      <c r="D1706" s="1733">
        <v>2.1921296296296296E-2</v>
      </c>
      <c r="E1706" s="1489" t="s">
        <v>12192</v>
      </c>
      <c r="F1706" s="1489" t="s">
        <v>12191</v>
      </c>
      <c r="G1706" s="1815">
        <v>0.63249999999999995</v>
      </c>
      <c r="H1706" s="1489"/>
      <c r="I1706" s="1489"/>
    </row>
    <row r="1707" spans="1:24" s="1370" customFormat="1" x14ac:dyDescent="0.2">
      <c r="A1707" s="1384">
        <v>43540</v>
      </c>
      <c r="B1707" s="1639" t="s">
        <v>2416</v>
      </c>
      <c r="C1707" s="1639" t="s">
        <v>2417</v>
      </c>
      <c r="D1707" s="1733">
        <v>2.3738425925925923E-2</v>
      </c>
      <c r="E1707" s="1489" t="s">
        <v>12090</v>
      </c>
      <c r="F1707" s="1489" t="s">
        <v>12140</v>
      </c>
      <c r="G1707" s="1815">
        <v>0.58409999999999995</v>
      </c>
      <c r="H1707" s="1489"/>
      <c r="I1707" s="1489"/>
    </row>
    <row r="1708" spans="1:24" s="1370" customFormat="1" x14ac:dyDescent="0.2">
      <c r="A1708" s="1384">
        <v>43533</v>
      </c>
      <c r="B1708" s="1639" t="s">
        <v>2416</v>
      </c>
      <c r="C1708" s="1639" t="s">
        <v>2417</v>
      </c>
      <c r="D1708" s="1733">
        <v>2.2627314814814819E-2</v>
      </c>
      <c r="E1708" s="1489" t="s">
        <v>12067</v>
      </c>
      <c r="F1708" s="1489" t="s">
        <v>12145</v>
      </c>
      <c r="G1708" s="1815">
        <v>0.61280000000000001</v>
      </c>
      <c r="H1708" s="1489"/>
      <c r="I1708" s="1489"/>
    </row>
    <row r="1709" spans="1:24" s="1370" customFormat="1" x14ac:dyDescent="0.2">
      <c r="A1709" s="1384">
        <v>43519</v>
      </c>
      <c r="B1709" s="1639" t="s">
        <v>2416</v>
      </c>
      <c r="C1709" s="1639" t="s">
        <v>2417</v>
      </c>
      <c r="D1709" s="1733">
        <v>2.1782407407407407E-2</v>
      </c>
      <c r="E1709" s="1489" t="s">
        <v>4727</v>
      </c>
      <c r="F1709" s="1489" t="s">
        <v>11886</v>
      </c>
      <c r="G1709" s="1815">
        <v>0.63660000000000005</v>
      </c>
      <c r="H1709" s="1489"/>
      <c r="I1709" s="1489"/>
    </row>
    <row r="1710" spans="1:24" s="1370" customFormat="1" x14ac:dyDescent="0.2">
      <c r="A1710" s="1384">
        <v>43491</v>
      </c>
      <c r="B1710" s="1639" t="s">
        <v>2416</v>
      </c>
      <c r="C1710" s="1639" t="s">
        <v>2417</v>
      </c>
      <c r="D1710" s="1733">
        <v>2.2592592592592591E-2</v>
      </c>
      <c r="E1710" s="1489" t="s">
        <v>4727</v>
      </c>
      <c r="F1710" s="1545" t="s">
        <v>11700</v>
      </c>
      <c r="G1710" s="1815">
        <v>0.61370000000000002</v>
      </c>
      <c r="H1710" s="1489"/>
      <c r="I1710" s="1489"/>
    </row>
    <row r="1711" spans="1:24" s="1370" customFormat="1" x14ac:dyDescent="0.2">
      <c r="A1711" s="1384">
        <v>43484</v>
      </c>
      <c r="B1711" s="1639" t="s">
        <v>2416</v>
      </c>
      <c r="C1711" s="1639" t="s">
        <v>2417</v>
      </c>
      <c r="D1711" s="1733">
        <v>2.1527777777777781E-2</v>
      </c>
      <c r="E1711" s="1489" t="s">
        <v>10622</v>
      </c>
      <c r="F1711" s="1489" t="s">
        <v>11578</v>
      </c>
      <c r="G1711" s="1815">
        <v>0.64410000000000001</v>
      </c>
      <c r="H1711" s="1489"/>
      <c r="I1711" s="1489"/>
    </row>
    <row r="1712" spans="1:24" s="1370" customFormat="1" x14ac:dyDescent="0.2">
      <c r="A1712" s="1384">
        <v>43477</v>
      </c>
      <c r="B1712" s="1639" t="s">
        <v>2416</v>
      </c>
      <c r="C1712" s="1639" t="s">
        <v>2417</v>
      </c>
      <c r="D1712" s="1733">
        <v>2.297453703703704E-2</v>
      </c>
      <c r="E1712" s="1489" t="s">
        <v>4727</v>
      </c>
      <c r="F1712" s="1489" t="s">
        <v>11582</v>
      </c>
      <c r="G1712" s="1815">
        <v>0.60350000000000004</v>
      </c>
      <c r="H1712" s="1489"/>
      <c r="I1712" s="1489"/>
    </row>
    <row r="1713" spans="1:24" s="1370" customFormat="1" x14ac:dyDescent="0.2">
      <c r="A1713" s="1384">
        <v>43470</v>
      </c>
      <c r="B1713" s="1639" t="s">
        <v>2416</v>
      </c>
      <c r="C1713" s="1639" t="s">
        <v>2417</v>
      </c>
      <c r="D1713" s="1733">
        <v>2.238425925925926E-2</v>
      </c>
      <c r="E1713" s="1489" t="s">
        <v>5653</v>
      </c>
      <c r="F1713" s="1489" t="s">
        <v>11583</v>
      </c>
      <c r="G1713" s="1815">
        <v>0.62939999999999996</v>
      </c>
      <c r="H1713" s="1489"/>
      <c r="I1713" s="1489"/>
    </row>
    <row r="1714" spans="1:24" s="1370" customFormat="1" x14ac:dyDescent="0.2">
      <c r="A1714" s="1384">
        <v>43231</v>
      </c>
      <c r="B1714" s="1639" t="s">
        <v>2416</v>
      </c>
      <c r="C1714" s="1639" t="s">
        <v>2417</v>
      </c>
      <c r="D1714" s="1733">
        <v>2.1909722222222223E-2</v>
      </c>
      <c r="E1714" s="1489" t="s">
        <v>12539</v>
      </c>
      <c r="F1714" s="1489" t="s">
        <v>12540</v>
      </c>
      <c r="G1714" s="1815">
        <v>0.60709999999999997</v>
      </c>
      <c r="H1714" s="1489"/>
      <c r="I1714" s="1489"/>
      <c r="L1714" s="80"/>
      <c r="M1714" s="80"/>
      <c r="N1714" s="80"/>
      <c r="O1714" s="80"/>
      <c r="P1714" s="80"/>
      <c r="Q1714" s="80"/>
      <c r="R1714" s="80"/>
      <c r="S1714" s="80"/>
      <c r="T1714" s="80"/>
      <c r="U1714" s="80"/>
      <c r="V1714" s="80"/>
      <c r="W1714" s="80"/>
      <c r="X1714" s="80"/>
    </row>
    <row r="1715" spans="1:24" s="1370" customFormat="1" x14ac:dyDescent="0.2">
      <c r="A1715" s="1729">
        <v>43827</v>
      </c>
      <c r="B1715" s="1489" t="s">
        <v>866</v>
      </c>
      <c r="C1715" s="1489" t="s">
        <v>2417</v>
      </c>
      <c r="D1715" s="1621">
        <v>2.1608796296296296E-2</v>
      </c>
      <c r="E1715" s="1489" t="s">
        <v>16429</v>
      </c>
      <c r="F1715" s="1489" t="s">
        <v>16472</v>
      </c>
      <c r="G1715" s="1817">
        <v>0.53879999999999995</v>
      </c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1370" customFormat="1" x14ac:dyDescent="0.2">
      <c r="A1716" s="34">
        <v>43824</v>
      </c>
      <c r="B1716" s="1489" t="s">
        <v>866</v>
      </c>
      <c r="C1716" s="1489" t="s">
        <v>2417</v>
      </c>
      <c r="D1716" s="1621">
        <v>1.9166666666666669E-2</v>
      </c>
      <c r="E1716" s="1489" t="s">
        <v>2635</v>
      </c>
      <c r="F1716" s="1489" t="s">
        <v>16402</v>
      </c>
      <c r="G1716" s="1817">
        <v>0.60750000000000004</v>
      </c>
      <c r="H1716" s="1404"/>
      <c r="I1716" s="80" t="s">
        <v>16392</v>
      </c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1370" customFormat="1" x14ac:dyDescent="0.2">
      <c r="A1717" s="1673">
        <v>43820</v>
      </c>
      <c r="B1717" s="1489" t="s">
        <v>866</v>
      </c>
      <c r="C1717" s="1489" t="s">
        <v>2417</v>
      </c>
      <c r="D1717" s="1777">
        <v>2.267361111111111E-2</v>
      </c>
      <c r="E1717" s="80" t="s">
        <v>16323</v>
      </c>
      <c r="F1717"/>
      <c r="G1717" s="314">
        <v>0.51349999999999996</v>
      </c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1370" customFormat="1" x14ac:dyDescent="0.2">
      <c r="A1718" s="1765">
        <v>43813</v>
      </c>
      <c r="B1718" s="1489" t="s">
        <v>866</v>
      </c>
      <c r="C1718" s="1489" t="s">
        <v>2417</v>
      </c>
      <c r="D1718" s="1621">
        <v>2.165509259259259E-2</v>
      </c>
      <c r="E1718" s="1489" t="s">
        <v>16274</v>
      </c>
      <c r="F1718" s="1489" t="s">
        <v>16295</v>
      </c>
      <c r="G1718" s="1817">
        <v>0.53769999999999996</v>
      </c>
      <c r="H1718" s="1404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1370" customFormat="1" x14ac:dyDescent="0.2">
      <c r="A1719" s="34">
        <v>43806</v>
      </c>
      <c r="B1719" s="1489" t="s">
        <v>866</v>
      </c>
      <c r="C1719" s="1489" t="s">
        <v>2417</v>
      </c>
      <c r="D1719" s="1621">
        <v>2.2569444444444444E-2</v>
      </c>
      <c r="E1719" s="1489" t="s">
        <v>16216</v>
      </c>
      <c r="F1719" s="1404"/>
      <c r="G1719" s="1817">
        <v>0.51590000000000003</v>
      </c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1370" customFormat="1" x14ac:dyDescent="0.2">
      <c r="A1720" s="523">
        <v>43799</v>
      </c>
      <c r="B1720" s="1489" t="s">
        <v>866</v>
      </c>
      <c r="C1720" s="1489" t="s">
        <v>2417</v>
      </c>
      <c r="D1720" s="1621">
        <v>1.8402777777777778E-2</v>
      </c>
      <c r="E1720" s="1489" t="s">
        <v>4727</v>
      </c>
      <c r="F1720" s="1489" t="s">
        <v>16202</v>
      </c>
      <c r="G1720" s="1817">
        <v>0.63270000000000004</v>
      </c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1370" customFormat="1" x14ac:dyDescent="0.2">
      <c r="A1721" s="1751">
        <v>43792</v>
      </c>
      <c r="B1721" s="1489" t="s">
        <v>866</v>
      </c>
      <c r="C1721" s="1489" t="s">
        <v>2417</v>
      </c>
      <c r="D1721" s="1786">
        <v>2.2800925925925926E-2</v>
      </c>
      <c r="E1721" s="1489" t="s">
        <v>16082</v>
      </c>
      <c r="F1721" s="1404"/>
      <c r="G1721" s="1817">
        <v>0.51070000000000004</v>
      </c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ht="12.75" customHeight="1" x14ac:dyDescent="0.2">
      <c r="A1722" s="1673">
        <v>43785</v>
      </c>
      <c r="B1722" s="1489" t="s">
        <v>866</v>
      </c>
      <c r="C1722" s="1489" t="s">
        <v>2417</v>
      </c>
      <c r="D1722" s="1674">
        <v>2.133101851851852E-2</v>
      </c>
      <c r="E1722" s="80" t="s">
        <v>16026</v>
      </c>
      <c r="F1722" s="80" t="s">
        <v>16055</v>
      </c>
      <c r="G1722" s="314">
        <v>0.54579999999999995</v>
      </c>
    </row>
    <row r="1723" spans="1:24" ht="12.75" customHeight="1" x14ac:dyDescent="0.2">
      <c r="A1723" s="1384">
        <v>43778</v>
      </c>
      <c r="B1723" s="1489" t="s">
        <v>866</v>
      </c>
      <c r="C1723" s="1489" t="s">
        <v>2417</v>
      </c>
      <c r="D1723" s="1744">
        <v>2.5104166666666664E-2</v>
      </c>
      <c r="E1723" s="1723" t="s">
        <v>15962</v>
      </c>
      <c r="F1723" s="1723" t="s">
        <v>15980</v>
      </c>
      <c r="G1723" s="1820">
        <v>0.46379999999999999</v>
      </c>
      <c r="H1723" s="1370"/>
      <c r="I1723" s="1370"/>
      <c r="J1723" s="1370"/>
      <c r="K1723" s="1370"/>
      <c r="L1723" s="1370"/>
      <c r="M1723" s="1370"/>
      <c r="N1723" s="1370"/>
      <c r="O1723" s="1370"/>
      <c r="P1723" s="1370"/>
      <c r="Q1723" s="1370"/>
      <c r="R1723" s="1370"/>
      <c r="S1723" s="1370"/>
      <c r="T1723" s="1370"/>
      <c r="U1723" s="1370"/>
      <c r="V1723" s="1370"/>
      <c r="W1723" s="1370"/>
      <c r="X1723" s="1370"/>
    </row>
    <row r="1724" spans="1:24" s="1370" customFormat="1" x14ac:dyDescent="0.2">
      <c r="A1724" s="1384">
        <v>43771</v>
      </c>
      <c r="B1724" s="1489" t="s">
        <v>866</v>
      </c>
      <c r="C1724" s="1489" t="s">
        <v>2417</v>
      </c>
      <c r="D1724" s="1737">
        <v>2.3287037037037037E-2</v>
      </c>
      <c r="E1724" s="1489" t="s">
        <v>15889</v>
      </c>
      <c r="F1724" s="1489" t="s">
        <v>15878</v>
      </c>
      <c r="G1724" s="1815">
        <v>0.5</v>
      </c>
    </row>
    <row r="1725" spans="1:24" s="1370" customFormat="1" x14ac:dyDescent="0.2">
      <c r="A1725" s="1729">
        <v>43736</v>
      </c>
      <c r="B1725" s="1489" t="s">
        <v>866</v>
      </c>
      <c r="C1725" s="1489" t="s">
        <v>2417</v>
      </c>
      <c r="D1725" s="1686">
        <v>2.2442129629629635E-2</v>
      </c>
      <c r="E1725" s="1489" t="s">
        <v>15644</v>
      </c>
      <c r="F1725" s="1489" t="s">
        <v>15674</v>
      </c>
      <c r="G1725" s="1815">
        <v>0.51880000000000004</v>
      </c>
      <c r="H1725" s="80"/>
      <c r="I1725" s="80"/>
      <c r="J1725" s="80"/>
      <c r="K1725" s="80"/>
    </row>
    <row r="1726" spans="1:24" x14ac:dyDescent="0.2">
      <c r="A1726" s="1729">
        <v>43729</v>
      </c>
      <c r="B1726" s="1489" t="s">
        <v>866</v>
      </c>
      <c r="C1726" s="1489" t="s">
        <v>2417</v>
      </c>
      <c r="D1726" s="1686">
        <v>2.2719907407407411E-2</v>
      </c>
      <c r="E1726" s="1489" t="s">
        <v>15566</v>
      </c>
      <c r="F1726" s="1489" t="s">
        <v>15592</v>
      </c>
      <c r="G1726" s="1815">
        <v>0.51249999999999996</v>
      </c>
      <c r="H1726" s="80"/>
      <c r="I1726" s="80"/>
      <c r="J1726" s="80"/>
      <c r="K1726" s="80"/>
      <c r="L1726" s="80"/>
      <c r="M1726" s="80"/>
      <c r="N1726" s="80"/>
      <c r="O1726" s="80"/>
      <c r="P1726" s="80"/>
      <c r="Q1726" s="80"/>
      <c r="R1726" s="80"/>
      <c r="S1726" s="80"/>
      <c r="T1726" s="80"/>
      <c r="U1726" s="80"/>
      <c r="V1726" s="80"/>
      <c r="W1726" s="80"/>
      <c r="X1726" s="80"/>
    </row>
    <row r="1727" spans="1:24" x14ac:dyDescent="0.2">
      <c r="A1727" s="523">
        <v>43722</v>
      </c>
      <c r="B1727" s="1489" t="s">
        <v>866</v>
      </c>
      <c r="C1727" s="1489" t="s">
        <v>2417</v>
      </c>
      <c r="D1727" s="1686">
        <v>2.2534722222222227E-2</v>
      </c>
      <c r="E1727" s="1489" t="s">
        <v>15473</v>
      </c>
      <c r="F1727" s="1489"/>
      <c r="G1727" s="1815">
        <v>0.51670000000000005</v>
      </c>
      <c r="H1727" s="80"/>
      <c r="I1727" s="80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</row>
    <row r="1728" spans="1:24" x14ac:dyDescent="0.2">
      <c r="A1728" s="1526">
        <v>43708</v>
      </c>
      <c r="B1728" s="1489" t="s">
        <v>866</v>
      </c>
      <c r="C1728" s="1489" t="s">
        <v>2417</v>
      </c>
      <c r="D1728" s="1686">
        <v>2.1481481481481483E-2</v>
      </c>
      <c r="E1728" s="1489" t="s">
        <v>15378</v>
      </c>
      <c r="F1728" s="1489" t="s">
        <v>15393</v>
      </c>
      <c r="G1728" s="1815">
        <v>0.54200000000000004</v>
      </c>
      <c r="H1728" s="1514"/>
      <c r="I1728" s="80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</row>
    <row r="1729" spans="1:24" x14ac:dyDescent="0.2">
      <c r="A1729" s="1526">
        <v>43701</v>
      </c>
      <c r="B1729" s="1489" t="s">
        <v>866</v>
      </c>
      <c r="C1729" s="1489" t="s">
        <v>2417</v>
      </c>
      <c r="D1729" s="1686">
        <v>2.1516203703703704E-2</v>
      </c>
      <c r="E1729" s="1489" t="s">
        <v>15287</v>
      </c>
      <c r="F1729" s="1489" t="s">
        <v>15295</v>
      </c>
      <c r="G1729" s="1815">
        <v>0.54120000000000001</v>
      </c>
      <c r="H1729" s="1514"/>
      <c r="I1729" s="80"/>
      <c r="J1729" s="80"/>
      <c r="K1729" s="80"/>
      <c r="L1729" s="1370"/>
      <c r="M1729" s="1370"/>
      <c r="N1729" s="1370"/>
      <c r="O1729" s="1370"/>
      <c r="P1729" s="1370"/>
      <c r="Q1729" s="1370"/>
      <c r="R1729" s="1370"/>
      <c r="S1729" s="1370"/>
      <c r="T1729" s="1370"/>
      <c r="U1729" s="1370"/>
      <c r="V1729" s="1370"/>
      <c r="W1729" s="1370"/>
      <c r="X1729" s="1370"/>
    </row>
    <row r="1730" spans="1:24" x14ac:dyDescent="0.2">
      <c r="A1730" s="523">
        <v>43694</v>
      </c>
      <c r="B1730" s="1489" t="s">
        <v>866</v>
      </c>
      <c r="C1730" s="1489" t="s">
        <v>2417</v>
      </c>
      <c r="D1730" s="1733">
        <v>2.164351851851852E-2</v>
      </c>
      <c r="E1730" s="1489" t="s">
        <v>15157</v>
      </c>
      <c r="F1730" s="1489" t="s">
        <v>15202</v>
      </c>
      <c r="G1730" s="1815">
        <v>0.53800000000000003</v>
      </c>
      <c r="H1730" s="80"/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  <c r="U1730" s="80"/>
      <c r="V1730" s="80"/>
      <c r="W1730" s="80"/>
      <c r="X1730" s="80"/>
    </row>
    <row r="1731" spans="1:24" x14ac:dyDescent="0.2">
      <c r="A1731" s="1384">
        <v>43680</v>
      </c>
      <c r="B1731" s="1489" t="s">
        <v>866</v>
      </c>
      <c r="C1731" s="1489" t="s">
        <v>2417</v>
      </c>
      <c r="D1731" s="1686">
        <v>1.8275462962962962E-2</v>
      </c>
      <c r="E1731" s="1489" t="s">
        <v>13362</v>
      </c>
      <c r="F1731" s="1489" t="s">
        <v>13386</v>
      </c>
      <c r="G1731" s="1815">
        <v>0.6371</v>
      </c>
      <c r="H1731" s="80"/>
      <c r="I1731" s="1514"/>
      <c r="J1731" s="80"/>
      <c r="K1731" s="80"/>
      <c r="L1731" s="80"/>
      <c r="M1731" s="80"/>
      <c r="N1731" s="80"/>
      <c r="O1731" s="80"/>
      <c r="P1731" s="80"/>
      <c r="Q1731" s="80"/>
      <c r="R1731" s="80"/>
      <c r="S1731" s="80"/>
      <c r="T1731" s="80"/>
      <c r="U1731" s="80"/>
      <c r="V1731" s="80"/>
      <c r="W1731" s="80"/>
      <c r="X1731" s="80"/>
    </row>
    <row r="1732" spans="1:24" x14ac:dyDescent="0.2">
      <c r="A1732" s="1384">
        <v>43673</v>
      </c>
      <c r="B1732" s="1489" t="s">
        <v>866</v>
      </c>
      <c r="C1732" s="1489" t="s">
        <v>2417</v>
      </c>
      <c r="D1732" s="1686">
        <v>2.3090277777777779E-2</v>
      </c>
      <c r="E1732" s="1489" t="s">
        <v>13285</v>
      </c>
      <c r="F1732" s="1489" t="s">
        <v>13337</v>
      </c>
      <c r="G1732" s="1815">
        <v>0.50429999999999997</v>
      </c>
      <c r="H1732" s="1514"/>
      <c r="I1732" s="1514"/>
      <c r="J1732" s="80"/>
      <c r="K1732" s="80"/>
      <c r="L1732" s="1370"/>
      <c r="M1732" s="1370"/>
      <c r="N1732" s="1370"/>
      <c r="O1732" s="1370"/>
      <c r="P1732" s="1370"/>
      <c r="Q1732" s="1370"/>
      <c r="R1732" s="1370"/>
      <c r="S1732" s="1370"/>
      <c r="T1732" s="1370"/>
      <c r="U1732" s="1370"/>
      <c r="V1732" s="1370"/>
      <c r="W1732" s="1370"/>
      <c r="X1732" s="1370"/>
    </row>
    <row r="1733" spans="1:24" x14ac:dyDescent="0.2">
      <c r="A1733" s="523">
        <v>43666</v>
      </c>
      <c r="B1733" s="1489" t="s">
        <v>866</v>
      </c>
      <c r="C1733" s="1489" t="s">
        <v>2417</v>
      </c>
      <c r="D1733" s="1686">
        <v>2.3113425925925923E-2</v>
      </c>
      <c r="E1733" s="1489" t="s">
        <v>13198</v>
      </c>
      <c r="F1733" s="1489" t="s">
        <v>13226</v>
      </c>
      <c r="G1733" s="1815">
        <v>0.50380000000000003</v>
      </c>
      <c r="H1733" s="80"/>
      <c r="I1733" s="1514"/>
      <c r="J1733" s="80"/>
      <c r="K1733" s="80"/>
      <c r="L1733" s="1370"/>
      <c r="M1733" s="1370"/>
      <c r="N1733" s="1370"/>
      <c r="O1733" s="1370"/>
      <c r="P1733" s="1370"/>
      <c r="Q1733" s="1370"/>
      <c r="R1733" s="1370"/>
      <c r="S1733" s="1370"/>
      <c r="T1733" s="1370"/>
      <c r="U1733" s="1370"/>
      <c r="V1733" s="1370"/>
      <c r="W1733" s="1370"/>
      <c r="X1733" s="1370"/>
    </row>
    <row r="1734" spans="1:24" x14ac:dyDescent="0.2">
      <c r="A1734" s="523">
        <v>43659</v>
      </c>
      <c r="B1734" s="1489" t="s">
        <v>866</v>
      </c>
      <c r="C1734" s="1489" t="s">
        <v>2417</v>
      </c>
      <c r="D1734" s="1686">
        <v>2.3321759259259261E-2</v>
      </c>
      <c r="E1734" s="1489" t="s">
        <v>13144</v>
      </c>
      <c r="F1734" s="1489"/>
      <c r="G1734" s="1815">
        <v>0.49930000000000002</v>
      </c>
      <c r="H1734" s="1514"/>
      <c r="I1734" s="1489"/>
      <c r="J1734" s="80"/>
      <c r="K1734" s="80"/>
      <c r="L1734" s="80"/>
      <c r="M1734" s="80"/>
      <c r="N1734" s="80"/>
      <c r="O1734" s="80"/>
      <c r="P1734" s="80"/>
      <c r="Q1734" s="80"/>
      <c r="R1734" s="80"/>
      <c r="S1734" s="80"/>
      <c r="T1734" s="80"/>
      <c r="U1734" s="80"/>
      <c r="V1734" s="80"/>
      <c r="W1734" s="80"/>
      <c r="X1734" s="80"/>
    </row>
    <row r="1735" spans="1:24" x14ac:dyDescent="0.2">
      <c r="A1735" s="523">
        <v>43652</v>
      </c>
      <c r="B1735" s="1489" t="s">
        <v>866</v>
      </c>
      <c r="C1735" s="1489" t="s">
        <v>2417</v>
      </c>
      <c r="D1735" s="1686">
        <v>2.2233796296296297E-2</v>
      </c>
      <c r="E1735" s="1489" t="s">
        <v>13077</v>
      </c>
      <c r="F1735" s="1489" t="s">
        <v>13106</v>
      </c>
      <c r="G1735" s="1815">
        <v>0.52370000000000005</v>
      </c>
      <c r="H1735" s="1489"/>
      <c r="I1735" s="1489"/>
      <c r="J1735" s="1489"/>
      <c r="K1735" s="80"/>
      <c r="L1735" s="1370"/>
      <c r="M1735" s="1370"/>
      <c r="N1735" s="1370"/>
      <c r="O1735" s="1370"/>
      <c r="P1735" s="1370"/>
      <c r="Q1735" s="1370"/>
      <c r="R1735" s="1370"/>
      <c r="S1735" s="1370"/>
      <c r="T1735" s="1370"/>
      <c r="U1735" s="1370"/>
      <c r="V1735" s="1370"/>
      <c r="W1735" s="1370"/>
      <c r="X1735" s="1370"/>
    </row>
    <row r="1736" spans="1:24" x14ac:dyDescent="0.2">
      <c r="A1736" s="523">
        <v>43645</v>
      </c>
      <c r="B1736" s="1489" t="s">
        <v>866</v>
      </c>
      <c r="C1736" s="1489" t="s">
        <v>2417</v>
      </c>
      <c r="D1736" s="1686">
        <v>1.8344907407407407E-2</v>
      </c>
      <c r="E1736" s="1514" t="s">
        <v>13036</v>
      </c>
      <c r="F1736" s="1514"/>
      <c r="G1736" s="1815">
        <v>0.63470000000000004</v>
      </c>
      <c r="H1736" s="1514"/>
      <c r="I1736" s="1514"/>
      <c r="J1736" s="80"/>
      <c r="K1736" s="80"/>
      <c r="L1736" s="1370"/>
      <c r="M1736" s="1370"/>
      <c r="N1736" s="1370"/>
      <c r="O1736" s="1370"/>
      <c r="P1736" s="1370"/>
      <c r="Q1736" s="1370"/>
      <c r="R1736" s="1370"/>
      <c r="S1736" s="1370"/>
      <c r="T1736" s="1370"/>
      <c r="U1736" s="1370"/>
      <c r="V1736" s="1370"/>
      <c r="W1736" s="1370"/>
      <c r="X1736" s="1370"/>
    </row>
    <row r="1737" spans="1:24" x14ac:dyDescent="0.2">
      <c r="A1737" s="523">
        <v>43638</v>
      </c>
      <c r="B1737" s="1489" t="s">
        <v>866</v>
      </c>
      <c r="C1737" s="1489" t="s">
        <v>2417</v>
      </c>
      <c r="D1737" s="1835">
        <v>2.1006944444444443E-2</v>
      </c>
      <c r="E1737" s="1569" t="s">
        <v>12987</v>
      </c>
      <c r="F1737" s="1569" t="s">
        <v>2629</v>
      </c>
      <c r="G1737" s="1818">
        <v>0.55430000000000001</v>
      </c>
      <c r="H1737" s="1514"/>
      <c r="I1737" s="1514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</row>
    <row r="1738" spans="1:24" x14ac:dyDescent="0.2">
      <c r="A1738" s="523">
        <v>43631</v>
      </c>
      <c r="B1738" s="1489" t="s">
        <v>866</v>
      </c>
      <c r="C1738" s="1489" t="s">
        <v>2417</v>
      </c>
      <c r="D1738" s="1835">
        <v>2.297453703703704E-2</v>
      </c>
      <c r="E1738" s="1569" t="s">
        <v>12928</v>
      </c>
      <c r="F1738" s="1624"/>
      <c r="G1738" s="1818">
        <v>0.50680000000000003</v>
      </c>
      <c r="H1738" s="1514"/>
      <c r="I1738" s="1514"/>
      <c r="J1738" s="80"/>
      <c r="K1738" s="80"/>
      <c r="L1738" s="80"/>
      <c r="M1738" s="80"/>
      <c r="N1738" s="80"/>
      <c r="O1738" s="80"/>
      <c r="P1738" s="80"/>
      <c r="Q1738" s="80"/>
      <c r="R1738" s="80"/>
      <c r="S1738" s="80"/>
      <c r="T1738" s="80"/>
      <c r="U1738" s="80"/>
      <c r="V1738" s="80"/>
      <c r="W1738" s="80"/>
      <c r="X1738" s="80"/>
    </row>
    <row r="1739" spans="1:24" x14ac:dyDescent="0.2">
      <c r="A1739" s="523">
        <v>43624</v>
      </c>
      <c r="B1739" s="1489" t="s">
        <v>866</v>
      </c>
      <c r="C1739" s="1489" t="s">
        <v>2417</v>
      </c>
      <c r="D1739" s="1835">
        <v>1.8449074074074073E-2</v>
      </c>
      <c r="E1739" s="1569" t="s">
        <v>12855</v>
      </c>
      <c r="F1739" s="1569" t="s">
        <v>12864</v>
      </c>
      <c r="G1739" s="1818">
        <v>0.63109999999999999</v>
      </c>
      <c r="H1739" s="1514"/>
      <c r="I1739" s="1514"/>
      <c r="J1739" s="80"/>
      <c r="K1739" s="80"/>
      <c r="L1739" s="80"/>
      <c r="M1739" s="80"/>
      <c r="N1739" s="80"/>
      <c r="O1739" s="80"/>
      <c r="P1739" s="80"/>
      <c r="Q1739" s="80"/>
      <c r="R1739" s="80"/>
      <c r="S1739" s="80"/>
      <c r="T1739" s="80"/>
      <c r="U1739" s="80"/>
      <c r="V1739" s="80"/>
      <c r="W1739" s="80"/>
      <c r="X1739" s="80"/>
    </row>
    <row r="1740" spans="1:24" x14ac:dyDescent="0.2">
      <c r="A1740" s="1384">
        <v>43617</v>
      </c>
      <c r="B1740" s="1489" t="s">
        <v>866</v>
      </c>
      <c r="C1740" s="1489" t="s">
        <v>2417</v>
      </c>
      <c r="D1740" s="1836">
        <v>2.297453703703704E-2</v>
      </c>
      <c r="E1740" s="1568" t="s">
        <v>12816</v>
      </c>
      <c r="F1740" s="1568"/>
      <c r="G1740" s="1819">
        <v>0.50680000000000003</v>
      </c>
      <c r="H1740" s="1489"/>
      <c r="I1740" s="1489"/>
      <c r="J1740" s="1370"/>
      <c r="K1740" s="1370"/>
      <c r="L1740" s="80"/>
      <c r="M1740" s="80"/>
      <c r="N1740" s="80"/>
      <c r="O1740" s="80"/>
      <c r="P1740" s="80"/>
      <c r="Q1740" s="80"/>
      <c r="R1740" s="80"/>
      <c r="S1740" s="80"/>
      <c r="T1740" s="80"/>
      <c r="U1740" s="80"/>
      <c r="V1740" s="80"/>
      <c r="W1740" s="80"/>
      <c r="X1740" s="80"/>
    </row>
    <row r="1741" spans="1:24" x14ac:dyDescent="0.2">
      <c r="A1741" s="1384">
        <v>43610</v>
      </c>
      <c r="B1741" s="1489" t="s">
        <v>866</v>
      </c>
      <c r="C1741" s="1489" t="s">
        <v>2417</v>
      </c>
      <c r="D1741" s="1733">
        <v>2.297453703703704E-2</v>
      </c>
      <c r="E1741" s="1489" t="s">
        <v>12725</v>
      </c>
      <c r="F1741" s="1489" t="s">
        <v>12751</v>
      </c>
      <c r="G1741" s="1815">
        <v>0.50680000000000003</v>
      </c>
      <c r="H1741" s="1489"/>
      <c r="I1741" s="1489"/>
      <c r="J1741" s="1370"/>
      <c r="K1741" s="1370"/>
      <c r="L1741" s="80"/>
      <c r="M1741" s="80"/>
      <c r="N1741" s="80"/>
      <c r="O1741" s="80"/>
      <c r="P1741" s="80"/>
      <c r="Q1741" s="80"/>
      <c r="R1741" s="80"/>
      <c r="S1741" s="80"/>
      <c r="T1741" s="80"/>
      <c r="U1741" s="80"/>
      <c r="V1741" s="80"/>
      <c r="W1741" s="80"/>
      <c r="X1741" s="80"/>
    </row>
    <row r="1742" spans="1:24" x14ac:dyDescent="0.2">
      <c r="A1742" s="1384">
        <v>43596</v>
      </c>
      <c r="B1742" s="1489" t="s">
        <v>866</v>
      </c>
      <c r="C1742" s="1489" t="s">
        <v>2417</v>
      </c>
      <c r="D1742" s="1733">
        <v>2.1967592592592594E-2</v>
      </c>
      <c r="E1742" s="1489" t="s">
        <v>12539</v>
      </c>
      <c r="F1742" s="1489" t="s">
        <v>12537</v>
      </c>
      <c r="G1742" s="1815">
        <v>0.53</v>
      </c>
      <c r="H1742" s="1489"/>
      <c r="I1742" s="1489"/>
      <c r="J1742" s="1370"/>
      <c r="K1742" s="1370"/>
      <c r="L1742" s="80"/>
      <c r="M1742" s="80"/>
      <c r="N1742" s="80"/>
      <c r="O1742" s="80"/>
      <c r="P1742" s="80"/>
      <c r="Q1742" s="80"/>
      <c r="R1742" s="80"/>
      <c r="S1742" s="80"/>
      <c r="T1742" s="80"/>
      <c r="U1742" s="80"/>
      <c r="V1742" s="80"/>
      <c r="W1742" s="80"/>
      <c r="X1742" s="80"/>
    </row>
    <row r="1743" spans="1:24" x14ac:dyDescent="0.2">
      <c r="A1743" s="1384">
        <v>43589</v>
      </c>
      <c r="B1743" s="1489" t="s">
        <v>866</v>
      </c>
      <c r="C1743" s="1489" t="s">
        <v>2417</v>
      </c>
      <c r="D1743" s="1733">
        <v>1.8136574074074072E-2</v>
      </c>
      <c r="E1743" s="1489" t="s">
        <v>12541</v>
      </c>
      <c r="F1743" s="1489" t="s">
        <v>12538</v>
      </c>
      <c r="G1743" s="1815">
        <v>0.64200000000000002</v>
      </c>
      <c r="H1743" s="1489"/>
      <c r="I1743" s="1489"/>
      <c r="J1743" s="1370"/>
      <c r="K1743" s="1370"/>
      <c r="L1743" s="80"/>
      <c r="M1743" s="80"/>
      <c r="N1743" s="80"/>
      <c r="O1743" s="80"/>
      <c r="P1743" s="80"/>
      <c r="Q1743" s="80"/>
      <c r="R1743" s="80"/>
      <c r="S1743" s="80"/>
      <c r="T1743" s="80"/>
      <c r="U1743" s="80"/>
      <c r="V1743" s="80"/>
      <c r="W1743" s="80"/>
      <c r="X1743" s="80"/>
    </row>
    <row r="1744" spans="1:24" x14ac:dyDescent="0.2">
      <c r="A1744" s="1384">
        <v>43575</v>
      </c>
      <c r="B1744" s="1489" t="s">
        <v>866</v>
      </c>
      <c r="C1744" s="1489" t="s">
        <v>2417</v>
      </c>
      <c r="D1744" s="1733">
        <v>2.1597222222222223E-2</v>
      </c>
      <c r="E1744" s="1489" t="s">
        <v>12498</v>
      </c>
      <c r="F1744" s="1489" t="s">
        <v>12505</v>
      </c>
      <c r="G1744" s="1815">
        <v>0.53910000000000002</v>
      </c>
      <c r="H1744" s="1489"/>
      <c r="I1744" s="1489"/>
      <c r="J1744" s="1370"/>
      <c r="K1744" s="1370"/>
      <c r="L1744" s="1370"/>
      <c r="M1744" s="1370"/>
      <c r="N1744" s="1370"/>
      <c r="O1744" s="1370"/>
      <c r="P1744" s="1370"/>
      <c r="Q1744" s="1370"/>
      <c r="R1744" s="1370"/>
      <c r="S1744" s="1370"/>
      <c r="T1744" s="1370"/>
      <c r="U1744" s="1370"/>
      <c r="V1744" s="1370"/>
      <c r="W1744" s="1370"/>
      <c r="X1744" s="1370"/>
    </row>
    <row r="1745" spans="1:24" x14ac:dyDescent="0.2">
      <c r="A1745" s="1384">
        <v>43568</v>
      </c>
      <c r="B1745" s="1489" t="s">
        <v>866</v>
      </c>
      <c r="C1745" s="1489" t="s">
        <v>2417</v>
      </c>
      <c r="D1745" s="1733">
        <v>1.5208333333333332E-2</v>
      </c>
      <c r="E1745" s="1489" t="s">
        <v>12361</v>
      </c>
      <c r="F1745" s="1489" t="s">
        <v>12369</v>
      </c>
      <c r="G1745" s="1815">
        <v>0.52559999999999996</v>
      </c>
      <c r="H1745" s="1489"/>
      <c r="I1745" s="1489"/>
      <c r="J1745" s="1370"/>
      <c r="K1745" s="1370"/>
      <c r="L1745" s="1370"/>
      <c r="M1745" s="1370"/>
      <c r="N1745" s="1370"/>
      <c r="O1745" s="1370"/>
      <c r="P1745" s="1370"/>
      <c r="Q1745" s="1370"/>
      <c r="R1745" s="1370"/>
      <c r="S1745" s="1370"/>
      <c r="T1745" s="1370"/>
      <c r="U1745" s="1370"/>
      <c r="V1745" s="1370"/>
      <c r="W1745" s="1370"/>
      <c r="X1745" s="1370"/>
    </row>
    <row r="1746" spans="1:24" x14ac:dyDescent="0.2">
      <c r="A1746" s="1384">
        <v>43561</v>
      </c>
      <c r="B1746" s="1489" t="s">
        <v>866</v>
      </c>
      <c r="C1746" s="1489" t="s">
        <v>2417</v>
      </c>
      <c r="D1746" s="1733">
        <v>2.2337962962962962E-2</v>
      </c>
      <c r="E1746" s="1489" t="s">
        <v>12348</v>
      </c>
      <c r="F1746" s="1489" t="s">
        <v>12343</v>
      </c>
      <c r="G1746" s="1815">
        <v>0.5212</v>
      </c>
      <c r="H1746" s="1489"/>
      <c r="I1746" s="1489"/>
      <c r="J1746" s="1370"/>
      <c r="K1746" s="1370"/>
      <c r="L1746" s="1370"/>
      <c r="M1746" s="1370"/>
      <c r="N1746" s="1370"/>
      <c r="O1746" s="1370"/>
      <c r="P1746" s="1370"/>
      <c r="Q1746" s="1370"/>
      <c r="R1746" s="1370"/>
      <c r="S1746" s="1370"/>
      <c r="T1746" s="1370"/>
      <c r="U1746" s="1370"/>
      <c r="V1746" s="1370"/>
      <c r="W1746" s="1370"/>
      <c r="X1746" s="1370"/>
    </row>
    <row r="1747" spans="1:24" x14ac:dyDescent="0.2">
      <c r="A1747" s="1384">
        <v>43554</v>
      </c>
      <c r="B1747" s="1489" t="s">
        <v>866</v>
      </c>
      <c r="C1747" s="1489" t="s">
        <v>2417</v>
      </c>
      <c r="D1747" s="1733">
        <v>2.238425925925926E-2</v>
      </c>
      <c r="E1747" s="1489" t="s">
        <v>12242</v>
      </c>
      <c r="F1747" s="1489" t="s">
        <v>12243</v>
      </c>
      <c r="G1747" s="1815">
        <v>0.5202</v>
      </c>
      <c r="H1747" s="1489"/>
      <c r="I1747" s="1489"/>
      <c r="J1747" s="1370"/>
      <c r="K1747" s="1370"/>
      <c r="L1747" s="1370"/>
      <c r="M1747" s="1370"/>
      <c r="N1747" s="1370"/>
      <c r="O1747" s="1370"/>
      <c r="P1747" s="1370"/>
      <c r="Q1747" s="1370"/>
      <c r="R1747" s="1370"/>
      <c r="S1747" s="1370"/>
      <c r="T1747" s="1370"/>
      <c r="U1747" s="1370"/>
      <c r="V1747" s="1370"/>
      <c r="W1747" s="1370"/>
      <c r="X1747" s="1370"/>
    </row>
    <row r="1748" spans="1:24" x14ac:dyDescent="0.2">
      <c r="A1748" s="1384">
        <v>43547</v>
      </c>
      <c r="B1748" s="1489" t="s">
        <v>866</v>
      </c>
      <c r="C1748" s="1489" t="s">
        <v>2417</v>
      </c>
      <c r="D1748" s="1733">
        <v>2.2013888888888888E-2</v>
      </c>
      <c r="E1748" s="1489" t="s">
        <v>12192</v>
      </c>
      <c r="F1748" s="1489" t="s">
        <v>12193</v>
      </c>
      <c r="G1748" s="1815">
        <v>0.52890000000000004</v>
      </c>
      <c r="H1748" s="1489"/>
      <c r="I1748" s="1489"/>
      <c r="J1748" s="1370"/>
      <c r="K1748" s="1370"/>
      <c r="L1748" s="1370"/>
      <c r="M1748" s="1370"/>
      <c r="N1748" s="1370"/>
      <c r="O1748" s="1370"/>
      <c r="P1748" s="1370"/>
      <c r="Q1748" s="1370"/>
      <c r="R1748" s="1370"/>
      <c r="S1748" s="1370"/>
      <c r="T1748" s="1370"/>
      <c r="U1748" s="1370"/>
      <c r="V1748" s="1370"/>
      <c r="W1748" s="1370"/>
      <c r="X1748" s="1370"/>
    </row>
    <row r="1749" spans="1:24" x14ac:dyDescent="0.2">
      <c r="A1749" s="1384">
        <v>43540</v>
      </c>
      <c r="B1749" s="1489" t="s">
        <v>866</v>
      </c>
      <c r="C1749" s="1489" t="s">
        <v>2417</v>
      </c>
      <c r="D1749" s="1733">
        <v>2.3750000000000004E-2</v>
      </c>
      <c r="E1749" s="1489" t="s">
        <v>12090</v>
      </c>
      <c r="F1749" s="1489" t="s">
        <v>12141</v>
      </c>
      <c r="G1749" s="1815">
        <v>0.49030000000000001</v>
      </c>
      <c r="H1749" s="1489"/>
      <c r="I1749" s="1489"/>
      <c r="J1749" s="1370"/>
      <c r="K1749" s="1370"/>
      <c r="L1749" s="1370"/>
      <c r="M1749" s="1370"/>
      <c r="N1749" s="1370"/>
      <c r="O1749" s="1370"/>
      <c r="P1749" s="1370"/>
      <c r="Q1749" s="1370"/>
      <c r="R1749" s="1370"/>
      <c r="S1749" s="1370"/>
      <c r="T1749" s="1370"/>
      <c r="U1749" s="1370"/>
      <c r="V1749" s="1370"/>
      <c r="W1749" s="1370"/>
      <c r="X1749" s="1370"/>
    </row>
    <row r="1750" spans="1:24" x14ac:dyDescent="0.2">
      <c r="A1750" s="1384">
        <v>43533</v>
      </c>
      <c r="B1750" s="1489" t="s">
        <v>866</v>
      </c>
      <c r="C1750" s="1489" t="s">
        <v>2417</v>
      </c>
      <c r="D1750" s="1733">
        <v>2.2650462962962966E-2</v>
      </c>
      <c r="E1750" s="1489" t="s">
        <v>12067</v>
      </c>
      <c r="F1750" s="1489" t="s">
        <v>12145</v>
      </c>
      <c r="G1750" s="1815">
        <v>0.5141</v>
      </c>
      <c r="H1750" s="1489"/>
      <c r="I1750" s="1489"/>
      <c r="J1750" s="1370"/>
      <c r="K1750" s="1370"/>
      <c r="L1750" s="1370"/>
      <c r="M1750" s="1370"/>
      <c r="N1750" s="1370"/>
      <c r="O1750" s="1370"/>
      <c r="P1750" s="1370"/>
      <c r="Q1750" s="1370"/>
      <c r="R1750" s="1370"/>
      <c r="S1750" s="1370"/>
      <c r="T1750" s="1370"/>
      <c r="U1750" s="1370"/>
      <c r="V1750" s="1370"/>
      <c r="W1750" s="1370"/>
      <c r="X1750" s="1370"/>
    </row>
    <row r="1751" spans="1:24" x14ac:dyDescent="0.2">
      <c r="A1751" s="1384">
        <v>43526</v>
      </c>
      <c r="B1751" s="1489" t="s">
        <v>866</v>
      </c>
      <c r="C1751" s="1489" t="s">
        <v>2417</v>
      </c>
      <c r="D1751" s="1733">
        <v>1.8043981481481484E-2</v>
      </c>
      <c r="E1751" s="1489" t="s">
        <v>11966</v>
      </c>
      <c r="F1751" s="1489" t="s">
        <v>11960</v>
      </c>
      <c r="G1751" s="1815">
        <v>0.64529999999999998</v>
      </c>
      <c r="H1751" s="1489"/>
      <c r="I1751" s="1489"/>
      <c r="J1751" s="1370"/>
      <c r="K1751" s="1370"/>
      <c r="L1751" s="1370"/>
      <c r="M1751" s="1370"/>
      <c r="N1751" s="1370"/>
      <c r="O1751" s="1370"/>
      <c r="P1751" s="1370"/>
      <c r="Q1751" s="1370"/>
      <c r="R1751" s="1370"/>
      <c r="S1751" s="1370"/>
      <c r="T1751" s="1370"/>
      <c r="U1751" s="1370"/>
      <c r="V1751" s="1370"/>
      <c r="W1751" s="1370"/>
      <c r="X1751" s="1370"/>
    </row>
    <row r="1752" spans="1:24" x14ac:dyDescent="0.2">
      <c r="A1752" s="1384">
        <v>43519</v>
      </c>
      <c r="B1752" s="1489" t="s">
        <v>866</v>
      </c>
      <c r="C1752" s="1489" t="s">
        <v>2417</v>
      </c>
      <c r="D1752" s="1733">
        <v>2.1782407407407407E-2</v>
      </c>
      <c r="E1752" s="1489" t="s">
        <v>4727</v>
      </c>
      <c r="F1752" s="1489" t="s">
        <v>11887</v>
      </c>
      <c r="G1752" s="1815">
        <v>0.53449999999999998</v>
      </c>
      <c r="H1752" s="1489"/>
      <c r="I1752" s="1489"/>
      <c r="J1752" s="1370"/>
      <c r="K1752" s="1370"/>
      <c r="L1752" s="80"/>
      <c r="M1752" s="80"/>
      <c r="N1752" s="80"/>
      <c r="O1752" s="80"/>
      <c r="P1752" s="80"/>
      <c r="Q1752" s="80"/>
      <c r="R1752" s="80"/>
      <c r="S1752" s="80"/>
      <c r="T1752" s="80"/>
      <c r="U1752" s="80"/>
      <c r="V1752" s="80"/>
      <c r="W1752" s="80"/>
      <c r="X1752" s="80"/>
    </row>
    <row r="1753" spans="1:24" x14ac:dyDescent="0.2">
      <c r="A1753" s="1384">
        <v>43491</v>
      </c>
      <c r="B1753" s="1489" t="s">
        <v>866</v>
      </c>
      <c r="C1753" s="1489" t="s">
        <v>2417</v>
      </c>
      <c r="D1753" s="1733">
        <v>2.2673611111111113E-2</v>
      </c>
      <c r="E1753" s="1489" t="s">
        <v>4727</v>
      </c>
      <c r="F1753" s="1545" t="s">
        <v>11701</v>
      </c>
      <c r="G1753" s="1815">
        <v>0.50890000000000002</v>
      </c>
      <c r="H1753" s="1489"/>
      <c r="I1753" s="1489"/>
      <c r="J1753" s="1370"/>
      <c r="K1753" s="1370"/>
      <c r="L1753" s="80"/>
      <c r="M1753" s="80"/>
      <c r="N1753" s="80"/>
      <c r="O1753" s="80"/>
      <c r="P1753" s="80"/>
      <c r="Q1753" s="80"/>
      <c r="R1753" s="80"/>
      <c r="S1753" s="80"/>
      <c r="T1753" s="80"/>
      <c r="U1753" s="80"/>
      <c r="V1753" s="80"/>
      <c r="W1753" s="80"/>
      <c r="X1753" s="80"/>
    </row>
    <row r="1754" spans="1:24" x14ac:dyDescent="0.2">
      <c r="A1754" s="1384">
        <v>43484</v>
      </c>
      <c r="B1754" s="1489" t="s">
        <v>866</v>
      </c>
      <c r="C1754" s="1489" t="s">
        <v>2417</v>
      </c>
      <c r="D1754" s="1733">
        <v>2.1539351851851851E-2</v>
      </c>
      <c r="E1754" s="1489" t="s">
        <v>10622</v>
      </c>
      <c r="F1754" s="1489" t="s">
        <v>11579</v>
      </c>
      <c r="G1754" s="1815">
        <v>0.53569999999999995</v>
      </c>
      <c r="H1754" s="1489"/>
      <c r="I1754" s="1489"/>
      <c r="J1754" s="1370"/>
      <c r="K1754" s="1370"/>
      <c r="L1754" s="80"/>
      <c r="M1754" s="80"/>
      <c r="N1754" s="80"/>
      <c r="O1754" s="80"/>
      <c r="P1754" s="80"/>
      <c r="Q1754" s="80"/>
      <c r="R1754" s="80"/>
      <c r="S1754" s="80"/>
      <c r="T1754" s="80"/>
      <c r="U1754" s="80"/>
      <c r="V1754" s="80"/>
      <c r="W1754" s="80"/>
      <c r="X1754" s="80"/>
    </row>
    <row r="1755" spans="1:24" x14ac:dyDescent="0.2">
      <c r="A1755" s="1384">
        <v>43477</v>
      </c>
      <c r="B1755" s="1489" t="s">
        <v>866</v>
      </c>
      <c r="C1755" s="1489" t="s">
        <v>2417</v>
      </c>
      <c r="D1755" s="1733">
        <v>2.298611111111111E-2</v>
      </c>
      <c r="E1755" s="1489" t="s">
        <v>4727</v>
      </c>
      <c r="F1755" s="1489" t="s">
        <v>11580</v>
      </c>
      <c r="G1755" s="1815">
        <v>0.502</v>
      </c>
      <c r="H1755" s="1489"/>
      <c r="I1755" s="1489"/>
      <c r="J1755" s="1370"/>
      <c r="K1755" s="1370"/>
      <c r="L1755" s="1370"/>
      <c r="M1755" s="1370"/>
      <c r="N1755" s="1370"/>
      <c r="O1755" s="1370"/>
      <c r="P1755" s="1370"/>
      <c r="Q1755" s="1370"/>
      <c r="R1755" s="1370"/>
      <c r="S1755" s="1370"/>
      <c r="T1755" s="1370"/>
      <c r="U1755" s="1370"/>
      <c r="V1755" s="1370"/>
      <c r="W1755" s="1370"/>
      <c r="X1755" s="1370"/>
    </row>
    <row r="1756" spans="1:24" x14ac:dyDescent="0.2">
      <c r="A1756" s="1384">
        <v>43470</v>
      </c>
      <c r="B1756" s="1489" t="s">
        <v>866</v>
      </c>
      <c r="C1756" s="1489" t="s">
        <v>2417</v>
      </c>
      <c r="D1756" s="1733">
        <v>2.2395833333333334E-2</v>
      </c>
      <c r="E1756" s="1489" t="s">
        <v>5653</v>
      </c>
      <c r="F1756" s="1489" t="s">
        <v>11581</v>
      </c>
      <c r="G1756" s="1815">
        <v>0.51519999999999999</v>
      </c>
      <c r="H1756" s="1489"/>
      <c r="I1756" s="1489"/>
      <c r="J1756" s="1370"/>
      <c r="K1756" s="1370"/>
      <c r="L1756" s="80"/>
      <c r="M1756" s="80"/>
      <c r="N1756" s="80"/>
      <c r="O1756" s="80"/>
      <c r="P1756" s="80"/>
      <c r="Q1756" s="80"/>
      <c r="R1756" s="80"/>
      <c r="S1756" s="80"/>
      <c r="T1756" s="80"/>
      <c r="U1756" s="80"/>
      <c r="V1756" s="80"/>
      <c r="W1756" s="80"/>
      <c r="X1756" s="80"/>
    </row>
    <row r="1757" spans="1:24" x14ac:dyDescent="0.2">
      <c r="A1757" s="1384">
        <v>43582</v>
      </c>
      <c r="B1757" s="1626" t="s">
        <v>4893</v>
      </c>
      <c r="C1757" s="1626" t="s">
        <v>4894</v>
      </c>
      <c r="D1757" s="1733">
        <v>1.4374999999999999E-2</v>
      </c>
      <c r="E1757" s="1489" t="s">
        <v>5456</v>
      </c>
      <c r="F1757" s="1489" t="s">
        <v>12624</v>
      </c>
      <c r="G1757" s="1815">
        <v>0.76170000000000004</v>
      </c>
      <c r="H1757" s="1489"/>
      <c r="I1757" s="1489" t="s">
        <v>12625</v>
      </c>
      <c r="J1757" s="1370"/>
      <c r="K1757" s="1370"/>
      <c r="L1757" s="1370"/>
      <c r="M1757" s="1370"/>
      <c r="N1757" s="1370"/>
      <c r="O1757" s="1370"/>
      <c r="P1757" s="1370"/>
      <c r="Q1757" s="1370"/>
      <c r="R1757" s="1370"/>
      <c r="S1757" s="1370"/>
      <c r="T1757" s="1370"/>
      <c r="U1757" s="1370"/>
      <c r="V1757" s="1370"/>
      <c r="W1757" s="1370"/>
      <c r="X1757" s="1370"/>
    </row>
    <row r="1758" spans="1:24" x14ac:dyDescent="0.2">
      <c r="A1758" s="1384">
        <v>43575</v>
      </c>
      <c r="B1758" s="1626" t="s">
        <v>4893</v>
      </c>
      <c r="C1758" s="1626" t="s">
        <v>4894</v>
      </c>
      <c r="D1758" s="1733">
        <v>1.5763888888888886E-2</v>
      </c>
      <c r="E1758" s="1489" t="s">
        <v>12466</v>
      </c>
      <c r="F1758" s="1489" t="s">
        <v>12494</v>
      </c>
      <c r="G1758" s="1815">
        <v>0.68869999999999998</v>
      </c>
      <c r="H1758" s="1489"/>
      <c r="I1758" s="1489"/>
      <c r="J1758" s="1370"/>
      <c r="K1758" s="1370"/>
      <c r="L1758" s="80"/>
      <c r="M1758" s="80"/>
      <c r="N1758" s="80"/>
      <c r="O1758" s="80"/>
      <c r="P1758" s="80"/>
      <c r="Q1758" s="80"/>
      <c r="R1758" s="80"/>
      <c r="S1758" s="80"/>
      <c r="T1758" s="80"/>
      <c r="U1758" s="80"/>
      <c r="V1758" s="80"/>
      <c r="W1758" s="80"/>
      <c r="X1758" s="80"/>
    </row>
    <row r="1759" spans="1:24" x14ac:dyDescent="0.2">
      <c r="A1759" s="1384">
        <v>43519</v>
      </c>
      <c r="B1759" s="1626" t="s">
        <v>4893</v>
      </c>
      <c r="C1759" s="1626" t="s">
        <v>4894</v>
      </c>
      <c r="D1759" s="1733">
        <v>1.6979166666666667E-2</v>
      </c>
      <c r="E1759" s="1489" t="s">
        <v>5456</v>
      </c>
      <c r="F1759" s="1489" t="s">
        <v>11888</v>
      </c>
      <c r="G1759" s="1815">
        <v>0.63939999999999997</v>
      </c>
      <c r="H1759" s="1489"/>
      <c r="I1759" s="1489"/>
      <c r="J1759" s="1370"/>
      <c r="K1759" s="1370"/>
      <c r="L1759" s="80"/>
      <c r="M1759" s="80"/>
      <c r="N1759" s="80"/>
      <c r="O1759" s="80"/>
      <c r="P1759" s="80"/>
      <c r="Q1759" s="80"/>
      <c r="R1759" s="80"/>
      <c r="S1759" s="80"/>
      <c r="T1759" s="80"/>
      <c r="U1759" s="80"/>
      <c r="V1759" s="80"/>
      <c r="W1759" s="80"/>
      <c r="X1759" s="80"/>
    </row>
    <row r="1760" spans="1:24" x14ac:dyDescent="0.2">
      <c r="A1760" s="1384">
        <v>43498</v>
      </c>
      <c r="B1760" s="1626" t="s">
        <v>4893</v>
      </c>
      <c r="C1760" s="1626" t="s">
        <v>4894</v>
      </c>
      <c r="D1760" s="1733">
        <v>1.5127314814814816E-2</v>
      </c>
      <c r="E1760" s="1489" t="s">
        <v>5456</v>
      </c>
      <c r="F1760" s="1489" t="s">
        <v>11744</v>
      </c>
      <c r="G1760" s="1815">
        <v>0.7177</v>
      </c>
      <c r="H1760" s="1489"/>
      <c r="I1760" s="1489"/>
      <c r="J1760" s="1370"/>
      <c r="K1760" s="1370"/>
      <c r="L1760" s="1370"/>
      <c r="M1760" s="1370"/>
      <c r="N1760" s="1370"/>
      <c r="O1760" s="1370"/>
      <c r="P1760" s="1370"/>
      <c r="Q1760" s="1370"/>
      <c r="R1760" s="1370"/>
      <c r="S1760" s="1370"/>
      <c r="T1760" s="1370"/>
      <c r="U1760" s="1370"/>
      <c r="V1760" s="1370"/>
      <c r="W1760" s="1370"/>
      <c r="X1760" s="1370"/>
    </row>
    <row r="1761" spans="1:24" x14ac:dyDescent="0.2">
      <c r="A1761" s="34">
        <v>43824</v>
      </c>
      <c r="B1761" s="1489" t="s">
        <v>3543</v>
      </c>
      <c r="C1761" s="1489" t="s">
        <v>6122</v>
      </c>
      <c r="D1761" s="1621">
        <v>1.3113425925925926E-2</v>
      </c>
      <c r="E1761" s="1489" t="s">
        <v>16372</v>
      </c>
      <c r="F1761" s="1489" t="s">
        <v>16390</v>
      </c>
      <c r="G1761" s="1817">
        <v>0.68310000000000004</v>
      </c>
      <c r="H1761" s="1489" t="s">
        <v>16389</v>
      </c>
    </row>
    <row r="1762" spans="1:24" x14ac:dyDescent="0.2">
      <c r="A1762" s="1673">
        <v>43820</v>
      </c>
      <c r="B1762" s="1489" t="s">
        <v>3543</v>
      </c>
      <c r="C1762" s="1489" t="s">
        <v>6122</v>
      </c>
      <c r="D1762" s="1777">
        <v>1.3275462962962965E-2</v>
      </c>
      <c r="E1762" s="80" t="s">
        <v>16308</v>
      </c>
      <c r="F1762" s="80" t="s">
        <v>16331</v>
      </c>
      <c r="G1762" s="314">
        <v>0.67479999999999996</v>
      </c>
    </row>
    <row r="1763" spans="1:24" x14ac:dyDescent="0.2">
      <c r="A1763" s="1765">
        <v>43813</v>
      </c>
      <c r="B1763" s="1489" t="s">
        <v>3543</v>
      </c>
      <c r="C1763" s="1489" t="s">
        <v>6122</v>
      </c>
      <c r="D1763" s="1621">
        <v>1.4421296296296295E-2</v>
      </c>
      <c r="E1763" s="1489" t="s">
        <v>16261</v>
      </c>
      <c r="F1763" s="1404" t="s">
        <v>16300</v>
      </c>
      <c r="G1763" s="1817">
        <v>0.62119999999999997</v>
      </c>
      <c r="H1763" s="1404"/>
      <c r="I1763" s="1489" t="s">
        <v>1212</v>
      </c>
    </row>
    <row r="1764" spans="1:24" x14ac:dyDescent="0.2">
      <c r="A1764" s="34">
        <v>43806</v>
      </c>
      <c r="B1764" s="1489" t="s">
        <v>3543</v>
      </c>
      <c r="C1764" s="1489" t="s">
        <v>6122</v>
      </c>
      <c r="D1764" s="1621">
        <v>1.3657407407407408E-2</v>
      </c>
      <c r="E1764" s="1489" t="s">
        <v>16207</v>
      </c>
      <c r="F1764" s="1404"/>
      <c r="G1764" s="1817">
        <v>0.65590000000000004</v>
      </c>
    </row>
    <row r="1765" spans="1:24" x14ac:dyDescent="0.2">
      <c r="A1765" s="1729">
        <v>43799</v>
      </c>
      <c r="B1765" s="1489" t="s">
        <v>3543</v>
      </c>
      <c r="C1765" s="1489" t="s">
        <v>6122</v>
      </c>
      <c r="D1765" s="1674">
        <v>1.4560185185185183E-2</v>
      </c>
      <c r="E1765" t="s">
        <v>16145</v>
      </c>
      <c r="F1765" s="80" t="s">
        <v>16192</v>
      </c>
      <c r="G1765" s="314">
        <v>0.61529999999999996</v>
      </c>
    </row>
    <row r="1766" spans="1:24" x14ac:dyDescent="0.2">
      <c r="A1766" s="1751">
        <v>43792</v>
      </c>
      <c r="B1766" s="1489" t="s">
        <v>3543</v>
      </c>
      <c r="C1766" s="1489" t="s">
        <v>6122</v>
      </c>
      <c r="D1766" s="1786">
        <v>1.3668981481481482E-2</v>
      </c>
      <c r="E1766" s="1489" t="s">
        <v>16080</v>
      </c>
      <c r="F1766" s="1489" t="s">
        <v>16119</v>
      </c>
      <c r="G1766" s="1817">
        <v>0.65539999999999998</v>
      </c>
    </row>
    <row r="1767" spans="1:24" x14ac:dyDescent="0.2">
      <c r="A1767" s="1673">
        <v>43785</v>
      </c>
      <c r="B1767" s="1489" t="s">
        <v>3543</v>
      </c>
      <c r="C1767" s="1489" t="s">
        <v>6122</v>
      </c>
      <c r="D1767" s="1674">
        <v>1.3634259259259259E-2</v>
      </c>
      <c r="E1767" s="80" t="s">
        <v>15993</v>
      </c>
      <c r="F1767" s="80" t="s">
        <v>16052</v>
      </c>
      <c r="G1767" s="314">
        <v>0.65700000000000003</v>
      </c>
    </row>
    <row r="1768" spans="1:24" x14ac:dyDescent="0.2">
      <c r="A1768" s="1384">
        <v>43778</v>
      </c>
      <c r="B1768" s="1489" t="s">
        <v>3543</v>
      </c>
      <c r="C1768" s="1489" t="s">
        <v>6122</v>
      </c>
      <c r="D1768" s="1725">
        <v>1.3923611111111112E-2</v>
      </c>
      <c r="E1768" s="1726" t="s">
        <v>15959</v>
      </c>
      <c r="F1768" s="1723" t="s">
        <v>6211</v>
      </c>
      <c r="G1768" s="1820">
        <v>0.64339999999999997</v>
      </c>
      <c r="H1768" s="1370"/>
      <c r="I1768" s="1370"/>
      <c r="J1768" s="1370"/>
      <c r="K1768" s="1370"/>
      <c r="L1768" s="1370"/>
      <c r="M1768" s="1370"/>
      <c r="N1768" s="1370"/>
      <c r="O1768" s="1370"/>
      <c r="P1768" s="1370"/>
      <c r="Q1768" s="1370"/>
      <c r="R1768" s="1370"/>
      <c r="S1768" s="1370"/>
      <c r="T1768" s="1370"/>
      <c r="U1768" s="1370"/>
      <c r="V1768" s="1370"/>
      <c r="W1768" s="1370"/>
      <c r="X1768" s="1370"/>
    </row>
    <row r="1769" spans="1:24" x14ac:dyDescent="0.2">
      <c r="A1769" s="1384">
        <v>43771</v>
      </c>
      <c r="B1769" s="1489" t="s">
        <v>3543</v>
      </c>
      <c r="C1769" s="1489" t="s">
        <v>6122</v>
      </c>
      <c r="D1769" s="1731">
        <v>1.3738425925925926E-2</v>
      </c>
      <c r="E1769" s="1370" t="s">
        <v>15896</v>
      </c>
      <c r="F1769" s="1370" t="s">
        <v>15942</v>
      </c>
      <c r="G1769" s="1816">
        <v>0.65210000000000001</v>
      </c>
      <c r="H1769" s="1370"/>
      <c r="I1769" s="1370"/>
      <c r="J1769" s="1370"/>
      <c r="K1769" s="1370"/>
      <c r="L1769" s="1370"/>
      <c r="M1769" s="1370"/>
      <c r="N1769" s="1370"/>
      <c r="O1769" s="1370"/>
      <c r="P1769" s="1370"/>
      <c r="Q1769" s="1370"/>
      <c r="R1769" s="1370"/>
      <c r="S1769" s="1370"/>
      <c r="T1769" s="1370"/>
      <c r="U1769" s="1370"/>
      <c r="V1769" s="1370"/>
      <c r="W1769" s="1370"/>
      <c r="X1769" s="1370"/>
    </row>
    <row r="1770" spans="1:24" x14ac:dyDescent="0.2">
      <c r="A1770" s="1384">
        <v>43764</v>
      </c>
      <c r="B1770" s="1489" t="s">
        <v>3543</v>
      </c>
      <c r="C1770" s="1489" t="s">
        <v>6122</v>
      </c>
      <c r="D1770" s="1727">
        <v>1.3680555555555555E-2</v>
      </c>
      <c r="E1770" s="1728" t="s">
        <v>15918</v>
      </c>
      <c r="F1770" s="1728" t="s">
        <v>15928</v>
      </c>
      <c r="G1770" s="1821">
        <v>0.65480000000000005</v>
      </c>
      <c r="H1770" s="1370"/>
      <c r="I1770" s="1370"/>
      <c r="J1770" s="1370"/>
      <c r="K1770" s="1370"/>
      <c r="L1770" s="1370"/>
      <c r="M1770" s="1370"/>
      <c r="N1770" s="1370"/>
      <c r="O1770" s="1370"/>
      <c r="P1770" s="1370"/>
      <c r="Q1770" s="1370"/>
      <c r="R1770" s="1370"/>
      <c r="S1770" s="1370"/>
      <c r="T1770" s="1370"/>
      <c r="U1770" s="1370"/>
      <c r="V1770" s="1370"/>
      <c r="W1770" s="1370"/>
      <c r="X1770" s="1370"/>
    </row>
    <row r="1771" spans="1:24" x14ac:dyDescent="0.2">
      <c r="A1771" s="523">
        <v>43750</v>
      </c>
      <c r="B1771" s="1489" t="s">
        <v>3543</v>
      </c>
      <c r="C1771" s="1489" t="s">
        <v>6122</v>
      </c>
      <c r="D1771" s="1686" t="s">
        <v>787</v>
      </c>
      <c r="E1771" s="1489" t="s">
        <v>12510</v>
      </c>
      <c r="F1771" s="1489" t="s">
        <v>5508</v>
      </c>
      <c r="G1771" s="1815"/>
      <c r="H1771" s="80"/>
      <c r="I1771" s="80"/>
      <c r="J1771" s="80"/>
      <c r="K1771" s="80"/>
      <c r="L1771" s="1370"/>
      <c r="M1771" s="1370"/>
      <c r="N1771" s="1370"/>
      <c r="O1771" s="1370"/>
      <c r="P1771" s="1370"/>
      <c r="Q1771" s="1370"/>
      <c r="R1771" s="1370"/>
      <c r="S1771" s="1370"/>
      <c r="T1771" s="1370"/>
      <c r="U1771" s="1370"/>
      <c r="V1771" s="1370"/>
      <c r="W1771" s="1370"/>
      <c r="X1771" s="1370"/>
    </row>
    <row r="1772" spans="1:24" x14ac:dyDescent="0.2">
      <c r="A1772" s="1729">
        <v>43743</v>
      </c>
      <c r="B1772" s="1489" t="s">
        <v>3543</v>
      </c>
      <c r="C1772" s="1489" t="s">
        <v>6122</v>
      </c>
      <c r="D1772" s="1731">
        <v>1.3356481481481481E-2</v>
      </c>
      <c r="E1772" s="80" t="s">
        <v>15707</v>
      </c>
      <c r="F1772" s="80" t="s">
        <v>15738</v>
      </c>
      <c r="G1772" s="317">
        <v>0.67069999999999996</v>
      </c>
      <c r="H1772" s="80"/>
      <c r="I1772" s="80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</row>
    <row r="1773" spans="1:24" x14ac:dyDescent="0.2">
      <c r="A1773" s="1729">
        <v>43736</v>
      </c>
      <c r="B1773" s="1489" t="s">
        <v>3543</v>
      </c>
      <c r="C1773" s="1489" t="s">
        <v>6122</v>
      </c>
      <c r="D1773" s="1686">
        <v>1.4525462962962964E-2</v>
      </c>
      <c r="E1773" s="1489" t="s">
        <v>15631</v>
      </c>
      <c r="F1773" s="1489" t="s">
        <v>15653</v>
      </c>
      <c r="G1773" s="1815">
        <v>0.61670000000000003</v>
      </c>
      <c r="H1773" s="80"/>
      <c r="I1773" s="80"/>
      <c r="J1773" s="80"/>
      <c r="K1773" s="80"/>
      <c r="L1773" s="80"/>
      <c r="M1773" s="80"/>
      <c r="N1773" s="80"/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</row>
    <row r="1774" spans="1:24" x14ac:dyDescent="0.2">
      <c r="A1774" s="523">
        <v>43722</v>
      </c>
      <c r="B1774" s="1489" t="s">
        <v>3543</v>
      </c>
      <c r="C1774" s="1489" t="s">
        <v>6122</v>
      </c>
      <c r="D1774" s="1686">
        <v>1.34375E-2</v>
      </c>
      <c r="E1774" s="1489" t="s">
        <v>15476</v>
      </c>
      <c r="F1774" s="1489" t="s">
        <v>15522</v>
      </c>
      <c r="G1774" s="1815">
        <v>0.66669999999999996</v>
      </c>
      <c r="H1774" s="80"/>
      <c r="I1774" s="1514"/>
      <c r="J1774" s="80"/>
      <c r="K1774" s="80"/>
      <c r="L1774" s="1370"/>
      <c r="M1774" s="1370"/>
      <c r="N1774" s="1370"/>
      <c r="O1774" s="1370"/>
      <c r="P1774" s="1370"/>
      <c r="Q1774" s="1370"/>
      <c r="R1774" s="1370"/>
      <c r="S1774" s="1370"/>
      <c r="T1774" s="1370"/>
      <c r="U1774" s="1370"/>
      <c r="V1774" s="1370"/>
      <c r="W1774" s="1370"/>
      <c r="X1774" s="1370"/>
    </row>
    <row r="1775" spans="1:24" x14ac:dyDescent="0.2">
      <c r="A1775" s="523">
        <v>43708</v>
      </c>
      <c r="B1775" s="1489" t="s">
        <v>3543</v>
      </c>
      <c r="C1775" s="1489" t="s">
        <v>6122</v>
      </c>
      <c r="D1775" s="1686" t="s">
        <v>787</v>
      </c>
      <c r="E1775" s="1489" t="s">
        <v>5883</v>
      </c>
      <c r="F1775" s="1489" t="s">
        <v>4061</v>
      </c>
      <c r="G1775" s="1815"/>
      <c r="H1775" s="80"/>
      <c r="I1775" s="80"/>
      <c r="J1775" s="80"/>
      <c r="K1775" s="80"/>
      <c r="L1775" s="1370"/>
      <c r="M1775" s="1370"/>
      <c r="N1775" s="1370"/>
      <c r="O1775" s="1370"/>
      <c r="P1775" s="1370"/>
      <c r="Q1775" s="1370"/>
      <c r="R1775" s="1370"/>
      <c r="S1775" s="1370"/>
      <c r="T1775" s="1370"/>
      <c r="U1775" s="1370"/>
      <c r="V1775" s="1370"/>
      <c r="W1775" s="1370"/>
      <c r="X1775" s="1370"/>
    </row>
    <row r="1776" spans="1:24" x14ac:dyDescent="0.2">
      <c r="A1776" s="523">
        <v>43694</v>
      </c>
      <c r="B1776" s="1489" t="s">
        <v>3543</v>
      </c>
      <c r="C1776" s="1489" t="s">
        <v>6122</v>
      </c>
      <c r="D1776" s="1733">
        <v>1.380787037037037E-2</v>
      </c>
      <c r="E1776" s="1489" t="s">
        <v>15156</v>
      </c>
      <c r="F1776" s="1489" t="s">
        <v>15198</v>
      </c>
      <c r="G1776" s="1815">
        <v>0.64880000000000004</v>
      </c>
      <c r="H1776" s="80"/>
      <c r="I1776" s="80"/>
      <c r="J1776" s="80"/>
      <c r="K1776" s="80"/>
      <c r="L1776" s="80"/>
      <c r="M1776" s="80"/>
      <c r="N1776" s="80"/>
      <c r="O1776" s="80"/>
      <c r="P1776" s="80"/>
      <c r="Q1776" s="80"/>
      <c r="R1776" s="80"/>
      <c r="S1776" s="80"/>
      <c r="T1776" s="80"/>
      <c r="U1776" s="80"/>
      <c r="V1776" s="80"/>
      <c r="W1776" s="80"/>
      <c r="X1776" s="80"/>
    </row>
    <row r="1777" spans="1:24" x14ac:dyDescent="0.2">
      <c r="A1777" s="523">
        <v>43687</v>
      </c>
      <c r="B1777" s="1489" t="s">
        <v>3543</v>
      </c>
      <c r="C1777" s="1489" t="s">
        <v>6122</v>
      </c>
      <c r="D1777" s="1686">
        <v>1.3414351851851853E-2</v>
      </c>
      <c r="E1777" s="1489" t="s">
        <v>13427</v>
      </c>
      <c r="F1777" s="1489" t="s">
        <v>13450</v>
      </c>
      <c r="G1777" s="1815">
        <v>0.66779999999999995</v>
      </c>
      <c r="H1777" s="80"/>
      <c r="I1777" s="1514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</row>
    <row r="1778" spans="1:24" x14ac:dyDescent="0.2">
      <c r="A1778" s="1384">
        <v>43680</v>
      </c>
      <c r="B1778" s="1489" t="s">
        <v>3543</v>
      </c>
      <c r="C1778" s="1489" t="s">
        <v>6122</v>
      </c>
      <c r="D1778" s="1686">
        <v>1.3391203703703704E-2</v>
      </c>
      <c r="E1778" s="1489" t="s">
        <v>13352</v>
      </c>
      <c r="F1778" s="1489" t="s">
        <v>13401</v>
      </c>
      <c r="G1778" s="1815">
        <v>0.66900000000000004</v>
      </c>
      <c r="H1778" s="80"/>
      <c r="I1778" s="1514"/>
      <c r="J1778" s="80"/>
      <c r="K1778" s="80"/>
      <c r="L1778" s="80"/>
      <c r="M1778" s="80"/>
      <c r="N1778" s="80"/>
      <c r="O1778" s="80"/>
      <c r="P1778" s="80"/>
      <c r="Q1778" s="80"/>
      <c r="R1778" s="80"/>
      <c r="S1778" s="80"/>
      <c r="T1778" s="80"/>
      <c r="U1778" s="80"/>
      <c r="V1778" s="80"/>
      <c r="W1778" s="80"/>
      <c r="X1778" s="80"/>
    </row>
    <row r="1779" spans="1:24" x14ac:dyDescent="0.2">
      <c r="A1779" s="523">
        <v>43666</v>
      </c>
      <c r="B1779" s="1489" t="s">
        <v>3543</v>
      </c>
      <c r="C1779" s="1489" t="s">
        <v>6122</v>
      </c>
      <c r="D1779" s="1686">
        <v>1.699074074074074E-2</v>
      </c>
      <c r="E1779" s="1489" t="s">
        <v>13194</v>
      </c>
      <c r="F1779" s="1489" t="s">
        <v>13218</v>
      </c>
      <c r="G1779" s="1815">
        <v>0.5272</v>
      </c>
      <c r="H1779" s="1514"/>
      <c r="I1779" s="1514"/>
      <c r="J1779" s="80"/>
      <c r="K1779" s="80"/>
      <c r="L1779" s="1370"/>
      <c r="M1779" s="1370"/>
      <c r="N1779" s="1370"/>
      <c r="O1779" s="1370"/>
      <c r="P1779" s="1370"/>
      <c r="Q1779" s="1370"/>
      <c r="R1779" s="1370"/>
      <c r="S1779" s="1370"/>
      <c r="T1779" s="1370"/>
      <c r="U1779" s="1370"/>
      <c r="V1779" s="1370"/>
      <c r="W1779" s="1370"/>
      <c r="X1779" s="1370"/>
    </row>
    <row r="1780" spans="1:24" x14ac:dyDescent="0.2">
      <c r="A1780" s="523">
        <v>43652</v>
      </c>
      <c r="B1780" s="1489" t="s">
        <v>3543</v>
      </c>
      <c r="C1780" s="1489" t="s">
        <v>6122</v>
      </c>
      <c r="D1780" s="1686">
        <v>1.3668981481481482E-2</v>
      </c>
      <c r="E1780" s="1489" t="s">
        <v>13080</v>
      </c>
      <c r="F1780" s="1489" t="s">
        <v>13099</v>
      </c>
      <c r="G1780" s="1815">
        <v>0.65539999999999998</v>
      </c>
      <c r="H1780" s="1489"/>
      <c r="I1780" s="1489"/>
      <c r="J1780" s="1489"/>
      <c r="K1780" s="80"/>
      <c r="L1780" s="80"/>
      <c r="M1780" s="80"/>
      <c r="N1780" s="80"/>
      <c r="O1780" s="80"/>
      <c r="P1780" s="80"/>
      <c r="Q1780" s="80"/>
      <c r="R1780" s="80"/>
      <c r="S1780" s="80"/>
      <c r="T1780" s="80"/>
      <c r="U1780" s="80"/>
      <c r="V1780" s="80"/>
      <c r="W1780" s="80"/>
      <c r="X1780" s="80"/>
    </row>
    <row r="1781" spans="1:24" x14ac:dyDescent="0.2">
      <c r="A1781" s="523">
        <v>43631</v>
      </c>
      <c r="B1781" s="1489" t="s">
        <v>3543</v>
      </c>
      <c r="C1781" s="1489" t="s">
        <v>6122</v>
      </c>
      <c r="D1781" s="1835">
        <v>1.3680555555555555E-2</v>
      </c>
      <c r="E1781" s="1569" t="s">
        <v>12917</v>
      </c>
      <c r="F1781" s="1624" t="s">
        <v>12910</v>
      </c>
      <c r="G1781" s="1818">
        <v>0.65480000000000005</v>
      </c>
      <c r="H1781" s="1514"/>
      <c r="I1781" s="1514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</row>
    <row r="1782" spans="1:24" x14ac:dyDescent="0.2">
      <c r="A1782" s="523">
        <v>43624</v>
      </c>
      <c r="B1782" s="1489" t="s">
        <v>3543</v>
      </c>
      <c r="C1782" s="1489" t="s">
        <v>6122</v>
      </c>
      <c r="D1782" s="1835">
        <v>1.6030092592592592E-2</v>
      </c>
      <c r="E1782" s="1569" t="s">
        <v>12858</v>
      </c>
      <c r="F1782" s="1569"/>
      <c r="G1782" s="1818">
        <v>0.55879999999999996</v>
      </c>
      <c r="H1782" s="1514"/>
      <c r="I1782" s="1514"/>
      <c r="J1782" s="80"/>
      <c r="K1782" s="80"/>
      <c r="L1782" s="80"/>
      <c r="M1782" s="80"/>
      <c r="N1782" s="80"/>
      <c r="O1782" s="80"/>
      <c r="P1782" s="80"/>
      <c r="Q1782" s="80"/>
      <c r="R1782" s="80"/>
      <c r="S1782" s="80"/>
      <c r="T1782" s="80"/>
      <c r="U1782" s="80"/>
      <c r="V1782" s="80"/>
      <c r="W1782" s="80"/>
      <c r="X1782" s="80"/>
    </row>
    <row r="1783" spans="1:24" x14ac:dyDescent="0.2">
      <c r="A1783" s="1384">
        <v>43617</v>
      </c>
      <c r="B1783" s="1489" t="s">
        <v>3543</v>
      </c>
      <c r="C1783" s="1489" t="s">
        <v>6122</v>
      </c>
      <c r="D1783" s="1836">
        <v>1.3611111111111114E-2</v>
      </c>
      <c r="E1783" s="1568" t="s">
        <v>12809</v>
      </c>
      <c r="F1783" s="1568" t="s">
        <v>12824</v>
      </c>
      <c r="G1783" s="1819">
        <v>0.65820000000000001</v>
      </c>
      <c r="H1783" s="1489"/>
      <c r="I1783" s="1489"/>
      <c r="J1783" s="1370"/>
      <c r="K1783" s="1370"/>
      <c r="L1783" s="80"/>
      <c r="M1783" s="80"/>
      <c r="N1783" s="80"/>
      <c r="O1783" s="80"/>
      <c r="P1783" s="80"/>
      <c r="Q1783" s="80"/>
      <c r="R1783" s="80"/>
      <c r="S1783" s="80"/>
      <c r="T1783" s="80"/>
      <c r="U1783" s="80"/>
      <c r="V1783" s="80"/>
      <c r="W1783" s="80"/>
      <c r="X1783" s="80"/>
    </row>
    <row r="1784" spans="1:24" x14ac:dyDescent="0.2">
      <c r="A1784" s="1384">
        <v>43610</v>
      </c>
      <c r="B1784" s="1489" t="s">
        <v>3543</v>
      </c>
      <c r="C1784" s="1489" t="s">
        <v>6122</v>
      </c>
      <c r="D1784" s="1733">
        <v>1.6064814814814813E-2</v>
      </c>
      <c r="E1784" s="1489" t="s">
        <v>12727</v>
      </c>
      <c r="F1784" s="1489"/>
      <c r="G1784" s="1815">
        <v>0.55759999999999998</v>
      </c>
      <c r="H1784" s="1489"/>
      <c r="I1784" s="1489"/>
      <c r="J1784" s="1370"/>
      <c r="K1784" s="1370"/>
      <c r="L1784" s="1370"/>
      <c r="M1784" s="1370"/>
      <c r="N1784" s="1370"/>
      <c r="O1784" s="1370"/>
      <c r="P1784" s="1370"/>
      <c r="Q1784" s="1370"/>
      <c r="R1784" s="1370"/>
      <c r="S1784" s="1370"/>
      <c r="T1784" s="1370"/>
      <c r="U1784" s="1370"/>
      <c r="V1784" s="1370"/>
      <c r="W1784" s="1370"/>
      <c r="X1784" s="1370"/>
    </row>
    <row r="1785" spans="1:24" x14ac:dyDescent="0.2">
      <c r="A1785" s="1384">
        <v>43582</v>
      </c>
      <c r="B1785" s="1489" t="s">
        <v>3543</v>
      </c>
      <c r="C1785" s="1489" t="s">
        <v>6122</v>
      </c>
      <c r="D1785" s="1733">
        <v>1.5289351851851851E-2</v>
      </c>
      <c r="E1785" s="1489" t="s">
        <v>12563</v>
      </c>
      <c r="F1785" s="1489" t="s">
        <v>12621</v>
      </c>
      <c r="G1785" s="1815">
        <v>0.58589999999999998</v>
      </c>
      <c r="H1785" s="1489"/>
      <c r="I1785" s="1489"/>
      <c r="J1785" s="1370"/>
      <c r="K1785" s="1370"/>
      <c r="L1785" s="1370"/>
      <c r="M1785" s="1370"/>
      <c r="N1785" s="1370"/>
      <c r="O1785" s="1370"/>
      <c r="P1785" s="1370"/>
      <c r="Q1785" s="1370"/>
      <c r="R1785" s="1370"/>
      <c r="S1785" s="1370"/>
      <c r="T1785" s="1370"/>
      <c r="U1785" s="1370"/>
      <c r="V1785" s="1370"/>
      <c r="W1785" s="1370"/>
      <c r="X1785" s="1370"/>
    </row>
    <row r="1786" spans="1:24" x14ac:dyDescent="0.2">
      <c r="A1786" s="1384">
        <v>43575</v>
      </c>
      <c r="B1786" s="1489" t="s">
        <v>3543</v>
      </c>
      <c r="C1786" s="1489" t="s">
        <v>6122</v>
      </c>
      <c r="D1786" s="1733">
        <v>1.3703703703703704E-2</v>
      </c>
      <c r="E1786" s="1489" t="s">
        <v>12451</v>
      </c>
      <c r="F1786" s="1489" t="s">
        <v>12452</v>
      </c>
      <c r="G1786" s="1815">
        <v>0.65369999999999995</v>
      </c>
      <c r="H1786" s="1489"/>
      <c r="I1786" s="1489"/>
      <c r="J1786" s="1370"/>
      <c r="K1786" s="1370"/>
      <c r="L1786" s="1370"/>
      <c r="M1786" s="1370"/>
      <c r="N1786" s="1370"/>
      <c r="O1786" s="1370"/>
      <c r="P1786" s="1370"/>
      <c r="Q1786" s="1370"/>
      <c r="R1786" s="1370"/>
      <c r="S1786" s="1370"/>
      <c r="T1786" s="1370"/>
      <c r="U1786" s="1370"/>
      <c r="V1786" s="1370"/>
      <c r="W1786" s="1370"/>
      <c r="X1786" s="1370"/>
    </row>
    <row r="1787" spans="1:24" x14ac:dyDescent="0.2">
      <c r="A1787" s="1384">
        <v>43554</v>
      </c>
      <c r="B1787" s="1489" t="s">
        <v>3543</v>
      </c>
      <c r="C1787" s="1489" t="s">
        <v>6122</v>
      </c>
      <c r="D1787" s="1733">
        <v>1.6087962962962964E-2</v>
      </c>
      <c r="E1787" s="1489" t="s">
        <v>12230</v>
      </c>
      <c r="F1787" s="1489" t="s">
        <v>12265</v>
      </c>
      <c r="G1787" s="1815">
        <v>0.55679999999999996</v>
      </c>
      <c r="H1787" s="1370"/>
      <c r="I1787" s="1489"/>
      <c r="J1787" s="1370"/>
      <c r="K1787" s="1370"/>
      <c r="L1787" s="1370"/>
      <c r="M1787" s="1370"/>
      <c r="N1787" s="1370"/>
      <c r="O1787" s="1370"/>
      <c r="P1787" s="1370"/>
      <c r="Q1787" s="1370"/>
      <c r="R1787" s="1370"/>
      <c r="S1787" s="1370"/>
      <c r="T1787" s="1370"/>
      <c r="U1787" s="1370"/>
      <c r="V1787" s="1370"/>
      <c r="W1787" s="1370"/>
      <c r="X1787" s="1370"/>
    </row>
    <row r="1788" spans="1:24" x14ac:dyDescent="0.2">
      <c r="A1788" s="1384">
        <v>43547</v>
      </c>
      <c r="B1788" s="1489" t="s">
        <v>3543</v>
      </c>
      <c r="C1788" s="1489" t="s">
        <v>6122</v>
      </c>
      <c r="D1788" s="1733">
        <v>1.3472222222222221E-2</v>
      </c>
      <c r="E1788" s="1489" t="s">
        <v>12187</v>
      </c>
      <c r="F1788" s="1489" t="s">
        <v>12202</v>
      </c>
      <c r="G1788" s="1815">
        <v>0.66490000000000005</v>
      </c>
      <c r="H1788" s="1370"/>
      <c r="I1788" s="1489"/>
      <c r="J1788" s="1370"/>
      <c r="K1788" s="1370"/>
      <c r="L1788" s="1370"/>
      <c r="M1788" s="1370"/>
      <c r="N1788" s="1370"/>
      <c r="O1788" s="1370"/>
      <c r="P1788" s="1370"/>
      <c r="Q1788" s="1370"/>
      <c r="R1788" s="1370"/>
      <c r="S1788" s="1370"/>
      <c r="T1788" s="1370"/>
      <c r="U1788" s="1370"/>
      <c r="V1788" s="1370"/>
      <c r="W1788" s="1370"/>
      <c r="X1788" s="1370"/>
    </row>
    <row r="1789" spans="1:24" x14ac:dyDescent="0.2">
      <c r="A1789" s="1384">
        <v>43498</v>
      </c>
      <c r="B1789" s="1489" t="s">
        <v>3543</v>
      </c>
      <c r="C1789" s="1489" t="s">
        <v>6122</v>
      </c>
      <c r="D1789" s="1733">
        <v>1.7696759259259259E-2</v>
      </c>
      <c r="E1789" s="1489" t="s">
        <v>3072</v>
      </c>
      <c r="F1789" s="1489" t="s">
        <v>11746</v>
      </c>
      <c r="G1789" s="1815">
        <v>0.50619999999999998</v>
      </c>
      <c r="H1789" s="1489"/>
      <c r="I1789" s="1489"/>
      <c r="J1789" s="1370"/>
      <c r="K1789" s="1370"/>
      <c r="L1789" s="1370"/>
      <c r="M1789" s="1370"/>
      <c r="N1789" s="1370"/>
      <c r="O1789" s="1370"/>
      <c r="P1789" s="1370"/>
      <c r="Q1789" s="1370"/>
      <c r="R1789" s="1370"/>
      <c r="S1789" s="1370"/>
      <c r="T1789" s="1370"/>
      <c r="U1789" s="1370"/>
      <c r="V1789" s="1370"/>
      <c r="W1789" s="1370"/>
      <c r="X1789" s="1370"/>
    </row>
    <row r="1790" spans="1:24" x14ac:dyDescent="0.2">
      <c r="A1790" s="1384">
        <v>43484</v>
      </c>
      <c r="B1790" s="1489" t="s">
        <v>3543</v>
      </c>
      <c r="C1790" s="1489" t="s">
        <v>6122</v>
      </c>
      <c r="D1790" s="1733">
        <v>1.4108796296296295E-2</v>
      </c>
      <c r="E1790" s="1489" t="s">
        <v>5883</v>
      </c>
      <c r="F1790" s="1489" t="s">
        <v>11577</v>
      </c>
      <c r="G1790" s="1815">
        <v>0.63490000000000002</v>
      </c>
      <c r="H1790" s="1489"/>
      <c r="I1790" s="1489"/>
      <c r="J1790" s="1370"/>
      <c r="K1790" s="1370"/>
      <c r="L1790" s="1370"/>
      <c r="M1790" s="1370"/>
      <c r="N1790" s="1370"/>
      <c r="O1790" s="1370"/>
      <c r="P1790" s="1370"/>
      <c r="Q1790" s="1370"/>
      <c r="R1790" s="1370"/>
      <c r="S1790" s="1370"/>
      <c r="T1790" s="1370"/>
      <c r="U1790" s="1370"/>
      <c r="V1790" s="1370"/>
      <c r="W1790" s="1370"/>
      <c r="X1790" s="1370"/>
    </row>
    <row r="1791" spans="1:24" x14ac:dyDescent="0.2">
      <c r="A1791" s="1384">
        <v>43470</v>
      </c>
      <c r="B1791" s="1489" t="s">
        <v>3543</v>
      </c>
      <c r="C1791" s="1489" t="s">
        <v>6122</v>
      </c>
      <c r="D1791" s="1733">
        <v>1.4143518518518519E-2</v>
      </c>
      <c r="E1791" s="1489" t="s">
        <v>3072</v>
      </c>
      <c r="F1791" s="1489" t="s">
        <v>11600</v>
      </c>
      <c r="G1791" s="1815">
        <v>0.63339999999999996</v>
      </c>
      <c r="H1791" s="1489"/>
      <c r="I1791" s="1489"/>
      <c r="J1791" s="1370"/>
      <c r="K1791" s="1370"/>
      <c r="L1791" s="1370"/>
      <c r="M1791" s="1370"/>
      <c r="N1791" s="1370"/>
      <c r="O1791" s="1370"/>
      <c r="P1791" s="1370"/>
      <c r="Q1791" s="1370"/>
      <c r="R1791" s="1370"/>
      <c r="S1791" s="1370"/>
      <c r="T1791" s="1370"/>
      <c r="U1791" s="1370"/>
      <c r="V1791" s="1370"/>
      <c r="W1791" s="1370"/>
      <c r="X1791" s="1370"/>
    </row>
    <row r="1792" spans="1:24" x14ac:dyDescent="0.2">
      <c r="A1792" s="523">
        <v>43624</v>
      </c>
      <c r="B1792" s="1568" t="s">
        <v>3033</v>
      </c>
      <c r="C1792" s="1568" t="s">
        <v>3034</v>
      </c>
      <c r="D1792" s="1835">
        <v>2.0312500000000001E-2</v>
      </c>
      <c r="E1792" s="1569" t="s">
        <v>12856</v>
      </c>
      <c r="F1792" s="1625" t="s">
        <v>12879</v>
      </c>
      <c r="G1792" s="1818">
        <v>0.63590000000000002</v>
      </c>
      <c r="H1792" s="1514"/>
      <c r="I1792" s="1514"/>
      <c r="J1792" s="80"/>
      <c r="K1792" s="80"/>
      <c r="L1792" s="1370"/>
      <c r="M1792" s="1370"/>
      <c r="N1792" s="1370"/>
      <c r="O1792" s="1370"/>
      <c r="P1792" s="1370"/>
      <c r="Q1792" s="1370"/>
      <c r="R1792" s="1370"/>
      <c r="S1792" s="1370"/>
      <c r="T1792" s="1370"/>
      <c r="U1792" s="1370"/>
      <c r="V1792" s="1370"/>
      <c r="W1792" s="1370"/>
      <c r="X1792" s="1370"/>
    </row>
    <row r="1793" spans="1:24" x14ac:dyDescent="0.2">
      <c r="A1793" s="1765">
        <v>43813</v>
      </c>
      <c r="B1793" s="1489" t="s">
        <v>3033</v>
      </c>
      <c r="C1793" s="1489" t="s">
        <v>12025</v>
      </c>
      <c r="D1793" s="1621">
        <v>2.3553240740740739E-2</v>
      </c>
      <c r="E1793" s="1489" t="s">
        <v>16278</v>
      </c>
      <c r="F1793" s="1404" t="s">
        <v>16299</v>
      </c>
      <c r="G1793" s="1817">
        <v>0.5484</v>
      </c>
      <c r="H1793" s="1404"/>
      <c r="I1793" s="1404"/>
    </row>
    <row r="1794" spans="1:24" x14ac:dyDescent="0.2">
      <c r="A1794" s="523">
        <v>43757</v>
      </c>
      <c r="B1794" s="1489" t="s">
        <v>3033</v>
      </c>
      <c r="C1794" s="1489" t="s">
        <v>12025</v>
      </c>
      <c r="D1794" s="1686">
        <v>1.8796296296296297E-2</v>
      </c>
      <c r="E1794" s="1489" t="s">
        <v>15848</v>
      </c>
      <c r="F1794" s="1489" t="s">
        <v>15864</v>
      </c>
      <c r="G1794" s="1815">
        <v>0.68720000000000003</v>
      </c>
      <c r="H1794" s="1489"/>
      <c r="I1794" s="1489"/>
      <c r="J1794" s="1489"/>
      <c r="K1794" s="1489"/>
      <c r="L1794" s="80"/>
      <c r="M1794" s="80"/>
      <c r="N1794" s="80"/>
      <c r="O1794" s="80"/>
      <c r="P1794" s="80"/>
      <c r="Q1794" s="80"/>
      <c r="R1794" s="80"/>
      <c r="S1794" s="80"/>
      <c r="T1794" s="80"/>
      <c r="U1794" s="80"/>
      <c r="V1794" s="80"/>
      <c r="W1794" s="80"/>
      <c r="X1794" s="80"/>
    </row>
    <row r="1795" spans="1:24" x14ac:dyDescent="0.2">
      <c r="A1795" s="1384">
        <v>43533</v>
      </c>
      <c r="B1795" s="1489" t="s">
        <v>3033</v>
      </c>
      <c r="C1795" s="1489" t="s">
        <v>12025</v>
      </c>
      <c r="D1795" s="1733">
        <v>2.0034722222222221E-2</v>
      </c>
      <c r="E1795" s="1489" t="s">
        <v>12030</v>
      </c>
      <c r="F1795" s="1489" t="s">
        <v>12027</v>
      </c>
      <c r="G1795" s="1815">
        <v>0.63600000000000001</v>
      </c>
      <c r="H1795" s="1489"/>
      <c r="I1795" s="1489"/>
      <c r="J1795" s="1370"/>
      <c r="K1795" s="1370"/>
      <c r="L1795" s="1370"/>
      <c r="M1795" s="1370"/>
      <c r="N1795" s="1370"/>
      <c r="O1795" s="1370"/>
      <c r="P1795" s="1370"/>
      <c r="Q1795" s="1370"/>
      <c r="R1795" s="1370"/>
      <c r="S1795" s="1370"/>
      <c r="T1795" s="1370"/>
      <c r="U1795" s="1370"/>
      <c r="V1795" s="1370"/>
      <c r="W1795" s="1370"/>
      <c r="X1795" s="1370"/>
    </row>
    <row r="1796" spans="1:24" x14ac:dyDescent="0.2">
      <c r="A1796" s="34">
        <v>43806</v>
      </c>
      <c r="B1796" s="1489" t="s">
        <v>3535</v>
      </c>
      <c r="C1796" s="1489" t="s">
        <v>1730</v>
      </c>
      <c r="D1796" s="1621">
        <v>1.4560185185185183E-2</v>
      </c>
      <c r="E1796" s="1489" t="s">
        <v>16215</v>
      </c>
      <c r="F1796" s="1404"/>
      <c r="G1796" s="1817">
        <v>0.75829999999999997</v>
      </c>
    </row>
    <row r="1797" spans="1:24" x14ac:dyDescent="0.2">
      <c r="A1797" s="1673">
        <v>43785</v>
      </c>
      <c r="B1797" s="1489" t="s">
        <v>3535</v>
      </c>
      <c r="C1797" s="1489" t="s">
        <v>1730</v>
      </c>
      <c r="D1797" s="1674">
        <v>1.9525462962962963E-2</v>
      </c>
      <c r="E1797" s="80" t="s">
        <v>15993</v>
      </c>
      <c r="F1797" s="80"/>
      <c r="G1797" s="314">
        <v>0.5655</v>
      </c>
    </row>
    <row r="1798" spans="1:24" x14ac:dyDescent="0.2">
      <c r="A1798" s="1729">
        <v>43729</v>
      </c>
      <c r="B1798" s="1489" t="s">
        <v>3535</v>
      </c>
      <c r="C1798" s="1489" t="s">
        <v>1730</v>
      </c>
      <c r="D1798" s="1686">
        <v>1.8217592592592594E-2</v>
      </c>
      <c r="E1798" s="1489" t="s">
        <v>15566</v>
      </c>
      <c r="F1798" s="1489" t="s">
        <v>15591</v>
      </c>
      <c r="G1798" s="1815">
        <v>0.60609999999999997</v>
      </c>
      <c r="H1798" s="80"/>
      <c r="I1798" s="80"/>
      <c r="J1798" s="80"/>
      <c r="K1798" s="80"/>
      <c r="L1798" s="80"/>
      <c r="M1798" s="80"/>
      <c r="N1798" s="80"/>
      <c r="O1798" s="80"/>
      <c r="P1798" s="80"/>
      <c r="Q1798" s="80"/>
      <c r="R1798" s="80"/>
      <c r="S1798" s="80"/>
      <c r="T1798" s="80"/>
      <c r="U1798" s="80"/>
      <c r="V1798" s="80"/>
      <c r="W1798" s="80"/>
      <c r="X1798" s="80"/>
    </row>
    <row r="1799" spans="1:24" x14ac:dyDescent="0.2">
      <c r="A1799" s="523">
        <v>43687</v>
      </c>
      <c r="B1799" s="1489" t="s">
        <v>3535</v>
      </c>
      <c r="C1799" s="1489" t="s">
        <v>1730</v>
      </c>
      <c r="D1799" s="1686">
        <v>1.741898148148148E-2</v>
      </c>
      <c r="E1799" s="1489" t="s">
        <v>13436</v>
      </c>
      <c r="F1799" s="1489"/>
      <c r="G1799" s="1815">
        <v>0.62860000000000005</v>
      </c>
      <c r="H1799" s="80"/>
      <c r="I1799" s="80"/>
      <c r="J1799" s="80"/>
      <c r="K1799" s="80"/>
      <c r="L1799" s="1370"/>
      <c r="M1799" s="1370"/>
      <c r="N1799" s="1370"/>
      <c r="O1799" s="1370"/>
      <c r="P1799" s="1370"/>
      <c r="Q1799" s="1370"/>
      <c r="R1799" s="1370"/>
      <c r="S1799" s="1370"/>
      <c r="T1799" s="1370"/>
      <c r="U1799" s="1370"/>
      <c r="V1799" s="1370"/>
      <c r="W1799" s="1370"/>
      <c r="X1799" s="1370"/>
    </row>
    <row r="1800" spans="1:24" x14ac:dyDescent="0.2">
      <c r="A1800" s="1384">
        <v>43680</v>
      </c>
      <c r="B1800" s="1489" t="s">
        <v>3535</v>
      </c>
      <c r="C1800" s="1489" t="s">
        <v>1730</v>
      </c>
      <c r="D1800" s="1686">
        <v>1.5266203703703705E-2</v>
      </c>
      <c r="E1800" s="1489" t="s">
        <v>13349</v>
      </c>
      <c r="F1800" s="1489" t="s">
        <v>13375</v>
      </c>
      <c r="G1800" s="1815">
        <v>0.71719999999999995</v>
      </c>
      <c r="H1800" s="80"/>
      <c r="I1800" s="1514"/>
      <c r="J1800" s="80"/>
      <c r="K1800" s="80"/>
      <c r="L1800" s="80"/>
      <c r="M1800" s="80"/>
      <c r="N1800" s="80"/>
      <c r="O1800" s="80"/>
      <c r="P1800" s="80"/>
      <c r="Q1800" s="80"/>
      <c r="R1800" s="80"/>
      <c r="S1800" s="80"/>
      <c r="T1800" s="80"/>
      <c r="U1800" s="80"/>
      <c r="V1800" s="80"/>
      <c r="W1800" s="80"/>
      <c r="X1800" s="80"/>
    </row>
    <row r="1801" spans="1:24" x14ac:dyDescent="0.2">
      <c r="A1801" s="523">
        <v>43666</v>
      </c>
      <c r="B1801" s="1489" t="s">
        <v>3535</v>
      </c>
      <c r="C1801" s="1489" t="s">
        <v>1730</v>
      </c>
      <c r="D1801" s="1686">
        <v>1.4953703703703703E-2</v>
      </c>
      <c r="E1801" s="1489" t="s">
        <v>13199</v>
      </c>
      <c r="F1801" s="1489" t="s">
        <v>13185</v>
      </c>
      <c r="G1801" s="1815">
        <v>0.73219999999999996</v>
      </c>
      <c r="H1801" s="1514"/>
      <c r="I1801" s="1514"/>
      <c r="J1801" s="80"/>
      <c r="K1801" s="80"/>
      <c r="L1801" s="1370"/>
      <c r="M1801" s="1370"/>
      <c r="N1801" s="1370"/>
      <c r="O1801" s="1370"/>
      <c r="P1801" s="1370"/>
      <c r="Q1801" s="1370"/>
      <c r="R1801" s="1370"/>
      <c r="S1801" s="1370"/>
      <c r="T1801" s="1370"/>
      <c r="U1801" s="1370"/>
      <c r="V1801" s="1370"/>
      <c r="W1801" s="1370"/>
      <c r="X1801" s="1370"/>
    </row>
    <row r="1802" spans="1:24" x14ac:dyDescent="0.2">
      <c r="A1802" s="523">
        <v>43659</v>
      </c>
      <c r="B1802" s="1489" t="s">
        <v>3535</v>
      </c>
      <c r="C1802" s="1489" t="s">
        <v>1730</v>
      </c>
      <c r="D1802" s="1686">
        <v>1.4826388888888891E-2</v>
      </c>
      <c r="E1802" s="1489" t="s">
        <v>13145</v>
      </c>
      <c r="F1802" s="1489"/>
      <c r="G1802" s="1815">
        <v>0.73850000000000005</v>
      </c>
      <c r="H1802" s="1514"/>
      <c r="I1802" s="1489"/>
      <c r="J1802" s="80"/>
      <c r="K1802" s="80"/>
      <c r="L1802" s="1370"/>
      <c r="M1802" s="1370"/>
      <c r="N1802" s="1370"/>
      <c r="O1802" s="1370"/>
      <c r="P1802" s="1370"/>
      <c r="Q1802" s="1370"/>
      <c r="R1802" s="1370"/>
      <c r="S1802" s="1370"/>
      <c r="T1802" s="1370"/>
      <c r="U1802" s="1370"/>
      <c r="V1802" s="1370"/>
      <c r="W1802" s="1370"/>
      <c r="X1802" s="1370"/>
    </row>
    <row r="1803" spans="1:24" x14ac:dyDescent="0.2">
      <c r="A1803" s="523">
        <v>43652</v>
      </c>
      <c r="B1803" s="1489" t="s">
        <v>3535</v>
      </c>
      <c r="C1803" s="1489" t="s">
        <v>1730</v>
      </c>
      <c r="D1803" s="1686">
        <v>2.1736111111111112E-2</v>
      </c>
      <c r="E1803" s="1489" t="s">
        <v>13078</v>
      </c>
      <c r="F1803" s="1489" t="s">
        <v>13095</v>
      </c>
      <c r="G1803" s="1815">
        <v>0.50370000000000004</v>
      </c>
      <c r="H1803" s="1489"/>
      <c r="I1803" s="1489"/>
      <c r="J1803" s="1489"/>
      <c r="K1803" s="80"/>
      <c r="L1803" s="1370"/>
      <c r="M1803" s="1370"/>
      <c r="N1803" s="1370"/>
      <c r="O1803" s="1370"/>
      <c r="P1803" s="1370"/>
      <c r="Q1803" s="1370"/>
      <c r="R1803" s="1370"/>
      <c r="S1803" s="1370"/>
      <c r="T1803" s="1370"/>
      <c r="U1803" s="1370"/>
      <c r="V1803" s="1370"/>
      <c r="W1803" s="1370"/>
      <c r="X1803" s="1370"/>
    </row>
    <row r="1804" spans="1:24" x14ac:dyDescent="0.2">
      <c r="A1804" s="523">
        <v>43645</v>
      </c>
      <c r="B1804" s="1489" t="s">
        <v>3535</v>
      </c>
      <c r="C1804" s="1489" t="s">
        <v>1730</v>
      </c>
      <c r="D1804" s="1686">
        <v>1.3969907407407408E-2</v>
      </c>
      <c r="E1804" s="1514" t="s">
        <v>13028</v>
      </c>
      <c r="F1804" s="1489" t="s">
        <v>13045</v>
      </c>
      <c r="G1804" s="1815">
        <v>0.78510000000000002</v>
      </c>
      <c r="H1804" s="1514"/>
      <c r="I1804" s="1514" t="s">
        <v>13056</v>
      </c>
      <c r="J1804" s="80"/>
      <c r="K1804" s="80"/>
      <c r="L1804" s="1370"/>
      <c r="M1804" s="1370"/>
      <c r="N1804" s="1370"/>
      <c r="O1804" s="1370"/>
      <c r="P1804" s="1370"/>
      <c r="Q1804" s="1370"/>
      <c r="R1804" s="1370"/>
      <c r="S1804" s="1370"/>
      <c r="T1804" s="1370"/>
      <c r="U1804" s="1370"/>
      <c r="V1804" s="1370"/>
      <c r="W1804" s="1370"/>
      <c r="X1804" s="1370"/>
    </row>
    <row r="1805" spans="1:24" x14ac:dyDescent="0.2">
      <c r="A1805" s="1384">
        <v>43617</v>
      </c>
      <c r="B1805" s="1489" t="s">
        <v>3535</v>
      </c>
      <c r="C1805" s="1489" t="s">
        <v>1730</v>
      </c>
      <c r="D1805" s="1836">
        <v>1.5266203703703705E-2</v>
      </c>
      <c r="E1805" s="1568" t="s">
        <v>12800</v>
      </c>
      <c r="F1805" s="1568"/>
      <c r="G1805" s="1819">
        <v>0.71719999999999995</v>
      </c>
      <c r="H1805" s="1489"/>
      <c r="I1805" s="1489"/>
      <c r="J1805" s="1370"/>
      <c r="K1805" s="1370"/>
      <c r="L1805" s="1370"/>
      <c r="M1805" s="1370"/>
      <c r="N1805" s="1370"/>
      <c r="O1805" s="1370"/>
      <c r="P1805" s="1370"/>
      <c r="Q1805" s="1370"/>
      <c r="R1805" s="1370"/>
      <c r="S1805" s="1370"/>
      <c r="T1805" s="1370"/>
      <c r="U1805" s="1370"/>
      <c r="V1805" s="1370"/>
      <c r="W1805" s="1370"/>
      <c r="X1805" s="1370"/>
    </row>
    <row r="1806" spans="1:24" x14ac:dyDescent="0.2">
      <c r="A1806" s="1384">
        <v>43603</v>
      </c>
      <c r="B1806" s="1489" t="s">
        <v>3535</v>
      </c>
      <c r="C1806" s="1489" t="s">
        <v>1730</v>
      </c>
      <c r="D1806" s="1733">
        <v>1.3935185185185184E-2</v>
      </c>
      <c r="E1806" s="1489" t="s">
        <v>12690</v>
      </c>
      <c r="F1806" s="1489"/>
      <c r="G1806" s="1815">
        <v>0.78569999999999995</v>
      </c>
      <c r="H1806" s="1489"/>
      <c r="I1806" s="1489"/>
      <c r="J1806" s="1370"/>
      <c r="K1806" s="1370"/>
      <c r="L1806" s="80"/>
      <c r="M1806" s="80"/>
      <c r="N1806" s="80"/>
      <c r="O1806" s="80"/>
      <c r="P1806" s="80"/>
      <c r="Q1806" s="80"/>
      <c r="R1806" s="80"/>
      <c r="S1806" s="80"/>
      <c r="T1806" s="80"/>
      <c r="U1806" s="80"/>
      <c r="V1806" s="80"/>
      <c r="W1806" s="80"/>
      <c r="X1806" s="80"/>
    </row>
    <row r="1807" spans="1:24" x14ac:dyDescent="0.2">
      <c r="A1807" s="1384">
        <v>43603</v>
      </c>
      <c r="B1807" s="1489" t="s">
        <v>439</v>
      </c>
      <c r="C1807" s="1489" t="s">
        <v>440</v>
      </c>
      <c r="D1807" s="1733">
        <v>2.193287037037037E-2</v>
      </c>
      <c r="E1807" s="1489" t="s">
        <v>12683</v>
      </c>
      <c r="F1807" s="1489" t="s">
        <v>2629</v>
      </c>
      <c r="G1807" s="1815">
        <v>0.63219999999999998</v>
      </c>
      <c r="H1807" s="1489"/>
      <c r="I1807" s="1489"/>
      <c r="J1807" s="1370"/>
      <c r="K1807" s="1370"/>
      <c r="L1807" s="80"/>
      <c r="M1807" s="80"/>
      <c r="N1807" s="80"/>
      <c r="O1807" s="80"/>
      <c r="P1807" s="80"/>
      <c r="Q1807" s="80"/>
      <c r="R1807" s="80"/>
      <c r="S1807" s="80"/>
      <c r="T1807" s="80"/>
      <c r="U1807" s="80"/>
      <c r="V1807" s="80"/>
      <c r="W1807" s="80"/>
      <c r="X1807" s="80"/>
    </row>
    <row r="1808" spans="1:24" x14ac:dyDescent="0.2">
      <c r="A1808" s="1384">
        <v>43582</v>
      </c>
      <c r="B1808" s="1489" t="s">
        <v>439</v>
      </c>
      <c r="C1808" s="1489" t="s">
        <v>440</v>
      </c>
      <c r="D1808" s="1733">
        <v>2.4120370370370372E-2</v>
      </c>
      <c r="E1808" s="1489" t="s">
        <v>12632</v>
      </c>
      <c r="F1808" s="1489" t="s">
        <v>12633</v>
      </c>
      <c r="G1808" s="1815">
        <v>0.57489999999999997</v>
      </c>
      <c r="H1808" s="1489"/>
      <c r="I1808" s="1489"/>
      <c r="J1808" s="1370"/>
      <c r="K1808" s="1370"/>
      <c r="L1808" s="1370"/>
      <c r="M1808" s="1370"/>
      <c r="N1808" s="1370"/>
      <c r="O1808" s="1370"/>
      <c r="P1808" s="1370"/>
      <c r="Q1808" s="1370"/>
      <c r="R1808" s="1370"/>
      <c r="S1808" s="1370"/>
      <c r="T1808" s="1370"/>
      <c r="U1808" s="1370"/>
      <c r="V1808" s="1370"/>
      <c r="W1808" s="1370"/>
      <c r="X1808" s="1370"/>
    </row>
    <row r="1809" spans="1:24" x14ac:dyDescent="0.2">
      <c r="A1809" s="1384">
        <v>43568</v>
      </c>
      <c r="B1809" s="1489" t="s">
        <v>439</v>
      </c>
      <c r="C1809" s="1489" t="s">
        <v>440</v>
      </c>
      <c r="D1809" s="1733">
        <v>2.3981481481481479E-2</v>
      </c>
      <c r="E1809" s="1489" t="s">
        <v>12361</v>
      </c>
      <c r="F1809" s="1489" t="s">
        <v>12370</v>
      </c>
      <c r="G1809" s="1815">
        <v>0.57820000000000005</v>
      </c>
      <c r="H1809" s="1489"/>
      <c r="I1809" s="1489"/>
      <c r="J1809" s="1370"/>
      <c r="K1809" s="1370"/>
      <c r="L1809" s="1370"/>
      <c r="M1809" s="1370"/>
      <c r="N1809" s="1370"/>
      <c r="O1809" s="1370"/>
      <c r="P1809" s="1370"/>
      <c r="Q1809" s="1370"/>
      <c r="R1809" s="1370"/>
      <c r="S1809" s="1370"/>
      <c r="T1809" s="1370"/>
      <c r="U1809" s="1370"/>
      <c r="V1809" s="1370"/>
      <c r="W1809" s="1370"/>
      <c r="X1809" s="1370"/>
    </row>
    <row r="1810" spans="1:24" x14ac:dyDescent="0.2">
      <c r="A1810" s="34">
        <v>43824</v>
      </c>
      <c r="B1810" s="1639" t="s">
        <v>4259</v>
      </c>
      <c r="C1810" s="1639" t="s">
        <v>440</v>
      </c>
      <c r="D1810" s="1621">
        <v>2.8564814814814817E-2</v>
      </c>
      <c r="E1810" s="1489" t="s">
        <v>1788</v>
      </c>
      <c r="F1810" s="1489" t="s">
        <v>16395</v>
      </c>
      <c r="G1810" s="1817">
        <v>0.43440000000000001</v>
      </c>
      <c r="H1810" s="1404"/>
      <c r="I1810" s="80"/>
    </row>
    <row r="1811" spans="1:24" x14ac:dyDescent="0.2">
      <c r="A1811" s="1765">
        <v>43813</v>
      </c>
      <c r="B1811" s="1639" t="s">
        <v>4259</v>
      </c>
      <c r="C1811" s="1639" t="s">
        <v>440</v>
      </c>
      <c r="D1811" s="1621">
        <v>2.4780092592592593E-2</v>
      </c>
      <c r="E1811" s="1489" t="s">
        <v>16265</v>
      </c>
      <c r="F1811" s="1489" t="s">
        <v>16283</v>
      </c>
      <c r="G1811" s="1817">
        <v>0.50070000000000003</v>
      </c>
      <c r="H1811" s="1404"/>
      <c r="I1811" s="1404"/>
    </row>
    <row r="1812" spans="1:24" ht="12.75" customHeight="1" x14ac:dyDescent="0.2">
      <c r="A1812" s="34">
        <v>43806</v>
      </c>
      <c r="B1812" s="1639" t="s">
        <v>4259</v>
      </c>
      <c r="C1812" s="1639" t="s">
        <v>440</v>
      </c>
      <c r="D1812" s="1621">
        <v>2.4548611111111111E-2</v>
      </c>
      <c r="E1812" s="1489" t="s">
        <v>16208</v>
      </c>
      <c r="F1812" s="1404"/>
      <c r="G1812" s="1817">
        <v>0.50539999999999996</v>
      </c>
    </row>
    <row r="1813" spans="1:24" ht="12.75" customHeight="1" x14ac:dyDescent="0.2">
      <c r="A1813" s="1729">
        <v>43799</v>
      </c>
      <c r="B1813" s="1639" t="s">
        <v>4259</v>
      </c>
      <c r="C1813" s="1639" t="s">
        <v>440</v>
      </c>
      <c r="D1813" s="1674">
        <v>2.3969907407407405E-2</v>
      </c>
      <c r="E1813" t="s">
        <v>16150</v>
      </c>
      <c r="F1813" s="80" t="s">
        <v>16195</v>
      </c>
      <c r="G1813" s="314">
        <v>0.51759999999999995</v>
      </c>
    </row>
    <row r="1814" spans="1:24" ht="12.75" customHeight="1" x14ac:dyDescent="0.2">
      <c r="A1814" s="1673">
        <v>43785</v>
      </c>
      <c r="B1814" s="1639" t="s">
        <v>4259</v>
      </c>
      <c r="C1814" s="1639" t="s">
        <v>440</v>
      </c>
      <c r="D1814" s="1674">
        <v>2.5706018518518517E-2</v>
      </c>
      <c r="E1814" s="80" t="s">
        <v>16019</v>
      </c>
      <c r="F1814" s="80" t="s">
        <v>16064</v>
      </c>
      <c r="G1814" s="314">
        <v>0.48270000000000002</v>
      </c>
    </row>
    <row r="1815" spans="1:24" ht="12.75" customHeight="1" x14ac:dyDescent="0.2">
      <c r="A1815" s="1384">
        <v>43771</v>
      </c>
      <c r="B1815" s="1639" t="s">
        <v>4259</v>
      </c>
      <c r="C1815" s="1639" t="s">
        <v>440</v>
      </c>
      <c r="D1815" s="1731">
        <v>3.0243055555555554E-2</v>
      </c>
      <c r="E1815" s="1370" t="s">
        <v>15897</v>
      </c>
      <c r="F1815" s="1370" t="s">
        <v>4444</v>
      </c>
      <c r="G1815" s="1816">
        <v>0.4103</v>
      </c>
      <c r="H1815" s="1370"/>
      <c r="I1815" s="1370"/>
      <c r="J1815" s="1370"/>
      <c r="K1815" s="1370"/>
      <c r="L1815" s="1370"/>
      <c r="M1815" s="1370"/>
      <c r="N1815" s="1370"/>
      <c r="O1815" s="1370"/>
      <c r="P1815" s="1370"/>
      <c r="Q1815" s="1370"/>
      <c r="R1815" s="1370"/>
      <c r="S1815" s="1370"/>
      <c r="T1815" s="1370"/>
      <c r="U1815" s="1370"/>
      <c r="V1815" s="1370"/>
      <c r="W1815" s="1370"/>
      <c r="X1815" s="1370"/>
    </row>
    <row r="1816" spans="1:24" ht="12.75" customHeight="1" x14ac:dyDescent="0.2">
      <c r="A1816" s="523">
        <v>43750</v>
      </c>
      <c r="B1816" s="1639" t="s">
        <v>4259</v>
      </c>
      <c r="C1816" s="1639" t="s">
        <v>440</v>
      </c>
      <c r="D1816" s="1686">
        <v>2.5752314814814818E-2</v>
      </c>
      <c r="E1816" s="1489" t="s">
        <v>15805</v>
      </c>
      <c r="F1816" s="1489" t="s">
        <v>15825</v>
      </c>
      <c r="G1816" s="1815">
        <v>0.48180000000000001</v>
      </c>
      <c r="H1816" s="80"/>
      <c r="I1816" s="80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</row>
    <row r="1817" spans="1:24" ht="12.75" customHeight="1" x14ac:dyDescent="0.2">
      <c r="A1817" s="1729">
        <v>43743</v>
      </c>
      <c r="B1817" s="1639" t="s">
        <v>4259</v>
      </c>
      <c r="C1817" s="1639" t="s">
        <v>440</v>
      </c>
      <c r="D1817" s="1737">
        <v>2.4803240740740744E-2</v>
      </c>
      <c r="E1817" s="1514" t="s">
        <v>15704</v>
      </c>
      <c r="F1817" s="1514" t="s">
        <v>15745</v>
      </c>
      <c r="G1817" s="1822">
        <v>0.49370000000000003</v>
      </c>
      <c r="H1817" s="80"/>
      <c r="I1817" s="80"/>
      <c r="J1817" s="80"/>
      <c r="K1817" s="80"/>
      <c r="L1817" s="80"/>
      <c r="M1817" s="80"/>
      <c r="N1817" s="80"/>
      <c r="O1817" s="80"/>
      <c r="P1817" s="80"/>
      <c r="Q1817" s="80"/>
      <c r="R1817" s="80"/>
      <c r="S1817" s="80"/>
      <c r="T1817" s="80"/>
      <c r="U1817" s="80"/>
      <c r="V1817" s="80"/>
      <c r="W1817" s="80"/>
      <c r="X1817" s="80"/>
    </row>
    <row r="1818" spans="1:24" ht="12.75" customHeight="1" x14ac:dyDescent="0.2">
      <c r="A1818" s="1729">
        <v>43736</v>
      </c>
      <c r="B1818" s="1639" t="s">
        <v>4259</v>
      </c>
      <c r="C1818" s="1639" t="s">
        <v>440</v>
      </c>
      <c r="D1818" s="1686">
        <v>2.3611111111111114E-2</v>
      </c>
      <c r="E1818" s="1489" t="s">
        <v>15647</v>
      </c>
      <c r="F1818" s="1489" t="s">
        <v>15658</v>
      </c>
      <c r="G1818" s="1815">
        <v>0.51859999999999995</v>
      </c>
      <c r="H1818" s="80"/>
      <c r="I1818" s="80"/>
      <c r="J1818" s="80"/>
      <c r="K1818" s="80"/>
      <c r="L1818" s="80"/>
      <c r="M1818" s="80"/>
      <c r="N1818" s="80"/>
      <c r="O1818" s="80"/>
      <c r="P1818" s="80"/>
      <c r="Q1818" s="80"/>
      <c r="R1818" s="80"/>
      <c r="S1818" s="80"/>
      <c r="T1818" s="80"/>
      <c r="U1818" s="80"/>
      <c r="V1818" s="80"/>
      <c r="W1818" s="80"/>
      <c r="X1818" s="80"/>
    </row>
    <row r="1819" spans="1:24" ht="12.75" customHeight="1" x14ac:dyDescent="0.2">
      <c r="A1819" s="523">
        <v>43715</v>
      </c>
      <c r="B1819" s="1639" t="s">
        <v>4259</v>
      </c>
      <c r="C1819" s="1639" t="s">
        <v>440</v>
      </c>
      <c r="D1819" s="1732">
        <v>2.5624999999999998E-2</v>
      </c>
      <c r="E1819" s="1514" t="s">
        <v>15423</v>
      </c>
      <c r="F1819" s="1489" t="s">
        <v>15444</v>
      </c>
      <c r="G1819" s="1822">
        <v>0.47789999999999999</v>
      </c>
      <c r="H1819" s="80"/>
      <c r="I1819" s="80"/>
      <c r="J1819" s="80"/>
      <c r="K1819" s="80"/>
      <c r="L1819" s="1370"/>
      <c r="M1819" s="1370"/>
      <c r="N1819" s="1370"/>
      <c r="O1819" s="1370"/>
      <c r="P1819" s="1370"/>
      <c r="Q1819" s="1370"/>
      <c r="R1819" s="1370"/>
      <c r="S1819" s="1370"/>
      <c r="T1819" s="1370"/>
      <c r="U1819" s="1370"/>
      <c r="V1819" s="1370"/>
      <c r="W1819" s="1370"/>
      <c r="X1819" s="1370"/>
    </row>
    <row r="1820" spans="1:24" ht="12.75" customHeight="1" x14ac:dyDescent="0.2">
      <c r="A1820" s="1526">
        <v>43701</v>
      </c>
      <c r="B1820" s="1639" t="s">
        <v>4259</v>
      </c>
      <c r="C1820" s="1639" t="s">
        <v>440</v>
      </c>
      <c r="D1820" s="1686">
        <v>2.4884259259259259E-2</v>
      </c>
      <c r="E1820" s="1489" t="s">
        <v>15268</v>
      </c>
      <c r="F1820" s="1489" t="s">
        <v>15327</v>
      </c>
      <c r="G1820" s="1815">
        <v>0.49209999999999998</v>
      </c>
      <c r="H1820" s="80"/>
      <c r="I1820" s="80"/>
      <c r="J1820" s="80"/>
      <c r="K1820" s="80"/>
      <c r="L1820" s="80"/>
      <c r="M1820" s="80"/>
      <c r="N1820" s="80"/>
      <c r="O1820" s="80"/>
      <c r="P1820" s="80"/>
      <c r="Q1820" s="80"/>
      <c r="R1820" s="80"/>
      <c r="S1820" s="80"/>
      <c r="T1820" s="80"/>
      <c r="U1820" s="80"/>
      <c r="V1820" s="80"/>
      <c r="W1820" s="80"/>
      <c r="X1820" s="80"/>
    </row>
    <row r="1821" spans="1:24" ht="12.75" customHeight="1" x14ac:dyDescent="0.2">
      <c r="A1821" s="1384">
        <v>43680</v>
      </c>
      <c r="B1821" s="1639" t="s">
        <v>4259</v>
      </c>
      <c r="C1821" s="1639" t="s">
        <v>440</v>
      </c>
      <c r="D1821" s="1686">
        <v>2.4432870370370365E-2</v>
      </c>
      <c r="E1821" s="1489" t="s">
        <v>13361</v>
      </c>
      <c r="F1821" s="1489" t="s">
        <v>13385</v>
      </c>
      <c r="G1821" s="1815">
        <v>0.50119999999999998</v>
      </c>
      <c r="H1821" s="80"/>
      <c r="I1821" s="80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</row>
    <row r="1822" spans="1:24" ht="12.75" customHeight="1" x14ac:dyDescent="0.2">
      <c r="A1822" s="1384">
        <v>43673</v>
      </c>
      <c r="B1822" s="1639" t="s">
        <v>4259</v>
      </c>
      <c r="C1822" s="1639" t="s">
        <v>440</v>
      </c>
      <c r="D1822" s="1686">
        <v>2.4641203703703703E-2</v>
      </c>
      <c r="E1822" s="1489" t="s">
        <v>13300</v>
      </c>
      <c r="F1822" s="1489" t="s">
        <v>13319</v>
      </c>
      <c r="G1822" s="1815">
        <v>0.49690000000000001</v>
      </c>
      <c r="H1822" s="80"/>
      <c r="I1822" s="1514"/>
      <c r="J1822" s="80"/>
      <c r="K1822" s="80"/>
      <c r="L1822" s="1370"/>
      <c r="M1822" s="1370"/>
      <c r="N1822" s="1370"/>
      <c r="O1822" s="1370"/>
      <c r="P1822" s="1370"/>
      <c r="Q1822" s="1370"/>
      <c r="R1822" s="1370"/>
      <c r="S1822" s="1370"/>
      <c r="T1822" s="1370"/>
      <c r="U1822" s="1370"/>
      <c r="V1822" s="1370"/>
      <c r="W1822" s="1370"/>
      <c r="X1822" s="1370"/>
    </row>
    <row r="1823" spans="1:24" ht="12.75" customHeight="1" x14ac:dyDescent="0.2">
      <c r="A1823" s="1384">
        <v>43603</v>
      </c>
      <c r="B1823" s="1639" t="s">
        <v>4259</v>
      </c>
      <c r="C1823" s="1639" t="s">
        <v>440</v>
      </c>
      <c r="D1823" s="1733">
        <v>2.4837962962962964E-2</v>
      </c>
      <c r="E1823" s="1489" t="s">
        <v>12686</v>
      </c>
      <c r="F1823" s="1489" t="s">
        <v>12707</v>
      </c>
      <c r="G1823" s="1815">
        <v>0.49299999999999999</v>
      </c>
      <c r="H1823" s="1489"/>
      <c r="I1823" s="1489"/>
      <c r="J1823" s="1370"/>
      <c r="K1823" s="1370"/>
      <c r="L1823" s="80"/>
      <c r="M1823" s="80"/>
      <c r="N1823" s="80"/>
      <c r="O1823" s="80"/>
      <c r="P1823" s="80"/>
      <c r="Q1823" s="80"/>
      <c r="R1823" s="80"/>
      <c r="S1823" s="80"/>
      <c r="T1823" s="80"/>
      <c r="U1823" s="80"/>
      <c r="V1823" s="80"/>
      <c r="W1823" s="80"/>
      <c r="X1823" s="80"/>
    </row>
    <row r="1824" spans="1:24" ht="12.75" customHeight="1" x14ac:dyDescent="0.2">
      <c r="A1824" s="1384">
        <v>43582</v>
      </c>
      <c r="B1824" s="1639" t="s">
        <v>4259</v>
      </c>
      <c r="C1824" s="1639" t="s">
        <v>440</v>
      </c>
      <c r="D1824" s="1733">
        <v>2.4722222222222225E-2</v>
      </c>
      <c r="E1824" s="1489" t="s">
        <v>12587</v>
      </c>
      <c r="F1824" s="1489" t="s">
        <v>12629</v>
      </c>
      <c r="G1824" s="1815">
        <v>0.49530000000000002</v>
      </c>
      <c r="H1824" s="1489"/>
      <c r="I1824" s="1489"/>
      <c r="J1824" s="1370"/>
      <c r="K1824" s="1370"/>
      <c r="L1824" s="80"/>
      <c r="M1824" s="80"/>
      <c r="N1824" s="80"/>
      <c r="O1824" s="80"/>
      <c r="P1824" s="80"/>
      <c r="Q1824" s="80"/>
      <c r="R1824" s="80"/>
      <c r="S1824" s="80"/>
      <c r="T1824" s="80"/>
      <c r="U1824" s="80"/>
      <c r="V1824" s="80"/>
      <c r="W1824" s="80"/>
      <c r="X1824" s="80"/>
    </row>
    <row r="1825" spans="1:24" ht="12.75" customHeight="1" x14ac:dyDescent="0.2">
      <c r="A1825" s="1384">
        <v>43568</v>
      </c>
      <c r="B1825" s="1639" t="s">
        <v>4259</v>
      </c>
      <c r="C1825" s="1639" t="s">
        <v>440</v>
      </c>
      <c r="D1825" s="1733">
        <v>2.4293981481481482E-2</v>
      </c>
      <c r="E1825" s="1489" t="s">
        <v>12398</v>
      </c>
      <c r="F1825" s="1489" t="s">
        <v>12390</v>
      </c>
      <c r="G1825" s="1815">
        <v>0.504</v>
      </c>
      <c r="H1825" s="1489"/>
      <c r="I1825" s="1489"/>
      <c r="J1825" s="1370"/>
      <c r="K1825" s="1370"/>
      <c r="L1825" s="80"/>
      <c r="M1825" s="80"/>
      <c r="N1825" s="80"/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</row>
    <row r="1826" spans="1:24" ht="12.75" customHeight="1" x14ac:dyDescent="0.2">
      <c r="A1826" s="1384">
        <v>43554</v>
      </c>
      <c r="B1826" s="1639" t="s">
        <v>4259</v>
      </c>
      <c r="C1826" s="1639" t="s">
        <v>440</v>
      </c>
      <c r="D1826" s="1733">
        <v>2.4467592592592593E-2</v>
      </c>
      <c r="E1826" s="1489" t="s">
        <v>12245</v>
      </c>
      <c r="F1826" s="1489" t="s">
        <v>12260</v>
      </c>
      <c r="G1826" s="1815">
        <v>0.50049999999999994</v>
      </c>
      <c r="H1826" s="1489"/>
      <c r="I1826" s="1489"/>
      <c r="J1826" s="1370"/>
      <c r="K1826" s="1370"/>
      <c r="L1826" s="1370"/>
      <c r="M1826" s="1370"/>
      <c r="N1826" s="1370"/>
      <c r="O1826" s="1370"/>
      <c r="P1826" s="1370"/>
      <c r="Q1826" s="1370"/>
      <c r="R1826" s="1370"/>
      <c r="S1826" s="1370"/>
      <c r="T1826" s="1370"/>
      <c r="U1826" s="1370"/>
      <c r="V1826" s="1370"/>
      <c r="W1826" s="1370"/>
      <c r="X1826" s="1370"/>
    </row>
    <row r="1827" spans="1:24" ht="12.75" customHeight="1" x14ac:dyDescent="0.2">
      <c r="A1827" s="1384">
        <v>43540</v>
      </c>
      <c r="B1827" s="1639" t="s">
        <v>4259</v>
      </c>
      <c r="C1827" s="1639" t="s">
        <v>440</v>
      </c>
      <c r="D1827" s="1733">
        <v>2.5740740740740745E-2</v>
      </c>
      <c r="E1827" s="1489" t="s">
        <v>12090</v>
      </c>
      <c r="F1827" s="1489" t="s">
        <v>12142</v>
      </c>
      <c r="G1827" s="1815">
        <v>0.47570000000000001</v>
      </c>
      <c r="H1827" s="1489"/>
      <c r="I1827" s="1489"/>
      <c r="J1827" s="1370"/>
      <c r="K1827" s="1370"/>
      <c r="L1827" s="1370"/>
      <c r="M1827" s="1370"/>
      <c r="N1827" s="1370"/>
      <c r="O1827" s="1370"/>
      <c r="P1827" s="1370"/>
      <c r="Q1827" s="1370"/>
      <c r="R1827" s="1370"/>
      <c r="S1827" s="1370"/>
      <c r="T1827" s="1370"/>
      <c r="U1827" s="1370"/>
      <c r="V1827" s="1370"/>
      <c r="W1827" s="1370"/>
      <c r="X1827" s="1370"/>
    </row>
    <row r="1828" spans="1:24" ht="12.75" customHeight="1" x14ac:dyDescent="0.2">
      <c r="A1828" s="1384">
        <v>43512</v>
      </c>
      <c r="B1828" s="1639" t="s">
        <v>4259</v>
      </c>
      <c r="C1828" s="1639" t="s">
        <v>440</v>
      </c>
      <c r="D1828" s="1733">
        <v>2.4699074074074078E-2</v>
      </c>
      <c r="E1828" s="1489" t="s">
        <v>5653</v>
      </c>
      <c r="F1828" s="1489" t="s">
        <v>11832</v>
      </c>
      <c r="G1828" s="1815">
        <v>0.49580000000000002</v>
      </c>
      <c r="H1828" s="1489"/>
      <c r="I1828" s="1489"/>
      <c r="J1828" s="1370"/>
      <c r="K1828" s="1370"/>
      <c r="L1828" s="1370"/>
      <c r="M1828" s="1370"/>
      <c r="N1828" s="1370"/>
      <c r="O1828" s="1370"/>
      <c r="P1828" s="1370"/>
      <c r="Q1828" s="1370"/>
      <c r="R1828" s="1370"/>
      <c r="S1828" s="1370"/>
      <c r="T1828" s="1370"/>
      <c r="U1828" s="1370"/>
      <c r="V1828" s="1370"/>
      <c r="W1828" s="1370"/>
      <c r="X1828" s="1370"/>
    </row>
    <row r="1829" spans="1:24" ht="12.75" customHeight="1" x14ac:dyDescent="0.2">
      <c r="A1829" s="1384">
        <v>43505</v>
      </c>
      <c r="B1829" s="1639" t="s">
        <v>4259</v>
      </c>
      <c r="C1829" s="1639" t="s">
        <v>440</v>
      </c>
      <c r="D1829" s="1733">
        <v>3.2534722222222222E-2</v>
      </c>
      <c r="E1829" s="1489" t="s">
        <v>9735</v>
      </c>
      <c r="F1829" s="1489" t="s">
        <v>11778</v>
      </c>
      <c r="G1829" s="1815">
        <v>0.37640000000000001</v>
      </c>
      <c r="H1829" s="1489"/>
      <c r="I1829" s="1489"/>
      <c r="J1829" s="1370"/>
      <c r="K1829" s="1370"/>
      <c r="L1829" s="1370"/>
      <c r="M1829" s="1370"/>
      <c r="N1829" s="1370"/>
      <c r="O1829" s="1370"/>
      <c r="P1829" s="1370"/>
      <c r="Q1829" s="1370"/>
      <c r="R1829" s="1370"/>
      <c r="S1829" s="1370"/>
      <c r="T1829" s="1370"/>
      <c r="U1829" s="1370"/>
      <c r="V1829" s="1370"/>
      <c r="W1829" s="1370"/>
      <c r="X1829" s="1370"/>
    </row>
    <row r="1830" spans="1:24" ht="12.75" customHeight="1" x14ac:dyDescent="0.2">
      <c r="A1830" s="1384">
        <v>43484</v>
      </c>
      <c r="B1830" s="1639" t="s">
        <v>4259</v>
      </c>
      <c r="C1830" s="1639" t="s">
        <v>440</v>
      </c>
      <c r="D1830" s="1733">
        <v>2.4421296296296292E-2</v>
      </c>
      <c r="E1830" s="1489" t="s">
        <v>8254</v>
      </c>
      <c r="F1830" s="1489" t="s">
        <v>11621</v>
      </c>
      <c r="G1830" s="1815">
        <v>0.50139999999999996</v>
      </c>
      <c r="H1830" s="1489"/>
      <c r="I1830" s="1489"/>
      <c r="J1830" s="1370"/>
      <c r="K1830" s="1370"/>
      <c r="L1830" s="1370"/>
      <c r="M1830" s="1370"/>
      <c r="N1830" s="1370"/>
      <c r="O1830" s="1370"/>
      <c r="P1830" s="1370"/>
      <c r="Q1830" s="1370"/>
      <c r="R1830" s="1370"/>
      <c r="S1830" s="1370"/>
      <c r="T1830" s="1370"/>
      <c r="U1830" s="1370"/>
      <c r="V1830" s="1370"/>
      <c r="W1830" s="1370"/>
      <c r="X1830" s="1370"/>
    </row>
    <row r="1831" spans="1:24" ht="12.75" customHeight="1" x14ac:dyDescent="0.2">
      <c r="A1831" s="1384">
        <v>43477</v>
      </c>
      <c r="B1831" s="1639" t="s">
        <v>4259</v>
      </c>
      <c r="C1831" s="1639" t="s">
        <v>440</v>
      </c>
      <c r="D1831" s="1733">
        <v>2.5694444444444447E-2</v>
      </c>
      <c r="E1831" s="1489" t="s">
        <v>11009</v>
      </c>
      <c r="F1831" s="1489" t="s">
        <v>11612</v>
      </c>
      <c r="G1831" s="1815">
        <v>0.47660000000000002</v>
      </c>
      <c r="H1831" s="1489"/>
      <c r="I1831" s="1489"/>
      <c r="J1831" s="1370"/>
      <c r="K1831" s="1370"/>
      <c r="L1831" s="80"/>
      <c r="M1831" s="80"/>
      <c r="N1831" s="80"/>
      <c r="O1831" s="80"/>
      <c r="P1831" s="80"/>
      <c r="Q1831" s="80"/>
      <c r="R1831" s="80"/>
      <c r="S1831" s="80"/>
      <c r="T1831" s="80"/>
      <c r="U1831" s="80"/>
      <c r="V1831" s="80"/>
      <c r="W1831" s="80"/>
      <c r="X1831" s="80"/>
    </row>
    <row r="1832" spans="1:24" ht="12.75" customHeight="1" x14ac:dyDescent="0.2">
      <c r="A1832" s="1526">
        <v>43701</v>
      </c>
      <c r="B1832" s="1489" t="s">
        <v>1542</v>
      </c>
      <c r="C1832" s="1489" t="s">
        <v>3899</v>
      </c>
      <c r="D1832" s="1686">
        <v>1.556712962962963E-2</v>
      </c>
      <c r="E1832" s="1489" t="s">
        <v>15274</v>
      </c>
      <c r="F1832" s="1489" t="s">
        <v>15326</v>
      </c>
      <c r="G1832" s="1815">
        <v>0.69740000000000002</v>
      </c>
      <c r="H1832" s="80"/>
      <c r="I1832" s="80"/>
      <c r="J1832" s="80"/>
      <c r="K1832" s="80"/>
      <c r="L1832" s="1370"/>
      <c r="M1832" s="1370"/>
      <c r="N1832" s="1370"/>
      <c r="O1832" s="1370"/>
      <c r="P1832" s="1370"/>
      <c r="Q1832" s="1370"/>
      <c r="R1832" s="1370"/>
      <c r="S1832" s="1370"/>
      <c r="T1832" s="1370"/>
      <c r="U1832" s="1370"/>
      <c r="V1832" s="1370"/>
      <c r="W1832" s="1370"/>
      <c r="X1832" s="1370"/>
    </row>
    <row r="1833" spans="1:24" ht="12.75" customHeight="1" x14ac:dyDescent="0.2">
      <c r="A1833" s="1384">
        <v>43575</v>
      </c>
      <c r="B1833" s="1489" t="s">
        <v>12461</v>
      </c>
      <c r="C1833" s="1489" t="s">
        <v>10860</v>
      </c>
      <c r="D1833" s="1733">
        <v>1.8749999999999999E-2</v>
      </c>
      <c r="E1833" s="1489" t="s">
        <v>12463</v>
      </c>
      <c r="F1833" s="1489" t="s">
        <v>12460</v>
      </c>
      <c r="G1833" s="1815">
        <v>0.63019999999999998</v>
      </c>
      <c r="H1833" s="1489"/>
      <c r="I1833" s="1489"/>
      <c r="J1833" s="1370"/>
      <c r="K1833" s="1370"/>
      <c r="L1833" s="80"/>
      <c r="M1833" s="80"/>
      <c r="N1833" s="80"/>
      <c r="O1833" s="80"/>
      <c r="P1833" s="80"/>
      <c r="Q1833" s="80"/>
      <c r="R1833" s="80"/>
      <c r="S1833" s="80"/>
      <c r="T1833" s="80"/>
      <c r="U1833" s="80"/>
      <c r="V1833" s="80"/>
      <c r="W1833" s="80"/>
      <c r="X1833" s="80"/>
    </row>
    <row r="1834" spans="1:24" ht="12.75" customHeight="1" x14ac:dyDescent="0.2">
      <c r="A1834" s="523">
        <v>43652</v>
      </c>
      <c r="B1834" s="1514" t="s">
        <v>13088</v>
      </c>
      <c r="C1834" s="1489" t="s">
        <v>10860</v>
      </c>
      <c r="D1834" s="1695" t="s">
        <v>3334</v>
      </c>
      <c r="E1834" s="1514" t="s">
        <v>12510</v>
      </c>
      <c r="F1834" s="1489" t="s">
        <v>4061</v>
      </c>
      <c r="G1834" s="1815"/>
      <c r="H1834" s="1578"/>
      <c r="I1834" s="1489"/>
      <c r="J1834" s="1489"/>
      <c r="K1834" s="1489"/>
      <c r="L1834" s="80"/>
      <c r="M1834" s="80"/>
      <c r="N1834" s="80"/>
      <c r="O1834" s="80"/>
      <c r="P1834" s="80"/>
      <c r="Q1834" s="80"/>
      <c r="R1834" s="80"/>
      <c r="S1834" s="80"/>
      <c r="T1834" s="80"/>
      <c r="U1834" s="80"/>
      <c r="V1834" s="80"/>
      <c r="W1834" s="80"/>
      <c r="X1834" s="80"/>
    </row>
    <row r="1835" spans="1:24" ht="12.75" customHeight="1" x14ac:dyDescent="0.2">
      <c r="A1835" s="1673">
        <v>43820</v>
      </c>
      <c r="B1835" s="1489" t="s">
        <v>10900</v>
      </c>
      <c r="C1835" s="1489" t="s">
        <v>10860</v>
      </c>
      <c r="D1835" s="1805">
        <v>1.7893518518518517E-2</v>
      </c>
      <c r="E1835" s="1514" t="s">
        <v>16320</v>
      </c>
      <c r="F1835" s="1486"/>
      <c r="G1835" s="1825">
        <v>0.53749999999999998</v>
      </c>
    </row>
    <row r="1836" spans="1:24" ht="12.75" customHeight="1" x14ac:dyDescent="0.2">
      <c r="A1836" s="1765">
        <v>43813</v>
      </c>
      <c r="B1836" s="1489" t="s">
        <v>10900</v>
      </c>
      <c r="C1836" s="1489" t="s">
        <v>10860</v>
      </c>
      <c r="D1836" s="1621">
        <v>1.5335648148148147E-2</v>
      </c>
      <c r="E1836" s="1489" t="s">
        <v>16266</v>
      </c>
      <c r="F1836" s="1489" t="s">
        <v>16293</v>
      </c>
      <c r="G1836" s="1817">
        <v>0.62719999999999998</v>
      </c>
      <c r="H1836" s="1404"/>
      <c r="I1836" s="1489" t="s">
        <v>1212</v>
      </c>
    </row>
    <row r="1837" spans="1:24" ht="12.75" customHeight="1" x14ac:dyDescent="0.2">
      <c r="A1837" s="34">
        <v>43806</v>
      </c>
      <c r="B1837" s="1489" t="s">
        <v>10900</v>
      </c>
      <c r="C1837" s="1489" t="s">
        <v>10860</v>
      </c>
      <c r="D1837" s="1621">
        <v>1.7025462962962964E-2</v>
      </c>
      <c r="E1837" s="1489" t="s">
        <v>16217</v>
      </c>
      <c r="F1837" s="1489" t="s">
        <v>16230</v>
      </c>
      <c r="G1837" s="1817">
        <v>0.56489999999999996</v>
      </c>
    </row>
    <row r="1838" spans="1:24" ht="12.75" customHeight="1" x14ac:dyDescent="0.2">
      <c r="A1838" s="1729">
        <v>43799</v>
      </c>
      <c r="B1838" s="1489" t="s">
        <v>10900</v>
      </c>
      <c r="C1838" s="1489" t="s">
        <v>10860</v>
      </c>
      <c r="D1838" s="1754">
        <v>1.7592592592592594E-2</v>
      </c>
      <c r="E1838" s="1486" t="s">
        <v>16156</v>
      </c>
      <c r="F1838" s="1514" t="s">
        <v>16172</v>
      </c>
      <c r="G1838" s="1825">
        <v>0.54669999999999996</v>
      </c>
    </row>
    <row r="1839" spans="1:24" ht="12.75" customHeight="1" x14ac:dyDescent="0.2">
      <c r="A1839" s="1384">
        <v>43771</v>
      </c>
      <c r="B1839" s="1489" t="s">
        <v>10900</v>
      </c>
      <c r="C1839" s="1489" t="s">
        <v>10860</v>
      </c>
      <c r="D1839" s="1737">
        <v>1.5810185185185184E-2</v>
      </c>
      <c r="E1839" s="1489" t="s">
        <v>15880</v>
      </c>
      <c r="F1839" s="1489"/>
      <c r="G1839" s="1815">
        <v>0.60829999999999995</v>
      </c>
      <c r="H1839" s="1370"/>
      <c r="I1839" s="1370"/>
      <c r="J1839" s="1370"/>
      <c r="K1839" s="1370"/>
      <c r="L1839" s="1370"/>
      <c r="M1839" s="1370"/>
      <c r="N1839" s="1370"/>
      <c r="O1839" s="1370"/>
      <c r="P1839" s="1370"/>
      <c r="Q1839" s="1370"/>
      <c r="R1839" s="1370"/>
      <c r="S1839" s="1370"/>
      <c r="T1839" s="1370"/>
      <c r="U1839" s="1370"/>
      <c r="V1839" s="1370"/>
      <c r="W1839" s="1370"/>
      <c r="X1839" s="1370"/>
    </row>
    <row r="1840" spans="1:24" ht="12.75" customHeight="1" x14ac:dyDescent="0.2">
      <c r="A1840" s="1384">
        <v>43764</v>
      </c>
      <c r="B1840" s="1489" t="s">
        <v>10900</v>
      </c>
      <c r="C1840" s="1489" t="s">
        <v>10860</v>
      </c>
      <c r="D1840" s="1727">
        <v>1.8310185185185186E-2</v>
      </c>
      <c r="E1840" s="1728" t="s">
        <v>15913</v>
      </c>
      <c r="F1840" s="1728" t="s">
        <v>15925</v>
      </c>
      <c r="G1840" s="1821">
        <v>0.52529999999999999</v>
      </c>
      <c r="H1840" s="1370"/>
      <c r="I1840" s="1370"/>
      <c r="J1840" s="1370"/>
      <c r="K1840" s="1370"/>
      <c r="L1840" s="1370"/>
      <c r="M1840" s="1370"/>
      <c r="N1840" s="1370"/>
      <c r="O1840" s="1370"/>
      <c r="P1840" s="1370"/>
      <c r="Q1840" s="1370"/>
      <c r="R1840" s="1370"/>
      <c r="S1840" s="1370"/>
      <c r="T1840" s="1370"/>
      <c r="U1840" s="1370"/>
      <c r="V1840" s="1370"/>
      <c r="W1840" s="1370"/>
      <c r="X1840" s="1370"/>
    </row>
    <row r="1841" spans="1:24" ht="12.75" customHeight="1" x14ac:dyDescent="0.2">
      <c r="A1841" s="523">
        <v>43757</v>
      </c>
      <c r="B1841" s="1489" t="s">
        <v>10900</v>
      </c>
      <c r="C1841" s="1489" t="s">
        <v>10860</v>
      </c>
      <c r="D1841" s="1686">
        <v>1.7395833333333333E-2</v>
      </c>
      <c r="E1841" s="1489" t="s">
        <v>15853</v>
      </c>
      <c r="F1841" s="1489"/>
      <c r="G1841" s="1815">
        <v>0.55289999999999995</v>
      </c>
      <c r="H1841" s="1489"/>
      <c r="I1841" s="1489"/>
      <c r="J1841" s="1489"/>
      <c r="K1841" s="1489"/>
      <c r="L1841" s="80"/>
      <c r="M1841" s="80"/>
      <c r="N1841" s="80"/>
      <c r="O1841" s="80"/>
      <c r="P1841" s="80"/>
      <c r="Q1841" s="80"/>
      <c r="R1841" s="80"/>
      <c r="S1841" s="80"/>
      <c r="T1841" s="80"/>
      <c r="U1841" s="80"/>
      <c r="V1841" s="80"/>
      <c r="W1841" s="80"/>
      <c r="X1841" s="80"/>
    </row>
    <row r="1842" spans="1:24" ht="12.75" customHeight="1" x14ac:dyDescent="0.2">
      <c r="A1842" s="523">
        <v>43750</v>
      </c>
      <c r="B1842" s="1489" t="s">
        <v>10900</v>
      </c>
      <c r="C1842" s="1489" t="s">
        <v>10860</v>
      </c>
      <c r="D1842" s="1686">
        <v>1.8715277777777775E-2</v>
      </c>
      <c r="E1842" s="1489" t="s">
        <v>15798</v>
      </c>
      <c r="F1842" s="1489" t="s">
        <v>15821</v>
      </c>
      <c r="G1842" s="1815">
        <v>0.51390000000000002</v>
      </c>
      <c r="H1842" s="80"/>
      <c r="I1842" s="80"/>
      <c r="J1842" s="80"/>
      <c r="K1842" s="80"/>
      <c r="L1842" s="80"/>
      <c r="M1842" s="80"/>
      <c r="N1842" s="80"/>
      <c r="O1842" s="80"/>
      <c r="P1842" s="80"/>
      <c r="Q1842" s="80"/>
      <c r="R1842" s="80"/>
      <c r="S1842" s="80"/>
      <c r="T1842" s="80"/>
      <c r="U1842" s="80"/>
      <c r="V1842" s="80"/>
      <c r="W1842" s="80"/>
      <c r="X1842" s="80"/>
    </row>
    <row r="1843" spans="1:24" ht="12.75" customHeight="1" x14ac:dyDescent="0.2">
      <c r="A1843" s="523">
        <v>43722</v>
      </c>
      <c r="B1843" s="1489" t="s">
        <v>10900</v>
      </c>
      <c r="C1843" s="1489" t="s">
        <v>10860</v>
      </c>
      <c r="D1843" s="1686">
        <v>1.7222222222222226E-2</v>
      </c>
      <c r="E1843" s="1489" t="s">
        <v>15461</v>
      </c>
      <c r="F1843" s="1489" t="s">
        <v>15502</v>
      </c>
      <c r="G1843" s="1815">
        <v>0.5585</v>
      </c>
      <c r="H1843" s="80"/>
      <c r="I1843" s="80"/>
      <c r="J1843" s="80"/>
      <c r="K1843" s="80"/>
      <c r="L1843" s="80"/>
      <c r="M1843" s="80"/>
      <c r="N1843" s="80"/>
      <c r="O1843" s="80"/>
      <c r="P1843" s="80"/>
      <c r="Q1843" s="80"/>
      <c r="R1843" s="80"/>
      <c r="S1843" s="80"/>
      <c r="T1843" s="80"/>
      <c r="U1843" s="80"/>
      <c r="V1843" s="80"/>
      <c r="W1843" s="80"/>
      <c r="X1843" s="80"/>
    </row>
    <row r="1844" spans="1:24" ht="12.75" customHeight="1" x14ac:dyDescent="0.2">
      <c r="A1844" s="523">
        <v>43715</v>
      </c>
      <c r="B1844" s="1489" t="s">
        <v>10900</v>
      </c>
      <c r="C1844" s="1489" t="s">
        <v>10860</v>
      </c>
      <c r="D1844" s="1732">
        <v>1.7662037037037039E-2</v>
      </c>
      <c r="E1844" s="1514" t="s">
        <v>15421</v>
      </c>
      <c r="F1844" s="1489" t="s">
        <v>1426</v>
      </c>
      <c r="G1844" s="1822">
        <v>0.54459999999999997</v>
      </c>
      <c r="H1844" s="1514"/>
      <c r="I1844" s="80"/>
      <c r="J1844" s="80"/>
      <c r="K1844" s="80"/>
      <c r="L1844" s="80"/>
      <c r="M1844" s="80"/>
      <c r="N1844" s="80"/>
      <c r="O1844" s="80"/>
      <c r="P1844" s="80"/>
      <c r="Q1844" s="80"/>
      <c r="R1844" s="80"/>
      <c r="S1844" s="80"/>
      <c r="T1844" s="80"/>
      <c r="U1844" s="80"/>
      <c r="V1844" s="80"/>
      <c r="W1844" s="80"/>
      <c r="X1844" s="80"/>
    </row>
    <row r="1845" spans="1:24" ht="12.75" customHeight="1" x14ac:dyDescent="0.2">
      <c r="A1845" s="1526">
        <v>43708</v>
      </c>
      <c r="B1845" s="1489" t="s">
        <v>10900</v>
      </c>
      <c r="C1845" s="1489" t="s">
        <v>10860</v>
      </c>
      <c r="D1845" s="1686">
        <v>1.6898148148148148E-2</v>
      </c>
      <c r="E1845" s="1489" t="s">
        <v>15354</v>
      </c>
      <c r="F1845" s="1489" t="s">
        <v>15403</v>
      </c>
      <c r="G1845" s="1815">
        <v>0.56920000000000004</v>
      </c>
      <c r="H1845" s="1489"/>
      <c r="I1845" s="1489"/>
      <c r="J1845" s="1489"/>
      <c r="K1845" s="80"/>
      <c r="L1845" s="80"/>
      <c r="M1845" s="80"/>
      <c r="N1845" s="80"/>
      <c r="O1845" s="80"/>
      <c r="P1845" s="80"/>
      <c r="Q1845" s="80"/>
      <c r="R1845" s="80"/>
      <c r="S1845" s="80"/>
      <c r="T1845" s="80"/>
      <c r="U1845" s="80"/>
      <c r="V1845" s="80"/>
      <c r="W1845" s="80"/>
      <c r="X1845" s="80"/>
    </row>
    <row r="1846" spans="1:24" ht="12.75" customHeight="1" x14ac:dyDescent="0.2">
      <c r="A1846" s="1526">
        <v>43701</v>
      </c>
      <c r="B1846" s="1489" t="s">
        <v>10900</v>
      </c>
      <c r="C1846" s="1489" t="s">
        <v>10860</v>
      </c>
      <c r="D1846" s="1686">
        <v>1.7546296296296296E-2</v>
      </c>
      <c r="E1846" s="1489" t="s">
        <v>15284</v>
      </c>
      <c r="F1846" s="1489"/>
      <c r="G1846" s="1815">
        <v>0.54820000000000002</v>
      </c>
      <c r="H1846" s="80"/>
      <c r="I1846" s="80"/>
      <c r="J1846" s="80"/>
      <c r="K1846" s="80"/>
      <c r="L1846" s="80"/>
      <c r="M1846" s="80"/>
      <c r="N1846" s="80"/>
      <c r="O1846" s="80"/>
      <c r="P1846" s="80"/>
      <c r="Q1846" s="80"/>
      <c r="R1846" s="80"/>
      <c r="S1846" s="80"/>
      <c r="T1846" s="80"/>
      <c r="U1846" s="80"/>
      <c r="V1846" s="80"/>
      <c r="W1846" s="80"/>
      <c r="X1846" s="80"/>
    </row>
    <row r="1847" spans="1:24" ht="12.75" customHeight="1" x14ac:dyDescent="0.2">
      <c r="A1847" s="523">
        <v>43694</v>
      </c>
      <c r="B1847" s="1489" t="s">
        <v>10900</v>
      </c>
      <c r="C1847" s="1489" t="s">
        <v>10860</v>
      </c>
      <c r="D1847" s="1733">
        <v>1.7060185185185185E-2</v>
      </c>
      <c r="E1847" s="1489" t="s">
        <v>15167</v>
      </c>
      <c r="F1847" s="1489" t="s">
        <v>15196</v>
      </c>
      <c r="G1847" s="1815">
        <v>0.56379999999999997</v>
      </c>
      <c r="H1847" s="80"/>
      <c r="I1847" s="80"/>
      <c r="J1847" s="80"/>
      <c r="K1847" s="80"/>
      <c r="L1847" s="80"/>
      <c r="M1847" s="80"/>
      <c r="N1847" s="80"/>
      <c r="O1847" s="80"/>
      <c r="P1847" s="80"/>
      <c r="Q1847" s="80"/>
      <c r="R1847" s="80"/>
      <c r="S1847" s="80"/>
      <c r="T1847" s="80"/>
      <c r="U1847" s="80"/>
      <c r="V1847" s="80"/>
      <c r="W1847" s="80"/>
      <c r="X1847" s="80"/>
    </row>
    <row r="1848" spans="1:24" ht="12.75" customHeight="1" x14ac:dyDescent="0.2">
      <c r="A1848" s="1384">
        <v>43673</v>
      </c>
      <c r="B1848" s="1489" t="s">
        <v>10900</v>
      </c>
      <c r="C1848" s="1489" t="s">
        <v>10860</v>
      </c>
      <c r="D1848" s="1686">
        <v>1.744212962962963E-2</v>
      </c>
      <c r="E1848" s="1489" t="s">
        <v>13281</v>
      </c>
      <c r="F1848" s="1489" t="s">
        <v>13313</v>
      </c>
      <c r="G1848" s="1815">
        <v>0.5514</v>
      </c>
      <c r="H1848" s="80"/>
      <c r="I1848" s="1514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</row>
    <row r="1849" spans="1:24" ht="12.75" customHeight="1" x14ac:dyDescent="0.2">
      <c r="A1849" s="523">
        <v>43659</v>
      </c>
      <c r="B1849" s="1489" t="s">
        <v>10900</v>
      </c>
      <c r="C1849" s="1489" t="s">
        <v>10860</v>
      </c>
      <c r="D1849" s="1686">
        <v>1.6921296296296295E-2</v>
      </c>
      <c r="E1849" s="1489" t="s">
        <v>13152</v>
      </c>
      <c r="F1849" s="1489" t="s">
        <v>13159</v>
      </c>
      <c r="G1849" s="1815">
        <v>0.56840000000000002</v>
      </c>
      <c r="H1849" s="1514"/>
      <c r="I1849" s="1489" t="s">
        <v>1212</v>
      </c>
      <c r="J1849" s="80"/>
      <c r="K1849" s="80"/>
      <c r="L1849" s="1370"/>
      <c r="M1849" s="1370"/>
      <c r="N1849" s="1370"/>
      <c r="O1849" s="1370"/>
      <c r="P1849" s="1370"/>
      <c r="Q1849" s="1370"/>
      <c r="R1849" s="1370"/>
      <c r="S1849" s="1370"/>
      <c r="T1849" s="1370"/>
      <c r="U1849" s="1370"/>
      <c r="V1849" s="1370"/>
      <c r="W1849" s="1370"/>
      <c r="X1849" s="1370"/>
    </row>
    <row r="1850" spans="1:24" ht="12.75" customHeight="1" x14ac:dyDescent="0.2">
      <c r="A1850" s="523">
        <v>43652</v>
      </c>
      <c r="B1850" s="1489" t="s">
        <v>10900</v>
      </c>
      <c r="C1850" s="1489" t="s">
        <v>10860</v>
      </c>
      <c r="D1850" s="1686">
        <v>1.7314814814814818E-2</v>
      </c>
      <c r="E1850" s="1489" t="s">
        <v>13068</v>
      </c>
      <c r="F1850" s="1489" t="s">
        <v>13112</v>
      </c>
      <c r="G1850" s="1815">
        <v>0.55549999999999999</v>
      </c>
      <c r="H1850" s="1489"/>
      <c r="I1850" s="1514"/>
      <c r="J1850" s="80"/>
      <c r="K1850" s="80"/>
      <c r="L1850" s="1370"/>
      <c r="M1850" s="1370"/>
      <c r="N1850" s="1370"/>
      <c r="O1850" s="1370"/>
      <c r="P1850" s="1370"/>
      <c r="Q1850" s="1370"/>
      <c r="R1850" s="1370"/>
      <c r="S1850" s="1370"/>
      <c r="T1850" s="1370"/>
      <c r="U1850" s="1370"/>
      <c r="V1850" s="1370"/>
      <c r="W1850" s="1370"/>
      <c r="X1850" s="1370"/>
    </row>
    <row r="1851" spans="1:24" x14ac:dyDescent="0.2">
      <c r="A1851" s="523">
        <v>43624</v>
      </c>
      <c r="B1851" s="1489" t="s">
        <v>10900</v>
      </c>
      <c r="C1851" s="1489" t="s">
        <v>10860</v>
      </c>
      <c r="D1851" s="1835">
        <v>1.8912037037037036E-2</v>
      </c>
      <c r="E1851" s="1569" t="s">
        <v>12852</v>
      </c>
      <c r="F1851" s="1569" t="s">
        <v>12874</v>
      </c>
      <c r="G1851" s="1818">
        <v>0.50860000000000005</v>
      </c>
      <c r="H1851" s="1514"/>
      <c r="I1851" s="1514"/>
      <c r="J1851" s="80"/>
      <c r="K1851" s="80"/>
      <c r="L1851" s="1370"/>
      <c r="M1851" s="1370"/>
      <c r="N1851" s="1370"/>
      <c r="O1851" s="1370"/>
      <c r="P1851" s="1370"/>
      <c r="Q1851" s="1370"/>
      <c r="R1851" s="1370"/>
      <c r="S1851" s="1370"/>
      <c r="T1851" s="1370"/>
      <c r="U1851" s="1370"/>
      <c r="V1851" s="1370"/>
      <c r="W1851" s="1370"/>
      <c r="X1851" s="1370"/>
    </row>
    <row r="1852" spans="1:24" x14ac:dyDescent="0.2">
      <c r="A1852" s="1384">
        <v>43617</v>
      </c>
      <c r="B1852" s="1489" t="s">
        <v>10900</v>
      </c>
      <c r="C1852" s="1489" t="s">
        <v>10860</v>
      </c>
      <c r="D1852" s="1842">
        <v>1.8981481481481481E-2</v>
      </c>
      <c r="E1852" s="1558" t="s">
        <v>12803</v>
      </c>
      <c r="F1852" s="1558"/>
      <c r="G1852" s="1831">
        <v>0.503</v>
      </c>
      <c r="H1852" s="1489"/>
      <c r="I1852" s="1489"/>
      <c r="J1852" s="1370"/>
      <c r="K1852" s="1370"/>
      <c r="L1852" s="80"/>
      <c r="M1852" s="80"/>
      <c r="N1852" s="80"/>
      <c r="O1852" s="80"/>
      <c r="P1852" s="80"/>
      <c r="Q1852" s="80"/>
      <c r="R1852" s="80"/>
      <c r="S1852" s="80"/>
      <c r="T1852" s="80"/>
      <c r="U1852" s="80"/>
      <c r="V1852" s="80"/>
      <c r="W1852" s="80"/>
      <c r="X1852" s="80"/>
    </row>
    <row r="1853" spans="1:24" x14ac:dyDescent="0.2">
      <c r="A1853" s="1384">
        <v>43610</v>
      </c>
      <c r="B1853" s="1489" t="s">
        <v>10900</v>
      </c>
      <c r="C1853" s="1489" t="s">
        <v>10860</v>
      </c>
      <c r="D1853" s="1790">
        <v>1.8483796296296297E-2</v>
      </c>
      <c r="E1853" s="1539" t="s">
        <v>12725</v>
      </c>
      <c r="F1853" s="1539" t="s">
        <v>12753</v>
      </c>
      <c r="G1853" s="1826">
        <v>0.51659999999999995</v>
      </c>
      <c r="H1853" s="1489"/>
      <c r="I1853" s="1489"/>
      <c r="J1853" s="1370"/>
      <c r="K1853" s="1370"/>
      <c r="L1853" s="80"/>
      <c r="M1853" s="80"/>
      <c r="N1853" s="80"/>
      <c r="O1853" s="80"/>
      <c r="P1853" s="80"/>
      <c r="Q1853" s="80"/>
      <c r="R1853" s="80"/>
      <c r="S1853" s="80"/>
      <c r="T1853" s="80"/>
      <c r="U1853" s="80"/>
      <c r="V1853" s="80"/>
      <c r="W1853" s="80"/>
      <c r="X1853" s="80"/>
    </row>
    <row r="1854" spans="1:24" x14ac:dyDescent="0.2">
      <c r="A1854" s="1384">
        <v>43582</v>
      </c>
      <c r="B1854" s="1489" t="s">
        <v>10900</v>
      </c>
      <c r="C1854" s="1489" t="s">
        <v>10860</v>
      </c>
      <c r="D1854" s="1790">
        <v>1.9039351851851852E-2</v>
      </c>
      <c r="E1854" s="1539" t="s">
        <v>12632</v>
      </c>
      <c r="F1854" s="1539" t="s">
        <v>12634</v>
      </c>
      <c r="G1854" s="1826">
        <v>0.50149999999999995</v>
      </c>
      <c r="H1854" s="1489"/>
      <c r="I1854" s="1489"/>
      <c r="J1854" s="1370"/>
      <c r="K1854" s="1370"/>
      <c r="L1854" s="80"/>
      <c r="M1854" s="80"/>
      <c r="N1854" s="80"/>
      <c r="O1854" s="80"/>
      <c r="P1854" s="80"/>
      <c r="Q1854" s="80"/>
      <c r="R1854" s="80"/>
      <c r="S1854" s="80"/>
      <c r="T1854" s="80"/>
      <c r="U1854" s="80"/>
      <c r="V1854" s="80"/>
      <c r="W1854" s="80"/>
      <c r="X1854" s="80"/>
    </row>
    <row r="1855" spans="1:24" x14ac:dyDescent="0.2">
      <c r="A1855" s="1384">
        <v>43575</v>
      </c>
      <c r="B1855" s="1489" t="s">
        <v>10900</v>
      </c>
      <c r="C1855" s="1489" t="s">
        <v>10860</v>
      </c>
      <c r="D1855" s="1790">
        <v>1.8749999999999999E-2</v>
      </c>
      <c r="E1855" s="1539" t="s">
        <v>12463</v>
      </c>
      <c r="F1855" s="1539" t="s">
        <v>12459</v>
      </c>
      <c r="G1855" s="1826">
        <v>0.50929999999999997</v>
      </c>
      <c r="H1855" s="1489"/>
      <c r="I1855" s="1489"/>
      <c r="J1855" s="1370"/>
      <c r="K1855" s="1370"/>
      <c r="L1855" s="80"/>
      <c r="M1855" s="80"/>
      <c r="N1855" s="80"/>
      <c r="O1855" s="80"/>
      <c r="P1855" s="80"/>
      <c r="Q1855" s="80"/>
      <c r="R1855" s="80"/>
      <c r="S1855" s="80"/>
      <c r="T1855" s="80"/>
      <c r="U1855" s="80"/>
      <c r="V1855" s="80"/>
      <c r="W1855" s="80"/>
      <c r="X1855" s="80"/>
    </row>
    <row r="1856" spans="1:24" x14ac:dyDescent="0.2">
      <c r="A1856" s="1384">
        <v>43568</v>
      </c>
      <c r="B1856" s="1489" t="s">
        <v>10900</v>
      </c>
      <c r="C1856" s="1489" t="s">
        <v>10860</v>
      </c>
      <c r="D1856" s="1790">
        <v>1.9606481481481482E-2</v>
      </c>
      <c r="E1856" s="1539" t="s">
        <v>12361</v>
      </c>
      <c r="F1856" s="1539" t="s">
        <v>12367</v>
      </c>
      <c r="G1856" s="1826">
        <v>0.48699999999999999</v>
      </c>
      <c r="H1856" s="1489"/>
      <c r="I1856" s="1489"/>
      <c r="J1856" s="1370"/>
      <c r="K1856" s="1370"/>
      <c r="L1856" s="80"/>
      <c r="M1856" s="80"/>
      <c r="N1856" s="80"/>
      <c r="O1856" s="80"/>
      <c r="P1856" s="80"/>
      <c r="Q1856" s="80"/>
      <c r="R1856" s="80"/>
      <c r="S1856" s="80"/>
      <c r="T1856" s="80"/>
      <c r="U1856" s="80"/>
      <c r="V1856" s="80"/>
      <c r="W1856" s="80"/>
      <c r="X1856" s="80"/>
    </row>
    <row r="1857" spans="1:24" x14ac:dyDescent="0.2">
      <c r="A1857" s="1384">
        <v>43540</v>
      </c>
      <c r="B1857" s="1489" t="s">
        <v>10900</v>
      </c>
      <c r="C1857" s="1489" t="s">
        <v>10860</v>
      </c>
      <c r="D1857" s="1790">
        <v>1.8726851851851852E-2</v>
      </c>
      <c r="E1857" s="1539" t="s">
        <v>10983</v>
      </c>
      <c r="F1857" s="1539" t="s">
        <v>12120</v>
      </c>
      <c r="G1857" s="1826">
        <v>0.50990000000000002</v>
      </c>
      <c r="H1857" s="1489"/>
      <c r="I1857" s="1489"/>
      <c r="J1857" s="1370"/>
      <c r="K1857" s="1370"/>
      <c r="L1857" s="80"/>
      <c r="M1857" s="80"/>
      <c r="N1857" s="80"/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</row>
    <row r="1858" spans="1:24" x14ac:dyDescent="0.2">
      <c r="A1858" s="1384">
        <v>43533</v>
      </c>
      <c r="B1858" s="1489" t="s">
        <v>10900</v>
      </c>
      <c r="C1858" s="1489" t="s">
        <v>10860</v>
      </c>
      <c r="D1858" s="1790">
        <v>1.622685185185185E-2</v>
      </c>
      <c r="E1858" s="1539" t="s">
        <v>12029</v>
      </c>
      <c r="F1858" s="1539" t="s">
        <v>12031</v>
      </c>
      <c r="G1858" s="1826">
        <v>0.58840000000000003</v>
      </c>
      <c r="H1858" s="1489"/>
      <c r="I1858" s="1489"/>
      <c r="J1858" s="1370"/>
      <c r="K1858" s="1370"/>
      <c r="L1858" s="80"/>
      <c r="M1858" s="80"/>
      <c r="N1858" s="80"/>
      <c r="O1858" s="80"/>
      <c r="P1858" s="80"/>
      <c r="Q1858" s="80"/>
      <c r="R1858" s="80"/>
      <c r="S1858" s="80"/>
      <c r="T1858" s="80"/>
      <c r="U1858" s="80"/>
      <c r="V1858" s="80"/>
      <c r="W1858" s="80"/>
      <c r="X1858" s="80"/>
    </row>
    <row r="1859" spans="1:24" x14ac:dyDescent="0.2">
      <c r="A1859" s="1384">
        <v>43526</v>
      </c>
      <c r="B1859" s="1489" t="s">
        <v>10900</v>
      </c>
      <c r="C1859" s="1489" t="s">
        <v>10860</v>
      </c>
      <c r="D1859" s="1790">
        <v>1.4641203703703703E-2</v>
      </c>
      <c r="E1859" s="1539" t="s">
        <v>11951</v>
      </c>
      <c r="F1859" s="1554" t="s">
        <v>11950</v>
      </c>
      <c r="G1859" s="1826">
        <v>0.6522</v>
      </c>
      <c r="H1859" s="1489"/>
      <c r="I1859" s="1489"/>
      <c r="J1859" s="1370"/>
      <c r="K1859" s="1370"/>
      <c r="L1859" s="80"/>
      <c r="M1859" s="80"/>
      <c r="N1859" s="80"/>
      <c r="O1859" s="80"/>
      <c r="P1859" s="80"/>
      <c r="Q1859" s="80"/>
      <c r="R1859" s="80"/>
      <c r="S1859" s="80"/>
      <c r="T1859" s="80"/>
      <c r="U1859" s="80"/>
      <c r="V1859" s="80"/>
      <c r="W1859" s="80"/>
      <c r="X1859" s="80"/>
    </row>
    <row r="1860" spans="1:24" x14ac:dyDescent="0.2">
      <c r="A1860" s="1384">
        <v>43498</v>
      </c>
      <c r="B1860" s="1489" t="s">
        <v>10900</v>
      </c>
      <c r="C1860" s="1489" t="s">
        <v>10860</v>
      </c>
      <c r="D1860" s="1790">
        <v>1.5856481481481482E-2</v>
      </c>
      <c r="E1860" s="1539" t="s">
        <v>9307</v>
      </c>
      <c r="F1860" s="1554" t="s">
        <v>11738</v>
      </c>
      <c r="G1860" s="1826">
        <v>0.60219999999999996</v>
      </c>
      <c r="H1860" s="1489"/>
      <c r="I1860" s="1489"/>
      <c r="J1860" s="1370"/>
      <c r="K1860" s="1370"/>
      <c r="L1860" s="80"/>
      <c r="M1860" s="80"/>
      <c r="N1860" s="80"/>
      <c r="O1860" s="80"/>
      <c r="P1860" s="80"/>
      <c r="Q1860" s="80"/>
      <c r="R1860" s="80"/>
      <c r="S1860" s="80"/>
      <c r="T1860" s="80"/>
      <c r="U1860" s="80"/>
      <c r="V1860" s="80"/>
      <c r="W1860" s="80"/>
      <c r="X1860" s="80"/>
    </row>
    <row r="1861" spans="1:24" x14ac:dyDescent="0.2">
      <c r="A1861" s="1384">
        <v>43491</v>
      </c>
      <c r="B1861" s="1489" t="s">
        <v>10900</v>
      </c>
      <c r="C1861" s="1489" t="s">
        <v>10860</v>
      </c>
      <c r="D1861" s="1790">
        <v>0.22862268518518516</v>
      </c>
      <c r="E1861" s="1539" t="s">
        <v>9307</v>
      </c>
      <c r="F1861" s="1717" t="s">
        <v>11689</v>
      </c>
      <c r="G1861" s="1826">
        <v>0.47060000000000002</v>
      </c>
      <c r="H1861" s="1489"/>
      <c r="I1861" s="1489"/>
      <c r="J1861" s="1370"/>
      <c r="K1861" s="1370"/>
      <c r="L1861" s="80"/>
      <c r="M1861" s="80"/>
      <c r="N1861" s="80"/>
      <c r="O1861" s="80"/>
      <c r="P1861" s="80"/>
      <c r="Q1861" s="80"/>
      <c r="R1861" s="80"/>
      <c r="S1861" s="80"/>
      <c r="T1861" s="80"/>
      <c r="U1861" s="80"/>
      <c r="V1861" s="80"/>
      <c r="W1861" s="80"/>
      <c r="X1861" s="80"/>
    </row>
    <row r="1862" spans="1:24" x14ac:dyDescent="0.2">
      <c r="A1862" s="1384">
        <v>43484</v>
      </c>
      <c r="B1862" s="1489" t="s">
        <v>10900</v>
      </c>
      <c r="C1862" s="1489" t="s">
        <v>10860</v>
      </c>
      <c r="D1862" s="1790">
        <v>1.4710648148148148E-2</v>
      </c>
      <c r="E1862" s="1539" t="s">
        <v>9307</v>
      </c>
      <c r="F1862" s="1539" t="s">
        <v>11556</v>
      </c>
      <c r="G1862" s="1826">
        <v>0.64910000000000001</v>
      </c>
      <c r="H1862" s="1489"/>
      <c r="I1862" s="1489"/>
      <c r="J1862" s="1370"/>
      <c r="K1862" s="1370"/>
      <c r="L1862" s="80"/>
      <c r="M1862" s="80"/>
      <c r="N1862" s="80"/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</row>
    <row r="1863" spans="1:24" x14ac:dyDescent="0.2">
      <c r="A1863" s="1384">
        <v>43568</v>
      </c>
      <c r="B1863" s="1538" t="s">
        <v>12461</v>
      </c>
      <c r="C1863" s="1538" t="s">
        <v>16463</v>
      </c>
      <c r="D1863" s="1790">
        <v>1.9594907407407405E-2</v>
      </c>
      <c r="E1863" s="1539" t="s">
        <v>12361</v>
      </c>
      <c r="F1863" s="1539" t="s">
        <v>12366</v>
      </c>
      <c r="G1863" s="1826">
        <v>0.60309999999999997</v>
      </c>
      <c r="H1863" s="1489"/>
      <c r="I1863" s="1489"/>
      <c r="J1863" s="1370"/>
      <c r="K1863" s="1370"/>
      <c r="L1863" s="80"/>
      <c r="M1863" s="80"/>
      <c r="N1863" s="80"/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</row>
    <row r="1864" spans="1:24" x14ac:dyDescent="0.2">
      <c r="A1864" s="1384">
        <v>43505</v>
      </c>
      <c r="B1864" s="1812" t="s">
        <v>2706</v>
      </c>
      <c r="C1864" s="1812" t="s">
        <v>2707</v>
      </c>
      <c r="D1864" s="1790">
        <v>2.1296296296296299E-2</v>
      </c>
      <c r="E1864" s="1539" t="s">
        <v>11788</v>
      </c>
      <c r="F1864" s="1539" t="s">
        <v>11789</v>
      </c>
      <c r="G1864" s="1826">
        <v>0.4929</v>
      </c>
      <c r="H1864" s="1489"/>
      <c r="I1864" s="1489" t="s">
        <v>12772</v>
      </c>
      <c r="J1864" s="1370"/>
      <c r="K1864" s="1370"/>
      <c r="L1864" s="80"/>
      <c r="M1864" s="80"/>
      <c r="N1864" s="80"/>
      <c r="O1864" s="80"/>
      <c r="P1864" s="80"/>
      <c r="Q1864" s="80"/>
      <c r="R1864" s="80"/>
      <c r="S1864" s="80"/>
      <c r="T1864" s="80"/>
      <c r="U1864" s="80"/>
      <c r="V1864" s="80"/>
      <c r="W1864" s="80"/>
      <c r="X1864" s="80"/>
    </row>
    <row r="1865" spans="1:24" x14ac:dyDescent="0.2">
      <c r="A1865" s="1729">
        <v>43799</v>
      </c>
      <c r="B1865" s="1538" t="s">
        <v>3962</v>
      </c>
      <c r="C1865" s="1538" t="s">
        <v>5543</v>
      </c>
      <c r="D1865" s="1745">
        <v>1.8472222222222223E-2</v>
      </c>
      <c r="E1865" s="1747" t="s">
        <v>16147</v>
      </c>
      <c r="F1865" s="1557" t="s">
        <v>16171</v>
      </c>
      <c r="G1865" s="1828">
        <v>0.59770000000000001</v>
      </c>
    </row>
    <row r="1866" spans="1:24" x14ac:dyDescent="0.2">
      <c r="A1866" s="523">
        <v>43687</v>
      </c>
      <c r="B1866" s="1538" t="s">
        <v>3962</v>
      </c>
      <c r="C1866" s="1538" t="s">
        <v>5543</v>
      </c>
      <c r="D1866" s="1734">
        <v>1.8043981481481484E-2</v>
      </c>
      <c r="E1866" s="1539" t="s">
        <v>13431</v>
      </c>
      <c r="F1866" s="1539"/>
      <c r="G1866" s="1826">
        <v>0.6119</v>
      </c>
      <c r="H1866" s="80"/>
      <c r="I1866" s="80"/>
      <c r="J1866" s="80"/>
      <c r="K1866" s="80"/>
      <c r="L1866" s="80"/>
      <c r="M1866" s="80"/>
      <c r="N1866" s="80"/>
      <c r="O1866" s="80"/>
      <c r="P1866" s="80"/>
      <c r="Q1866" s="80"/>
      <c r="R1866" s="80"/>
      <c r="S1866" s="80"/>
      <c r="T1866" s="80"/>
      <c r="U1866" s="80"/>
      <c r="V1866" s="80"/>
      <c r="W1866" s="80"/>
      <c r="X1866" s="80"/>
    </row>
    <row r="1867" spans="1:24" x14ac:dyDescent="0.2">
      <c r="A1867" s="1384">
        <v>43554</v>
      </c>
      <c r="B1867" s="1538" t="s">
        <v>3962</v>
      </c>
      <c r="C1867" s="1538" t="s">
        <v>5543</v>
      </c>
      <c r="D1867" s="1790">
        <v>1.7939814814814815E-2</v>
      </c>
      <c r="E1867" s="1539" t="s">
        <v>12230</v>
      </c>
      <c r="F1867" s="1539" t="s">
        <v>12266</v>
      </c>
      <c r="G1867" s="1826">
        <v>0.61550000000000005</v>
      </c>
      <c r="H1867" s="1489"/>
      <c r="I1867" s="1489"/>
      <c r="J1867" s="1370"/>
      <c r="K1867" s="1370"/>
      <c r="L1867" s="1370"/>
      <c r="M1867" s="1370"/>
      <c r="N1867" s="1370"/>
      <c r="O1867" s="1370"/>
      <c r="P1867" s="1370"/>
      <c r="Q1867" s="1370"/>
      <c r="R1867" s="1370"/>
      <c r="S1867" s="1370"/>
      <c r="T1867" s="1370"/>
      <c r="U1867" s="1370"/>
      <c r="V1867" s="1370"/>
      <c r="W1867" s="1370"/>
      <c r="X1867" s="1370"/>
    </row>
    <row r="1868" spans="1:24" x14ac:dyDescent="0.2">
      <c r="A1868" s="1384">
        <v>43547</v>
      </c>
      <c r="B1868" s="1538" t="s">
        <v>3962</v>
      </c>
      <c r="C1868" s="1538" t="s">
        <v>5543</v>
      </c>
      <c r="D1868" s="1790">
        <v>1.800925925925926E-2</v>
      </c>
      <c r="E1868" s="1539" t="s">
        <v>12187</v>
      </c>
      <c r="F1868" s="1539" t="s">
        <v>12209</v>
      </c>
      <c r="G1868" s="1826">
        <v>0.61309999999999998</v>
      </c>
      <c r="H1868" s="1489"/>
      <c r="I1868" s="1489"/>
      <c r="J1868" s="1370"/>
      <c r="K1868" s="1370"/>
      <c r="L1868" s="80"/>
      <c r="M1868" s="80"/>
      <c r="N1868" s="80"/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</row>
    <row r="1869" spans="1:24" x14ac:dyDescent="0.2">
      <c r="A1869" s="1729">
        <v>43799</v>
      </c>
      <c r="B1869" s="1538" t="s">
        <v>866</v>
      </c>
      <c r="C1869" s="1538" t="s">
        <v>5543</v>
      </c>
      <c r="D1869" s="1745">
        <v>1.5601851851851849E-2</v>
      </c>
      <c r="E1869" s="1747" t="s">
        <v>16147</v>
      </c>
      <c r="F1869" s="1557" t="s">
        <v>16179</v>
      </c>
      <c r="G1869" s="1828">
        <v>0.67800000000000005</v>
      </c>
    </row>
    <row r="1870" spans="1:24" x14ac:dyDescent="0.2">
      <c r="A1870" s="1729">
        <v>43729</v>
      </c>
      <c r="B1870" s="1538" t="s">
        <v>866</v>
      </c>
      <c r="C1870" s="1538" t="s">
        <v>5543</v>
      </c>
      <c r="D1870" s="1734">
        <v>2.2638888888888889E-2</v>
      </c>
      <c r="E1870" s="1539" t="s">
        <v>15582</v>
      </c>
      <c r="F1870" s="1539" t="s">
        <v>15602</v>
      </c>
      <c r="G1870" s="1826">
        <v>0.46729999999999999</v>
      </c>
      <c r="H1870" s="80"/>
      <c r="I1870" s="80"/>
      <c r="J1870" s="80"/>
      <c r="K1870" s="80"/>
      <c r="L1870" s="1370"/>
      <c r="M1870" s="1370"/>
      <c r="N1870" s="1370"/>
      <c r="O1870" s="1370"/>
      <c r="P1870" s="1370"/>
      <c r="Q1870" s="1370"/>
      <c r="R1870" s="1370"/>
      <c r="S1870" s="1370"/>
      <c r="T1870" s="1370"/>
      <c r="U1870" s="1370"/>
      <c r="V1870" s="1370"/>
      <c r="W1870" s="1370"/>
      <c r="X1870" s="1370"/>
    </row>
    <row r="1871" spans="1:24" x14ac:dyDescent="0.2">
      <c r="A1871" s="523">
        <v>43687</v>
      </c>
      <c r="B1871" s="1538" t="s">
        <v>866</v>
      </c>
      <c r="C1871" s="1538" t="s">
        <v>5543</v>
      </c>
      <c r="D1871" s="1734">
        <v>1.4664351851851852E-2</v>
      </c>
      <c r="E1871" s="1539" t="s">
        <v>13431</v>
      </c>
      <c r="F1871" s="1539" t="s">
        <v>13423</v>
      </c>
      <c r="G1871" s="1826">
        <v>0.72140000000000004</v>
      </c>
      <c r="H1871" s="80"/>
      <c r="I1871" s="80"/>
      <c r="J1871" s="80"/>
      <c r="K1871" s="80"/>
      <c r="L1871" s="80"/>
      <c r="M1871" s="80"/>
      <c r="N1871" s="80"/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</row>
    <row r="1872" spans="1:24" x14ac:dyDescent="0.2">
      <c r="A1872" s="523">
        <v>43666</v>
      </c>
      <c r="B1872" s="1538" t="s">
        <v>866</v>
      </c>
      <c r="C1872" s="1538" t="s">
        <v>5543</v>
      </c>
      <c r="D1872" s="1734">
        <v>1.4212962962962962E-2</v>
      </c>
      <c r="E1872" s="1539" t="s">
        <v>13200</v>
      </c>
      <c r="F1872" s="1539" t="s">
        <v>13210</v>
      </c>
      <c r="G1872" s="1826">
        <v>0.74429999999999996</v>
      </c>
      <c r="H1872" s="80"/>
      <c r="I1872" s="1514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</row>
    <row r="1873" spans="1:24" x14ac:dyDescent="0.2">
      <c r="A1873" s="523">
        <v>43659</v>
      </c>
      <c r="B1873" s="1538" t="s">
        <v>866</v>
      </c>
      <c r="C1873" s="1538" t="s">
        <v>5543</v>
      </c>
      <c r="D1873" s="1734">
        <v>1.3935185185185186E-2</v>
      </c>
      <c r="E1873" s="1539" t="s">
        <v>13148</v>
      </c>
      <c r="F1873" s="1539"/>
      <c r="G1873" s="1826">
        <v>0.7591</v>
      </c>
      <c r="H1873" s="1514"/>
      <c r="I1873" s="1489"/>
      <c r="J1873" s="80"/>
      <c r="K1873" s="80"/>
      <c r="L1873" s="1370"/>
      <c r="M1873" s="1370"/>
      <c r="N1873" s="1370"/>
      <c r="O1873" s="1370"/>
      <c r="P1873" s="1370"/>
      <c r="Q1873" s="1370"/>
      <c r="R1873" s="1370"/>
      <c r="S1873" s="1370"/>
      <c r="T1873" s="1370"/>
      <c r="U1873" s="1370"/>
      <c r="V1873" s="1370"/>
      <c r="W1873" s="1370"/>
      <c r="X1873" s="1370"/>
    </row>
    <row r="1874" spans="1:24" x14ac:dyDescent="0.2">
      <c r="A1874" s="523">
        <v>43652</v>
      </c>
      <c r="B1874" s="1538" t="s">
        <v>866</v>
      </c>
      <c r="C1874" s="1538" t="s">
        <v>5543</v>
      </c>
      <c r="D1874" s="1734">
        <v>1.4837962962962964E-2</v>
      </c>
      <c r="E1874" s="1539" t="s">
        <v>13073</v>
      </c>
      <c r="F1874" s="1539" t="s">
        <v>13100</v>
      </c>
      <c r="G1874" s="1826">
        <v>0.71289999999999998</v>
      </c>
      <c r="H1874" s="1489"/>
      <c r="I1874" s="1514" t="s">
        <v>13103</v>
      </c>
      <c r="J1874" s="80"/>
      <c r="K1874" s="80"/>
      <c r="L1874" s="80"/>
      <c r="M1874" s="80"/>
      <c r="N1874" s="80"/>
      <c r="O1874" s="80"/>
      <c r="P1874" s="80"/>
      <c r="Q1874" s="80"/>
      <c r="R1874" s="80"/>
      <c r="S1874" s="80"/>
      <c r="T1874" s="80"/>
      <c r="U1874" s="80"/>
      <c r="V1874" s="80"/>
      <c r="W1874" s="80"/>
      <c r="X1874" s="80"/>
    </row>
    <row r="1875" spans="1:24" x14ac:dyDescent="0.2">
      <c r="A1875" s="1384">
        <v>43610</v>
      </c>
      <c r="B1875" s="1538" t="s">
        <v>866</v>
      </c>
      <c r="C1875" s="1538" t="s">
        <v>5543</v>
      </c>
      <c r="D1875" s="1790">
        <v>1.4120370370370368E-2</v>
      </c>
      <c r="E1875" s="1539" t="s">
        <v>12732</v>
      </c>
      <c r="F1875" s="1539"/>
      <c r="G1875" s="1826">
        <v>0.74919999999999998</v>
      </c>
      <c r="H1875" s="1489"/>
      <c r="I1875" s="1489"/>
      <c r="J1875" s="1370"/>
      <c r="K1875" s="1370"/>
      <c r="L1875" s="1370"/>
      <c r="M1875" s="1370"/>
      <c r="N1875" s="1370"/>
      <c r="O1875" s="1370"/>
      <c r="P1875" s="1370"/>
      <c r="Q1875" s="1370"/>
      <c r="R1875" s="1370"/>
      <c r="S1875" s="1370"/>
      <c r="T1875" s="1370"/>
      <c r="U1875" s="1370"/>
      <c r="V1875" s="1370"/>
      <c r="W1875" s="1370"/>
      <c r="X1875" s="1370"/>
    </row>
    <row r="1876" spans="1:24" x14ac:dyDescent="0.2">
      <c r="A1876" s="1384">
        <v>43477</v>
      </c>
      <c r="B1876" s="1538" t="s">
        <v>866</v>
      </c>
      <c r="C1876" s="1538" t="s">
        <v>5543</v>
      </c>
      <c r="D1876" s="1790">
        <v>1.4212962962962962E-2</v>
      </c>
      <c r="E1876" s="1539" t="s">
        <v>6393</v>
      </c>
      <c r="F1876" s="1554" t="s">
        <v>11603</v>
      </c>
      <c r="G1876" s="1826">
        <v>0.73860000000000003</v>
      </c>
      <c r="H1876" s="1489"/>
      <c r="I1876" s="1489"/>
      <c r="J1876" s="1370"/>
      <c r="K1876" s="1370"/>
      <c r="L1876" s="80"/>
      <c r="M1876" s="80"/>
      <c r="N1876" s="80"/>
      <c r="O1876" s="80"/>
      <c r="P1876" s="80"/>
      <c r="Q1876" s="80"/>
      <c r="R1876" s="80"/>
      <c r="S1876" s="80"/>
      <c r="T1876" s="80"/>
      <c r="U1876" s="80"/>
      <c r="V1876" s="80"/>
      <c r="W1876" s="80"/>
      <c r="X1876" s="80"/>
    </row>
    <row r="1877" spans="1:24" x14ac:dyDescent="0.2">
      <c r="A1877" s="1384">
        <v>43466</v>
      </c>
      <c r="B1877" s="1538" t="s">
        <v>866</v>
      </c>
      <c r="C1877" s="1538" t="s">
        <v>5543</v>
      </c>
      <c r="D1877" s="1790">
        <v>1.4016203703703704E-2</v>
      </c>
      <c r="E1877" s="1539" t="s">
        <v>11497</v>
      </c>
      <c r="F1877" s="1539" t="s">
        <v>11518</v>
      </c>
      <c r="G1877" s="1826">
        <v>0.749</v>
      </c>
      <c r="H1877" s="1489"/>
      <c r="I1877" s="1489"/>
      <c r="J1877" s="1370"/>
      <c r="K1877" s="1370"/>
      <c r="L1877" s="1370"/>
      <c r="M1877" s="1370"/>
      <c r="N1877" s="1370"/>
      <c r="O1877" s="1370"/>
      <c r="P1877" s="1370"/>
      <c r="Q1877" s="1370"/>
      <c r="R1877" s="1370"/>
      <c r="S1877" s="1370"/>
      <c r="T1877" s="1370"/>
      <c r="U1877" s="1370"/>
      <c r="V1877" s="1370"/>
      <c r="W1877" s="1370"/>
      <c r="X1877" s="1370"/>
    </row>
    <row r="1878" spans="1:24" x14ac:dyDescent="0.2">
      <c r="A1878" s="1729">
        <v>43743</v>
      </c>
      <c r="B1878" s="1538" t="s">
        <v>2703</v>
      </c>
      <c r="C1878" s="1538" t="s">
        <v>5543</v>
      </c>
      <c r="D1878" s="1736">
        <v>2.101851851851852E-2</v>
      </c>
      <c r="E1878" s="1557" t="s">
        <v>15720</v>
      </c>
      <c r="F1878" s="1557" t="s">
        <v>3709</v>
      </c>
      <c r="G1878" s="1829">
        <v>0.59030000000000005</v>
      </c>
      <c r="H1878" s="80"/>
      <c r="I1878" s="80"/>
      <c r="J1878" s="80"/>
      <c r="K1878" s="80"/>
      <c r="L1878" s="1370"/>
      <c r="M1878" s="1370"/>
      <c r="N1878" s="1370"/>
      <c r="O1878" s="1370"/>
      <c r="P1878" s="1370"/>
      <c r="Q1878" s="1370"/>
      <c r="R1878" s="1370"/>
      <c r="S1878" s="1370"/>
      <c r="T1878" s="1370"/>
      <c r="U1878" s="1370"/>
      <c r="V1878" s="1370"/>
      <c r="W1878" s="1370"/>
      <c r="X1878" s="1370"/>
    </row>
    <row r="1879" spans="1:24" x14ac:dyDescent="0.2">
      <c r="A1879" s="1384">
        <v>43680</v>
      </c>
      <c r="B1879" s="1538" t="s">
        <v>2703</v>
      </c>
      <c r="C1879" s="1538" t="s">
        <v>5543</v>
      </c>
      <c r="D1879" s="1734">
        <v>2.1469907407407406E-2</v>
      </c>
      <c r="E1879" s="1539" t="s">
        <v>13347</v>
      </c>
      <c r="F1879" s="1539"/>
      <c r="G1879" s="1826">
        <v>0.57789999999999997</v>
      </c>
      <c r="H1879" s="80"/>
      <c r="I1879" s="80"/>
      <c r="J1879" s="80"/>
      <c r="K1879" s="80"/>
      <c r="L1879" s="1370"/>
      <c r="M1879" s="1370"/>
      <c r="N1879" s="1370"/>
      <c r="O1879" s="1370"/>
      <c r="P1879" s="1370"/>
      <c r="Q1879" s="1370"/>
      <c r="R1879" s="1370"/>
      <c r="S1879" s="1370"/>
      <c r="T1879" s="1370"/>
      <c r="U1879" s="1370"/>
      <c r="V1879" s="1370"/>
      <c r="W1879" s="1370"/>
      <c r="X1879" s="1370"/>
    </row>
    <row r="1880" spans="1:24" x14ac:dyDescent="0.2">
      <c r="A1880" s="1384">
        <v>43673</v>
      </c>
      <c r="B1880" s="1538" t="s">
        <v>2703</v>
      </c>
      <c r="C1880" s="1538" t="s">
        <v>5543</v>
      </c>
      <c r="D1880" s="1734">
        <v>2.1388888888888891E-2</v>
      </c>
      <c r="E1880" s="1539" t="s">
        <v>13292</v>
      </c>
      <c r="F1880" s="1539" t="s">
        <v>13303</v>
      </c>
      <c r="G1880" s="1826">
        <v>0.58009999999999995</v>
      </c>
      <c r="H1880" s="80"/>
      <c r="I1880" s="1514"/>
      <c r="J1880" s="80"/>
      <c r="K1880" s="80"/>
      <c r="L1880" s="1370"/>
      <c r="M1880" s="1370"/>
      <c r="N1880" s="1370"/>
      <c r="O1880" s="1370"/>
      <c r="P1880" s="1370"/>
      <c r="Q1880" s="1370"/>
      <c r="R1880" s="1370"/>
      <c r="S1880" s="1370"/>
      <c r="T1880" s="1370"/>
      <c r="U1880" s="1370"/>
      <c r="V1880" s="1370"/>
      <c r="W1880" s="1370"/>
      <c r="X1880" s="1370"/>
    </row>
    <row r="1881" spans="1:24" x14ac:dyDescent="0.2">
      <c r="A1881" s="523">
        <v>43659</v>
      </c>
      <c r="B1881" s="1538" t="s">
        <v>2703</v>
      </c>
      <c r="C1881" s="1538" t="s">
        <v>5543</v>
      </c>
      <c r="D1881" s="1734">
        <v>2.1238425925925928E-2</v>
      </c>
      <c r="E1881" s="1539" t="s">
        <v>13136</v>
      </c>
      <c r="F1881" s="1539"/>
      <c r="G1881" s="1826">
        <v>0.58420000000000005</v>
      </c>
      <c r="H1881" s="1514"/>
      <c r="I1881" s="1489"/>
      <c r="J1881" s="80"/>
      <c r="K1881" s="80"/>
      <c r="L1881" s="1370"/>
      <c r="M1881" s="1370"/>
      <c r="N1881" s="1370"/>
      <c r="O1881" s="1370"/>
      <c r="P1881" s="1370"/>
      <c r="Q1881" s="1370"/>
      <c r="R1881" s="1370"/>
      <c r="S1881" s="1370"/>
      <c r="T1881" s="1370"/>
      <c r="U1881" s="1370"/>
      <c r="V1881" s="1370"/>
      <c r="W1881" s="1370"/>
      <c r="X1881" s="1370"/>
    </row>
    <row r="1882" spans="1:24" x14ac:dyDescent="0.2">
      <c r="A1882" s="1729">
        <v>43799</v>
      </c>
      <c r="B1882" s="1538" t="s">
        <v>5542</v>
      </c>
      <c r="C1882" s="1538" t="s">
        <v>5543</v>
      </c>
      <c r="D1882" s="1745">
        <v>1.5428240740740739E-2</v>
      </c>
      <c r="E1882" s="1747" t="s">
        <v>16147</v>
      </c>
      <c r="F1882" s="1557" t="s">
        <v>16180</v>
      </c>
      <c r="G1882" s="1828">
        <v>0.7157</v>
      </c>
    </row>
    <row r="1883" spans="1:24" x14ac:dyDescent="0.2">
      <c r="A1883" s="523">
        <v>43687</v>
      </c>
      <c r="B1883" s="1538" t="s">
        <v>5542</v>
      </c>
      <c r="C1883" s="1538" t="s">
        <v>5543</v>
      </c>
      <c r="D1883" s="1734">
        <v>1.5300925925925928E-2</v>
      </c>
      <c r="E1883" s="1539" t="s">
        <v>13431</v>
      </c>
      <c r="F1883" s="1539" t="s">
        <v>13422</v>
      </c>
      <c r="G1883" s="1826">
        <v>0.72160000000000002</v>
      </c>
      <c r="H1883" s="80"/>
      <c r="I1883" s="80"/>
      <c r="J1883" s="80"/>
      <c r="K1883" s="80"/>
      <c r="L1883" s="1370"/>
      <c r="M1883" s="1370"/>
      <c r="N1883" s="1370"/>
      <c r="O1883" s="1370"/>
      <c r="P1883" s="1370"/>
      <c r="Q1883" s="1370"/>
      <c r="R1883" s="1370"/>
      <c r="S1883" s="1370"/>
      <c r="T1883" s="1370"/>
      <c r="U1883" s="1370"/>
      <c r="V1883" s="1370"/>
      <c r="W1883" s="1370"/>
      <c r="X1883" s="1370"/>
    </row>
    <row r="1884" spans="1:24" x14ac:dyDescent="0.2">
      <c r="A1884" s="523">
        <v>43652</v>
      </c>
      <c r="B1884" s="1538" t="s">
        <v>5542</v>
      </c>
      <c r="C1884" s="1538" t="s">
        <v>5543</v>
      </c>
      <c r="D1884" s="1734">
        <v>1.6435185185185185E-2</v>
      </c>
      <c r="E1884" s="1539" t="s">
        <v>13073</v>
      </c>
      <c r="F1884" s="1539" t="s">
        <v>13101</v>
      </c>
      <c r="G1884" s="1826">
        <v>0.67179999999999995</v>
      </c>
      <c r="H1884" s="1489"/>
      <c r="I1884" s="1514"/>
      <c r="J1884" s="80"/>
      <c r="K1884" s="80"/>
      <c r="L1884" s="1370"/>
      <c r="M1884" s="1370"/>
      <c r="N1884" s="1370"/>
      <c r="O1884" s="1370"/>
      <c r="P1884" s="1370"/>
      <c r="Q1884" s="1370"/>
      <c r="R1884" s="1370"/>
      <c r="S1884" s="1370"/>
      <c r="T1884" s="1370"/>
      <c r="U1884" s="1370"/>
      <c r="V1884" s="1370"/>
      <c r="W1884" s="1370"/>
      <c r="X1884" s="1370"/>
    </row>
    <row r="1885" spans="1:24" x14ac:dyDescent="0.2">
      <c r="A1885" s="1673">
        <v>43820</v>
      </c>
      <c r="B1885" s="1538" t="s">
        <v>1794</v>
      </c>
      <c r="C1885" s="1538" t="s">
        <v>5543</v>
      </c>
      <c r="D1885" s="1778">
        <v>1.9131944444444444E-2</v>
      </c>
      <c r="E1885" s="1557" t="s">
        <v>16324</v>
      </c>
      <c r="F1885" s="1747" t="s">
        <v>16347</v>
      </c>
      <c r="G1885" s="1828">
        <v>0.56259999999999999</v>
      </c>
    </row>
    <row r="1886" spans="1:24" x14ac:dyDescent="0.2">
      <c r="A1886" s="1673">
        <v>43785</v>
      </c>
      <c r="B1886" s="1538" t="s">
        <v>1794</v>
      </c>
      <c r="C1886" s="1538" t="s">
        <v>5543</v>
      </c>
      <c r="D1886" s="1745">
        <v>1.8599537037037039E-2</v>
      </c>
      <c r="E1886" s="1557" t="s">
        <v>16017</v>
      </c>
      <c r="F1886" s="1557" t="s">
        <v>1212</v>
      </c>
      <c r="G1886" s="1828">
        <v>0.57869999999999999</v>
      </c>
    </row>
    <row r="1887" spans="1:24" x14ac:dyDescent="0.2">
      <c r="A1887" s="1384">
        <v>43778</v>
      </c>
      <c r="B1887" s="1538" t="s">
        <v>1794</v>
      </c>
      <c r="C1887" s="1538" t="s">
        <v>5543</v>
      </c>
      <c r="D1887" s="1738">
        <v>2.0486111111111111E-2</v>
      </c>
      <c r="E1887" s="1740" t="s">
        <v>15964</v>
      </c>
      <c r="F1887" s="1740"/>
      <c r="G1887" s="1830">
        <v>0.52539999999999998</v>
      </c>
      <c r="H1887" s="1370"/>
      <c r="I1887" s="1370"/>
      <c r="J1887" s="1370"/>
      <c r="K1887" s="1370"/>
      <c r="L1887" s="1370"/>
      <c r="M1887" s="1370"/>
      <c r="N1887" s="1370"/>
      <c r="O1887" s="1370"/>
      <c r="P1887" s="1370"/>
      <c r="Q1887" s="1370"/>
      <c r="R1887" s="1370"/>
      <c r="S1887" s="1370"/>
      <c r="T1887" s="1370"/>
      <c r="U1887" s="1370"/>
      <c r="V1887" s="1370"/>
      <c r="W1887" s="1370"/>
      <c r="X1887" s="1370"/>
    </row>
    <row r="1888" spans="1:24" x14ac:dyDescent="0.2">
      <c r="A1888" s="1384">
        <v>43764</v>
      </c>
      <c r="B1888" s="1538" t="s">
        <v>1794</v>
      </c>
      <c r="C1888" s="1538" t="s">
        <v>5543</v>
      </c>
      <c r="D1888" s="1739">
        <v>1.7812499999999998E-2</v>
      </c>
      <c r="E1888" s="1741" t="s">
        <v>15917</v>
      </c>
      <c r="F1888" s="1741"/>
      <c r="G1888" s="1832">
        <v>0.60429999999999995</v>
      </c>
      <c r="H1888" s="1370"/>
      <c r="I1888" s="1370"/>
      <c r="J1888" s="1370"/>
      <c r="K1888" s="1370"/>
      <c r="L1888" s="1370"/>
      <c r="M1888" s="1370"/>
      <c r="N1888" s="1370"/>
      <c r="O1888" s="1370"/>
      <c r="P1888" s="1370"/>
      <c r="Q1888" s="1370"/>
      <c r="R1888" s="1370"/>
      <c r="S1888" s="1370"/>
      <c r="T1888" s="1370"/>
      <c r="U1888" s="1370"/>
      <c r="V1888" s="1370"/>
      <c r="W1888" s="1370"/>
      <c r="X1888" s="1370"/>
    </row>
    <row r="1889" spans="1:24" x14ac:dyDescent="0.2">
      <c r="A1889" s="1729">
        <v>43743</v>
      </c>
      <c r="B1889" s="1538" t="s">
        <v>1794</v>
      </c>
      <c r="C1889" s="1538" t="s">
        <v>5543</v>
      </c>
      <c r="D1889" s="1735">
        <v>1.7592592592592594E-2</v>
      </c>
      <c r="E1889" s="1557" t="s">
        <v>15720</v>
      </c>
      <c r="F1889" s="1557" t="s">
        <v>15771</v>
      </c>
      <c r="G1889" s="1829">
        <v>0.61180000000000001</v>
      </c>
      <c r="H1889" s="80"/>
      <c r="I1889" s="80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</row>
    <row r="1890" spans="1:24" x14ac:dyDescent="0.2">
      <c r="A1890" s="1526">
        <v>43708</v>
      </c>
      <c r="B1890" s="1538" t="s">
        <v>1794</v>
      </c>
      <c r="C1890" s="1538" t="s">
        <v>5543</v>
      </c>
      <c r="D1890" s="1734">
        <v>1.9432870370370371E-2</v>
      </c>
      <c r="E1890" s="1539" t="s">
        <v>15373</v>
      </c>
      <c r="F1890" s="1539"/>
      <c r="G1890" s="1826">
        <v>0.55389999999999995</v>
      </c>
      <c r="H1890" s="1489"/>
      <c r="I1890" s="1489"/>
      <c r="J1890" s="1489"/>
      <c r="K1890" s="80"/>
      <c r="L1890" s="80"/>
      <c r="M1890" s="80"/>
      <c r="N1890" s="80"/>
      <c r="O1890" s="80"/>
      <c r="P1890" s="80"/>
      <c r="Q1890" s="80"/>
      <c r="R1890" s="80"/>
      <c r="S1890" s="80"/>
      <c r="T1890" s="80"/>
      <c r="U1890" s="80"/>
      <c r="V1890" s="80"/>
      <c r="W1890" s="80"/>
      <c r="X1890" s="80"/>
    </row>
    <row r="1891" spans="1:24" x14ac:dyDescent="0.2">
      <c r="A1891" s="1526">
        <v>43701</v>
      </c>
      <c r="B1891" s="1538" t="s">
        <v>1794</v>
      </c>
      <c r="C1891" s="1538" t="s">
        <v>5543</v>
      </c>
      <c r="D1891" s="1734">
        <v>1.8657407407407407E-2</v>
      </c>
      <c r="E1891" s="1539" t="s">
        <v>15288</v>
      </c>
      <c r="F1891" s="1539"/>
      <c r="G1891" s="1826">
        <v>0.57689999999999997</v>
      </c>
      <c r="H1891" s="80"/>
      <c r="I1891" s="80"/>
      <c r="J1891" s="80"/>
      <c r="K1891" s="80"/>
      <c r="L1891" s="80"/>
      <c r="M1891" s="80"/>
      <c r="N1891" s="80"/>
      <c r="O1891" s="80"/>
      <c r="P1891" s="80"/>
      <c r="Q1891" s="80"/>
      <c r="R1891" s="80"/>
      <c r="S1891" s="80"/>
      <c r="T1891" s="80"/>
      <c r="U1891" s="80"/>
      <c r="V1891" s="80"/>
      <c r="W1891" s="80"/>
      <c r="X1891" s="80"/>
    </row>
    <row r="1892" spans="1:24" x14ac:dyDescent="0.2">
      <c r="A1892" s="523">
        <v>43694</v>
      </c>
      <c r="B1892" s="1538" t="s">
        <v>1794</v>
      </c>
      <c r="C1892" s="1538" t="s">
        <v>5543</v>
      </c>
      <c r="D1892" s="1790">
        <v>1.8460648148148146E-2</v>
      </c>
      <c r="E1892" s="1539" t="s">
        <v>15169</v>
      </c>
      <c r="F1892" s="1539"/>
      <c r="G1892" s="1826">
        <v>0.58309999999999995</v>
      </c>
      <c r="H1892" s="80"/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</row>
    <row r="1893" spans="1:24" x14ac:dyDescent="0.2">
      <c r="A1893" s="523">
        <v>43687</v>
      </c>
      <c r="B1893" s="1538" t="s">
        <v>1794</v>
      </c>
      <c r="C1893" s="1538" t="s">
        <v>5543</v>
      </c>
      <c r="D1893" s="1734">
        <v>1.923611111111111E-2</v>
      </c>
      <c r="E1893" s="1539" t="s">
        <v>13441</v>
      </c>
      <c r="F1893" s="1539"/>
      <c r="G1893" s="1826">
        <v>0.55959999999999999</v>
      </c>
      <c r="H1893" s="80"/>
      <c r="I1893" s="80"/>
      <c r="J1893" s="80"/>
      <c r="K1893" s="80"/>
      <c r="L1893" s="80"/>
      <c r="M1893" s="80"/>
      <c r="N1893" s="80"/>
      <c r="O1893" s="80"/>
      <c r="P1893" s="80"/>
      <c r="Q1893" s="80"/>
      <c r="R1893" s="80"/>
      <c r="S1893" s="80"/>
      <c r="T1893" s="80"/>
      <c r="U1893" s="80"/>
      <c r="V1893" s="80"/>
      <c r="W1893" s="80"/>
      <c r="X1893" s="80"/>
    </row>
    <row r="1894" spans="1:24" x14ac:dyDescent="0.2">
      <c r="A1894" s="523">
        <v>43680</v>
      </c>
      <c r="B1894" s="1538" t="s">
        <v>1794</v>
      </c>
      <c r="C1894" s="1538" t="s">
        <v>5543</v>
      </c>
      <c r="D1894" s="1753" t="s">
        <v>787</v>
      </c>
      <c r="E1894" s="1813" t="s">
        <v>13347</v>
      </c>
      <c r="F1894" s="1813" t="s">
        <v>1549</v>
      </c>
      <c r="G1894" s="1822"/>
      <c r="H1894" s="80"/>
      <c r="I1894" s="80"/>
      <c r="J1894" s="80"/>
      <c r="K1894" s="80"/>
      <c r="L1894" s="80"/>
      <c r="M1894" s="80"/>
      <c r="N1894" s="80"/>
      <c r="O1894" s="80"/>
      <c r="P1894" s="80"/>
      <c r="Q1894" s="80"/>
      <c r="R1894" s="80"/>
      <c r="S1894" s="80"/>
      <c r="T1894" s="80"/>
      <c r="U1894" s="80"/>
      <c r="V1894" s="80"/>
      <c r="W1894" s="80"/>
      <c r="X1894" s="80"/>
    </row>
    <row r="1895" spans="1:24" x14ac:dyDescent="0.2">
      <c r="A1895" s="1384">
        <v>43673</v>
      </c>
      <c r="B1895" s="1538" t="s">
        <v>1794</v>
      </c>
      <c r="C1895" s="1538" t="s">
        <v>5543</v>
      </c>
      <c r="D1895" s="1686">
        <v>1.8599537037037039E-2</v>
      </c>
      <c r="E1895" s="1489" t="s">
        <v>13292</v>
      </c>
      <c r="F1895" s="1489" t="s">
        <v>13304</v>
      </c>
      <c r="G1895" s="1815">
        <v>0.57869999999999999</v>
      </c>
      <c r="H1895" s="80"/>
      <c r="I1895" s="80"/>
      <c r="J1895" s="80"/>
      <c r="K1895" s="80"/>
      <c r="L1895" s="1370"/>
      <c r="M1895" s="1370"/>
      <c r="N1895" s="1370"/>
      <c r="O1895" s="1370"/>
      <c r="P1895" s="1370"/>
      <c r="Q1895" s="1370"/>
      <c r="R1895" s="1370"/>
      <c r="S1895" s="1370"/>
      <c r="T1895" s="1370"/>
      <c r="U1895" s="1370"/>
      <c r="V1895" s="1370"/>
      <c r="W1895" s="1370"/>
      <c r="X1895" s="1370"/>
    </row>
    <row r="1896" spans="1:24" x14ac:dyDescent="0.2">
      <c r="A1896" s="523">
        <v>43666</v>
      </c>
      <c r="B1896" s="1538" t="s">
        <v>1794</v>
      </c>
      <c r="C1896" s="1538" t="s">
        <v>5543</v>
      </c>
      <c r="D1896" s="1686">
        <v>1.9224537037037037E-2</v>
      </c>
      <c r="E1896" s="1489" t="s">
        <v>13192</v>
      </c>
      <c r="F1896" s="1489" t="s">
        <v>13216</v>
      </c>
      <c r="G1896" s="1815">
        <v>0.55989999999999995</v>
      </c>
      <c r="H1896" s="80"/>
      <c r="I1896" s="1514"/>
      <c r="J1896" s="80"/>
      <c r="K1896" s="80"/>
      <c r="L1896" s="1370"/>
      <c r="M1896" s="1370"/>
      <c r="N1896" s="1370"/>
      <c r="O1896" s="1370"/>
      <c r="P1896" s="1370"/>
      <c r="Q1896" s="1370"/>
      <c r="R1896" s="1370"/>
      <c r="S1896" s="1370"/>
      <c r="T1896" s="1370"/>
      <c r="U1896" s="1370"/>
      <c r="V1896" s="1370"/>
      <c r="W1896" s="1370"/>
      <c r="X1896" s="1370"/>
    </row>
    <row r="1897" spans="1:24" x14ac:dyDescent="0.2">
      <c r="A1897" s="523">
        <v>43659</v>
      </c>
      <c r="B1897" s="1538" t="s">
        <v>1794</v>
      </c>
      <c r="C1897" s="1538" t="s">
        <v>5543</v>
      </c>
      <c r="D1897" s="1686">
        <v>1.8912037037037036E-2</v>
      </c>
      <c r="E1897" s="1489" t="s">
        <v>13136</v>
      </c>
      <c r="F1897" s="1489" t="s">
        <v>13171</v>
      </c>
      <c r="G1897" s="1815">
        <v>0.56920000000000004</v>
      </c>
      <c r="H1897" s="1514"/>
      <c r="I1897" s="1489"/>
      <c r="J1897" s="80"/>
      <c r="K1897" s="80"/>
      <c r="L1897" s="1370"/>
      <c r="M1897" s="1370"/>
      <c r="N1897" s="1370"/>
      <c r="O1897" s="1370"/>
      <c r="P1897" s="1370"/>
      <c r="Q1897" s="1370"/>
      <c r="R1897" s="1370"/>
      <c r="S1897" s="1370"/>
      <c r="T1897" s="1370"/>
      <c r="U1897" s="1370"/>
      <c r="V1897" s="1370"/>
      <c r="W1897" s="1370"/>
      <c r="X1897" s="1370"/>
    </row>
    <row r="1898" spans="1:24" x14ac:dyDescent="0.2">
      <c r="A1898" s="523">
        <v>43652</v>
      </c>
      <c r="B1898" s="1538" t="s">
        <v>1794</v>
      </c>
      <c r="C1898" s="1538" t="s">
        <v>5543</v>
      </c>
      <c r="D1898" s="1695" t="s">
        <v>3334</v>
      </c>
      <c r="E1898" s="1514" t="s">
        <v>12510</v>
      </c>
      <c r="F1898" s="1489" t="s">
        <v>1549</v>
      </c>
      <c r="G1898" s="1822"/>
      <c r="H1898" s="1578"/>
      <c r="I1898" s="1489"/>
      <c r="J1898" s="1489"/>
      <c r="K1898" s="1489"/>
      <c r="L1898" s="80"/>
      <c r="M1898" s="80"/>
      <c r="N1898" s="80"/>
      <c r="O1898" s="80"/>
      <c r="P1898" s="80"/>
      <c r="Q1898" s="80"/>
      <c r="R1898" s="80"/>
      <c r="S1898" s="80"/>
      <c r="T1898" s="80"/>
      <c r="U1898" s="80"/>
      <c r="V1898" s="80"/>
      <c r="W1898" s="80"/>
      <c r="X1898" s="80"/>
    </row>
    <row r="1899" spans="1:24" x14ac:dyDescent="0.2">
      <c r="A1899" s="523">
        <v>43645</v>
      </c>
      <c r="B1899" s="1538" t="s">
        <v>1794</v>
      </c>
      <c r="C1899" s="1538" t="s">
        <v>5543</v>
      </c>
      <c r="D1899" s="1686">
        <v>1.9444444444444445E-2</v>
      </c>
      <c r="E1899" s="1514" t="s">
        <v>13025</v>
      </c>
      <c r="F1899" s="1514"/>
      <c r="G1899" s="1815">
        <v>0.55359999999999998</v>
      </c>
      <c r="H1899" s="1514"/>
      <c r="I1899" s="1514"/>
      <c r="J1899" s="80"/>
      <c r="K1899" s="80"/>
      <c r="L1899" s="80"/>
      <c r="M1899" s="80"/>
      <c r="N1899" s="80"/>
      <c r="O1899" s="80"/>
      <c r="P1899" s="80"/>
      <c r="Q1899" s="80"/>
      <c r="R1899" s="80"/>
      <c r="S1899" s="80"/>
      <c r="T1899" s="80"/>
      <c r="U1899" s="80"/>
      <c r="V1899" s="80"/>
      <c r="W1899" s="80"/>
      <c r="X1899" s="80"/>
    </row>
    <row r="1900" spans="1:24" x14ac:dyDescent="0.2">
      <c r="A1900" s="1384">
        <v>43540</v>
      </c>
      <c r="B1900" s="1538" t="s">
        <v>1794</v>
      </c>
      <c r="C1900" s="1538" t="s">
        <v>5543</v>
      </c>
      <c r="D1900" s="1733">
        <v>1.8518518518518521E-2</v>
      </c>
      <c r="E1900" s="1489" t="s">
        <v>12111</v>
      </c>
      <c r="F1900" s="1489" t="s">
        <v>12112</v>
      </c>
      <c r="G1900" s="1815">
        <v>0.58130000000000004</v>
      </c>
      <c r="H1900" s="1489"/>
      <c r="I1900" s="1489"/>
      <c r="J1900" s="1370"/>
      <c r="K1900" s="1370"/>
      <c r="L1900" s="80"/>
      <c r="M1900" s="80"/>
      <c r="N1900" s="80"/>
      <c r="O1900" s="80"/>
      <c r="P1900" s="80"/>
      <c r="Q1900" s="80"/>
      <c r="R1900" s="80"/>
      <c r="S1900" s="80"/>
      <c r="T1900" s="80"/>
      <c r="U1900" s="80"/>
      <c r="V1900" s="80"/>
      <c r="W1900" s="80"/>
      <c r="X1900" s="80"/>
    </row>
    <row r="1901" spans="1:24" x14ac:dyDescent="0.2">
      <c r="A1901" s="1384">
        <v>43526</v>
      </c>
      <c r="B1901" s="1538" t="s">
        <v>1794</v>
      </c>
      <c r="C1901" s="1538" t="s">
        <v>5543</v>
      </c>
      <c r="D1901" s="1733">
        <v>1.9340277777777779E-2</v>
      </c>
      <c r="E1901" s="1489" t="s">
        <v>11946</v>
      </c>
      <c r="F1901" s="1489" t="s">
        <v>11924</v>
      </c>
      <c r="G1901" s="1815">
        <v>0.55179999999999996</v>
      </c>
      <c r="H1901" s="1489" t="s">
        <v>11923</v>
      </c>
      <c r="I1901" s="1489"/>
      <c r="J1901" s="1370"/>
      <c r="K1901" s="1370"/>
      <c r="L1901" s="80"/>
      <c r="M1901" s="80"/>
      <c r="N1901" s="80"/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</row>
    <row r="1902" spans="1:24" x14ac:dyDescent="0.2">
      <c r="A1902" s="1384">
        <v>43466</v>
      </c>
      <c r="B1902" s="1538" t="s">
        <v>1794</v>
      </c>
      <c r="C1902" s="1538" t="s">
        <v>5543</v>
      </c>
      <c r="D1902" s="1733">
        <v>1.7939814814814815E-2</v>
      </c>
      <c r="E1902" s="1489" t="s">
        <v>11464</v>
      </c>
      <c r="F1902" s="1489" t="s">
        <v>11465</v>
      </c>
      <c r="G1902" s="1815">
        <v>0.5948</v>
      </c>
      <c r="H1902" s="1489"/>
      <c r="I1902" s="1489"/>
      <c r="J1902" s="1370"/>
      <c r="K1902" s="1370"/>
      <c r="L1902" s="80"/>
      <c r="M1902" s="80"/>
      <c r="N1902" s="80"/>
      <c r="O1902" s="80"/>
      <c r="P1902" s="80"/>
      <c r="Q1902" s="80"/>
      <c r="R1902" s="80"/>
      <c r="S1902" s="80"/>
      <c r="T1902" s="80"/>
      <c r="U1902" s="80"/>
      <c r="V1902" s="80"/>
      <c r="W1902" s="80"/>
      <c r="X1902" s="80"/>
    </row>
    <row r="1903" spans="1:24" x14ac:dyDescent="0.2">
      <c r="A1903" s="523">
        <v>43631</v>
      </c>
      <c r="B1903" s="1568" t="s">
        <v>3687</v>
      </c>
      <c r="C1903" s="1568" t="s">
        <v>3688</v>
      </c>
      <c r="D1903" s="1835">
        <v>1.954861111111111E-2</v>
      </c>
      <c r="E1903" s="1569" t="s">
        <v>12918</v>
      </c>
      <c r="F1903" s="1624" t="s">
        <v>12941</v>
      </c>
      <c r="G1903" s="1818">
        <v>0.66069999999999995</v>
      </c>
      <c r="H1903" s="1514"/>
      <c r="I1903" s="1514"/>
      <c r="J1903" s="80"/>
      <c r="K1903" s="80"/>
      <c r="L1903" s="80"/>
      <c r="M1903" s="80"/>
      <c r="N1903" s="80"/>
      <c r="O1903" s="80"/>
      <c r="P1903" s="80"/>
      <c r="Q1903" s="80"/>
      <c r="R1903" s="80"/>
      <c r="S1903" s="80"/>
      <c r="T1903" s="80"/>
      <c r="U1903" s="80"/>
      <c r="V1903" s="80"/>
      <c r="W1903" s="80"/>
      <c r="X1903" s="80"/>
    </row>
    <row r="1904" spans="1:24" x14ac:dyDescent="0.2">
      <c r="A1904" s="1729">
        <v>43827</v>
      </c>
      <c r="B1904" s="1489" t="s">
        <v>3535</v>
      </c>
      <c r="C1904" s="1489" t="s">
        <v>1026</v>
      </c>
      <c r="D1904" s="1621">
        <v>1.6793981481481483E-2</v>
      </c>
      <c r="E1904" s="1489" t="s">
        <v>16433</v>
      </c>
      <c r="F1904" s="1489" t="s">
        <v>16454</v>
      </c>
      <c r="G1904" s="1817">
        <v>0.64090000000000003</v>
      </c>
    </row>
    <row r="1905" spans="1:24" x14ac:dyDescent="0.2">
      <c r="A1905" s="1673">
        <v>43820</v>
      </c>
      <c r="B1905" s="1489" t="s">
        <v>3535</v>
      </c>
      <c r="C1905" s="1489" t="s">
        <v>1026</v>
      </c>
      <c r="D1905" s="1777">
        <v>1.8310185185185186E-2</v>
      </c>
      <c r="E1905" s="80" t="s">
        <v>16317</v>
      </c>
      <c r="F1905" s="80" t="s">
        <v>16355</v>
      </c>
      <c r="G1905" s="314">
        <v>0.58789999999999998</v>
      </c>
    </row>
    <row r="1906" spans="1:24" x14ac:dyDescent="0.2">
      <c r="A1906" s="34">
        <v>43806</v>
      </c>
      <c r="B1906" s="1489" t="s">
        <v>3535</v>
      </c>
      <c r="C1906" s="1489" t="s">
        <v>1026</v>
      </c>
      <c r="D1906" s="1621">
        <v>1.7187500000000001E-2</v>
      </c>
      <c r="E1906" s="1489" t="s">
        <v>16211</v>
      </c>
      <c r="F1906" s="1404"/>
      <c r="G1906" s="1817">
        <v>0.62629999999999997</v>
      </c>
    </row>
    <row r="1907" spans="1:24" x14ac:dyDescent="0.2">
      <c r="A1907" s="1751">
        <v>43792</v>
      </c>
      <c r="B1907" s="1489" t="s">
        <v>3535</v>
      </c>
      <c r="C1907" s="1489" t="s">
        <v>1026</v>
      </c>
      <c r="D1907" s="1786">
        <v>1.6793981481481483E-2</v>
      </c>
      <c r="E1907" s="1489" t="s">
        <v>16083</v>
      </c>
      <c r="F1907" s="1404" t="s">
        <v>16120</v>
      </c>
      <c r="G1907" s="1817">
        <v>0.64090000000000003</v>
      </c>
    </row>
    <row r="1908" spans="1:24" x14ac:dyDescent="0.2">
      <c r="A1908" s="1673">
        <v>43785</v>
      </c>
      <c r="B1908" s="1489" t="s">
        <v>3535</v>
      </c>
      <c r="C1908" s="1489" t="s">
        <v>1026</v>
      </c>
      <c r="D1908" s="1674">
        <v>1.695601851851852E-2</v>
      </c>
      <c r="E1908" s="80" t="s">
        <v>16030</v>
      </c>
      <c r="F1908" s="80" t="s">
        <v>16039</v>
      </c>
      <c r="G1908" s="314">
        <v>0.63480000000000003</v>
      </c>
    </row>
    <row r="1909" spans="1:24" x14ac:dyDescent="0.2">
      <c r="A1909" s="1384">
        <v>43778</v>
      </c>
      <c r="B1909" s="1489" t="s">
        <v>3535</v>
      </c>
      <c r="C1909" s="1489" t="s">
        <v>1026</v>
      </c>
      <c r="D1909" s="1725">
        <v>1.7152777777777777E-2</v>
      </c>
      <c r="E1909" s="1726" t="s">
        <v>15954</v>
      </c>
      <c r="F1909" s="1723"/>
      <c r="G1909" s="1820">
        <v>0.62749999999999995</v>
      </c>
      <c r="H1909" s="1370"/>
      <c r="I1909" s="1370"/>
      <c r="J1909" s="1370"/>
      <c r="K1909" s="1370"/>
      <c r="L1909" s="1370"/>
      <c r="M1909" s="1370"/>
      <c r="N1909" s="1370"/>
      <c r="O1909" s="1370"/>
      <c r="P1909" s="1370"/>
      <c r="Q1909" s="1370"/>
      <c r="R1909" s="1370"/>
      <c r="S1909" s="1370"/>
      <c r="T1909" s="1370"/>
      <c r="U1909" s="1370"/>
      <c r="V1909" s="1370"/>
      <c r="W1909" s="1370"/>
      <c r="X1909" s="1370"/>
    </row>
    <row r="1910" spans="1:24" x14ac:dyDescent="0.2">
      <c r="A1910" s="523">
        <v>43750</v>
      </c>
      <c r="B1910" s="1489" t="s">
        <v>3535</v>
      </c>
      <c r="C1910" s="1489" t="s">
        <v>1026</v>
      </c>
      <c r="D1910" s="1686">
        <v>1.7384259259259259E-2</v>
      </c>
      <c r="E1910" s="1489" t="s">
        <v>15800</v>
      </c>
      <c r="F1910" s="1489" t="s">
        <v>15817</v>
      </c>
      <c r="G1910" s="1815">
        <v>0.61919999999999997</v>
      </c>
      <c r="H1910" s="80"/>
      <c r="I1910" s="80"/>
      <c r="J1910" s="80"/>
      <c r="K1910" s="80"/>
      <c r="L1910" s="1370"/>
      <c r="M1910" s="1370"/>
      <c r="N1910" s="1370"/>
      <c r="O1910" s="1370"/>
      <c r="P1910" s="1370"/>
      <c r="Q1910" s="1370"/>
      <c r="R1910" s="1370"/>
      <c r="S1910" s="1370"/>
      <c r="T1910" s="1370"/>
      <c r="U1910" s="1370"/>
      <c r="V1910" s="1370"/>
      <c r="W1910" s="1370"/>
      <c r="X1910" s="1370"/>
    </row>
    <row r="1911" spans="1:24" x14ac:dyDescent="0.2">
      <c r="A1911" s="1729">
        <v>43729</v>
      </c>
      <c r="B1911" s="1489" t="s">
        <v>3535</v>
      </c>
      <c r="C1911" s="1489" t="s">
        <v>1026</v>
      </c>
      <c r="D1911" s="1686">
        <v>1.6377314814814813E-2</v>
      </c>
      <c r="E1911" s="1489" t="s">
        <v>15596</v>
      </c>
      <c r="F1911" s="1489" t="s">
        <v>15597</v>
      </c>
      <c r="G1911" s="1815">
        <v>0.65720000000000001</v>
      </c>
      <c r="H1911" s="80"/>
      <c r="I1911" s="80"/>
      <c r="J1911" s="80"/>
      <c r="K1911" s="80"/>
      <c r="L1911" s="1370"/>
      <c r="M1911" s="1370"/>
      <c r="N1911" s="1370"/>
      <c r="O1911" s="1370"/>
      <c r="P1911" s="1370"/>
      <c r="Q1911" s="1370"/>
      <c r="R1911" s="1370"/>
      <c r="S1911" s="1370"/>
      <c r="T1911" s="1370"/>
      <c r="U1911" s="1370"/>
      <c r="V1911" s="1370"/>
      <c r="W1911" s="1370"/>
      <c r="X1911" s="1370"/>
    </row>
    <row r="1912" spans="1:24" x14ac:dyDescent="0.2">
      <c r="A1912" s="523">
        <v>43722</v>
      </c>
      <c r="B1912" s="1489" t="s">
        <v>3535</v>
      </c>
      <c r="C1912" s="1489" t="s">
        <v>1026</v>
      </c>
      <c r="D1912" s="1686">
        <v>1.6909722222222222E-2</v>
      </c>
      <c r="E1912" s="1489" t="s">
        <v>15459</v>
      </c>
      <c r="F1912" s="1489" t="s">
        <v>15495</v>
      </c>
      <c r="G1912" s="1815">
        <v>0.63660000000000005</v>
      </c>
      <c r="H1912" s="80"/>
      <c r="I1912" s="80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</row>
    <row r="1913" spans="1:24" x14ac:dyDescent="0.2">
      <c r="A1913" s="1526">
        <v>43708</v>
      </c>
      <c r="B1913" s="1489" t="s">
        <v>3535</v>
      </c>
      <c r="C1913" s="1489" t="s">
        <v>1026</v>
      </c>
      <c r="D1913" s="1686">
        <v>1.6886574074074075E-2</v>
      </c>
      <c r="E1913" s="1489" t="s">
        <v>15359</v>
      </c>
      <c r="F1913" s="1489"/>
      <c r="G1913" s="1815">
        <v>0.63739999999999997</v>
      </c>
      <c r="H1913" s="1489"/>
      <c r="I1913" s="1489"/>
      <c r="J1913" s="1489"/>
      <c r="K1913" s="80"/>
      <c r="L1913" s="80"/>
      <c r="M1913" s="80"/>
      <c r="N1913" s="80"/>
      <c r="O1913" s="80"/>
      <c r="P1913" s="80"/>
      <c r="Q1913" s="80"/>
      <c r="R1913" s="80"/>
      <c r="S1913" s="80"/>
      <c r="T1913" s="80"/>
      <c r="U1913" s="80"/>
      <c r="V1913" s="80"/>
      <c r="W1913" s="80"/>
      <c r="X1913" s="80"/>
    </row>
    <row r="1914" spans="1:24" x14ac:dyDescent="0.2">
      <c r="A1914" s="1384">
        <v>43673</v>
      </c>
      <c r="B1914" s="1489" t="s">
        <v>3535</v>
      </c>
      <c r="C1914" s="1489" t="s">
        <v>1026</v>
      </c>
      <c r="D1914" s="1686">
        <v>1.6180555555555556E-2</v>
      </c>
      <c r="E1914" s="1489" t="s">
        <v>13283</v>
      </c>
      <c r="F1914" s="1489" t="s">
        <v>13335</v>
      </c>
      <c r="G1914" s="1815">
        <v>0.66520000000000001</v>
      </c>
      <c r="H1914" s="80"/>
      <c r="I1914" s="1514"/>
      <c r="J1914" s="80"/>
      <c r="K1914" s="80"/>
      <c r="L1914" s="80"/>
      <c r="M1914" s="80"/>
      <c r="N1914" s="80"/>
      <c r="O1914" s="80"/>
      <c r="P1914" s="80"/>
      <c r="Q1914" s="80"/>
      <c r="R1914" s="80"/>
      <c r="S1914" s="80"/>
      <c r="T1914" s="80"/>
      <c r="U1914" s="80"/>
      <c r="V1914" s="80"/>
      <c r="W1914" s="80"/>
      <c r="X1914" s="80"/>
    </row>
    <row r="1915" spans="1:24" x14ac:dyDescent="0.2">
      <c r="A1915" s="523">
        <v>43666</v>
      </c>
      <c r="B1915" s="1489" t="s">
        <v>3535</v>
      </c>
      <c r="C1915" s="1489" t="s">
        <v>1026</v>
      </c>
      <c r="D1915" s="1686">
        <v>1.7013888888888887E-2</v>
      </c>
      <c r="E1915" s="1489" t="s">
        <v>13201</v>
      </c>
      <c r="F1915" s="1489" t="s">
        <v>13229</v>
      </c>
      <c r="G1915" s="1815">
        <v>0.63270000000000004</v>
      </c>
      <c r="H1915" s="80"/>
      <c r="I1915" s="1514"/>
      <c r="J1915" s="80"/>
      <c r="K1915" s="80"/>
      <c r="L1915" s="1370"/>
      <c r="M1915" s="1370"/>
      <c r="N1915" s="1370"/>
      <c r="O1915" s="1370"/>
      <c r="P1915" s="1370"/>
      <c r="Q1915" s="1370"/>
      <c r="R1915" s="1370"/>
      <c r="S1915" s="1370"/>
      <c r="T1915" s="1370"/>
      <c r="U1915" s="1370"/>
      <c r="V1915" s="1370"/>
      <c r="W1915" s="1370"/>
      <c r="X1915" s="1370"/>
    </row>
    <row r="1916" spans="1:24" x14ac:dyDescent="0.2">
      <c r="A1916" s="523">
        <v>43659</v>
      </c>
      <c r="B1916" s="1489" t="s">
        <v>3535</v>
      </c>
      <c r="C1916" s="1489" t="s">
        <v>1026</v>
      </c>
      <c r="D1916" s="1686">
        <v>1.6851851851851851E-2</v>
      </c>
      <c r="E1916" s="1489" t="s">
        <v>13149</v>
      </c>
      <c r="F1916" s="1489"/>
      <c r="G1916" s="1815">
        <v>0.63870000000000005</v>
      </c>
      <c r="H1916" s="1514"/>
      <c r="I1916" s="1489"/>
      <c r="J1916" s="80"/>
      <c r="K1916" s="80"/>
      <c r="L1916" s="1370"/>
      <c r="M1916" s="1370"/>
      <c r="N1916" s="1370"/>
      <c r="O1916" s="1370"/>
      <c r="P1916" s="1370"/>
      <c r="Q1916" s="1370"/>
      <c r="R1916" s="1370"/>
      <c r="S1916" s="1370"/>
      <c r="T1916" s="1370"/>
      <c r="U1916" s="1370"/>
      <c r="V1916" s="1370"/>
      <c r="W1916" s="1370"/>
      <c r="X1916" s="1370"/>
    </row>
    <row r="1917" spans="1:24" x14ac:dyDescent="0.2">
      <c r="A1917" s="523">
        <v>43645</v>
      </c>
      <c r="B1917" s="1489" t="s">
        <v>3535</v>
      </c>
      <c r="C1917" s="1489" t="s">
        <v>1026</v>
      </c>
      <c r="D1917" s="1686">
        <v>1.8032407407407407E-2</v>
      </c>
      <c r="E1917" s="1514" t="s">
        <v>13037</v>
      </c>
      <c r="F1917" s="1514"/>
      <c r="G1917" s="1815">
        <v>0.59689999999999999</v>
      </c>
      <c r="H1917" s="1514"/>
      <c r="I1917" s="1514"/>
      <c r="J1917" s="80"/>
      <c r="K1917" s="80"/>
      <c r="L1917" s="1370"/>
      <c r="M1917" s="1370"/>
      <c r="N1917" s="1370"/>
      <c r="O1917" s="1370"/>
      <c r="P1917" s="1370"/>
      <c r="Q1917" s="1370"/>
      <c r="R1917" s="1370"/>
      <c r="S1917" s="1370"/>
      <c r="T1917" s="1370"/>
      <c r="U1917" s="1370"/>
      <c r="V1917" s="1370"/>
      <c r="W1917" s="1370"/>
      <c r="X1917" s="1370"/>
    </row>
    <row r="1918" spans="1:24" ht="25.5" x14ac:dyDescent="0.2">
      <c r="A1918" s="523">
        <v>43624</v>
      </c>
      <c r="B1918" s="1489" t="s">
        <v>3535</v>
      </c>
      <c r="C1918" s="1489" t="s">
        <v>1026</v>
      </c>
      <c r="D1918" s="1835">
        <v>1.6435185185185188E-2</v>
      </c>
      <c r="E1918" s="1569" t="s">
        <v>12886</v>
      </c>
      <c r="F1918" s="1569" t="s">
        <v>12887</v>
      </c>
      <c r="G1918" s="1818">
        <v>0.65490000000000004</v>
      </c>
      <c r="H1918" s="1514"/>
      <c r="I1918" s="1514"/>
      <c r="J1918" s="80"/>
      <c r="K1918" s="80"/>
      <c r="L1918" s="1370"/>
      <c r="M1918" s="1370"/>
      <c r="N1918" s="1370"/>
      <c r="O1918" s="1370"/>
      <c r="P1918" s="1370"/>
      <c r="Q1918" s="1370"/>
      <c r="R1918" s="1370"/>
      <c r="S1918" s="1370"/>
      <c r="T1918" s="1370"/>
      <c r="U1918" s="1370"/>
      <c r="V1918" s="1370"/>
      <c r="W1918" s="1370"/>
      <c r="X1918" s="1370"/>
    </row>
    <row r="1919" spans="1:24" x14ac:dyDescent="0.2">
      <c r="A1919" s="1384">
        <v>43610</v>
      </c>
      <c r="B1919" s="1489" t="s">
        <v>3535</v>
      </c>
      <c r="C1919" s="1489" t="s">
        <v>1026</v>
      </c>
      <c r="D1919" s="1733">
        <v>1.7326388888888888E-2</v>
      </c>
      <c r="E1919" s="1489" t="s">
        <v>12742</v>
      </c>
      <c r="F1919" s="1489" t="s">
        <v>12743</v>
      </c>
      <c r="G1919" s="1815">
        <v>0.62119999999999997</v>
      </c>
      <c r="H1919" s="1370"/>
      <c r="I1919" s="1489"/>
      <c r="J1919" s="1370"/>
      <c r="K1919" s="1370"/>
      <c r="L1919" s="1370"/>
      <c r="M1919" s="1370"/>
      <c r="N1919" s="1370"/>
      <c r="O1919" s="1370"/>
      <c r="P1919" s="1370"/>
      <c r="Q1919" s="1370"/>
      <c r="R1919" s="1370"/>
      <c r="S1919" s="1370"/>
      <c r="T1919" s="1370"/>
      <c r="U1919" s="1370"/>
      <c r="V1919" s="1370"/>
      <c r="W1919" s="1370"/>
      <c r="X1919" s="1370"/>
    </row>
    <row r="1920" spans="1:24" x14ac:dyDescent="0.2">
      <c r="A1920" s="1673">
        <v>43820</v>
      </c>
      <c r="B1920" s="1526" t="s">
        <v>9701</v>
      </c>
      <c r="C1920" s="1526" t="s">
        <v>9702</v>
      </c>
      <c r="D1920" s="1805">
        <v>1.5497685185185186E-2</v>
      </c>
      <c r="E1920" s="1514" t="s">
        <v>16328</v>
      </c>
      <c r="F1920" s="1489" t="s">
        <v>16313</v>
      </c>
      <c r="G1920" s="1825">
        <v>0.79010000000000002</v>
      </c>
    </row>
    <row r="1921" spans="1:24" x14ac:dyDescent="0.2">
      <c r="A1921" s="34">
        <v>43806</v>
      </c>
      <c r="B1921" s="1526" t="s">
        <v>9701</v>
      </c>
      <c r="C1921" s="1526" t="s">
        <v>9702</v>
      </c>
      <c r="D1921" s="1621">
        <v>1.4490740740740742E-2</v>
      </c>
      <c r="E1921" s="1489" t="s">
        <v>16224</v>
      </c>
      <c r="F1921" s="1489" t="s">
        <v>16235</v>
      </c>
      <c r="G1921" s="1817">
        <v>0.84499999999999997</v>
      </c>
    </row>
    <row r="1922" spans="1:24" x14ac:dyDescent="0.2">
      <c r="A1922" s="1729">
        <v>43799</v>
      </c>
      <c r="B1922" s="1526" t="s">
        <v>9701</v>
      </c>
      <c r="C1922" s="1526" t="s">
        <v>9702</v>
      </c>
      <c r="D1922" s="1754">
        <v>1.4606481481481482E-2</v>
      </c>
      <c r="E1922" s="1486" t="s">
        <v>16164</v>
      </c>
      <c r="F1922" s="1514" t="s">
        <v>16175</v>
      </c>
      <c r="G1922" s="1825">
        <v>0.83840000000000003</v>
      </c>
    </row>
    <row r="1923" spans="1:24" x14ac:dyDescent="0.2">
      <c r="A1923" s="1384">
        <v>43771</v>
      </c>
      <c r="B1923" s="1526" t="s">
        <v>9701</v>
      </c>
      <c r="C1923" s="1526" t="s">
        <v>9702</v>
      </c>
      <c r="D1923" s="1737">
        <v>1.4953703703703703E-2</v>
      </c>
      <c r="E1923" s="1489" t="s">
        <v>15881</v>
      </c>
      <c r="F1923" s="1489"/>
      <c r="G1923" s="1815">
        <v>0.81889999999999996</v>
      </c>
      <c r="H1923" s="1370"/>
      <c r="I1923" s="1370"/>
      <c r="J1923" s="1370"/>
      <c r="K1923" s="1370"/>
      <c r="L1923" s="1370"/>
      <c r="M1923" s="1370"/>
      <c r="N1923" s="1370"/>
      <c r="O1923" s="1370"/>
      <c r="P1923" s="1370"/>
      <c r="Q1923" s="1370"/>
      <c r="R1923" s="1370"/>
      <c r="S1923" s="1370"/>
      <c r="T1923" s="1370"/>
      <c r="U1923" s="1370"/>
      <c r="V1923" s="1370"/>
      <c r="W1923" s="1370"/>
      <c r="X1923" s="1370"/>
    </row>
    <row r="1924" spans="1:24" x14ac:dyDescent="0.2">
      <c r="A1924" s="1384">
        <v>43764</v>
      </c>
      <c r="B1924" s="1526" t="s">
        <v>9701</v>
      </c>
      <c r="C1924" s="1526" t="s">
        <v>9702</v>
      </c>
      <c r="D1924" s="1727">
        <v>1.9259259259259261E-2</v>
      </c>
      <c r="E1924" s="1728" t="s">
        <v>15921</v>
      </c>
      <c r="F1924" s="1728"/>
      <c r="G1924" s="1821">
        <v>0.63580000000000003</v>
      </c>
      <c r="H1924" s="1370"/>
      <c r="I1924" s="1370"/>
      <c r="J1924" s="1370"/>
      <c r="K1924" s="1370"/>
      <c r="L1924" s="1370"/>
      <c r="M1924" s="1370"/>
      <c r="N1924" s="1370"/>
      <c r="O1924" s="1370"/>
      <c r="P1924" s="1370"/>
      <c r="Q1924" s="1370"/>
      <c r="R1924" s="1370"/>
      <c r="S1924" s="1370"/>
      <c r="T1924" s="1370"/>
      <c r="U1924" s="1370"/>
      <c r="V1924" s="1370"/>
      <c r="W1924" s="1370"/>
      <c r="X1924" s="1370"/>
    </row>
    <row r="1925" spans="1:24" x14ac:dyDescent="0.2">
      <c r="A1925" s="1526">
        <v>43708</v>
      </c>
      <c r="B1925" s="1526" t="s">
        <v>9701</v>
      </c>
      <c r="C1925" s="1526" t="s">
        <v>9702</v>
      </c>
      <c r="D1925" s="1686">
        <v>1.3969907407407408E-2</v>
      </c>
      <c r="E1925" s="1489" t="s">
        <v>15381</v>
      </c>
      <c r="F1925" s="1489" t="s">
        <v>15394</v>
      </c>
      <c r="G1925" s="1815">
        <v>0.86580000000000001</v>
      </c>
      <c r="H1925" s="80"/>
      <c r="I1925" s="80"/>
      <c r="J1925" s="80"/>
      <c r="K1925" s="80"/>
      <c r="L1925" s="1370"/>
      <c r="M1925" s="1370"/>
      <c r="N1925" s="1370"/>
      <c r="O1925" s="1370"/>
      <c r="P1925" s="1370"/>
      <c r="Q1925" s="1370"/>
      <c r="R1925" s="1370"/>
      <c r="S1925" s="1370"/>
      <c r="T1925" s="1370"/>
      <c r="U1925" s="1370"/>
      <c r="V1925" s="1370"/>
      <c r="W1925" s="1370"/>
      <c r="X1925" s="1370"/>
    </row>
    <row r="1926" spans="1:24" x14ac:dyDescent="0.2">
      <c r="A1926" s="1526">
        <v>43701</v>
      </c>
      <c r="B1926" s="1526" t="s">
        <v>9701</v>
      </c>
      <c r="C1926" s="1526" t="s">
        <v>9702</v>
      </c>
      <c r="D1926" s="1686">
        <v>1.4768518518518518E-2</v>
      </c>
      <c r="E1926" s="1489" t="s">
        <v>15279</v>
      </c>
      <c r="F1926" s="1489" t="s">
        <v>15335</v>
      </c>
      <c r="G1926" s="1815">
        <v>0.81899999999999995</v>
      </c>
      <c r="H1926" s="80"/>
      <c r="I1926" s="80"/>
      <c r="J1926" s="80"/>
      <c r="K1926" s="80"/>
      <c r="L1926" s="1370"/>
      <c r="M1926" s="1370"/>
      <c r="N1926" s="1370"/>
      <c r="O1926" s="1370"/>
      <c r="P1926" s="1370"/>
      <c r="Q1926" s="1370"/>
      <c r="R1926" s="1370"/>
      <c r="S1926" s="1370"/>
      <c r="T1926" s="1370"/>
      <c r="U1926" s="1370"/>
      <c r="V1926" s="1370"/>
      <c r="W1926" s="1370"/>
      <c r="X1926" s="1370"/>
    </row>
    <row r="1927" spans="1:24" x14ac:dyDescent="0.2">
      <c r="A1927" s="1384">
        <v>43680</v>
      </c>
      <c r="B1927" s="1526" t="s">
        <v>9701</v>
      </c>
      <c r="C1927" s="1526" t="s">
        <v>9702</v>
      </c>
      <c r="D1927" s="1686">
        <v>1.4247685185185184E-2</v>
      </c>
      <c r="E1927" s="1489" t="s">
        <v>13348</v>
      </c>
      <c r="F1927" s="1489" t="s">
        <v>13407</v>
      </c>
      <c r="G1927" s="1815">
        <v>0.84889999999999999</v>
      </c>
      <c r="H1927" s="80"/>
      <c r="I1927" s="80"/>
      <c r="J1927" s="80"/>
      <c r="K1927" s="80"/>
      <c r="L1927" s="1370"/>
      <c r="M1927" s="1370"/>
      <c r="N1927" s="1370"/>
      <c r="O1927" s="1370"/>
      <c r="P1927" s="1370"/>
      <c r="Q1927" s="1370"/>
      <c r="R1927" s="1370"/>
      <c r="S1927" s="1370"/>
      <c r="T1927" s="1370"/>
      <c r="U1927" s="1370"/>
      <c r="V1927" s="1370"/>
      <c r="W1927" s="1370"/>
      <c r="X1927" s="1370"/>
    </row>
    <row r="1928" spans="1:24" x14ac:dyDescent="0.2">
      <c r="A1928" s="1384">
        <v>43673</v>
      </c>
      <c r="B1928" s="1526" t="s">
        <v>9701</v>
      </c>
      <c r="C1928" s="1526" t="s">
        <v>9702</v>
      </c>
      <c r="D1928" s="1686">
        <v>1.4421296296296295E-2</v>
      </c>
      <c r="E1928" s="1489" t="s">
        <v>13284</v>
      </c>
      <c r="F1928" s="1489" t="s">
        <v>13307</v>
      </c>
      <c r="G1928" s="1815">
        <v>0.8387</v>
      </c>
      <c r="H1928" s="80"/>
      <c r="I1928" s="80"/>
      <c r="J1928" s="80"/>
      <c r="K1928" s="80"/>
      <c r="L1928" s="1370"/>
      <c r="M1928" s="1370"/>
      <c r="N1928" s="1370"/>
      <c r="O1928" s="1370"/>
      <c r="P1928" s="1370"/>
      <c r="Q1928" s="1370"/>
      <c r="R1928" s="1370"/>
      <c r="S1928" s="1370"/>
      <c r="T1928" s="1370"/>
      <c r="U1928" s="1370"/>
      <c r="V1928" s="1370"/>
      <c r="W1928" s="1370"/>
      <c r="X1928" s="1370"/>
    </row>
    <row r="1929" spans="1:24" x14ac:dyDescent="0.2">
      <c r="A1929" s="523">
        <v>43666</v>
      </c>
      <c r="B1929" s="1526" t="s">
        <v>9701</v>
      </c>
      <c r="C1929" s="1526" t="s">
        <v>9702</v>
      </c>
      <c r="D1929" s="1686">
        <v>1.4953703703703703E-2</v>
      </c>
      <c r="E1929" s="1489" t="s">
        <v>13209</v>
      </c>
      <c r="F1929" s="1489" t="s">
        <v>13227</v>
      </c>
      <c r="G1929" s="1815">
        <v>0.80879999999999996</v>
      </c>
      <c r="H1929" s="80"/>
      <c r="I1929" s="1514"/>
      <c r="J1929" s="80"/>
      <c r="K1929" s="80"/>
      <c r="L1929" s="80"/>
      <c r="M1929" s="80"/>
      <c r="N1929" s="80"/>
      <c r="O1929" s="80"/>
      <c r="P1929" s="80"/>
      <c r="Q1929" s="80"/>
      <c r="R1929" s="80"/>
      <c r="S1929" s="80"/>
      <c r="T1929" s="80"/>
      <c r="U1929" s="80"/>
      <c r="V1929" s="80"/>
      <c r="W1929" s="80"/>
      <c r="X1929" s="80"/>
    </row>
    <row r="1930" spans="1:24" x14ac:dyDescent="0.2">
      <c r="A1930" s="523">
        <v>43645</v>
      </c>
      <c r="B1930" s="1526" t="s">
        <v>9701</v>
      </c>
      <c r="C1930" s="1526" t="s">
        <v>9702</v>
      </c>
      <c r="D1930" s="1686">
        <v>1.4143518518518519E-2</v>
      </c>
      <c r="E1930" s="1514" t="s">
        <v>13028</v>
      </c>
      <c r="F1930" s="1489" t="s">
        <v>13044</v>
      </c>
      <c r="G1930" s="1815">
        <v>0.85519999999999996</v>
      </c>
      <c r="H1930" s="80"/>
      <c r="I1930" s="1514"/>
      <c r="J1930" s="80"/>
      <c r="K1930" s="80"/>
      <c r="L1930" s="80"/>
      <c r="M1930" s="80"/>
      <c r="N1930" s="80"/>
      <c r="O1930" s="80"/>
      <c r="P1930" s="80"/>
      <c r="Q1930" s="80"/>
      <c r="R1930" s="80"/>
      <c r="S1930" s="80"/>
      <c r="T1930" s="80"/>
      <c r="U1930" s="80"/>
      <c r="V1930" s="80"/>
      <c r="W1930" s="80"/>
      <c r="X1930" s="80"/>
    </row>
    <row r="1931" spans="1:24" x14ac:dyDescent="0.2">
      <c r="A1931" s="523">
        <v>43624</v>
      </c>
      <c r="B1931" s="1526" t="s">
        <v>9701</v>
      </c>
      <c r="C1931" s="1526" t="s">
        <v>9702</v>
      </c>
      <c r="D1931" s="1835">
        <v>1.3854166666666666E-2</v>
      </c>
      <c r="E1931" s="1569" t="s">
        <v>12860</v>
      </c>
      <c r="F1931" s="1569" t="s">
        <v>12847</v>
      </c>
      <c r="G1931" s="1818">
        <v>0.873</v>
      </c>
      <c r="H1931" s="1514"/>
      <c r="I1931" s="1514"/>
      <c r="J1931" s="80"/>
      <c r="K1931" s="80"/>
      <c r="L1931" s="1370"/>
      <c r="M1931" s="1370"/>
      <c r="N1931" s="1370"/>
      <c r="O1931" s="1370"/>
      <c r="P1931" s="1370"/>
      <c r="Q1931" s="1370"/>
      <c r="R1931" s="1370"/>
      <c r="S1931" s="1370"/>
      <c r="T1931" s="1370"/>
      <c r="U1931" s="1370"/>
      <c r="V1931" s="1370"/>
      <c r="W1931" s="1370"/>
      <c r="X1931" s="1370"/>
    </row>
    <row r="1932" spans="1:24" x14ac:dyDescent="0.2">
      <c r="A1932" s="1384">
        <v>43617</v>
      </c>
      <c r="B1932" s="1526" t="s">
        <v>9701</v>
      </c>
      <c r="C1932" s="1526" t="s">
        <v>9702</v>
      </c>
      <c r="D1932" s="1836">
        <v>1.4097222222222221E-2</v>
      </c>
      <c r="E1932" s="1568" t="s">
        <v>12799</v>
      </c>
      <c r="F1932" s="1568" t="s">
        <v>12827</v>
      </c>
      <c r="G1932" s="1819">
        <v>0.85799999999999998</v>
      </c>
      <c r="H1932" s="1489"/>
      <c r="I1932" s="1489"/>
      <c r="J1932" s="1370"/>
      <c r="K1932" s="1370"/>
      <c r="L1932" s="1370"/>
      <c r="M1932" s="1370"/>
      <c r="N1932" s="1370"/>
      <c r="O1932" s="1370"/>
      <c r="P1932" s="1370"/>
      <c r="Q1932" s="1370"/>
      <c r="R1932" s="1370"/>
      <c r="S1932" s="1370"/>
      <c r="T1932" s="1370"/>
      <c r="U1932" s="1370"/>
      <c r="V1932" s="1370"/>
      <c r="W1932" s="1370"/>
      <c r="X1932" s="1370"/>
    </row>
    <row r="1933" spans="1:24" x14ac:dyDescent="0.2">
      <c r="A1933" s="1384">
        <v>43582</v>
      </c>
      <c r="B1933" s="1526" t="s">
        <v>9701</v>
      </c>
      <c r="C1933" s="1526" t="s">
        <v>9702</v>
      </c>
      <c r="D1933" s="1733">
        <v>1.4004629629629631E-2</v>
      </c>
      <c r="E1933" s="1489" t="s">
        <v>12626</v>
      </c>
      <c r="F1933" s="1489" t="s">
        <v>12627</v>
      </c>
      <c r="G1933" s="1815">
        <v>0.86360000000000003</v>
      </c>
      <c r="H1933" s="1370"/>
      <c r="I1933" s="1489" t="s">
        <v>12628</v>
      </c>
      <c r="J1933" s="1370"/>
      <c r="K1933" s="1370"/>
      <c r="L1933" s="1370"/>
      <c r="M1933" s="1370"/>
      <c r="N1933" s="1370"/>
      <c r="O1933" s="1370"/>
      <c r="P1933" s="1370"/>
      <c r="Q1933" s="1370"/>
      <c r="R1933" s="1370"/>
      <c r="S1933" s="1370"/>
      <c r="T1933" s="1370"/>
      <c r="U1933" s="1370"/>
      <c r="V1933" s="1370"/>
      <c r="W1933" s="1370"/>
      <c r="X1933" s="1370"/>
    </row>
    <row r="1934" spans="1:24" x14ac:dyDescent="0.2">
      <c r="A1934" s="1384">
        <v>43575</v>
      </c>
      <c r="B1934" s="1526" t="s">
        <v>9701</v>
      </c>
      <c r="C1934" s="1526" t="s">
        <v>9702</v>
      </c>
      <c r="D1934" s="1733">
        <v>1.3969907407407408E-2</v>
      </c>
      <c r="E1934" s="1489" t="s">
        <v>12480</v>
      </c>
      <c r="F1934" s="1489" t="s">
        <v>12493</v>
      </c>
      <c r="G1934" s="1815">
        <v>0.86580000000000001</v>
      </c>
      <c r="H1934" s="1370"/>
      <c r="I1934" s="1489"/>
      <c r="J1934" s="1370"/>
      <c r="K1934" s="1370"/>
      <c r="L1934" s="80"/>
      <c r="M1934" s="80"/>
      <c r="N1934" s="80"/>
      <c r="O1934" s="80"/>
      <c r="P1934" s="80"/>
      <c r="Q1934" s="80"/>
      <c r="R1934" s="80"/>
      <c r="S1934" s="80"/>
      <c r="T1934" s="80"/>
      <c r="U1934" s="80"/>
      <c r="V1934" s="80"/>
      <c r="W1934" s="80"/>
      <c r="X1934" s="80"/>
    </row>
    <row r="1935" spans="1:24" ht="12.75" customHeight="1" x14ac:dyDescent="0.2">
      <c r="A1935" s="1384">
        <v>43561</v>
      </c>
      <c r="B1935" s="1526" t="s">
        <v>9701</v>
      </c>
      <c r="C1935" s="1526" t="s">
        <v>9702</v>
      </c>
      <c r="D1935" s="1733">
        <v>1.3888888888888888E-2</v>
      </c>
      <c r="E1935" s="1489" t="s">
        <v>12329</v>
      </c>
      <c r="F1935" s="1489" t="s">
        <v>12341</v>
      </c>
      <c r="G1935" s="1815">
        <v>0.87080000000000002</v>
      </c>
      <c r="H1935" s="1370"/>
      <c r="I1935" s="1489"/>
      <c r="J1935" s="1370"/>
      <c r="K1935" s="1370"/>
      <c r="L1935" s="80"/>
      <c r="M1935" s="80"/>
      <c r="N1935" s="80"/>
      <c r="O1935" s="80"/>
      <c r="P1935" s="80"/>
      <c r="Q1935" s="80"/>
      <c r="R1935" s="80"/>
      <c r="S1935" s="80"/>
      <c r="T1935" s="80"/>
      <c r="U1935" s="80"/>
      <c r="V1935" s="80"/>
      <c r="W1935" s="80"/>
      <c r="X1935" s="80"/>
    </row>
    <row r="1936" spans="1:24" ht="12.75" customHeight="1" x14ac:dyDescent="0.2">
      <c r="A1936" s="1384">
        <v>43554</v>
      </c>
      <c r="B1936" s="1526" t="s">
        <v>9701</v>
      </c>
      <c r="C1936" s="1526" t="s">
        <v>9702</v>
      </c>
      <c r="D1936" s="1733">
        <v>1.4386574074074072E-2</v>
      </c>
      <c r="E1936" s="1489" t="s">
        <v>12238</v>
      </c>
      <c r="F1936" s="1489" t="s">
        <v>12236</v>
      </c>
      <c r="G1936" s="1815">
        <v>0.8407</v>
      </c>
      <c r="H1936" s="1370"/>
      <c r="I1936" s="1489"/>
      <c r="J1936" s="1370"/>
      <c r="K1936" s="1370"/>
      <c r="L1936" s="80"/>
      <c r="M1936" s="80"/>
      <c r="N1936" s="80"/>
      <c r="O1936" s="80"/>
      <c r="P1936" s="80"/>
      <c r="Q1936" s="80"/>
      <c r="R1936" s="80"/>
      <c r="S1936" s="80"/>
      <c r="T1936" s="80"/>
      <c r="U1936" s="80"/>
      <c r="V1936" s="80"/>
      <c r="W1936" s="80"/>
      <c r="X1936" s="80"/>
    </row>
    <row r="1937" spans="1:24" ht="12.75" customHeight="1" x14ac:dyDescent="0.2">
      <c r="A1937" s="1384">
        <v>43540</v>
      </c>
      <c r="B1937" s="1526" t="s">
        <v>9701</v>
      </c>
      <c r="C1937" s="1526" t="s">
        <v>9702</v>
      </c>
      <c r="D1937" s="1733">
        <v>1.4398148148148148E-2</v>
      </c>
      <c r="E1937" s="1489" t="s">
        <v>12123</v>
      </c>
      <c r="F1937" s="1489" t="s">
        <v>12122</v>
      </c>
      <c r="G1937" s="1815">
        <v>0.84</v>
      </c>
      <c r="H1937" s="1370"/>
      <c r="I1937" s="1489"/>
      <c r="J1937" s="1370"/>
      <c r="K1937" s="1370"/>
      <c r="L1937" s="80"/>
      <c r="M1937" s="80"/>
      <c r="N1937" s="80"/>
      <c r="O1937" s="80"/>
      <c r="P1937" s="80"/>
      <c r="Q1937" s="80"/>
      <c r="R1937" s="80"/>
      <c r="S1937" s="80"/>
      <c r="T1937" s="80"/>
      <c r="U1937" s="80"/>
      <c r="V1937" s="80"/>
      <c r="W1937" s="80"/>
      <c r="X1937" s="80"/>
    </row>
    <row r="1938" spans="1:24" ht="12.75" customHeight="1" x14ac:dyDescent="0.2">
      <c r="A1938" s="1384">
        <v>43519</v>
      </c>
      <c r="B1938" s="1526" t="s">
        <v>9701</v>
      </c>
      <c r="C1938" s="1526" t="s">
        <v>9702</v>
      </c>
      <c r="D1938" s="1733">
        <v>1.4537037037037038E-2</v>
      </c>
      <c r="E1938" s="1489" t="s">
        <v>5198</v>
      </c>
      <c r="F1938" s="1489" t="s">
        <v>11884</v>
      </c>
      <c r="G1938" s="1815">
        <v>0.83199999999999996</v>
      </c>
      <c r="H1938" s="1370"/>
      <c r="I1938" s="1489"/>
      <c r="J1938" s="1370"/>
      <c r="K1938" s="1370"/>
      <c r="L1938" s="80"/>
      <c r="M1938" s="80"/>
      <c r="N1938" s="80"/>
      <c r="O1938" s="80"/>
      <c r="P1938" s="80"/>
      <c r="Q1938" s="80"/>
      <c r="R1938" s="80"/>
      <c r="S1938" s="80"/>
      <c r="T1938" s="80"/>
      <c r="U1938" s="80"/>
      <c r="V1938" s="80"/>
      <c r="W1938" s="80"/>
      <c r="X1938" s="80"/>
    </row>
    <row r="1939" spans="1:24" ht="12.75" customHeight="1" x14ac:dyDescent="0.2">
      <c r="A1939" s="1384">
        <v>43491</v>
      </c>
      <c r="B1939" s="1526" t="s">
        <v>9701</v>
      </c>
      <c r="C1939" s="1526" t="s">
        <v>9702</v>
      </c>
      <c r="D1939" s="1733">
        <v>1.4594907407407405E-2</v>
      </c>
      <c r="E1939" s="1489" t="s">
        <v>5198</v>
      </c>
      <c r="F1939" s="1545" t="s">
        <v>11696</v>
      </c>
      <c r="G1939" s="1815">
        <v>0.82869999999999999</v>
      </c>
      <c r="H1939" s="1489"/>
      <c r="I1939" s="1489"/>
      <c r="J1939" s="1370"/>
      <c r="K1939" s="1370"/>
      <c r="L1939" s="80"/>
      <c r="M1939" s="80"/>
      <c r="N1939" s="80"/>
      <c r="O1939" s="80"/>
      <c r="P1939" s="80"/>
      <c r="Q1939" s="80"/>
      <c r="R1939" s="80"/>
      <c r="S1939" s="80"/>
      <c r="T1939" s="80"/>
      <c r="U1939" s="80"/>
      <c r="V1939" s="80"/>
      <c r="W1939" s="80"/>
      <c r="X1939" s="80"/>
    </row>
    <row r="1940" spans="1:24" ht="12.75" customHeight="1" x14ac:dyDescent="0.2">
      <c r="A1940" s="1384">
        <v>43484</v>
      </c>
      <c r="B1940" s="1526" t="s">
        <v>9701</v>
      </c>
      <c r="C1940" s="1526" t="s">
        <v>9702</v>
      </c>
      <c r="D1940" s="1733">
        <v>1.4675925925925926E-2</v>
      </c>
      <c r="E1940" s="1489" t="s">
        <v>10983</v>
      </c>
      <c r="F1940" s="1489" t="s">
        <v>11619</v>
      </c>
      <c r="G1940" s="1815">
        <v>0.82410000000000005</v>
      </c>
      <c r="H1940" s="1489"/>
      <c r="I1940" s="1489"/>
      <c r="J1940" s="1370"/>
      <c r="K1940" s="1370"/>
      <c r="L1940" s="1370"/>
      <c r="M1940" s="1370"/>
      <c r="N1940" s="1370"/>
      <c r="O1940" s="1370"/>
      <c r="P1940" s="1370"/>
      <c r="Q1940" s="1370"/>
      <c r="R1940" s="1370"/>
      <c r="S1940" s="1370"/>
      <c r="T1940" s="1370"/>
      <c r="U1940" s="1370"/>
      <c r="V1940" s="1370"/>
      <c r="W1940" s="1370"/>
      <c r="X1940" s="1370"/>
    </row>
    <row r="1941" spans="1:24" ht="12.75" customHeight="1" x14ac:dyDescent="0.2">
      <c r="A1941" s="1384">
        <v>43477</v>
      </c>
      <c r="B1941" s="1526" t="s">
        <v>9701</v>
      </c>
      <c r="C1941" s="1526" t="s">
        <v>9702</v>
      </c>
      <c r="D1941" s="1733">
        <v>1.4490740740740742E-2</v>
      </c>
      <c r="E1941" s="1489" t="s">
        <v>10983</v>
      </c>
      <c r="F1941" s="1489" t="s">
        <v>11585</v>
      </c>
      <c r="G1941" s="1815">
        <v>0.8347</v>
      </c>
      <c r="H1941" s="1489"/>
      <c r="I1941" s="1489"/>
      <c r="J1941" s="1370"/>
      <c r="K1941" s="1370"/>
      <c r="L1941" s="1370"/>
      <c r="M1941" s="1370"/>
      <c r="N1941" s="1370"/>
      <c r="O1941" s="1370"/>
      <c r="P1941" s="1370"/>
      <c r="Q1941" s="1370"/>
      <c r="R1941" s="1370"/>
      <c r="S1941" s="1370"/>
      <c r="T1941" s="1370"/>
      <c r="U1941" s="1370"/>
      <c r="V1941" s="1370"/>
      <c r="W1941" s="1370"/>
      <c r="X1941" s="1370"/>
    </row>
    <row r="1942" spans="1:24" ht="12.75" customHeight="1" x14ac:dyDescent="0.2">
      <c r="A1942" s="1384">
        <v>43470</v>
      </c>
      <c r="B1942" s="1526" t="s">
        <v>9701</v>
      </c>
      <c r="C1942" s="1526" t="s">
        <v>9702</v>
      </c>
      <c r="D1942" s="1733">
        <v>1.4652777777777778E-2</v>
      </c>
      <c r="E1942" s="1489" t="s">
        <v>10983</v>
      </c>
      <c r="F1942" s="1489" t="s">
        <v>11584</v>
      </c>
      <c r="G1942" s="1815">
        <v>0.82540000000000002</v>
      </c>
      <c r="H1942" s="1489"/>
      <c r="I1942" s="1489"/>
      <c r="J1942" s="1370"/>
      <c r="K1942" s="1370"/>
      <c r="L1942" s="1370"/>
      <c r="M1942" s="1370"/>
      <c r="N1942" s="1370"/>
      <c r="O1942" s="1370"/>
      <c r="P1942" s="1370"/>
      <c r="Q1942" s="1370"/>
      <c r="R1942" s="1370"/>
      <c r="S1942" s="1370"/>
      <c r="T1942" s="1370"/>
      <c r="U1942" s="1370"/>
      <c r="V1942" s="1370"/>
      <c r="W1942" s="1370"/>
      <c r="X1942" s="1370"/>
    </row>
    <row r="1943" spans="1:24" ht="12.75" customHeight="1" x14ac:dyDescent="0.2">
      <c r="A1943" s="1673">
        <v>43785</v>
      </c>
      <c r="B1943" s="1514" t="s">
        <v>481</v>
      </c>
      <c r="C1943" s="1489" t="s">
        <v>1574</v>
      </c>
      <c r="D1943" s="1754">
        <v>1.6921296296296295E-2</v>
      </c>
      <c r="E1943" s="1514" t="s">
        <v>16021</v>
      </c>
      <c r="F1943" s="1514" t="s">
        <v>16040</v>
      </c>
      <c r="G1943" s="1825">
        <v>0.62039999999999995</v>
      </c>
    </row>
    <row r="1944" spans="1:24" ht="12.75" customHeight="1" x14ac:dyDescent="0.2">
      <c r="A1944" s="523">
        <v>43722</v>
      </c>
      <c r="B1944" s="1514" t="s">
        <v>481</v>
      </c>
      <c r="C1944" s="1489" t="s">
        <v>1574</v>
      </c>
      <c r="D1944" s="1686">
        <v>1.59375E-2</v>
      </c>
      <c r="E1944" s="1489" t="s">
        <v>15477</v>
      </c>
      <c r="F1944" s="1489" t="s">
        <v>15525</v>
      </c>
      <c r="G1944" s="1815">
        <v>0.65869999999999995</v>
      </c>
      <c r="H1944" s="80"/>
      <c r="I1944" s="80" t="s">
        <v>15541</v>
      </c>
      <c r="J1944" s="80"/>
      <c r="K1944" s="80"/>
      <c r="L1944" s="1370"/>
      <c r="M1944" s="1370"/>
      <c r="N1944" s="1370"/>
      <c r="O1944" s="1370"/>
      <c r="P1944" s="1370"/>
      <c r="Q1944" s="1370"/>
      <c r="R1944" s="1370"/>
      <c r="S1944" s="1370"/>
      <c r="T1944" s="1370"/>
      <c r="U1944" s="1370"/>
      <c r="V1944" s="1370"/>
      <c r="W1944" s="1370"/>
      <c r="X1944" s="1370"/>
    </row>
    <row r="1945" spans="1:24" ht="12.75" customHeight="1" x14ac:dyDescent="0.2">
      <c r="A1945" s="523">
        <v>43652</v>
      </c>
      <c r="B1945" s="1514" t="s">
        <v>481</v>
      </c>
      <c r="C1945" s="1489" t="s">
        <v>1574</v>
      </c>
      <c r="D1945" s="1695" t="s">
        <v>3334</v>
      </c>
      <c r="E1945" s="1514" t="s">
        <v>12510</v>
      </c>
      <c r="F1945" s="1489" t="s">
        <v>4061</v>
      </c>
      <c r="G1945" s="1815"/>
      <c r="H1945" s="1489"/>
      <c r="I1945" s="1489"/>
      <c r="J1945" s="1489"/>
      <c r="K1945" s="1489"/>
      <c r="L1945" s="1370"/>
      <c r="M1945" s="1370"/>
      <c r="N1945" s="1370"/>
      <c r="O1945" s="1370"/>
      <c r="P1945" s="1370"/>
      <c r="Q1945" s="1370"/>
      <c r="R1945" s="1370"/>
      <c r="S1945" s="1370"/>
      <c r="T1945" s="1370"/>
      <c r="U1945" s="1370"/>
      <c r="V1945" s="1370"/>
      <c r="W1945" s="1370"/>
      <c r="X1945" s="1370"/>
    </row>
    <row r="1946" spans="1:24" ht="12.75" customHeight="1" x14ac:dyDescent="0.2">
      <c r="A1946" s="1384">
        <v>43673</v>
      </c>
      <c r="B1946" s="1489" t="s">
        <v>1794</v>
      </c>
      <c r="C1946" s="1489" t="s">
        <v>7677</v>
      </c>
      <c r="D1946" s="1686">
        <v>1.9791666666666666E-2</v>
      </c>
      <c r="E1946" s="1489" t="s">
        <v>13296</v>
      </c>
      <c r="F1946" s="1489" t="s">
        <v>13316</v>
      </c>
      <c r="G1946" s="1815">
        <v>0.61870000000000003</v>
      </c>
      <c r="H1946" s="80"/>
      <c r="I1946" s="80"/>
      <c r="J1946" s="80"/>
      <c r="K1946" s="80"/>
      <c r="L1946" s="1370"/>
      <c r="M1946" s="1370"/>
      <c r="N1946" s="1370"/>
      <c r="O1946" s="1370"/>
      <c r="P1946" s="1370"/>
      <c r="Q1946" s="1370"/>
      <c r="R1946" s="1370"/>
      <c r="S1946" s="1370"/>
      <c r="T1946" s="1370"/>
      <c r="U1946" s="1370"/>
      <c r="V1946" s="1370"/>
      <c r="W1946" s="1370"/>
      <c r="X1946" s="1370"/>
    </row>
    <row r="1947" spans="1:24" ht="12.75" customHeight="1" x14ac:dyDescent="0.2">
      <c r="A1947" s="523">
        <v>43666</v>
      </c>
      <c r="B1947" s="1489" t="s">
        <v>1794</v>
      </c>
      <c r="C1947" s="1489" t="s">
        <v>7677</v>
      </c>
      <c r="D1947" s="1843">
        <v>2.0254629629629629E-2</v>
      </c>
      <c r="E1947" s="1489" t="s">
        <v>13251</v>
      </c>
      <c r="F1947" s="1489" t="s">
        <v>13253</v>
      </c>
      <c r="G1947" s="1815">
        <v>0.60460000000000003</v>
      </c>
      <c r="H1947" s="80"/>
      <c r="I1947" s="80"/>
      <c r="J1947" s="80"/>
      <c r="K1947" s="80"/>
      <c r="L1947" s="80"/>
      <c r="M1947" s="80"/>
      <c r="N1947" s="80"/>
      <c r="O1947" s="80"/>
      <c r="P1947" s="80"/>
      <c r="Q1947" s="80"/>
      <c r="R1947" s="80"/>
      <c r="S1947" s="80"/>
      <c r="T1947" s="80"/>
      <c r="U1947" s="80"/>
      <c r="V1947" s="80"/>
      <c r="W1947" s="80"/>
      <c r="X1947" s="80"/>
    </row>
    <row r="1948" spans="1:24" ht="12.75" customHeight="1" x14ac:dyDescent="0.2">
      <c r="A1948" s="523">
        <v>43624</v>
      </c>
      <c r="B1948" s="1489" t="s">
        <v>1794</v>
      </c>
      <c r="C1948" s="1489" t="s">
        <v>7677</v>
      </c>
      <c r="D1948" s="1843">
        <v>2.1215277777777777E-2</v>
      </c>
      <c r="E1948" s="1489" t="s">
        <v>13252</v>
      </c>
      <c r="F1948" s="1489" t="s">
        <v>13254</v>
      </c>
      <c r="G1948" s="1815">
        <v>0.5706</v>
      </c>
      <c r="H1948" s="80"/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</row>
    <row r="1949" spans="1:24" ht="12.75" customHeight="1" x14ac:dyDescent="0.2">
      <c r="A1949" s="1384">
        <v>43617</v>
      </c>
      <c r="B1949" s="1489" t="s">
        <v>1794</v>
      </c>
      <c r="C1949" s="1489" t="s">
        <v>7677</v>
      </c>
      <c r="D1949" s="1836">
        <v>1.982638888888889E-2</v>
      </c>
      <c r="E1949" s="1568" t="s">
        <v>12821</v>
      </c>
      <c r="F1949" s="1568" t="s">
        <v>13310</v>
      </c>
      <c r="G1949" s="1819">
        <v>0.61060000000000003</v>
      </c>
      <c r="H1949" s="1489"/>
      <c r="I1949" s="1489"/>
      <c r="J1949" s="1370"/>
      <c r="K1949" s="1370"/>
      <c r="L1949" s="1370"/>
      <c r="M1949" s="1370"/>
      <c r="N1949" s="1370"/>
      <c r="O1949" s="1370"/>
      <c r="P1949" s="1370"/>
      <c r="Q1949" s="1370"/>
      <c r="R1949" s="1370"/>
      <c r="S1949" s="1370"/>
      <c r="T1949" s="1370"/>
      <c r="U1949" s="1370"/>
      <c r="V1949" s="1370"/>
      <c r="W1949" s="1370"/>
      <c r="X1949" s="1370"/>
    </row>
    <row r="1950" spans="1:24" ht="12.75" customHeight="1" x14ac:dyDescent="0.2">
      <c r="A1950" s="1384">
        <v>43603</v>
      </c>
      <c r="B1950" s="1489" t="s">
        <v>1794</v>
      </c>
      <c r="C1950" s="1489" t="s">
        <v>7677</v>
      </c>
      <c r="D1950" s="1733">
        <v>1.9895833333333331E-2</v>
      </c>
      <c r="E1950" s="1489" t="s">
        <v>12675</v>
      </c>
      <c r="F1950" s="1489" t="s">
        <v>882</v>
      </c>
      <c r="G1950" s="1815">
        <v>0.61209999999999998</v>
      </c>
      <c r="H1950" s="1489"/>
      <c r="I1950" s="1489"/>
      <c r="J1950" s="1370"/>
      <c r="K1950" s="1370"/>
      <c r="L1950" s="80"/>
      <c r="M1950" s="80"/>
      <c r="N1950" s="80"/>
      <c r="O1950" s="80"/>
      <c r="P1950" s="80"/>
      <c r="Q1950" s="80"/>
      <c r="R1950" s="80"/>
      <c r="S1950" s="80"/>
      <c r="T1950" s="80"/>
      <c r="U1950" s="80"/>
      <c r="V1950" s="80"/>
      <c r="W1950" s="80"/>
      <c r="X1950" s="80"/>
    </row>
    <row r="1951" spans="1:24" ht="12.75" customHeight="1" x14ac:dyDescent="0.2">
      <c r="A1951" s="34">
        <v>43824</v>
      </c>
      <c r="B1951" s="1514" t="s">
        <v>864</v>
      </c>
      <c r="C1951" s="1489" t="s">
        <v>865</v>
      </c>
      <c r="D1951" s="1621">
        <v>1.539351851851852E-2</v>
      </c>
      <c r="E1951" s="1489" t="s">
        <v>16381</v>
      </c>
      <c r="F1951" s="1489" t="s">
        <v>16403</v>
      </c>
      <c r="G1951" s="1817">
        <v>0.74960000000000004</v>
      </c>
      <c r="H1951" s="1404"/>
    </row>
    <row r="1952" spans="1:24" ht="12.75" customHeight="1" x14ac:dyDescent="0.2">
      <c r="A1952" s="1729">
        <v>43799</v>
      </c>
      <c r="B1952" s="1514" t="s">
        <v>864</v>
      </c>
      <c r="C1952" s="1489" t="s">
        <v>865</v>
      </c>
      <c r="D1952" s="1754">
        <v>1.5243055555555555E-2</v>
      </c>
      <c r="E1952" s="1486" t="s">
        <v>16159</v>
      </c>
      <c r="F1952" s="1514" t="s">
        <v>11465</v>
      </c>
      <c r="G1952" s="1825">
        <v>0.75700000000000001</v>
      </c>
    </row>
    <row r="1953" spans="1:24" ht="12.75" customHeight="1" x14ac:dyDescent="0.2">
      <c r="A1953" s="1751">
        <v>43792</v>
      </c>
      <c r="B1953" s="1514" t="s">
        <v>864</v>
      </c>
      <c r="C1953" s="1489" t="s">
        <v>865</v>
      </c>
      <c r="D1953" s="1786">
        <v>1.5439814814814816E-2</v>
      </c>
      <c r="E1953" s="1489" t="s">
        <v>16088</v>
      </c>
      <c r="F1953" s="1489" t="s">
        <v>16099</v>
      </c>
      <c r="G1953" s="1817">
        <v>0.74739999999999995</v>
      </c>
    </row>
    <row r="1954" spans="1:24" ht="12.75" customHeight="1" x14ac:dyDescent="0.2">
      <c r="A1954" s="1729">
        <v>43736</v>
      </c>
      <c r="B1954" s="1514" t="s">
        <v>864</v>
      </c>
      <c r="C1954" s="1489" t="s">
        <v>865</v>
      </c>
      <c r="D1954" s="1686">
        <v>1.5000000000000001E-2</v>
      </c>
      <c r="E1954" s="1489" t="s">
        <v>15647</v>
      </c>
      <c r="F1954" s="1489" t="s">
        <v>15657</v>
      </c>
      <c r="G1954" s="1815">
        <v>0.76929999999999998</v>
      </c>
      <c r="H1954" s="80"/>
      <c r="I1954" s="80"/>
      <c r="J1954" s="80"/>
      <c r="K1954" s="80"/>
      <c r="L1954" s="1370"/>
      <c r="M1954" s="1370"/>
      <c r="N1954" s="1370"/>
      <c r="O1954" s="1370"/>
      <c r="P1954" s="1370"/>
      <c r="Q1954" s="1370"/>
      <c r="R1954" s="1370"/>
      <c r="S1954" s="1370"/>
      <c r="T1954" s="1370"/>
      <c r="U1954" s="1370"/>
      <c r="V1954" s="1370"/>
      <c r="W1954" s="1370"/>
      <c r="X1954" s="1370"/>
    </row>
    <row r="1955" spans="1:24" ht="12.75" customHeight="1" x14ac:dyDescent="0.2">
      <c r="A1955" s="1729">
        <v>43729</v>
      </c>
      <c r="B1955" s="1514" t="s">
        <v>864</v>
      </c>
      <c r="C1955" s="1489" t="s">
        <v>865</v>
      </c>
      <c r="D1955" s="1686">
        <v>1.6377314814814813E-2</v>
      </c>
      <c r="E1955" s="1489" t="s">
        <v>15568</v>
      </c>
      <c r="F1955" s="1489" t="s">
        <v>15600</v>
      </c>
      <c r="G1955" s="1815">
        <v>0.7046</v>
      </c>
      <c r="H1955" s="80"/>
      <c r="I1955" s="80"/>
      <c r="J1955" s="80"/>
      <c r="K1955" s="80"/>
      <c r="L1955" s="1370"/>
      <c r="M1955" s="1370"/>
      <c r="N1955" s="1370"/>
      <c r="O1955" s="1370"/>
      <c r="P1955" s="1370"/>
      <c r="Q1955" s="1370"/>
      <c r="R1955" s="1370"/>
      <c r="S1955" s="1370"/>
      <c r="T1955" s="1370"/>
      <c r="U1955" s="1370"/>
      <c r="V1955" s="1370"/>
      <c r="W1955" s="1370"/>
      <c r="X1955" s="1370"/>
    </row>
    <row r="1956" spans="1:24" ht="12.75" customHeight="1" x14ac:dyDescent="0.2">
      <c r="A1956" s="523">
        <v>43722</v>
      </c>
      <c r="B1956" s="1514" t="s">
        <v>864</v>
      </c>
      <c r="C1956" s="1489" t="s">
        <v>865</v>
      </c>
      <c r="D1956" s="1686">
        <v>1.579861111111111E-2</v>
      </c>
      <c r="E1956" s="1489" t="s">
        <v>15475</v>
      </c>
      <c r="F1956" s="1489" t="s">
        <v>15530</v>
      </c>
      <c r="G1956" s="1815">
        <v>0.7238</v>
      </c>
      <c r="H1956" s="80"/>
      <c r="I1956" s="80"/>
      <c r="J1956" s="80"/>
      <c r="K1956" s="80"/>
      <c r="L1956" s="1370"/>
      <c r="M1956" s="1370"/>
      <c r="N1956" s="1370"/>
      <c r="O1956" s="1370"/>
      <c r="P1956" s="1370"/>
      <c r="Q1956" s="1370"/>
      <c r="R1956" s="1370"/>
      <c r="S1956" s="1370"/>
      <c r="T1956" s="1370"/>
      <c r="U1956" s="1370"/>
      <c r="V1956" s="1370"/>
      <c r="W1956" s="1370"/>
      <c r="X1956" s="1370"/>
    </row>
    <row r="1957" spans="1:24" ht="12.75" customHeight="1" x14ac:dyDescent="0.2">
      <c r="A1957" s="1526">
        <v>43701</v>
      </c>
      <c r="B1957" s="1514" t="s">
        <v>864</v>
      </c>
      <c r="C1957" s="1489" t="s">
        <v>865</v>
      </c>
      <c r="D1957" s="1686">
        <v>1.4953703703703703E-2</v>
      </c>
      <c r="E1957" s="1489" t="s">
        <v>15289</v>
      </c>
      <c r="F1957" s="1489" t="s">
        <v>15316</v>
      </c>
      <c r="G1957" s="1815">
        <v>0.76470000000000005</v>
      </c>
      <c r="H1957" s="80"/>
      <c r="I1957" s="80"/>
      <c r="J1957" s="80"/>
      <c r="K1957" s="80"/>
      <c r="L1957" s="80"/>
      <c r="M1957" s="80"/>
      <c r="N1957" s="80"/>
      <c r="O1957" s="80"/>
      <c r="P1957" s="80"/>
      <c r="Q1957" s="80"/>
      <c r="R1957" s="80"/>
      <c r="S1957" s="80"/>
      <c r="T1957" s="80"/>
      <c r="U1957" s="80"/>
      <c r="V1957" s="80"/>
      <c r="W1957" s="80"/>
      <c r="X1957" s="80"/>
    </row>
    <row r="1958" spans="1:24" ht="12.75" customHeight="1" x14ac:dyDescent="0.2">
      <c r="A1958" s="523">
        <v>43687</v>
      </c>
      <c r="B1958" s="1514" t="s">
        <v>864</v>
      </c>
      <c r="C1958" s="1489" t="s">
        <v>865</v>
      </c>
      <c r="D1958" s="1686">
        <v>1.5023148148148148E-2</v>
      </c>
      <c r="E1958" s="1489" t="s">
        <v>13445</v>
      </c>
      <c r="F1958" s="1489" t="s">
        <v>13468</v>
      </c>
      <c r="G1958" s="1815">
        <v>0.76119999999999999</v>
      </c>
      <c r="H1958" s="80"/>
      <c r="I1958" s="80"/>
      <c r="J1958" s="80"/>
      <c r="K1958" s="80"/>
      <c r="L1958" s="80"/>
      <c r="M1958" s="80"/>
      <c r="N1958" s="80"/>
      <c r="O1958" s="80"/>
      <c r="P1958" s="80"/>
      <c r="Q1958" s="80"/>
      <c r="R1958" s="80"/>
      <c r="S1958" s="80"/>
      <c r="T1958" s="80"/>
      <c r="U1958" s="80"/>
      <c r="V1958" s="80"/>
      <c r="W1958" s="80"/>
      <c r="X1958" s="80"/>
    </row>
    <row r="1959" spans="1:24" ht="12.75" customHeight="1" x14ac:dyDescent="0.2">
      <c r="A1959" s="1384">
        <v>43680</v>
      </c>
      <c r="B1959" s="1514" t="s">
        <v>864</v>
      </c>
      <c r="C1959" s="1489" t="s">
        <v>865</v>
      </c>
      <c r="D1959" s="1686">
        <v>1.5636574074074074E-2</v>
      </c>
      <c r="E1959" s="1489" t="s">
        <v>13353</v>
      </c>
      <c r="F1959" s="1489" t="s">
        <v>13390</v>
      </c>
      <c r="G1959" s="1815">
        <v>0.73129999999999995</v>
      </c>
      <c r="H1959" s="80"/>
      <c r="I1959" s="80"/>
      <c r="J1959" s="80"/>
      <c r="K1959" s="80"/>
      <c r="L1959" s="80"/>
      <c r="M1959" s="80"/>
      <c r="N1959" s="80"/>
      <c r="O1959" s="80"/>
      <c r="P1959" s="80"/>
      <c r="Q1959" s="80"/>
      <c r="R1959" s="80"/>
      <c r="S1959" s="80"/>
      <c r="T1959" s="80"/>
      <c r="U1959" s="80"/>
      <c r="V1959" s="80"/>
      <c r="W1959" s="80"/>
      <c r="X1959" s="80"/>
    </row>
    <row r="1960" spans="1:24" ht="12.75" customHeight="1" x14ac:dyDescent="0.2">
      <c r="A1960" s="523">
        <v>43666</v>
      </c>
      <c r="B1960" s="1514" t="s">
        <v>864</v>
      </c>
      <c r="C1960" s="1489" t="s">
        <v>865</v>
      </c>
      <c r="D1960" s="1686">
        <v>1.5509259259259257E-2</v>
      </c>
      <c r="E1960" s="1489" t="s">
        <v>13200</v>
      </c>
      <c r="F1960" s="1489" t="s">
        <v>13232</v>
      </c>
      <c r="G1960" s="1815">
        <v>0.73729999999999996</v>
      </c>
      <c r="H1960" s="80"/>
      <c r="I1960" s="80"/>
      <c r="J1960" s="80"/>
      <c r="K1960" s="80"/>
      <c r="L1960" s="80"/>
      <c r="M1960" s="80"/>
      <c r="N1960" s="80"/>
      <c r="O1960" s="80"/>
      <c r="P1960" s="80"/>
      <c r="Q1960" s="80"/>
      <c r="R1960" s="80"/>
      <c r="S1960" s="80"/>
      <c r="T1960" s="80"/>
      <c r="U1960" s="80"/>
      <c r="V1960" s="80"/>
      <c r="W1960" s="80"/>
      <c r="X1960" s="80"/>
    </row>
    <row r="1961" spans="1:24" ht="12.75" customHeight="1" x14ac:dyDescent="0.2">
      <c r="A1961" s="523">
        <v>43659</v>
      </c>
      <c r="B1961" s="1514" t="s">
        <v>864</v>
      </c>
      <c r="C1961" s="1489" t="s">
        <v>865</v>
      </c>
      <c r="D1961" s="1686">
        <v>1.5312500000000001E-2</v>
      </c>
      <c r="E1961" s="1489" t="s">
        <v>13153</v>
      </c>
      <c r="F1961" s="1489" t="s">
        <v>13167</v>
      </c>
      <c r="G1961" s="1815">
        <v>0.74680000000000002</v>
      </c>
      <c r="H1961" s="80"/>
      <c r="I1961" s="1489" t="s">
        <v>12776</v>
      </c>
      <c r="J1961" s="80"/>
      <c r="K1961" s="80"/>
      <c r="L1961" s="80"/>
      <c r="M1961" s="80"/>
      <c r="N1961" s="80"/>
      <c r="O1961" s="80"/>
      <c r="P1961" s="80"/>
      <c r="Q1961" s="80"/>
      <c r="R1961" s="80"/>
      <c r="S1961" s="80"/>
      <c r="T1961" s="80"/>
      <c r="U1961" s="80"/>
      <c r="V1961" s="80"/>
      <c r="W1961" s="80"/>
      <c r="X1961" s="80"/>
    </row>
    <row r="1962" spans="1:24" ht="12.75" customHeight="1" x14ac:dyDescent="0.2">
      <c r="A1962" s="523">
        <v>43652</v>
      </c>
      <c r="B1962" s="1514" t="s">
        <v>864</v>
      </c>
      <c r="C1962" s="1489" t="s">
        <v>865</v>
      </c>
      <c r="D1962" s="1695" t="s">
        <v>3334</v>
      </c>
      <c r="E1962" s="1514" t="s">
        <v>12510</v>
      </c>
      <c r="F1962" s="1489" t="s">
        <v>4854</v>
      </c>
      <c r="G1962" s="1815"/>
      <c r="H1962" s="1578"/>
      <c r="I1962" s="1489"/>
      <c r="J1962" s="1489"/>
      <c r="K1962" s="1489"/>
      <c r="L1962" s="1370"/>
      <c r="M1962" s="1370"/>
      <c r="N1962" s="1370"/>
      <c r="O1962" s="1370"/>
      <c r="P1962" s="1370"/>
      <c r="Q1962" s="1370"/>
      <c r="R1962" s="1370"/>
      <c r="S1962" s="1370"/>
      <c r="T1962" s="1370"/>
      <c r="U1962" s="1370"/>
      <c r="V1962" s="1370"/>
      <c r="W1962" s="1370"/>
      <c r="X1962" s="1370"/>
    </row>
    <row r="1963" spans="1:24" ht="12.75" customHeight="1" x14ac:dyDescent="0.2">
      <c r="A1963" s="523">
        <v>43638</v>
      </c>
      <c r="B1963" s="1514" t="s">
        <v>864</v>
      </c>
      <c r="C1963" s="1489" t="s">
        <v>865</v>
      </c>
      <c r="D1963" s="1835">
        <v>1.6145833333333335E-2</v>
      </c>
      <c r="E1963" s="1569" t="s">
        <v>12985</v>
      </c>
      <c r="F1963" s="1569" t="s">
        <v>12993</v>
      </c>
      <c r="G1963" s="1818">
        <v>0.70820000000000005</v>
      </c>
      <c r="H1963" s="1514"/>
      <c r="I1963" s="1514"/>
      <c r="J1963" s="80"/>
      <c r="K1963" s="80"/>
      <c r="L1963" s="1370"/>
      <c r="M1963" s="1370"/>
      <c r="N1963" s="1370"/>
      <c r="O1963" s="1370"/>
      <c r="P1963" s="1370"/>
      <c r="Q1963" s="1370"/>
      <c r="R1963" s="1370"/>
      <c r="S1963" s="1370"/>
      <c r="T1963" s="1370"/>
      <c r="U1963" s="1370"/>
      <c r="V1963" s="1370"/>
      <c r="W1963" s="1370"/>
      <c r="X1963" s="1370"/>
    </row>
    <row r="1964" spans="1:24" ht="12.75" customHeight="1" x14ac:dyDescent="0.2">
      <c r="A1964" s="523">
        <v>43624</v>
      </c>
      <c r="B1964" s="1514" t="s">
        <v>864</v>
      </c>
      <c r="C1964" s="1489" t="s">
        <v>865</v>
      </c>
      <c r="D1964" s="1835">
        <v>1.5300925925925926E-2</v>
      </c>
      <c r="E1964" s="1569" t="s">
        <v>12875</v>
      </c>
      <c r="F1964" s="1569" t="s">
        <v>12876</v>
      </c>
      <c r="G1964" s="1818">
        <v>0.74739999999999995</v>
      </c>
      <c r="H1964" s="1514"/>
      <c r="I1964" s="1514"/>
      <c r="J1964" s="80"/>
      <c r="K1964" s="80"/>
      <c r="L1964" s="80"/>
      <c r="M1964" s="80"/>
      <c r="N1964" s="80"/>
      <c r="O1964" s="80"/>
      <c r="P1964" s="80"/>
      <c r="Q1964" s="80"/>
      <c r="R1964" s="80"/>
      <c r="S1964" s="80"/>
      <c r="T1964" s="80"/>
      <c r="U1964" s="80"/>
      <c r="V1964" s="80"/>
      <c r="W1964" s="80"/>
      <c r="X1964" s="80"/>
    </row>
    <row r="1965" spans="1:24" ht="12.75" customHeight="1" x14ac:dyDescent="0.2">
      <c r="A1965" s="1384">
        <v>43617</v>
      </c>
      <c r="B1965" s="1514" t="s">
        <v>864</v>
      </c>
      <c r="C1965" s="1489" t="s">
        <v>865</v>
      </c>
      <c r="D1965" s="1836">
        <v>1.6249999999999997E-2</v>
      </c>
      <c r="E1965" s="1568" t="s">
        <v>12810</v>
      </c>
      <c r="F1965" s="1568" t="s">
        <v>12776</v>
      </c>
      <c r="G1965" s="1819">
        <v>0.70369999999999999</v>
      </c>
      <c r="H1965" s="1489"/>
      <c r="I1965" s="1489"/>
      <c r="J1965" s="1370"/>
      <c r="K1965" s="1370"/>
      <c r="L1965" s="1370"/>
      <c r="M1965" s="1370"/>
      <c r="N1965" s="1370"/>
      <c r="O1965" s="1370"/>
      <c r="P1965" s="1370"/>
      <c r="Q1965" s="1370"/>
      <c r="R1965" s="1370"/>
      <c r="S1965" s="1370"/>
      <c r="T1965" s="1370"/>
      <c r="U1965" s="1370"/>
      <c r="V1965" s="1370"/>
      <c r="W1965" s="1370"/>
      <c r="X1965" s="1370"/>
    </row>
    <row r="1966" spans="1:24" ht="12.75" customHeight="1" x14ac:dyDescent="0.2">
      <c r="A1966" s="1384">
        <v>43589</v>
      </c>
      <c r="B1966" s="1514" t="s">
        <v>864</v>
      </c>
      <c r="C1966" s="1489" t="s">
        <v>865</v>
      </c>
      <c r="D1966" s="1733">
        <v>1.5717592592592592E-2</v>
      </c>
      <c r="E1966" s="1489" t="s">
        <v>12586</v>
      </c>
      <c r="F1966" s="1489" t="s">
        <v>12604</v>
      </c>
      <c r="G1966" s="1815">
        <v>0.72250000000000003</v>
      </c>
      <c r="H1966" s="1489"/>
      <c r="I1966" s="1489"/>
      <c r="J1966" s="1370"/>
      <c r="K1966" s="1370"/>
      <c r="L1966" s="80"/>
      <c r="M1966" s="80"/>
      <c r="N1966" s="80"/>
      <c r="O1966" s="80"/>
      <c r="P1966" s="80"/>
      <c r="Q1966" s="80"/>
      <c r="R1966" s="80"/>
      <c r="S1966" s="80"/>
      <c r="T1966" s="80"/>
      <c r="U1966" s="80"/>
      <c r="V1966" s="80"/>
      <c r="W1966" s="80"/>
      <c r="X1966" s="80"/>
    </row>
    <row r="1967" spans="1:24" ht="12.75" customHeight="1" x14ac:dyDescent="0.2">
      <c r="A1967" s="1384">
        <v>43568</v>
      </c>
      <c r="B1967" s="1514" t="s">
        <v>864</v>
      </c>
      <c r="C1967" s="1489" t="s">
        <v>865</v>
      </c>
      <c r="D1967" s="1733">
        <v>1.5289351851851851E-2</v>
      </c>
      <c r="E1967" s="1489" t="s">
        <v>12361</v>
      </c>
      <c r="F1967" s="1489" t="s">
        <v>12365</v>
      </c>
      <c r="G1967" s="1815">
        <v>0.74790000000000001</v>
      </c>
      <c r="H1967" s="1489"/>
      <c r="I1967" s="1489"/>
      <c r="J1967" s="1370"/>
      <c r="K1967" s="1370"/>
      <c r="L1967" s="80"/>
      <c r="M1967" s="80"/>
      <c r="N1967" s="80"/>
      <c r="O1967" s="80"/>
      <c r="P1967" s="80"/>
      <c r="Q1967" s="80"/>
      <c r="R1967" s="80"/>
      <c r="S1967" s="80"/>
      <c r="T1967" s="80"/>
      <c r="U1967" s="80"/>
      <c r="V1967" s="80"/>
      <c r="W1967" s="80"/>
      <c r="X1967" s="80"/>
    </row>
    <row r="1968" spans="1:24" ht="12.75" customHeight="1" x14ac:dyDescent="0.2">
      <c r="A1968" s="1384">
        <v>43547</v>
      </c>
      <c r="B1968" s="1514" t="s">
        <v>864</v>
      </c>
      <c r="C1968" s="1489" t="s">
        <v>865</v>
      </c>
      <c r="D1968" s="1733">
        <v>1.53125E-2</v>
      </c>
      <c r="E1968" s="1489" t="s">
        <v>12179</v>
      </c>
      <c r="F1968" s="1489" t="s">
        <v>12180</v>
      </c>
      <c r="G1968" s="1815">
        <v>0.74680000000000002</v>
      </c>
      <c r="H1968" s="1489"/>
      <c r="I1968" s="1489"/>
      <c r="J1968" s="1370"/>
      <c r="K1968" s="1370"/>
      <c r="L1968" s="80"/>
      <c r="M1968" s="80"/>
      <c r="N1968" s="80"/>
      <c r="O1968" s="80"/>
      <c r="P1968" s="80"/>
      <c r="Q1968" s="80"/>
      <c r="R1968" s="80"/>
      <c r="S1968" s="80"/>
      <c r="T1968" s="80"/>
      <c r="U1968" s="80"/>
      <c r="V1968" s="80"/>
      <c r="W1968" s="80"/>
      <c r="X1968" s="80"/>
    </row>
    <row r="1969" spans="1:24" x14ac:dyDescent="0.2">
      <c r="A1969" s="1384">
        <v>43526</v>
      </c>
      <c r="B1969" s="1514" t="s">
        <v>864</v>
      </c>
      <c r="C1969" s="1489" t="s">
        <v>865</v>
      </c>
      <c r="D1969" s="1733">
        <v>1.6481481481481482E-2</v>
      </c>
      <c r="E1969" s="1489" t="s">
        <v>11957</v>
      </c>
      <c r="F1969" s="1489" t="s">
        <v>11958</v>
      </c>
      <c r="G1969" s="1815">
        <v>0.69379999999999997</v>
      </c>
      <c r="H1969" s="1489"/>
      <c r="I1969" s="1489"/>
      <c r="J1969" s="1370"/>
      <c r="K1969" s="1370"/>
      <c r="L1969" s="80"/>
      <c r="M1969" s="80"/>
      <c r="N1969" s="80"/>
      <c r="O1969" s="80"/>
      <c r="P1969" s="80"/>
      <c r="Q1969" s="80"/>
      <c r="R1969" s="80"/>
      <c r="S1969" s="80"/>
      <c r="T1969" s="80"/>
      <c r="U1969" s="80"/>
      <c r="V1969" s="80"/>
      <c r="W1969" s="80"/>
      <c r="X1969" s="80"/>
    </row>
    <row r="1970" spans="1:24" x14ac:dyDescent="0.2">
      <c r="A1970" s="1384">
        <v>43505</v>
      </c>
      <c r="B1970" s="1514" t="s">
        <v>864</v>
      </c>
      <c r="C1970" s="1489" t="s">
        <v>865</v>
      </c>
      <c r="D1970" s="1733">
        <v>1.5833333333333335E-2</v>
      </c>
      <c r="E1970" s="1489" t="s">
        <v>2147</v>
      </c>
      <c r="F1970" s="1489" t="s">
        <v>11794</v>
      </c>
      <c r="G1970" s="1815">
        <v>0.72219999999999995</v>
      </c>
      <c r="H1970" s="1489"/>
      <c r="I1970" s="1489"/>
      <c r="J1970" s="1370"/>
      <c r="K1970" s="1370"/>
      <c r="L1970" s="80"/>
      <c r="M1970" s="80"/>
      <c r="N1970" s="80"/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</row>
    <row r="1971" spans="1:24" x14ac:dyDescent="0.2">
      <c r="A1971" s="1384">
        <v>43484</v>
      </c>
      <c r="B1971" s="1514" t="s">
        <v>864</v>
      </c>
      <c r="C1971" s="1489" t="s">
        <v>865</v>
      </c>
      <c r="D1971" s="1733">
        <v>1.6469907407407405E-2</v>
      </c>
      <c r="E1971" s="1489" t="s">
        <v>10622</v>
      </c>
      <c r="F1971" s="1489" t="s">
        <v>11622</v>
      </c>
      <c r="G1971" s="1815">
        <v>0.69430000000000003</v>
      </c>
      <c r="H1971" s="1489"/>
      <c r="I1971" s="1489"/>
      <c r="J1971" s="1370"/>
      <c r="K1971" s="1370"/>
      <c r="L1971" s="1370"/>
      <c r="M1971" s="1370"/>
      <c r="N1971" s="1370"/>
      <c r="O1971" s="1370"/>
      <c r="P1971" s="1370"/>
      <c r="Q1971" s="1370"/>
      <c r="R1971" s="1370"/>
      <c r="S1971" s="1370"/>
      <c r="T1971" s="1370"/>
      <c r="U1971" s="1370"/>
      <c r="V1971" s="1370"/>
      <c r="W1971" s="1370"/>
      <c r="X1971" s="1370"/>
    </row>
    <row r="1972" spans="1:24" x14ac:dyDescent="0.2">
      <c r="A1972" s="1384">
        <v>43466</v>
      </c>
      <c r="B1972" s="1514" t="s">
        <v>864</v>
      </c>
      <c r="C1972" s="1489" t="s">
        <v>865</v>
      </c>
      <c r="D1972" s="1733">
        <v>1.6932870370370369E-2</v>
      </c>
      <c r="E1972" s="1489" t="s">
        <v>11502</v>
      </c>
      <c r="F1972" s="1489" t="s">
        <v>11513</v>
      </c>
      <c r="G1972" s="1815">
        <v>0.67530000000000001</v>
      </c>
      <c r="H1972" s="1489"/>
      <c r="I1972" s="1489"/>
      <c r="J1972" s="1370"/>
      <c r="K1972" s="1370"/>
      <c r="L1972" s="1370"/>
      <c r="M1972" s="1370"/>
      <c r="N1972" s="1370"/>
      <c r="O1972" s="1370"/>
      <c r="P1972" s="1370"/>
      <c r="Q1972" s="1370"/>
      <c r="R1972" s="1370"/>
      <c r="S1972" s="1370"/>
      <c r="T1972" s="1370"/>
      <c r="U1972" s="1370"/>
      <c r="V1972" s="1370"/>
      <c r="W1972" s="1370"/>
      <c r="X1972" s="1370"/>
    </row>
    <row r="1973" spans="1:24" x14ac:dyDescent="0.2">
      <c r="A1973" s="34">
        <v>43824</v>
      </c>
      <c r="B1973" s="1489" t="s">
        <v>3535</v>
      </c>
      <c r="C1973" s="1489" t="s">
        <v>4741</v>
      </c>
      <c r="D1973" s="1621">
        <v>1.5289351851851851E-2</v>
      </c>
      <c r="E1973" s="1489" t="s">
        <v>16378</v>
      </c>
      <c r="F1973" s="1489" t="s">
        <v>1272</v>
      </c>
      <c r="G1973" s="1817">
        <v>0.69189999999999996</v>
      </c>
      <c r="H1973" s="1404"/>
    </row>
    <row r="1974" spans="1:24" x14ac:dyDescent="0.2">
      <c r="A1974" s="1765">
        <v>43813</v>
      </c>
      <c r="B1974" s="1489" t="s">
        <v>3535</v>
      </c>
      <c r="C1974" s="1489" t="s">
        <v>4741</v>
      </c>
      <c r="D1974" s="1621">
        <v>1.6620370370370372E-2</v>
      </c>
      <c r="E1974" s="1489" t="s">
        <v>16269</v>
      </c>
      <c r="F1974" s="1489" t="s">
        <v>16292</v>
      </c>
      <c r="G1974" s="1817">
        <v>0.63649999999999995</v>
      </c>
      <c r="H1974" s="1404" t="s">
        <v>16257</v>
      </c>
    </row>
    <row r="1975" spans="1:24" x14ac:dyDescent="0.2">
      <c r="A1975" s="34">
        <v>43806</v>
      </c>
      <c r="B1975" s="1489" t="s">
        <v>3535</v>
      </c>
      <c r="C1975" s="1489" t="s">
        <v>4741</v>
      </c>
      <c r="D1975" s="1621">
        <v>1.5775462962962963E-2</v>
      </c>
      <c r="E1975" s="1489" t="s">
        <v>16222</v>
      </c>
      <c r="F1975" s="1489" t="s">
        <v>16238</v>
      </c>
      <c r="G1975" s="1817">
        <v>0.67059999999999997</v>
      </c>
    </row>
    <row r="1976" spans="1:24" x14ac:dyDescent="0.2">
      <c r="A1976" s="1729">
        <v>43799</v>
      </c>
      <c r="B1976" s="1489" t="s">
        <v>3535</v>
      </c>
      <c r="C1976" s="1489" t="s">
        <v>4741</v>
      </c>
      <c r="D1976" s="1774">
        <v>1.6666666666666666E-2</v>
      </c>
      <c r="E1976" s="1514" t="s">
        <v>16166</v>
      </c>
      <c r="F1976" s="1514" t="s">
        <v>16191</v>
      </c>
      <c r="G1976" s="1825">
        <v>0.63470000000000004</v>
      </c>
    </row>
    <row r="1977" spans="1:24" x14ac:dyDescent="0.2">
      <c r="A1977" s="1751">
        <v>43792</v>
      </c>
      <c r="B1977" s="1489" t="s">
        <v>3535</v>
      </c>
      <c r="C1977" s="1489" t="s">
        <v>4741</v>
      </c>
      <c r="D1977" s="1786">
        <v>1.4976851851851852E-2</v>
      </c>
      <c r="E1977" s="1489" t="s">
        <v>16078</v>
      </c>
      <c r="F1977" s="1404" t="s">
        <v>16113</v>
      </c>
      <c r="G1977" s="1817">
        <v>0.70630000000000004</v>
      </c>
    </row>
    <row r="1978" spans="1:24" x14ac:dyDescent="0.2">
      <c r="A1978" s="1673">
        <v>43785</v>
      </c>
      <c r="B1978" s="1489" t="s">
        <v>3535</v>
      </c>
      <c r="C1978" s="1489" t="s">
        <v>4741</v>
      </c>
      <c r="D1978" s="1754">
        <v>1.5011574074074075E-2</v>
      </c>
      <c r="E1978" s="1514" t="s">
        <v>16015</v>
      </c>
      <c r="F1978" s="1514" t="s">
        <v>16036</v>
      </c>
      <c r="G1978" s="1825">
        <v>0.70469999999999999</v>
      </c>
    </row>
    <row r="1979" spans="1:24" x14ac:dyDescent="0.2">
      <c r="A1979" s="523">
        <v>43778</v>
      </c>
      <c r="B1979" s="1489" t="s">
        <v>3535</v>
      </c>
      <c r="C1979" s="1489" t="s">
        <v>4741</v>
      </c>
      <c r="D1979" s="1621">
        <v>1.525462962962963E-2</v>
      </c>
      <c r="E1979" s="1723" t="s">
        <v>16002</v>
      </c>
      <c r="F1979" s="1723" t="s">
        <v>16004</v>
      </c>
      <c r="G1979" s="1817">
        <v>0.69350000000000001</v>
      </c>
    </row>
    <row r="1980" spans="1:24" x14ac:dyDescent="0.2">
      <c r="A1980" s="1384">
        <v>43771</v>
      </c>
      <c r="B1980" s="1489" t="s">
        <v>3535</v>
      </c>
      <c r="C1980" s="1489" t="s">
        <v>4741</v>
      </c>
      <c r="D1980" s="1737">
        <v>1.8310185185185186E-2</v>
      </c>
      <c r="E1980" s="1489" t="s">
        <v>15892</v>
      </c>
      <c r="F1980" s="1489" t="s">
        <v>15941</v>
      </c>
      <c r="G1980" s="1815">
        <v>0.57769999999999999</v>
      </c>
      <c r="H1980" s="1370"/>
      <c r="I1980" s="1370"/>
      <c r="J1980" s="1370"/>
      <c r="K1980" s="1370"/>
      <c r="L1980" s="1370"/>
      <c r="M1980" s="1370"/>
      <c r="N1980" s="1370"/>
      <c r="O1980" s="1370"/>
      <c r="P1980" s="1370"/>
      <c r="Q1980" s="1370"/>
      <c r="R1980" s="1370"/>
      <c r="S1980" s="1370"/>
      <c r="T1980" s="1370"/>
      <c r="U1980" s="1370"/>
      <c r="V1980" s="1370"/>
      <c r="W1980" s="1370"/>
      <c r="X1980" s="1370"/>
    </row>
    <row r="1981" spans="1:24" x14ac:dyDescent="0.2">
      <c r="A1981" s="1384">
        <v>43764</v>
      </c>
      <c r="B1981" s="1489" t="s">
        <v>3535</v>
      </c>
      <c r="C1981" s="1489" t="s">
        <v>4741</v>
      </c>
      <c r="D1981" s="1727">
        <v>1.5972222222222224E-2</v>
      </c>
      <c r="E1981" s="1728" t="s">
        <v>15912</v>
      </c>
      <c r="F1981" s="1728"/>
      <c r="G1981" s="1821">
        <v>0.6623</v>
      </c>
      <c r="H1981" s="1370"/>
      <c r="I1981" s="1370"/>
      <c r="J1981" s="1370"/>
      <c r="K1981" s="1370"/>
      <c r="L1981" s="1370"/>
      <c r="M1981" s="1370"/>
      <c r="N1981" s="1370"/>
      <c r="O1981" s="1370"/>
      <c r="P1981" s="1370"/>
      <c r="Q1981" s="1370"/>
      <c r="R1981" s="1370"/>
      <c r="S1981" s="1370"/>
      <c r="T1981" s="1370"/>
      <c r="U1981" s="1370"/>
      <c r="V1981" s="1370"/>
      <c r="W1981" s="1370"/>
      <c r="X1981" s="1370"/>
    </row>
    <row r="1982" spans="1:24" x14ac:dyDescent="0.2">
      <c r="A1982" s="523">
        <v>43757</v>
      </c>
      <c r="B1982" s="1489" t="s">
        <v>3535</v>
      </c>
      <c r="C1982" s="1489" t="s">
        <v>4741</v>
      </c>
      <c r="D1982" s="1686">
        <v>1.5428240740740739E-2</v>
      </c>
      <c r="E1982" s="1489" t="s">
        <v>15848</v>
      </c>
      <c r="F1982" s="1489" t="s">
        <v>15865</v>
      </c>
      <c r="G1982" s="1815">
        <v>0.68569999999999998</v>
      </c>
      <c r="H1982" s="1489"/>
      <c r="I1982" s="1489"/>
      <c r="J1982" s="1489"/>
      <c r="K1982" s="1489"/>
      <c r="L1982" s="80"/>
      <c r="M1982" s="80"/>
      <c r="N1982" s="80"/>
      <c r="O1982" s="80"/>
      <c r="P1982" s="80"/>
      <c r="Q1982" s="80"/>
      <c r="R1982" s="80"/>
      <c r="S1982" s="80"/>
      <c r="T1982" s="80"/>
      <c r="U1982" s="80"/>
      <c r="V1982" s="80"/>
      <c r="W1982" s="80"/>
      <c r="X1982" s="80"/>
    </row>
    <row r="1983" spans="1:24" x14ac:dyDescent="0.2">
      <c r="A1983" s="1729">
        <v>43743</v>
      </c>
      <c r="B1983" s="1489" t="s">
        <v>3535</v>
      </c>
      <c r="C1983" s="1489" t="s">
        <v>4741</v>
      </c>
      <c r="D1983" s="1737">
        <v>1.5601851851851849E-2</v>
      </c>
      <c r="E1983" s="1514" t="s">
        <v>15705</v>
      </c>
      <c r="F1983" s="1514" t="s">
        <v>15747</v>
      </c>
      <c r="G1983" s="1822">
        <v>0.67800000000000005</v>
      </c>
      <c r="H1983" s="80"/>
      <c r="I1983" s="80"/>
      <c r="J1983" s="80"/>
      <c r="K1983" s="80"/>
      <c r="L1983" s="80"/>
      <c r="M1983" s="80"/>
      <c r="N1983" s="80"/>
      <c r="O1983" s="80"/>
      <c r="P1983" s="80"/>
      <c r="Q1983" s="80"/>
      <c r="R1983" s="80"/>
      <c r="S1983" s="80"/>
      <c r="T1983" s="80"/>
      <c r="U1983" s="80"/>
      <c r="V1983" s="80"/>
      <c r="W1983" s="80"/>
      <c r="X1983" s="80"/>
    </row>
    <row r="1984" spans="1:24" x14ac:dyDescent="0.2">
      <c r="A1984" s="1729">
        <v>43736</v>
      </c>
      <c r="B1984" s="1489" t="s">
        <v>3535</v>
      </c>
      <c r="C1984" s="1489" t="s">
        <v>4741</v>
      </c>
      <c r="D1984" s="1686">
        <v>1.5648148148148151E-2</v>
      </c>
      <c r="E1984" s="1489" t="s">
        <v>15637</v>
      </c>
      <c r="F1984" s="1489" t="s">
        <v>15670</v>
      </c>
      <c r="G1984" s="1815">
        <v>0.67600000000000005</v>
      </c>
      <c r="H1984" s="80"/>
      <c r="I1984" s="80"/>
      <c r="J1984" s="80"/>
      <c r="K1984" s="80"/>
      <c r="L1984" s="80"/>
      <c r="M1984" s="80"/>
      <c r="N1984" s="80"/>
      <c r="O1984" s="80"/>
      <c r="P1984" s="80"/>
      <c r="Q1984" s="80"/>
      <c r="R1984" s="80"/>
      <c r="S1984" s="80"/>
      <c r="T1984" s="80"/>
      <c r="U1984" s="80"/>
      <c r="V1984" s="80"/>
      <c r="W1984" s="80"/>
      <c r="X1984" s="80"/>
    </row>
    <row r="1985" spans="1:24" x14ac:dyDescent="0.2">
      <c r="A1985" s="523">
        <v>43722</v>
      </c>
      <c r="B1985" s="1489" t="s">
        <v>3535</v>
      </c>
      <c r="C1985" s="1489" t="s">
        <v>4741</v>
      </c>
      <c r="D1985" s="1686">
        <v>1.5150462962962963E-2</v>
      </c>
      <c r="E1985" s="1489" t="s">
        <v>15472</v>
      </c>
      <c r="F1985" s="1489" t="s">
        <v>15505</v>
      </c>
      <c r="G1985" s="1815">
        <v>0.69820000000000004</v>
      </c>
      <c r="H1985" s="80"/>
      <c r="I1985" s="80"/>
      <c r="J1985" s="80"/>
      <c r="K1985" s="80"/>
      <c r="L1985" s="80"/>
      <c r="M1985" s="80"/>
      <c r="N1985" s="80"/>
      <c r="O1985" s="80"/>
      <c r="P1985" s="80"/>
      <c r="Q1985" s="80"/>
      <c r="R1985" s="80"/>
      <c r="S1985" s="80"/>
      <c r="T1985" s="80"/>
      <c r="U1985" s="80"/>
      <c r="V1985" s="80"/>
      <c r="W1985" s="80"/>
      <c r="X1985" s="80"/>
    </row>
    <row r="1986" spans="1:24" x14ac:dyDescent="0.2">
      <c r="A1986" s="1526">
        <v>43708</v>
      </c>
      <c r="B1986" s="1489" t="s">
        <v>3535</v>
      </c>
      <c r="C1986" s="1489" t="s">
        <v>4741</v>
      </c>
      <c r="D1986" s="1686">
        <v>1.5555555555555553E-2</v>
      </c>
      <c r="E1986" s="1489" t="s">
        <v>15364</v>
      </c>
      <c r="F1986" s="1489" t="s">
        <v>15389</v>
      </c>
      <c r="G1986" s="1815">
        <v>0.68010000000000004</v>
      </c>
      <c r="H1986" s="1489"/>
      <c r="I1986" s="1489"/>
      <c r="J1986" s="1489"/>
      <c r="K1986" s="80"/>
      <c r="L1986" s="80"/>
      <c r="M1986" s="80"/>
      <c r="N1986" s="80"/>
      <c r="O1986" s="80"/>
      <c r="P1986" s="80"/>
      <c r="Q1986" s="80"/>
      <c r="R1986" s="80"/>
      <c r="S1986" s="80"/>
      <c r="T1986" s="80"/>
      <c r="U1986" s="80"/>
      <c r="V1986" s="80"/>
      <c r="W1986" s="80"/>
      <c r="X1986" s="80"/>
    </row>
    <row r="1987" spans="1:24" x14ac:dyDescent="0.2">
      <c r="A1987" s="523">
        <v>43694</v>
      </c>
      <c r="B1987" s="1489" t="s">
        <v>3535</v>
      </c>
      <c r="C1987" s="1489" t="s">
        <v>4741</v>
      </c>
      <c r="D1987" s="1733">
        <v>1.5810185185185184E-2</v>
      </c>
      <c r="E1987" s="1489" t="s">
        <v>15161</v>
      </c>
      <c r="F1987" s="1489" t="s">
        <v>15191</v>
      </c>
      <c r="G1987" s="1815">
        <v>0.66910000000000003</v>
      </c>
      <c r="H1987" s="80"/>
      <c r="I1987" s="1514"/>
      <c r="J1987" s="80"/>
      <c r="K1987" s="80"/>
      <c r="L1987" s="80"/>
      <c r="M1987" s="80"/>
      <c r="N1987" s="80"/>
      <c r="O1987" s="80"/>
      <c r="P1987" s="80"/>
      <c r="Q1987" s="80"/>
      <c r="R1987" s="80"/>
      <c r="S1987" s="80"/>
      <c r="T1987" s="80"/>
      <c r="U1987" s="80"/>
      <c r="V1987" s="80"/>
      <c r="W1987" s="80"/>
      <c r="X1987" s="80"/>
    </row>
    <row r="1988" spans="1:24" x14ac:dyDescent="0.2">
      <c r="A1988" s="1384">
        <v>43680</v>
      </c>
      <c r="B1988" s="1489" t="s">
        <v>3535</v>
      </c>
      <c r="C1988" s="1489" t="s">
        <v>4741</v>
      </c>
      <c r="D1988" s="1686">
        <v>2.7557870370370368E-2</v>
      </c>
      <c r="E1988" s="1489" t="s">
        <v>13358</v>
      </c>
      <c r="F1988" s="1489" t="s">
        <v>13387</v>
      </c>
      <c r="G1988" s="1815">
        <v>0.38390000000000002</v>
      </c>
      <c r="H1988" s="80"/>
      <c r="I1988" s="80"/>
      <c r="J1988" s="80"/>
      <c r="K1988" s="80"/>
      <c r="L1988" s="80"/>
      <c r="M1988" s="80"/>
      <c r="N1988" s="80"/>
      <c r="O1988" s="80"/>
      <c r="P1988" s="80"/>
      <c r="Q1988" s="80"/>
      <c r="R1988" s="80"/>
      <c r="S1988" s="80"/>
      <c r="T1988" s="80"/>
      <c r="U1988" s="80"/>
      <c r="V1988" s="80"/>
      <c r="W1988" s="80"/>
      <c r="X1988" s="80"/>
    </row>
    <row r="1989" spans="1:24" x14ac:dyDescent="0.2">
      <c r="A1989" s="1384">
        <v>43673</v>
      </c>
      <c r="B1989" s="1489" t="s">
        <v>3535</v>
      </c>
      <c r="C1989" s="1489" t="s">
        <v>4741</v>
      </c>
      <c r="D1989" s="1686">
        <v>1.5775462962962963E-2</v>
      </c>
      <c r="E1989" s="1489" t="s">
        <v>13297</v>
      </c>
      <c r="F1989" s="1489" t="s">
        <v>13311</v>
      </c>
      <c r="G1989" s="1815">
        <v>0.67059999999999997</v>
      </c>
      <c r="H1989" s="80"/>
      <c r="I1989" s="1514"/>
      <c r="J1989" s="80"/>
      <c r="K1989" s="80"/>
      <c r="L1989" s="80"/>
      <c r="M1989" s="80"/>
      <c r="N1989" s="80"/>
      <c r="O1989" s="80"/>
      <c r="P1989" s="80"/>
      <c r="Q1989" s="80"/>
      <c r="R1989" s="80"/>
      <c r="S1989" s="80"/>
      <c r="T1989" s="80"/>
      <c r="U1989" s="80"/>
      <c r="V1989" s="80"/>
      <c r="W1989" s="80"/>
      <c r="X1989" s="80"/>
    </row>
    <row r="1990" spans="1:24" x14ac:dyDescent="0.2">
      <c r="A1990" s="523">
        <v>43659</v>
      </c>
      <c r="B1990" s="1489" t="s">
        <v>3535</v>
      </c>
      <c r="C1990" s="1489" t="s">
        <v>4741</v>
      </c>
      <c r="D1990" s="1686">
        <v>1.6516203703703703E-2</v>
      </c>
      <c r="E1990" s="1489" t="s">
        <v>13134</v>
      </c>
      <c r="F1990" s="1489" t="s">
        <v>13169</v>
      </c>
      <c r="G1990" s="1815">
        <v>0.64049999999999996</v>
      </c>
      <c r="H1990" s="80"/>
      <c r="I1990" s="1489"/>
      <c r="J1990" s="80"/>
      <c r="K1990" s="80"/>
      <c r="L1990" s="80"/>
      <c r="M1990" s="80"/>
      <c r="N1990" s="80"/>
      <c r="O1990" s="80"/>
      <c r="P1990" s="80"/>
      <c r="Q1990" s="80"/>
      <c r="R1990" s="80"/>
      <c r="S1990" s="80"/>
      <c r="T1990" s="80"/>
      <c r="U1990" s="80"/>
      <c r="V1990" s="80"/>
      <c r="W1990" s="80"/>
      <c r="X1990" s="80"/>
    </row>
    <row r="1991" spans="1:24" x14ac:dyDescent="0.2">
      <c r="A1991" s="523">
        <v>43645</v>
      </c>
      <c r="B1991" s="1489" t="s">
        <v>3535</v>
      </c>
      <c r="C1991" s="1489" t="s">
        <v>4741</v>
      </c>
      <c r="D1991" s="1686">
        <v>1.6331018518518519E-2</v>
      </c>
      <c r="E1991" s="1514" t="s">
        <v>13028</v>
      </c>
      <c r="F1991" s="1489" t="s">
        <v>13047</v>
      </c>
      <c r="G1991" s="1815">
        <v>0.64780000000000004</v>
      </c>
      <c r="H1991" s="1514"/>
      <c r="I1991" s="1514"/>
      <c r="J1991" s="80"/>
      <c r="K1991" s="80"/>
      <c r="L1991" s="80"/>
      <c r="M1991" s="80"/>
      <c r="N1991" s="80"/>
      <c r="O1991" s="80"/>
      <c r="P1991" s="80"/>
      <c r="Q1991" s="80"/>
      <c r="R1991" s="80"/>
      <c r="S1991" s="80"/>
      <c r="T1991" s="80"/>
      <c r="U1991" s="80"/>
      <c r="V1991" s="80"/>
      <c r="W1991" s="80"/>
      <c r="X1991" s="80"/>
    </row>
    <row r="1992" spans="1:24" x14ac:dyDescent="0.2">
      <c r="A1992" s="523">
        <v>43638</v>
      </c>
      <c r="B1992" s="1489" t="s">
        <v>3535</v>
      </c>
      <c r="C1992" s="1489" t="s">
        <v>4741</v>
      </c>
      <c r="D1992" s="1835">
        <v>1.622685185185185E-2</v>
      </c>
      <c r="E1992" s="1569" t="s">
        <v>12989</v>
      </c>
      <c r="F1992" s="1569" t="s">
        <v>13007</v>
      </c>
      <c r="G1992" s="1818">
        <v>0.65190000000000003</v>
      </c>
      <c r="H1992" s="1514"/>
      <c r="I1992" s="1514"/>
      <c r="J1992" s="80"/>
      <c r="K1992" s="80"/>
      <c r="L1992" s="80"/>
      <c r="M1992" s="80"/>
      <c r="N1992" s="80"/>
      <c r="O1992" s="80"/>
      <c r="P1992" s="80"/>
      <c r="Q1992" s="80"/>
      <c r="R1992" s="80"/>
      <c r="S1992" s="80"/>
      <c r="T1992" s="80"/>
      <c r="U1992" s="80"/>
      <c r="V1992" s="80"/>
      <c r="W1992" s="80"/>
      <c r="X1992" s="80"/>
    </row>
    <row r="1993" spans="1:24" x14ac:dyDescent="0.2">
      <c r="A1993" s="523">
        <v>43624</v>
      </c>
      <c r="B1993" s="1489" t="s">
        <v>3535</v>
      </c>
      <c r="C1993" s="1489" t="s">
        <v>4741</v>
      </c>
      <c r="D1993" s="1835">
        <v>1.7847222222222223E-2</v>
      </c>
      <c r="E1993" s="1569" t="s">
        <v>12856</v>
      </c>
      <c r="F1993" s="1569" t="s">
        <v>12892</v>
      </c>
      <c r="G1993" s="1818">
        <v>0.5927</v>
      </c>
      <c r="H1993" s="80"/>
      <c r="I1993" s="1514"/>
      <c r="J1993" s="80"/>
      <c r="K1993" s="80"/>
      <c r="L1993" s="80"/>
      <c r="M1993" s="80"/>
      <c r="N1993" s="80"/>
      <c r="O1993" s="80"/>
      <c r="P1993" s="80"/>
      <c r="Q1993" s="80"/>
      <c r="R1993" s="80"/>
      <c r="S1993" s="80"/>
      <c r="T1993" s="80"/>
      <c r="U1993" s="80"/>
      <c r="V1993" s="80"/>
      <c r="W1993" s="80"/>
      <c r="X1993" s="80"/>
    </row>
    <row r="1994" spans="1:24" x14ac:dyDescent="0.2">
      <c r="A1994" s="1384">
        <v>43617</v>
      </c>
      <c r="B1994" s="1489" t="s">
        <v>3535</v>
      </c>
      <c r="C1994" s="1489" t="s">
        <v>4741</v>
      </c>
      <c r="D1994" s="1836">
        <v>1.650462962962963E-2</v>
      </c>
      <c r="E1994" s="1568" t="s">
        <v>12801</v>
      </c>
      <c r="F1994" s="1568"/>
      <c r="G1994" s="1819">
        <v>0.64100000000000001</v>
      </c>
      <c r="H1994" s="1370"/>
      <c r="I1994" s="1489"/>
      <c r="J1994" s="1370"/>
      <c r="K1994" s="1370"/>
      <c r="L1994" s="80"/>
      <c r="M1994" s="80"/>
      <c r="N1994" s="80"/>
      <c r="O1994" s="80"/>
      <c r="P1994" s="80"/>
      <c r="Q1994" s="80"/>
      <c r="R1994" s="80"/>
      <c r="S1994" s="80"/>
      <c r="T1994" s="80"/>
      <c r="U1994" s="80"/>
      <c r="V1994" s="80"/>
      <c r="W1994" s="80"/>
      <c r="X1994" s="80"/>
    </row>
    <row r="1995" spans="1:24" x14ac:dyDescent="0.2">
      <c r="A1995" s="1384">
        <v>43610</v>
      </c>
      <c r="B1995" s="1489" t="s">
        <v>3535</v>
      </c>
      <c r="C1995" s="1489" t="s">
        <v>4741</v>
      </c>
      <c r="D1995" s="1733">
        <v>1.7662037037037035E-2</v>
      </c>
      <c r="E1995" s="1489" t="s">
        <v>12734</v>
      </c>
      <c r="F1995" s="1489"/>
      <c r="G1995" s="1815">
        <v>0.59899999999999998</v>
      </c>
      <c r="H1995" s="1370"/>
      <c r="I1995" s="1489"/>
      <c r="J1995" s="1370"/>
      <c r="K1995" s="1370"/>
      <c r="L1995" s="80"/>
      <c r="M1995" s="80"/>
      <c r="N1995" s="80"/>
      <c r="O1995" s="80"/>
      <c r="P1995" s="80"/>
      <c r="Q1995" s="80"/>
      <c r="R1995" s="80"/>
      <c r="S1995" s="80"/>
      <c r="T1995" s="80"/>
      <c r="U1995" s="80"/>
      <c r="V1995" s="80"/>
      <c r="W1995" s="80"/>
      <c r="X1995" s="80"/>
    </row>
    <row r="1996" spans="1:24" x14ac:dyDescent="0.2">
      <c r="A1996" s="1384">
        <v>43596</v>
      </c>
      <c r="B1996" s="1489" t="s">
        <v>3535</v>
      </c>
      <c r="C1996" s="1489" t="s">
        <v>4741</v>
      </c>
      <c r="D1996" s="1733">
        <v>1.7673611111111109E-2</v>
      </c>
      <c r="E1996" s="1489" t="s">
        <v>12542</v>
      </c>
      <c r="F1996" s="1489" t="s">
        <v>12547</v>
      </c>
      <c r="G1996" s="1815">
        <v>0.59860000000000002</v>
      </c>
      <c r="H1996" s="1489"/>
      <c r="I1996" s="1489"/>
      <c r="J1996" s="1370"/>
      <c r="K1996" s="1370"/>
      <c r="L1996" s="80"/>
      <c r="M1996" s="80"/>
      <c r="N1996" s="80"/>
      <c r="O1996" s="80"/>
      <c r="P1996" s="80"/>
      <c r="Q1996" s="80"/>
      <c r="R1996" s="80"/>
      <c r="S1996" s="80"/>
      <c r="T1996" s="80"/>
      <c r="U1996" s="80"/>
      <c r="V1996" s="80"/>
      <c r="W1996" s="80"/>
      <c r="X1996" s="80"/>
    </row>
    <row r="1997" spans="1:24" x14ac:dyDescent="0.2">
      <c r="A1997" s="1384">
        <v>43589</v>
      </c>
      <c r="B1997" s="1489" t="s">
        <v>3535</v>
      </c>
      <c r="C1997" s="1489" t="s">
        <v>4741</v>
      </c>
      <c r="D1997" s="1733">
        <v>1.7673611111111109E-2</v>
      </c>
      <c r="E1997" s="1489" t="s">
        <v>12543</v>
      </c>
      <c r="F1997" s="1489" t="s">
        <v>12549</v>
      </c>
      <c r="G1997" s="1815">
        <v>0.59860000000000002</v>
      </c>
      <c r="H1997" s="1489"/>
      <c r="I1997" s="1489"/>
      <c r="J1997" s="1370"/>
      <c r="K1997" s="1370"/>
      <c r="L1997" s="1370"/>
      <c r="M1997" s="1370"/>
      <c r="N1997" s="1370"/>
      <c r="O1997" s="1370"/>
      <c r="P1997" s="1370"/>
      <c r="Q1997" s="1370"/>
      <c r="R1997" s="1370"/>
      <c r="S1997" s="1370"/>
      <c r="T1997" s="1370"/>
      <c r="U1997" s="1370"/>
      <c r="V1997" s="1370"/>
      <c r="W1997" s="1370"/>
      <c r="X1997" s="1370"/>
    </row>
    <row r="1998" spans="1:24" x14ac:dyDescent="0.2">
      <c r="A1998" s="1384">
        <v>43582</v>
      </c>
      <c r="B1998" s="1489" t="s">
        <v>3535</v>
      </c>
      <c r="C1998" s="1489" t="s">
        <v>4741</v>
      </c>
      <c r="D1998" s="1733">
        <v>2.028935185185185E-2</v>
      </c>
      <c r="E1998" s="1489" t="s">
        <v>12544</v>
      </c>
      <c r="F1998" s="1489" t="s">
        <v>12548</v>
      </c>
      <c r="G1998" s="1815">
        <v>0.52139999999999997</v>
      </c>
      <c r="H1998" s="1489"/>
      <c r="I1998" s="1489"/>
      <c r="J1998" s="1370"/>
      <c r="K1998" s="1370"/>
      <c r="L1998" s="80"/>
      <c r="M1998" s="80"/>
      <c r="N1998" s="80"/>
      <c r="O1998" s="80"/>
      <c r="P1998" s="80"/>
      <c r="Q1998" s="80"/>
      <c r="R1998" s="80"/>
      <c r="S1998" s="80"/>
      <c r="T1998" s="80"/>
      <c r="U1998" s="80"/>
      <c r="V1998" s="80"/>
      <c r="W1998" s="80"/>
      <c r="X1998" s="80"/>
    </row>
    <row r="1999" spans="1:24" x14ac:dyDescent="0.2">
      <c r="A1999" s="1384">
        <v>43561</v>
      </c>
      <c r="B1999" s="1489" t="s">
        <v>3535</v>
      </c>
      <c r="C1999" s="1489" t="s">
        <v>4741</v>
      </c>
      <c r="D1999" s="1733">
        <v>1.7708333333333333E-2</v>
      </c>
      <c r="E1999" s="1489" t="s">
        <v>12329</v>
      </c>
      <c r="F1999" s="1489" t="s">
        <v>12313</v>
      </c>
      <c r="G1999" s="1815">
        <v>0.59740000000000004</v>
      </c>
      <c r="H1999" s="1370"/>
      <c r="I1999" s="1489"/>
      <c r="J1999" s="1370"/>
      <c r="K1999" s="1370"/>
      <c r="L1999" s="80"/>
      <c r="M1999" s="80"/>
      <c r="N1999" s="80"/>
      <c r="O1999" s="80"/>
      <c r="P1999" s="80"/>
      <c r="Q1999" s="80"/>
      <c r="R1999" s="80"/>
      <c r="S1999" s="80"/>
      <c r="T1999" s="80"/>
      <c r="U1999" s="80"/>
      <c r="V1999" s="80"/>
      <c r="W1999" s="80"/>
      <c r="X1999" s="80"/>
    </row>
    <row r="2000" spans="1:24" x14ac:dyDescent="0.2">
      <c r="A2000" s="1384">
        <v>43554</v>
      </c>
      <c r="B2000" s="1489" t="s">
        <v>3535</v>
      </c>
      <c r="C2000" s="1489" t="s">
        <v>4741</v>
      </c>
      <c r="D2000" s="1733">
        <v>1.7453703703703704E-2</v>
      </c>
      <c r="E2000" s="1489" t="s">
        <v>12230</v>
      </c>
      <c r="F2000" s="1489" t="s">
        <v>12248</v>
      </c>
      <c r="G2000" s="1815">
        <v>0.60609999999999997</v>
      </c>
      <c r="H2000" s="1489"/>
      <c r="I2000" s="1489"/>
      <c r="J2000" s="1370"/>
      <c r="K2000" s="1370"/>
      <c r="L2000" s="80"/>
      <c r="M2000" s="80"/>
      <c r="N2000" s="80"/>
      <c r="O2000" s="80"/>
      <c r="P2000" s="80"/>
      <c r="Q2000" s="80"/>
      <c r="R2000" s="80"/>
      <c r="S2000" s="80"/>
      <c r="T2000" s="80"/>
      <c r="U2000" s="80"/>
      <c r="V2000" s="80"/>
      <c r="W2000" s="80"/>
      <c r="X2000" s="80"/>
    </row>
    <row r="2001" spans="1:24" x14ac:dyDescent="0.2">
      <c r="A2001" s="1384">
        <v>43547</v>
      </c>
      <c r="B2001" s="1489" t="s">
        <v>3535</v>
      </c>
      <c r="C2001" s="1489" t="s">
        <v>4741</v>
      </c>
      <c r="D2001" s="1733">
        <v>1.7662037037037035E-2</v>
      </c>
      <c r="E2001" s="1489" t="s">
        <v>12189</v>
      </c>
      <c r="F2001" s="1489" t="s">
        <v>12190</v>
      </c>
      <c r="G2001" s="1815">
        <v>0.59899999999999998</v>
      </c>
      <c r="H2001" s="1489"/>
      <c r="I2001" s="1489"/>
      <c r="J2001" s="1370"/>
      <c r="K2001" s="1370"/>
      <c r="L2001" s="1370"/>
      <c r="M2001" s="1370"/>
      <c r="N2001" s="1370"/>
      <c r="O2001" s="1370"/>
      <c r="P2001" s="1370"/>
      <c r="Q2001" s="1370"/>
      <c r="R2001" s="1370"/>
      <c r="S2001" s="1370"/>
      <c r="T2001" s="1370"/>
      <c r="U2001" s="1370"/>
      <c r="V2001" s="1370"/>
      <c r="W2001" s="1370"/>
      <c r="X2001" s="1370"/>
    </row>
    <row r="2002" spans="1:24" x14ac:dyDescent="0.2">
      <c r="A2002" s="1384">
        <v>43533</v>
      </c>
      <c r="B2002" s="1489" t="s">
        <v>3535</v>
      </c>
      <c r="C2002" s="1489" t="s">
        <v>4741</v>
      </c>
      <c r="D2002" s="1733">
        <v>1.8113425925925925E-2</v>
      </c>
      <c r="E2002" s="1489" t="s">
        <v>12029</v>
      </c>
      <c r="F2002" s="1489" t="s">
        <v>12032</v>
      </c>
      <c r="G2002" s="1815">
        <v>0.58399999999999996</v>
      </c>
      <c r="H2002" s="1579"/>
      <c r="I2002" s="1489"/>
      <c r="J2002" s="1370"/>
      <c r="K2002" s="1370"/>
      <c r="L2002" s="80"/>
      <c r="M2002" s="80"/>
      <c r="N2002" s="80"/>
      <c r="O2002" s="80"/>
      <c r="P2002" s="80"/>
      <c r="Q2002" s="80"/>
      <c r="R2002" s="80"/>
      <c r="S2002" s="80"/>
      <c r="T2002" s="80"/>
      <c r="U2002" s="80"/>
      <c r="V2002" s="80"/>
      <c r="W2002" s="80"/>
      <c r="X2002" s="80"/>
    </row>
    <row r="2003" spans="1:24" x14ac:dyDescent="0.2">
      <c r="A2003" s="1384">
        <v>43533</v>
      </c>
      <c r="B2003" s="1489" t="s">
        <v>3535</v>
      </c>
      <c r="C2003" s="1489" t="s">
        <v>4741</v>
      </c>
      <c r="D2003" s="1733">
        <v>2.1770833333333336E-2</v>
      </c>
      <c r="E2003" s="1489" t="s">
        <v>12030</v>
      </c>
      <c r="F2003" s="1489" t="s">
        <v>12026</v>
      </c>
      <c r="G2003" s="1815">
        <v>0.41449999999999998</v>
      </c>
      <c r="H2003" s="1370"/>
      <c r="I2003" s="1489"/>
      <c r="J2003" s="1370"/>
      <c r="K2003" s="1370"/>
      <c r="L2003" s="80"/>
      <c r="M2003" s="80"/>
      <c r="N2003" s="80"/>
      <c r="O2003" s="80"/>
      <c r="P2003" s="80"/>
      <c r="Q2003" s="80"/>
      <c r="R2003" s="80"/>
      <c r="S2003" s="80"/>
      <c r="T2003" s="80"/>
      <c r="U2003" s="80"/>
      <c r="V2003" s="80"/>
      <c r="W2003" s="80"/>
      <c r="X2003" s="80"/>
    </row>
    <row r="2004" spans="1:24" x14ac:dyDescent="0.2">
      <c r="A2004" s="1384">
        <v>43526</v>
      </c>
      <c r="B2004" s="1489" t="s">
        <v>3535</v>
      </c>
      <c r="C2004" s="1489" t="s">
        <v>4741</v>
      </c>
      <c r="D2004" s="1733">
        <v>1.8217592592592594E-2</v>
      </c>
      <c r="E2004" s="1489" t="s">
        <v>11951</v>
      </c>
      <c r="F2004" s="1489" t="s">
        <v>11963</v>
      </c>
      <c r="G2004" s="1815">
        <v>0.58069999999999999</v>
      </c>
      <c r="H2004" s="1489"/>
      <c r="I2004" s="1489"/>
      <c r="J2004" s="1370"/>
      <c r="K2004" s="1370"/>
      <c r="L2004" s="80"/>
      <c r="M2004" s="80"/>
      <c r="N2004" s="80"/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</row>
    <row r="2005" spans="1:24" x14ac:dyDescent="0.2">
      <c r="A2005" s="1384">
        <v>43519</v>
      </c>
      <c r="B2005" s="1489" t="s">
        <v>3535</v>
      </c>
      <c r="C2005" s="1489" t="s">
        <v>4741</v>
      </c>
      <c r="D2005" s="1733">
        <v>1.8761574074074073E-2</v>
      </c>
      <c r="E2005" s="1489" t="s">
        <v>5198</v>
      </c>
      <c r="F2005" s="1489" t="s">
        <v>11890</v>
      </c>
      <c r="G2005" s="1815">
        <v>0.56379999999999997</v>
      </c>
      <c r="H2005" s="1489"/>
      <c r="I2005" s="1489"/>
      <c r="J2005" s="1370"/>
      <c r="K2005" s="1370"/>
      <c r="L2005" s="80"/>
      <c r="M2005" s="80"/>
      <c r="N2005" s="80"/>
      <c r="O2005" s="80"/>
      <c r="P2005" s="80"/>
      <c r="Q2005" s="80"/>
      <c r="R2005" s="80"/>
      <c r="S2005" s="80"/>
      <c r="T2005" s="80"/>
      <c r="U2005" s="80"/>
      <c r="V2005" s="80"/>
      <c r="W2005" s="80"/>
      <c r="X2005" s="80"/>
    </row>
    <row r="2006" spans="1:24" x14ac:dyDescent="0.2">
      <c r="A2006" s="1384">
        <v>43498</v>
      </c>
      <c r="B2006" s="1489" t="s">
        <v>3535</v>
      </c>
      <c r="C2006" s="1489" t="s">
        <v>4741</v>
      </c>
      <c r="D2006" s="1733">
        <v>2.7314814814814816E-2</v>
      </c>
      <c r="E2006" s="1489" t="s">
        <v>5948</v>
      </c>
      <c r="F2006" s="1489" t="s">
        <v>11745</v>
      </c>
      <c r="G2006" s="1815">
        <v>0.38429999999999997</v>
      </c>
      <c r="H2006" s="1489"/>
      <c r="I2006" s="1489"/>
      <c r="J2006" s="1370"/>
      <c r="K2006" s="1370"/>
      <c r="L2006" s="80"/>
      <c r="M2006" s="80"/>
      <c r="N2006" s="80"/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</row>
    <row r="2007" spans="1:24" x14ac:dyDescent="0.2">
      <c r="A2007" s="1384">
        <v>43491</v>
      </c>
      <c r="B2007" s="1489" t="s">
        <v>3535</v>
      </c>
      <c r="C2007" s="1489" t="s">
        <v>4741</v>
      </c>
      <c r="D2007" s="1733">
        <v>3.1215277777777783E-2</v>
      </c>
      <c r="E2007" s="1489" t="s">
        <v>2431</v>
      </c>
      <c r="F2007" s="1545" t="s">
        <v>11702</v>
      </c>
      <c r="G2007" s="1815">
        <v>0.33629999999999999</v>
      </c>
      <c r="H2007" s="1489"/>
      <c r="I2007" s="1489"/>
      <c r="J2007" s="1370"/>
      <c r="K2007" s="1370"/>
      <c r="L2007" s="80"/>
      <c r="M2007" s="80"/>
      <c r="N2007" s="80"/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</row>
    <row r="2008" spans="1:24" x14ac:dyDescent="0.2">
      <c r="A2008" s="1384">
        <v>43484</v>
      </c>
      <c r="B2008" s="1489" t="s">
        <v>3535</v>
      </c>
      <c r="C2008" s="1489" t="s">
        <v>4741</v>
      </c>
      <c r="D2008" s="1733">
        <v>3.5995370370370372E-2</v>
      </c>
      <c r="E2008" s="1489" t="s">
        <v>2431</v>
      </c>
      <c r="F2008" s="1489" t="s">
        <v>11595</v>
      </c>
      <c r="G2008" s="1815">
        <v>0.29160000000000003</v>
      </c>
      <c r="H2008" s="1489"/>
      <c r="I2008" s="1489"/>
      <c r="J2008" s="1370"/>
      <c r="K2008" s="1370"/>
      <c r="L2008" s="80"/>
      <c r="M2008" s="80"/>
      <c r="N2008" s="80"/>
      <c r="O2008" s="80"/>
      <c r="P2008" s="80"/>
      <c r="Q2008" s="80"/>
      <c r="R2008" s="80"/>
      <c r="S2008" s="80"/>
      <c r="T2008" s="80"/>
      <c r="U2008" s="80"/>
      <c r="V2008" s="80"/>
      <c r="W2008" s="80"/>
      <c r="X2008" s="80"/>
    </row>
    <row r="2009" spans="1:24" x14ac:dyDescent="0.2">
      <c r="A2009" s="1384">
        <v>43484</v>
      </c>
      <c r="B2009" s="1626" t="s">
        <v>3753</v>
      </c>
      <c r="C2009" s="1626" t="s">
        <v>3752</v>
      </c>
      <c r="D2009" s="1733">
        <v>2.1365740740740741E-2</v>
      </c>
      <c r="E2009" s="1489" t="s">
        <v>5883</v>
      </c>
      <c r="F2009" s="1489" t="s">
        <v>11574</v>
      </c>
      <c r="G2009" s="1815">
        <v>0.64900000000000002</v>
      </c>
      <c r="H2009" s="1370"/>
      <c r="I2009" s="1489"/>
      <c r="J2009" s="1370"/>
      <c r="K2009" s="1370"/>
      <c r="L2009" s="80"/>
      <c r="M2009" s="80"/>
      <c r="N2009" s="80"/>
      <c r="O2009" s="80"/>
      <c r="P2009" s="80"/>
      <c r="Q2009" s="80"/>
      <c r="R2009" s="80"/>
      <c r="S2009" s="80"/>
      <c r="T2009" s="80"/>
      <c r="U2009" s="80"/>
      <c r="V2009" s="80"/>
      <c r="W2009" s="80"/>
      <c r="X2009" s="80"/>
    </row>
    <row r="2010" spans="1:24" x14ac:dyDescent="0.2">
      <c r="A2010" s="523">
        <v>43652</v>
      </c>
      <c r="B2010" s="1626" t="s">
        <v>3535</v>
      </c>
      <c r="C2010" s="1626" t="s">
        <v>3752</v>
      </c>
      <c r="D2010" s="1686">
        <v>2.3530092592592592E-2</v>
      </c>
      <c r="E2010" s="1489" t="s">
        <v>13068</v>
      </c>
      <c r="F2010" s="1489" t="s">
        <v>3698</v>
      </c>
      <c r="G2010" s="1815">
        <v>0.58040000000000003</v>
      </c>
      <c r="H2010" s="1489"/>
      <c r="I2010" s="1514"/>
      <c r="J2010" s="80"/>
      <c r="K2010" s="80"/>
      <c r="L2010" s="80"/>
      <c r="M2010" s="80"/>
      <c r="N2010" s="80"/>
      <c r="O2010" s="80"/>
      <c r="P2010" s="80"/>
      <c r="Q2010" s="80"/>
      <c r="R2010" s="80"/>
      <c r="S2010" s="80"/>
      <c r="T2010" s="80"/>
      <c r="U2010" s="80"/>
      <c r="V2010" s="80"/>
      <c r="W2010" s="80"/>
      <c r="X2010" s="80"/>
    </row>
    <row r="2011" spans="1:24" x14ac:dyDescent="0.2">
      <c r="A2011" s="1750">
        <v>43792</v>
      </c>
      <c r="B2011" s="1626" t="s">
        <v>16072</v>
      </c>
      <c r="C2011" s="1626" t="s">
        <v>3752</v>
      </c>
      <c r="D2011" s="1621" t="s">
        <v>787</v>
      </c>
      <c r="E2011" s="1489" t="s">
        <v>5883</v>
      </c>
      <c r="F2011" s="1489" t="s">
        <v>16073</v>
      </c>
      <c r="G2011" s="1817"/>
    </row>
    <row r="2012" spans="1:24" x14ac:dyDescent="0.2">
      <c r="A2012" s="1673">
        <v>43820</v>
      </c>
      <c r="B2012" s="1526" t="s">
        <v>922</v>
      </c>
      <c r="C2012" s="1526" t="s">
        <v>3831</v>
      </c>
      <c r="D2012" s="1777">
        <v>1.7916666666666668E-2</v>
      </c>
      <c r="E2012" s="80" t="s">
        <v>16319</v>
      </c>
      <c r="F2012" t="s">
        <v>16350</v>
      </c>
      <c r="G2012" s="314">
        <v>0.53680000000000005</v>
      </c>
    </row>
    <row r="2013" spans="1:24" x14ac:dyDescent="0.2">
      <c r="A2013" s="1384">
        <v>43764</v>
      </c>
      <c r="B2013" s="1526" t="s">
        <v>922</v>
      </c>
      <c r="C2013" s="1526" t="s">
        <v>3831</v>
      </c>
      <c r="D2013" s="1727">
        <v>1.7060185185185185E-2</v>
      </c>
      <c r="E2013" s="1728" t="s">
        <v>1168</v>
      </c>
      <c r="F2013" s="1728"/>
      <c r="G2013" s="1821">
        <v>0.56379999999999997</v>
      </c>
      <c r="H2013" s="1370"/>
      <c r="I2013" s="1370"/>
      <c r="J2013" s="1370"/>
      <c r="K2013" s="1370"/>
      <c r="L2013" s="1370"/>
      <c r="M2013" s="1370"/>
      <c r="N2013" s="1370"/>
      <c r="O2013" s="1370"/>
      <c r="P2013" s="1370"/>
      <c r="Q2013" s="1370"/>
      <c r="R2013" s="1370"/>
      <c r="S2013" s="1370"/>
      <c r="T2013" s="1370"/>
      <c r="U2013" s="1370"/>
      <c r="V2013" s="1370"/>
      <c r="W2013" s="1370"/>
      <c r="X2013" s="1370"/>
    </row>
    <row r="2014" spans="1:24" x14ac:dyDescent="0.2">
      <c r="A2014" s="523">
        <v>43757</v>
      </c>
      <c r="B2014" s="1526" t="s">
        <v>922</v>
      </c>
      <c r="C2014" s="1526" t="s">
        <v>3831</v>
      </c>
      <c r="D2014" s="1686">
        <v>1.7592592592592594E-2</v>
      </c>
      <c r="E2014" s="1489" t="s">
        <v>15855</v>
      </c>
      <c r="F2014" s="1489" t="s">
        <v>15872</v>
      </c>
      <c r="G2014" s="1815">
        <v>0.54669999999999996</v>
      </c>
      <c r="H2014" s="1489"/>
      <c r="I2014" s="1489"/>
      <c r="J2014" s="1489"/>
      <c r="K2014" s="1489"/>
      <c r="L2014" s="80"/>
      <c r="M2014" s="80"/>
      <c r="N2014" s="80"/>
      <c r="O2014" s="80"/>
      <c r="P2014" s="80"/>
      <c r="Q2014" s="80"/>
      <c r="R2014" s="80"/>
      <c r="S2014" s="80"/>
      <c r="T2014" s="80"/>
      <c r="U2014" s="80"/>
      <c r="V2014" s="80"/>
      <c r="W2014" s="80"/>
      <c r="X2014" s="80"/>
    </row>
    <row r="2015" spans="1:24" x14ac:dyDescent="0.2">
      <c r="A2015" s="523">
        <v>43722</v>
      </c>
      <c r="B2015" s="1526" t="s">
        <v>922</v>
      </c>
      <c r="C2015" s="1526" t="s">
        <v>3831</v>
      </c>
      <c r="D2015" s="1686">
        <v>1.6574074074074074E-2</v>
      </c>
      <c r="E2015" s="1489" t="s">
        <v>15466</v>
      </c>
      <c r="F2015" s="1489" t="s">
        <v>15513</v>
      </c>
      <c r="G2015" s="1815">
        <v>0.58030000000000004</v>
      </c>
      <c r="H2015" s="80"/>
      <c r="I2015" s="80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</row>
    <row r="2016" spans="1:24" x14ac:dyDescent="0.2">
      <c r="A2016" s="1526">
        <v>43708</v>
      </c>
      <c r="B2016" s="1526" t="s">
        <v>922</v>
      </c>
      <c r="C2016" s="1526" t="s">
        <v>3831</v>
      </c>
      <c r="D2016" s="1686">
        <v>1.7858796296296293E-2</v>
      </c>
      <c r="E2016" s="1489" t="s">
        <v>15365</v>
      </c>
      <c r="F2016" s="1489" t="s">
        <v>15391</v>
      </c>
      <c r="G2016" s="1815">
        <v>0.53859999999999997</v>
      </c>
      <c r="H2016" s="1489"/>
      <c r="I2016" s="1489"/>
      <c r="J2016" s="1489"/>
      <c r="K2016" s="80"/>
      <c r="L2016" s="80"/>
      <c r="M2016" s="80"/>
      <c r="N2016" s="80"/>
      <c r="O2016" s="80"/>
      <c r="P2016" s="80"/>
      <c r="Q2016" s="80"/>
      <c r="R2016" s="80"/>
      <c r="S2016" s="80"/>
      <c r="T2016" s="80"/>
      <c r="U2016" s="80"/>
      <c r="V2016" s="80"/>
      <c r="W2016" s="80"/>
      <c r="X2016" s="80"/>
    </row>
    <row r="2017" spans="1:24" x14ac:dyDescent="0.2">
      <c r="A2017" s="1526">
        <v>43701</v>
      </c>
      <c r="B2017" s="1526" t="s">
        <v>922</v>
      </c>
      <c r="C2017" s="1526" t="s">
        <v>3831</v>
      </c>
      <c r="D2017" s="1686">
        <v>1.7581018518518517E-2</v>
      </c>
      <c r="E2017" s="1489" t="s">
        <v>15270</v>
      </c>
      <c r="F2017" s="1489" t="s">
        <v>15304</v>
      </c>
      <c r="G2017" s="1815">
        <v>0.54710000000000003</v>
      </c>
      <c r="H2017" s="80"/>
      <c r="I2017" s="80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  <c r="T2017" s="80"/>
      <c r="U2017" s="80"/>
      <c r="V2017" s="80"/>
      <c r="W2017" s="80"/>
      <c r="X2017" s="80"/>
    </row>
    <row r="2018" spans="1:24" x14ac:dyDescent="0.2">
      <c r="A2018" s="1765">
        <v>43813</v>
      </c>
      <c r="B2018" s="1489" t="s">
        <v>4747</v>
      </c>
      <c r="C2018" s="1489" t="s">
        <v>4748</v>
      </c>
      <c r="D2018" s="1621">
        <v>1.4976851851851852E-2</v>
      </c>
      <c r="E2018" s="1489" t="s">
        <v>16272</v>
      </c>
      <c r="F2018" s="1489" t="s">
        <v>16284</v>
      </c>
      <c r="G2018" s="1817">
        <v>0.61899999999999999</v>
      </c>
      <c r="H2018" s="1489" t="s">
        <v>1212</v>
      </c>
    </row>
    <row r="2019" spans="1:24" x14ac:dyDescent="0.2">
      <c r="A2019" s="1384">
        <v>43771</v>
      </c>
      <c r="B2019" s="1489" t="s">
        <v>4747</v>
      </c>
      <c r="C2019" s="1489" t="s">
        <v>4748</v>
      </c>
      <c r="D2019" s="1737">
        <v>1.5625E-2</v>
      </c>
      <c r="E2019" s="1489" t="s">
        <v>15892</v>
      </c>
      <c r="F2019" s="1489" t="s">
        <v>15931</v>
      </c>
      <c r="G2019" s="1815">
        <v>0.59330000000000005</v>
      </c>
      <c r="H2019" s="1370"/>
      <c r="I2019" s="1370"/>
      <c r="J2019" s="1370"/>
      <c r="K2019" s="1370"/>
      <c r="L2019" s="1370"/>
      <c r="M2019" s="1370"/>
      <c r="N2019" s="1370"/>
      <c r="O2019" s="1370"/>
      <c r="P2019" s="1370"/>
      <c r="Q2019" s="1370"/>
      <c r="R2019" s="1370"/>
      <c r="S2019" s="1370"/>
      <c r="T2019" s="1370"/>
      <c r="U2019" s="1370"/>
      <c r="V2019" s="1370"/>
      <c r="W2019" s="1370"/>
      <c r="X2019" s="1370"/>
    </row>
    <row r="2020" spans="1:24" x14ac:dyDescent="0.2">
      <c r="A2020" s="1384">
        <v>43498</v>
      </c>
      <c r="B2020" s="1489" t="s">
        <v>4747</v>
      </c>
      <c r="C2020" s="1489" t="s">
        <v>4748</v>
      </c>
      <c r="D2020" s="1733">
        <v>1.5497685185185186E-2</v>
      </c>
      <c r="E2020" s="1489" t="s">
        <v>5948</v>
      </c>
      <c r="F2020" s="1489" t="s">
        <v>11751</v>
      </c>
      <c r="G2020" s="1815">
        <v>0.59450000000000003</v>
      </c>
      <c r="H2020" s="1370"/>
      <c r="I2020" s="1489"/>
      <c r="J2020" s="1370"/>
      <c r="K2020" s="1370"/>
      <c r="L2020" s="80"/>
      <c r="M2020" s="80"/>
      <c r="N2020" s="80"/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</row>
    <row r="2021" spans="1:24" x14ac:dyDescent="0.2">
      <c r="A2021" s="1729">
        <v>43827</v>
      </c>
      <c r="B2021" s="1489" t="s">
        <v>2703</v>
      </c>
      <c r="C2021" s="1489" t="s">
        <v>2704</v>
      </c>
      <c r="D2021" s="1621">
        <v>2.3171296296296294E-2</v>
      </c>
      <c r="E2021" s="1489" t="s">
        <v>16431</v>
      </c>
      <c r="F2021" s="1489" t="s">
        <v>16447</v>
      </c>
      <c r="G2021" s="1817">
        <v>0.54249999999999998</v>
      </c>
    </row>
    <row r="2022" spans="1:24" x14ac:dyDescent="0.2">
      <c r="A2022" s="1673">
        <v>43820</v>
      </c>
      <c r="B2022" s="1489" t="s">
        <v>2703</v>
      </c>
      <c r="C2022" s="1489" t="s">
        <v>2704</v>
      </c>
      <c r="D2022" s="1777">
        <v>2.3958333333333335E-2</v>
      </c>
      <c r="E2022" s="80" t="s">
        <v>16327</v>
      </c>
      <c r="F2022" t="s">
        <v>16339</v>
      </c>
      <c r="G2022" s="314">
        <v>0.52459999999999996</v>
      </c>
    </row>
    <row r="2023" spans="1:24" x14ac:dyDescent="0.2">
      <c r="A2023" s="1729">
        <v>43799</v>
      </c>
      <c r="B2023" s="1489" t="s">
        <v>2703</v>
      </c>
      <c r="C2023" s="1489" t="s">
        <v>2704</v>
      </c>
      <c r="D2023" s="1754">
        <v>2.3946759259259261E-2</v>
      </c>
      <c r="E2023" s="1486" t="s">
        <v>16147</v>
      </c>
      <c r="F2023" s="1514" t="s">
        <v>16171</v>
      </c>
      <c r="G2023" s="1825">
        <v>0.52490000000000003</v>
      </c>
    </row>
    <row r="2024" spans="1:24" x14ac:dyDescent="0.2">
      <c r="A2024" s="1729">
        <v>43729</v>
      </c>
      <c r="B2024" s="1489" t="s">
        <v>2703</v>
      </c>
      <c r="C2024" s="1489" t="s">
        <v>2704</v>
      </c>
      <c r="D2024" s="1686">
        <v>2.2638888888888889E-2</v>
      </c>
      <c r="E2024" s="1489" t="s">
        <v>15582</v>
      </c>
      <c r="F2024" s="1489" t="s">
        <v>15601</v>
      </c>
      <c r="G2024" s="1815">
        <v>0.55520000000000003</v>
      </c>
      <c r="H2024" s="80"/>
      <c r="I2024" s="80"/>
      <c r="J2024" s="80"/>
      <c r="K2024" s="80"/>
      <c r="L2024" s="80"/>
      <c r="M2024" s="80"/>
      <c r="N2024" s="80"/>
      <c r="O2024" s="80"/>
      <c r="P2024" s="80"/>
      <c r="Q2024" s="80"/>
      <c r="R2024" s="80"/>
      <c r="S2024" s="80"/>
      <c r="T2024" s="80"/>
      <c r="U2024" s="80"/>
      <c r="V2024" s="80"/>
      <c r="W2024" s="80"/>
      <c r="X2024" s="80"/>
    </row>
    <row r="2025" spans="1:24" x14ac:dyDescent="0.2">
      <c r="A2025" s="523">
        <v>43687</v>
      </c>
      <c r="B2025" s="1489" t="s">
        <v>2703</v>
      </c>
      <c r="C2025" s="1489" t="s">
        <v>2704</v>
      </c>
      <c r="D2025" s="1686">
        <v>2.3645833333333331E-2</v>
      </c>
      <c r="E2025" s="1489" t="s">
        <v>13431</v>
      </c>
      <c r="F2025" s="1489"/>
      <c r="G2025" s="1815">
        <v>0.53159999999999996</v>
      </c>
      <c r="H2025" s="80"/>
      <c r="I2025" s="1514"/>
      <c r="J2025" s="80"/>
      <c r="K2025" s="80"/>
      <c r="L2025" s="80"/>
      <c r="M2025" s="80"/>
      <c r="N2025" s="80"/>
      <c r="O2025" s="80"/>
      <c r="P2025" s="80"/>
      <c r="Q2025" s="80"/>
      <c r="R2025" s="80"/>
      <c r="S2025" s="80"/>
      <c r="T2025" s="80"/>
      <c r="U2025" s="80"/>
      <c r="V2025" s="80"/>
      <c r="W2025" s="80"/>
      <c r="X2025" s="80"/>
    </row>
    <row r="2026" spans="1:24" x14ac:dyDescent="0.2">
      <c r="A2026" s="523">
        <v>43666</v>
      </c>
      <c r="B2026" s="1489" t="s">
        <v>2703</v>
      </c>
      <c r="C2026" s="1489" t="s">
        <v>2704</v>
      </c>
      <c r="D2026" s="1686">
        <v>2.2407407407407407E-2</v>
      </c>
      <c r="E2026" s="1489" t="s">
        <v>13200</v>
      </c>
      <c r="F2026" s="1489"/>
      <c r="G2026" s="1815">
        <v>0.56100000000000005</v>
      </c>
      <c r="H2026" s="1514"/>
      <c r="I2026" s="80"/>
      <c r="J2026" s="80"/>
      <c r="K2026" s="80"/>
      <c r="L2026" s="80"/>
      <c r="M2026" s="80"/>
      <c r="N2026" s="80"/>
      <c r="O2026" s="80"/>
      <c r="P2026" s="80"/>
      <c r="Q2026" s="80"/>
      <c r="R2026" s="80"/>
      <c r="S2026" s="80"/>
      <c r="T2026" s="80"/>
      <c r="U2026" s="80"/>
      <c r="V2026" s="80"/>
      <c r="W2026" s="80"/>
      <c r="X2026" s="80"/>
    </row>
    <row r="2027" spans="1:24" x14ac:dyDescent="0.2">
      <c r="A2027" s="523">
        <v>43659</v>
      </c>
      <c r="B2027" s="1489" t="s">
        <v>2703</v>
      </c>
      <c r="C2027" s="1489" t="s">
        <v>2704</v>
      </c>
      <c r="D2027" s="1686">
        <v>2.3113425925925923E-2</v>
      </c>
      <c r="E2027" s="1489" t="s">
        <v>13148</v>
      </c>
      <c r="F2027" s="1489"/>
      <c r="G2027" s="1815">
        <v>0.54379999999999995</v>
      </c>
      <c r="H2027" s="1514"/>
      <c r="I2027" s="1489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</row>
    <row r="2028" spans="1:24" x14ac:dyDescent="0.2">
      <c r="A2028" s="523">
        <v>43652</v>
      </c>
      <c r="B2028" s="1489" t="s">
        <v>2703</v>
      </c>
      <c r="C2028" s="1489" t="s">
        <v>2704</v>
      </c>
      <c r="D2028" s="1686">
        <v>2.5231481481481483E-2</v>
      </c>
      <c r="E2028" s="1489" t="s">
        <v>13073</v>
      </c>
      <c r="F2028" s="1489" t="s">
        <v>13102</v>
      </c>
      <c r="G2028" s="1815">
        <v>0.49819999999999998</v>
      </c>
      <c r="H2028" s="1489"/>
      <c r="I2028" s="1514"/>
      <c r="J2028" s="80"/>
      <c r="K2028" s="80"/>
      <c r="L2028" s="80"/>
      <c r="M2028" s="80"/>
      <c r="N2028" s="80"/>
      <c r="O2028" s="80"/>
      <c r="P2028" s="80"/>
      <c r="Q2028" s="80"/>
      <c r="R2028" s="80"/>
      <c r="S2028" s="80"/>
      <c r="T2028" s="80"/>
      <c r="U2028" s="80"/>
      <c r="V2028" s="80"/>
      <c r="W2028" s="80"/>
      <c r="X2028" s="80"/>
    </row>
    <row r="2029" spans="1:24" x14ac:dyDescent="0.2">
      <c r="A2029" s="1384">
        <v>43610</v>
      </c>
      <c r="B2029" s="1489" t="s">
        <v>2703</v>
      </c>
      <c r="C2029" s="1489" t="s">
        <v>2704</v>
      </c>
      <c r="D2029" s="1733">
        <v>2.2141203703703705E-2</v>
      </c>
      <c r="E2029" s="1489" t="s">
        <v>12732</v>
      </c>
      <c r="F2029" s="1489" t="s">
        <v>8564</v>
      </c>
      <c r="G2029" s="1815">
        <v>0.56769999999999998</v>
      </c>
      <c r="H2029" s="1489"/>
      <c r="I2029" s="1489"/>
      <c r="J2029" s="1370"/>
      <c r="K2029" s="1370"/>
      <c r="L2029" s="80"/>
      <c r="M2029" s="80"/>
      <c r="N2029" s="80"/>
      <c r="O2029" s="80"/>
      <c r="P2029" s="80"/>
      <c r="Q2029" s="80"/>
      <c r="R2029" s="80"/>
      <c r="S2029" s="80"/>
      <c r="T2029" s="80"/>
      <c r="U2029" s="80"/>
      <c r="V2029" s="80"/>
      <c r="W2029" s="80"/>
      <c r="X2029" s="80"/>
    </row>
    <row r="2030" spans="1:24" x14ac:dyDescent="0.2">
      <c r="A2030" s="1384">
        <v>43512</v>
      </c>
      <c r="B2030" s="1489" t="s">
        <v>2703</v>
      </c>
      <c r="C2030" s="1489" t="s">
        <v>2704</v>
      </c>
      <c r="D2030" s="1733">
        <v>2.2766203703703702E-2</v>
      </c>
      <c r="E2030" s="1489" t="s">
        <v>6393</v>
      </c>
      <c r="F2030" s="1489" t="s">
        <v>11820</v>
      </c>
      <c r="G2030" s="1815">
        <v>0.54220000000000002</v>
      </c>
      <c r="H2030" s="1489"/>
      <c r="I2030" s="1489"/>
      <c r="J2030" s="1370"/>
      <c r="K2030" s="1370"/>
      <c r="L2030" s="80"/>
      <c r="M2030" s="80"/>
      <c r="N2030" s="80"/>
      <c r="O2030" s="80"/>
      <c r="P2030" s="80"/>
      <c r="Q2030" s="80"/>
      <c r="R2030" s="80"/>
      <c r="S2030" s="80"/>
      <c r="T2030" s="80"/>
      <c r="U2030" s="80"/>
      <c r="V2030" s="80"/>
      <c r="W2030" s="80"/>
      <c r="X2030" s="80"/>
    </row>
    <row r="2031" spans="1:24" x14ac:dyDescent="0.2">
      <c r="A2031" s="1384">
        <v>43491</v>
      </c>
      <c r="B2031" s="1489" t="s">
        <v>2703</v>
      </c>
      <c r="C2031" s="1489" t="s">
        <v>2704</v>
      </c>
      <c r="D2031" s="1733">
        <v>2.2326388888888885E-2</v>
      </c>
      <c r="E2031" s="1489" t="s">
        <v>6393</v>
      </c>
      <c r="F2031" s="1545" t="s">
        <v>11683</v>
      </c>
      <c r="G2031" s="1815">
        <v>0.55569999999999997</v>
      </c>
      <c r="H2031" s="1489"/>
      <c r="I2031" s="1489"/>
      <c r="J2031" s="1370"/>
      <c r="K2031" s="1370"/>
      <c r="L2031" s="80"/>
      <c r="M2031" s="80"/>
      <c r="N2031" s="80"/>
      <c r="O2031" s="80"/>
      <c r="P2031" s="80"/>
      <c r="Q2031" s="80"/>
      <c r="R2031" s="80"/>
      <c r="S2031" s="80"/>
      <c r="T2031" s="80"/>
      <c r="U2031" s="80"/>
      <c r="V2031" s="80"/>
      <c r="W2031" s="80"/>
      <c r="X2031" s="80"/>
    </row>
    <row r="2032" spans="1:24" x14ac:dyDescent="0.2">
      <c r="A2032" s="1384">
        <v>43477</v>
      </c>
      <c r="B2032" s="1489" t="s">
        <v>2703</v>
      </c>
      <c r="C2032" s="1489" t="s">
        <v>2704</v>
      </c>
      <c r="D2032" s="1733">
        <v>2.297453703703704E-2</v>
      </c>
      <c r="E2032" s="1489" t="s">
        <v>6393</v>
      </c>
      <c r="F2032" s="1489" t="s">
        <v>11604</v>
      </c>
      <c r="G2032" s="1815">
        <v>0.54010000000000002</v>
      </c>
      <c r="H2032" s="1489"/>
      <c r="I2032" s="1489"/>
      <c r="J2032" s="1370"/>
      <c r="K2032" s="1370"/>
      <c r="L2032" s="80"/>
      <c r="M2032" s="80"/>
      <c r="N2032" s="80"/>
      <c r="O2032" s="80"/>
      <c r="P2032" s="80"/>
      <c r="Q2032" s="80"/>
      <c r="R2032" s="80"/>
      <c r="S2032" s="80"/>
      <c r="T2032" s="80"/>
      <c r="U2032" s="80"/>
      <c r="V2032" s="80"/>
      <c r="W2032" s="80"/>
      <c r="X2032" s="80"/>
    </row>
    <row r="2033" spans="1:24" x14ac:dyDescent="0.2">
      <c r="A2033" s="1384">
        <v>43466</v>
      </c>
      <c r="B2033" s="1489" t="s">
        <v>2703</v>
      </c>
      <c r="C2033" s="1489" t="s">
        <v>2704</v>
      </c>
      <c r="D2033" s="1733">
        <v>2.207175925925926E-2</v>
      </c>
      <c r="E2033" s="1489" t="s">
        <v>11497</v>
      </c>
      <c r="F2033" s="1489" t="s">
        <v>11518</v>
      </c>
      <c r="G2033" s="1815">
        <v>0.56210000000000004</v>
      </c>
      <c r="H2033" s="1489"/>
      <c r="I2033" s="1489"/>
      <c r="J2033" s="1370"/>
      <c r="K2033" s="1370"/>
      <c r="L2033" s="80"/>
      <c r="M2033" s="80"/>
      <c r="N2033" s="80"/>
      <c r="O2033" s="80"/>
      <c r="P2033" s="80"/>
      <c r="Q2033" s="80"/>
      <c r="R2033" s="80"/>
      <c r="S2033" s="80"/>
      <c r="T2033" s="80"/>
      <c r="U2033" s="80"/>
      <c r="V2033" s="80"/>
      <c r="W2033" s="80"/>
      <c r="X2033" s="80"/>
    </row>
    <row r="2034" spans="1:24" x14ac:dyDescent="0.2">
      <c r="A2034" s="523">
        <v>43729</v>
      </c>
      <c r="B2034" s="1489" t="s">
        <v>726</v>
      </c>
      <c r="C2034" s="1489" t="s">
        <v>1289</v>
      </c>
      <c r="D2034" s="1686">
        <v>1.621527777777778E-2</v>
      </c>
      <c r="E2034" s="1489" t="s">
        <v>15552</v>
      </c>
      <c r="F2034" s="1489" t="s">
        <v>15551</v>
      </c>
      <c r="G2034" s="1822">
        <v>80.8</v>
      </c>
      <c r="H2034" s="80" t="s">
        <v>15553</v>
      </c>
      <c r="I2034" s="80"/>
      <c r="J2034" s="80"/>
      <c r="K2034" s="80"/>
      <c r="L2034" s="80"/>
      <c r="M2034" s="80"/>
      <c r="N2034" s="80"/>
      <c r="O2034" s="80"/>
      <c r="P2034" s="80"/>
      <c r="Q2034" s="80"/>
      <c r="R2034" s="80"/>
      <c r="S2034" s="80"/>
      <c r="T2034" s="80"/>
      <c r="U2034" s="80"/>
      <c r="V2034" s="80"/>
      <c r="W2034" s="80"/>
      <c r="X2034" s="80"/>
    </row>
    <row r="2035" spans="1:24" x14ac:dyDescent="0.2">
      <c r="A2035" s="1384">
        <v>43547</v>
      </c>
      <c r="B2035" s="1489" t="s">
        <v>726</v>
      </c>
      <c r="C2035" s="1489" t="s">
        <v>1289</v>
      </c>
      <c r="D2035" s="1733">
        <v>1.5879629629629629E-2</v>
      </c>
      <c r="E2035" s="1489" t="s">
        <v>12203</v>
      </c>
      <c r="F2035" s="1489" t="s">
        <v>12163</v>
      </c>
      <c r="G2035" s="1815">
        <v>0.81340000000000001</v>
      </c>
      <c r="H2035" s="1370"/>
      <c r="I2035" s="1489"/>
      <c r="J2035" s="1370"/>
      <c r="K2035" s="1370"/>
      <c r="L2035" s="80"/>
      <c r="M2035" s="80"/>
      <c r="N2035" s="80"/>
      <c r="O2035" s="80"/>
      <c r="P2035" s="80"/>
      <c r="Q2035" s="80"/>
      <c r="R2035" s="80"/>
      <c r="S2035" s="80"/>
      <c r="T2035" s="80"/>
      <c r="U2035" s="80"/>
      <c r="V2035" s="80"/>
      <c r="W2035" s="80"/>
      <c r="X2035" s="80"/>
    </row>
  </sheetData>
  <conditionalFormatting sqref="D1012:D1050 D1179:D1212 D1251:D1359 D1361:D1403 D1530:D1557 D1775:D1811 D1814:D1850 D1969:D2035">
    <cfRule type="cellIs" dxfId="73" priority="74" operator="greaterThan">
      <formula>0.0486111111111111</formula>
    </cfRule>
  </conditionalFormatting>
  <conditionalFormatting sqref="D926:D952">
    <cfRule type="cellIs" dxfId="72" priority="73" operator="greaterThan">
      <formula>0.0486111111111111</formula>
    </cfRule>
  </conditionalFormatting>
  <conditionalFormatting sqref="D961:D992">
    <cfRule type="cellIs" dxfId="71" priority="72" operator="greaterThan">
      <formula>0.0486111111111111</formula>
    </cfRule>
  </conditionalFormatting>
  <conditionalFormatting sqref="D1055:D1088">
    <cfRule type="cellIs" dxfId="70" priority="71" operator="greaterThan">
      <formula>0.0486111111111111</formula>
    </cfRule>
  </conditionalFormatting>
  <conditionalFormatting sqref="D1097:D1131">
    <cfRule type="cellIs" dxfId="69" priority="70" operator="greaterThan">
      <formula>0.0486111111111111</formula>
    </cfRule>
  </conditionalFormatting>
  <conditionalFormatting sqref="D1091:D1096">
    <cfRule type="cellIs" dxfId="68" priority="69" operator="greaterThan">
      <formula>0.0486111111111111</formula>
    </cfRule>
  </conditionalFormatting>
  <conditionalFormatting sqref="D1137:D1174">
    <cfRule type="cellIs" dxfId="67" priority="68" operator="greaterThan">
      <formula>0.0486111111111111</formula>
    </cfRule>
  </conditionalFormatting>
  <conditionalFormatting sqref="D1176:D1178">
    <cfRule type="cellIs" dxfId="66" priority="67" operator="greaterThan">
      <formula>0.0486111111111111</formula>
    </cfRule>
  </conditionalFormatting>
  <conditionalFormatting sqref="D1213:D1246">
    <cfRule type="cellIs" dxfId="65" priority="66" operator="greaterThan">
      <formula>0.0451388888888889</formula>
    </cfRule>
  </conditionalFormatting>
  <conditionalFormatting sqref="D1249:D1250">
    <cfRule type="cellIs" dxfId="64" priority="65" operator="greaterThan">
      <formula>0.0486111111111111</formula>
    </cfRule>
  </conditionalFormatting>
  <conditionalFormatting sqref="D1360">
    <cfRule type="cellIs" dxfId="63" priority="64" operator="greaterThan">
      <formula>0.0486111111111111</formula>
    </cfRule>
  </conditionalFormatting>
  <conditionalFormatting sqref="D1404:D1406">
    <cfRule type="cellIs" dxfId="62" priority="63" operator="greaterThan">
      <formula>0.0486111111111111</formula>
    </cfRule>
  </conditionalFormatting>
  <conditionalFormatting sqref="D1407:D1445">
    <cfRule type="cellIs" dxfId="61" priority="62" operator="greaterThan">
      <formula>0.0486111111111111</formula>
    </cfRule>
  </conditionalFormatting>
  <conditionalFormatting sqref="D1446:D1482">
    <cfRule type="cellIs" dxfId="60" priority="61" operator="greaterThan">
      <formula>0.0486111111111111</formula>
    </cfRule>
  </conditionalFormatting>
  <conditionalFormatting sqref="D1489:D1526">
    <cfRule type="cellIs" dxfId="59" priority="59" operator="greaterThan">
      <formula>0.0486111111111111</formula>
    </cfRule>
  </conditionalFormatting>
  <conditionalFormatting sqref="D1483:D1488">
    <cfRule type="cellIs" dxfId="58" priority="60" operator="greaterThan">
      <formula>0.0486111111111111</formula>
    </cfRule>
  </conditionalFormatting>
  <conditionalFormatting sqref="D1527">
    <cfRule type="cellIs" dxfId="57" priority="58" operator="greaterThan">
      <formula>0.0486111111111111</formula>
    </cfRule>
  </conditionalFormatting>
  <conditionalFormatting sqref="D1561">
    <cfRule type="cellIs" dxfId="56" priority="57" operator="greaterThan">
      <formula>0.0486111111111111</formula>
    </cfRule>
  </conditionalFormatting>
  <conditionalFormatting sqref="D1564 D1587:D1591 D1597">
    <cfRule type="cellIs" dxfId="55" priority="56" operator="greaterThan">
      <formula>0.0486111111111111</formula>
    </cfRule>
  </conditionalFormatting>
  <conditionalFormatting sqref="D1565:D1573">
    <cfRule type="cellIs" dxfId="54" priority="55" operator="greaterThan">
      <formula>0.0486111111111111</formula>
    </cfRule>
  </conditionalFormatting>
  <conditionalFormatting sqref="D1574">
    <cfRule type="cellIs" dxfId="53" priority="54" operator="greaterThan">
      <formula>0.0486111111111111</formula>
    </cfRule>
  </conditionalFormatting>
  <conditionalFormatting sqref="D1575:D1586">
    <cfRule type="cellIs" dxfId="52" priority="53" operator="greaterThan">
      <formula>0.0486111111111111</formula>
    </cfRule>
  </conditionalFormatting>
  <conditionalFormatting sqref="D1592:D1596">
    <cfRule type="cellIs" dxfId="51" priority="52" operator="greaterThan">
      <formula>0.0486111111111111</formula>
    </cfRule>
  </conditionalFormatting>
  <conditionalFormatting sqref="D1620:D1624 D1630">
    <cfRule type="cellIs" dxfId="50" priority="51" operator="greaterThan">
      <formula>0.0486111111111111</formula>
    </cfRule>
  </conditionalFormatting>
  <conditionalFormatting sqref="D1598:D1606">
    <cfRule type="cellIs" dxfId="49" priority="50" operator="greaterThan">
      <formula>0.0486111111111111</formula>
    </cfRule>
  </conditionalFormatting>
  <conditionalFormatting sqref="D1607">
    <cfRule type="cellIs" dxfId="48" priority="49" operator="greaterThan">
      <formula>0.0486111111111111</formula>
    </cfRule>
  </conditionalFormatting>
  <conditionalFormatting sqref="D1608:D1619">
    <cfRule type="cellIs" dxfId="47" priority="48" operator="greaterThan">
      <formula>0.0486111111111111</formula>
    </cfRule>
  </conditionalFormatting>
  <conditionalFormatting sqref="D1625:D1629">
    <cfRule type="cellIs" dxfId="46" priority="47" operator="greaterThan">
      <formula>0.0486111111111111</formula>
    </cfRule>
  </conditionalFormatting>
  <conditionalFormatting sqref="D1663:D1665">
    <cfRule type="cellIs" dxfId="45" priority="46" operator="greaterThan">
      <formula>0.0486111111111111</formula>
    </cfRule>
  </conditionalFormatting>
  <conditionalFormatting sqref="D1666:D1694">
    <cfRule type="cellIs" dxfId="44" priority="45" operator="greaterThan">
      <formula>0.0486111111111111</formula>
    </cfRule>
  </conditionalFormatting>
  <conditionalFormatting sqref="D1722:D1723">
    <cfRule type="cellIs" dxfId="43" priority="44" operator="greaterThan">
      <formula>0.0486111111111111</formula>
    </cfRule>
  </conditionalFormatting>
  <conditionalFormatting sqref="D1770">
    <cfRule type="cellIs" dxfId="42" priority="43" operator="greaterThan">
      <formula>0.0486111111111111</formula>
    </cfRule>
  </conditionalFormatting>
  <conditionalFormatting sqref="D1724:D1769">
    <cfRule type="cellIs" dxfId="41" priority="42" operator="greaterThan">
      <formula>0.0486111111111111</formula>
    </cfRule>
  </conditionalFormatting>
  <conditionalFormatting sqref="D1771:D1774">
    <cfRule type="cellIs" dxfId="40" priority="41" operator="greaterThan">
      <formula>0.0486111111111111</formula>
    </cfRule>
  </conditionalFormatting>
  <conditionalFormatting sqref="D1851">
    <cfRule type="cellIs" dxfId="39" priority="40" operator="greaterThan">
      <formula>0.0486111111111111</formula>
    </cfRule>
  </conditionalFormatting>
  <conditionalFormatting sqref="D1852:D1893">
    <cfRule type="cellIs" dxfId="38" priority="39" operator="greaterThan">
      <formula>0.0486111111111111</formula>
    </cfRule>
  </conditionalFormatting>
  <conditionalFormatting sqref="D1895:D1899 D1902:D1934">
    <cfRule type="cellIs" dxfId="37" priority="38" operator="greaterThan">
      <formula>0.0486111111111111</formula>
    </cfRule>
  </conditionalFormatting>
  <conditionalFormatting sqref="D1935:D1968">
    <cfRule type="cellIs" dxfId="36" priority="37" operator="greaterThan">
      <formula>0.0486111111111111</formula>
    </cfRule>
  </conditionalFormatting>
  <conditionalFormatting sqref="D22">
    <cfRule type="cellIs" dxfId="35" priority="36" operator="greaterThan">
      <formula>0.0486111111111111</formula>
    </cfRule>
  </conditionalFormatting>
  <conditionalFormatting sqref="D23">
    <cfRule type="cellIs" dxfId="34" priority="35" operator="greaterThan">
      <formula>0.0486111111111111</formula>
    </cfRule>
  </conditionalFormatting>
  <conditionalFormatting sqref="D24">
    <cfRule type="cellIs" dxfId="33" priority="34" operator="greaterThan">
      <formula>0.0486111111111111</formula>
    </cfRule>
  </conditionalFormatting>
  <conditionalFormatting sqref="D25">
    <cfRule type="cellIs" dxfId="32" priority="33" operator="greaterThan">
      <formula>0.0486111111111111</formula>
    </cfRule>
  </conditionalFormatting>
  <conditionalFormatting sqref="D26 D28">
    <cfRule type="cellIs" dxfId="31" priority="32" operator="greaterThan">
      <formula>0.0486111111111111</formula>
    </cfRule>
  </conditionalFormatting>
  <conditionalFormatting sqref="D27">
    <cfRule type="cellIs" dxfId="30" priority="31" operator="greaterThan">
      <formula>0.0486111111111111</formula>
    </cfRule>
  </conditionalFormatting>
  <conditionalFormatting sqref="D29">
    <cfRule type="cellIs" dxfId="29" priority="30" operator="greaterThan">
      <formula>0.0486111111111111</formula>
    </cfRule>
  </conditionalFormatting>
  <conditionalFormatting sqref="E30">
    <cfRule type="cellIs" dxfId="28" priority="29" operator="greaterThan">
      <formula>0.0451388888888889</formula>
    </cfRule>
  </conditionalFormatting>
  <conditionalFormatting sqref="D31">
    <cfRule type="cellIs" dxfId="27" priority="28" operator="greaterThan">
      <formula>0.0486111111111111</formula>
    </cfRule>
  </conditionalFormatting>
  <conditionalFormatting sqref="D32">
    <cfRule type="cellIs" dxfId="26" priority="27" operator="greaterThan">
      <formula>0.0486111111111111</formula>
    </cfRule>
  </conditionalFormatting>
  <conditionalFormatting sqref="D33">
    <cfRule type="cellIs" dxfId="25" priority="26" operator="greaterThan">
      <formula>0.0486111111111111</formula>
    </cfRule>
  </conditionalFormatting>
  <conditionalFormatting sqref="D34">
    <cfRule type="cellIs" dxfId="24" priority="25" operator="greaterThan">
      <formula>0.0486111111111111</formula>
    </cfRule>
  </conditionalFormatting>
  <conditionalFormatting sqref="D35:D36">
    <cfRule type="cellIs" dxfId="23" priority="24" operator="greaterThan">
      <formula>0.0486111111111111</formula>
    </cfRule>
  </conditionalFormatting>
  <conditionalFormatting sqref="D37">
    <cfRule type="cellIs" dxfId="22" priority="23" operator="greaterThan">
      <formula>0.0486111111111111</formula>
    </cfRule>
  </conditionalFormatting>
  <conditionalFormatting sqref="D38">
    <cfRule type="cellIs" dxfId="21" priority="22" operator="greaterThan">
      <formula>0.0486111111111111</formula>
    </cfRule>
  </conditionalFormatting>
  <conditionalFormatting sqref="D39">
    <cfRule type="cellIs" dxfId="20" priority="21" operator="greaterThan">
      <formula>0.0486111111111111</formula>
    </cfRule>
  </conditionalFormatting>
  <conditionalFormatting sqref="D40">
    <cfRule type="cellIs" dxfId="19" priority="20" operator="greaterThan">
      <formula>0.0486111111111111</formula>
    </cfRule>
  </conditionalFormatting>
  <conditionalFormatting sqref="D42">
    <cfRule type="cellIs" dxfId="18" priority="18" operator="greaterThan">
      <formula>0.0486111111111111</formula>
    </cfRule>
  </conditionalFormatting>
  <conditionalFormatting sqref="D41">
    <cfRule type="cellIs" dxfId="17" priority="19" operator="greaterThan">
      <formula>0.0486111111111111</formula>
    </cfRule>
  </conditionalFormatting>
  <conditionalFormatting sqref="D43">
    <cfRule type="cellIs" dxfId="16" priority="17" operator="greaterThan">
      <formula>0.0486111111111111</formula>
    </cfRule>
  </conditionalFormatting>
  <conditionalFormatting sqref="D44">
    <cfRule type="cellIs" dxfId="15" priority="16" operator="greaterThan">
      <formula>0.0486111111111111</formula>
    </cfRule>
  </conditionalFormatting>
  <conditionalFormatting sqref="D45">
    <cfRule type="cellIs" dxfId="14" priority="15" operator="greaterThan">
      <formula>0.0486111111111111</formula>
    </cfRule>
  </conditionalFormatting>
  <conditionalFormatting sqref="D46">
    <cfRule type="cellIs" dxfId="13" priority="14" operator="greaterThan">
      <formula>0.0486111111111111</formula>
    </cfRule>
  </conditionalFormatting>
  <conditionalFormatting sqref="D49:D50">
    <cfRule type="cellIs" dxfId="12" priority="13" operator="greaterThan">
      <formula>0.0486111111111111</formula>
    </cfRule>
  </conditionalFormatting>
  <conditionalFormatting sqref="D51">
    <cfRule type="cellIs" dxfId="11" priority="12" operator="greaterThan">
      <formula>0.0486111111111111</formula>
    </cfRule>
  </conditionalFormatting>
  <conditionalFormatting sqref="D52:D53">
    <cfRule type="cellIs" dxfId="10" priority="11" operator="greaterThan">
      <formula>0.0486111111111111</formula>
    </cfRule>
  </conditionalFormatting>
  <conditionalFormatting sqref="D54:D55">
    <cfRule type="cellIs" dxfId="9" priority="10" operator="greaterThan">
      <formula>0.0486111111111111</formula>
    </cfRule>
  </conditionalFormatting>
  <conditionalFormatting sqref="D56">
    <cfRule type="cellIs" dxfId="8" priority="9" operator="greaterThan">
      <formula>0.0486111111111111</formula>
    </cfRule>
  </conditionalFormatting>
  <conditionalFormatting sqref="D57">
    <cfRule type="cellIs" dxfId="7" priority="8" operator="greaterThan">
      <formula>0.0486111111111111</formula>
    </cfRule>
  </conditionalFormatting>
  <conditionalFormatting sqref="D58">
    <cfRule type="cellIs" dxfId="6" priority="7" operator="greaterThan">
      <formula>0.0486111111111111</formula>
    </cfRule>
  </conditionalFormatting>
  <conditionalFormatting sqref="D59">
    <cfRule type="cellIs" dxfId="5" priority="6" operator="greaterThan">
      <formula>0.0486111111111111</formula>
    </cfRule>
  </conditionalFormatting>
  <conditionalFormatting sqref="D60">
    <cfRule type="cellIs" dxfId="4" priority="5" operator="greaterThan">
      <formula>0.0486111111111111</formula>
    </cfRule>
  </conditionalFormatting>
  <conditionalFormatting sqref="D61">
    <cfRule type="cellIs" dxfId="3" priority="4" operator="greaterThan">
      <formula>0.0486111111111111</formula>
    </cfRule>
  </conditionalFormatting>
  <conditionalFormatting sqref="D62">
    <cfRule type="cellIs" dxfId="2" priority="3" operator="greaterThan">
      <formula>0.0486111111111111</formula>
    </cfRule>
  </conditionalFormatting>
  <conditionalFormatting sqref="D63">
    <cfRule type="cellIs" dxfId="1" priority="2" operator="greaterThan">
      <formula>0.0486111111111111</formula>
    </cfRule>
  </conditionalFormatting>
  <conditionalFormatting sqref="D64">
    <cfRule type="cellIs" dxfId="0" priority="1" operator="greaterThan">
      <formula>0.0486111111111111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3CA1C-00ED-4948-8850-7BC57CBD89EE}">
  <dimension ref="A1:Z1837"/>
  <sheetViews>
    <sheetView topLeftCell="A268" workbookViewId="0">
      <selection activeCell="I459" sqref="I459"/>
    </sheetView>
  </sheetViews>
  <sheetFormatPr defaultRowHeight="12.75" x14ac:dyDescent="0.2"/>
  <cols>
    <col min="1" max="1" width="13.28515625" customWidth="1"/>
    <col min="2" max="2" width="11.85546875" customWidth="1"/>
    <col min="3" max="3" width="12.140625" customWidth="1"/>
    <col min="5" max="5" width="16.140625" customWidth="1"/>
    <col min="6" max="6" width="31.5703125" customWidth="1"/>
  </cols>
  <sheetData>
    <row r="1" spans="1:24" ht="12.75" customHeight="1" x14ac:dyDescent="0.25">
      <c r="A1" s="80" t="s">
        <v>9959</v>
      </c>
      <c r="C1" s="9"/>
      <c r="D1" s="1"/>
      <c r="F1" s="41"/>
      <c r="G1" s="82"/>
      <c r="X1" s="185"/>
    </row>
    <row r="2" spans="1:24" ht="12.75" customHeight="1" x14ac:dyDescent="0.25">
      <c r="A2" s="2" t="s">
        <v>11454</v>
      </c>
      <c r="C2" s="9"/>
      <c r="D2" s="1"/>
      <c r="F2" s="41"/>
      <c r="G2" s="82"/>
      <c r="X2" s="185"/>
    </row>
    <row r="3" spans="1:24" ht="12.75" customHeight="1" x14ac:dyDescent="0.2">
      <c r="A3" s="523">
        <v>43253</v>
      </c>
      <c r="B3" s="80" t="s">
        <v>3251</v>
      </c>
      <c r="C3" s="334" t="s">
        <v>3252</v>
      </c>
      <c r="D3" s="1">
        <v>1.7627314814814814E-2</v>
      </c>
      <c r="E3" s="80" t="s">
        <v>4727</v>
      </c>
      <c r="F3" s="69" t="s">
        <v>9854</v>
      </c>
      <c r="G3" s="82">
        <v>0.76429999999999998</v>
      </c>
      <c r="I3" s="80"/>
    </row>
    <row r="4" spans="1:24" ht="12.75" customHeight="1" x14ac:dyDescent="0.2">
      <c r="A4" s="523">
        <v>43393</v>
      </c>
      <c r="B4" s="80" t="s">
        <v>3251</v>
      </c>
      <c r="C4" s="80" t="s">
        <v>3252</v>
      </c>
      <c r="D4" s="334">
        <v>1.8124999999999999E-2</v>
      </c>
      <c r="E4" s="80" t="s">
        <v>9494</v>
      </c>
      <c r="F4" s="80" t="s">
        <v>10848</v>
      </c>
      <c r="G4" s="82">
        <v>0.75419999999999998</v>
      </c>
      <c r="H4" s="80"/>
    </row>
    <row r="5" spans="1:24" ht="12.75" customHeight="1" x14ac:dyDescent="0.2">
      <c r="A5" s="523">
        <v>43428</v>
      </c>
      <c r="B5" s="80" t="s">
        <v>3251</v>
      </c>
      <c r="C5" s="80" t="s">
        <v>3252</v>
      </c>
      <c r="D5" s="1">
        <v>1.8483796296296297E-2</v>
      </c>
      <c r="E5" s="80" t="s">
        <v>10192</v>
      </c>
      <c r="F5" s="80" t="s">
        <v>11098</v>
      </c>
      <c r="G5" s="82">
        <v>0.73950000000000005</v>
      </c>
      <c r="H5" s="80"/>
      <c r="I5" t="s">
        <v>6037</v>
      </c>
    </row>
    <row r="6" spans="1:24" ht="12.75" customHeight="1" x14ac:dyDescent="0.2">
      <c r="A6" s="523">
        <v>43302</v>
      </c>
      <c r="B6" s="80" t="s">
        <v>9231</v>
      </c>
      <c r="C6" s="80" t="s">
        <v>3252</v>
      </c>
      <c r="D6" s="1">
        <v>1.7719907407407406E-2</v>
      </c>
      <c r="E6" s="80" t="s">
        <v>2596</v>
      </c>
      <c r="F6" s="80" t="s">
        <v>10302</v>
      </c>
      <c r="G6" s="82">
        <v>0.76029999999999998</v>
      </c>
    </row>
    <row r="7" spans="1:24" ht="12.75" customHeight="1" x14ac:dyDescent="0.2">
      <c r="A7" s="33">
        <v>43101</v>
      </c>
      <c r="B7" s="80" t="s">
        <v>4264</v>
      </c>
      <c r="C7" s="334" t="s">
        <v>5239</v>
      </c>
      <c r="D7" s="1">
        <v>1.5185185185185185E-2</v>
      </c>
      <c r="E7" s="80" t="s">
        <v>3869</v>
      </c>
      <c r="F7" s="69" t="s">
        <v>9041</v>
      </c>
      <c r="G7" s="82">
        <v>0.80640000000000001</v>
      </c>
      <c r="I7" s="80" t="s">
        <v>9042</v>
      </c>
      <c r="O7" s="80" t="s">
        <v>9043</v>
      </c>
    </row>
    <row r="8" spans="1:24" ht="12.75" customHeight="1" x14ac:dyDescent="0.2">
      <c r="A8" s="523">
        <v>43141</v>
      </c>
      <c r="B8" s="80" t="s">
        <v>4264</v>
      </c>
      <c r="C8" s="334" t="s">
        <v>5239</v>
      </c>
      <c r="D8" s="1">
        <v>1.5428240740740741E-2</v>
      </c>
      <c r="E8" s="80" t="s">
        <v>4302</v>
      </c>
      <c r="F8" s="69" t="s">
        <v>4113</v>
      </c>
      <c r="G8" s="82">
        <v>0.79369999999999996</v>
      </c>
      <c r="I8" s="80"/>
    </row>
    <row r="9" spans="1:24" ht="12.75" customHeight="1" x14ac:dyDescent="0.2">
      <c r="A9" s="523">
        <v>43148</v>
      </c>
      <c r="B9" s="80" t="s">
        <v>4264</v>
      </c>
      <c r="C9" s="334" t="s">
        <v>5239</v>
      </c>
      <c r="D9" s="1">
        <v>1.5289351851851851E-2</v>
      </c>
      <c r="E9" s="80" t="s">
        <v>5948</v>
      </c>
      <c r="F9" s="69" t="s">
        <v>8351</v>
      </c>
      <c r="G9" s="82">
        <v>0.80089999999999995</v>
      </c>
      <c r="I9" s="80"/>
    </row>
    <row r="10" spans="1:24" ht="12.75" customHeight="1" x14ac:dyDescent="0.2">
      <c r="A10" s="523">
        <v>43183</v>
      </c>
      <c r="B10" s="80" t="s">
        <v>4264</v>
      </c>
      <c r="C10" s="334" t="s">
        <v>5239</v>
      </c>
      <c r="D10" s="1">
        <v>1.53125E-2</v>
      </c>
      <c r="E10" s="80" t="s">
        <v>475</v>
      </c>
      <c r="F10" s="69" t="s">
        <v>9474</v>
      </c>
      <c r="G10" s="82">
        <v>0.79969999999999997</v>
      </c>
      <c r="I10" s="80"/>
    </row>
    <row r="11" spans="1:24" ht="12.75" customHeight="1" x14ac:dyDescent="0.2">
      <c r="A11" s="523">
        <v>43204</v>
      </c>
      <c r="B11" s="80" t="s">
        <v>4264</v>
      </c>
      <c r="C11" s="334" t="s">
        <v>5239</v>
      </c>
      <c r="D11" s="1">
        <v>1.6111111111111111E-2</v>
      </c>
      <c r="E11" s="80" t="s">
        <v>2431</v>
      </c>
      <c r="F11" s="69" t="s">
        <v>9590</v>
      </c>
      <c r="G11" s="82">
        <v>0.7601</v>
      </c>
      <c r="I11" s="80"/>
    </row>
    <row r="12" spans="1:24" ht="12.75" customHeight="1" x14ac:dyDescent="0.2">
      <c r="A12" s="523">
        <v>43239</v>
      </c>
      <c r="B12" s="80" t="s">
        <v>4264</v>
      </c>
      <c r="C12" s="334" t="s">
        <v>5239</v>
      </c>
      <c r="D12" s="1">
        <v>1.5092592592592593E-2</v>
      </c>
      <c r="E12" s="80" t="s">
        <v>9307</v>
      </c>
      <c r="F12" s="69" t="s">
        <v>9818</v>
      </c>
      <c r="G12" s="82">
        <v>0.81130000000000002</v>
      </c>
      <c r="I12" s="80"/>
    </row>
    <row r="13" spans="1:24" ht="12.75" customHeight="1" x14ac:dyDescent="0.2">
      <c r="A13" s="523">
        <v>43260</v>
      </c>
      <c r="B13" s="80" t="s">
        <v>4264</v>
      </c>
      <c r="C13" s="334" t="s">
        <v>5239</v>
      </c>
      <c r="D13" s="1">
        <v>1.525462962962963E-2</v>
      </c>
      <c r="E13" s="80" t="s">
        <v>5198</v>
      </c>
      <c r="F13" s="69" t="s">
        <v>9924</v>
      </c>
      <c r="G13" s="82">
        <v>0.81340000000000001</v>
      </c>
      <c r="I13" s="80"/>
    </row>
    <row r="14" spans="1:24" ht="12.75" customHeight="1" x14ac:dyDescent="0.2">
      <c r="A14" s="523">
        <v>43267</v>
      </c>
      <c r="B14" s="80" t="s">
        <v>4264</v>
      </c>
      <c r="C14" s="334" t="s">
        <v>5239</v>
      </c>
      <c r="D14" s="1">
        <v>1.5763888888888886E-2</v>
      </c>
      <c r="E14" s="80" t="s">
        <v>2431</v>
      </c>
      <c r="F14" s="69" t="s">
        <v>9946</v>
      </c>
      <c r="G14" s="82">
        <v>0.78710000000000002</v>
      </c>
      <c r="I14" s="80" t="s">
        <v>9947</v>
      </c>
    </row>
    <row r="15" spans="1:24" ht="12.75" customHeight="1" x14ac:dyDescent="0.2">
      <c r="A15" s="34">
        <v>43274</v>
      </c>
      <c r="B15" s="80" t="s">
        <v>4264</v>
      </c>
      <c r="C15" s="80" t="s">
        <v>5239</v>
      </c>
      <c r="D15" s="1">
        <v>1.545138888888889E-2</v>
      </c>
      <c r="E15" s="80" t="s">
        <v>5544</v>
      </c>
      <c r="F15" s="80" t="s">
        <v>10105</v>
      </c>
      <c r="G15" s="82">
        <v>0.80300000000000005</v>
      </c>
    </row>
    <row r="16" spans="1:24" ht="12.75" customHeight="1" x14ac:dyDescent="0.2">
      <c r="A16" s="523">
        <v>43281</v>
      </c>
      <c r="B16" s="80" t="s">
        <v>4264</v>
      </c>
      <c r="C16" s="80" t="s">
        <v>5239</v>
      </c>
      <c r="D16" s="1">
        <v>1.5405092592592593E-2</v>
      </c>
      <c r="E16" s="80" t="s">
        <v>3528</v>
      </c>
      <c r="F16" s="80" t="s">
        <v>10168</v>
      </c>
      <c r="G16" s="82">
        <v>0.8054</v>
      </c>
    </row>
    <row r="17" spans="1:9" ht="12.75" customHeight="1" x14ac:dyDescent="0.2">
      <c r="A17" s="523">
        <v>43295</v>
      </c>
      <c r="B17" s="80" t="s">
        <v>4264</v>
      </c>
      <c r="C17" s="80" t="s">
        <v>5239</v>
      </c>
      <c r="D17" s="1">
        <v>1.5555555555555553E-2</v>
      </c>
      <c r="E17" s="80" t="s">
        <v>5947</v>
      </c>
      <c r="F17" s="80" t="s">
        <v>10240</v>
      </c>
      <c r="G17" s="82">
        <v>0.79759999999999998</v>
      </c>
    </row>
    <row r="18" spans="1:9" ht="12.75" customHeight="1" x14ac:dyDescent="0.2">
      <c r="A18" s="523">
        <v>43302</v>
      </c>
      <c r="B18" s="80" t="s">
        <v>4264</v>
      </c>
      <c r="C18" s="80" t="s">
        <v>5239</v>
      </c>
      <c r="D18" s="1">
        <v>1.5474537037037038E-2</v>
      </c>
      <c r="E18" s="80" t="s">
        <v>9307</v>
      </c>
      <c r="F18" s="80" t="s">
        <v>2975</v>
      </c>
      <c r="G18" s="82">
        <v>0.80179999999999996</v>
      </c>
      <c r="H18" s="80" t="s">
        <v>10303</v>
      </c>
    </row>
    <row r="19" spans="1:9" ht="12.75" customHeight="1" x14ac:dyDescent="0.2">
      <c r="A19" s="523">
        <v>43309</v>
      </c>
      <c r="B19" s="80" t="s">
        <v>4264</v>
      </c>
      <c r="C19" s="80" t="s">
        <v>5239</v>
      </c>
      <c r="D19" s="334">
        <v>1.5127314814814816E-2</v>
      </c>
      <c r="E19" s="80" t="s">
        <v>2465</v>
      </c>
      <c r="F19" s="80" t="s">
        <v>10352</v>
      </c>
      <c r="G19" s="82">
        <v>0.82020000000000004</v>
      </c>
    </row>
    <row r="20" spans="1:9" ht="12.75" customHeight="1" x14ac:dyDescent="0.2">
      <c r="A20" s="523">
        <v>43344</v>
      </c>
      <c r="B20" t="s">
        <v>4264</v>
      </c>
      <c r="C20" t="s">
        <v>5239</v>
      </c>
      <c r="D20" s="1">
        <v>1.5150462962962963E-2</v>
      </c>
      <c r="E20" s="80" t="s">
        <v>5198</v>
      </c>
      <c r="F20" s="80" t="s">
        <v>10552</v>
      </c>
      <c r="G20" s="82">
        <v>0.81889999999999996</v>
      </c>
    </row>
    <row r="21" spans="1:9" ht="12.75" customHeight="1" x14ac:dyDescent="0.2">
      <c r="A21" s="523">
        <v>43351</v>
      </c>
      <c r="B21" t="s">
        <v>4264</v>
      </c>
      <c r="C21" t="s">
        <v>5239</v>
      </c>
      <c r="D21" s="1">
        <v>1.5300925925925926E-2</v>
      </c>
      <c r="E21" s="80" t="s">
        <v>5948</v>
      </c>
      <c r="F21" s="80" t="s">
        <v>10590</v>
      </c>
      <c r="G21" s="82">
        <v>0.81089999999999995</v>
      </c>
    </row>
    <row r="22" spans="1:9" ht="12.75" customHeight="1" x14ac:dyDescent="0.2">
      <c r="A22" s="34">
        <v>43372</v>
      </c>
      <c r="B22" s="80" t="s">
        <v>4264</v>
      </c>
      <c r="C22" s="80" t="s">
        <v>5239</v>
      </c>
      <c r="D22" s="1">
        <v>1.525462962962963E-2</v>
      </c>
      <c r="E22" s="80" t="s">
        <v>5198</v>
      </c>
      <c r="F22" s="80" t="s">
        <v>10673</v>
      </c>
      <c r="G22" s="82">
        <v>0.81340000000000001</v>
      </c>
    </row>
    <row r="23" spans="1:9" ht="12.75" customHeight="1" x14ac:dyDescent="0.2">
      <c r="A23" s="34">
        <v>43379</v>
      </c>
      <c r="B23" s="80" t="s">
        <v>4264</v>
      </c>
      <c r="C23" s="80" t="s">
        <v>5239</v>
      </c>
      <c r="D23" s="1">
        <v>1.6516203703703703E-2</v>
      </c>
      <c r="E23" s="80" t="s">
        <v>1982</v>
      </c>
      <c r="F23" s="80" t="s">
        <v>10773</v>
      </c>
      <c r="G23" s="82">
        <v>0.75119999999999998</v>
      </c>
      <c r="H23" s="80"/>
    </row>
    <row r="24" spans="1:9" ht="12.75" customHeight="1" x14ac:dyDescent="0.2">
      <c r="A24" s="523">
        <v>43393</v>
      </c>
      <c r="B24" s="80" t="s">
        <v>4264</v>
      </c>
      <c r="C24" s="80" t="s">
        <v>5239</v>
      </c>
      <c r="D24" s="1">
        <v>1.5821759259259261E-2</v>
      </c>
      <c r="E24" s="80" t="s">
        <v>5948</v>
      </c>
      <c r="F24" s="80" t="s">
        <v>10835</v>
      </c>
      <c r="G24" s="82">
        <v>0.78420000000000001</v>
      </c>
      <c r="H24" s="80"/>
    </row>
    <row r="25" spans="1:9" ht="12.75" customHeight="1" x14ac:dyDescent="0.2">
      <c r="A25" s="523">
        <v>43428</v>
      </c>
      <c r="B25" s="80" t="s">
        <v>4264</v>
      </c>
      <c r="C25" s="80" t="s">
        <v>5239</v>
      </c>
      <c r="D25" s="1">
        <v>1.5462962962962963E-2</v>
      </c>
      <c r="E25" s="80" t="s">
        <v>10983</v>
      </c>
      <c r="F25" s="80" t="s">
        <v>11089</v>
      </c>
      <c r="G25" s="82">
        <v>0.8024</v>
      </c>
      <c r="H25" s="80"/>
    </row>
    <row r="26" spans="1:9" ht="12.75" customHeight="1" x14ac:dyDescent="0.2">
      <c r="A26" s="523">
        <v>43120</v>
      </c>
      <c r="B26" s="80" t="s">
        <v>859</v>
      </c>
      <c r="C26" s="334" t="s">
        <v>860</v>
      </c>
      <c r="D26" s="1">
        <v>1.2511574074074073E-2</v>
      </c>
      <c r="E26" s="80" t="s">
        <v>248</v>
      </c>
      <c r="F26" s="69" t="s">
        <v>9083</v>
      </c>
      <c r="G26" s="82">
        <v>0.83899999999999997</v>
      </c>
    </row>
    <row r="27" spans="1:9" ht="12.75" customHeight="1" x14ac:dyDescent="0.2">
      <c r="A27" s="523">
        <v>43134</v>
      </c>
      <c r="B27" s="80" t="s">
        <v>859</v>
      </c>
      <c r="C27" s="334" t="s">
        <v>860</v>
      </c>
      <c r="D27" s="1">
        <v>1.2372685185185186E-2</v>
      </c>
      <c r="E27" s="80" t="s">
        <v>248</v>
      </c>
      <c r="F27" s="69" t="s">
        <v>9200</v>
      </c>
      <c r="G27" s="82">
        <v>0.84850000000000003</v>
      </c>
      <c r="I27" s="80"/>
    </row>
    <row r="28" spans="1:9" ht="12.75" customHeight="1" x14ac:dyDescent="0.2">
      <c r="A28" s="523">
        <v>43141</v>
      </c>
      <c r="B28" s="80" t="s">
        <v>859</v>
      </c>
      <c r="C28" s="334" t="s">
        <v>860</v>
      </c>
      <c r="D28" s="1">
        <v>1.2337962962962962E-2</v>
      </c>
      <c r="E28" s="80" t="s">
        <v>248</v>
      </c>
      <c r="F28" s="69" t="s">
        <v>9241</v>
      </c>
      <c r="G28" s="82">
        <v>0.8508</v>
      </c>
      <c r="I28" s="80"/>
    </row>
    <row r="29" spans="1:9" ht="12.75" customHeight="1" x14ac:dyDescent="0.2">
      <c r="A29" s="523">
        <v>43148</v>
      </c>
      <c r="B29" s="80" t="s">
        <v>859</v>
      </c>
      <c r="C29" s="334" t="s">
        <v>860</v>
      </c>
      <c r="D29" s="1">
        <v>1.2280092592592592E-2</v>
      </c>
      <c r="E29" s="80" t="s">
        <v>248</v>
      </c>
      <c r="F29" s="69" t="s">
        <v>9286</v>
      </c>
      <c r="G29" s="82">
        <v>0.85489999999999999</v>
      </c>
      <c r="I29" s="80"/>
    </row>
    <row r="30" spans="1:9" ht="12.75" customHeight="1" x14ac:dyDescent="0.2">
      <c r="A30" s="523">
        <v>43183</v>
      </c>
      <c r="B30" s="80" t="s">
        <v>859</v>
      </c>
      <c r="C30" s="334" t="s">
        <v>860</v>
      </c>
      <c r="D30" s="1">
        <v>1.230324074074074E-2</v>
      </c>
      <c r="E30" s="80" t="s">
        <v>248</v>
      </c>
      <c r="F30" s="69" t="s">
        <v>9471</v>
      </c>
      <c r="G30" s="82">
        <v>0.85319999999999996</v>
      </c>
      <c r="I30" s="80"/>
    </row>
    <row r="31" spans="1:9" ht="12.75" customHeight="1" x14ac:dyDescent="0.2">
      <c r="A31" s="523">
        <v>43232</v>
      </c>
      <c r="B31" s="80" t="s">
        <v>859</v>
      </c>
      <c r="C31" s="334" t="s">
        <v>860</v>
      </c>
      <c r="D31" s="1">
        <v>1.2824074074074073E-2</v>
      </c>
      <c r="E31" s="80" t="s">
        <v>248</v>
      </c>
      <c r="F31" s="69" t="s">
        <v>9770</v>
      </c>
      <c r="G31" s="82">
        <v>0.81859999999999999</v>
      </c>
      <c r="I31" s="80"/>
    </row>
    <row r="32" spans="1:9" ht="12.75" customHeight="1" x14ac:dyDescent="0.2">
      <c r="A32" s="523">
        <v>43246</v>
      </c>
      <c r="B32" s="80" t="s">
        <v>859</v>
      </c>
      <c r="C32" s="334" t="s">
        <v>860</v>
      </c>
      <c r="D32" s="1">
        <v>1.2407407407407409E-2</v>
      </c>
      <c r="E32" s="80" t="s">
        <v>248</v>
      </c>
      <c r="F32" s="69"/>
      <c r="G32" s="82">
        <v>0.84609999999999996</v>
      </c>
      <c r="I32" s="80"/>
    </row>
    <row r="33" spans="1:9" ht="12.75" customHeight="1" x14ac:dyDescent="0.2">
      <c r="A33" s="523">
        <v>43260</v>
      </c>
      <c r="B33" s="80" t="s">
        <v>859</v>
      </c>
      <c r="C33" s="334" t="s">
        <v>860</v>
      </c>
      <c r="D33" s="1">
        <v>1.2256944444444444E-2</v>
      </c>
      <c r="E33" s="80" t="s">
        <v>248</v>
      </c>
      <c r="F33" s="69" t="s">
        <v>9898</v>
      </c>
      <c r="G33" s="82">
        <v>0.85650000000000004</v>
      </c>
      <c r="I33" s="80"/>
    </row>
    <row r="34" spans="1:9" ht="12.75" customHeight="1" x14ac:dyDescent="0.2">
      <c r="A34" s="33">
        <v>43101</v>
      </c>
      <c r="B34" s="80" t="s">
        <v>3011</v>
      </c>
      <c r="C34" s="334" t="s">
        <v>3012</v>
      </c>
      <c r="D34" s="1">
        <v>1.2233796296296296E-2</v>
      </c>
      <c r="E34" s="80" t="s">
        <v>3009</v>
      </c>
      <c r="F34" s="69" t="s">
        <v>9049</v>
      </c>
      <c r="G34" s="82">
        <v>0.83730000000000004</v>
      </c>
      <c r="I34" s="80" t="s">
        <v>9050</v>
      </c>
    </row>
    <row r="35" spans="1:9" ht="12.75" customHeight="1" x14ac:dyDescent="0.2">
      <c r="A35" s="523">
        <v>43113</v>
      </c>
      <c r="B35" s="80" t="s">
        <v>3011</v>
      </c>
      <c r="C35" s="334" t="s">
        <v>3012</v>
      </c>
      <c r="D35" s="1">
        <v>1.247685185185185E-2</v>
      </c>
      <c r="E35" s="80" t="s">
        <v>3009</v>
      </c>
      <c r="F35" s="69" t="s">
        <v>9108</v>
      </c>
      <c r="G35" s="82">
        <v>0.82099999999999995</v>
      </c>
    </row>
    <row r="36" spans="1:9" ht="12.75" customHeight="1" x14ac:dyDescent="0.2">
      <c r="A36" s="523">
        <v>43386</v>
      </c>
      <c r="B36" s="80" t="s">
        <v>3011</v>
      </c>
      <c r="C36" s="80" t="s">
        <v>3012</v>
      </c>
      <c r="D36" s="1">
        <v>1.298611111111111E-2</v>
      </c>
      <c r="E36" s="80" t="s">
        <v>3009</v>
      </c>
      <c r="F36" s="80" t="s">
        <v>10821</v>
      </c>
      <c r="G36" s="82">
        <v>0.79500000000000004</v>
      </c>
      <c r="H36" s="80"/>
    </row>
    <row r="37" spans="1:9" ht="12.75" customHeight="1" x14ac:dyDescent="0.2">
      <c r="A37" s="523">
        <v>43393</v>
      </c>
      <c r="B37" s="80" t="s">
        <v>3011</v>
      </c>
      <c r="C37" s="80" t="s">
        <v>3012</v>
      </c>
      <c r="D37" s="1">
        <v>1.2812499999999999E-2</v>
      </c>
      <c r="E37" s="80" t="s">
        <v>840</v>
      </c>
      <c r="F37" s="80" t="s">
        <v>10854</v>
      </c>
      <c r="G37" s="82">
        <v>0.80579999999999996</v>
      </c>
      <c r="H37" s="80"/>
    </row>
    <row r="38" spans="1:9" x14ac:dyDescent="0.2">
      <c r="A38" s="34">
        <v>43365</v>
      </c>
      <c r="B38" s="80" t="s">
        <v>2342</v>
      </c>
      <c r="C38" s="80" t="s">
        <v>2343</v>
      </c>
      <c r="D38" s="1">
        <v>1.4305555555555557E-2</v>
      </c>
      <c r="E38" s="80" t="s">
        <v>1003</v>
      </c>
      <c r="F38" s="80" t="s">
        <v>10702</v>
      </c>
      <c r="G38" s="82">
        <v>0.75239999999999996</v>
      </c>
      <c r="H38" s="80" t="s">
        <v>10703</v>
      </c>
    </row>
    <row r="39" spans="1:9" x14ac:dyDescent="0.2">
      <c r="A39" s="34">
        <v>43379</v>
      </c>
      <c r="B39" s="80" t="s">
        <v>2342</v>
      </c>
      <c r="C39" s="80" t="s">
        <v>2343</v>
      </c>
      <c r="D39" s="1">
        <v>1.4247685185185184E-2</v>
      </c>
      <c r="E39" s="80" t="s">
        <v>5885</v>
      </c>
      <c r="F39" s="80" t="s">
        <v>10755</v>
      </c>
      <c r="G39" s="82">
        <v>0.75549999999999995</v>
      </c>
      <c r="H39" s="80"/>
      <c r="I39" s="80" t="s">
        <v>10756</v>
      </c>
    </row>
    <row r="40" spans="1:9" x14ac:dyDescent="0.2">
      <c r="A40" s="523">
        <v>43393</v>
      </c>
      <c r="B40" s="80" t="s">
        <v>2342</v>
      </c>
      <c r="C40" s="80" t="s">
        <v>2343</v>
      </c>
      <c r="D40" s="1">
        <v>1.4293981481481482E-2</v>
      </c>
      <c r="E40" s="80" t="s">
        <v>3072</v>
      </c>
      <c r="F40" s="80" t="s">
        <v>10858</v>
      </c>
      <c r="G40" s="82">
        <v>0.753</v>
      </c>
      <c r="H40" s="80"/>
      <c r="I40" s="80" t="s">
        <v>10847</v>
      </c>
    </row>
    <row r="41" spans="1:9" x14ac:dyDescent="0.2">
      <c r="A41" s="523">
        <v>43337</v>
      </c>
      <c r="B41" s="80" t="s">
        <v>2478</v>
      </c>
      <c r="C41" s="80" t="s">
        <v>2479</v>
      </c>
      <c r="D41" s="1">
        <v>1.3807870370370371E-2</v>
      </c>
      <c r="E41" s="80" t="s">
        <v>3167</v>
      </c>
      <c r="F41" s="80" t="s">
        <v>10484</v>
      </c>
      <c r="G41" s="82">
        <v>0.76029999999999998</v>
      </c>
    </row>
    <row r="42" spans="1:9" x14ac:dyDescent="0.2">
      <c r="A42" s="523">
        <v>43351</v>
      </c>
      <c r="B42" s="80" t="s">
        <v>2478</v>
      </c>
      <c r="C42" t="s">
        <v>2479</v>
      </c>
      <c r="D42" s="1">
        <v>1.3668981481481482E-2</v>
      </c>
      <c r="E42" s="80" t="s">
        <v>3167</v>
      </c>
      <c r="F42" s="80" t="s">
        <v>10599</v>
      </c>
      <c r="G42" s="82">
        <v>0.76800000000000002</v>
      </c>
    </row>
    <row r="43" spans="1:9" x14ac:dyDescent="0.2">
      <c r="A43" s="523">
        <v>43459</v>
      </c>
      <c r="B43" s="80" t="s">
        <v>3535</v>
      </c>
      <c r="C43" s="80" t="s">
        <v>3536</v>
      </c>
      <c r="D43" s="1">
        <v>1.2222222222222223E-2</v>
      </c>
      <c r="E43" s="80" t="s">
        <v>5885</v>
      </c>
      <c r="F43" s="80" t="s">
        <v>11371</v>
      </c>
      <c r="G43" s="82">
        <v>0.81820000000000004</v>
      </c>
      <c r="H43" s="80"/>
    </row>
    <row r="44" spans="1:9" x14ac:dyDescent="0.2">
      <c r="A44" s="523">
        <v>43393</v>
      </c>
      <c r="B44" s="80" t="s">
        <v>10839</v>
      </c>
      <c r="C44" s="80" t="s">
        <v>10840</v>
      </c>
      <c r="D44" s="1">
        <v>1.1956018518518517E-2</v>
      </c>
      <c r="E44" s="80" t="s">
        <v>4004</v>
      </c>
      <c r="F44" s="80" t="s">
        <v>10841</v>
      </c>
      <c r="G44" s="82">
        <v>0.75509999999999999</v>
      </c>
      <c r="H44" s="80"/>
    </row>
    <row r="45" spans="1:9" x14ac:dyDescent="0.2">
      <c r="A45" s="523">
        <v>43435</v>
      </c>
      <c r="B45" s="80" t="s">
        <v>10839</v>
      </c>
      <c r="C45" s="80" t="s">
        <v>10840</v>
      </c>
      <c r="D45" s="1">
        <v>1.2372685185185186E-2</v>
      </c>
      <c r="E45" s="80" t="s">
        <v>11158</v>
      </c>
      <c r="F45" s="80" t="s">
        <v>6428</v>
      </c>
      <c r="G45" s="82">
        <v>0.72970000000000002</v>
      </c>
      <c r="H45" s="80"/>
    </row>
    <row r="46" spans="1:9" x14ac:dyDescent="0.2">
      <c r="A46" s="523">
        <v>43101</v>
      </c>
      <c r="B46" s="80" t="s">
        <v>3960</v>
      </c>
      <c r="C46" s="334" t="s">
        <v>3961</v>
      </c>
      <c r="D46" s="1">
        <v>1.503472222222222E-2</v>
      </c>
      <c r="E46" s="80" t="s">
        <v>1780</v>
      </c>
      <c r="F46" s="69" t="s">
        <v>9038</v>
      </c>
      <c r="G46" s="82">
        <v>0.71589999999999998</v>
      </c>
      <c r="I46" s="80" t="s">
        <v>139</v>
      </c>
    </row>
    <row r="47" spans="1:9" x14ac:dyDescent="0.2">
      <c r="A47" s="523">
        <v>43267</v>
      </c>
      <c r="B47" s="80" t="s">
        <v>866</v>
      </c>
      <c r="C47" s="334" t="s">
        <v>5543</v>
      </c>
      <c r="D47" s="1">
        <v>2.0659722222222222E-2</v>
      </c>
      <c r="E47" s="80" t="s">
        <v>2593</v>
      </c>
      <c r="F47" s="69" t="s">
        <v>4960</v>
      </c>
      <c r="G47" s="82">
        <v>0.76539999999999997</v>
      </c>
      <c r="I47" s="80"/>
    </row>
    <row r="48" spans="1:9" x14ac:dyDescent="0.2">
      <c r="A48" s="523">
        <v>43358</v>
      </c>
      <c r="B48" t="s">
        <v>866</v>
      </c>
      <c r="C48" t="s">
        <v>5543</v>
      </c>
      <c r="D48" s="1">
        <v>1.3657407407407408E-2</v>
      </c>
      <c r="E48" t="s">
        <v>6393</v>
      </c>
      <c r="F48" t="s">
        <v>10636</v>
      </c>
      <c r="G48" s="82">
        <v>0.76859999999999995</v>
      </c>
    </row>
    <row r="49" spans="1:24" x14ac:dyDescent="0.2">
      <c r="A49" s="523">
        <v>2018</v>
      </c>
      <c r="B49" s="80" t="s">
        <v>9701</v>
      </c>
      <c r="C49" s="334" t="s">
        <v>9702</v>
      </c>
      <c r="D49" s="1">
        <v>1.4618055555555556E-2</v>
      </c>
      <c r="E49" s="80" t="s">
        <v>5198</v>
      </c>
      <c r="F49" s="69" t="s">
        <v>9954</v>
      </c>
      <c r="G49" s="82">
        <v>0.81630000000000003</v>
      </c>
      <c r="I49" s="80"/>
    </row>
    <row r="50" spans="1:24" x14ac:dyDescent="0.2">
      <c r="A50" s="523">
        <v>43225</v>
      </c>
      <c r="B50" s="80" t="s">
        <v>9701</v>
      </c>
      <c r="C50" s="334" t="s">
        <v>9702</v>
      </c>
      <c r="D50" s="1">
        <v>1.5173611111111112E-2</v>
      </c>
      <c r="E50" s="80" t="s">
        <v>5198</v>
      </c>
      <c r="F50" s="69" t="s">
        <v>9725</v>
      </c>
      <c r="G50" s="82">
        <v>0.78639999999999999</v>
      </c>
      <c r="I50" s="80"/>
    </row>
    <row r="51" spans="1:24" x14ac:dyDescent="0.2">
      <c r="A51" s="523">
        <v>43232</v>
      </c>
      <c r="B51" s="80" t="s">
        <v>9701</v>
      </c>
      <c r="C51" s="334" t="s">
        <v>9702</v>
      </c>
      <c r="D51" s="1">
        <v>1.5011574074074075E-2</v>
      </c>
      <c r="E51" s="80" t="s">
        <v>5198</v>
      </c>
      <c r="F51" s="69" t="s">
        <v>9752</v>
      </c>
      <c r="G51" s="82">
        <v>0.79490000000000005</v>
      </c>
      <c r="I51" s="80"/>
    </row>
    <row r="52" spans="1:24" x14ac:dyDescent="0.2">
      <c r="A52" s="523">
        <v>43239</v>
      </c>
      <c r="B52" s="80" t="s">
        <v>9701</v>
      </c>
      <c r="C52" s="334" t="s">
        <v>9702</v>
      </c>
      <c r="D52" s="1">
        <v>1.4849537037037036E-2</v>
      </c>
      <c r="E52" s="80" t="s">
        <v>5198</v>
      </c>
      <c r="F52" s="69" t="s">
        <v>3190</v>
      </c>
      <c r="G52" s="82">
        <v>0.80359999999999998</v>
      </c>
      <c r="I52" s="80"/>
    </row>
    <row r="53" spans="1:24" x14ac:dyDescent="0.2">
      <c r="A53" s="523">
        <v>43281</v>
      </c>
      <c r="B53" s="80" t="s">
        <v>9701</v>
      </c>
      <c r="C53" s="80" t="s">
        <v>9702</v>
      </c>
      <c r="D53" s="1">
        <v>2.1446759259259259E-2</v>
      </c>
      <c r="E53" s="80" t="s">
        <v>5198</v>
      </c>
      <c r="F53" s="80" t="s">
        <v>10166</v>
      </c>
      <c r="G53" s="82">
        <v>0.82279999999999998</v>
      </c>
    </row>
    <row r="54" spans="1:24" x14ac:dyDescent="0.2">
      <c r="A54" s="523">
        <v>43309</v>
      </c>
      <c r="B54" s="80" t="s">
        <v>9701</v>
      </c>
      <c r="C54" s="80" t="s">
        <v>9702</v>
      </c>
      <c r="D54" s="1">
        <v>1.4699074074074074E-2</v>
      </c>
      <c r="E54" s="80" t="s">
        <v>10100</v>
      </c>
      <c r="F54" s="80" t="s">
        <v>10337</v>
      </c>
      <c r="G54" s="82">
        <v>0.81179999999999997</v>
      </c>
      <c r="H54" s="80" t="s">
        <v>10336</v>
      </c>
    </row>
    <row r="55" spans="1:24" x14ac:dyDescent="0.2">
      <c r="A55" s="523">
        <v>43316</v>
      </c>
      <c r="B55" s="80" t="s">
        <v>9701</v>
      </c>
      <c r="C55" s="334" t="s">
        <v>9702</v>
      </c>
      <c r="D55" s="136">
        <v>1.4548611111111111E-2</v>
      </c>
      <c r="E55" s="80" t="s">
        <v>5198</v>
      </c>
      <c r="F55" s="69" t="s">
        <v>10388</v>
      </c>
      <c r="G55" s="82">
        <v>0.82020000000000004</v>
      </c>
    </row>
    <row r="56" spans="1:24" ht="12.75" customHeight="1" x14ac:dyDescent="0.2">
      <c r="A56" s="523">
        <v>43323</v>
      </c>
      <c r="B56" t="s">
        <v>9701</v>
      </c>
      <c r="C56" t="s">
        <v>9702</v>
      </c>
      <c r="D56" s="1">
        <v>1.4456018518518519E-2</v>
      </c>
      <c r="E56" t="s">
        <v>5198</v>
      </c>
      <c r="F56" t="s">
        <v>10403</v>
      </c>
      <c r="G56" s="82">
        <v>0.82550000000000001</v>
      </c>
    </row>
    <row r="57" spans="1:24" x14ac:dyDescent="0.2">
      <c r="A57" s="523">
        <v>43351</v>
      </c>
      <c r="B57" t="s">
        <v>9701</v>
      </c>
      <c r="C57" t="s">
        <v>9702</v>
      </c>
      <c r="D57" s="1">
        <v>1.5439814814814816E-2</v>
      </c>
      <c r="E57" s="80" t="s">
        <v>1982</v>
      </c>
      <c r="F57" s="80" t="s">
        <v>10588</v>
      </c>
      <c r="G57" s="82">
        <v>0.77290000000000003</v>
      </c>
    </row>
    <row r="58" spans="1:24" x14ac:dyDescent="0.2">
      <c r="A58" s="523">
        <v>43400</v>
      </c>
      <c r="B58" s="80" t="s">
        <v>9701</v>
      </c>
      <c r="C58" s="80" t="s">
        <v>9702</v>
      </c>
      <c r="D58" s="1">
        <v>1.4525462962962964E-2</v>
      </c>
      <c r="E58" s="80" t="s">
        <v>5198</v>
      </c>
      <c r="F58" s="80" t="s">
        <v>10913</v>
      </c>
      <c r="G58" s="82">
        <v>0.8327</v>
      </c>
      <c r="H58" s="80"/>
    </row>
    <row r="59" spans="1:24" x14ac:dyDescent="0.2">
      <c r="A59" s="523">
        <v>43407</v>
      </c>
      <c r="B59" s="80" t="s">
        <v>9701</v>
      </c>
      <c r="C59" s="80" t="s">
        <v>9702</v>
      </c>
      <c r="D59" s="1">
        <v>1.5069444444444443E-2</v>
      </c>
      <c r="E59" s="80" t="s">
        <v>1982</v>
      </c>
      <c r="F59" s="80" t="s">
        <v>10971</v>
      </c>
      <c r="G59" s="82">
        <v>0.80259999999999998</v>
      </c>
    </row>
    <row r="60" spans="1:24" x14ac:dyDescent="0.2">
      <c r="A60" s="523">
        <v>43428</v>
      </c>
      <c r="B60" s="80" t="s">
        <v>9701</v>
      </c>
      <c r="C60" s="80" t="s">
        <v>9702</v>
      </c>
      <c r="D60" s="1">
        <v>1.462962962962963E-2</v>
      </c>
      <c r="E60" s="80" t="s">
        <v>10983</v>
      </c>
      <c r="F60" s="80" t="s">
        <v>11089</v>
      </c>
      <c r="G60" s="82">
        <v>0.82669999999999999</v>
      </c>
      <c r="H60" s="80"/>
    </row>
    <row r="61" spans="1:24" x14ac:dyDescent="0.2">
      <c r="A61" s="523">
        <v>43435</v>
      </c>
      <c r="B61" s="80" t="s">
        <v>9701</v>
      </c>
      <c r="C61" s="80" t="s">
        <v>9702</v>
      </c>
      <c r="D61" s="1">
        <v>1.4884259259259259E-2</v>
      </c>
      <c r="E61" s="80" t="s">
        <v>5198</v>
      </c>
      <c r="F61" s="80" t="s">
        <v>11174</v>
      </c>
      <c r="G61" s="82">
        <v>0.81259999999999999</v>
      </c>
      <c r="H61" s="80"/>
    </row>
    <row r="62" spans="1:24" x14ac:dyDescent="0.2">
      <c r="A62" s="523">
        <v>43449</v>
      </c>
      <c r="B62" s="80" t="s">
        <v>9701</v>
      </c>
      <c r="C62" s="80" t="s">
        <v>9702</v>
      </c>
      <c r="D62" s="1">
        <v>1.4641203703703703E-2</v>
      </c>
      <c r="E62" s="80" t="s">
        <v>5198</v>
      </c>
      <c r="F62" s="80" t="s">
        <v>11284</v>
      </c>
      <c r="G62" s="82">
        <v>0.82609999999999995</v>
      </c>
      <c r="H62" s="80"/>
    </row>
    <row r="63" spans="1:24" x14ac:dyDescent="0.2">
      <c r="A63" s="34">
        <v>43365</v>
      </c>
      <c r="B63" s="80" t="s">
        <v>4481</v>
      </c>
      <c r="C63" s="80" t="s">
        <v>4482</v>
      </c>
      <c r="D63" s="1">
        <v>1.3125E-2</v>
      </c>
      <c r="E63" s="80" t="s">
        <v>4004</v>
      </c>
      <c r="F63" s="80" t="s">
        <v>10732</v>
      </c>
      <c r="G63" s="82">
        <v>0.83420000000000005</v>
      </c>
    </row>
    <row r="64" spans="1:24" ht="12.75" customHeight="1" x14ac:dyDescent="0.25">
      <c r="A64" s="80"/>
      <c r="C64" s="9"/>
      <c r="D64" s="1"/>
      <c r="F64" s="41"/>
      <c r="G64" s="82"/>
      <c r="X64" s="185"/>
    </row>
    <row r="65" spans="1:24" ht="12.75" customHeight="1" x14ac:dyDescent="0.25">
      <c r="A65" s="80"/>
      <c r="C65" s="9"/>
      <c r="D65" s="1"/>
      <c r="F65" s="41"/>
      <c r="G65" s="82"/>
      <c r="X65" s="185"/>
    </row>
    <row r="66" spans="1:24" ht="12.75" customHeight="1" x14ac:dyDescent="0.25">
      <c r="A66" s="80"/>
      <c r="C66" s="9"/>
      <c r="D66" s="1"/>
      <c r="F66" s="41"/>
      <c r="G66" s="82"/>
      <c r="X66" s="185"/>
    </row>
    <row r="67" spans="1:24" ht="12.75" customHeight="1" x14ac:dyDescent="0.25">
      <c r="A67" s="2" t="s">
        <v>11455</v>
      </c>
      <c r="C67" s="9"/>
      <c r="D67" s="1"/>
      <c r="F67" s="41"/>
      <c r="G67" s="82"/>
      <c r="X67" s="185"/>
    </row>
    <row r="68" spans="1:24" ht="14.25" customHeight="1" x14ac:dyDescent="0.2">
      <c r="A68" s="523">
        <v>43141</v>
      </c>
      <c r="B68" s="987" t="s">
        <v>8922</v>
      </c>
      <c r="C68" s="988" t="s">
        <v>8923</v>
      </c>
      <c r="D68" s="1">
        <v>2.0682870370370372E-2</v>
      </c>
      <c r="E68" s="80" t="s">
        <v>5095</v>
      </c>
      <c r="F68" s="69" t="s">
        <v>9246</v>
      </c>
      <c r="G68" s="82">
        <v>0.70169999999999999</v>
      </c>
      <c r="H68" s="334">
        <f>D70-D68</f>
        <v>2.1180555555555571E-3</v>
      </c>
      <c r="I68" s="80"/>
      <c r="J68" t="s">
        <v>9245</v>
      </c>
      <c r="N68" t="s">
        <v>9250</v>
      </c>
    </row>
    <row r="69" spans="1:24" ht="14.25" customHeight="1" x14ac:dyDescent="0.2">
      <c r="A69" s="523">
        <v>43463</v>
      </c>
      <c r="B69" s="80" t="s">
        <v>4580</v>
      </c>
      <c r="C69" s="80" t="s">
        <v>4581</v>
      </c>
      <c r="D69" s="1">
        <v>2.0787037037037038E-2</v>
      </c>
      <c r="E69" s="80" t="s">
        <v>11608</v>
      </c>
      <c r="F69" s="80" t="s">
        <v>11615</v>
      </c>
      <c r="G69" s="82">
        <v>0.56679999999999997</v>
      </c>
      <c r="H69" s="334"/>
      <c r="I69" s="80"/>
    </row>
    <row r="70" spans="1:24" ht="14.25" customHeight="1" x14ac:dyDescent="0.2">
      <c r="A70" s="523">
        <v>43449</v>
      </c>
      <c r="B70" s="1029" t="s">
        <v>4580</v>
      </c>
      <c r="C70" s="1029" t="s">
        <v>4581</v>
      </c>
      <c r="D70" s="1">
        <v>2.2800925925925929E-2</v>
      </c>
      <c r="E70" s="80" t="s">
        <v>5947</v>
      </c>
      <c r="F70" s="80" t="s">
        <v>11300</v>
      </c>
      <c r="G70" s="82">
        <v>0.51680000000000004</v>
      </c>
      <c r="H70" s="334">
        <f t="shared" ref="H70:H101" si="0">D71-D70</f>
        <v>-6.0185185185185341E-4</v>
      </c>
    </row>
    <row r="71" spans="1:24" ht="14.25" customHeight="1" x14ac:dyDescent="0.2">
      <c r="A71" s="523">
        <v>43421</v>
      </c>
      <c r="B71" s="906" t="s">
        <v>4580</v>
      </c>
      <c r="C71" s="906" t="s">
        <v>4581</v>
      </c>
      <c r="D71" s="1">
        <v>2.2199074074074076E-2</v>
      </c>
      <c r="E71" s="80" t="s">
        <v>5885</v>
      </c>
      <c r="F71" s="80" t="s">
        <v>11036</v>
      </c>
      <c r="G71" s="82">
        <v>0.53080000000000005</v>
      </c>
      <c r="H71" s="334">
        <f t="shared" si="0"/>
        <v>-2.1990740740741171E-4</v>
      </c>
    </row>
    <row r="72" spans="1:24" ht="14.25" customHeight="1" x14ac:dyDescent="0.2">
      <c r="A72" s="34">
        <v>43372</v>
      </c>
      <c r="B72" s="532" t="s">
        <v>4580</v>
      </c>
      <c r="C72" s="532" t="s">
        <v>4581</v>
      </c>
      <c r="D72" s="1">
        <v>2.1979166666666664E-2</v>
      </c>
      <c r="E72" s="80" t="s">
        <v>2147</v>
      </c>
      <c r="F72" s="80" t="s">
        <v>10723</v>
      </c>
      <c r="G72" s="82">
        <v>0.53610000000000002</v>
      </c>
      <c r="H72" s="334">
        <f t="shared" si="0"/>
        <v>-2.5462962962962549E-4</v>
      </c>
    </row>
    <row r="73" spans="1:24" ht="14.25" customHeight="1" x14ac:dyDescent="0.2">
      <c r="A73" s="34">
        <v>43365</v>
      </c>
      <c r="B73" s="556" t="s">
        <v>4580</v>
      </c>
      <c r="C73" s="556" t="s">
        <v>4581</v>
      </c>
      <c r="D73" s="1">
        <v>2.1724537037037039E-2</v>
      </c>
      <c r="E73" s="80" t="s">
        <v>5947</v>
      </c>
      <c r="F73" s="80" t="s">
        <v>10700</v>
      </c>
      <c r="G73" s="82">
        <v>0.54239999999999999</v>
      </c>
      <c r="H73" s="334">
        <f t="shared" si="0"/>
        <v>8.2175925925925819E-4</v>
      </c>
    </row>
    <row r="74" spans="1:24" ht="14.25" customHeight="1" x14ac:dyDescent="0.2">
      <c r="A74" s="523">
        <v>43351</v>
      </c>
      <c r="B74" s="532" t="s">
        <v>4580</v>
      </c>
      <c r="C74" s="532" t="s">
        <v>4581</v>
      </c>
      <c r="D74" s="1">
        <v>2.2546296296296297E-2</v>
      </c>
      <c r="E74" s="80" t="s">
        <v>9307</v>
      </c>
      <c r="F74" s="80" t="s">
        <v>10608</v>
      </c>
      <c r="G74" s="82">
        <v>0.52259999999999995</v>
      </c>
      <c r="H74" s="334">
        <f t="shared" si="0"/>
        <v>9.2592592592592032E-4</v>
      </c>
    </row>
    <row r="75" spans="1:24" ht="14.25" customHeight="1" x14ac:dyDescent="0.2">
      <c r="A75" s="523">
        <v>43281</v>
      </c>
      <c r="B75" s="556" t="s">
        <v>4580</v>
      </c>
      <c r="C75" s="556" t="s">
        <v>4581</v>
      </c>
      <c r="D75" s="1">
        <v>2.3472222222222217E-2</v>
      </c>
      <c r="E75" s="80" t="s">
        <v>5947</v>
      </c>
      <c r="F75" s="80" t="s">
        <v>10174</v>
      </c>
      <c r="G75" s="82">
        <v>0.49609999999999999</v>
      </c>
      <c r="H75" s="334">
        <f t="shared" si="0"/>
        <v>6.8865740740740797E-3</v>
      </c>
    </row>
    <row r="76" spans="1:24" ht="14.25" customHeight="1" x14ac:dyDescent="0.2">
      <c r="A76" s="523">
        <v>43463</v>
      </c>
      <c r="B76" s="862" t="s">
        <v>868</v>
      </c>
      <c r="C76" s="862" t="s">
        <v>869</v>
      </c>
      <c r="D76" s="1">
        <v>3.0358796296296297E-2</v>
      </c>
      <c r="E76" s="80" t="s">
        <v>5456</v>
      </c>
      <c r="F76" s="80" t="s">
        <v>11426</v>
      </c>
      <c r="G76" s="82">
        <v>0.5212</v>
      </c>
      <c r="H76" s="334">
        <f t="shared" si="0"/>
        <v>4.5833333333333386E-3</v>
      </c>
    </row>
    <row r="77" spans="1:24" ht="14.25" customHeight="1" x14ac:dyDescent="0.2">
      <c r="A77" s="523">
        <v>43456</v>
      </c>
      <c r="B77" s="556" t="s">
        <v>868</v>
      </c>
      <c r="C77" s="556" t="s">
        <v>869</v>
      </c>
      <c r="D77" s="1">
        <v>3.4942129629629635E-2</v>
      </c>
      <c r="E77" s="80" t="s">
        <v>5544</v>
      </c>
      <c r="F77" s="80" t="s">
        <v>11342</v>
      </c>
      <c r="G77" s="82">
        <v>0.45279999999999998</v>
      </c>
      <c r="H77" s="334">
        <f t="shared" si="0"/>
        <v>-8.518518518518526E-3</v>
      </c>
    </row>
    <row r="78" spans="1:24" ht="14.25" customHeight="1" x14ac:dyDescent="0.2">
      <c r="A78" s="523">
        <v>43449</v>
      </c>
      <c r="B78" s="1029" t="s">
        <v>868</v>
      </c>
      <c r="C78" s="1029" t="s">
        <v>869</v>
      </c>
      <c r="D78" s="1">
        <v>2.642361111111111E-2</v>
      </c>
      <c r="E78" s="80" t="s">
        <v>5544</v>
      </c>
      <c r="F78" s="80" t="s">
        <v>11310</v>
      </c>
      <c r="G78" s="82">
        <v>0.5988</v>
      </c>
      <c r="H78" s="334">
        <f t="shared" si="0"/>
        <v>7.1180555555555546E-3</v>
      </c>
    </row>
    <row r="79" spans="1:24" ht="14.25" customHeight="1" x14ac:dyDescent="0.2">
      <c r="A79" s="523">
        <v>43442</v>
      </c>
      <c r="B79" s="972" t="s">
        <v>868</v>
      </c>
      <c r="C79" s="972" t="s">
        <v>869</v>
      </c>
      <c r="D79" s="1">
        <v>3.3541666666666664E-2</v>
      </c>
      <c r="E79" s="80" t="s">
        <v>5544</v>
      </c>
      <c r="F79" s="80" t="s">
        <v>11238</v>
      </c>
      <c r="G79" s="82">
        <v>0.47170000000000001</v>
      </c>
      <c r="H79" s="334">
        <f t="shared" si="0"/>
        <v>-1.2384259259259275E-3</v>
      </c>
    </row>
    <row r="80" spans="1:24" ht="14.25" customHeight="1" x14ac:dyDescent="0.2">
      <c r="A80" s="523">
        <v>43435</v>
      </c>
      <c r="B80" s="1164" t="s">
        <v>868</v>
      </c>
      <c r="C80" s="1164" t="s">
        <v>869</v>
      </c>
      <c r="D80" s="1">
        <v>3.2303240740740737E-2</v>
      </c>
      <c r="E80" s="80" t="s">
        <v>5544</v>
      </c>
      <c r="F80" s="80" t="s">
        <v>11170</v>
      </c>
      <c r="G80" s="82">
        <v>0.48980000000000001</v>
      </c>
      <c r="H80" s="334" t="e">
        <f t="shared" si="0"/>
        <v>#VALUE!</v>
      </c>
    </row>
    <row r="81" spans="1:8" ht="14.25" customHeight="1" x14ac:dyDescent="0.2">
      <c r="A81" s="523">
        <v>43428</v>
      </c>
      <c r="B81" s="1038" t="s">
        <v>868</v>
      </c>
      <c r="C81" s="1038" t="s">
        <v>869</v>
      </c>
      <c r="D81" s="136" t="s">
        <v>11084</v>
      </c>
      <c r="E81" s="80" t="s">
        <v>5544</v>
      </c>
      <c r="F81" s="80" t="s">
        <v>11085</v>
      </c>
      <c r="G81" s="82">
        <v>0.36199999999999999</v>
      </c>
      <c r="H81" s="334" t="e">
        <f t="shared" si="0"/>
        <v>#VALUE!</v>
      </c>
    </row>
    <row r="82" spans="1:8" ht="14.25" customHeight="1" x14ac:dyDescent="0.2">
      <c r="A82" s="523">
        <v>43421</v>
      </c>
      <c r="B82" s="906" t="s">
        <v>868</v>
      </c>
      <c r="C82" s="906" t="s">
        <v>869</v>
      </c>
      <c r="D82" s="1">
        <v>2.613425925925926E-2</v>
      </c>
      <c r="E82" s="80" t="s">
        <v>5456</v>
      </c>
      <c r="F82" s="80" t="s">
        <v>11046</v>
      </c>
      <c r="G82" s="82">
        <v>0.60540000000000005</v>
      </c>
      <c r="H82" s="334">
        <f t="shared" si="0"/>
        <v>-1.05324074074074E-3</v>
      </c>
    </row>
    <row r="83" spans="1:8" ht="14.25" customHeight="1" x14ac:dyDescent="0.2">
      <c r="A83" s="523">
        <v>43407</v>
      </c>
      <c r="B83" s="901" t="s">
        <v>868</v>
      </c>
      <c r="C83" s="901" t="s">
        <v>869</v>
      </c>
      <c r="D83" s="1">
        <v>2.508101851851852E-2</v>
      </c>
      <c r="E83" s="80" t="s">
        <v>5544</v>
      </c>
      <c r="F83" s="80" t="s">
        <v>10951</v>
      </c>
      <c r="G83" s="82">
        <v>0.63080000000000003</v>
      </c>
      <c r="H83" s="334">
        <f t="shared" si="0"/>
        <v>-8.1018518518518462E-4</v>
      </c>
    </row>
    <row r="84" spans="1:8" ht="14.25" customHeight="1" x14ac:dyDescent="0.2">
      <c r="A84" s="523">
        <v>43400</v>
      </c>
      <c r="B84" s="556" t="s">
        <v>868</v>
      </c>
      <c r="C84" s="556" t="s">
        <v>869</v>
      </c>
      <c r="D84" s="1">
        <v>2.4270833333333335E-2</v>
      </c>
      <c r="E84" s="80" t="s">
        <v>5544</v>
      </c>
      <c r="F84" s="80" t="s">
        <v>10890</v>
      </c>
      <c r="G84" s="82">
        <v>0.6522</v>
      </c>
      <c r="H84" s="334">
        <f t="shared" si="0"/>
        <v>-1.9675925925926457E-4</v>
      </c>
    </row>
    <row r="85" spans="1:8" ht="14.25" customHeight="1" x14ac:dyDescent="0.2">
      <c r="A85" s="523">
        <v>43393</v>
      </c>
      <c r="B85" s="862" t="s">
        <v>868</v>
      </c>
      <c r="C85" s="862" t="s">
        <v>869</v>
      </c>
      <c r="D85" s="1">
        <v>2.4074074074074071E-2</v>
      </c>
      <c r="E85" s="80" t="s">
        <v>5544</v>
      </c>
      <c r="F85" s="80" t="s">
        <v>10844</v>
      </c>
      <c r="G85" s="82">
        <v>0.65720000000000001</v>
      </c>
      <c r="H85" s="334">
        <f t="shared" si="0"/>
        <v>2.3263888888888917E-3</v>
      </c>
    </row>
    <row r="86" spans="1:8" ht="14.25" customHeight="1" x14ac:dyDescent="0.2">
      <c r="A86" s="34">
        <v>43379</v>
      </c>
      <c r="B86" s="869" t="s">
        <v>868</v>
      </c>
      <c r="C86" s="869" t="s">
        <v>869</v>
      </c>
      <c r="D86" s="1">
        <v>2.6400462962962962E-2</v>
      </c>
      <c r="E86" s="80" t="s">
        <v>5544</v>
      </c>
      <c r="F86" s="80" t="s">
        <v>10750</v>
      </c>
      <c r="G86" s="82">
        <v>0.59930000000000005</v>
      </c>
      <c r="H86" s="334">
        <f t="shared" si="0"/>
        <v>-1.5277777777777737E-3</v>
      </c>
    </row>
    <row r="87" spans="1:8" ht="14.25" customHeight="1" x14ac:dyDescent="0.2">
      <c r="A87" s="34">
        <v>43372</v>
      </c>
      <c r="B87" s="532" t="s">
        <v>868</v>
      </c>
      <c r="C87" s="532" t="s">
        <v>869</v>
      </c>
      <c r="D87" s="1">
        <v>2.4872685185185189E-2</v>
      </c>
      <c r="E87" s="80" t="s">
        <v>5544</v>
      </c>
      <c r="F87" s="80" t="s">
        <v>10706</v>
      </c>
      <c r="G87" s="82">
        <v>0.6361</v>
      </c>
      <c r="H87" s="334">
        <f t="shared" si="0"/>
        <v>2.2337962962962928E-3</v>
      </c>
    </row>
    <row r="88" spans="1:8" ht="14.25" customHeight="1" x14ac:dyDescent="0.2">
      <c r="A88" s="34">
        <v>43365</v>
      </c>
      <c r="B88" s="556" t="s">
        <v>868</v>
      </c>
      <c r="C88" s="556" t="s">
        <v>869</v>
      </c>
      <c r="D88" s="1">
        <v>2.7106481481481481E-2</v>
      </c>
      <c r="E88" s="80" t="s">
        <v>5544</v>
      </c>
      <c r="F88" s="80" t="s">
        <v>10704</v>
      </c>
      <c r="G88" s="82">
        <v>0.5837</v>
      </c>
      <c r="H88" s="334">
        <f t="shared" si="0"/>
        <v>-3.8310185185185218E-3</v>
      </c>
    </row>
    <row r="89" spans="1:8" ht="14.25" customHeight="1" x14ac:dyDescent="0.2">
      <c r="A89" s="523">
        <v>43358</v>
      </c>
      <c r="B89" s="1127" t="s">
        <v>868</v>
      </c>
      <c r="C89" s="1127" t="s">
        <v>869</v>
      </c>
      <c r="D89" s="1">
        <v>2.327546296296296E-2</v>
      </c>
      <c r="E89" t="s">
        <v>5544</v>
      </c>
      <c r="F89" t="s">
        <v>10639</v>
      </c>
      <c r="G89" s="82">
        <v>0.67979999999999996</v>
      </c>
      <c r="H89" s="334">
        <f t="shared" si="0"/>
        <v>6.4814814814815463E-4</v>
      </c>
    </row>
    <row r="90" spans="1:8" ht="14.25" customHeight="1" x14ac:dyDescent="0.2">
      <c r="A90" s="523">
        <v>43351</v>
      </c>
      <c r="B90" s="531" t="s">
        <v>868</v>
      </c>
      <c r="C90" s="531" t="s">
        <v>869</v>
      </c>
      <c r="D90" s="1">
        <v>2.3923611111111114E-2</v>
      </c>
      <c r="E90" t="s">
        <v>5544</v>
      </c>
      <c r="F90" t="s">
        <v>10576</v>
      </c>
      <c r="G90" s="82">
        <v>0.6613</v>
      </c>
      <c r="H90" s="334">
        <f t="shared" si="0"/>
        <v>-1.0416666666666907E-4</v>
      </c>
    </row>
    <row r="91" spans="1:8" ht="14.25" customHeight="1" x14ac:dyDescent="0.2">
      <c r="A91" s="523">
        <v>43344</v>
      </c>
      <c r="B91" s="552" t="s">
        <v>868</v>
      </c>
      <c r="C91" s="552" t="s">
        <v>869</v>
      </c>
      <c r="D91" s="1">
        <v>2.3819444444444445E-2</v>
      </c>
      <c r="E91" t="s">
        <v>5883</v>
      </c>
      <c r="F91" s="80" t="s">
        <v>10570</v>
      </c>
      <c r="G91" s="82">
        <v>0.66420000000000001</v>
      </c>
      <c r="H91" s="334">
        <f t="shared" si="0"/>
        <v>7.6388888888888687E-4</v>
      </c>
    </row>
    <row r="92" spans="1:8" ht="14.25" customHeight="1" x14ac:dyDescent="0.2">
      <c r="A92" s="523">
        <v>43337</v>
      </c>
      <c r="B92" s="1044" t="s">
        <v>868</v>
      </c>
      <c r="C92" s="1044" t="s">
        <v>869</v>
      </c>
      <c r="D92" s="1">
        <v>2.4583333333333332E-2</v>
      </c>
      <c r="E92" s="80" t="s">
        <v>5544</v>
      </c>
      <c r="F92" s="80" t="s">
        <v>10491</v>
      </c>
      <c r="G92" s="82">
        <v>0.64359999999999995</v>
      </c>
      <c r="H92" s="334">
        <f t="shared" si="0"/>
        <v>-1.0185185185185193E-3</v>
      </c>
    </row>
    <row r="93" spans="1:8" ht="14.25" customHeight="1" x14ac:dyDescent="0.2">
      <c r="A93" s="523">
        <v>43330</v>
      </c>
      <c r="B93" s="1100" t="s">
        <v>868</v>
      </c>
      <c r="C93" s="1100" t="s">
        <v>869</v>
      </c>
      <c r="D93" s="1">
        <v>2.3564814814814813E-2</v>
      </c>
      <c r="E93" t="s">
        <v>5544</v>
      </c>
      <c r="F93" t="s">
        <v>10442</v>
      </c>
      <c r="G93" s="82">
        <v>0.6714</v>
      </c>
      <c r="H93" s="334">
        <f t="shared" si="0"/>
        <v>6.5972222222222127E-4</v>
      </c>
    </row>
    <row r="94" spans="1:8" ht="14.25" customHeight="1" x14ac:dyDescent="0.2">
      <c r="A94" s="523">
        <v>43323</v>
      </c>
      <c r="B94" s="585" t="s">
        <v>868</v>
      </c>
      <c r="C94" s="585" t="s">
        <v>869</v>
      </c>
      <c r="D94" s="1">
        <v>2.4224537037037034E-2</v>
      </c>
      <c r="E94" t="s">
        <v>10192</v>
      </c>
      <c r="F94" t="s">
        <v>10402</v>
      </c>
      <c r="G94" s="82">
        <v>0.65310000000000001</v>
      </c>
      <c r="H94" s="334">
        <f t="shared" si="0"/>
        <v>2.3148148148147141E-5</v>
      </c>
    </row>
    <row r="95" spans="1:8" ht="14.25" customHeight="1" x14ac:dyDescent="0.2">
      <c r="A95" s="523">
        <v>43316</v>
      </c>
      <c r="B95" s="1077" t="s">
        <v>868</v>
      </c>
      <c r="C95" s="1077" t="s">
        <v>869</v>
      </c>
      <c r="D95" s="136">
        <v>2.4247685185185181E-2</v>
      </c>
      <c r="E95" t="s">
        <v>5544</v>
      </c>
      <c r="F95" t="s">
        <v>10372</v>
      </c>
      <c r="G95" s="82">
        <v>0.65249999999999997</v>
      </c>
      <c r="H95" s="334">
        <f t="shared" si="0"/>
        <v>1.0995370370370378E-3</v>
      </c>
    </row>
    <row r="96" spans="1:8" ht="14.25" customHeight="1" x14ac:dyDescent="0.2">
      <c r="A96" s="523">
        <v>43309</v>
      </c>
      <c r="B96" s="879" t="s">
        <v>868</v>
      </c>
      <c r="C96" s="879" t="s">
        <v>869</v>
      </c>
      <c r="D96" s="1">
        <v>2.5347222222222219E-2</v>
      </c>
      <c r="E96" s="80" t="s">
        <v>5544</v>
      </c>
      <c r="F96" s="80" t="s">
        <v>10340</v>
      </c>
      <c r="G96" s="82">
        <v>0.62419999999999998</v>
      </c>
      <c r="H96" s="334">
        <f t="shared" si="0"/>
        <v>9.1435185185185716E-4</v>
      </c>
    </row>
    <row r="97" spans="1:9" ht="14.25" customHeight="1" x14ac:dyDescent="0.2">
      <c r="A97" s="523">
        <v>43302</v>
      </c>
      <c r="B97" s="985" t="s">
        <v>868</v>
      </c>
      <c r="C97" s="985" t="s">
        <v>869</v>
      </c>
      <c r="D97" s="1">
        <v>2.6261574074074076E-2</v>
      </c>
      <c r="E97" s="80" t="s">
        <v>5544</v>
      </c>
      <c r="F97" s="80" t="s">
        <v>10313</v>
      </c>
      <c r="G97" s="82">
        <v>0.60499999999999998</v>
      </c>
      <c r="H97" s="334">
        <f t="shared" si="0"/>
        <v>-9.3749999999999736E-4</v>
      </c>
    </row>
    <row r="98" spans="1:9" ht="14.25" customHeight="1" x14ac:dyDescent="0.2">
      <c r="A98" s="523">
        <v>43295</v>
      </c>
      <c r="B98" s="601" t="s">
        <v>868</v>
      </c>
      <c r="C98" s="601" t="s">
        <v>869</v>
      </c>
      <c r="D98" s="1">
        <v>2.5324074074074079E-2</v>
      </c>
      <c r="E98" s="80" t="s">
        <v>5453</v>
      </c>
      <c r="F98" s="80" t="s">
        <v>10242</v>
      </c>
      <c r="G98" s="82">
        <v>0.62480000000000002</v>
      </c>
      <c r="H98" s="334">
        <f t="shared" si="0"/>
        <v>-2.7777777777777957E-4</v>
      </c>
    </row>
    <row r="99" spans="1:9" ht="14.25" customHeight="1" x14ac:dyDescent="0.2">
      <c r="A99" s="523">
        <v>43288</v>
      </c>
      <c r="B99" s="1077" t="s">
        <v>868</v>
      </c>
      <c r="C99" s="1077" t="s">
        <v>869</v>
      </c>
      <c r="D99" s="1">
        <v>2.5046296296296299E-2</v>
      </c>
      <c r="E99" t="s">
        <v>5885</v>
      </c>
      <c r="F99" s="80" t="s">
        <v>10226</v>
      </c>
      <c r="G99" s="82">
        <v>0.63170000000000004</v>
      </c>
      <c r="H99" s="334">
        <f t="shared" si="0"/>
        <v>8.1018518518511523E-5</v>
      </c>
    </row>
    <row r="100" spans="1:9" ht="14.25" customHeight="1" x14ac:dyDescent="0.2">
      <c r="A100" s="523">
        <v>43281</v>
      </c>
      <c r="B100" s="552" t="s">
        <v>868</v>
      </c>
      <c r="C100" s="552" t="s">
        <v>869</v>
      </c>
      <c r="D100" s="1">
        <v>2.5127314814814811E-2</v>
      </c>
      <c r="E100" s="80" t="s">
        <v>5544</v>
      </c>
      <c r="F100" s="80" t="s">
        <v>10153</v>
      </c>
      <c r="G100" s="82">
        <v>0.62970000000000004</v>
      </c>
      <c r="H100" s="334">
        <f t="shared" si="0"/>
        <v>-1.1574074074074021E-3</v>
      </c>
    </row>
    <row r="101" spans="1:9" ht="14.25" customHeight="1" x14ac:dyDescent="0.2">
      <c r="A101" s="34">
        <v>43274</v>
      </c>
      <c r="B101" s="1071" t="s">
        <v>868</v>
      </c>
      <c r="C101" s="1071" t="s">
        <v>869</v>
      </c>
      <c r="D101" s="1">
        <v>2.3969907407407409E-2</v>
      </c>
      <c r="E101" s="80" t="s">
        <v>5544</v>
      </c>
      <c r="F101" s="80" t="s">
        <v>10107</v>
      </c>
      <c r="G101" s="82">
        <v>0.66010000000000002</v>
      </c>
      <c r="H101" s="334">
        <f t="shared" si="0"/>
        <v>1.1226851851851849E-3</v>
      </c>
    </row>
    <row r="102" spans="1:9" ht="14.25" customHeight="1" x14ac:dyDescent="0.2">
      <c r="A102" s="523">
        <v>43267</v>
      </c>
      <c r="B102" s="1058" t="s">
        <v>868</v>
      </c>
      <c r="C102" s="1059" t="s">
        <v>869</v>
      </c>
      <c r="D102" s="1">
        <v>2.5092592592592593E-2</v>
      </c>
      <c r="E102" s="80" t="s">
        <v>5544</v>
      </c>
      <c r="F102" s="69" t="s">
        <v>9945</v>
      </c>
      <c r="G102" s="82">
        <v>0.63049999999999995</v>
      </c>
      <c r="H102" s="334">
        <f t="shared" ref="H102:H133" si="1">D103-D102</f>
        <v>-1.1921296296296333E-3</v>
      </c>
      <c r="I102" s="80"/>
    </row>
    <row r="103" spans="1:9" ht="14.25" customHeight="1" x14ac:dyDescent="0.2">
      <c r="A103" s="523">
        <v>43260</v>
      </c>
      <c r="B103" s="532" t="s">
        <v>868</v>
      </c>
      <c r="C103" s="843" t="s">
        <v>869</v>
      </c>
      <c r="D103" s="1">
        <v>2.390046296296296E-2</v>
      </c>
      <c r="E103" s="80" t="s">
        <v>5544</v>
      </c>
      <c r="F103" s="69" t="s">
        <v>9899</v>
      </c>
      <c r="G103" s="82">
        <v>0.66200000000000003</v>
      </c>
      <c r="H103" s="334">
        <f t="shared" si="1"/>
        <v>3.7037037037037507E-4</v>
      </c>
      <c r="I103" s="80"/>
    </row>
    <row r="104" spans="1:9" ht="14.25" customHeight="1" x14ac:dyDescent="0.2">
      <c r="A104" s="523">
        <v>43253</v>
      </c>
      <c r="B104" s="901" t="s">
        <v>868</v>
      </c>
      <c r="C104" s="902" t="s">
        <v>869</v>
      </c>
      <c r="D104" s="1">
        <v>2.4270833333333335E-2</v>
      </c>
      <c r="E104" s="80" t="s">
        <v>5544</v>
      </c>
      <c r="F104" s="69" t="s">
        <v>9887</v>
      </c>
      <c r="G104" s="82">
        <v>0.65190000000000003</v>
      </c>
      <c r="H104" s="334">
        <f t="shared" si="1"/>
        <v>-9.6064814814814797E-4</v>
      </c>
      <c r="I104" s="80" t="s">
        <v>9889</v>
      </c>
    </row>
    <row r="105" spans="1:9" ht="14.25" customHeight="1" x14ac:dyDescent="0.2">
      <c r="A105" s="523">
        <v>43246</v>
      </c>
      <c r="B105" s="601" t="s">
        <v>868</v>
      </c>
      <c r="C105" s="958" t="s">
        <v>869</v>
      </c>
      <c r="D105" s="1">
        <v>2.3310185185185187E-2</v>
      </c>
      <c r="E105" s="80" t="s">
        <v>5544</v>
      </c>
      <c r="F105" s="69"/>
      <c r="G105" s="82">
        <v>0.67869999999999997</v>
      </c>
      <c r="H105" s="334">
        <f t="shared" si="1"/>
        <v>1.7245370370370348E-3</v>
      </c>
      <c r="I105" s="80"/>
    </row>
    <row r="106" spans="1:9" ht="14.25" customHeight="1" x14ac:dyDescent="0.2">
      <c r="A106" s="523">
        <v>43239</v>
      </c>
      <c r="B106" s="80" t="s">
        <v>868</v>
      </c>
      <c r="C106" s="334" t="s">
        <v>869</v>
      </c>
      <c r="D106" s="1">
        <v>2.5034722222222222E-2</v>
      </c>
      <c r="E106" s="80" t="s">
        <v>5544</v>
      </c>
      <c r="F106" s="69" t="s">
        <v>9828</v>
      </c>
      <c r="G106" s="82">
        <v>0.61439999999999995</v>
      </c>
      <c r="H106" s="334">
        <f t="shared" si="1"/>
        <v>-2.4421296296296309E-3</v>
      </c>
      <c r="I106" s="80"/>
    </row>
    <row r="107" spans="1:9" ht="14.25" customHeight="1" x14ac:dyDescent="0.2">
      <c r="A107" s="523">
        <v>43232</v>
      </c>
      <c r="B107" s="1051" t="s">
        <v>868</v>
      </c>
      <c r="C107" s="1052" t="s">
        <v>869</v>
      </c>
      <c r="D107" s="1">
        <v>2.2592592592592591E-2</v>
      </c>
      <c r="E107" s="80" t="s">
        <v>9307</v>
      </c>
      <c r="F107" s="69" t="s">
        <v>9788</v>
      </c>
      <c r="G107" s="82">
        <v>0.68079999999999996</v>
      </c>
      <c r="H107" s="334">
        <f t="shared" si="1"/>
        <v>6.5972222222222127E-4</v>
      </c>
      <c r="I107" s="80"/>
    </row>
    <row r="108" spans="1:9" ht="14.25" customHeight="1" x14ac:dyDescent="0.2">
      <c r="A108" s="523">
        <v>43225</v>
      </c>
      <c r="B108" s="1044" t="s">
        <v>868</v>
      </c>
      <c r="C108" s="1045" t="s">
        <v>869</v>
      </c>
      <c r="D108" s="1">
        <v>2.3252314814814812E-2</v>
      </c>
      <c r="E108" s="80" t="s">
        <v>5544</v>
      </c>
      <c r="F108" s="69" t="s">
        <v>9706</v>
      </c>
      <c r="G108" s="82">
        <v>0.66149999999999998</v>
      </c>
      <c r="H108" s="334">
        <f t="shared" si="1"/>
        <v>1.1574074074074091E-3</v>
      </c>
      <c r="I108" s="80"/>
    </row>
    <row r="109" spans="1:9" ht="14.25" customHeight="1" x14ac:dyDescent="0.2">
      <c r="A109" s="523">
        <v>43218</v>
      </c>
      <c r="B109" s="568" t="s">
        <v>868</v>
      </c>
      <c r="C109" s="861" t="s">
        <v>869</v>
      </c>
      <c r="D109" s="1">
        <v>2.4409722222222222E-2</v>
      </c>
      <c r="E109" s="80" t="s">
        <v>5544</v>
      </c>
      <c r="F109" s="69" t="s">
        <v>9677</v>
      </c>
      <c r="G109" s="82">
        <v>0.63019999999999998</v>
      </c>
      <c r="H109" s="334">
        <f t="shared" si="1"/>
        <v>-1.1342592592592619E-3</v>
      </c>
      <c r="I109" s="80"/>
    </row>
    <row r="110" spans="1:9" ht="14.25" customHeight="1" x14ac:dyDescent="0.2">
      <c r="A110" s="523">
        <v>43211</v>
      </c>
      <c r="B110" s="1038" t="s">
        <v>868</v>
      </c>
      <c r="C110" s="1039" t="s">
        <v>869</v>
      </c>
      <c r="D110" s="1">
        <v>2.327546296296296E-2</v>
      </c>
      <c r="E110" s="80" t="s">
        <v>5544</v>
      </c>
      <c r="F110" s="69" t="s">
        <v>9627</v>
      </c>
      <c r="G110" s="82">
        <v>0.66090000000000004</v>
      </c>
      <c r="H110" s="334">
        <f t="shared" si="1"/>
        <v>8.7384259259259307E-3</v>
      </c>
      <c r="I110" s="80" t="s">
        <v>9628</v>
      </c>
    </row>
    <row r="111" spans="1:9" ht="14.25" customHeight="1" x14ac:dyDescent="0.2">
      <c r="A111" s="523">
        <v>43204</v>
      </c>
      <c r="B111" s="80" t="s">
        <v>868</v>
      </c>
      <c r="C111" s="334" t="s">
        <v>869</v>
      </c>
      <c r="D111" s="1">
        <v>3.201388888888889E-2</v>
      </c>
      <c r="E111" s="80" t="s">
        <v>5544</v>
      </c>
      <c r="F111" s="69" t="s">
        <v>9606</v>
      </c>
      <c r="G111" s="82">
        <v>0.48049999999999998</v>
      </c>
      <c r="H111" s="334">
        <f t="shared" si="1"/>
        <v>-9.3865740740740715E-3</v>
      </c>
      <c r="I111" s="80"/>
    </row>
    <row r="112" spans="1:9" ht="14.25" customHeight="1" x14ac:dyDescent="0.2">
      <c r="A112" s="523">
        <v>43197</v>
      </c>
      <c r="B112" s="930" t="s">
        <v>868</v>
      </c>
      <c r="C112" s="931" t="s">
        <v>869</v>
      </c>
      <c r="D112" s="1">
        <v>2.2627314814814819E-2</v>
      </c>
      <c r="E112" s="80" t="s">
        <v>5544</v>
      </c>
      <c r="F112" s="69" t="s">
        <v>9549</v>
      </c>
      <c r="G112" s="82">
        <v>0.67979999999999996</v>
      </c>
      <c r="H112" s="334">
        <f t="shared" si="1"/>
        <v>4.5138888888888312E-4</v>
      </c>
      <c r="I112" s="80"/>
    </row>
    <row r="113" spans="1:10" ht="14.25" customHeight="1" x14ac:dyDescent="0.2">
      <c r="A113" s="523">
        <v>43190</v>
      </c>
      <c r="B113" s="1029" t="s">
        <v>868</v>
      </c>
      <c r="C113" s="1030" t="s">
        <v>869</v>
      </c>
      <c r="D113" s="1">
        <v>2.3078703703703702E-2</v>
      </c>
      <c r="E113" s="80" t="s">
        <v>5544</v>
      </c>
      <c r="F113" s="69" t="s">
        <v>9524</v>
      </c>
      <c r="G113" s="82">
        <v>0.66649999999999998</v>
      </c>
      <c r="H113" s="334">
        <f t="shared" si="1"/>
        <v>9.1435185185185369E-4</v>
      </c>
      <c r="I113" s="80"/>
    </row>
    <row r="114" spans="1:10" ht="14.25" customHeight="1" x14ac:dyDescent="0.2">
      <c r="A114" s="523">
        <v>43183</v>
      </c>
      <c r="B114" s="1019" t="s">
        <v>868</v>
      </c>
      <c r="C114" s="1020" t="s">
        <v>869</v>
      </c>
      <c r="D114" s="1">
        <v>2.3993055555555556E-2</v>
      </c>
      <c r="E114" s="80" t="s">
        <v>5544</v>
      </c>
      <c r="F114" s="69" t="s">
        <v>9481</v>
      </c>
      <c r="G114" s="82">
        <v>0.6411</v>
      </c>
      <c r="H114" s="334">
        <f t="shared" si="1"/>
        <v>5.7870370370367852E-5</v>
      </c>
      <c r="I114" s="80"/>
    </row>
    <row r="115" spans="1:10" ht="14.25" customHeight="1" x14ac:dyDescent="0.2">
      <c r="A115" s="523">
        <v>43176</v>
      </c>
      <c r="B115" s="532" t="s">
        <v>868</v>
      </c>
      <c r="C115" s="843" t="s">
        <v>869</v>
      </c>
      <c r="D115" s="1">
        <v>2.4050925925925924E-2</v>
      </c>
      <c r="E115" s="80" t="s">
        <v>5544</v>
      </c>
      <c r="F115" s="69" t="s">
        <v>3001</v>
      </c>
      <c r="G115" s="82">
        <v>0.63959999999999995</v>
      </c>
      <c r="H115" s="334">
        <f t="shared" si="1"/>
        <v>2.6041666666666678E-3</v>
      </c>
      <c r="I115" s="80"/>
      <c r="J115" s="80" t="s">
        <v>9460</v>
      </c>
    </row>
    <row r="116" spans="1:10" ht="14.25" customHeight="1" x14ac:dyDescent="0.2">
      <c r="A116" s="523">
        <v>43169</v>
      </c>
      <c r="B116" s="862" t="s">
        <v>868</v>
      </c>
      <c r="C116" s="863" t="s">
        <v>869</v>
      </c>
      <c r="D116" s="1">
        <v>2.6655092592592591E-2</v>
      </c>
      <c r="E116" s="80" t="s">
        <v>5544</v>
      </c>
      <c r="F116" s="69" t="s">
        <v>9414</v>
      </c>
      <c r="G116" s="82">
        <v>0.57709999999999995</v>
      </c>
      <c r="H116" s="334">
        <f t="shared" si="1"/>
        <v>-8.6805555555555247E-4</v>
      </c>
      <c r="I116" s="80"/>
    </row>
    <row r="117" spans="1:10" ht="14.25" customHeight="1" x14ac:dyDescent="0.2">
      <c r="A117" s="523">
        <v>43162</v>
      </c>
      <c r="B117" s="879" t="s">
        <v>868</v>
      </c>
      <c r="C117" s="880" t="s">
        <v>869</v>
      </c>
      <c r="D117" s="1">
        <v>2.5787037037037039E-2</v>
      </c>
      <c r="E117" s="80" t="s">
        <v>5456</v>
      </c>
      <c r="F117" s="69" t="s">
        <v>9390</v>
      </c>
      <c r="G117" s="82">
        <v>0.59650000000000003</v>
      </c>
      <c r="H117" s="334">
        <f t="shared" si="1"/>
        <v>-1.5972222222222221E-3</v>
      </c>
      <c r="I117" s="80"/>
    </row>
    <row r="118" spans="1:10" ht="14.25" customHeight="1" x14ac:dyDescent="0.2">
      <c r="A118" s="523">
        <v>43155</v>
      </c>
      <c r="B118" s="940" t="s">
        <v>868</v>
      </c>
      <c r="C118" s="941" t="s">
        <v>869</v>
      </c>
      <c r="D118" s="1">
        <v>2.4189814814814817E-2</v>
      </c>
      <c r="E118" s="80" t="s">
        <v>5544</v>
      </c>
      <c r="F118" s="69" t="s">
        <v>9318</v>
      </c>
      <c r="G118" s="82">
        <v>0.63590000000000002</v>
      </c>
      <c r="H118" s="334">
        <f t="shared" si="1"/>
        <v>4.6296296296296016E-4</v>
      </c>
      <c r="I118" s="80"/>
    </row>
    <row r="119" spans="1:10" ht="14.25" customHeight="1" x14ac:dyDescent="0.2">
      <c r="A119" s="523">
        <v>43148</v>
      </c>
      <c r="B119" s="568" t="s">
        <v>868</v>
      </c>
      <c r="C119" s="861" t="s">
        <v>869</v>
      </c>
      <c r="D119" s="114">
        <v>2.4652777777777777E-2</v>
      </c>
      <c r="E119" s="80" t="s">
        <v>5544</v>
      </c>
      <c r="F119" s="69" t="s">
        <v>9282</v>
      </c>
      <c r="G119" s="82">
        <v>0.62390000000000001</v>
      </c>
      <c r="H119" s="334">
        <f t="shared" si="1"/>
        <v>-1.6203703703703727E-3</v>
      </c>
      <c r="I119" s="80"/>
    </row>
    <row r="120" spans="1:10" ht="14.25" customHeight="1" x14ac:dyDescent="0.2">
      <c r="A120" s="523">
        <v>43141</v>
      </c>
      <c r="B120" s="987" t="s">
        <v>868</v>
      </c>
      <c r="C120" s="988" t="s">
        <v>869</v>
      </c>
      <c r="D120" s="1">
        <v>2.3032407407407404E-2</v>
      </c>
      <c r="E120" s="80" t="s">
        <v>5544</v>
      </c>
      <c r="F120" s="69" t="s">
        <v>9235</v>
      </c>
      <c r="G120" s="82">
        <v>0.66779999999999995</v>
      </c>
      <c r="H120" s="334">
        <f t="shared" si="1"/>
        <v>1.4236111111111151E-3</v>
      </c>
      <c r="I120" s="80"/>
      <c r="J120" t="s">
        <v>9249</v>
      </c>
    </row>
    <row r="121" spans="1:10" ht="14.25" customHeight="1" x14ac:dyDescent="0.2">
      <c r="A121" s="523">
        <v>43134</v>
      </c>
      <c r="B121" s="985" t="s">
        <v>868</v>
      </c>
      <c r="C121" s="986" t="s">
        <v>869</v>
      </c>
      <c r="D121" s="1">
        <v>2.4456018518518519E-2</v>
      </c>
      <c r="E121" s="80" t="s">
        <v>5544</v>
      </c>
      <c r="F121" s="69" t="s">
        <v>9193</v>
      </c>
      <c r="G121" s="82">
        <v>0.629</v>
      </c>
      <c r="H121" s="334">
        <f t="shared" si="1"/>
        <v>-1.2847222222222218E-3</v>
      </c>
      <c r="I121" s="80"/>
    </row>
    <row r="122" spans="1:10" ht="14.25" customHeight="1" x14ac:dyDescent="0.2">
      <c r="A122" s="523">
        <v>43127</v>
      </c>
      <c r="B122" s="862" t="s">
        <v>868</v>
      </c>
      <c r="C122" s="863" t="s">
        <v>869</v>
      </c>
      <c r="D122" s="1">
        <v>2.3171296296296297E-2</v>
      </c>
      <c r="E122" s="80" t="s">
        <v>5544</v>
      </c>
      <c r="F122" s="69" t="s">
        <v>2345</v>
      </c>
      <c r="G122" s="82">
        <v>0.66379999999999995</v>
      </c>
      <c r="H122" s="334">
        <f t="shared" si="1"/>
        <v>-5.671296296296327E-4</v>
      </c>
      <c r="I122" s="80"/>
    </row>
    <row r="123" spans="1:10" ht="14.25" customHeight="1" x14ac:dyDescent="0.2">
      <c r="A123" s="523">
        <v>43120</v>
      </c>
      <c r="B123" s="601" t="s">
        <v>868</v>
      </c>
      <c r="C123" s="958" t="s">
        <v>869</v>
      </c>
      <c r="D123" s="1">
        <v>2.2604166666666665E-2</v>
      </c>
      <c r="E123" s="80" t="s">
        <v>1401</v>
      </c>
      <c r="F123" s="69" t="s">
        <v>9094</v>
      </c>
      <c r="G123" s="82">
        <v>0.68049999999999999</v>
      </c>
      <c r="H123" s="334">
        <f t="shared" si="1"/>
        <v>2.3263888888888883E-3</v>
      </c>
      <c r="I123" s="80"/>
    </row>
    <row r="124" spans="1:10" ht="14.25" customHeight="1" x14ac:dyDescent="0.2">
      <c r="A124" s="523">
        <v>43113</v>
      </c>
      <c r="B124" s="972" t="s">
        <v>868</v>
      </c>
      <c r="C124" s="973" t="s">
        <v>869</v>
      </c>
      <c r="D124" s="1">
        <v>2.4930555555555553E-2</v>
      </c>
      <c r="E124" s="80" t="s">
        <v>5544</v>
      </c>
      <c r="F124" s="69" t="s">
        <v>9115</v>
      </c>
      <c r="G124" s="82">
        <v>0.61699999999999999</v>
      </c>
      <c r="H124" s="334">
        <f t="shared" si="1"/>
        <v>-1.5740740740740715E-3</v>
      </c>
      <c r="I124" s="80"/>
    </row>
    <row r="125" spans="1:10" ht="14.25" customHeight="1" x14ac:dyDescent="0.2">
      <c r="A125" s="523">
        <v>43106</v>
      </c>
      <c r="B125" s="869" t="s">
        <v>868</v>
      </c>
      <c r="C125" s="903" t="s">
        <v>869</v>
      </c>
      <c r="D125" s="1">
        <v>2.3356481481481482E-2</v>
      </c>
      <c r="E125" s="80" t="s">
        <v>5544</v>
      </c>
      <c r="F125" s="69" t="s">
        <v>9114</v>
      </c>
      <c r="G125" s="82">
        <v>0.65859999999999996</v>
      </c>
      <c r="H125" s="334">
        <f t="shared" si="1"/>
        <v>1.6435185185185164E-3</v>
      </c>
      <c r="I125" s="80"/>
    </row>
    <row r="126" spans="1:10" ht="14.25" customHeight="1" x14ac:dyDescent="0.2">
      <c r="A126" s="523">
        <v>43101</v>
      </c>
      <c r="B126" s="556" t="s">
        <v>868</v>
      </c>
      <c r="C126" s="950" t="s">
        <v>869</v>
      </c>
      <c r="D126" s="1">
        <v>2.4999999999999998E-2</v>
      </c>
      <c r="E126" s="80" t="s">
        <v>5453</v>
      </c>
      <c r="F126" s="69" t="s">
        <v>3472</v>
      </c>
      <c r="G126" s="82">
        <v>0.61529999999999996</v>
      </c>
      <c r="H126" s="334">
        <f t="shared" si="1"/>
        <v>-5.2083333333333148E-4</v>
      </c>
      <c r="I126" s="80"/>
    </row>
    <row r="127" spans="1:10" ht="14.25" customHeight="1" x14ac:dyDescent="0.2">
      <c r="A127" s="523">
        <v>43288</v>
      </c>
      <c r="B127" s="1077" t="s">
        <v>260</v>
      </c>
      <c r="C127" s="1077" t="s">
        <v>10204</v>
      </c>
      <c r="D127" s="1">
        <v>2.4479166666666666E-2</v>
      </c>
      <c r="E127" t="s">
        <v>5883</v>
      </c>
      <c r="F127" t="s">
        <v>10205</v>
      </c>
      <c r="G127" s="82">
        <v>0.52859999999999996</v>
      </c>
      <c r="H127" s="334">
        <f t="shared" si="1"/>
        <v>-4.6875000000000007E-3</v>
      </c>
    </row>
    <row r="128" spans="1:10" ht="14.25" customHeight="1" x14ac:dyDescent="0.2">
      <c r="A128" s="523">
        <v>43288</v>
      </c>
      <c r="B128" t="s">
        <v>481</v>
      </c>
      <c r="C128" t="s">
        <v>4575</v>
      </c>
      <c r="D128" s="1">
        <v>1.9791666666666666E-2</v>
      </c>
      <c r="E128" t="s">
        <v>4294</v>
      </c>
      <c r="F128" s="69" t="s">
        <v>10324</v>
      </c>
      <c r="G128" s="82">
        <v>0.50529999999999997</v>
      </c>
      <c r="H128" s="334">
        <f t="shared" si="1"/>
        <v>1.8865740740740718E-3</v>
      </c>
    </row>
    <row r="129" spans="1:9" ht="14.25" customHeight="1" x14ac:dyDescent="0.2">
      <c r="A129" s="523">
        <v>43253</v>
      </c>
      <c r="B129" t="s">
        <v>481</v>
      </c>
      <c r="C129" t="s">
        <v>4575</v>
      </c>
      <c r="D129" s="1">
        <v>2.1678240740740738E-2</v>
      </c>
      <c r="E129" t="s">
        <v>203</v>
      </c>
      <c r="F129" s="69" t="s">
        <v>10325</v>
      </c>
      <c r="G129" s="82">
        <v>0.46129999999999999</v>
      </c>
      <c r="H129" s="334">
        <f t="shared" si="1"/>
        <v>-4.4212962962962912E-3</v>
      </c>
    </row>
    <row r="130" spans="1:9" ht="14.25" customHeight="1" x14ac:dyDescent="0.2">
      <c r="A130" s="523">
        <v>43239</v>
      </c>
      <c r="B130" t="s">
        <v>481</v>
      </c>
      <c r="C130" t="s">
        <v>4575</v>
      </c>
      <c r="D130" s="1">
        <v>1.7256944444444446E-2</v>
      </c>
      <c r="E130" t="s">
        <v>10323</v>
      </c>
      <c r="F130" s="69" t="s">
        <v>10328</v>
      </c>
      <c r="G130" s="82">
        <v>0.57950000000000002</v>
      </c>
      <c r="H130" s="334">
        <f t="shared" si="1"/>
        <v>3.4722222222220711E-5</v>
      </c>
    </row>
    <row r="131" spans="1:9" ht="14.25" customHeight="1" x14ac:dyDescent="0.2">
      <c r="A131" s="523">
        <v>43218</v>
      </c>
      <c r="B131" t="s">
        <v>481</v>
      </c>
      <c r="C131" t="s">
        <v>4575</v>
      </c>
      <c r="D131" s="1">
        <v>1.7291666666666667E-2</v>
      </c>
      <c r="E131" t="s">
        <v>203</v>
      </c>
      <c r="F131" s="69" t="s">
        <v>10326</v>
      </c>
      <c r="G131" s="82">
        <v>0.57830000000000004</v>
      </c>
      <c r="H131" s="334">
        <f t="shared" si="1"/>
        <v>1.4583333333333323E-3</v>
      </c>
    </row>
    <row r="132" spans="1:9" ht="14.25" customHeight="1" x14ac:dyDescent="0.2">
      <c r="A132" s="523">
        <v>43197</v>
      </c>
      <c r="B132" t="s">
        <v>481</v>
      </c>
      <c r="C132" t="s">
        <v>4575</v>
      </c>
      <c r="D132" s="1">
        <v>1.8749999999999999E-2</v>
      </c>
      <c r="E132" t="s">
        <v>203</v>
      </c>
      <c r="F132" s="69" t="s">
        <v>10327</v>
      </c>
      <c r="G132" s="82">
        <v>0.5333</v>
      </c>
      <c r="H132" s="334">
        <f t="shared" si="1"/>
        <v>-2.1990740740740478E-4</v>
      </c>
    </row>
    <row r="133" spans="1:9" ht="14.25" customHeight="1" x14ac:dyDescent="0.2">
      <c r="A133" s="523">
        <v>43113</v>
      </c>
      <c r="B133" t="s">
        <v>481</v>
      </c>
      <c r="C133" t="s">
        <v>4575</v>
      </c>
      <c r="D133" s="1">
        <v>1.8530092592592595E-2</v>
      </c>
      <c r="E133" t="s">
        <v>203</v>
      </c>
      <c r="F133" t="s">
        <v>4345</v>
      </c>
      <c r="G133" s="82">
        <v>0.53969999999999996</v>
      </c>
      <c r="H133" s="334">
        <f t="shared" si="1"/>
        <v>-1.0763888888888906E-3</v>
      </c>
    </row>
    <row r="134" spans="1:9" ht="14.25" customHeight="1" x14ac:dyDescent="0.2">
      <c r="A134" s="523">
        <v>43344</v>
      </c>
      <c r="B134" s="552" t="s">
        <v>1840</v>
      </c>
      <c r="C134" s="552" t="s">
        <v>1841</v>
      </c>
      <c r="D134" s="1">
        <v>1.7453703703703704E-2</v>
      </c>
      <c r="E134" t="s">
        <v>4974</v>
      </c>
      <c r="F134" t="s">
        <v>10528</v>
      </c>
      <c r="G134" s="82">
        <v>0.59619999999999995</v>
      </c>
      <c r="H134" s="334">
        <f t="shared" ref="H134:H165" si="2">D135-D134</f>
        <v>1.1805555555555527E-3</v>
      </c>
      <c r="I134" t="s">
        <v>10529</v>
      </c>
    </row>
    <row r="135" spans="1:9" ht="14.25" customHeight="1" x14ac:dyDescent="0.2">
      <c r="A135" s="523">
        <v>43183</v>
      </c>
      <c r="B135" s="1019" t="s">
        <v>1840</v>
      </c>
      <c r="C135" s="1020" t="s">
        <v>1841</v>
      </c>
      <c r="D135" s="1">
        <v>1.8634259259259257E-2</v>
      </c>
      <c r="E135" s="80" t="s">
        <v>9144</v>
      </c>
      <c r="F135" s="69" t="s">
        <v>9485</v>
      </c>
      <c r="G135" s="82">
        <v>0.55840000000000001</v>
      </c>
      <c r="H135" s="334">
        <f t="shared" si="2"/>
        <v>-1.4351851851851852E-3</v>
      </c>
      <c r="I135" s="80"/>
    </row>
    <row r="136" spans="1:9" ht="14.25" customHeight="1" x14ac:dyDescent="0.2">
      <c r="A136" s="523">
        <v>43463</v>
      </c>
      <c r="B136" s="862" t="s">
        <v>4015</v>
      </c>
      <c r="C136" s="862" t="s">
        <v>10861</v>
      </c>
      <c r="D136" s="1">
        <v>1.7199074074074071E-2</v>
      </c>
      <c r="E136" s="80" t="s">
        <v>10983</v>
      </c>
      <c r="F136" s="80" t="s">
        <v>11410</v>
      </c>
      <c r="G136" s="82">
        <v>0.62580000000000002</v>
      </c>
      <c r="H136" s="334">
        <f t="shared" si="2"/>
        <v>-3.4722222222220711E-5</v>
      </c>
    </row>
    <row r="137" spans="1:9" ht="14.25" customHeight="1" x14ac:dyDescent="0.2">
      <c r="A137" s="523">
        <v>43449</v>
      </c>
      <c r="B137" s="1029" t="s">
        <v>4015</v>
      </c>
      <c r="C137" s="1029" t="s">
        <v>10861</v>
      </c>
      <c r="D137" s="1">
        <v>1.7164351851851851E-2</v>
      </c>
      <c r="E137" s="80" t="s">
        <v>10983</v>
      </c>
      <c r="F137" s="80" t="s">
        <v>11289</v>
      </c>
      <c r="G137" s="82">
        <v>0.62709999999999999</v>
      </c>
      <c r="H137" s="334">
        <f t="shared" si="2"/>
        <v>-1.6203703703703692E-4</v>
      </c>
    </row>
    <row r="138" spans="1:9" ht="14.25" customHeight="1" x14ac:dyDescent="0.2">
      <c r="A138" s="523">
        <v>43428</v>
      </c>
      <c r="B138" s="1038" t="s">
        <v>4015</v>
      </c>
      <c r="C138" s="1038" t="s">
        <v>10861</v>
      </c>
      <c r="D138" s="1">
        <v>1.7002314814814814E-2</v>
      </c>
      <c r="E138" s="80" t="s">
        <v>10983</v>
      </c>
      <c r="F138" s="80" t="s">
        <v>11126</v>
      </c>
      <c r="G138" s="82">
        <v>0.6331</v>
      </c>
      <c r="H138" s="334">
        <f t="shared" si="2"/>
        <v>3.4722222222224181E-5</v>
      </c>
      <c r="I138" t="s">
        <v>2629</v>
      </c>
    </row>
    <row r="139" spans="1:9" ht="14.25" customHeight="1" x14ac:dyDescent="0.2">
      <c r="A139" s="523">
        <v>43421</v>
      </c>
      <c r="B139" s="906" t="s">
        <v>4015</v>
      </c>
      <c r="C139" s="906" t="s">
        <v>10861</v>
      </c>
      <c r="D139" s="1">
        <v>1.7037037037037038E-2</v>
      </c>
      <c r="E139" s="80" t="s">
        <v>10983</v>
      </c>
      <c r="F139" s="80" t="s">
        <v>9478</v>
      </c>
      <c r="G139" s="82">
        <v>0.63180000000000003</v>
      </c>
      <c r="H139" s="334">
        <f t="shared" si="2"/>
        <v>8.1018518518518462E-4</v>
      </c>
    </row>
    <row r="140" spans="1:9" ht="14.25" customHeight="1" x14ac:dyDescent="0.2">
      <c r="A140" s="523">
        <v>43414</v>
      </c>
      <c r="B140" s="862" t="s">
        <v>4015</v>
      </c>
      <c r="C140" s="862" t="s">
        <v>10861</v>
      </c>
      <c r="D140" s="1">
        <v>1.7847222222222223E-2</v>
      </c>
      <c r="E140" s="80" t="s">
        <v>5198</v>
      </c>
      <c r="F140" s="80" t="s">
        <v>11003</v>
      </c>
      <c r="G140" s="82">
        <v>0.60309999999999997</v>
      </c>
      <c r="H140" s="334">
        <f t="shared" si="2"/>
        <v>7.1759259259259259E-4</v>
      </c>
    </row>
    <row r="141" spans="1:9" ht="14.25" customHeight="1" x14ac:dyDescent="0.2">
      <c r="A141" s="523">
        <v>43407</v>
      </c>
      <c r="B141" s="80" t="s">
        <v>4015</v>
      </c>
      <c r="C141" s="80" t="s">
        <v>10861</v>
      </c>
      <c r="D141" s="1">
        <v>1.8564814814814815E-2</v>
      </c>
      <c r="E141" s="80" t="s">
        <v>1982</v>
      </c>
      <c r="F141" s="80" t="s">
        <v>10974</v>
      </c>
      <c r="G141" s="82">
        <v>0.57979999999999998</v>
      </c>
      <c r="H141" s="334">
        <f t="shared" si="2"/>
        <v>-5.7870370370371321E-5</v>
      </c>
      <c r="I141" t="s">
        <v>10975</v>
      </c>
    </row>
    <row r="142" spans="1:9" ht="14.25" customHeight="1" x14ac:dyDescent="0.2">
      <c r="A142" s="523">
        <v>43449</v>
      </c>
      <c r="B142" s="1029" t="s">
        <v>3251</v>
      </c>
      <c r="C142" s="1029" t="s">
        <v>3252</v>
      </c>
      <c r="D142" s="1">
        <v>1.8506944444444444E-2</v>
      </c>
      <c r="E142" s="80" t="s">
        <v>10622</v>
      </c>
      <c r="F142" s="80" t="s">
        <v>11280</v>
      </c>
      <c r="G142" s="82">
        <v>0.73040000000000005</v>
      </c>
      <c r="H142" s="334" t="e">
        <f t="shared" si="2"/>
        <v>#VALUE!</v>
      </c>
      <c r="I142" t="s">
        <v>11312</v>
      </c>
    </row>
    <row r="143" spans="1:9" ht="14.25" customHeight="1" x14ac:dyDescent="0.2">
      <c r="A143" s="33">
        <v>43435</v>
      </c>
      <c r="B143" s="1164" t="s">
        <v>3251</v>
      </c>
      <c r="C143" s="1184" t="s">
        <v>3252</v>
      </c>
      <c r="D143" s="80" t="s">
        <v>787</v>
      </c>
      <c r="E143" s="80" t="s">
        <v>11027</v>
      </c>
      <c r="F143" s="69" t="s">
        <v>4185</v>
      </c>
      <c r="G143" s="69"/>
      <c r="H143" s="334" t="e">
        <f t="shared" si="2"/>
        <v>#VALUE!</v>
      </c>
    </row>
    <row r="144" spans="1:9" ht="14.25" customHeight="1" x14ac:dyDescent="0.2">
      <c r="A144" s="523">
        <v>43428</v>
      </c>
      <c r="B144" s="1038" t="s">
        <v>3251</v>
      </c>
      <c r="C144" s="1038" t="s">
        <v>3252</v>
      </c>
      <c r="D144" s="1">
        <v>1.8483796296296297E-2</v>
      </c>
      <c r="E144" s="80" t="s">
        <v>10192</v>
      </c>
      <c r="F144" s="80" t="s">
        <v>11098</v>
      </c>
      <c r="G144" s="82">
        <v>0.73950000000000005</v>
      </c>
      <c r="H144" s="334">
        <f t="shared" si="2"/>
        <v>1.0949074074074073E-2</v>
      </c>
      <c r="I144" t="s">
        <v>6037</v>
      </c>
    </row>
    <row r="145" spans="1:9" ht="14.25" customHeight="1" x14ac:dyDescent="0.2">
      <c r="A145" s="523">
        <v>43421</v>
      </c>
      <c r="B145" s="906" t="s">
        <v>3251</v>
      </c>
      <c r="C145" s="906" t="s">
        <v>3252</v>
      </c>
      <c r="D145" s="1">
        <v>2.943287037037037E-2</v>
      </c>
      <c r="E145" s="80" t="s">
        <v>11027</v>
      </c>
      <c r="F145" s="80" t="s">
        <v>11029</v>
      </c>
      <c r="G145" s="82">
        <v>0.46439999999999998</v>
      </c>
      <c r="H145" s="334">
        <f t="shared" si="2"/>
        <v>-1.0601851851851852E-2</v>
      </c>
    </row>
    <row r="146" spans="1:9" ht="14.25" customHeight="1" x14ac:dyDescent="0.2">
      <c r="A146" s="523">
        <v>43407</v>
      </c>
      <c r="B146" s="901" t="s">
        <v>3251</v>
      </c>
      <c r="C146" s="901" t="s">
        <v>3252</v>
      </c>
      <c r="D146" s="1">
        <v>1.8831018518518518E-2</v>
      </c>
      <c r="E146" s="80" t="s">
        <v>5347</v>
      </c>
      <c r="F146" s="80" t="s">
        <v>10952</v>
      </c>
      <c r="G146" s="82">
        <v>0.72589999999999999</v>
      </c>
      <c r="H146" s="334">
        <f t="shared" si="2"/>
        <v>1.1041666666666665E-2</v>
      </c>
      <c r="I146" s="80" t="s">
        <v>10953</v>
      </c>
    </row>
    <row r="147" spans="1:9" ht="14.25" customHeight="1" x14ac:dyDescent="0.2">
      <c r="A147" s="523">
        <v>43400</v>
      </c>
      <c r="B147" s="556" t="s">
        <v>3251</v>
      </c>
      <c r="C147" s="556" t="s">
        <v>3252</v>
      </c>
      <c r="D147" s="1">
        <v>2.9872685185185183E-2</v>
      </c>
      <c r="E147" s="80" t="s">
        <v>10622</v>
      </c>
      <c r="F147" s="80" t="s">
        <v>8160</v>
      </c>
      <c r="G147" s="82">
        <v>0.45760000000000001</v>
      </c>
      <c r="H147" s="334">
        <f t="shared" si="2"/>
        <v>-1.1747685185185184E-2</v>
      </c>
    </row>
    <row r="148" spans="1:9" ht="14.25" customHeight="1" x14ac:dyDescent="0.2">
      <c r="A148" s="523">
        <v>43393</v>
      </c>
      <c r="B148" s="862" t="s">
        <v>3251</v>
      </c>
      <c r="C148" s="862" t="s">
        <v>3252</v>
      </c>
      <c r="D148" s="334">
        <v>1.8124999999999999E-2</v>
      </c>
      <c r="E148" s="80" t="s">
        <v>9494</v>
      </c>
      <c r="F148" s="80" t="s">
        <v>10848</v>
      </c>
      <c r="G148" s="82">
        <v>0.75419999999999998</v>
      </c>
      <c r="H148" s="334">
        <f t="shared" si="2"/>
        <v>1.1805555555555562E-3</v>
      </c>
    </row>
    <row r="149" spans="1:9" ht="14.25" customHeight="1" x14ac:dyDescent="0.2">
      <c r="A149" s="34">
        <v>43372</v>
      </c>
      <c r="B149" s="532" t="s">
        <v>3251</v>
      </c>
      <c r="C149" s="532" t="s">
        <v>3252</v>
      </c>
      <c r="D149" s="1">
        <v>1.9305555555555555E-2</v>
      </c>
      <c r="E149" s="80" t="s">
        <v>10622</v>
      </c>
      <c r="F149" s="80" t="s">
        <v>10740</v>
      </c>
      <c r="G149" s="82">
        <v>0.70799999999999996</v>
      </c>
      <c r="H149" s="334">
        <f t="shared" si="2"/>
        <v>1.2152777777777769E-3</v>
      </c>
    </row>
    <row r="150" spans="1:9" ht="14.25" customHeight="1" x14ac:dyDescent="0.2">
      <c r="A150" s="34">
        <v>43365</v>
      </c>
      <c r="B150" s="556" t="s">
        <v>3251</v>
      </c>
      <c r="C150" s="556" t="s">
        <v>3252</v>
      </c>
      <c r="D150" s="1">
        <v>2.0520833333333332E-2</v>
      </c>
      <c r="E150" s="80" t="s">
        <v>5653</v>
      </c>
      <c r="F150" s="80" t="s">
        <v>10698</v>
      </c>
      <c r="G150" s="82">
        <v>0.68940000000000001</v>
      </c>
      <c r="H150" s="334">
        <f t="shared" si="2"/>
        <v>1.3553240740740744E-2</v>
      </c>
    </row>
    <row r="151" spans="1:9" ht="14.25" customHeight="1" x14ac:dyDescent="0.2">
      <c r="A151" s="523">
        <v>43358</v>
      </c>
      <c r="B151" s="1127" t="s">
        <v>3251</v>
      </c>
      <c r="C151" s="1127" t="s">
        <v>3252</v>
      </c>
      <c r="D151" s="1">
        <v>3.4074074074074076E-2</v>
      </c>
      <c r="E151" t="s">
        <v>10622</v>
      </c>
      <c r="F151" t="s">
        <v>8160</v>
      </c>
      <c r="G151" s="82">
        <v>0.4012</v>
      </c>
      <c r="H151" s="334" t="e">
        <f t="shared" si="2"/>
        <v>#VALUE!</v>
      </c>
    </row>
    <row r="152" spans="1:9" ht="14.25" customHeight="1" x14ac:dyDescent="0.2">
      <c r="A152" s="523">
        <v>43330</v>
      </c>
      <c r="B152" s="1099" t="s">
        <v>3251</v>
      </c>
      <c r="C152" s="1099" t="s">
        <v>3252</v>
      </c>
      <c r="D152" s="334" t="s">
        <v>787</v>
      </c>
      <c r="E152" s="80" t="s">
        <v>10464</v>
      </c>
      <c r="F152" s="80" t="s">
        <v>10471</v>
      </c>
      <c r="G152" s="82"/>
      <c r="H152" s="334" t="e">
        <f t="shared" si="2"/>
        <v>#VALUE!</v>
      </c>
    </row>
    <row r="153" spans="1:9" ht="14.25" customHeight="1" x14ac:dyDescent="0.2">
      <c r="A153" s="523">
        <v>43295</v>
      </c>
      <c r="B153" s="601" t="s">
        <v>3251</v>
      </c>
      <c r="C153" s="601" t="s">
        <v>3252</v>
      </c>
      <c r="D153" s="1">
        <v>2.1782407407407407E-2</v>
      </c>
      <c r="E153" s="80" t="s">
        <v>8116</v>
      </c>
      <c r="F153" s="80" t="s">
        <v>10236</v>
      </c>
      <c r="G153" s="82">
        <v>0.61850000000000005</v>
      </c>
      <c r="H153" s="334">
        <f t="shared" si="2"/>
        <v>-3.1249999999999993E-3</v>
      </c>
    </row>
    <row r="154" spans="1:9" ht="14.25" customHeight="1" x14ac:dyDescent="0.2">
      <c r="A154" s="523">
        <v>43288</v>
      </c>
      <c r="B154" s="1077" t="s">
        <v>3251</v>
      </c>
      <c r="C154" s="1077" t="s">
        <v>3252</v>
      </c>
      <c r="D154" s="1">
        <v>1.8657407407407407E-2</v>
      </c>
      <c r="E154" t="s">
        <v>5883</v>
      </c>
      <c r="F154" t="s">
        <v>10203</v>
      </c>
      <c r="G154" s="82">
        <v>0.72660000000000002</v>
      </c>
      <c r="H154" s="334">
        <f t="shared" si="2"/>
        <v>-1.0300925925925929E-3</v>
      </c>
    </row>
    <row r="155" spans="1:9" ht="14.25" customHeight="1" x14ac:dyDescent="0.2">
      <c r="A155" s="523">
        <v>43253</v>
      </c>
      <c r="B155" s="901" t="s">
        <v>3251</v>
      </c>
      <c r="C155" s="902" t="s">
        <v>3252</v>
      </c>
      <c r="D155" s="1">
        <v>1.7627314814814814E-2</v>
      </c>
      <c r="E155" s="80" t="s">
        <v>4727</v>
      </c>
      <c r="F155" s="69" t="s">
        <v>9854</v>
      </c>
      <c r="G155" s="82">
        <v>0.76429999999999998</v>
      </c>
      <c r="H155" s="334">
        <f t="shared" si="2"/>
        <v>2.3148148148148182E-4</v>
      </c>
      <c r="I155" s="80"/>
    </row>
    <row r="156" spans="1:9" ht="14.25" customHeight="1" x14ac:dyDescent="0.2">
      <c r="A156" s="523">
        <v>43246</v>
      </c>
      <c r="B156" s="601" t="s">
        <v>3251</v>
      </c>
      <c r="C156" s="958" t="s">
        <v>3252</v>
      </c>
      <c r="D156" s="1">
        <v>1.7858796296296296E-2</v>
      </c>
      <c r="E156" s="80" t="s">
        <v>4727</v>
      </c>
      <c r="F156" s="69" t="s">
        <v>9854</v>
      </c>
      <c r="G156" s="82">
        <v>0.75439999999999996</v>
      </c>
      <c r="H156" s="334">
        <f t="shared" si="2"/>
        <v>6.2500000000000056E-4</v>
      </c>
      <c r="I156" s="80"/>
    </row>
    <row r="157" spans="1:9" ht="14.25" customHeight="1" x14ac:dyDescent="0.2">
      <c r="A157" s="523">
        <v>43239</v>
      </c>
      <c r="B157" s="80" t="s">
        <v>3251</v>
      </c>
      <c r="C157" s="334" t="s">
        <v>3252</v>
      </c>
      <c r="D157" s="1">
        <v>1.8483796296296297E-2</v>
      </c>
      <c r="E157" s="80" t="s">
        <v>9735</v>
      </c>
      <c r="F157" s="69" t="s">
        <v>9838</v>
      </c>
      <c r="G157" s="82">
        <v>0.72889999999999999</v>
      </c>
      <c r="H157" s="334">
        <f t="shared" si="2"/>
        <v>-8.1018518518518462E-5</v>
      </c>
      <c r="I157" s="80" t="s">
        <v>9846</v>
      </c>
    </row>
    <row r="158" spans="1:9" ht="14.25" customHeight="1" x14ac:dyDescent="0.2">
      <c r="A158" s="523">
        <v>43232</v>
      </c>
      <c r="B158" s="1051" t="s">
        <v>3251</v>
      </c>
      <c r="C158" s="1052" t="s">
        <v>3252</v>
      </c>
      <c r="D158" s="1">
        <v>1.8402777777777778E-2</v>
      </c>
      <c r="E158" s="80" t="s">
        <v>4727</v>
      </c>
      <c r="F158" s="69" t="s">
        <v>9779</v>
      </c>
      <c r="G158" s="82">
        <v>0.73209999999999997</v>
      </c>
      <c r="H158" s="334">
        <f t="shared" si="2"/>
        <v>7.523148148148133E-4</v>
      </c>
      <c r="I158" s="80"/>
    </row>
    <row r="159" spans="1:9" ht="14.25" customHeight="1" x14ac:dyDescent="0.2">
      <c r="A159" s="523">
        <v>43225</v>
      </c>
      <c r="B159" s="1044" t="s">
        <v>3251</v>
      </c>
      <c r="C159" s="1045" t="s">
        <v>3252</v>
      </c>
      <c r="D159" s="1">
        <v>1.9155092592592592E-2</v>
      </c>
      <c r="E159" s="80" t="s">
        <v>5948</v>
      </c>
      <c r="F159" s="69" t="s">
        <v>9714</v>
      </c>
      <c r="G159" s="82">
        <v>0.70330000000000004</v>
      </c>
      <c r="H159" s="334">
        <f t="shared" si="2"/>
        <v>-7.0601851851851902E-4</v>
      </c>
      <c r="I159" s="80"/>
    </row>
    <row r="160" spans="1:9" ht="14.25" customHeight="1" x14ac:dyDescent="0.2">
      <c r="A160" s="523">
        <v>43211</v>
      </c>
      <c r="B160" s="1038" t="s">
        <v>3251</v>
      </c>
      <c r="C160" s="1039" t="s">
        <v>3252</v>
      </c>
      <c r="D160" s="1">
        <v>1.8449074074074073E-2</v>
      </c>
      <c r="E160" s="80" t="s">
        <v>5653</v>
      </c>
      <c r="F160" s="69" t="s">
        <v>9640</v>
      </c>
      <c r="G160" s="82">
        <v>0.73019999999999996</v>
      </c>
      <c r="H160" s="334">
        <f t="shared" si="2"/>
        <v>5.7870370370371321E-5</v>
      </c>
      <c r="I160" s="80"/>
    </row>
    <row r="161" spans="1:9" ht="14.25" customHeight="1" x14ac:dyDescent="0.2">
      <c r="A161" s="523">
        <v>43204</v>
      </c>
      <c r="B161" s="80" t="s">
        <v>3251</v>
      </c>
      <c r="C161" s="334" t="s">
        <v>3252</v>
      </c>
      <c r="D161" s="1">
        <v>1.8506944444444444E-2</v>
      </c>
      <c r="E161" s="80" t="s">
        <v>4727</v>
      </c>
      <c r="F161" s="69" t="s">
        <v>9596</v>
      </c>
      <c r="G161" s="82">
        <v>0.72799999999999998</v>
      </c>
      <c r="H161" s="334">
        <f t="shared" si="2"/>
        <v>1.412037037037038E-3</v>
      </c>
      <c r="I161" s="80"/>
    </row>
    <row r="162" spans="1:9" ht="14.25" customHeight="1" x14ac:dyDescent="0.2">
      <c r="A162" s="523">
        <v>43197</v>
      </c>
      <c r="B162" s="930" t="s">
        <v>3251</v>
      </c>
      <c r="C162" s="931" t="s">
        <v>3252</v>
      </c>
      <c r="D162" s="1">
        <v>1.9918981481481482E-2</v>
      </c>
      <c r="E162" s="80" t="s">
        <v>4727</v>
      </c>
      <c r="F162" s="69" t="s">
        <v>9566</v>
      </c>
      <c r="G162" s="82">
        <v>0.6764</v>
      </c>
      <c r="H162" s="334">
        <f t="shared" si="2"/>
        <v>-7.1759259259259259E-4</v>
      </c>
      <c r="I162" s="80"/>
    </row>
    <row r="163" spans="1:9" ht="14.25" customHeight="1" x14ac:dyDescent="0.2">
      <c r="A163" s="523">
        <v>43176</v>
      </c>
      <c r="B163" s="532" t="s">
        <v>3251</v>
      </c>
      <c r="C163" s="843" t="s">
        <v>3252</v>
      </c>
      <c r="D163" s="1">
        <v>1.9201388888888889E-2</v>
      </c>
      <c r="E163" s="80" t="s">
        <v>5544</v>
      </c>
      <c r="F163" s="69" t="s">
        <v>9443</v>
      </c>
      <c r="G163" s="82">
        <v>0.7016</v>
      </c>
      <c r="H163" s="334">
        <f t="shared" si="2"/>
        <v>5.0925925925925791E-4</v>
      </c>
      <c r="I163" s="80"/>
    </row>
    <row r="164" spans="1:9" ht="14.25" customHeight="1" x14ac:dyDescent="0.2">
      <c r="A164" s="523">
        <v>43169</v>
      </c>
      <c r="B164" s="862" t="s">
        <v>3251</v>
      </c>
      <c r="C164" s="863" t="s">
        <v>3252</v>
      </c>
      <c r="D164" s="1">
        <v>1.9710648148148147E-2</v>
      </c>
      <c r="E164" s="80" t="s">
        <v>2818</v>
      </c>
      <c r="F164" s="69" t="s">
        <v>6128</v>
      </c>
      <c r="G164" s="82">
        <v>0.6835</v>
      </c>
      <c r="H164" s="334">
        <f t="shared" si="2"/>
        <v>-1.307870370370369E-3</v>
      </c>
      <c r="I164" s="80"/>
    </row>
    <row r="165" spans="1:9" ht="14.25" customHeight="1" x14ac:dyDescent="0.2">
      <c r="A165" s="523">
        <v>43134</v>
      </c>
      <c r="B165" s="985" t="s">
        <v>3251</v>
      </c>
      <c r="C165" s="986" t="s">
        <v>3252</v>
      </c>
      <c r="D165" s="1">
        <v>1.8402777777777778E-2</v>
      </c>
      <c r="E165" s="80" t="s">
        <v>5095</v>
      </c>
      <c r="F165" s="69" t="s">
        <v>9196</v>
      </c>
      <c r="G165" s="82">
        <v>0.73209999999999997</v>
      </c>
      <c r="H165" s="334">
        <f t="shared" si="2"/>
        <v>-3.4722222222224181E-5</v>
      </c>
      <c r="I165" s="80"/>
    </row>
    <row r="166" spans="1:9" ht="14.25" customHeight="1" x14ac:dyDescent="0.2">
      <c r="A166" s="523">
        <v>43113</v>
      </c>
      <c r="B166" s="972" t="s">
        <v>3251</v>
      </c>
      <c r="C166" s="973" t="s">
        <v>3252</v>
      </c>
      <c r="D166" s="1">
        <v>1.8368055555555554E-2</v>
      </c>
      <c r="E166" s="80" t="s">
        <v>4727</v>
      </c>
      <c r="F166" s="69" t="s">
        <v>9121</v>
      </c>
      <c r="G166" s="82">
        <v>0.73350000000000004</v>
      </c>
      <c r="H166" s="334">
        <f t="shared" ref="H166:H173" si="3">D167-D166</f>
        <v>5.5555555555555566E-4</v>
      </c>
      <c r="I166" s="80"/>
    </row>
    <row r="167" spans="1:9" ht="14.25" customHeight="1" x14ac:dyDescent="0.2">
      <c r="A167" s="523">
        <v>43106</v>
      </c>
      <c r="B167" s="869" t="s">
        <v>3251</v>
      </c>
      <c r="C167" s="903" t="s">
        <v>3252</v>
      </c>
      <c r="D167" s="1">
        <v>1.892361111111111E-2</v>
      </c>
      <c r="E167" s="80" t="s">
        <v>4727</v>
      </c>
      <c r="F167" s="69" t="s">
        <v>1098</v>
      </c>
      <c r="G167" s="82">
        <v>0.71189999999999998</v>
      </c>
      <c r="H167" s="334">
        <f t="shared" si="3"/>
        <v>5.7870370370371321E-5</v>
      </c>
      <c r="I167" s="80"/>
    </row>
    <row r="168" spans="1:9" ht="14.25" customHeight="1" x14ac:dyDescent="0.2">
      <c r="A168" s="523">
        <v>43101</v>
      </c>
      <c r="B168" s="556" t="s">
        <v>3251</v>
      </c>
      <c r="C168" s="950" t="s">
        <v>3252</v>
      </c>
      <c r="D168" s="1">
        <v>1.8981481481481481E-2</v>
      </c>
      <c r="E168" s="80" t="s">
        <v>4727</v>
      </c>
      <c r="F168" s="69" t="s">
        <v>9035</v>
      </c>
      <c r="G168" s="82">
        <v>0.70979999999999999</v>
      </c>
      <c r="H168" s="334">
        <f t="shared" si="3"/>
        <v>9.2592592592592032E-5</v>
      </c>
      <c r="I168" s="80"/>
    </row>
    <row r="169" spans="1:9" ht="14.25" customHeight="1" x14ac:dyDescent="0.2">
      <c r="A169" s="523">
        <v>43101</v>
      </c>
      <c r="B169" s="556" t="s">
        <v>3251</v>
      </c>
      <c r="C169" s="950" t="s">
        <v>3252</v>
      </c>
      <c r="D169" s="334">
        <v>1.9074074074074073E-2</v>
      </c>
      <c r="E169" s="80" t="s">
        <v>3072</v>
      </c>
      <c r="F169" s="69" t="s">
        <v>9040</v>
      </c>
      <c r="G169" s="82">
        <v>0.70630000000000004</v>
      </c>
      <c r="H169" s="334">
        <f t="shared" si="3"/>
        <v>-1.3541666666666667E-3</v>
      </c>
      <c r="I169" s="80"/>
    </row>
    <row r="170" spans="1:9" ht="14.25" customHeight="1" x14ac:dyDescent="0.2">
      <c r="A170" s="523">
        <v>43302</v>
      </c>
      <c r="B170" s="985" t="s">
        <v>9231</v>
      </c>
      <c r="C170" s="985" t="s">
        <v>3252</v>
      </c>
      <c r="D170" s="1">
        <v>1.7719907407407406E-2</v>
      </c>
      <c r="E170" s="80" t="s">
        <v>2596</v>
      </c>
      <c r="F170" s="80" t="s">
        <v>10311</v>
      </c>
      <c r="G170" s="82">
        <v>0.76029999999999998</v>
      </c>
      <c r="H170" s="334">
        <f t="shared" si="3"/>
        <v>2.6851851851851863E-3</v>
      </c>
    </row>
    <row r="171" spans="1:9" ht="14.25" customHeight="1" x14ac:dyDescent="0.2">
      <c r="A171" s="523">
        <v>43141</v>
      </c>
      <c r="B171" s="987" t="s">
        <v>9231</v>
      </c>
      <c r="C171" s="988" t="s">
        <v>3252</v>
      </c>
      <c r="D171" s="1">
        <v>2.0405092592592593E-2</v>
      </c>
      <c r="E171" s="80" t="s">
        <v>8116</v>
      </c>
      <c r="F171" s="69" t="s">
        <v>9233</v>
      </c>
      <c r="G171" s="82">
        <v>0.66020000000000001</v>
      </c>
      <c r="H171" s="334" t="e">
        <f t="shared" si="3"/>
        <v>#VALUE!</v>
      </c>
      <c r="I171" s="80"/>
    </row>
    <row r="172" spans="1:9" ht="14.25" customHeight="1" x14ac:dyDescent="0.2">
      <c r="A172" s="523">
        <v>43358</v>
      </c>
      <c r="B172" s="1127" t="s">
        <v>866</v>
      </c>
      <c r="C172" s="1127" t="s">
        <v>3252</v>
      </c>
      <c r="D172" s="1" t="s">
        <v>787</v>
      </c>
      <c r="E172" t="s">
        <v>10622</v>
      </c>
      <c r="F172" s="80" t="s">
        <v>10471</v>
      </c>
      <c r="G172" s="82"/>
      <c r="H172" s="334" t="e">
        <f t="shared" si="3"/>
        <v>#VALUE!</v>
      </c>
    </row>
    <row r="173" spans="1:9" ht="14.25" customHeight="1" x14ac:dyDescent="0.2">
      <c r="A173" s="523">
        <v>43463</v>
      </c>
      <c r="B173" s="862" t="s">
        <v>7908</v>
      </c>
      <c r="C173" s="862" t="s">
        <v>7907</v>
      </c>
      <c r="D173" s="1">
        <v>2.1701388888888892E-2</v>
      </c>
      <c r="E173" s="80" t="s">
        <v>5883</v>
      </c>
      <c r="F173" s="80" t="s">
        <v>11393</v>
      </c>
      <c r="G173" s="82">
        <v>0.62080000000000002</v>
      </c>
      <c r="H173" s="334">
        <f t="shared" si="3"/>
        <v>-6.2500000000000056E-4</v>
      </c>
    </row>
    <row r="174" spans="1:9" ht="14.25" customHeight="1" x14ac:dyDescent="0.2">
      <c r="A174" s="523">
        <v>43459</v>
      </c>
      <c r="B174" s="80" t="s">
        <v>7908</v>
      </c>
      <c r="C174" s="80" t="s">
        <v>7907</v>
      </c>
      <c r="D174" s="1">
        <v>2.1076388888888891E-2</v>
      </c>
      <c r="E174" s="80" t="s">
        <v>5885</v>
      </c>
      <c r="F174" s="80" t="s">
        <v>11380</v>
      </c>
      <c r="G174" s="82">
        <v>0.63919999999999999</v>
      </c>
      <c r="H174" s="80"/>
    </row>
    <row r="175" spans="1:9" ht="14.25" customHeight="1" x14ac:dyDescent="0.2">
      <c r="A175" s="523">
        <v>43449</v>
      </c>
      <c r="B175" s="1029" t="s">
        <v>7908</v>
      </c>
      <c r="C175" s="1029" t="s">
        <v>7907</v>
      </c>
      <c r="D175" s="1">
        <v>2.0439814814814817E-2</v>
      </c>
      <c r="E175" s="80" t="s">
        <v>5883</v>
      </c>
      <c r="F175" s="80" t="s">
        <v>11309</v>
      </c>
      <c r="G175" s="82">
        <v>0.65910000000000002</v>
      </c>
      <c r="H175" s="334">
        <f t="shared" ref="H175:H208" si="4">D176-D175</f>
        <v>1.9444444444444431E-3</v>
      </c>
    </row>
    <row r="176" spans="1:9" ht="14.25" customHeight="1" x14ac:dyDescent="0.2">
      <c r="A176" s="523">
        <v>43442</v>
      </c>
      <c r="B176" s="972" t="s">
        <v>7908</v>
      </c>
      <c r="C176" s="972" t="s">
        <v>7907</v>
      </c>
      <c r="D176" s="1">
        <v>2.238425925925926E-2</v>
      </c>
      <c r="E176" s="80" t="s">
        <v>5883</v>
      </c>
      <c r="F176" s="80" t="s">
        <v>11256</v>
      </c>
      <c r="G176" s="82">
        <v>0.60189999999999999</v>
      </c>
      <c r="H176" s="334">
        <f t="shared" si="4"/>
        <v>-2.1875000000000019E-3</v>
      </c>
    </row>
    <row r="177" spans="1:11" ht="14.25" customHeight="1" x14ac:dyDescent="0.2">
      <c r="A177" s="523">
        <v>43435</v>
      </c>
      <c r="B177" s="1164" t="s">
        <v>7908</v>
      </c>
      <c r="C177" s="1164" t="s">
        <v>7907</v>
      </c>
      <c r="D177" s="1">
        <v>2.0196759259259258E-2</v>
      </c>
      <c r="E177" s="80" t="s">
        <v>10983</v>
      </c>
      <c r="F177" s="80" t="s">
        <v>11162</v>
      </c>
      <c r="G177" s="82">
        <v>0.66700000000000004</v>
      </c>
      <c r="H177" s="334">
        <f t="shared" si="4"/>
        <v>1.8518518518518753E-4</v>
      </c>
    </row>
    <row r="178" spans="1:11" ht="14.25" customHeight="1" x14ac:dyDescent="0.2">
      <c r="A178" s="523">
        <v>43428</v>
      </c>
      <c r="B178" s="1038" t="s">
        <v>7908</v>
      </c>
      <c r="C178" s="1038" t="s">
        <v>7907</v>
      </c>
      <c r="D178" s="1">
        <v>2.0381944444444446E-2</v>
      </c>
      <c r="E178" s="80" t="s">
        <v>5883</v>
      </c>
      <c r="F178" s="80" t="s">
        <v>11109</v>
      </c>
      <c r="G178" s="82">
        <v>0.66100000000000003</v>
      </c>
      <c r="H178" s="334">
        <f t="shared" si="4"/>
        <v>4.9768518518518087E-4</v>
      </c>
    </row>
    <row r="179" spans="1:11" ht="12.75" customHeight="1" x14ac:dyDescent="0.2">
      <c r="A179" s="523">
        <v>43414</v>
      </c>
      <c r="B179" s="862" t="s">
        <v>7908</v>
      </c>
      <c r="C179" s="862" t="s">
        <v>7907</v>
      </c>
      <c r="D179" s="1">
        <v>2.0879629629629626E-2</v>
      </c>
      <c r="E179" s="80" t="s">
        <v>5883</v>
      </c>
      <c r="F179" s="80" t="s">
        <v>1200</v>
      </c>
      <c r="G179" s="82">
        <v>0.6452</v>
      </c>
      <c r="H179" s="334">
        <f t="shared" si="4"/>
        <v>-1.851851851851806E-4</v>
      </c>
    </row>
    <row r="180" spans="1:11" ht="12.75" customHeight="1" x14ac:dyDescent="0.2">
      <c r="A180" s="523">
        <v>43400</v>
      </c>
      <c r="B180" s="556" t="s">
        <v>7908</v>
      </c>
      <c r="C180" s="556" t="s">
        <v>7907</v>
      </c>
      <c r="D180" s="1">
        <v>2.0694444444444446E-2</v>
      </c>
      <c r="E180" s="80" t="s">
        <v>5883</v>
      </c>
      <c r="F180" s="80" t="s">
        <v>10909</v>
      </c>
      <c r="G180" s="82">
        <v>0.65100000000000002</v>
      </c>
      <c r="H180" s="334" t="e">
        <f t="shared" si="4"/>
        <v>#VALUE!</v>
      </c>
    </row>
    <row r="181" spans="1:11" ht="12.75" customHeight="1" x14ac:dyDescent="0.2">
      <c r="A181" s="523">
        <v>43393</v>
      </c>
      <c r="B181" s="862" t="s">
        <v>7908</v>
      </c>
      <c r="C181" s="862" t="s">
        <v>7907</v>
      </c>
      <c r="D181" s="1" t="s">
        <v>787</v>
      </c>
      <c r="E181" s="80" t="s">
        <v>5883</v>
      </c>
      <c r="F181" s="80" t="s">
        <v>4061</v>
      </c>
      <c r="G181" s="82"/>
      <c r="H181" s="334" t="e">
        <f t="shared" si="4"/>
        <v>#VALUE!</v>
      </c>
    </row>
    <row r="182" spans="1:11" ht="12.75" customHeight="1" x14ac:dyDescent="0.2">
      <c r="A182" s="523">
        <v>43386</v>
      </c>
      <c r="B182" s="532" t="s">
        <v>7908</v>
      </c>
      <c r="C182" s="532" t="s">
        <v>7907</v>
      </c>
      <c r="D182" s="1" t="s">
        <v>787</v>
      </c>
      <c r="E182" s="80" t="s">
        <v>5883</v>
      </c>
      <c r="F182" s="80"/>
      <c r="G182" s="82"/>
      <c r="H182" s="334" t="e">
        <f t="shared" si="4"/>
        <v>#VALUE!</v>
      </c>
    </row>
    <row r="183" spans="1:11" ht="14.25" customHeight="1" x14ac:dyDescent="0.2">
      <c r="A183" s="523">
        <v>43372</v>
      </c>
      <c r="B183" s="532" t="s">
        <v>7908</v>
      </c>
      <c r="C183" s="532" t="s">
        <v>7907</v>
      </c>
      <c r="D183" s="1">
        <v>2.6203703703703705E-2</v>
      </c>
      <c r="E183" s="80" t="s">
        <v>5883</v>
      </c>
      <c r="F183" s="80" t="s">
        <v>10675</v>
      </c>
      <c r="G183" s="82">
        <v>0.5141</v>
      </c>
      <c r="H183" s="334">
        <f t="shared" si="4"/>
        <v>2.5578703703703701E-3</v>
      </c>
    </row>
    <row r="184" spans="1:11" ht="14.25" customHeight="1" x14ac:dyDescent="0.2">
      <c r="A184" s="34">
        <v>43365</v>
      </c>
      <c r="B184" s="556" t="s">
        <v>7908</v>
      </c>
      <c r="C184" s="556" t="s">
        <v>7907</v>
      </c>
      <c r="D184" s="1">
        <v>2.8761574074074075E-2</v>
      </c>
      <c r="E184" s="80" t="s">
        <v>5883</v>
      </c>
      <c r="F184" s="80" t="s">
        <v>10674</v>
      </c>
      <c r="G184" s="82">
        <v>0.46839999999999998</v>
      </c>
      <c r="H184" s="334" t="e">
        <f t="shared" si="4"/>
        <v>#VALUE!</v>
      </c>
    </row>
    <row r="185" spans="1:11" ht="14.25" customHeight="1" x14ac:dyDescent="0.2">
      <c r="A185" s="523">
        <v>43358</v>
      </c>
      <c r="B185" s="1127" t="s">
        <v>7908</v>
      </c>
      <c r="C185" s="1127" t="s">
        <v>7907</v>
      </c>
      <c r="D185" s="334" t="s">
        <v>787</v>
      </c>
      <c r="E185" t="s">
        <v>5883</v>
      </c>
      <c r="F185" t="s">
        <v>4061</v>
      </c>
      <c r="G185" s="82"/>
      <c r="H185" s="334" t="e">
        <f t="shared" si="4"/>
        <v>#VALUE!</v>
      </c>
    </row>
    <row r="186" spans="1:11" ht="14.25" customHeight="1" x14ac:dyDescent="0.2">
      <c r="A186" s="523">
        <v>43337</v>
      </c>
      <c r="B186" s="1044" t="s">
        <v>7908</v>
      </c>
      <c r="C186" s="1044" t="s">
        <v>7907</v>
      </c>
      <c r="D186" s="1">
        <v>2.1817129629629631E-2</v>
      </c>
      <c r="E186" s="80" t="s">
        <v>1003</v>
      </c>
      <c r="F186" s="80" t="s">
        <v>10501</v>
      </c>
      <c r="G186" s="82">
        <v>0.61750000000000005</v>
      </c>
      <c r="H186" s="334">
        <f t="shared" si="4"/>
        <v>1.171296296296296E-2</v>
      </c>
    </row>
    <row r="187" spans="1:11" ht="14.25" customHeight="1" x14ac:dyDescent="0.2">
      <c r="A187" s="523">
        <v>43330</v>
      </c>
      <c r="B187" s="1099" t="s">
        <v>7908</v>
      </c>
      <c r="C187" s="1099" t="s">
        <v>7907</v>
      </c>
      <c r="D187" s="1">
        <v>3.3530092592592591E-2</v>
      </c>
      <c r="E187" s="80" t="s">
        <v>5883</v>
      </c>
      <c r="F187" s="80" t="s">
        <v>10452</v>
      </c>
      <c r="G187" s="82">
        <v>0.40179999999999999</v>
      </c>
      <c r="H187" s="334" t="e">
        <f t="shared" si="4"/>
        <v>#VALUE!</v>
      </c>
    </row>
    <row r="188" spans="1:11" ht="14.25" customHeight="1" x14ac:dyDescent="0.2">
      <c r="A188" s="523">
        <v>43316</v>
      </c>
      <c r="B188" s="1029" t="s">
        <v>7908</v>
      </c>
      <c r="C188" s="1077" t="s">
        <v>7907</v>
      </c>
      <c r="D188" s="1090" t="s">
        <v>787</v>
      </c>
      <c r="E188" s="80" t="s">
        <v>5883</v>
      </c>
      <c r="F188" s="80" t="s">
        <v>4061</v>
      </c>
      <c r="G188" s="82"/>
      <c r="H188" s="334" t="e">
        <f t="shared" si="4"/>
        <v>#VALUE!</v>
      </c>
    </row>
    <row r="189" spans="1:11" ht="14.25" customHeight="1" x14ac:dyDescent="0.2">
      <c r="A189" s="523">
        <v>43309</v>
      </c>
      <c r="B189" s="879" t="s">
        <v>7908</v>
      </c>
      <c r="C189" s="879" t="s">
        <v>7907</v>
      </c>
      <c r="D189" s="334" t="s">
        <v>787</v>
      </c>
      <c r="E189" s="80" t="s">
        <v>5883</v>
      </c>
      <c r="F189" s="80" t="s">
        <v>4061</v>
      </c>
      <c r="G189" s="82"/>
      <c r="H189" s="334" t="e">
        <f t="shared" si="4"/>
        <v>#VALUE!</v>
      </c>
    </row>
    <row r="190" spans="1:11" ht="14.25" customHeight="1" x14ac:dyDescent="0.2">
      <c r="A190" s="523">
        <v>43295</v>
      </c>
      <c r="B190" s="601" t="s">
        <v>7908</v>
      </c>
      <c r="C190" s="601" t="s">
        <v>7907</v>
      </c>
      <c r="D190" s="334" t="s">
        <v>787</v>
      </c>
      <c r="E190" s="80" t="s">
        <v>5883</v>
      </c>
      <c r="F190" s="80" t="s">
        <v>4061</v>
      </c>
      <c r="G190" s="82"/>
      <c r="H190" s="334" t="e">
        <f t="shared" si="4"/>
        <v>#VALUE!</v>
      </c>
    </row>
    <row r="191" spans="1:11" ht="14.25" customHeight="1" x14ac:dyDescent="0.2">
      <c r="A191" s="523">
        <v>43288</v>
      </c>
      <c r="B191" s="1077" t="s">
        <v>7908</v>
      </c>
      <c r="C191" s="1077" t="s">
        <v>7907</v>
      </c>
      <c r="D191" s="1">
        <v>2.7349537037037037E-2</v>
      </c>
      <c r="E191" t="s">
        <v>5883</v>
      </c>
      <c r="F191" t="s">
        <v>5743</v>
      </c>
      <c r="G191" s="82">
        <v>0.49259999999999998</v>
      </c>
      <c r="H191" s="334" t="e">
        <f t="shared" si="4"/>
        <v>#VALUE!</v>
      </c>
    </row>
    <row r="192" spans="1:11" ht="14.25" customHeight="1" x14ac:dyDescent="0.2">
      <c r="A192" s="34">
        <v>43274</v>
      </c>
      <c r="B192" s="1071" t="s">
        <v>7908</v>
      </c>
      <c r="C192" s="1071" t="s">
        <v>7907</v>
      </c>
      <c r="D192" s="334" t="s">
        <v>787</v>
      </c>
      <c r="E192" s="80" t="s">
        <v>5883</v>
      </c>
      <c r="F192" s="80" t="s">
        <v>4061</v>
      </c>
      <c r="G192" s="82"/>
      <c r="H192" s="334" t="e">
        <f t="shared" si="4"/>
        <v>#VALUE!</v>
      </c>
      <c r="I192" s="82"/>
      <c r="J192" s="82"/>
      <c r="K192" s="82"/>
    </row>
    <row r="193" spans="1:9" ht="14.25" customHeight="1" x14ac:dyDescent="0.2">
      <c r="A193" s="523">
        <v>43260</v>
      </c>
      <c r="B193" s="532" t="s">
        <v>7908</v>
      </c>
      <c r="C193" s="843" t="s">
        <v>7907</v>
      </c>
      <c r="D193" s="1">
        <v>3.1944444444444449E-2</v>
      </c>
      <c r="E193" s="80" t="s">
        <v>5883</v>
      </c>
      <c r="F193" s="69" t="s">
        <v>9915</v>
      </c>
      <c r="G193" s="82">
        <v>0.42170000000000002</v>
      </c>
      <c r="H193" s="334">
        <f t="shared" si="4"/>
        <v>-7.1990740740740765E-3</v>
      </c>
      <c r="I193" s="80"/>
    </row>
    <row r="194" spans="1:9" ht="14.25" customHeight="1" x14ac:dyDescent="0.2">
      <c r="A194" s="523">
        <v>43253</v>
      </c>
      <c r="B194" s="901" t="s">
        <v>7908</v>
      </c>
      <c r="C194" s="902" t="s">
        <v>7907</v>
      </c>
      <c r="D194" s="334">
        <v>2.4745370370370372E-2</v>
      </c>
      <c r="E194" s="80" t="s">
        <v>5883</v>
      </c>
      <c r="F194" s="69" t="s">
        <v>9868</v>
      </c>
      <c r="G194" s="82">
        <v>0.5444</v>
      </c>
      <c r="H194" s="334">
        <f t="shared" si="4"/>
        <v>-5.1273148148148172E-3</v>
      </c>
      <c r="I194" s="80"/>
    </row>
    <row r="195" spans="1:9" ht="14.25" customHeight="1" x14ac:dyDescent="0.2">
      <c r="A195" s="523">
        <v>43239</v>
      </c>
      <c r="B195" s="80" t="s">
        <v>7908</v>
      </c>
      <c r="C195" s="334" t="s">
        <v>7907</v>
      </c>
      <c r="D195" s="1">
        <v>1.9618055555555555E-2</v>
      </c>
      <c r="E195" s="80" t="s">
        <v>5883</v>
      </c>
      <c r="F195" s="69" t="s">
        <v>9817</v>
      </c>
      <c r="G195" s="82">
        <v>0.68669999999999998</v>
      </c>
      <c r="H195" s="334">
        <f t="shared" si="4"/>
        <v>-1.1574074074073917E-4</v>
      </c>
      <c r="I195" s="80"/>
    </row>
    <row r="196" spans="1:9" ht="14.25" customHeight="1" x14ac:dyDescent="0.2">
      <c r="A196" s="523">
        <v>43232</v>
      </c>
      <c r="B196" s="1051" t="s">
        <v>7908</v>
      </c>
      <c r="C196" s="1052" t="s">
        <v>7907</v>
      </c>
      <c r="D196" s="1">
        <v>1.9502314814814816E-2</v>
      </c>
      <c r="E196" s="80" t="s">
        <v>5883</v>
      </c>
      <c r="F196" s="69" t="s">
        <v>9753</v>
      </c>
      <c r="G196" s="82">
        <v>0.69079999999999997</v>
      </c>
      <c r="H196" s="334" t="e">
        <f t="shared" si="4"/>
        <v>#VALUE!</v>
      </c>
      <c r="I196" s="80"/>
    </row>
    <row r="197" spans="1:9" ht="14.25" customHeight="1" x14ac:dyDescent="0.2">
      <c r="A197" s="33">
        <v>43218</v>
      </c>
      <c r="B197" s="568" t="s">
        <v>7908</v>
      </c>
      <c r="C197" s="861" t="s">
        <v>7907</v>
      </c>
      <c r="D197" s="80" t="s">
        <v>787</v>
      </c>
      <c r="E197" s="80" t="s">
        <v>5883</v>
      </c>
      <c r="F197" s="69" t="s">
        <v>4061</v>
      </c>
      <c r="H197" s="334" t="e">
        <f t="shared" si="4"/>
        <v>#VALUE!</v>
      </c>
    </row>
    <row r="198" spans="1:9" ht="14.25" customHeight="1" x14ac:dyDescent="0.2">
      <c r="A198" s="523">
        <v>43204</v>
      </c>
      <c r="B198" s="80" t="s">
        <v>7908</v>
      </c>
      <c r="C198" s="334" t="s">
        <v>7907</v>
      </c>
      <c r="D198" s="1">
        <v>2.2349537037037032E-2</v>
      </c>
      <c r="E198" s="80" t="s">
        <v>5883</v>
      </c>
      <c r="F198" s="69" t="s">
        <v>9588</v>
      </c>
      <c r="G198" s="82">
        <v>0.6028</v>
      </c>
      <c r="H198" s="334" t="e">
        <f t="shared" si="4"/>
        <v>#VALUE!</v>
      </c>
      <c r="I198" s="80"/>
    </row>
    <row r="199" spans="1:9" ht="14.25" customHeight="1" x14ac:dyDescent="0.2">
      <c r="A199" s="523">
        <v>43176</v>
      </c>
      <c r="B199" s="532" t="s">
        <v>7908</v>
      </c>
      <c r="C199" s="843" t="s">
        <v>7907</v>
      </c>
      <c r="D199" s="334" t="s">
        <v>787</v>
      </c>
      <c r="E199" s="80" t="s">
        <v>5883</v>
      </c>
      <c r="F199" s="69" t="s">
        <v>4061</v>
      </c>
      <c r="G199" s="82"/>
      <c r="H199" s="334" t="e">
        <f t="shared" si="4"/>
        <v>#VALUE!</v>
      </c>
      <c r="I199" s="80"/>
    </row>
    <row r="200" spans="1:9" ht="14.25" customHeight="1" x14ac:dyDescent="0.2">
      <c r="A200" s="523">
        <v>43155</v>
      </c>
      <c r="B200" s="940" t="s">
        <v>7908</v>
      </c>
      <c r="C200" s="941" t="s">
        <v>7907</v>
      </c>
      <c r="D200" s="1">
        <v>2.3194444444444445E-2</v>
      </c>
      <c r="E200" s="80" t="s">
        <v>5883</v>
      </c>
      <c r="F200" s="69" t="s">
        <v>9319</v>
      </c>
      <c r="G200" s="82">
        <v>0.58079999999999998</v>
      </c>
      <c r="H200" s="334">
        <f t="shared" si="4"/>
        <v>4.6064814814814788E-3</v>
      </c>
      <c r="I200" s="80"/>
    </row>
    <row r="201" spans="1:9" ht="14.25" customHeight="1" x14ac:dyDescent="0.2">
      <c r="A201" s="523">
        <v>43127</v>
      </c>
      <c r="B201" s="862" t="s">
        <v>7908</v>
      </c>
      <c r="C201" s="863" t="s">
        <v>7907</v>
      </c>
      <c r="D201" s="1">
        <v>2.7800925925925923E-2</v>
      </c>
      <c r="E201" s="80" t="s">
        <v>5883</v>
      </c>
      <c r="F201" s="69" t="s">
        <v>5721</v>
      </c>
      <c r="G201" s="82">
        <v>0.48459999999999998</v>
      </c>
      <c r="H201" s="334">
        <f t="shared" si="4"/>
        <v>-1.9675925925925902E-3</v>
      </c>
      <c r="I201" s="80"/>
    </row>
    <row r="202" spans="1:9" ht="14.25" customHeight="1" x14ac:dyDescent="0.2">
      <c r="A202" s="523">
        <v>43120</v>
      </c>
      <c r="B202" s="601" t="s">
        <v>7908</v>
      </c>
      <c r="C202" s="958" t="s">
        <v>7907</v>
      </c>
      <c r="D202" s="1">
        <v>2.5833333333333333E-2</v>
      </c>
      <c r="E202" s="80" t="s">
        <v>5883</v>
      </c>
      <c r="F202" s="69" t="s">
        <v>9101</v>
      </c>
      <c r="G202" s="82">
        <v>0.37119999999999997</v>
      </c>
      <c r="H202" s="334" t="e">
        <f t="shared" si="4"/>
        <v>#VALUE!</v>
      </c>
      <c r="I202" s="80"/>
    </row>
    <row r="203" spans="1:9" ht="14.25" customHeight="1" x14ac:dyDescent="0.2">
      <c r="A203" s="523">
        <v>43113</v>
      </c>
      <c r="B203" s="972" t="s">
        <v>7908</v>
      </c>
      <c r="C203" s="973" t="s">
        <v>7907</v>
      </c>
      <c r="D203" s="334" t="s">
        <v>787</v>
      </c>
      <c r="E203" s="80" t="s">
        <v>5883</v>
      </c>
      <c r="F203" s="69" t="s">
        <v>4061</v>
      </c>
      <c r="G203" s="82"/>
      <c r="H203" s="334" t="e">
        <f t="shared" si="4"/>
        <v>#VALUE!</v>
      </c>
      <c r="I203" s="80"/>
    </row>
    <row r="204" spans="1:9" ht="14.25" customHeight="1" x14ac:dyDescent="0.2">
      <c r="A204" s="523">
        <v>43106</v>
      </c>
      <c r="B204" s="869" t="s">
        <v>7908</v>
      </c>
      <c r="C204" s="903" t="s">
        <v>7907</v>
      </c>
      <c r="D204" s="1">
        <v>2.0254629629629629E-2</v>
      </c>
      <c r="E204" s="80" t="s">
        <v>129</v>
      </c>
      <c r="F204" s="69" t="s">
        <v>9100</v>
      </c>
      <c r="G204" s="82">
        <v>0.65600000000000003</v>
      </c>
      <c r="H204" s="334">
        <f t="shared" si="4"/>
        <v>4.3981481481481649E-4</v>
      </c>
      <c r="I204" s="80"/>
    </row>
    <row r="205" spans="1:9" ht="14.25" customHeight="1" x14ac:dyDescent="0.2">
      <c r="A205" s="33">
        <v>43101</v>
      </c>
      <c r="B205" s="556" t="s">
        <v>7908</v>
      </c>
      <c r="C205" s="950" t="s">
        <v>7907</v>
      </c>
      <c r="D205" s="1">
        <v>2.0694444444444446E-2</v>
      </c>
      <c r="E205" s="80" t="s">
        <v>2783</v>
      </c>
      <c r="F205" s="69" t="s">
        <v>6406</v>
      </c>
      <c r="G205" s="82">
        <v>0.6421</v>
      </c>
      <c r="H205" s="334" t="e">
        <f t="shared" si="4"/>
        <v>#VALUE!</v>
      </c>
      <c r="I205" s="80"/>
    </row>
    <row r="206" spans="1:9" ht="14.25" customHeight="1" x14ac:dyDescent="0.2">
      <c r="A206" s="523">
        <v>43344</v>
      </c>
      <c r="B206" s="552" t="s">
        <v>7909</v>
      </c>
      <c r="C206" s="552" t="s">
        <v>7907</v>
      </c>
      <c r="D206" s="1" t="s">
        <v>787</v>
      </c>
      <c r="E206" t="s">
        <v>5883</v>
      </c>
      <c r="F206" t="s">
        <v>4061</v>
      </c>
      <c r="G206" s="82"/>
      <c r="H206" s="334" t="e">
        <f t="shared" si="4"/>
        <v>#VALUE!</v>
      </c>
    </row>
    <row r="207" spans="1:9" ht="14.25" customHeight="1" x14ac:dyDescent="0.2">
      <c r="A207" s="523">
        <v>43302</v>
      </c>
      <c r="B207" s="985" t="s">
        <v>7909</v>
      </c>
      <c r="C207" s="985" t="s">
        <v>7907</v>
      </c>
      <c r="D207" s="334" t="s">
        <v>787</v>
      </c>
      <c r="E207" s="80" t="s">
        <v>5883</v>
      </c>
      <c r="F207" s="80" t="s">
        <v>4061</v>
      </c>
      <c r="H207" s="334" t="e">
        <f t="shared" si="4"/>
        <v>#VALUE!</v>
      </c>
    </row>
    <row r="208" spans="1:9" ht="14.25" customHeight="1" x14ac:dyDescent="0.2">
      <c r="A208" s="523">
        <v>43463</v>
      </c>
      <c r="B208" s="862" t="s">
        <v>260</v>
      </c>
      <c r="C208" s="862" t="s">
        <v>7907</v>
      </c>
      <c r="D208" s="1">
        <v>1.667824074074074E-2</v>
      </c>
      <c r="E208" s="80" t="s">
        <v>5883</v>
      </c>
      <c r="F208" s="80" t="s">
        <v>11392</v>
      </c>
      <c r="G208" s="82">
        <v>0.6794</v>
      </c>
      <c r="H208" s="334">
        <f t="shared" si="4"/>
        <v>-6.9444444444441422E-5</v>
      </c>
    </row>
    <row r="209" spans="1:8" ht="14.25" customHeight="1" x14ac:dyDescent="0.2">
      <c r="A209" s="523">
        <v>43459</v>
      </c>
      <c r="B209" s="80" t="s">
        <v>260</v>
      </c>
      <c r="C209" s="80" t="s">
        <v>7907</v>
      </c>
      <c r="D209" s="1">
        <v>1.6608796296296299E-2</v>
      </c>
      <c r="E209" s="80" t="s">
        <v>5885</v>
      </c>
      <c r="F209" s="80" t="s">
        <v>11381</v>
      </c>
      <c r="G209" s="82">
        <v>0.68220000000000003</v>
      </c>
      <c r="H209" s="80"/>
    </row>
    <row r="210" spans="1:8" ht="14.25" customHeight="1" x14ac:dyDescent="0.2">
      <c r="A210" s="523">
        <v>43456</v>
      </c>
      <c r="B210" s="556" t="s">
        <v>260</v>
      </c>
      <c r="C210" s="556" t="s">
        <v>7907</v>
      </c>
      <c r="D210" s="1">
        <v>1.7083333333333336E-2</v>
      </c>
      <c r="E210" s="80" t="s">
        <v>5883</v>
      </c>
      <c r="F210" s="80" t="s">
        <v>11334</v>
      </c>
      <c r="G210" s="82">
        <v>0.6633</v>
      </c>
      <c r="H210" s="334">
        <f t="shared" ref="H210:H241" si="5">D211-D210</f>
        <v>1.9560185185185167E-3</v>
      </c>
    </row>
    <row r="211" spans="1:8" ht="14.25" customHeight="1" x14ac:dyDescent="0.2">
      <c r="A211" s="523">
        <v>43442</v>
      </c>
      <c r="B211" s="972" t="s">
        <v>260</v>
      </c>
      <c r="C211" s="972" t="s">
        <v>7907</v>
      </c>
      <c r="D211" s="1">
        <v>1.9039351851851852E-2</v>
      </c>
      <c r="E211" s="80" t="s">
        <v>5883</v>
      </c>
      <c r="F211" s="80" t="s">
        <v>7954</v>
      </c>
      <c r="G211" s="82">
        <v>0.59570000000000001</v>
      </c>
      <c r="H211" s="334">
        <f t="shared" si="5"/>
        <v>-2.0370370370370386E-3</v>
      </c>
    </row>
    <row r="212" spans="1:8" ht="14.25" customHeight="1" x14ac:dyDescent="0.2">
      <c r="A212" s="523">
        <v>43435</v>
      </c>
      <c r="B212" s="1164" t="s">
        <v>260</v>
      </c>
      <c r="C212" s="1164" t="s">
        <v>7907</v>
      </c>
      <c r="D212" s="1">
        <v>1.7002314814814814E-2</v>
      </c>
      <c r="E212" s="80" t="s">
        <v>10983</v>
      </c>
      <c r="F212" s="80" t="s">
        <v>11162</v>
      </c>
      <c r="G212" s="82">
        <v>0.66639999999999999</v>
      </c>
      <c r="H212" s="334">
        <f t="shared" si="5"/>
        <v>5.7870370370371321E-5</v>
      </c>
    </row>
    <row r="213" spans="1:8" ht="14.25" customHeight="1" x14ac:dyDescent="0.2">
      <c r="A213" s="523">
        <v>43428</v>
      </c>
      <c r="B213" s="1038" t="s">
        <v>260</v>
      </c>
      <c r="C213" s="1038" t="s">
        <v>7907</v>
      </c>
      <c r="D213" s="1">
        <v>1.7060185185185185E-2</v>
      </c>
      <c r="E213" s="80" t="s">
        <v>5883</v>
      </c>
      <c r="F213" s="80" t="s">
        <v>11112</v>
      </c>
      <c r="G213" s="82">
        <v>0.66420000000000001</v>
      </c>
      <c r="H213" s="334">
        <f t="shared" si="5"/>
        <v>-8.7962962962962951E-4</v>
      </c>
    </row>
    <row r="214" spans="1:8" ht="14.25" customHeight="1" x14ac:dyDescent="0.2">
      <c r="A214" s="523">
        <v>43421</v>
      </c>
      <c r="B214" s="906" t="s">
        <v>260</v>
      </c>
      <c r="C214" s="906" t="s">
        <v>7907</v>
      </c>
      <c r="D214" s="1">
        <v>1.6180555555555556E-2</v>
      </c>
      <c r="E214" s="80" t="s">
        <v>5883</v>
      </c>
      <c r="F214" s="80" t="s">
        <v>11041</v>
      </c>
      <c r="G214" s="82">
        <v>0.70030000000000003</v>
      </c>
      <c r="H214" s="334">
        <f t="shared" si="5"/>
        <v>4.0509259259259231E-4</v>
      </c>
    </row>
    <row r="215" spans="1:8" ht="14.25" customHeight="1" x14ac:dyDescent="0.2">
      <c r="A215" s="523">
        <v>43414</v>
      </c>
      <c r="B215" s="862" t="s">
        <v>260</v>
      </c>
      <c r="C215" s="862" t="s">
        <v>7907</v>
      </c>
      <c r="D215" s="1">
        <v>1.6585648148148148E-2</v>
      </c>
      <c r="E215" s="80" t="s">
        <v>5883</v>
      </c>
      <c r="F215" s="80" t="s">
        <v>10987</v>
      </c>
      <c r="G215" s="82">
        <v>0.68320000000000003</v>
      </c>
      <c r="H215" s="334">
        <f t="shared" si="5"/>
        <v>-5.3240740740740852E-4</v>
      </c>
    </row>
    <row r="216" spans="1:8" ht="14.25" customHeight="1" x14ac:dyDescent="0.2">
      <c r="A216" s="523">
        <v>43400</v>
      </c>
      <c r="B216" s="556" t="s">
        <v>260</v>
      </c>
      <c r="C216" s="556" t="s">
        <v>7907</v>
      </c>
      <c r="D216" s="1">
        <v>1.6053240740740739E-2</v>
      </c>
      <c r="E216" s="80" t="s">
        <v>5883</v>
      </c>
      <c r="F216" s="80" t="s">
        <v>10908</v>
      </c>
      <c r="G216" s="82">
        <v>0.70579999999999998</v>
      </c>
      <c r="H216" s="334" t="e">
        <f t="shared" si="5"/>
        <v>#VALUE!</v>
      </c>
    </row>
    <row r="217" spans="1:8" ht="14.25" customHeight="1" x14ac:dyDescent="0.2">
      <c r="A217" s="523">
        <v>43393</v>
      </c>
      <c r="B217" s="862" t="s">
        <v>260</v>
      </c>
      <c r="C217" s="862" t="s">
        <v>7907</v>
      </c>
      <c r="D217" s="1" t="s">
        <v>787</v>
      </c>
      <c r="E217" s="80" t="s">
        <v>5883</v>
      </c>
      <c r="F217" s="80" t="s">
        <v>4061</v>
      </c>
      <c r="G217" s="82"/>
      <c r="H217" s="334" t="e">
        <f t="shared" si="5"/>
        <v>#VALUE!</v>
      </c>
    </row>
    <row r="218" spans="1:8" ht="14.25" customHeight="1" x14ac:dyDescent="0.2">
      <c r="A218" s="523">
        <v>43386</v>
      </c>
      <c r="B218" s="532" t="s">
        <v>260</v>
      </c>
      <c r="C218" s="532" t="s">
        <v>7907</v>
      </c>
      <c r="D218" s="1">
        <v>1.622685185185185E-2</v>
      </c>
      <c r="E218" s="80" t="s">
        <v>5883</v>
      </c>
      <c r="F218" s="80" t="s">
        <v>10818</v>
      </c>
      <c r="G218" s="82">
        <v>0.69830000000000003</v>
      </c>
      <c r="H218" s="334">
        <f t="shared" si="5"/>
        <v>-1.3888888888888631E-4</v>
      </c>
    </row>
    <row r="219" spans="1:8" ht="14.25" customHeight="1" x14ac:dyDescent="0.2">
      <c r="A219" s="34">
        <v>43379</v>
      </c>
      <c r="B219" s="869" t="s">
        <v>260</v>
      </c>
      <c r="C219" s="869" t="s">
        <v>7907</v>
      </c>
      <c r="D219" s="1">
        <v>1.6087962962962964E-2</v>
      </c>
      <c r="E219" s="80" t="s">
        <v>5883</v>
      </c>
      <c r="F219" s="80" t="s">
        <v>10760</v>
      </c>
      <c r="G219" s="82">
        <v>0.70430000000000004</v>
      </c>
      <c r="H219" s="334">
        <f t="shared" si="5"/>
        <v>-2.4305555555555539E-4</v>
      </c>
    </row>
    <row r="220" spans="1:8" ht="14.25" customHeight="1" x14ac:dyDescent="0.2">
      <c r="A220" s="34">
        <v>43372</v>
      </c>
      <c r="B220" s="532" t="s">
        <v>260</v>
      </c>
      <c r="C220" s="532" t="s">
        <v>7907</v>
      </c>
      <c r="D220" s="1">
        <v>1.5844907407407408E-2</v>
      </c>
      <c r="E220" s="80" t="s">
        <v>5883</v>
      </c>
      <c r="F220" s="80" t="s">
        <v>10677</v>
      </c>
      <c r="G220" s="82">
        <v>0.71509999999999996</v>
      </c>
      <c r="H220" s="334">
        <f t="shared" si="5"/>
        <v>2.1990740740740478E-4</v>
      </c>
    </row>
    <row r="221" spans="1:8" ht="14.25" customHeight="1" x14ac:dyDescent="0.2">
      <c r="A221" s="34">
        <v>43365</v>
      </c>
      <c r="B221" s="556" t="s">
        <v>260</v>
      </c>
      <c r="C221" s="556" t="s">
        <v>7907</v>
      </c>
      <c r="D221" s="1">
        <v>1.6064814814814813E-2</v>
      </c>
      <c r="E221" s="80" t="s">
        <v>5883</v>
      </c>
      <c r="F221" s="80" t="s">
        <v>10676</v>
      </c>
      <c r="G221" s="82">
        <v>0.70530000000000004</v>
      </c>
      <c r="H221" s="334" t="e">
        <f t="shared" si="5"/>
        <v>#VALUE!</v>
      </c>
    </row>
    <row r="222" spans="1:8" ht="14.25" customHeight="1" x14ac:dyDescent="0.2">
      <c r="A222" s="523">
        <v>43358</v>
      </c>
      <c r="B222" s="1127" t="s">
        <v>260</v>
      </c>
      <c r="C222" s="1127" t="s">
        <v>7907</v>
      </c>
      <c r="D222" s="334" t="s">
        <v>787</v>
      </c>
      <c r="E222" t="s">
        <v>5883</v>
      </c>
      <c r="F222" t="s">
        <v>4061</v>
      </c>
      <c r="G222" s="82"/>
      <c r="H222" s="334" t="e">
        <f t="shared" si="5"/>
        <v>#VALUE!</v>
      </c>
    </row>
    <row r="223" spans="1:8" ht="14.25" customHeight="1" x14ac:dyDescent="0.2">
      <c r="A223" s="523">
        <v>43351</v>
      </c>
      <c r="B223" s="531" t="s">
        <v>260</v>
      </c>
      <c r="C223" s="531" t="s">
        <v>7907</v>
      </c>
      <c r="D223" s="1">
        <v>1.6192129629629629E-2</v>
      </c>
      <c r="E223" s="80" t="s">
        <v>5883</v>
      </c>
      <c r="F223" s="80" t="s">
        <v>10589</v>
      </c>
      <c r="G223" s="82">
        <v>0.69979999999999998</v>
      </c>
      <c r="H223" s="334">
        <f t="shared" si="5"/>
        <v>-1.041666666666656E-4</v>
      </c>
    </row>
    <row r="224" spans="1:8" ht="14.25" customHeight="1" x14ac:dyDescent="0.2">
      <c r="A224" s="523">
        <v>43344</v>
      </c>
      <c r="B224" s="552" t="s">
        <v>260</v>
      </c>
      <c r="C224" s="552" t="s">
        <v>7907</v>
      </c>
      <c r="D224" s="1">
        <v>1.6087962962962964E-2</v>
      </c>
      <c r="E224" t="s">
        <v>5883</v>
      </c>
      <c r="F224" t="s">
        <v>10565</v>
      </c>
      <c r="G224" s="82">
        <v>0.70430000000000004</v>
      </c>
      <c r="H224" s="334">
        <f t="shared" si="5"/>
        <v>1.0995370370370343E-3</v>
      </c>
    </row>
    <row r="225" spans="1:11" ht="14.25" customHeight="1" x14ac:dyDescent="0.2">
      <c r="A225" s="523">
        <v>43337</v>
      </c>
      <c r="B225" s="1044" t="s">
        <v>260</v>
      </c>
      <c r="C225" s="1044" t="s">
        <v>7907</v>
      </c>
      <c r="D225" s="1">
        <v>1.7187499999999998E-2</v>
      </c>
      <c r="E225" s="80" t="s">
        <v>1003</v>
      </c>
      <c r="F225" s="80" t="s">
        <v>10502</v>
      </c>
      <c r="G225" s="82">
        <v>0.6593</v>
      </c>
      <c r="H225" s="334">
        <f t="shared" si="5"/>
        <v>-9.7222222222221807E-4</v>
      </c>
    </row>
    <row r="226" spans="1:11" ht="14.25" customHeight="1" x14ac:dyDescent="0.2">
      <c r="A226" s="523">
        <v>43330</v>
      </c>
      <c r="B226" s="1099" t="s">
        <v>260</v>
      </c>
      <c r="C226" s="1099" t="s">
        <v>7907</v>
      </c>
      <c r="D226" s="1">
        <v>1.621527777777778E-2</v>
      </c>
      <c r="E226" s="80" t="s">
        <v>5883</v>
      </c>
      <c r="F226" s="80" t="s">
        <v>10451</v>
      </c>
      <c r="G226" s="82">
        <v>0.69879999999999998</v>
      </c>
      <c r="H226" s="334">
        <f t="shared" si="5"/>
        <v>2.777777777777761E-4</v>
      </c>
    </row>
    <row r="227" spans="1:11" ht="14.25" customHeight="1" x14ac:dyDescent="0.2">
      <c r="A227" s="523">
        <v>43323</v>
      </c>
      <c r="B227" s="585" t="s">
        <v>260</v>
      </c>
      <c r="C227" s="585" t="s">
        <v>7907</v>
      </c>
      <c r="D227" s="1">
        <v>1.6493055555555556E-2</v>
      </c>
      <c r="E227" t="s">
        <v>5883</v>
      </c>
      <c r="F227" t="s">
        <v>10404</v>
      </c>
      <c r="G227" s="82">
        <v>0.68700000000000006</v>
      </c>
      <c r="H227" s="334">
        <f t="shared" si="5"/>
        <v>1.7824074074074062E-3</v>
      </c>
    </row>
    <row r="228" spans="1:11" ht="14.25" customHeight="1" x14ac:dyDescent="0.2">
      <c r="A228" s="523">
        <v>43309</v>
      </c>
      <c r="B228" s="879" t="s">
        <v>260</v>
      </c>
      <c r="C228" s="879" t="s">
        <v>7907</v>
      </c>
      <c r="D228" s="1">
        <v>1.8275462962962962E-2</v>
      </c>
      <c r="E228" s="80" t="s">
        <v>5883</v>
      </c>
      <c r="F228" s="80" t="s">
        <v>3326</v>
      </c>
      <c r="G228" s="82">
        <v>0.62</v>
      </c>
      <c r="H228" s="334">
        <f t="shared" si="5"/>
        <v>-5.0925925925925791E-4</v>
      </c>
    </row>
    <row r="229" spans="1:11" ht="14.25" customHeight="1" x14ac:dyDescent="0.2">
      <c r="A229" s="523">
        <v>43302</v>
      </c>
      <c r="B229" s="985" t="s">
        <v>260</v>
      </c>
      <c r="C229" s="985" t="s">
        <v>7907</v>
      </c>
      <c r="D229" s="1">
        <v>1.7766203703703704E-2</v>
      </c>
      <c r="E229" s="80" t="s">
        <v>5883</v>
      </c>
      <c r="F229" s="80" t="s">
        <v>10296</v>
      </c>
      <c r="G229" s="82">
        <v>0.63259999999999994</v>
      </c>
      <c r="H229" s="334">
        <f t="shared" si="5"/>
        <v>-1.0185185185185193E-3</v>
      </c>
    </row>
    <row r="230" spans="1:11" ht="14.25" customHeight="1" x14ac:dyDescent="0.2">
      <c r="A230" s="523">
        <v>43295</v>
      </c>
      <c r="B230" s="601" t="s">
        <v>260</v>
      </c>
      <c r="C230" s="601" t="s">
        <v>7907</v>
      </c>
      <c r="D230" s="1">
        <v>1.6747685185185185E-2</v>
      </c>
      <c r="E230" s="80" t="s">
        <v>5883</v>
      </c>
      <c r="F230" s="80" t="s">
        <v>10239</v>
      </c>
      <c r="G230" s="82">
        <v>0.67100000000000004</v>
      </c>
      <c r="H230" s="334">
        <f t="shared" si="5"/>
        <v>1.759259259259259E-3</v>
      </c>
    </row>
    <row r="231" spans="1:11" ht="14.25" customHeight="1" x14ac:dyDescent="0.2">
      <c r="A231" s="523">
        <v>43281</v>
      </c>
      <c r="B231" s="556" t="s">
        <v>260</v>
      </c>
      <c r="C231" s="556" t="s">
        <v>7907</v>
      </c>
      <c r="D231" s="1">
        <v>1.8506944444444444E-2</v>
      </c>
      <c r="E231" s="80" t="s">
        <v>8248</v>
      </c>
      <c r="F231" s="80" t="s">
        <v>10167</v>
      </c>
      <c r="G231" s="82">
        <v>0.60729999999999995</v>
      </c>
      <c r="H231" s="334">
        <f t="shared" si="5"/>
        <v>-8.3333333333333523E-4</v>
      </c>
    </row>
    <row r="232" spans="1:11" ht="14.25" customHeight="1" x14ac:dyDescent="0.2">
      <c r="A232" s="34">
        <v>43274</v>
      </c>
      <c r="B232" s="1071" t="s">
        <v>260</v>
      </c>
      <c r="C232" s="1071" t="s">
        <v>7907</v>
      </c>
      <c r="D232" s="1">
        <v>1.7673611111111109E-2</v>
      </c>
      <c r="E232" s="80" t="s">
        <v>5883</v>
      </c>
      <c r="F232" s="80" t="s">
        <v>6144</v>
      </c>
      <c r="G232" s="82">
        <v>0.63590000000000002</v>
      </c>
      <c r="H232" s="334">
        <f t="shared" si="5"/>
        <v>2.0833333333333363E-3</v>
      </c>
      <c r="I232" s="82"/>
      <c r="J232" s="82"/>
      <c r="K232" s="82"/>
    </row>
    <row r="233" spans="1:11" ht="14.25" customHeight="1" x14ac:dyDescent="0.2">
      <c r="A233" s="523">
        <v>43267</v>
      </c>
      <c r="B233" s="1058" t="s">
        <v>260</v>
      </c>
      <c r="C233" s="1059" t="s">
        <v>7907</v>
      </c>
      <c r="D233" s="1">
        <v>1.9756944444444445E-2</v>
      </c>
      <c r="E233" s="80" t="s">
        <v>5456</v>
      </c>
      <c r="F233" s="69" t="s">
        <v>3060</v>
      </c>
      <c r="G233" s="82">
        <v>0.56879999999999997</v>
      </c>
      <c r="H233" s="334">
        <f t="shared" si="5"/>
        <v>-3.703703703703716E-4</v>
      </c>
      <c r="I233" s="80"/>
    </row>
    <row r="234" spans="1:11" ht="14.25" customHeight="1" x14ac:dyDescent="0.2">
      <c r="A234" s="523">
        <v>43260</v>
      </c>
      <c r="B234" s="532" t="s">
        <v>260</v>
      </c>
      <c r="C234" s="843" t="s">
        <v>7907</v>
      </c>
      <c r="D234" s="334">
        <v>1.9386574074074073E-2</v>
      </c>
      <c r="E234" s="80" t="s">
        <v>5883</v>
      </c>
      <c r="F234" s="69" t="s">
        <v>9907</v>
      </c>
      <c r="G234" s="82">
        <v>0.57969999999999999</v>
      </c>
      <c r="H234" s="334">
        <f t="shared" si="5"/>
        <v>-1.5277777777777772E-3</v>
      </c>
      <c r="I234" s="80"/>
    </row>
    <row r="235" spans="1:11" ht="14.25" customHeight="1" x14ac:dyDescent="0.2">
      <c r="A235" s="523">
        <v>43253</v>
      </c>
      <c r="B235" s="901" t="s">
        <v>260</v>
      </c>
      <c r="C235" s="902" t="s">
        <v>7907</v>
      </c>
      <c r="D235" s="1">
        <v>1.7858796296296296E-2</v>
      </c>
      <c r="E235" s="80" t="s">
        <v>5883</v>
      </c>
      <c r="F235" s="69" t="s">
        <v>9869</v>
      </c>
      <c r="G235" s="82">
        <v>0.62929999999999997</v>
      </c>
      <c r="H235" s="334">
        <f t="shared" si="5"/>
        <v>-2.0833333333333467E-4</v>
      </c>
      <c r="I235" s="80"/>
    </row>
    <row r="236" spans="1:11" ht="14.25" customHeight="1" x14ac:dyDescent="0.2">
      <c r="A236" s="523">
        <v>43246</v>
      </c>
      <c r="B236" s="601" t="s">
        <v>260</v>
      </c>
      <c r="C236" s="958" t="s">
        <v>7907</v>
      </c>
      <c r="D236" s="1">
        <v>1.7650462962962962E-2</v>
      </c>
      <c r="E236" s="80" t="s">
        <v>5883</v>
      </c>
      <c r="F236" s="69"/>
      <c r="G236" s="82">
        <v>0.63670000000000004</v>
      </c>
      <c r="H236" s="334">
        <f t="shared" si="5"/>
        <v>6.9444444444444892E-5</v>
      </c>
      <c r="I236" s="80"/>
    </row>
    <row r="237" spans="1:11" ht="14.25" customHeight="1" x14ac:dyDescent="0.2">
      <c r="A237" s="523">
        <v>43239</v>
      </c>
      <c r="B237" s="80" t="s">
        <v>260</v>
      </c>
      <c r="C237" s="334" t="s">
        <v>7907</v>
      </c>
      <c r="D237" s="1">
        <v>1.7719907407407406E-2</v>
      </c>
      <c r="E237" s="80" t="s">
        <v>5883</v>
      </c>
      <c r="F237" s="69" t="s">
        <v>9815</v>
      </c>
      <c r="G237" s="82">
        <v>0.63419999999999999</v>
      </c>
      <c r="H237" s="334">
        <f t="shared" si="5"/>
        <v>1.1342592592592585E-3</v>
      </c>
      <c r="I237" s="80"/>
    </row>
    <row r="238" spans="1:11" ht="14.25" customHeight="1" x14ac:dyDescent="0.2">
      <c r="A238" s="523">
        <v>43232</v>
      </c>
      <c r="B238" s="1051" t="s">
        <v>260</v>
      </c>
      <c r="C238" s="1052" t="s">
        <v>7907</v>
      </c>
      <c r="D238" s="1">
        <v>1.8854166666666665E-2</v>
      </c>
      <c r="E238" s="80" t="s">
        <v>5883</v>
      </c>
      <c r="F238" s="69" t="s">
        <v>9754</v>
      </c>
      <c r="G238" s="82">
        <v>0.59609999999999996</v>
      </c>
      <c r="H238" s="334">
        <f t="shared" si="5"/>
        <v>1.4930555555555565E-3</v>
      </c>
      <c r="I238" s="80"/>
    </row>
    <row r="239" spans="1:11" ht="14.25" customHeight="1" x14ac:dyDescent="0.2">
      <c r="A239" s="523">
        <v>43225</v>
      </c>
      <c r="B239" s="1044" t="s">
        <v>260</v>
      </c>
      <c r="C239" s="1045" t="s">
        <v>7907</v>
      </c>
      <c r="D239" s="1">
        <v>2.0347222222222221E-2</v>
      </c>
      <c r="E239" s="80" t="s">
        <v>4936</v>
      </c>
      <c r="F239" s="69" t="s">
        <v>9726</v>
      </c>
      <c r="G239" s="82">
        <v>0.55230000000000001</v>
      </c>
      <c r="H239" s="334" t="e">
        <f t="shared" si="5"/>
        <v>#VALUE!</v>
      </c>
      <c r="I239" s="80"/>
    </row>
    <row r="240" spans="1:11" ht="14.25" customHeight="1" x14ac:dyDescent="0.2">
      <c r="A240" s="33">
        <v>43218</v>
      </c>
      <c r="B240" s="568" t="s">
        <v>260</v>
      </c>
      <c r="C240" s="861" t="s">
        <v>7907</v>
      </c>
      <c r="D240" s="80" t="s">
        <v>787</v>
      </c>
      <c r="E240" s="80" t="s">
        <v>5883</v>
      </c>
      <c r="F240" s="69" t="s">
        <v>4854</v>
      </c>
      <c r="H240" s="334" t="e">
        <f t="shared" si="5"/>
        <v>#VALUE!</v>
      </c>
    </row>
    <row r="241" spans="1:9" ht="14.25" customHeight="1" x14ac:dyDescent="0.2">
      <c r="A241" s="523">
        <v>43204</v>
      </c>
      <c r="B241" s="80" t="s">
        <v>260</v>
      </c>
      <c r="C241" s="334" t="s">
        <v>7907</v>
      </c>
      <c r="D241" s="1">
        <v>2.1990740740740741E-2</v>
      </c>
      <c r="E241" s="80" t="s">
        <v>5883</v>
      </c>
      <c r="F241" s="69" t="s">
        <v>9589</v>
      </c>
      <c r="G241" s="82">
        <v>0.5111</v>
      </c>
      <c r="H241" s="334" t="e">
        <f t="shared" si="5"/>
        <v>#VALUE!</v>
      </c>
      <c r="I241" s="80"/>
    </row>
    <row r="242" spans="1:9" ht="14.25" customHeight="1" x14ac:dyDescent="0.2">
      <c r="A242" s="523">
        <v>43183</v>
      </c>
      <c r="B242" s="1019" t="s">
        <v>260</v>
      </c>
      <c r="C242" s="1020" t="s">
        <v>7907</v>
      </c>
      <c r="D242" s="1" t="s">
        <v>787</v>
      </c>
      <c r="E242" s="80" t="s">
        <v>5883</v>
      </c>
      <c r="F242" s="69" t="s">
        <v>4061</v>
      </c>
      <c r="G242" s="82"/>
      <c r="H242" s="334" t="e">
        <f t="shared" ref="H242:H273" si="6">D243-D242</f>
        <v>#VALUE!</v>
      </c>
      <c r="I242" s="80"/>
    </row>
    <row r="243" spans="1:9" ht="14.25" customHeight="1" x14ac:dyDescent="0.2">
      <c r="A243" s="523">
        <v>43176</v>
      </c>
      <c r="B243" s="532" t="s">
        <v>260</v>
      </c>
      <c r="C243" s="843" t="s">
        <v>7907</v>
      </c>
      <c r="D243" s="1">
        <v>1.8124999999999999E-2</v>
      </c>
      <c r="E243" s="80" t="s">
        <v>5883</v>
      </c>
      <c r="F243" s="69" t="s">
        <v>4153</v>
      </c>
      <c r="G243" s="82">
        <v>0.62009999999999998</v>
      </c>
      <c r="H243" s="334">
        <f t="shared" si="6"/>
        <v>5.7870370370370627E-4</v>
      </c>
      <c r="I243" s="80"/>
    </row>
    <row r="244" spans="1:9" ht="14.25" customHeight="1" x14ac:dyDescent="0.2">
      <c r="A244" s="523">
        <v>43155</v>
      </c>
      <c r="B244" s="940" t="s">
        <v>260</v>
      </c>
      <c r="C244" s="941" t="s">
        <v>7907</v>
      </c>
      <c r="D244" s="1">
        <v>1.8703703703703705E-2</v>
      </c>
      <c r="E244" s="80" t="s">
        <v>5883</v>
      </c>
      <c r="F244" s="69" t="s">
        <v>9320</v>
      </c>
      <c r="G244" s="82">
        <v>0.60089999999999999</v>
      </c>
      <c r="H244" s="334">
        <f t="shared" si="6"/>
        <v>-1.5509259259259278E-3</v>
      </c>
      <c r="I244" s="80"/>
    </row>
    <row r="245" spans="1:9" ht="14.25" customHeight="1" x14ac:dyDescent="0.2">
      <c r="A245" s="523">
        <v>43148</v>
      </c>
      <c r="B245" s="568" t="s">
        <v>260</v>
      </c>
      <c r="C245" s="861" t="s">
        <v>7907</v>
      </c>
      <c r="D245" s="1">
        <v>1.7152777777777777E-2</v>
      </c>
      <c r="E245" s="80" t="s">
        <v>5883</v>
      </c>
      <c r="F245" s="69" t="s">
        <v>1972</v>
      </c>
      <c r="G245" s="82">
        <v>0.6552</v>
      </c>
      <c r="H245" s="334">
        <f t="shared" si="6"/>
        <v>8.1018518518518462E-5</v>
      </c>
      <c r="I245" s="80"/>
    </row>
    <row r="246" spans="1:9" ht="14.25" customHeight="1" x14ac:dyDescent="0.2">
      <c r="A246" s="523">
        <v>43141</v>
      </c>
      <c r="B246" s="987" t="s">
        <v>260</v>
      </c>
      <c r="C246" s="988" t="s">
        <v>7907</v>
      </c>
      <c r="D246" s="1">
        <v>1.7233796296296296E-2</v>
      </c>
      <c r="E246" s="80" t="s">
        <v>129</v>
      </c>
      <c r="F246" s="69" t="s">
        <v>9237</v>
      </c>
      <c r="G246" s="82">
        <v>0.65210000000000001</v>
      </c>
      <c r="H246" s="334">
        <f t="shared" si="6"/>
        <v>4.8611111111111077E-4</v>
      </c>
      <c r="I246" s="80"/>
    </row>
    <row r="247" spans="1:9" ht="14.25" customHeight="1" x14ac:dyDescent="0.2">
      <c r="A247" s="523">
        <v>43127</v>
      </c>
      <c r="B247" s="862" t="s">
        <v>260</v>
      </c>
      <c r="C247" s="863" t="s">
        <v>7907</v>
      </c>
      <c r="D247" s="1">
        <v>1.7719907407407406E-2</v>
      </c>
      <c r="E247" s="80" t="s">
        <v>5883</v>
      </c>
      <c r="F247" s="69" t="s">
        <v>1091</v>
      </c>
      <c r="G247" s="82">
        <v>0.63419999999999999</v>
      </c>
      <c r="H247" s="334">
        <f t="shared" si="6"/>
        <v>6.9560185185185176E-3</v>
      </c>
      <c r="I247" s="80"/>
    </row>
    <row r="248" spans="1:9" ht="14.25" customHeight="1" x14ac:dyDescent="0.2">
      <c r="A248" s="523">
        <v>43120</v>
      </c>
      <c r="B248" s="601" t="s">
        <v>260</v>
      </c>
      <c r="C248" s="958" t="s">
        <v>7907</v>
      </c>
      <c r="D248" s="1">
        <v>2.4675925925925924E-2</v>
      </c>
      <c r="E248" s="80" t="s">
        <v>5883</v>
      </c>
      <c r="F248" s="69" t="s">
        <v>9104</v>
      </c>
      <c r="G248" s="82">
        <v>0.63380000000000003</v>
      </c>
      <c r="H248" s="334">
        <f t="shared" si="6"/>
        <v>-7.0717592592592568E-3</v>
      </c>
      <c r="I248" s="80"/>
    </row>
    <row r="249" spans="1:9" ht="14.25" customHeight="1" x14ac:dyDescent="0.2">
      <c r="A249" s="523">
        <v>43113</v>
      </c>
      <c r="B249" s="972" t="s">
        <v>260</v>
      </c>
      <c r="C249" s="973" t="s">
        <v>7907</v>
      </c>
      <c r="D249" s="1">
        <v>1.7604166666666667E-2</v>
      </c>
      <c r="E249" s="80" t="s">
        <v>5883</v>
      </c>
      <c r="F249" s="69" t="s">
        <v>9103</v>
      </c>
      <c r="G249" s="82">
        <v>0.63839999999999997</v>
      </c>
      <c r="H249" s="334">
        <f t="shared" si="6"/>
        <v>-4.745370370370372E-4</v>
      </c>
      <c r="I249" s="80"/>
    </row>
    <row r="250" spans="1:9" ht="14.25" customHeight="1" x14ac:dyDescent="0.2">
      <c r="A250" s="523">
        <v>43106</v>
      </c>
      <c r="B250" s="869" t="s">
        <v>260</v>
      </c>
      <c r="C250" s="903" t="s">
        <v>7907</v>
      </c>
      <c r="D250" s="1">
        <v>1.712962962962963E-2</v>
      </c>
      <c r="E250" s="80" t="s">
        <v>129</v>
      </c>
      <c r="F250" s="69" t="s">
        <v>9102</v>
      </c>
      <c r="G250" s="82">
        <v>0.65610000000000002</v>
      </c>
      <c r="H250" s="334">
        <f t="shared" si="6"/>
        <v>6.7129629629629484E-4</v>
      </c>
      <c r="I250" s="80"/>
    </row>
    <row r="251" spans="1:9" ht="14.25" customHeight="1" x14ac:dyDescent="0.2">
      <c r="A251" s="33">
        <v>43101</v>
      </c>
      <c r="B251" s="80" t="s">
        <v>260</v>
      </c>
      <c r="C251" s="334" t="s">
        <v>7907</v>
      </c>
      <c r="D251" s="1">
        <v>1.7800925925925925E-2</v>
      </c>
      <c r="E251" s="80" t="s">
        <v>2251</v>
      </c>
      <c r="F251" s="69" t="s">
        <v>5350</v>
      </c>
      <c r="G251" s="82">
        <v>0.63129999999999997</v>
      </c>
      <c r="H251" s="334">
        <f t="shared" si="6"/>
        <v>-2.8935185185185314E-4</v>
      </c>
      <c r="I251" s="80"/>
    </row>
    <row r="252" spans="1:9" ht="14.25" customHeight="1" x14ac:dyDescent="0.2">
      <c r="A252" s="33">
        <v>43101</v>
      </c>
      <c r="B252" s="556" t="s">
        <v>260</v>
      </c>
      <c r="C252" s="950" t="s">
        <v>7907</v>
      </c>
      <c r="D252" s="1">
        <v>1.7511574074074072E-2</v>
      </c>
      <c r="E252" s="80" t="s">
        <v>2783</v>
      </c>
      <c r="F252" s="69" t="s">
        <v>6406</v>
      </c>
      <c r="G252" s="82">
        <v>0.64180000000000004</v>
      </c>
      <c r="H252" s="334">
        <f t="shared" si="6"/>
        <v>-1.157407407407357E-5</v>
      </c>
      <c r="I252" s="80"/>
    </row>
    <row r="253" spans="1:9" ht="14.25" customHeight="1" x14ac:dyDescent="0.2">
      <c r="A253" s="523">
        <v>43449</v>
      </c>
      <c r="B253" s="1029" t="s">
        <v>10206</v>
      </c>
      <c r="C253" s="1029" t="s">
        <v>7907</v>
      </c>
      <c r="D253" s="1">
        <v>1.7499999999999998E-2</v>
      </c>
      <c r="E253" s="80" t="s">
        <v>5883</v>
      </c>
      <c r="F253" s="80" t="s">
        <v>11308</v>
      </c>
      <c r="G253" s="82">
        <v>0.64749999999999996</v>
      </c>
      <c r="H253" s="334">
        <f t="shared" si="6"/>
        <v>2.0833333333333329E-3</v>
      </c>
    </row>
    <row r="254" spans="1:9" ht="14.25" customHeight="1" x14ac:dyDescent="0.2">
      <c r="A254" s="523">
        <v>43288</v>
      </c>
      <c r="B254" s="1077" t="s">
        <v>10206</v>
      </c>
      <c r="C254" s="1077" t="s">
        <v>7907</v>
      </c>
      <c r="D254" s="1">
        <v>1.9583333333333331E-2</v>
      </c>
      <c r="E254" t="s">
        <v>5883</v>
      </c>
      <c r="F254" t="s">
        <v>9283</v>
      </c>
      <c r="G254" s="82">
        <v>0.57389999999999997</v>
      </c>
      <c r="H254" s="334">
        <f t="shared" si="6"/>
        <v>-2.9861111111111095E-3</v>
      </c>
    </row>
    <row r="255" spans="1:9" ht="14.25" customHeight="1" x14ac:dyDescent="0.2">
      <c r="A255" s="523">
        <v>43463</v>
      </c>
      <c r="B255" s="862" t="s">
        <v>4264</v>
      </c>
      <c r="C255" s="862" t="s">
        <v>5239</v>
      </c>
      <c r="D255" s="1">
        <v>1.6597222222222222E-2</v>
      </c>
      <c r="E255" s="80" t="s">
        <v>9307</v>
      </c>
      <c r="F255" s="80" t="s">
        <v>11404</v>
      </c>
      <c r="G255" s="82">
        <v>0.74760000000000004</v>
      </c>
      <c r="H255" s="334">
        <f t="shared" si="6"/>
        <v>5.4861111111111117E-3</v>
      </c>
    </row>
    <row r="256" spans="1:9" ht="14.25" customHeight="1" x14ac:dyDescent="0.2">
      <c r="A256" s="523">
        <v>43456</v>
      </c>
      <c r="B256" s="556" t="s">
        <v>4264</v>
      </c>
      <c r="C256" s="556" t="s">
        <v>5239</v>
      </c>
      <c r="D256" s="1">
        <v>2.2083333333333333E-2</v>
      </c>
      <c r="E256" s="80" t="s">
        <v>5198</v>
      </c>
      <c r="F256" s="80" t="s">
        <v>11358</v>
      </c>
      <c r="G256" s="82">
        <v>0.56179999999999997</v>
      </c>
      <c r="H256" s="334">
        <f t="shared" si="6"/>
        <v>-6.6203703703703702E-3</v>
      </c>
    </row>
    <row r="257" spans="1:9" ht="14.25" customHeight="1" x14ac:dyDescent="0.2">
      <c r="A257" s="523">
        <v>43428</v>
      </c>
      <c r="B257" s="1038" t="s">
        <v>4264</v>
      </c>
      <c r="C257" s="1038" t="s">
        <v>5239</v>
      </c>
      <c r="D257" s="1">
        <v>1.5462962962962963E-2</v>
      </c>
      <c r="E257" s="80" t="s">
        <v>10983</v>
      </c>
      <c r="F257" s="80" t="s">
        <v>11089</v>
      </c>
      <c r="G257" s="82">
        <v>0.8024</v>
      </c>
      <c r="H257" s="334">
        <f t="shared" si="6"/>
        <v>8.1018518518516727E-5</v>
      </c>
    </row>
    <row r="258" spans="1:9" ht="14.25" customHeight="1" x14ac:dyDescent="0.2">
      <c r="A258" s="523">
        <v>43421</v>
      </c>
      <c r="B258" s="906" t="s">
        <v>4264</v>
      </c>
      <c r="C258" s="906" t="s">
        <v>5239</v>
      </c>
      <c r="D258" s="1">
        <v>1.554398148148148E-2</v>
      </c>
      <c r="E258" s="80" t="s">
        <v>5948</v>
      </c>
      <c r="F258" s="80" t="s">
        <v>11051</v>
      </c>
      <c r="G258" s="82">
        <v>0.79820000000000002</v>
      </c>
      <c r="H258" s="334">
        <f t="shared" si="6"/>
        <v>1.851851851851858E-4</v>
      </c>
    </row>
    <row r="259" spans="1:9" ht="14.25" customHeight="1" x14ac:dyDescent="0.2">
      <c r="A259" s="523">
        <v>43414</v>
      </c>
      <c r="B259" s="862" t="s">
        <v>4264</v>
      </c>
      <c r="C259" s="862" t="s">
        <v>5239</v>
      </c>
      <c r="D259" s="1">
        <v>1.5729166666666666E-2</v>
      </c>
      <c r="E259" s="80" t="s">
        <v>5948</v>
      </c>
      <c r="F259" s="80" t="s">
        <v>10997</v>
      </c>
      <c r="G259" s="82">
        <v>0.79059999999999997</v>
      </c>
      <c r="H259" s="334">
        <f t="shared" si="6"/>
        <v>9.2592592592595502E-5</v>
      </c>
    </row>
    <row r="260" spans="1:9" ht="14.25" customHeight="1" x14ac:dyDescent="0.2">
      <c r="A260" s="523">
        <v>43393</v>
      </c>
      <c r="B260" s="862" t="s">
        <v>4264</v>
      </c>
      <c r="C260" s="862" t="s">
        <v>5239</v>
      </c>
      <c r="D260" s="1">
        <v>1.5821759259259261E-2</v>
      </c>
      <c r="E260" s="80" t="s">
        <v>5948</v>
      </c>
      <c r="F260" s="80" t="s">
        <v>10862</v>
      </c>
      <c r="G260" s="82">
        <v>0.78420000000000001</v>
      </c>
      <c r="H260" s="334">
        <f t="shared" si="6"/>
        <v>6.9444444444444198E-4</v>
      </c>
    </row>
    <row r="261" spans="1:9" ht="14.25" customHeight="1" x14ac:dyDescent="0.2">
      <c r="A261" s="34">
        <v>43379</v>
      </c>
      <c r="B261" s="869" t="s">
        <v>4264</v>
      </c>
      <c r="C261" s="869" t="s">
        <v>5239</v>
      </c>
      <c r="D261" s="1">
        <v>1.6516203703703703E-2</v>
      </c>
      <c r="E261" s="80" t="s">
        <v>1982</v>
      </c>
      <c r="F261" s="80" t="s">
        <v>10782</v>
      </c>
      <c r="G261" s="82">
        <v>0.75119999999999998</v>
      </c>
      <c r="H261" s="334">
        <f t="shared" si="6"/>
        <v>-1.2615740740740729E-3</v>
      </c>
    </row>
    <row r="262" spans="1:9" ht="14.25" customHeight="1" x14ac:dyDescent="0.2">
      <c r="A262" s="34">
        <v>43372</v>
      </c>
      <c r="B262" s="532" t="s">
        <v>4264</v>
      </c>
      <c r="C262" s="532" t="s">
        <v>5239</v>
      </c>
      <c r="D262" s="1">
        <v>1.525462962962963E-2</v>
      </c>
      <c r="E262" s="80" t="s">
        <v>5198</v>
      </c>
      <c r="F262" s="80" t="s">
        <v>10673</v>
      </c>
      <c r="G262" s="82">
        <v>0.81340000000000001</v>
      </c>
      <c r="H262" s="334">
        <f t="shared" si="6"/>
        <v>6.3657407407407239E-4</v>
      </c>
    </row>
    <row r="263" spans="1:9" ht="14.25" customHeight="1" x14ac:dyDescent="0.2">
      <c r="A263" s="34">
        <v>43365</v>
      </c>
      <c r="B263" s="556" t="s">
        <v>4264</v>
      </c>
      <c r="C263" s="556" t="s">
        <v>5239</v>
      </c>
      <c r="D263" s="1">
        <v>1.5891203703703703E-2</v>
      </c>
      <c r="E263" s="80" t="s">
        <v>4302</v>
      </c>
      <c r="F263" s="80" t="s">
        <v>10672</v>
      </c>
      <c r="G263" s="82">
        <v>0.78080000000000005</v>
      </c>
      <c r="H263" s="334">
        <f t="shared" si="6"/>
        <v>-5.9027777777777637E-4</v>
      </c>
    </row>
    <row r="264" spans="1:9" ht="14.25" customHeight="1" x14ac:dyDescent="0.2">
      <c r="A264" s="523">
        <v>43351</v>
      </c>
      <c r="B264" s="531" t="s">
        <v>4264</v>
      </c>
      <c r="C264" s="531" t="s">
        <v>5239</v>
      </c>
      <c r="D264" s="1">
        <v>1.5300925925925926E-2</v>
      </c>
      <c r="E264" s="80" t="s">
        <v>5948</v>
      </c>
      <c r="F264" s="80" t="s">
        <v>10590</v>
      </c>
      <c r="G264" s="82">
        <v>0.81089999999999995</v>
      </c>
      <c r="H264" s="334">
        <f t="shared" si="6"/>
        <v>-1.5046296296296335E-4</v>
      </c>
    </row>
    <row r="265" spans="1:9" ht="14.25" customHeight="1" x14ac:dyDescent="0.2">
      <c r="A265" s="523">
        <v>43344</v>
      </c>
      <c r="B265" s="552" t="s">
        <v>4264</v>
      </c>
      <c r="C265" s="552" t="s">
        <v>5239</v>
      </c>
      <c r="D265" s="1">
        <v>1.5150462962962963E-2</v>
      </c>
      <c r="E265" s="80" t="s">
        <v>5198</v>
      </c>
      <c r="F265" s="80" t="s">
        <v>10552</v>
      </c>
      <c r="G265" s="82">
        <v>0.81889999999999996</v>
      </c>
      <c r="H265" s="334">
        <f t="shared" si="6"/>
        <v>8.6805555555555594E-4</v>
      </c>
    </row>
    <row r="266" spans="1:9" ht="14.25" customHeight="1" x14ac:dyDescent="0.2">
      <c r="A266" s="523">
        <v>43330</v>
      </c>
      <c r="B266" s="1099" t="s">
        <v>4264</v>
      </c>
      <c r="C266" s="1099" t="s">
        <v>5239</v>
      </c>
      <c r="D266" s="1">
        <v>1.6018518518518519E-2</v>
      </c>
      <c r="E266" s="80" t="s">
        <v>5948</v>
      </c>
      <c r="F266" s="80" t="s">
        <v>10453</v>
      </c>
      <c r="G266" s="82">
        <v>0.77049999999999996</v>
      </c>
      <c r="H266" s="334">
        <f t="shared" si="6"/>
        <v>-8.9120370370370308E-4</v>
      </c>
    </row>
    <row r="267" spans="1:9" ht="14.25" customHeight="1" x14ac:dyDescent="0.2">
      <c r="A267" s="523">
        <v>43309</v>
      </c>
      <c r="B267" s="879" t="s">
        <v>4264</v>
      </c>
      <c r="C267" s="879" t="s">
        <v>5239</v>
      </c>
      <c r="D267" s="334">
        <v>1.5127314814814816E-2</v>
      </c>
      <c r="E267" s="80" t="s">
        <v>2465</v>
      </c>
      <c r="F267" s="80" t="s">
        <v>10352</v>
      </c>
      <c r="G267" s="82">
        <v>0.82020000000000004</v>
      </c>
      <c r="H267" s="334">
        <f t="shared" si="6"/>
        <v>3.4722222222222272E-4</v>
      </c>
    </row>
    <row r="268" spans="1:9" ht="14.25" customHeight="1" x14ac:dyDescent="0.2">
      <c r="A268" s="523">
        <v>43302</v>
      </c>
      <c r="B268" s="985" t="s">
        <v>4264</v>
      </c>
      <c r="C268" s="985" t="s">
        <v>5239</v>
      </c>
      <c r="D268" s="1">
        <v>1.5474537037037038E-2</v>
      </c>
      <c r="E268" s="80" t="s">
        <v>9307</v>
      </c>
      <c r="F268" s="80" t="s">
        <v>2975</v>
      </c>
      <c r="G268" s="82">
        <v>0.80179999999999996</v>
      </c>
      <c r="H268" s="334">
        <f t="shared" si="6"/>
        <v>8.1018518518514993E-5</v>
      </c>
      <c r="I268" s="80" t="s">
        <v>10303</v>
      </c>
    </row>
    <row r="269" spans="1:9" ht="14.25" customHeight="1" x14ac:dyDescent="0.2">
      <c r="A269" s="523">
        <v>43295</v>
      </c>
      <c r="B269" s="601" t="s">
        <v>4264</v>
      </c>
      <c r="C269" s="601" t="s">
        <v>5239</v>
      </c>
      <c r="D269" s="1">
        <v>1.5555555555555553E-2</v>
      </c>
      <c r="E269" s="80" t="s">
        <v>5947</v>
      </c>
      <c r="F269" s="80" t="s">
        <v>10240</v>
      </c>
      <c r="G269" s="82">
        <v>0.79759999999999998</v>
      </c>
      <c r="H269" s="334">
        <f t="shared" si="6"/>
        <v>-1.5046296296295988E-4</v>
      </c>
    </row>
    <row r="270" spans="1:9" ht="14.25" customHeight="1" x14ac:dyDescent="0.2">
      <c r="A270" s="523">
        <v>43281</v>
      </c>
      <c r="B270" s="556" t="s">
        <v>4264</v>
      </c>
      <c r="C270" s="556" t="s">
        <v>5239</v>
      </c>
      <c r="D270" s="1">
        <v>1.5405092592592593E-2</v>
      </c>
      <c r="E270" s="80" t="s">
        <v>3528</v>
      </c>
      <c r="F270" s="80" t="s">
        <v>10168</v>
      </c>
      <c r="G270" s="82">
        <v>0.8054</v>
      </c>
      <c r="H270" s="334">
        <f t="shared" si="6"/>
        <v>4.6296296296296016E-5</v>
      </c>
    </row>
    <row r="271" spans="1:9" ht="14.25" customHeight="1" x14ac:dyDescent="0.2">
      <c r="A271" s="34">
        <v>43274</v>
      </c>
      <c r="B271" s="1071" t="s">
        <v>4264</v>
      </c>
      <c r="C271" s="1071" t="s">
        <v>5239</v>
      </c>
      <c r="D271" s="1">
        <v>1.545138888888889E-2</v>
      </c>
      <c r="E271" s="80" t="s">
        <v>5544</v>
      </c>
      <c r="F271" s="80" t="s">
        <v>10105</v>
      </c>
      <c r="G271" s="82">
        <v>0.80300000000000005</v>
      </c>
      <c r="H271" s="334">
        <f t="shared" si="6"/>
        <v>3.1249999999999681E-4</v>
      </c>
    </row>
    <row r="272" spans="1:9" ht="14.25" customHeight="1" x14ac:dyDescent="0.2">
      <c r="A272" s="523">
        <v>43267</v>
      </c>
      <c r="B272" s="1058" t="s">
        <v>4264</v>
      </c>
      <c r="C272" s="1059" t="s">
        <v>5239</v>
      </c>
      <c r="D272" s="1">
        <v>1.5763888888888886E-2</v>
      </c>
      <c r="E272" s="80" t="s">
        <v>2431</v>
      </c>
      <c r="F272" s="69" t="s">
        <v>9946</v>
      </c>
      <c r="G272" s="82">
        <v>0.78710000000000002</v>
      </c>
      <c r="H272" s="334">
        <f t="shared" si="6"/>
        <v>-5.0925925925925618E-4</v>
      </c>
      <c r="I272" s="80" t="s">
        <v>9947</v>
      </c>
    </row>
    <row r="273" spans="1:15" ht="14.25" customHeight="1" x14ac:dyDescent="0.2">
      <c r="A273" s="523">
        <v>43260</v>
      </c>
      <c r="B273" s="532" t="s">
        <v>4264</v>
      </c>
      <c r="C273" s="843" t="s">
        <v>5239</v>
      </c>
      <c r="D273" s="1">
        <v>1.525462962962963E-2</v>
      </c>
      <c r="E273" s="80" t="s">
        <v>5198</v>
      </c>
      <c r="F273" s="69" t="s">
        <v>9924</v>
      </c>
      <c r="G273" s="82">
        <v>0.81340000000000001</v>
      </c>
      <c r="H273" s="334">
        <f t="shared" si="6"/>
        <v>4.629629629629619E-4</v>
      </c>
      <c r="I273" s="80" t="s">
        <v>9925</v>
      </c>
    </row>
    <row r="274" spans="1:15" ht="14.25" customHeight="1" x14ac:dyDescent="0.2">
      <c r="A274" s="523">
        <v>43246</v>
      </c>
      <c r="B274" s="601" t="s">
        <v>4264</v>
      </c>
      <c r="C274" s="958" t="s">
        <v>5239</v>
      </c>
      <c r="D274" s="1">
        <v>1.5717592592592592E-2</v>
      </c>
      <c r="E274" s="80" t="s">
        <v>5948</v>
      </c>
      <c r="F274" s="69"/>
      <c r="G274" s="82">
        <v>0.77910000000000001</v>
      </c>
      <c r="H274" s="334">
        <f t="shared" ref="H274:H305" si="7">D275-D274</f>
        <v>-6.2499999999999882E-4</v>
      </c>
      <c r="I274" s="80"/>
    </row>
    <row r="275" spans="1:15" ht="14.25" customHeight="1" x14ac:dyDescent="0.2">
      <c r="A275" s="523">
        <v>43239</v>
      </c>
      <c r="B275" s="80" t="s">
        <v>4264</v>
      </c>
      <c r="C275" s="334" t="s">
        <v>5239</v>
      </c>
      <c r="D275" s="1">
        <v>1.5092592592592593E-2</v>
      </c>
      <c r="E275" s="80" t="s">
        <v>9307</v>
      </c>
      <c r="F275" s="69" t="s">
        <v>9818</v>
      </c>
      <c r="G275" s="82">
        <v>0.81130000000000002</v>
      </c>
      <c r="H275" s="334">
        <f t="shared" si="7"/>
        <v>5.6712962962963097E-4</v>
      </c>
      <c r="I275" s="80"/>
    </row>
    <row r="276" spans="1:15" ht="14.25" customHeight="1" x14ac:dyDescent="0.2">
      <c r="A276" s="523">
        <v>43232</v>
      </c>
      <c r="B276" s="1051" t="s">
        <v>4264</v>
      </c>
      <c r="C276" s="1052" t="s">
        <v>5239</v>
      </c>
      <c r="D276" s="1">
        <v>1.5659722222222224E-2</v>
      </c>
      <c r="E276" s="80" t="s">
        <v>2431</v>
      </c>
      <c r="F276" s="69" t="s">
        <v>9755</v>
      </c>
      <c r="G276" s="82">
        <v>0.78200000000000003</v>
      </c>
      <c r="H276" s="334">
        <f t="shared" si="7"/>
        <v>6.0185185185184994E-4</v>
      </c>
      <c r="I276" s="80"/>
    </row>
    <row r="277" spans="1:15" ht="14.25" customHeight="1" x14ac:dyDescent="0.2">
      <c r="A277" s="523">
        <v>43218</v>
      </c>
      <c r="B277" s="568" t="s">
        <v>4264</v>
      </c>
      <c r="C277" s="861" t="s">
        <v>5239</v>
      </c>
      <c r="D277" s="1">
        <v>1.6261574074074074E-2</v>
      </c>
      <c r="E277" s="80" t="s">
        <v>5456</v>
      </c>
      <c r="F277" s="69" t="s">
        <v>9664</v>
      </c>
      <c r="G277" s="82">
        <v>0.753</v>
      </c>
      <c r="H277" s="334">
        <f t="shared" si="7"/>
        <v>6.8287037037036841E-4</v>
      </c>
      <c r="I277" s="80"/>
    </row>
    <row r="278" spans="1:15" ht="14.25" customHeight="1" x14ac:dyDescent="0.2">
      <c r="A278" s="523">
        <v>43211</v>
      </c>
      <c r="B278" s="1038" t="s">
        <v>4264</v>
      </c>
      <c r="C278" s="1039" t="s">
        <v>5239</v>
      </c>
      <c r="D278" s="1">
        <v>1.6944444444444443E-2</v>
      </c>
      <c r="E278" s="80" t="s">
        <v>9578</v>
      </c>
      <c r="F278" s="69" t="s">
        <v>9623</v>
      </c>
      <c r="G278" s="82">
        <v>0.72270000000000001</v>
      </c>
      <c r="H278" s="334">
        <f t="shared" si="7"/>
        <v>-8.3333333333333176E-4</v>
      </c>
      <c r="I278" s="80" t="s">
        <v>9633</v>
      </c>
    </row>
    <row r="279" spans="1:15" ht="14.25" customHeight="1" x14ac:dyDescent="0.2">
      <c r="A279" s="523">
        <v>43204</v>
      </c>
      <c r="B279" s="80" t="s">
        <v>4264</v>
      </c>
      <c r="C279" s="334" t="s">
        <v>5239</v>
      </c>
      <c r="D279" s="1">
        <v>1.6111111111111111E-2</v>
      </c>
      <c r="E279" s="80" t="s">
        <v>2431</v>
      </c>
      <c r="F279" s="69" t="s">
        <v>9590</v>
      </c>
      <c r="G279" s="82">
        <v>0.7601</v>
      </c>
      <c r="H279" s="334">
        <f t="shared" si="7"/>
        <v>-7.9861111111111105E-4</v>
      </c>
      <c r="I279" s="80"/>
    </row>
    <row r="280" spans="1:15" ht="14.25" customHeight="1" x14ac:dyDescent="0.2">
      <c r="A280" s="523">
        <v>43183</v>
      </c>
      <c r="B280" s="1019" t="s">
        <v>4264</v>
      </c>
      <c r="C280" s="1020" t="s">
        <v>5239</v>
      </c>
      <c r="D280" s="1">
        <v>1.53125E-2</v>
      </c>
      <c r="E280" s="80" t="s">
        <v>475</v>
      </c>
      <c r="F280" s="69" t="s">
        <v>9474</v>
      </c>
      <c r="G280" s="82">
        <v>0.79969999999999997</v>
      </c>
      <c r="H280" s="334">
        <f t="shared" si="7"/>
        <v>7.6388888888888687E-4</v>
      </c>
      <c r="I280" s="80" t="s">
        <v>9476</v>
      </c>
    </row>
    <row r="281" spans="1:15" ht="14.25" customHeight="1" x14ac:dyDescent="0.2">
      <c r="A281" s="523">
        <v>43176</v>
      </c>
      <c r="B281" s="532" t="s">
        <v>4264</v>
      </c>
      <c r="C281" s="843" t="s">
        <v>5239</v>
      </c>
      <c r="D281" s="1">
        <v>1.6076388888888887E-2</v>
      </c>
      <c r="E281" s="80" t="s">
        <v>2431</v>
      </c>
      <c r="F281" s="69" t="s">
        <v>9450</v>
      </c>
      <c r="G281" s="82">
        <v>0.76170000000000004</v>
      </c>
      <c r="H281" s="334">
        <f t="shared" si="7"/>
        <v>2.0833333333333467E-4</v>
      </c>
      <c r="I281" s="80"/>
    </row>
    <row r="282" spans="1:15" ht="14.25" customHeight="1" x14ac:dyDescent="0.2">
      <c r="A282" s="523">
        <v>43169</v>
      </c>
      <c r="B282" s="862" t="s">
        <v>4264</v>
      </c>
      <c r="C282" s="863" t="s">
        <v>5239</v>
      </c>
      <c r="D282" s="1">
        <v>1.6284722222222221E-2</v>
      </c>
      <c r="E282" s="80" t="s">
        <v>4302</v>
      </c>
      <c r="F282" s="69" t="s">
        <v>9429</v>
      </c>
      <c r="G282" s="82">
        <v>0.752</v>
      </c>
      <c r="H282" s="334">
        <f t="shared" si="7"/>
        <v>4.8611111111111077E-4</v>
      </c>
      <c r="I282" s="80"/>
    </row>
    <row r="283" spans="1:15" ht="14.25" customHeight="1" x14ac:dyDescent="0.2">
      <c r="A283" s="523">
        <v>43162</v>
      </c>
      <c r="B283" s="879" t="s">
        <v>4264</v>
      </c>
      <c r="C283" s="880" t="s">
        <v>5239</v>
      </c>
      <c r="D283" s="1">
        <v>1.6770833333333332E-2</v>
      </c>
      <c r="E283" s="80" t="s">
        <v>9396</v>
      </c>
      <c r="F283" s="69" t="s">
        <v>9397</v>
      </c>
      <c r="G283" s="82">
        <v>0.73019999999999996</v>
      </c>
      <c r="H283" s="334">
        <f t="shared" si="7"/>
        <v>-1.4814814814814812E-3</v>
      </c>
      <c r="I283" s="80"/>
    </row>
    <row r="284" spans="1:15" ht="14.25" customHeight="1" x14ac:dyDescent="0.2">
      <c r="A284" s="523">
        <v>43148</v>
      </c>
      <c r="B284" s="568" t="s">
        <v>4264</v>
      </c>
      <c r="C284" s="861" t="s">
        <v>5239</v>
      </c>
      <c r="D284" s="1">
        <v>1.5289351851851851E-2</v>
      </c>
      <c r="E284" s="80" t="s">
        <v>5948</v>
      </c>
      <c r="F284" s="69" t="s">
        <v>8351</v>
      </c>
      <c r="G284" s="82">
        <v>0.80089999999999995</v>
      </c>
      <c r="H284" s="334">
        <f t="shared" si="7"/>
        <v>1.3888888888888978E-4</v>
      </c>
      <c r="I284" s="80"/>
    </row>
    <row r="285" spans="1:15" ht="14.25" customHeight="1" x14ac:dyDescent="0.2">
      <c r="A285" s="523">
        <v>43141</v>
      </c>
      <c r="B285" s="987" t="s">
        <v>4264</v>
      </c>
      <c r="C285" s="988" t="s">
        <v>5239</v>
      </c>
      <c r="D285" s="1">
        <v>1.5428240740740741E-2</v>
      </c>
      <c r="E285" s="80" t="s">
        <v>5948</v>
      </c>
      <c r="F285" s="69" t="s">
        <v>4113</v>
      </c>
      <c r="G285" s="82">
        <v>0.79369999999999996</v>
      </c>
      <c r="H285" s="334">
        <f t="shared" si="7"/>
        <v>4.1666666666666761E-4</v>
      </c>
      <c r="I285" s="80"/>
    </row>
    <row r="286" spans="1:15" ht="14.25" customHeight="1" x14ac:dyDescent="0.2">
      <c r="A286" s="523">
        <v>43120</v>
      </c>
      <c r="B286" s="601" t="s">
        <v>4264</v>
      </c>
      <c r="C286" s="958" t="s">
        <v>5239</v>
      </c>
      <c r="D286" s="1">
        <v>1.5844907407407408E-2</v>
      </c>
      <c r="E286" s="80" t="s">
        <v>5948</v>
      </c>
      <c r="F286" s="69" t="s">
        <v>9123</v>
      </c>
      <c r="G286" s="82">
        <v>0.77280000000000004</v>
      </c>
      <c r="H286" s="334">
        <f t="shared" si="7"/>
        <v>-6.59722222222223E-4</v>
      </c>
      <c r="I286" s="80"/>
    </row>
    <row r="287" spans="1:15" ht="14.25" customHeight="1" x14ac:dyDescent="0.2">
      <c r="A287" s="33">
        <v>43101</v>
      </c>
      <c r="B287" s="556" t="s">
        <v>4264</v>
      </c>
      <c r="C287" s="950" t="s">
        <v>5239</v>
      </c>
      <c r="D287" s="1">
        <v>1.5185185185185185E-2</v>
      </c>
      <c r="E287" s="80" t="s">
        <v>3869</v>
      </c>
      <c r="F287" s="69" t="s">
        <v>9041</v>
      </c>
      <c r="G287" s="82">
        <v>0.80640000000000001</v>
      </c>
      <c r="H287" s="334">
        <f t="shared" si="7"/>
        <v>1.3217592592592592E-2</v>
      </c>
      <c r="I287" s="80" t="s">
        <v>9042</v>
      </c>
      <c r="O287" s="80" t="s">
        <v>9043</v>
      </c>
    </row>
    <row r="288" spans="1:15" ht="14.25" customHeight="1" x14ac:dyDescent="0.2">
      <c r="A288" s="523">
        <v>43414</v>
      </c>
      <c r="B288" s="862" t="s">
        <v>435</v>
      </c>
      <c r="C288" s="862" t="s">
        <v>436</v>
      </c>
      <c r="D288" s="1">
        <v>2.8402777777777777E-2</v>
      </c>
      <c r="E288" s="80" t="s">
        <v>1401</v>
      </c>
      <c r="F288" s="80" t="s">
        <v>10991</v>
      </c>
      <c r="G288" s="82">
        <v>0.47149999999999997</v>
      </c>
      <c r="H288" s="334">
        <f t="shared" si="7"/>
        <v>4.629629629629671E-4</v>
      </c>
    </row>
    <row r="289" spans="1:9" ht="14.25" customHeight="1" x14ac:dyDescent="0.2">
      <c r="A289" s="523">
        <v>43393</v>
      </c>
      <c r="B289" s="862" t="s">
        <v>435</v>
      </c>
      <c r="C289" s="862" t="s">
        <v>436</v>
      </c>
      <c r="D289" s="1">
        <v>2.8865740740740744E-2</v>
      </c>
      <c r="E289" s="80" t="s">
        <v>5653</v>
      </c>
      <c r="F289" s="80" t="s">
        <v>10845</v>
      </c>
      <c r="G289" s="82">
        <v>0.46389999999999998</v>
      </c>
      <c r="H289" s="334">
        <f t="shared" si="7"/>
        <v>-4.1666666666666935E-4</v>
      </c>
    </row>
    <row r="290" spans="1:9" ht="14.25" customHeight="1" x14ac:dyDescent="0.2">
      <c r="A290" s="34">
        <v>43379</v>
      </c>
      <c r="B290" s="869" t="s">
        <v>435</v>
      </c>
      <c r="C290" s="869" t="s">
        <v>436</v>
      </c>
      <c r="D290" s="1">
        <v>2.8449074074074075E-2</v>
      </c>
      <c r="E290" s="80" t="s">
        <v>6393</v>
      </c>
      <c r="F290" s="80" t="s">
        <v>10752</v>
      </c>
      <c r="G290" s="82">
        <v>0.47070000000000001</v>
      </c>
      <c r="H290" s="334">
        <f t="shared" si="7"/>
        <v>-2.5115740740740723E-3</v>
      </c>
    </row>
    <row r="291" spans="1:9" ht="14.25" customHeight="1" x14ac:dyDescent="0.2">
      <c r="A291" s="523">
        <v>43351</v>
      </c>
      <c r="B291" s="532" t="s">
        <v>435</v>
      </c>
      <c r="C291" s="532" t="s">
        <v>436</v>
      </c>
      <c r="D291" s="1">
        <v>2.5937500000000002E-2</v>
      </c>
      <c r="E291" s="80" t="s">
        <v>6393</v>
      </c>
      <c r="F291" s="80" t="s">
        <v>10602</v>
      </c>
      <c r="G291" s="82">
        <v>0.51629999999999998</v>
      </c>
      <c r="H291" s="334">
        <f t="shared" si="7"/>
        <v>1.7708333333333291E-3</v>
      </c>
    </row>
    <row r="292" spans="1:9" ht="14.25" customHeight="1" x14ac:dyDescent="0.2">
      <c r="A292" s="523">
        <v>43344</v>
      </c>
      <c r="B292" s="552" t="s">
        <v>435</v>
      </c>
      <c r="C292" s="552" t="s">
        <v>436</v>
      </c>
      <c r="D292" s="1">
        <v>2.7708333333333331E-2</v>
      </c>
      <c r="E292" t="s">
        <v>5653</v>
      </c>
      <c r="F292" t="s">
        <v>10537</v>
      </c>
      <c r="G292" s="82">
        <v>0.48330000000000001</v>
      </c>
      <c r="H292" s="334">
        <f t="shared" si="7"/>
        <v>-1.3888888888888284E-4</v>
      </c>
    </row>
    <row r="293" spans="1:9" ht="14.25" customHeight="1" x14ac:dyDescent="0.2">
      <c r="A293" s="523">
        <v>43330</v>
      </c>
      <c r="B293" s="1099" t="s">
        <v>435</v>
      </c>
      <c r="C293" s="1099" t="s">
        <v>436</v>
      </c>
      <c r="D293" s="1">
        <v>2.7569444444444448E-2</v>
      </c>
      <c r="E293" s="80" t="s">
        <v>10464</v>
      </c>
      <c r="F293" s="80" t="s">
        <v>10465</v>
      </c>
      <c r="G293" s="82">
        <v>0.48570000000000002</v>
      </c>
      <c r="H293" s="334">
        <f t="shared" si="7"/>
        <v>7.0601851851851555E-4</v>
      </c>
    </row>
    <row r="294" spans="1:9" ht="14.25" customHeight="1" x14ac:dyDescent="0.2">
      <c r="A294" s="523">
        <v>43323</v>
      </c>
      <c r="B294" s="585" t="s">
        <v>435</v>
      </c>
      <c r="C294" s="585" t="s">
        <v>436</v>
      </c>
      <c r="D294" s="1">
        <v>2.8275462962962964E-2</v>
      </c>
      <c r="E294" t="s">
        <v>5095</v>
      </c>
      <c r="F294" t="s">
        <v>10410</v>
      </c>
      <c r="G294" s="82">
        <v>0.47360000000000002</v>
      </c>
      <c r="H294" s="334">
        <f t="shared" si="7"/>
        <v>-7.0601851851851555E-4</v>
      </c>
    </row>
    <row r="295" spans="1:9" ht="14.25" customHeight="1" x14ac:dyDescent="0.2">
      <c r="A295" s="523">
        <v>43316</v>
      </c>
      <c r="B295" s="1029" t="s">
        <v>435</v>
      </c>
      <c r="C295" s="1030" t="s">
        <v>436</v>
      </c>
      <c r="D295" s="136">
        <v>2.7569444444444448E-2</v>
      </c>
      <c r="E295" s="80" t="s">
        <v>5653</v>
      </c>
      <c r="F295" s="69" t="s">
        <v>10382</v>
      </c>
      <c r="G295" s="82">
        <v>0.48570000000000002</v>
      </c>
      <c r="H295" s="334">
        <f t="shared" si="7"/>
        <v>-1.0648148148148205E-3</v>
      </c>
    </row>
    <row r="296" spans="1:9" ht="14.25" customHeight="1" x14ac:dyDescent="0.2">
      <c r="A296" s="523">
        <v>43295</v>
      </c>
      <c r="B296" s="601" t="s">
        <v>435</v>
      </c>
      <c r="C296" s="601" t="s">
        <v>436</v>
      </c>
      <c r="D296" s="1">
        <v>2.6504629629629628E-2</v>
      </c>
      <c r="E296" s="80" t="s">
        <v>5653</v>
      </c>
      <c r="F296" s="80" t="s">
        <v>10237</v>
      </c>
      <c r="G296" s="82">
        <v>0.50519999999999998</v>
      </c>
      <c r="H296" s="334">
        <f t="shared" si="7"/>
        <v>1.1689814814814826E-3</v>
      </c>
    </row>
    <row r="297" spans="1:9" ht="14.25" customHeight="1" x14ac:dyDescent="0.2">
      <c r="A297" s="523">
        <v>43288</v>
      </c>
      <c r="B297" s="1029" t="s">
        <v>435</v>
      </c>
      <c r="C297" s="1029" t="s">
        <v>436</v>
      </c>
      <c r="D297" s="1">
        <v>2.7673611111111111E-2</v>
      </c>
      <c r="E297" s="80" t="s">
        <v>5653</v>
      </c>
      <c r="F297" s="80" t="s">
        <v>10211</v>
      </c>
      <c r="G297" s="82">
        <v>0.4839</v>
      </c>
      <c r="H297" s="334">
        <f t="shared" si="7"/>
        <v>-5.0925925925925791E-4</v>
      </c>
    </row>
    <row r="298" spans="1:9" ht="14.25" customHeight="1" x14ac:dyDescent="0.2">
      <c r="A298" s="523">
        <v>43281</v>
      </c>
      <c r="B298" s="552" t="s">
        <v>435</v>
      </c>
      <c r="C298" s="552" t="s">
        <v>436</v>
      </c>
      <c r="D298" s="1">
        <v>2.7164351851851853E-2</v>
      </c>
      <c r="E298" s="80" t="s">
        <v>6393</v>
      </c>
      <c r="F298" s="80" t="s">
        <v>10158</v>
      </c>
      <c r="G298" s="82">
        <v>0.49299999999999999</v>
      </c>
      <c r="H298" s="334">
        <f t="shared" si="7"/>
        <v>2.5462962962963243E-4</v>
      </c>
    </row>
    <row r="299" spans="1:9" ht="14.25" customHeight="1" x14ac:dyDescent="0.2">
      <c r="A299" s="34">
        <v>43274</v>
      </c>
      <c r="B299" s="1071" t="s">
        <v>435</v>
      </c>
      <c r="C299" s="1071" t="s">
        <v>436</v>
      </c>
      <c r="D299" s="1">
        <v>2.7418981481481485E-2</v>
      </c>
      <c r="E299" s="80" t="s">
        <v>6393</v>
      </c>
      <c r="F299" s="80" t="s">
        <v>10119</v>
      </c>
      <c r="G299" s="82">
        <v>0.4884</v>
      </c>
      <c r="H299" s="334">
        <f t="shared" si="7"/>
        <v>-3.9351851851852568E-4</v>
      </c>
    </row>
    <row r="300" spans="1:9" ht="14.25" customHeight="1" x14ac:dyDescent="0.2">
      <c r="A300" s="523">
        <v>43267</v>
      </c>
      <c r="B300" s="1058" t="s">
        <v>435</v>
      </c>
      <c r="C300" s="1059" t="s">
        <v>436</v>
      </c>
      <c r="D300" s="1">
        <v>2.7025462962962959E-2</v>
      </c>
      <c r="E300" s="80" t="s">
        <v>5653</v>
      </c>
      <c r="F300" s="69" t="s">
        <v>9938</v>
      </c>
      <c r="G300" s="82">
        <v>0.4955</v>
      </c>
      <c r="H300" s="334">
        <f t="shared" si="7"/>
        <v>9.7222222222222501E-4</v>
      </c>
      <c r="I300" s="80"/>
    </row>
    <row r="301" spans="1:9" ht="14.25" customHeight="1" x14ac:dyDescent="0.2">
      <c r="A301" s="523">
        <v>43260</v>
      </c>
      <c r="B301" s="532" t="s">
        <v>435</v>
      </c>
      <c r="C301" s="843" t="s">
        <v>436</v>
      </c>
      <c r="D301" s="1">
        <v>2.7997685185185184E-2</v>
      </c>
      <c r="E301" s="80" t="s">
        <v>5653</v>
      </c>
      <c r="F301" s="69" t="s">
        <v>9920</v>
      </c>
      <c r="G301" s="82">
        <v>0.4783</v>
      </c>
      <c r="H301" s="334">
        <f t="shared" si="7"/>
        <v>-4.6296296296297751E-5</v>
      </c>
      <c r="I301" s="80"/>
    </row>
    <row r="302" spans="1:9" ht="14.25" customHeight="1" x14ac:dyDescent="0.2">
      <c r="A302" s="523">
        <v>43232</v>
      </c>
      <c r="B302" s="1051" t="s">
        <v>435</v>
      </c>
      <c r="C302" s="1052" t="s">
        <v>436</v>
      </c>
      <c r="D302" s="1">
        <v>2.7951388888888887E-2</v>
      </c>
      <c r="E302" s="80" t="s">
        <v>6393</v>
      </c>
      <c r="F302" s="69" t="s">
        <v>9771</v>
      </c>
      <c r="G302" s="82">
        <v>0.47910000000000003</v>
      </c>
      <c r="H302" s="334">
        <f t="shared" si="7"/>
        <v>-1.1689814814814792E-3</v>
      </c>
      <c r="I302" s="80" t="s">
        <v>9772</v>
      </c>
    </row>
    <row r="303" spans="1:9" ht="14.25" customHeight="1" x14ac:dyDescent="0.2">
      <c r="A303" s="523">
        <v>43211</v>
      </c>
      <c r="B303" s="1038" t="s">
        <v>435</v>
      </c>
      <c r="C303" s="1039" t="s">
        <v>436</v>
      </c>
      <c r="D303" s="1">
        <v>2.6782407407407408E-2</v>
      </c>
      <c r="E303" s="80" t="s">
        <v>6393</v>
      </c>
      <c r="F303" s="69" t="s">
        <v>9643</v>
      </c>
      <c r="G303" s="82">
        <v>0.4914</v>
      </c>
      <c r="H303" s="334">
        <f t="shared" si="7"/>
        <v>-8.3333333333333523E-4</v>
      </c>
      <c r="I303" s="80" t="s">
        <v>9644</v>
      </c>
    </row>
    <row r="304" spans="1:9" ht="14.25" customHeight="1" x14ac:dyDescent="0.2">
      <c r="A304" s="523">
        <v>43204</v>
      </c>
      <c r="B304" s="80" t="s">
        <v>435</v>
      </c>
      <c r="C304" s="334" t="s">
        <v>436</v>
      </c>
      <c r="D304" s="1">
        <v>2.5949074074074072E-2</v>
      </c>
      <c r="E304" s="80" t="s">
        <v>6393</v>
      </c>
      <c r="F304" s="69" t="s">
        <v>9610</v>
      </c>
      <c r="G304" s="82">
        <v>0.50490000000000002</v>
      </c>
      <c r="H304" s="334">
        <f t="shared" si="7"/>
        <v>1.9560185185185201E-3</v>
      </c>
      <c r="I304" s="80"/>
    </row>
    <row r="305" spans="1:14" ht="14.25" customHeight="1" x14ac:dyDescent="0.2">
      <c r="A305" s="523">
        <v>43197</v>
      </c>
      <c r="B305" s="930" t="s">
        <v>435</v>
      </c>
      <c r="C305" s="931" t="s">
        <v>436</v>
      </c>
      <c r="D305" s="1">
        <v>2.7905092592592592E-2</v>
      </c>
      <c r="E305" s="80" t="s">
        <v>5653</v>
      </c>
      <c r="F305" s="69" t="s">
        <v>9563</v>
      </c>
      <c r="G305" s="82">
        <v>0.47160000000000002</v>
      </c>
      <c r="H305" s="334">
        <f t="shared" si="7"/>
        <v>-1.4699074074074059E-3</v>
      </c>
      <c r="I305" s="80"/>
    </row>
    <row r="306" spans="1:14" x14ac:dyDescent="0.2">
      <c r="A306" s="523">
        <v>43176</v>
      </c>
      <c r="B306" s="532" t="s">
        <v>435</v>
      </c>
      <c r="C306" s="843" t="s">
        <v>436</v>
      </c>
      <c r="D306" s="1">
        <v>2.6435185185185187E-2</v>
      </c>
      <c r="E306" s="80" t="s">
        <v>5544</v>
      </c>
      <c r="F306" s="69" t="s">
        <v>9443</v>
      </c>
      <c r="G306" s="82">
        <v>0.49780000000000002</v>
      </c>
      <c r="H306" s="334">
        <f t="shared" ref="H306:H311" si="8">D307-D306</f>
        <v>3.3564814814814395E-4</v>
      </c>
      <c r="I306" s="80"/>
    </row>
    <row r="307" spans="1:14" ht="14.25" customHeight="1" x14ac:dyDescent="0.2">
      <c r="A307" s="523">
        <v>43169</v>
      </c>
      <c r="B307" s="862" t="s">
        <v>435</v>
      </c>
      <c r="C307" s="863" t="s">
        <v>436</v>
      </c>
      <c r="D307" s="1">
        <v>2.6770833333333331E-2</v>
      </c>
      <c r="E307" s="80" t="s">
        <v>6393</v>
      </c>
      <c r="F307" s="69" t="s">
        <v>9418</v>
      </c>
      <c r="G307" s="82">
        <v>0.49159999999999998</v>
      </c>
      <c r="H307" s="334">
        <f t="shared" si="8"/>
        <v>1.0879629629629677E-3</v>
      </c>
      <c r="I307" s="80"/>
    </row>
    <row r="308" spans="1:14" ht="14.25" customHeight="1" x14ac:dyDescent="0.2">
      <c r="A308" s="523">
        <v>43155</v>
      </c>
      <c r="B308" s="940" t="s">
        <v>435</v>
      </c>
      <c r="C308" s="941" t="s">
        <v>436</v>
      </c>
      <c r="D308" s="1">
        <v>2.7858796296296298E-2</v>
      </c>
      <c r="E308" s="80" t="s">
        <v>5653</v>
      </c>
      <c r="F308" s="69" t="s">
        <v>9332</v>
      </c>
      <c r="G308" s="82">
        <v>0.47239999999999999</v>
      </c>
      <c r="H308" s="334">
        <f t="shared" si="8"/>
        <v>4.0509259259259231E-4</v>
      </c>
      <c r="I308" s="80"/>
    </row>
    <row r="309" spans="1:14" ht="14.25" customHeight="1" x14ac:dyDescent="0.2">
      <c r="A309" s="523">
        <v>43148</v>
      </c>
      <c r="B309" s="568" t="s">
        <v>435</v>
      </c>
      <c r="C309" s="861" t="s">
        <v>436</v>
      </c>
      <c r="D309" s="1">
        <v>2.826388888888889E-2</v>
      </c>
      <c r="E309" s="80" t="s">
        <v>5653</v>
      </c>
      <c r="F309" s="69" t="s">
        <v>9289</v>
      </c>
      <c r="G309" s="82">
        <v>0.46560000000000001</v>
      </c>
      <c r="H309" s="334">
        <f t="shared" si="8"/>
        <v>-8.5648148148148237E-4</v>
      </c>
      <c r="I309" s="80"/>
    </row>
    <row r="310" spans="1:14" ht="14.25" customHeight="1" x14ac:dyDescent="0.2">
      <c r="A310" s="523">
        <v>43113</v>
      </c>
      <c r="B310" s="972" t="s">
        <v>435</v>
      </c>
      <c r="C310" s="973" t="s">
        <v>436</v>
      </c>
      <c r="D310" s="1">
        <v>2.7407407407407408E-2</v>
      </c>
      <c r="E310" s="80" t="s">
        <v>5653</v>
      </c>
      <c r="F310" s="69" t="s">
        <v>9124</v>
      </c>
      <c r="G310" s="82">
        <v>0.48020000000000002</v>
      </c>
      <c r="H310" s="334">
        <f t="shared" si="8"/>
        <v>-6.3657407407407759E-4</v>
      </c>
      <c r="I310" s="80"/>
    </row>
    <row r="311" spans="1:14" ht="14.25" customHeight="1" x14ac:dyDescent="0.2">
      <c r="A311" s="523">
        <v>43101</v>
      </c>
      <c r="B311" s="556" t="s">
        <v>435</v>
      </c>
      <c r="C311" s="950" t="s">
        <v>436</v>
      </c>
      <c r="D311" s="1">
        <v>2.6770833333333331E-2</v>
      </c>
      <c r="E311" s="80" t="s">
        <v>4004</v>
      </c>
      <c r="F311" s="69" t="s">
        <v>9034</v>
      </c>
      <c r="G311" s="82">
        <v>0.49159999999999998</v>
      </c>
      <c r="H311" s="334">
        <f t="shared" si="8"/>
        <v>-1.1145833333333331E-2</v>
      </c>
      <c r="I311" s="80"/>
    </row>
    <row r="312" spans="1:14" ht="14.25" customHeight="1" x14ac:dyDescent="0.2">
      <c r="A312" s="523">
        <v>43459</v>
      </c>
      <c r="B312" s="80" t="s">
        <v>11378</v>
      </c>
      <c r="C312" s="80" t="s">
        <v>8339</v>
      </c>
      <c r="D312" s="1">
        <v>1.5625E-2</v>
      </c>
      <c r="E312" s="80" t="s">
        <v>8248</v>
      </c>
      <c r="F312" s="80" t="s">
        <v>11390</v>
      </c>
      <c r="G312" s="82">
        <v>0.66590000000000005</v>
      </c>
      <c r="H312" s="80"/>
    </row>
    <row r="313" spans="1:14" ht="14.25" customHeight="1" x14ac:dyDescent="0.2">
      <c r="A313" s="523">
        <v>43106</v>
      </c>
      <c r="B313" s="80" t="s">
        <v>11378</v>
      </c>
      <c r="C313" s="80" t="s">
        <v>8339</v>
      </c>
      <c r="D313" s="1">
        <v>1.6481481481481482E-2</v>
      </c>
      <c r="E313" s="80" t="s">
        <v>9063</v>
      </c>
      <c r="F313" s="69" t="s">
        <v>9072</v>
      </c>
      <c r="G313" s="82">
        <v>0.62639999999999996</v>
      </c>
      <c r="H313" s="334">
        <f t="shared" ref="H313:H344" si="9">D314-D313</f>
        <v>2.5231481481481494E-3</v>
      </c>
      <c r="I313" s="80" t="s">
        <v>9076</v>
      </c>
    </row>
    <row r="314" spans="1:14" ht="14.25" customHeight="1" x14ac:dyDescent="0.2">
      <c r="A314" s="523">
        <v>43456</v>
      </c>
      <c r="B314" s="556" t="s">
        <v>11261</v>
      </c>
      <c r="C314" s="556" t="s">
        <v>11262</v>
      </c>
      <c r="D314" s="1">
        <v>1.9004629629629632E-2</v>
      </c>
      <c r="E314" s="80" t="s">
        <v>2638</v>
      </c>
      <c r="F314" s="80" t="s">
        <v>11364</v>
      </c>
      <c r="G314" s="82">
        <v>0.51829999999999998</v>
      </c>
      <c r="H314" s="334">
        <f t="shared" si="9"/>
        <v>-3.7731481481481487E-3</v>
      </c>
    </row>
    <row r="315" spans="1:14" ht="14.25" customHeight="1" x14ac:dyDescent="0.2">
      <c r="A315" s="523">
        <v>43442</v>
      </c>
      <c r="B315" s="972" t="s">
        <v>11261</v>
      </c>
      <c r="C315" s="972" t="s">
        <v>11262</v>
      </c>
      <c r="D315" s="1">
        <v>1.5231481481481483E-2</v>
      </c>
      <c r="E315" s="80" t="s">
        <v>2638</v>
      </c>
      <c r="F315" s="80" t="s">
        <v>11263</v>
      </c>
      <c r="G315" s="82">
        <v>0.64670000000000005</v>
      </c>
      <c r="H315" s="334">
        <f t="shared" si="9"/>
        <v>6.0185185185185168E-4</v>
      </c>
    </row>
    <row r="316" spans="1:14" ht="14.25" customHeight="1" x14ac:dyDescent="0.2">
      <c r="A316" s="523">
        <v>43435</v>
      </c>
      <c r="B316" s="1164" t="s">
        <v>11186</v>
      </c>
      <c r="C316" s="1164" t="s">
        <v>11180</v>
      </c>
      <c r="D316" s="1">
        <v>1.5833333333333335E-2</v>
      </c>
      <c r="E316" s="80" t="s">
        <v>2638</v>
      </c>
      <c r="F316" s="80" t="s">
        <v>11629</v>
      </c>
      <c r="G316" s="82">
        <v>0.62209999999999999</v>
      </c>
      <c r="H316" s="334">
        <f t="shared" si="9"/>
        <v>-5.0925925925926138E-4</v>
      </c>
      <c r="I316" t="s">
        <v>11179</v>
      </c>
      <c r="L316" t="s">
        <v>11181</v>
      </c>
      <c r="N316" s="80" t="s">
        <v>11187</v>
      </c>
    </row>
    <row r="317" spans="1:14" ht="14.25" customHeight="1" x14ac:dyDescent="0.2">
      <c r="A317" s="523">
        <v>43414</v>
      </c>
      <c r="B317" s="862" t="s">
        <v>3182</v>
      </c>
      <c r="C317" s="862" t="s">
        <v>3183</v>
      </c>
      <c r="D317" s="1">
        <v>1.5324074074074073E-2</v>
      </c>
      <c r="E317" s="80" t="s">
        <v>998</v>
      </c>
      <c r="F317" s="80" t="s">
        <v>11004</v>
      </c>
      <c r="G317" s="82">
        <v>0.71450000000000002</v>
      </c>
      <c r="H317" s="334">
        <f t="shared" si="9"/>
        <v>7.0486111111111131E-3</v>
      </c>
    </row>
    <row r="318" spans="1:14" ht="14.25" customHeight="1" x14ac:dyDescent="0.2">
      <c r="A318" s="523">
        <v>43162</v>
      </c>
      <c r="B318" s="879" t="s">
        <v>9393</v>
      </c>
      <c r="C318" s="880" t="s">
        <v>9394</v>
      </c>
      <c r="D318" s="1">
        <v>2.2372685185185186E-2</v>
      </c>
      <c r="E318" s="80" t="s">
        <v>5456</v>
      </c>
      <c r="F318" s="69" t="s">
        <v>9395</v>
      </c>
      <c r="G318" s="82">
        <v>0.57730000000000004</v>
      </c>
      <c r="H318" s="334">
        <f t="shared" si="9"/>
        <v>-2.1180555555555571E-3</v>
      </c>
      <c r="I318" s="80" t="s">
        <v>9737</v>
      </c>
    </row>
    <row r="319" spans="1:14" ht="14.25" customHeight="1" x14ac:dyDescent="0.2">
      <c r="A319" s="523">
        <v>43463</v>
      </c>
      <c r="B319" s="1603" t="s">
        <v>2984</v>
      </c>
      <c r="C319" s="1603" t="s">
        <v>6326</v>
      </c>
      <c r="D319" s="1">
        <v>2.0254629629629629E-2</v>
      </c>
      <c r="E319" s="80" t="s">
        <v>5885</v>
      </c>
      <c r="F319" s="80" t="s">
        <v>11430</v>
      </c>
      <c r="G319" s="82">
        <v>0.65600000000000003</v>
      </c>
      <c r="H319" s="334">
        <f t="shared" si="9"/>
        <v>-2.5810185185185207E-3</v>
      </c>
      <c r="I319" s="80" t="s">
        <v>13257</v>
      </c>
    </row>
    <row r="320" spans="1:14" ht="14.25" customHeight="1" x14ac:dyDescent="0.2">
      <c r="A320" s="34">
        <v>43372</v>
      </c>
      <c r="B320" s="1592" t="s">
        <v>2984</v>
      </c>
      <c r="C320" s="1592" t="s">
        <v>6326</v>
      </c>
      <c r="D320" s="1">
        <v>1.7673611111111109E-2</v>
      </c>
      <c r="E320" s="80" t="s">
        <v>9307</v>
      </c>
      <c r="F320" s="80" t="s">
        <v>10728</v>
      </c>
      <c r="G320" s="82">
        <v>0.74129999999999996</v>
      </c>
      <c r="H320" s="334">
        <f t="shared" si="9"/>
        <v>-2.6620370370370253E-4</v>
      </c>
      <c r="I320" s="80" t="s">
        <v>13257</v>
      </c>
    </row>
    <row r="321" spans="1:9" ht="14.25" customHeight="1" x14ac:dyDescent="0.2">
      <c r="A321" s="523">
        <v>43358</v>
      </c>
      <c r="B321" s="1604" t="s">
        <v>2984</v>
      </c>
      <c r="C321" s="1604" t="s">
        <v>6326</v>
      </c>
      <c r="D321" s="1">
        <v>1.7407407407407406E-2</v>
      </c>
      <c r="E321" t="s">
        <v>9307</v>
      </c>
      <c r="F321" s="80" t="s">
        <v>10633</v>
      </c>
      <c r="G321" s="82">
        <v>0.75270000000000004</v>
      </c>
      <c r="H321" s="334">
        <f t="shared" si="9"/>
        <v>6.3657407407407759E-4</v>
      </c>
      <c r="I321" s="80" t="s">
        <v>13257</v>
      </c>
    </row>
    <row r="322" spans="1:9" ht="14.25" customHeight="1" x14ac:dyDescent="0.2">
      <c r="A322" s="523">
        <v>43344</v>
      </c>
      <c r="B322" s="1605" t="s">
        <v>2984</v>
      </c>
      <c r="C322" s="1605" t="s">
        <v>6326</v>
      </c>
      <c r="D322" s="1">
        <v>1.8043981481481484E-2</v>
      </c>
      <c r="E322" t="s">
        <v>5950</v>
      </c>
      <c r="F322" t="s">
        <v>4113</v>
      </c>
      <c r="G322" s="82">
        <v>0.72609999999999997</v>
      </c>
      <c r="H322" s="334">
        <f t="shared" si="9"/>
        <v>5.6712962962962576E-4</v>
      </c>
      <c r="I322" s="80" t="s">
        <v>13257</v>
      </c>
    </row>
    <row r="323" spans="1:9" ht="14.25" customHeight="1" x14ac:dyDescent="0.2">
      <c r="A323" s="523">
        <v>43330</v>
      </c>
      <c r="B323" s="1606" t="s">
        <v>2984</v>
      </c>
      <c r="C323" s="1606" t="s">
        <v>6326</v>
      </c>
      <c r="D323" s="1">
        <v>1.861111111111111E-2</v>
      </c>
      <c r="E323" s="80" t="s">
        <v>5885</v>
      </c>
      <c r="F323" s="80" t="s">
        <v>10447</v>
      </c>
      <c r="G323" s="82">
        <v>0.70399999999999996</v>
      </c>
      <c r="H323" s="334">
        <f t="shared" si="9"/>
        <v>-6.3657407407407413E-4</v>
      </c>
      <c r="I323" s="80" t="s">
        <v>13257</v>
      </c>
    </row>
    <row r="324" spans="1:9" ht="14.25" customHeight="1" x14ac:dyDescent="0.2">
      <c r="A324" s="523">
        <v>43323</v>
      </c>
      <c r="B324" s="1590" t="s">
        <v>2984</v>
      </c>
      <c r="C324" s="1590" t="s">
        <v>6326</v>
      </c>
      <c r="D324" s="1">
        <v>1.7974537037037035E-2</v>
      </c>
      <c r="E324" s="80" t="s">
        <v>9307</v>
      </c>
      <c r="F324" s="80" t="s">
        <v>10422</v>
      </c>
      <c r="G324" s="82">
        <v>0.72889999999999999</v>
      </c>
      <c r="H324" s="334">
        <f t="shared" si="9"/>
        <v>5.7870370370370627E-4</v>
      </c>
      <c r="I324" s="80" t="s">
        <v>13257</v>
      </c>
    </row>
    <row r="325" spans="1:9" ht="14.25" customHeight="1" x14ac:dyDescent="0.2">
      <c r="A325" s="523">
        <v>43309</v>
      </c>
      <c r="B325" s="1607" t="s">
        <v>2984</v>
      </c>
      <c r="C325" s="1607" t="s">
        <v>6326</v>
      </c>
      <c r="D325" s="1">
        <v>1.8553240740740742E-2</v>
      </c>
      <c r="E325" s="80" t="s">
        <v>9307</v>
      </c>
      <c r="F325" s="80" t="s">
        <v>10348</v>
      </c>
      <c r="G325" s="82">
        <v>0.70620000000000005</v>
      </c>
      <c r="H325" s="334">
        <f t="shared" si="9"/>
        <v>-6.5972222222222474E-4</v>
      </c>
      <c r="I325" s="80" t="s">
        <v>13257</v>
      </c>
    </row>
    <row r="326" spans="1:9" ht="14.25" customHeight="1" x14ac:dyDescent="0.2">
      <c r="A326" s="523">
        <v>43302</v>
      </c>
      <c r="B326" s="1608" t="s">
        <v>2984</v>
      </c>
      <c r="C326" s="1608" t="s">
        <v>6326</v>
      </c>
      <c r="D326" s="1">
        <v>1.7893518518518517E-2</v>
      </c>
      <c r="E326" s="80" t="s">
        <v>9307</v>
      </c>
      <c r="F326" s="80" t="s">
        <v>10304</v>
      </c>
      <c r="G326" s="82">
        <v>0.73219999999999996</v>
      </c>
      <c r="H326" s="334">
        <f t="shared" si="9"/>
        <v>3.3564814814815089E-4</v>
      </c>
      <c r="I326" s="80" t="s">
        <v>13257</v>
      </c>
    </row>
    <row r="327" spans="1:9" ht="14.25" customHeight="1" x14ac:dyDescent="0.2">
      <c r="A327" s="523">
        <v>43281</v>
      </c>
      <c r="B327" s="1605" t="s">
        <v>2984</v>
      </c>
      <c r="C327" s="1605" t="s">
        <v>6326</v>
      </c>
      <c r="D327" s="1">
        <v>1.8229166666666668E-2</v>
      </c>
      <c r="E327" s="80" t="s">
        <v>9307</v>
      </c>
      <c r="F327" s="80" t="s">
        <v>10165</v>
      </c>
      <c r="G327" s="82">
        <v>0.71870000000000001</v>
      </c>
      <c r="H327" s="334">
        <f t="shared" si="9"/>
        <v>-8.1018518518518809E-4</v>
      </c>
      <c r="I327" s="80" t="s">
        <v>13257</v>
      </c>
    </row>
    <row r="328" spans="1:9" ht="14.25" customHeight="1" x14ac:dyDescent="0.2">
      <c r="A328" s="34">
        <v>43274</v>
      </c>
      <c r="B328" s="1609" t="s">
        <v>2984</v>
      </c>
      <c r="C328" s="1609" t="s">
        <v>6326</v>
      </c>
      <c r="D328" s="1">
        <v>1.741898148148148E-2</v>
      </c>
      <c r="E328" s="80" t="s">
        <v>7944</v>
      </c>
      <c r="F328" s="80" t="s">
        <v>10123</v>
      </c>
      <c r="G328" s="82">
        <v>0.75219999999999998</v>
      </c>
      <c r="H328" s="334">
        <f t="shared" si="9"/>
        <v>4.0509259259259578E-4</v>
      </c>
      <c r="I328" s="80" t="s">
        <v>13257</v>
      </c>
    </row>
    <row r="329" spans="1:9" ht="14.25" customHeight="1" x14ac:dyDescent="0.2">
      <c r="A329" s="523">
        <v>43246</v>
      </c>
      <c r="B329" s="1594" t="s">
        <v>2984</v>
      </c>
      <c r="C329" s="1595" t="s">
        <v>6326</v>
      </c>
      <c r="D329" s="1">
        <v>1.7824074074074076E-2</v>
      </c>
      <c r="E329" s="80" t="s">
        <v>7944</v>
      </c>
      <c r="F329" s="69" t="s">
        <v>1236</v>
      </c>
      <c r="G329" s="82">
        <v>0.73509999999999998</v>
      </c>
      <c r="H329" s="334">
        <f t="shared" si="9"/>
        <v>2.0833333333333329E-3</v>
      </c>
      <c r="I329" s="80" t="s">
        <v>13257</v>
      </c>
    </row>
    <row r="330" spans="1:9" ht="14.25" customHeight="1" x14ac:dyDescent="0.2">
      <c r="A330" s="523">
        <v>43211</v>
      </c>
      <c r="B330" s="1610" t="s">
        <v>2984</v>
      </c>
      <c r="C330" s="1611" t="s">
        <v>6326</v>
      </c>
      <c r="D330" s="1">
        <v>1.9907407407407408E-2</v>
      </c>
      <c r="E330" s="80" t="s">
        <v>9307</v>
      </c>
      <c r="F330" s="69" t="s">
        <v>9621</v>
      </c>
      <c r="G330" s="82">
        <v>0.65810000000000002</v>
      </c>
      <c r="H330" s="334">
        <f t="shared" si="9"/>
        <v>-1.2847222222222253E-3</v>
      </c>
      <c r="I330" s="80" t="s">
        <v>13257</v>
      </c>
    </row>
    <row r="331" spans="1:9" ht="14.25" customHeight="1" x14ac:dyDescent="0.2">
      <c r="A331" s="523">
        <v>43183</v>
      </c>
      <c r="B331" s="1612" t="s">
        <v>2984</v>
      </c>
      <c r="C331" s="1613" t="s">
        <v>6326</v>
      </c>
      <c r="D331" s="1">
        <v>1.8622685185185183E-2</v>
      </c>
      <c r="E331" s="80" t="s">
        <v>9307</v>
      </c>
      <c r="F331" s="69" t="s">
        <v>4895</v>
      </c>
      <c r="G331" s="82">
        <v>0.70350000000000001</v>
      </c>
      <c r="H331" s="334">
        <f t="shared" si="9"/>
        <v>1.5046296296296682E-4</v>
      </c>
      <c r="I331" s="80" t="s">
        <v>13257</v>
      </c>
    </row>
    <row r="332" spans="1:9" ht="14.25" customHeight="1" x14ac:dyDescent="0.2">
      <c r="A332" s="523">
        <v>43169</v>
      </c>
      <c r="B332" s="1603" t="s">
        <v>2984</v>
      </c>
      <c r="C332" s="1614" t="s">
        <v>6326</v>
      </c>
      <c r="D332" s="1">
        <v>1.877314814814815E-2</v>
      </c>
      <c r="E332" s="80" t="s">
        <v>5883</v>
      </c>
      <c r="F332" s="69" t="s">
        <v>1598</v>
      </c>
      <c r="G332" s="82">
        <v>0.69789999999999996</v>
      </c>
      <c r="H332" s="334">
        <f t="shared" si="9"/>
        <v>-1.1342592592592619E-3</v>
      </c>
      <c r="I332" s="80" t="s">
        <v>13257</v>
      </c>
    </row>
    <row r="333" spans="1:9" ht="14.25" customHeight="1" x14ac:dyDescent="0.2">
      <c r="A333" s="523">
        <v>43148</v>
      </c>
      <c r="B333" s="1590" t="s">
        <v>2984</v>
      </c>
      <c r="C333" s="1591" t="s">
        <v>6326</v>
      </c>
      <c r="D333" s="1">
        <v>1.7638888888888888E-2</v>
      </c>
      <c r="E333" s="80" t="s">
        <v>5885</v>
      </c>
      <c r="F333" s="69" t="s">
        <v>9284</v>
      </c>
      <c r="G333" s="82">
        <v>0.74280000000000002</v>
      </c>
      <c r="H333" s="334">
        <f t="shared" si="9"/>
        <v>8.7962962962963298E-4</v>
      </c>
      <c r="I333" s="80" t="s">
        <v>13257</v>
      </c>
    </row>
    <row r="334" spans="1:9" ht="14.25" customHeight="1" x14ac:dyDescent="0.2">
      <c r="A334" s="523">
        <v>43421</v>
      </c>
      <c r="B334" s="1615" t="s">
        <v>7628</v>
      </c>
      <c r="C334" s="1615" t="s">
        <v>6326</v>
      </c>
      <c r="D334" s="1">
        <v>1.8518518518518521E-2</v>
      </c>
      <c r="E334" s="80" t="s">
        <v>5885</v>
      </c>
      <c r="F334" s="80" t="s">
        <v>11035</v>
      </c>
      <c r="G334" s="82">
        <v>0.71750000000000003</v>
      </c>
      <c r="H334" s="334">
        <f t="shared" si="9"/>
        <v>-2.5810185185185207E-3</v>
      </c>
      <c r="I334" s="80" t="s">
        <v>13257</v>
      </c>
    </row>
    <row r="335" spans="1:9" ht="14.25" customHeight="1" x14ac:dyDescent="0.2">
      <c r="A335" s="523">
        <v>43463</v>
      </c>
      <c r="B335" s="862" t="s">
        <v>4269</v>
      </c>
      <c r="C335" s="862" t="s">
        <v>4270</v>
      </c>
      <c r="D335" s="1">
        <v>1.59375E-2</v>
      </c>
      <c r="E335" s="80" t="s">
        <v>129</v>
      </c>
      <c r="F335" s="80" t="s">
        <v>11416</v>
      </c>
      <c r="G335" s="82">
        <v>0.60350000000000004</v>
      </c>
      <c r="H335" s="334" t="e">
        <f t="shared" si="9"/>
        <v>#VALUE!</v>
      </c>
    </row>
    <row r="336" spans="1:9" ht="14.25" customHeight="1" x14ac:dyDescent="0.2">
      <c r="A336" s="33">
        <v>43456</v>
      </c>
      <c r="B336" s="556" t="s">
        <v>4269</v>
      </c>
      <c r="C336" s="950" t="s">
        <v>4270</v>
      </c>
      <c r="D336" s="80" t="s">
        <v>787</v>
      </c>
      <c r="E336" s="80" t="s">
        <v>129</v>
      </c>
      <c r="F336" s="69" t="s">
        <v>4185</v>
      </c>
      <c r="G336" s="82"/>
      <c r="H336" s="334" t="e">
        <f t="shared" si="9"/>
        <v>#VALUE!</v>
      </c>
    </row>
    <row r="337" spans="1:8" ht="14.25" customHeight="1" x14ac:dyDescent="0.2">
      <c r="A337" s="523">
        <v>43449</v>
      </c>
      <c r="B337" s="1029" t="s">
        <v>4269</v>
      </c>
      <c r="C337" s="1029" t="s">
        <v>4270</v>
      </c>
      <c r="D337" s="1">
        <v>1.503472222222222E-2</v>
      </c>
      <c r="E337" s="80" t="s">
        <v>129</v>
      </c>
      <c r="F337" s="80" t="s">
        <v>11296</v>
      </c>
      <c r="G337" s="82">
        <v>0.63970000000000005</v>
      </c>
      <c r="H337" s="334">
        <f t="shared" si="9"/>
        <v>2.66203703703706E-4</v>
      </c>
    </row>
    <row r="338" spans="1:8" ht="14.25" customHeight="1" x14ac:dyDescent="0.2">
      <c r="A338" s="523">
        <v>43442</v>
      </c>
      <c r="B338" s="972" t="s">
        <v>4269</v>
      </c>
      <c r="C338" s="972" t="s">
        <v>4270</v>
      </c>
      <c r="D338" s="1">
        <v>1.5300925925925926E-2</v>
      </c>
      <c r="E338" s="80" t="s">
        <v>129</v>
      </c>
      <c r="F338" s="80" t="s">
        <v>11244</v>
      </c>
      <c r="G338" s="82">
        <v>0.62860000000000005</v>
      </c>
      <c r="H338" s="334">
        <f t="shared" si="9"/>
        <v>3.0092592592592497E-4</v>
      </c>
    </row>
    <row r="339" spans="1:8" ht="14.25" customHeight="1" x14ac:dyDescent="0.2">
      <c r="A339" s="523">
        <v>43435</v>
      </c>
      <c r="B339" s="1164" t="s">
        <v>4269</v>
      </c>
      <c r="C339" s="1164" t="s">
        <v>4270</v>
      </c>
      <c r="D339" s="1">
        <v>1.5601851851851851E-2</v>
      </c>
      <c r="E339" s="80" t="s">
        <v>129</v>
      </c>
      <c r="F339" s="80" t="s">
        <v>11168</v>
      </c>
      <c r="G339" s="82">
        <v>0.61650000000000005</v>
      </c>
      <c r="H339" s="334">
        <f t="shared" si="9"/>
        <v>-3.7037037037036813E-4</v>
      </c>
    </row>
    <row r="340" spans="1:8" ht="14.25" customHeight="1" x14ac:dyDescent="0.2">
      <c r="A340" s="523">
        <v>43421</v>
      </c>
      <c r="B340" s="906" t="s">
        <v>4269</v>
      </c>
      <c r="C340" s="906" t="s">
        <v>4270</v>
      </c>
      <c r="D340" s="1">
        <v>1.5231481481481483E-2</v>
      </c>
      <c r="E340" s="80" t="s">
        <v>129</v>
      </c>
      <c r="F340" s="80" t="s">
        <v>11045</v>
      </c>
      <c r="G340" s="82">
        <v>0.63149999999999995</v>
      </c>
      <c r="H340" s="334">
        <f t="shared" si="9"/>
        <v>7.7430555555555568E-3</v>
      </c>
    </row>
    <row r="341" spans="1:8" ht="14.25" customHeight="1" x14ac:dyDescent="0.2">
      <c r="A341" s="523">
        <v>43414</v>
      </c>
      <c r="B341" s="862" t="s">
        <v>4269</v>
      </c>
      <c r="C341" s="862" t="s">
        <v>4270</v>
      </c>
      <c r="D341" s="1">
        <v>2.297453703703704E-2</v>
      </c>
      <c r="E341" s="80" t="s">
        <v>129</v>
      </c>
      <c r="F341" s="80" t="s">
        <v>18</v>
      </c>
      <c r="G341" s="82">
        <v>0.62719999999999998</v>
      </c>
      <c r="H341" s="334">
        <f t="shared" si="9"/>
        <v>-7.6736111111111137E-3</v>
      </c>
    </row>
    <row r="342" spans="1:8" ht="14.25" customHeight="1" x14ac:dyDescent="0.2">
      <c r="A342" s="523">
        <v>43407</v>
      </c>
      <c r="B342" s="901" t="s">
        <v>4269</v>
      </c>
      <c r="C342" s="901" t="s">
        <v>4270</v>
      </c>
      <c r="D342" s="1">
        <v>1.5300925925925926E-2</v>
      </c>
      <c r="E342" s="80" t="s">
        <v>129</v>
      </c>
      <c r="F342" s="80" t="s">
        <v>10954</v>
      </c>
      <c r="G342" s="82">
        <v>0.62860000000000005</v>
      </c>
      <c r="H342" s="334">
        <f t="shared" si="9"/>
        <v>2.5462962962962722E-4</v>
      </c>
    </row>
    <row r="343" spans="1:8" ht="14.25" customHeight="1" x14ac:dyDescent="0.2">
      <c r="A343" s="523">
        <v>43400</v>
      </c>
      <c r="B343" s="556" t="s">
        <v>4269</v>
      </c>
      <c r="C343" s="556" t="s">
        <v>4270</v>
      </c>
      <c r="D343" s="1">
        <v>1.5555555555555553E-2</v>
      </c>
      <c r="E343" s="80" t="s">
        <v>129</v>
      </c>
      <c r="F343" s="80" t="s">
        <v>10923</v>
      </c>
      <c r="G343" s="82">
        <v>0.61829999999999996</v>
      </c>
      <c r="H343" s="334" t="e">
        <f t="shared" si="9"/>
        <v>#VALUE!</v>
      </c>
    </row>
    <row r="344" spans="1:8" ht="14.25" customHeight="1" x14ac:dyDescent="0.2">
      <c r="A344" s="523">
        <v>43393</v>
      </c>
      <c r="B344" s="862" t="s">
        <v>4269</v>
      </c>
      <c r="C344" s="862" t="s">
        <v>4270</v>
      </c>
      <c r="D344" s="1" t="s">
        <v>787</v>
      </c>
      <c r="E344" s="80" t="s">
        <v>129</v>
      </c>
      <c r="F344" s="80" t="s">
        <v>4185</v>
      </c>
      <c r="G344" s="82"/>
      <c r="H344" s="334" t="e">
        <f t="shared" si="9"/>
        <v>#VALUE!</v>
      </c>
    </row>
    <row r="345" spans="1:8" ht="14.25" customHeight="1" x14ac:dyDescent="0.2">
      <c r="A345" s="34">
        <v>43365</v>
      </c>
      <c r="B345" s="556" t="s">
        <v>4269</v>
      </c>
      <c r="C345" s="556" t="s">
        <v>4270</v>
      </c>
      <c r="D345" s="1">
        <v>1.712962962962963E-2</v>
      </c>
      <c r="E345" s="80" t="s">
        <v>129</v>
      </c>
      <c r="F345" s="80" t="s">
        <v>10708</v>
      </c>
      <c r="G345" s="82">
        <v>0.5615</v>
      </c>
      <c r="H345" s="334">
        <f t="shared" ref="H345:H373" si="10">D346-D345</f>
        <v>6.9444444444441422E-5</v>
      </c>
    </row>
    <row r="346" spans="1:8" ht="14.25" customHeight="1" x14ac:dyDescent="0.2">
      <c r="A346" s="523">
        <v>43358</v>
      </c>
      <c r="B346" s="1127" t="s">
        <v>4269</v>
      </c>
      <c r="C346" s="1127" t="s">
        <v>4270</v>
      </c>
      <c r="D346" s="1">
        <v>1.7199074074074071E-2</v>
      </c>
      <c r="E346" t="s">
        <v>10640</v>
      </c>
      <c r="F346" t="s">
        <v>10641</v>
      </c>
      <c r="G346" s="82">
        <v>0.55920000000000003</v>
      </c>
      <c r="H346" s="334">
        <f t="shared" si="10"/>
        <v>1.5046296296296682E-4</v>
      </c>
    </row>
    <row r="347" spans="1:8" ht="14.25" customHeight="1" x14ac:dyDescent="0.2">
      <c r="A347" s="523">
        <v>43351</v>
      </c>
      <c r="B347" s="532" t="s">
        <v>4269</v>
      </c>
      <c r="C347" s="531" t="s">
        <v>4270</v>
      </c>
      <c r="D347" s="1">
        <v>1.7349537037037038E-2</v>
      </c>
      <c r="E347" s="80" t="s">
        <v>129</v>
      </c>
      <c r="F347" s="80" t="s">
        <v>673</v>
      </c>
      <c r="G347" s="82">
        <v>0.5544</v>
      </c>
      <c r="H347" s="334">
        <f t="shared" si="10"/>
        <v>8.1018518518518462E-5</v>
      </c>
    </row>
    <row r="348" spans="1:8" ht="14.25" customHeight="1" x14ac:dyDescent="0.2">
      <c r="A348" s="523">
        <v>43344</v>
      </c>
      <c r="B348" s="552" t="s">
        <v>4269</v>
      </c>
      <c r="C348" s="552" t="s">
        <v>4270</v>
      </c>
      <c r="D348" s="1">
        <v>1.7430555555555557E-2</v>
      </c>
      <c r="E348" t="s">
        <v>129</v>
      </c>
      <c r="F348" t="s">
        <v>10538</v>
      </c>
      <c r="G348" s="82">
        <v>0.54779999999999995</v>
      </c>
      <c r="H348" s="334">
        <f t="shared" si="10"/>
        <v>-1.4467592592592622E-3</v>
      </c>
    </row>
    <row r="349" spans="1:8" ht="14.25" customHeight="1" x14ac:dyDescent="0.2">
      <c r="A349" s="523">
        <v>43337</v>
      </c>
      <c r="B349" s="1044" t="s">
        <v>4269</v>
      </c>
      <c r="C349" s="1044" t="s">
        <v>4270</v>
      </c>
      <c r="D349" s="1">
        <v>1.5983796296296295E-2</v>
      </c>
      <c r="E349" s="80" t="s">
        <v>129</v>
      </c>
      <c r="F349" s="80" t="s">
        <v>10494</v>
      </c>
      <c r="G349" s="82">
        <v>0.59740000000000004</v>
      </c>
      <c r="H349" s="334">
        <f t="shared" si="10"/>
        <v>4.0625000000000001E-3</v>
      </c>
    </row>
    <row r="350" spans="1:8" ht="14.25" customHeight="1" x14ac:dyDescent="0.2">
      <c r="A350" s="523">
        <v>43330</v>
      </c>
      <c r="B350" s="1099" t="s">
        <v>4269</v>
      </c>
      <c r="C350" s="1099" t="s">
        <v>4270</v>
      </c>
      <c r="D350" s="1">
        <v>2.0046296296296295E-2</v>
      </c>
      <c r="E350" s="80" t="s">
        <v>129</v>
      </c>
      <c r="F350" s="80" t="s">
        <v>10444</v>
      </c>
      <c r="G350" s="82">
        <v>0.4763</v>
      </c>
      <c r="H350" s="334" t="e">
        <f t="shared" si="10"/>
        <v>#VALUE!</v>
      </c>
    </row>
    <row r="351" spans="1:8" ht="14.25" customHeight="1" x14ac:dyDescent="0.2">
      <c r="A351" s="33">
        <v>43309</v>
      </c>
      <c r="B351" s="879" t="s">
        <v>4269</v>
      </c>
      <c r="C351" s="880" t="s">
        <v>4270</v>
      </c>
      <c r="D351" s="80" t="s">
        <v>787</v>
      </c>
      <c r="E351" s="80" t="s">
        <v>129</v>
      </c>
      <c r="F351" s="69" t="s">
        <v>4185</v>
      </c>
      <c r="G351" s="82"/>
      <c r="H351" s="334" t="e">
        <f t="shared" si="10"/>
        <v>#VALUE!</v>
      </c>
    </row>
    <row r="352" spans="1:8" ht="14.25" customHeight="1" x14ac:dyDescent="0.2">
      <c r="A352" s="523">
        <v>43302</v>
      </c>
      <c r="B352" s="985" t="s">
        <v>4269</v>
      </c>
      <c r="C352" s="985" t="s">
        <v>4270</v>
      </c>
      <c r="D352" s="1">
        <v>1.6111111111111111E-2</v>
      </c>
      <c r="E352" s="80" t="s">
        <v>129</v>
      </c>
      <c r="F352" s="80" t="s">
        <v>2335</v>
      </c>
      <c r="G352" s="82">
        <v>0.5927</v>
      </c>
      <c r="H352" s="334">
        <f t="shared" si="10"/>
        <v>-4.6296296296297751E-5</v>
      </c>
    </row>
    <row r="353" spans="1:9" ht="14.25" customHeight="1" x14ac:dyDescent="0.2">
      <c r="A353" s="523">
        <v>43288</v>
      </c>
      <c r="B353" s="1029" t="s">
        <v>4269</v>
      </c>
      <c r="C353" s="1029" t="s">
        <v>4270</v>
      </c>
      <c r="D353" s="1">
        <v>1.6064814814814813E-2</v>
      </c>
      <c r="E353" s="80" t="s">
        <v>129</v>
      </c>
      <c r="F353" s="80" t="s">
        <v>10212</v>
      </c>
      <c r="G353" s="82">
        <v>0.59440000000000004</v>
      </c>
      <c r="H353" s="334">
        <f t="shared" si="10"/>
        <v>-1.8518518518518406E-4</v>
      </c>
    </row>
    <row r="354" spans="1:9" ht="14.25" customHeight="1" x14ac:dyDescent="0.2">
      <c r="A354" s="523">
        <v>43267</v>
      </c>
      <c r="B354" s="1058" t="s">
        <v>4269</v>
      </c>
      <c r="C354" s="1059" t="s">
        <v>4270</v>
      </c>
      <c r="D354" s="1">
        <v>1.5879629629629629E-2</v>
      </c>
      <c r="E354" s="80" t="s">
        <v>129</v>
      </c>
      <c r="F354" s="69" t="s">
        <v>9939</v>
      </c>
      <c r="G354" s="82">
        <v>0.60129999999999995</v>
      </c>
      <c r="H354" s="334">
        <f t="shared" si="10"/>
        <v>-7.8703703703703574E-4</v>
      </c>
      <c r="I354" s="80"/>
    </row>
    <row r="355" spans="1:9" ht="14.25" customHeight="1" x14ac:dyDescent="0.2">
      <c r="A355" s="523">
        <v>43253</v>
      </c>
      <c r="B355" s="901" t="s">
        <v>4269</v>
      </c>
      <c r="C355" s="902" t="s">
        <v>4270</v>
      </c>
      <c r="D355" s="1">
        <v>1.5092592592592593E-2</v>
      </c>
      <c r="E355" s="80" t="s">
        <v>129</v>
      </c>
      <c r="F355" s="69" t="s">
        <v>9886</v>
      </c>
      <c r="G355" s="82">
        <v>0.63270000000000004</v>
      </c>
      <c r="H355" s="334" t="e">
        <f t="shared" si="10"/>
        <v>#VALUE!</v>
      </c>
      <c r="I355" s="80"/>
    </row>
    <row r="356" spans="1:9" ht="14.25" customHeight="1" x14ac:dyDescent="0.2">
      <c r="A356" s="33">
        <v>43246</v>
      </c>
      <c r="B356" s="80" t="s">
        <v>4269</v>
      </c>
      <c r="C356" s="334" t="s">
        <v>4270</v>
      </c>
      <c r="D356" s="80" t="s">
        <v>787</v>
      </c>
      <c r="E356" s="80" t="s">
        <v>129</v>
      </c>
      <c r="F356" s="69" t="s">
        <v>4185</v>
      </c>
      <c r="G356" s="82"/>
      <c r="H356" s="334" t="e">
        <f t="shared" si="10"/>
        <v>#VALUE!</v>
      </c>
      <c r="I356" s="80"/>
    </row>
    <row r="357" spans="1:9" ht="14.25" customHeight="1" x14ac:dyDescent="0.2">
      <c r="A357" s="523">
        <v>43239</v>
      </c>
      <c r="B357" s="80" t="s">
        <v>4269</v>
      </c>
      <c r="C357" s="334" t="s">
        <v>4270</v>
      </c>
      <c r="D357" s="1">
        <v>1.5069444444444443E-2</v>
      </c>
      <c r="E357" s="80" t="s">
        <v>129</v>
      </c>
      <c r="F357" s="69" t="s">
        <v>9831</v>
      </c>
      <c r="G357" s="82">
        <v>0.63360000000000005</v>
      </c>
      <c r="H357" s="334">
        <f t="shared" si="10"/>
        <v>4.1666666666666935E-4</v>
      </c>
      <c r="I357" s="80"/>
    </row>
    <row r="358" spans="1:9" ht="14.25" customHeight="1" x14ac:dyDescent="0.2">
      <c r="A358" s="523">
        <v>43232</v>
      </c>
      <c r="B358" s="1051" t="s">
        <v>4269</v>
      </c>
      <c r="C358" s="1052" t="s">
        <v>4270</v>
      </c>
      <c r="D358" s="1">
        <v>1.5486111111111112E-2</v>
      </c>
      <c r="E358" s="80" t="s">
        <v>129</v>
      </c>
      <c r="F358" s="69" t="s">
        <v>9776</v>
      </c>
      <c r="G358" s="82">
        <v>0.61560000000000004</v>
      </c>
      <c r="H358" s="334">
        <f t="shared" si="10"/>
        <v>-2.5462962962962896E-4</v>
      </c>
      <c r="I358" s="80" t="s">
        <v>9777</v>
      </c>
    </row>
    <row r="359" spans="1:9" ht="14.25" customHeight="1" x14ac:dyDescent="0.2">
      <c r="A359" s="523">
        <v>43225</v>
      </c>
      <c r="B359" s="1044" t="s">
        <v>4269</v>
      </c>
      <c r="C359" s="1045" t="s">
        <v>4270</v>
      </c>
      <c r="D359" s="1">
        <v>1.5231481481481483E-2</v>
      </c>
      <c r="E359" s="80" t="s">
        <v>129</v>
      </c>
      <c r="F359" s="69" t="s">
        <v>9708</v>
      </c>
      <c r="G359" s="82">
        <v>0.62690000000000001</v>
      </c>
      <c r="H359" s="334">
        <f t="shared" si="10"/>
        <v>3.0092592592592324E-4</v>
      </c>
      <c r="I359" s="80"/>
    </row>
    <row r="360" spans="1:9" ht="14.25" customHeight="1" x14ac:dyDescent="0.2">
      <c r="A360" s="523">
        <v>43218</v>
      </c>
      <c r="B360" s="568" t="s">
        <v>4269</v>
      </c>
      <c r="C360" s="861" t="s">
        <v>4270</v>
      </c>
      <c r="D360" s="1">
        <v>1.5532407407407406E-2</v>
      </c>
      <c r="E360" s="80" t="s">
        <v>129</v>
      </c>
      <c r="F360" s="69" t="s">
        <v>9680</v>
      </c>
      <c r="G360" s="82">
        <v>0.61480000000000001</v>
      </c>
      <c r="H360" s="334">
        <f t="shared" si="10"/>
        <v>2.6620370370370426E-4</v>
      </c>
      <c r="I360" s="80"/>
    </row>
    <row r="361" spans="1:9" ht="14.25" customHeight="1" x14ac:dyDescent="0.2">
      <c r="A361" s="523">
        <v>43211</v>
      </c>
      <c r="B361" s="1038" t="s">
        <v>4269</v>
      </c>
      <c r="C361" s="1039" t="s">
        <v>4270</v>
      </c>
      <c r="D361" s="1">
        <v>1.579861111111111E-2</v>
      </c>
      <c r="E361" s="80" t="s">
        <v>9307</v>
      </c>
      <c r="F361" s="69" t="s">
        <v>9570</v>
      </c>
      <c r="G361" s="82">
        <v>0.60440000000000005</v>
      </c>
      <c r="H361" s="334">
        <f t="shared" si="10"/>
        <v>-4.0509259259259058E-4</v>
      </c>
      <c r="I361" s="80"/>
    </row>
    <row r="362" spans="1:9" ht="14.25" customHeight="1" x14ac:dyDescent="0.2">
      <c r="A362" s="523">
        <v>43204</v>
      </c>
      <c r="B362" s="80" t="s">
        <v>4269</v>
      </c>
      <c r="C362" s="334" t="s">
        <v>4270</v>
      </c>
      <c r="D362" s="1">
        <v>1.539351851851852E-2</v>
      </c>
      <c r="E362" s="80" t="s">
        <v>129</v>
      </c>
      <c r="F362" s="69" t="s">
        <v>9603</v>
      </c>
      <c r="G362" s="82">
        <v>0.62029999999999996</v>
      </c>
      <c r="H362" s="334">
        <f t="shared" si="10"/>
        <v>5.6712962962963097E-4</v>
      </c>
      <c r="I362" s="80"/>
    </row>
    <row r="363" spans="1:9" ht="14.25" customHeight="1" x14ac:dyDescent="0.2">
      <c r="A363" s="523">
        <v>43190</v>
      </c>
      <c r="B363" s="1029" t="s">
        <v>4269</v>
      </c>
      <c r="C363" s="1030" t="s">
        <v>4270</v>
      </c>
      <c r="D363" s="1">
        <v>1.5960648148148151E-2</v>
      </c>
      <c r="E363" s="80" t="s">
        <v>4120</v>
      </c>
      <c r="F363" s="69" t="s">
        <v>9529</v>
      </c>
      <c r="G363" s="82">
        <v>0.59830000000000005</v>
      </c>
      <c r="H363" s="334">
        <f t="shared" si="10"/>
        <v>2.2453703703703663E-3</v>
      </c>
      <c r="I363" s="80"/>
    </row>
    <row r="364" spans="1:9" ht="14.25" customHeight="1" x14ac:dyDescent="0.2">
      <c r="A364" s="523">
        <v>43183</v>
      </c>
      <c r="B364" s="1019" t="s">
        <v>4269</v>
      </c>
      <c r="C364" s="1020" t="s">
        <v>4270</v>
      </c>
      <c r="D364" s="1">
        <v>1.8206018518518517E-2</v>
      </c>
      <c r="E364" s="80" t="s">
        <v>8248</v>
      </c>
      <c r="F364" s="69" t="s">
        <v>9475</v>
      </c>
      <c r="G364" s="82">
        <v>0.52449999999999997</v>
      </c>
      <c r="H364" s="334" t="e">
        <f t="shared" si="10"/>
        <v>#VALUE!</v>
      </c>
      <c r="I364" s="80" t="s">
        <v>9484</v>
      </c>
    </row>
    <row r="365" spans="1:9" ht="14.25" customHeight="1" x14ac:dyDescent="0.2">
      <c r="A365" s="523">
        <v>43148</v>
      </c>
      <c r="B365" s="568" t="s">
        <v>4269</v>
      </c>
      <c r="C365" s="861" t="s">
        <v>4270</v>
      </c>
      <c r="D365" s="334" t="s">
        <v>787</v>
      </c>
      <c r="E365" s="80" t="s">
        <v>129</v>
      </c>
      <c r="F365" s="69" t="s">
        <v>4185</v>
      </c>
      <c r="G365" s="82"/>
      <c r="H365" s="334" t="e">
        <f t="shared" si="10"/>
        <v>#VALUE!</v>
      </c>
      <c r="I365" s="80"/>
    </row>
    <row r="366" spans="1:9" ht="14.25" customHeight="1" x14ac:dyDescent="0.2">
      <c r="A366" s="523">
        <v>43134</v>
      </c>
      <c r="B366" s="985" t="s">
        <v>4269</v>
      </c>
      <c r="C366" s="986" t="s">
        <v>4270</v>
      </c>
      <c r="D366" s="1">
        <v>1.5625E-2</v>
      </c>
      <c r="E366" s="80" t="s">
        <v>129</v>
      </c>
      <c r="F366" s="69" t="s">
        <v>412</v>
      </c>
      <c r="G366" s="82">
        <v>0.61109999999999998</v>
      </c>
      <c r="H366" s="334">
        <f t="shared" si="10"/>
        <v>2.4305555555555539E-4</v>
      </c>
      <c r="I366" s="80"/>
    </row>
    <row r="367" spans="1:9" ht="14.25" customHeight="1" x14ac:dyDescent="0.2">
      <c r="A367" s="523">
        <v>43127</v>
      </c>
      <c r="B367" s="862" t="s">
        <v>4269</v>
      </c>
      <c r="C367" s="863" t="s">
        <v>4270</v>
      </c>
      <c r="D367" s="1">
        <v>1.5868055555555555E-2</v>
      </c>
      <c r="E367" s="80" t="s">
        <v>129</v>
      </c>
      <c r="F367" s="69" t="s">
        <v>970</v>
      </c>
      <c r="G367" s="82">
        <v>0.6018</v>
      </c>
      <c r="H367" s="334">
        <f t="shared" si="10"/>
        <v>9.9537037037037215E-4</v>
      </c>
      <c r="I367" s="80"/>
    </row>
    <row r="368" spans="1:9" ht="14.25" customHeight="1" x14ac:dyDescent="0.2">
      <c r="A368" s="523">
        <v>43120</v>
      </c>
      <c r="B368" s="601" t="s">
        <v>4269</v>
      </c>
      <c r="C368" s="958" t="s">
        <v>4270</v>
      </c>
      <c r="D368" s="1">
        <v>1.6863425925925928E-2</v>
      </c>
      <c r="E368" s="80" t="s">
        <v>5885</v>
      </c>
      <c r="F368" s="69" t="s">
        <v>9078</v>
      </c>
      <c r="G368" s="82">
        <v>0.56620000000000004</v>
      </c>
      <c r="H368" s="334">
        <f t="shared" si="10"/>
        <v>3.4722222222222099E-4</v>
      </c>
      <c r="I368" s="80"/>
    </row>
    <row r="369" spans="1:9" ht="14.25" customHeight="1" x14ac:dyDescent="0.2">
      <c r="A369" s="34">
        <v>43372</v>
      </c>
      <c r="B369" s="532" t="s">
        <v>7919</v>
      </c>
      <c r="C369" s="532" t="s">
        <v>4270</v>
      </c>
      <c r="D369" s="1">
        <v>1.7210648148148149E-2</v>
      </c>
      <c r="E369" s="80" t="s">
        <v>129</v>
      </c>
      <c r="F369" s="80" t="s">
        <v>10709</v>
      </c>
      <c r="G369" s="82">
        <v>0.55879999999999996</v>
      </c>
      <c r="H369" s="334">
        <f t="shared" si="10"/>
        <v>-8.1018518518518462E-4</v>
      </c>
    </row>
    <row r="370" spans="1:9" ht="14.25" customHeight="1" x14ac:dyDescent="0.2">
      <c r="A370" s="523">
        <v>43323</v>
      </c>
      <c r="B370" s="568" t="s">
        <v>7919</v>
      </c>
      <c r="C370" s="585" t="s">
        <v>4270</v>
      </c>
      <c r="D370" s="114">
        <v>1.6400462962962964E-2</v>
      </c>
      <c r="E370" t="s">
        <v>129</v>
      </c>
      <c r="F370" s="80" t="s">
        <v>2130</v>
      </c>
      <c r="G370" s="82">
        <v>0.58220000000000005</v>
      </c>
      <c r="H370" s="334">
        <f t="shared" si="10"/>
        <v>9.2592592592592032E-5</v>
      </c>
    </row>
    <row r="371" spans="1:9" ht="14.25" customHeight="1" x14ac:dyDescent="0.2">
      <c r="A371" s="523">
        <v>43316</v>
      </c>
      <c r="B371" s="1029" t="s">
        <v>7919</v>
      </c>
      <c r="C371" s="1030" t="s">
        <v>4270</v>
      </c>
      <c r="D371" s="136">
        <v>1.6493055555555556E-2</v>
      </c>
      <c r="E371" s="80" t="s">
        <v>129</v>
      </c>
      <c r="F371" s="69" t="s">
        <v>10384</v>
      </c>
      <c r="G371" s="82">
        <v>0.57889999999999997</v>
      </c>
      <c r="H371" s="334" t="e">
        <f t="shared" si="10"/>
        <v>#VALUE!</v>
      </c>
    </row>
    <row r="372" spans="1:9" ht="14.25" customHeight="1" x14ac:dyDescent="0.2">
      <c r="A372" s="523">
        <v>43169</v>
      </c>
      <c r="B372" s="862" t="s">
        <v>8103</v>
      </c>
      <c r="C372" s="863" t="s">
        <v>4270</v>
      </c>
      <c r="D372" s="334" t="s">
        <v>787</v>
      </c>
      <c r="E372" s="80" t="s">
        <v>129</v>
      </c>
      <c r="F372" s="69" t="s">
        <v>4185</v>
      </c>
      <c r="G372" s="82"/>
      <c r="H372" s="334" t="e">
        <f t="shared" si="10"/>
        <v>#VALUE!</v>
      </c>
      <c r="I372" s="80"/>
    </row>
    <row r="373" spans="1:9" ht="14.25" customHeight="1" x14ac:dyDescent="0.2">
      <c r="A373" s="523">
        <v>43463</v>
      </c>
      <c r="B373" s="862" t="s">
        <v>726</v>
      </c>
      <c r="C373" s="862" t="s">
        <v>1295</v>
      </c>
      <c r="D373" s="1">
        <v>1.8518518518518521E-2</v>
      </c>
      <c r="E373" s="80" t="s">
        <v>5883</v>
      </c>
      <c r="F373" s="80" t="s">
        <v>11391</v>
      </c>
      <c r="G373" s="82">
        <v>0.62129999999999996</v>
      </c>
      <c r="H373" s="334">
        <f t="shared" si="10"/>
        <v>-1.1342592592592585E-3</v>
      </c>
    </row>
    <row r="374" spans="1:9" ht="14.25" customHeight="1" x14ac:dyDescent="0.2">
      <c r="A374" s="523">
        <v>43459</v>
      </c>
      <c r="B374" s="80" t="s">
        <v>726</v>
      </c>
      <c r="C374" s="80" t="s">
        <v>1295</v>
      </c>
      <c r="D374" s="1">
        <v>1.7384259259259262E-2</v>
      </c>
      <c r="E374" s="80" t="s">
        <v>5885</v>
      </c>
      <c r="F374" s="80" t="s">
        <v>4938</v>
      </c>
      <c r="G374" s="82">
        <v>0.66180000000000005</v>
      </c>
      <c r="H374" s="80"/>
    </row>
    <row r="375" spans="1:9" ht="14.25" customHeight="1" x14ac:dyDescent="0.2">
      <c r="A375" s="523">
        <v>43456</v>
      </c>
      <c r="B375" s="556" t="s">
        <v>726</v>
      </c>
      <c r="C375" s="556" t="s">
        <v>1295</v>
      </c>
      <c r="D375" s="1">
        <v>1.7881944444444443E-2</v>
      </c>
      <c r="E375" s="80" t="s">
        <v>5883</v>
      </c>
      <c r="F375" s="80" t="s">
        <v>11335</v>
      </c>
      <c r="G375" s="82">
        <v>0.64339999999999997</v>
      </c>
      <c r="H375" s="334">
        <f t="shared" ref="H375:H406" si="11">D376-D375</f>
        <v>1.1226851851851884E-3</v>
      </c>
    </row>
    <row r="376" spans="1:9" ht="14.25" customHeight="1" x14ac:dyDescent="0.2">
      <c r="A376" s="523">
        <v>43449</v>
      </c>
      <c r="B376" s="1029" t="s">
        <v>726</v>
      </c>
      <c r="C376" s="1029" t="s">
        <v>1295</v>
      </c>
      <c r="D376" s="1">
        <v>1.9004629629629632E-2</v>
      </c>
      <c r="E376" s="80" t="s">
        <v>5883</v>
      </c>
      <c r="F376" s="80" t="s">
        <v>11304</v>
      </c>
      <c r="G376" s="82">
        <v>0.60540000000000005</v>
      </c>
      <c r="H376" s="334">
        <f t="shared" si="11"/>
        <v>-4.3981481481481649E-4</v>
      </c>
    </row>
    <row r="377" spans="1:9" ht="14.25" customHeight="1" x14ac:dyDescent="0.2">
      <c r="A377" s="523">
        <v>43442</v>
      </c>
      <c r="B377" s="972" t="s">
        <v>726</v>
      </c>
      <c r="C377" s="972" t="s">
        <v>1295</v>
      </c>
      <c r="D377" s="1">
        <v>1.8564814814814815E-2</v>
      </c>
      <c r="E377" s="80" t="s">
        <v>5883</v>
      </c>
      <c r="F377" s="80" t="s">
        <v>7954</v>
      </c>
      <c r="G377" s="82">
        <v>0.61970000000000003</v>
      </c>
      <c r="H377" s="334">
        <f t="shared" si="11"/>
        <v>-6.0185185185185341E-4</v>
      </c>
    </row>
    <row r="378" spans="1:9" ht="14.25" customHeight="1" x14ac:dyDescent="0.2">
      <c r="A378" s="523">
        <v>43435</v>
      </c>
      <c r="B378" s="1164" t="s">
        <v>726</v>
      </c>
      <c r="C378" s="1164" t="s">
        <v>1295</v>
      </c>
      <c r="D378" s="1">
        <v>1.7962962962962962E-2</v>
      </c>
      <c r="E378" s="80" t="s">
        <v>10983</v>
      </c>
      <c r="F378" s="80" t="s">
        <v>11162</v>
      </c>
      <c r="G378" s="82">
        <v>0.64049999999999996</v>
      </c>
      <c r="H378" s="334">
        <f t="shared" si="11"/>
        <v>3.4722222222224181E-5</v>
      </c>
    </row>
    <row r="379" spans="1:9" ht="14.25" customHeight="1" x14ac:dyDescent="0.2">
      <c r="A379" s="523">
        <v>43428</v>
      </c>
      <c r="B379" s="1038" t="s">
        <v>726</v>
      </c>
      <c r="C379" s="1038" t="s">
        <v>1295</v>
      </c>
      <c r="D379" s="1">
        <v>1.7997685185185186E-2</v>
      </c>
      <c r="E379" s="80" t="s">
        <v>5883</v>
      </c>
      <c r="F379" s="80" t="s">
        <v>11113</v>
      </c>
      <c r="G379" s="82">
        <v>0.63919999999999999</v>
      </c>
      <c r="H379" s="334" t="e">
        <f t="shared" si="11"/>
        <v>#VALUE!</v>
      </c>
    </row>
    <row r="380" spans="1:9" ht="14.25" customHeight="1" x14ac:dyDescent="0.2">
      <c r="A380" s="523">
        <v>43414</v>
      </c>
      <c r="B380" s="862" t="s">
        <v>726</v>
      </c>
      <c r="C380" s="862" t="s">
        <v>1295</v>
      </c>
      <c r="D380" s="334" t="s">
        <v>787</v>
      </c>
      <c r="E380" s="80" t="s">
        <v>5883</v>
      </c>
      <c r="F380" s="80" t="s">
        <v>4185</v>
      </c>
      <c r="G380" s="82"/>
      <c r="H380" s="334" t="e">
        <f t="shared" si="11"/>
        <v>#VALUE!</v>
      </c>
    </row>
    <row r="381" spans="1:9" ht="14.25" customHeight="1" x14ac:dyDescent="0.2">
      <c r="A381" s="523">
        <v>43407</v>
      </c>
      <c r="B381" s="901" t="s">
        <v>726</v>
      </c>
      <c r="C381" s="901" t="s">
        <v>1295</v>
      </c>
      <c r="D381" s="1">
        <v>1.7569444444444447E-2</v>
      </c>
      <c r="E381" s="80" t="s">
        <v>129</v>
      </c>
      <c r="F381" s="80" t="s">
        <v>10955</v>
      </c>
      <c r="G381" s="82">
        <v>0.65480000000000005</v>
      </c>
      <c r="H381" s="334">
        <f t="shared" si="11"/>
        <v>-1.0416666666666907E-4</v>
      </c>
    </row>
    <row r="382" spans="1:9" ht="14.25" customHeight="1" x14ac:dyDescent="0.2">
      <c r="A382" s="523">
        <v>43400</v>
      </c>
      <c r="B382" s="556" t="s">
        <v>726</v>
      </c>
      <c r="C382" s="556" t="s">
        <v>1295</v>
      </c>
      <c r="D382" s="1">
        <v>1.7465277777777777E-2</v>
      </c>
      <c r="E382" s="80" t="s">
        <v>5883</v>
      </c>
      <c r="F382" s="80" t="s">
        <v>10928</v>
      </c>
      <c r="G382" s="82">
        <v>0.65869999999999995</v>
      </c>
      <c r="H382" s="334">
        <f t="shared" si="11"/>
        <v>5.5902777777777773E-3</v>
      </c>
      <c r="I382" s="80" t="s">
        <v>10929</v>
      </c>
    </row>
    <row r="383" spans="1:9" ht="14.25" customHeight="1" x14ac:dyDescent="0.2">
      <c r="A383" s="523">
        <v>43393</v>
      </c>
      <c r="B383" s="862" t="s">
        <v>726</v>
      </c>
      <c r="C383" s="862" t="s">
        <v>1295</v>
      </c>
      <c r="D383" s="1">
        <v>2.3055555555555555E-2</v>
      </c>
      <c r="E383" s="80" t="s">
        <v>1982</v>
      </c>
      <c r="F383" s="80" t="s">
        <v>10846</v>
      </c>
      <c r="G383" s="82">
        <v>0.499</v>
      </c>
      <c r="H383" s="334">
        <f t="shared" si="11"/>
        <v>-5.8449074074074063E-3</v>
      </c>
    </row>
    <row r="384" spans="1:9" ht="14.25" customHeight="1" x14ac:dyDescent="0.2">
      <c r="A384" s="523">
        <v>43386</v>
      </c>
      <c r="B384" s="532" t="s">
        <v>726</v>
      </c>
      <c r="C384" s="532" t="s">
        <v>1295</v>
      </c>
      <c r="D384" s="1">
        <v>1.7210648148148149E-2</v>
      </c>
      <c r="E384" s="80" t="s">
        <v>475</v>
      </c>
      <c r="F384" s="80" t="s">
        <v>10826</v>
      </c>
      <c r="G384" s="82">
        <v>0.6583</v>
      </c>
      <c r="H384" s="334">
        <f t="shared" si="11"/>
        <v>7.1759259259259259E-4</v>
      </c>
    </row>
    <row r="385" spans="1:9" ht="14.25" customHeight="1" x14ac:dyDescent="0.2">
      <c r="A385" s="34">
        <v>43379</v>
      </c>
      <c r="B385" s="869" t="s">
        <v>726</v>
      </c>
      <c r="C385" s="869" t="s">
        <v>1295</v>
      </c>
      <c r="D385" s="1">
        <v>1.7928240740740741E-2</v>
      </c>
      <c r="E385" s="80" t="s">
        <v>10744</v>
      </c>
      <c r="F385" s="80" t="s">
        <v>10746</v>
      </c>
      <c r="G385" s="82">
        <v>0.64170000000000005</v>
      </c>
      <c r="H385" s="334">
        <f t="shared" si="11"/>
        <v>2.8935185185185314E-4</v>
      </c>
    </row>
    <row r="386" spans="1:9" ht="14.25" customHeight="1" x14ac:dyDescent="0.2">
      <c r="A386" s="34">
        <v>43372</v>
      </c>
      <c r="B386" s="532" t="s">
        <v>726</v>
      </c>
      <c r="C386" s="532" t="s">
        <v>1295</v>
      </c>
      <c r="D386" s="1">
        <v>1.8217592592592594E-2</v>
      </c>
      <c r="E386" s="80" t="s">
        <v>9407</v>
      </c>
      <c r="F386" s="80" t="s">
        <v>10731</v>
      </c>
      <c r="G386" s="82">
        <v>0.63149999999999995</v>
      </c>
      <c r="H386" s="334" t="e">
        <f t="shared" si="11"/>
        <v>#VALUE!</v>
      </c>
    </row>
    <row r="387" spans="1:9" ht="14.25" customHeight="1" x14ac:dyDescent="0.2">
      <c r="A387" s="523">
        <v>43358</v>
      </c>
      <c r="B387" s="1127" t="s">
        <v>726</v>
      </c>
      <c r="C387" s="1127" t="s">
        <v>1295</v>
      </c>
      <c r="D387" s="334" t="s">
        <v>787</v>
      </c>
      <c r="E387" t="s">
        <v>5883</v>
      </c>
      <c r="F387" t="s">
        <v>4185</v>
      </c>
      <c r="G387" s="82"/>
      <c r="H387" s="334" t="e">
        <f t="shared" si="11"/>
        <v>#VALUE!</v>
      </c>
    </row>
    <row r="388" spans="1:9" ht="14.25" customHeight="1" x14ac:dyDescent="0.2">
      <c r="A388" s="523">
        <v>43344</v>
      </c>
      <c r="B388" s="552" t="s">
        <v>726</v>
      </c>
      <c r="C388" s="552" t="s">
        <v>1295</v>
      </c>
      <c r="D388" s="1">
        <v>2.1099537037037038E-2</v>
      </c>
      <c r="E388" t="s">
        <v>5883</v>
      </c>
      <c r="F388" s="80" t="s">
        <v>10569</v>
      </c>
      <c r="G388" s="82">
        <v>0.5423</v>
      </c>
      <c r="H388" s="334">
        <f t="shared" si="11"/>
        <v>-3.1365740740740763E-3</v>
      </c>
    </row>
    <row r="389" spans="1:9" ht="14.25" customHeight="1" x14ac:dyDescent="0.2">
      <c r="A389" s="523">
        <v>43337</v>
      </c>
      <c r="B389" s="1044" t="s">
        <v>726</v>
      </c>
      <c r="C389" s="1044" t="s">
        <v>1295</v>
      </c>
      <c r="D389" s="1">
        <v>1.7962962962962962E-2</v>
      </c>
      <c r="E389" s="80" t="s">
        <v>2147</v>
      </c>
      <c r="F389" s="80" t="s">
        <v>10487</v>
      </c>
      <c r="G389" s="82">
        <v>0.64049999999999996</v>
      </c>
      <c r="H389" s="334">
        <f t="shared" si="11"/>
        <v>1.5277777777777807E-3</v>
      </c>
    </row>
    <row r="390" spans="1:9" ht="14.25" customHeight="1" x14ac:dyDescent="0.2">
      <c r="A390" s="523">
        <v>43330</v>
      </c>
      <c r="B390" s="1099" t="s">
        <v>726</v>
      </c>
      <c r="C390" s="1099" t="s">
        <v>1295</v>
      </c>
      <c r="D390" s="1">
        <v>1.9490740740740743E-2</v>
      </c>
      <c r="E390" s="80" t="s">
        <v>998</v>
      </c>
      <c r="F390" s="80" t="s">
        <v>10449</v>
      </c>
      <c r="G390" s="82">
        <v>0.59030000000000005</v>
      </c>
      <c r="H390" s="334">
        <f t="shared" si="11"/>
        <v>1.1921296296296298E-3</v>
      </c>
    </row>
    <row r="391" spans="1:9" ht="14.25" customHeight="1" x14ac:dyDescent="0.2">
      <c r="A391" s="523">
        <v>43323</v>
      </c>
      <c r="B391" s="585" t="s">
        <v>726</v>
      </c>
      <c r="C391" s="585" t="s">
        <v>1295</v>
      </c>
      <c r="D391" s="1">
        <v>2.0682870370370372E-2</v>
      </c>
      <c r="E391" t="s">
        <v>209</v>
      </c>
      <c r="F391" t="s">
        <v>10416</v>
      </c>
      <c r="G391" s="82">
        <v>0.55620000000000003</v>
      </c>
      <c r="H391" s="334" t="e">
        <f t="shared" si="11"/>
        <v>#VALUE!</v>
      </c>
    </row>
    <row r="392" spans="1:9" ht="14.25" customHeight="1" x14ac:dyDescent="0.2">
      <c r="A392" s="523">
        <v>43316</v>
      </c>
      <c r="B392" s="1029" t="s">
        <v>726</v>
      </c>
      <c r="C392" s="1077" t="s">
        <v>1295</v>
      </c>
      <c r="D392" s="1090" t="s">
        <v>787</v>
      </c>
      <c r="E392" s="80" t="s">
        <v>5883</v>
      </c>
      <c r="F392" s="80" t="s">
        <v>4185</v>
      </c>
      <c r="G392" s="82"/>
      <c r="H392" s="334" t="e">
        <f t="shared" si="11"/>
        <v>#VALUE!</v>
      </c>
    </row>
    <row r="393" spans="1:9" ht="14.25" customHeight="1" x14ac:dyDescent="0.2">
      <c r="A393" s="523">
        <v>43309</v>
      </c>
      <c r="B393" s="879" t="s">
        <v>726</v>
      </c>
      <c r="C393" s="879" t="s">
        <v>1295</v>
      </c>
      <c r="D393" s="1">
        <v>1.8958333333333334E-2</v>
      </c>
      <c r="E393" s="80" t="s">
        <v>5883</v>
      </c>
      <c r="F393" s="80" t="s">
        <v>10362</v>
      </c>
      <c r="G393" s="82">
        <v>0.60680000000000001</v>
      </c>
      <c r="H393" s="334">
        <f t="shared" si="11"/>
        <v>2.7083333333333334E-3</v>
      </c>
    </row>
    <row r="394" spans="1:9" ht="14.25" customHeight="1" x14ac:dyDescent="0.2">
      <c r="A394" s="523">
        <v>43302</v>
      </c>
      <c r="B394" s="985" t="s">
        <v>726</v>
      </c>
      <c r="C394" s="985" t="s">
        <v>1295</v>
      </c>
      <c r="D394" s="1">
        <v>2.1666666666666667E-2</v>
      </c>
      <c r="E394" s="80" t="s">
        <v>8111</v>
      </c>
      <c r="F394" s="80" t="s">
        <v>10284</v>
      </c>
      <c r="G394" s="82">
        <v>0.53100000000000003</v>
      </c>
      <c r="H394" s="334">
        <f t="shared" si="11"/>
        <v>-2.2685185185185204E-3</v>
      </c>
    </row>
    <row r="395" spans="1:9" ht="14.25" customHeight="1" x14ac:dyDescent="0.2">
      <c r="A395" s="523">
        <v>43295</v>
      </c>
      <c r="B395" s="601" t="s">
        <v>726</v>
      </c>
      <c r="C395" s="601" t="s">
        <v>1295</v>
      </c>
      <c r="D395" s="1">
        <v>1.9398148148148147E-2</v>
      </c>
      <c r="E395" s="80" t="s">
        <v>5883</v>
      </c>
      <c r="F395" s="80" t="s">
        <v>10231</v>
      </c>
      <c r="G395" s="82">
        <v>0.59309999999999996</v>
      </c>
      <c r="H395" s="334">
        <f t="shared" si="11"/>
        <v>-4.6296296296296363E-4</v>
      </c>
    </row>
    <row r="396" spans="1:9" ht="14.25" customHeight="1" x14ac:dyDescent="0.2">
      <c r="A396" s="523">
        <v>43288</v>
      </c>
      <c r="B396" s="1077" t="s">
        <v>726</v>
      </c>
      <c r="C396" s="1077" t="s">
        <v>1295</v>
      </c>
      <c r="D396" s="1">
        <v>1.8935185185185183E-2</v>
      </c>
      <c r="E396" t="s">
        <v>1211</v>
      </c>
      <c r="F396" s="80" t="s">
        <v>10209</v>
      </c>
      <c r="G396" s="82">
        <v>0.60760000000000003</v>
      </c>
      <c r="H396" s="334">
        <f t="shared" si="11"/>
        <v>-1.1574074074074056E-3</v>
      </c>
    </row>
    <row r="397" spans="1:9" ht="14.25" customHeight="1" x14ac:dyDescent="0.2">
      <c r="A397" s="523">
        <v>43281</v>
      </c>
      <c r="B397" s="556" t="s">
        <v>726</v>
      </c>
      <c r="C397" s="556" t="s">
        <v>1295</v>
      </c>
      <c r="D397" s="1">
        <v>1.7777777777777778E-2</v>
      </c>
      <c r="E397" s="80" t="s">
        <v>10111</v>
      </c>
      <c r="F397" s="80" t="s">
        <v>10179</v>
      </c>
      <c r="G397" s="82">
        <v>0.64710000000000001</v>
      </c>
      <c r="H397" s="334" t="e">
        <f t="shared" si="11"/>
        <v>#VALUE!</v>
      </c>
    </row>
    <row r="398" spans="1:9" ht="14.25" customHeight="1" x14ac:dyDescent="0.2">
      <c r="A398" s="33">
        <v>43260</v>
      </c>
      <c r="B398" s="532" t="s">
        <v>726</v>
      </c>
      <c r="C398" s="843" t="s">
        <v>1295</v>
      </c>
      <c r="D398" s="80" t="s">
        <v>787</v>
      </c>
      <c r="E398" s="80" t="s">
        <v>5883</v>
      </c>
      <c r="F398" s="69" t="s">
        <v>4185</v>
      </c>
      <c r="G398" s="82"/>
      <c r="H398" s="334" t="e">
        <f t="shared" si="11"/>
        <v>#VALUE!</v>
      </c>
      <c r="I398" s="80"/>
    </row>
    <row r="399" spans="1:9" ht="14.25" customHeight="1" x14ac:dyDescent="0.2">
      <c r="A399" s="523">
        <v>43253</v>
      </c>
      <c r="B399" s="901" t="s">
        <v>726</v>
      </c>
      <c r="C399" s="902" t="s">
        <v>1295</v>
      </c>
      <c r="D399" s="1">
        <v>1.7557870370370373E-2</v>
      </c>
      <c r="E399" s="80" t="s">
        <v>5883</v>
      </c>
      <c r="F399" s="69" t="s">
        <v>6127</v>
      </c>
      <c r="G399" s="82">
        <v>0.6552</v>
      </c>
      <c r="H399" s="334">
        <f t="shared" si="11"/>
        <v>2.4305555555555192E-4</v>
      </c>
      <c r="I399" s="80"/>
    </row>
    <row r="400" spans="1:9" ht="14.25" customHeight="1" x14ac:dyDescent="0.2">
      <c r="A400" s="523">
        <v>43246</v>
      </c>
      <c r="B400" s="601" t="s">
        <v>726</v>
      </c>
      <c r="C400" s="958" t="s">
        <v>1295</v>
      </c>
      <c r="D400" s="1">
        <v>1.7800925925925925E-2</v>
      </c>
      <c r="E400" s="80" t="s">
        <v>2830</v>
      </c>
      <c r="F400" s="69"/>
      <c r="G400" s="82">
        <v>0.64629999999999999</v>
      </c>
      <c r="H400" s="334">
        <f t="shared" si="11"/>
        <v>-1.041666666666656E-4</v>
      </c>
      <c r="I400" s="80"/>
    </row>
    <row r="401" spans="1:9" ht="14.25" customHeight="1" x14ac:dyDescent="0.2">
      <c r="A401" s="523">
        <v>43239</v>
      </c>
      <c r="B401" s="80" t="s">
        <v>726</v>
      </c>
      <c r="C401" s="334" t="s">
        <v>1295</v>
      </c>
      <c r="D401" s="1">
        <v>1.7696759259259259E-2</v>
      </c>
      <c r="E401" s="80" t="s">
        <v>5883</v>
      </c>
      <c r="F401" s="69" t="s">
        <v>6094</v>
      </c>
      <c r="G401" s="82">
        <v>0.65010000000000001</v>
      </c>
      <c r="H401" s="334">
        <f t="shared" si="11"/>
        <v>-3.8194444444444517E-4</v>
      </c>
      <c r="I401" s="80"/>
    </row>
    <row r="402" spans="1:9" ht="14.25" customHeight="1" x14ac:dyDescent="0.2">
      <c r="A402" s="523">
        <v>43232</v>
      </c>
      <c r="B402" s="1051" t="s">
        <v>726</v>
      </c>
      <c r="C402" s="1052" t="s">
        <v>1295</v>
      </c>
      <c r="D402" s="1">
        <v>1.7314814814814814E-2</v>
      </c>
      <c r="E402" s="80" t="s">
        <v>5883</v>
      </c>
      <c r="F402" s="69" t="s">
        <v>7961</v>
      </c>
      <c r="G402" s="82">
        <v>0.66439999999999999</v>
      </c>
      <c r="H402" s="334">
        <f t="shared" si="11"/>
        <v>3.7037037037036813E-4</v>
      </c>
      <c r="I402" s="80"/>
    </row>
    <row r="403" spans="1:9" ht="14.25" customHeight="1" x14ac:dyDescent="0.2">
      <c r="A403" s="523">
        <v>43225</v>
      </c>
      <c r="B403" s="1044" t="s">
        <v>726</v>
      </c>
      <c r="C403" s="1045" t="s">
        <v>1295</v>
      </c>
      <c r="D403" s="1">
        <v>1.7685185185185182E-2</v>
      </c>
      <c r="E403" s="80" t="s">
        <v>9304</v>
      </c>
      <c r="F403" s="69" t="s">
        <v>9723</v>
      </c>
      <c r="G403" s="82">
        <v>0.65049999999999997</v>
      </c>
      <c r="H403" s="334">
        <f t="shared" si="11"/>
        <v>1.8518518518518545E-3</v>
      </c>
      <c r="I403" s="80"/>
    </row>
    <row r="404" spans="1:9" ht="14.25" customHeight="1" x14ac:dyDescent="0.2">
      <c r="A404" s="523">
        <v>43211</v>
      </c>
      <c r="B404" s="1038" t="s">
        <v>726</v>
      </c>
      <c r="C404" s="1039" t="s">
        <v>1295</v>
      </c>
      <c r="D404" s="1">
        <v>1.9537037037037037E-2</v>
      </c>
      <c r="E404" s="80" t="s">
        <v>5883</v>
      </c>
      <c r="F404" s="69" t="s">
        <v>9636</v>
      </c>
      <c r="G404" s="82">
        <v>0.58889999999999998</v>
      </c>
      <c r="H404" s="334">
        <f t="shared" si="11"/>
        <v>1.8634259259259281E-3</v>
      </c>
      <c r="I404" s="80"/>
    </row>
    <row r="405" spans="1:9" ht="14.25" customHeight="1" x14ac:dyDescent="0.2">
      <c r="A405" s="523">
        <v>43204</v>
      </c>
      <c r="B405" s="80" t="s">
        <v>726</v>
      </c>
      <c r="C405" s="334" t="s">
        <v>1295</v>
      </c>
      <c r="D405" s="1">
        <v>2.1400462962962965E-2</v>
      </c>
      <c r="E405" s="80" t="s">
        <v>5883</v>
      </c>
      <c r="F405" s="69" t="s">
        <v>1470</v>
      </c>
      <c r="G405" s="82">
        <v>0.53759999999999997</v>
      </c>
      <c r="H405" s="334" t="e">
        <f t="shared" si="11"/>
        <v>#VALUE!</v>
      </c>
      <c r="I405" s="80"/>
    </row>
    <row r="406" spans="1:9" ht="14.25" customHeight="1" x14ac:dyDescent="0.2">
      <c r="A406" s="523">
        <v>43197</v>
      </c>
      <c r="B406" s="930" t="s">
        <v>726</v>
      </c>
      <c r="C406" s="931" t="s">
        <v>1295</v>
      </c>
      <c r="D406" s="1" t="s">
        <v>787</v>
      </c>
      <c r="E406" s="80" t="s">
        <v>5883</v>
      </c>
      <c r="F406" s="69" t="s">
        <v>4155</v>
      </c>
      <c r="G406" s="82"/>
      <c r="H406" s="334" t="e">
        <f t="shared" si="11"/>
        <v>#VALUE!</v>
      </c>
      <c r="I406" s="80"/>
    </row>
    <row r="407" spans="1:9" ht="14.25" customHeight="1" x14ac:dyDescent="0.2">
      <c r="A407" s="523">
        <v>43190</v>
      </c>
      <c r="B407" s="1029" t="s">
        <v>726</v>
      </c>
      <c r="C407" s="1030" t="s">
        <v>1295</v>
      </c>
      <c r="D407" s="1">
        <v>2.013888888888889E-2</v>
      </c>
      <c r="E407" s="80" t="s">
        <v>3132</v>
      </c>
      <c r="F407" s="69" t="s">
        <v>4895</v>
      </c>
      <c r="G407" s="82">
        <v>0.57130000000000003</v>
      </c>
      <c r="H407" s="334">
        <f t="shared" ref="H407:H423" si="12">D408-D407</f>
        <v>-2.4189814814814838E-3</v>
      </c>
      <c r="I407" s="80"/>
    </row>
    <row r="408" spans="1:9" ht="14.25" customHeight="1" x14ac:dyDescent="0.2">
      <c r="A408" s="523">
        <v>43183</v>
      </c>
      <c r="B408" s="1019" t="s">
        <v>726</v>
      </c>
      <c r="C408" s="1020" t="s">
        <v>1295</v>
      </c>
      <c r="D408" s="1">
        <v>1.7719907407407406E-2</v>
      </c>
      <c r="E408" s="80" t="s">
        <v>9407</v>
      </c>
      <c r="F408" s="69" t="s">
        <v>9480</v>
      </c>
      <c r="G408" s="82">
        <v>0.6492</v>
      </c>
      <c r="H408" s="334">
        <f t="shared" si="12"/>
        <v>6.9444444444444892E-5</v>
      </c>
      <c r="I408" s="80"/>
    </row>
    <row r="409" spans="1:9" ht="14.25" customHeight="1" x14ac:dyDescent="0.2">
      <c r="A409" s="523">
        <v>43176</v>
      </c>
      <c r="B409" s="532" t="s">
        <v>726</v>
      </c>
      <c r="C409" s="843" t="s">
        <v>1295</v>
      </c>
      <c r="D409" s="334">
        <v>1.7789351851851851E-2</v>
      </c>
      <c r="E409" s="80" t="s">
        <v>6393</v>
      </c>
      <c r="F409" s="69" t="s">
        <v>9440</v>
      </c>
      <c r="G409" s="82">
        <v>0.64670000000000005</v>
      </c>
      <c r="H409" s="334">
        <f t="shared" si="12"/>
        <v>1.9675925925925937E-3</v>
      </c>
      <c r="I409" s="80" t="s">
        <v>9439</v>
      </c>
    </row>
    <row r="410" spans="1:9" ht="14.25" customHeight="1" x14ac:dyDescent="0.2">
      <c r="A410" s="523">
        <v>43169</v>
      </c>
      <c r="B410" s="862" t="s">
        <v>726</v>
      </c>
      <c r="C410" s="863" t="s">
        <v>1295</v>
      </c>
      <c r="D410" s="1">
        <v>1.9756944444444445E-2</v>
      </c>
      <c r="E410" s="80" t="s">
        <v>5883</v>
      </c>
      <c r="F410" s="69" t="s">
        <v>1972</v>
      </c>
      <c r="G410" s="82">
        <v>0.58230000000000004</v>
      </c>
      <c r="H410" s="334">
        <f t="shared" si="12"/>
        <v>-1.0185185185185193E-3</v>
      </c>
      <c r="I410" s="80"/>
    </row>
    <row r="411" spans="1:9" ht="14.25" customHeight="1" x14ac:dyDescent="0.2">
      <c r="A411" s="523">
        <v>43162</v>
      </c>
      <c r="B411" s="879" t="s">
        <v>726</v>
      </c>
      <c r="C411" s="880" t="s">
        <v>1295</v>
      </c>
      <c r="D411" s="1">
        <v>1.8738425925925926E-2</v>
      </c>
      <c r="E411" s="80" t="s">
        <v>998</v>
      </c>
      <c r="F411" s="69" t="s">
        <v>9382</v>
      </c>
      <c r="G411" s="82">
        <v>0.61399999999999999</v>
      </c>
      <c r="H411" s="334">
        <f t="shared" si="12"/>
        <v>-1.157407407407357E-5</v>
      </c>
      <c r="I411" s="80"/>
    </row>
    <row r="412" spans="1:9" ht="14.25" customHeight="1" x14ac:dyDescent="0.2">
      <c r="A412" s="523">
        <v>43155</v>
      </c>
      <c r="B412" s="940" t="s">
        <v>726</v>
      </c>
      <c r="C412" s="941" t="s">
        <v>1295</v>
      </c>
      <c r="D412" s="1">
        <v>1.8726851851851852E-2</v>
      </c>
      <c r="E412" s="80" t="s">
        <v>5883</v>
      </c>
      <c r="F412" s="69" t="s">
        <v>1091</v>
      </c>
      <c r="G412" s="82">
        <v>0.6069</v>
      </c>
      <c r="H412" s="334">
        <f t="shared" si="12"/>
        <v>-1.5046296296296301E-3</v>
      </c>
      <c r="I412" s="80"/>
    </row>
    <row r="413" spans="1:9" ht="14.25" customHeight="1" x14ac:dyDescent="0.2">
      <c r="A413" s="523">
        <v>43148</v>
      </c>
      <c r="B413" s="568" t="s">
        <v>726</v>
      </c>
      <c r="C413" s="861" t="s">
        <v>1295</v>
      </c>
      <c r="D413" s="1">
        <v>1.7222222222222222E-2</v>
      </c>
      <c r="E413" s="80" t="s">
        <v>129</v>
      </c>
      <c r="F413" s="69" t="s">
        <v>9291</v>
      </c>
      <c r="G413" s="82">
        <v>0.65990000000000004</v>
      </c>
      <c r="H413" s="334">
        <f t="shared" si="12"/>
        <v>-1.157407407407357E-5</v>
      </c>
      <c r="I413" s="80"/>
    </row>
    <row r="414" spans="1:9" ht="14.25" customHeight="1" x14ac:dyDescent="0.2">
      <c r="A414" s="523">
        <v>43141</v>
      </c>
      <c r="B414" s="987" t="s">
        <v>726</v>
      </c>
      <c r="C414" s="988" t="s">
        <v>1295</v>
      </c>
      <c r="D414" s="1">
        <v>1.7210648148148149E-2</v>
      </c>
      <c r="E414" s="80" t="s">
        <v>1401</v>
      </c>
      <c r="F414" s="69" t="s">
        <v>4113</v>
      </c>
      <c r="G414" s="82">
        <v>0.66039999999999999</v>
      </c>
      <c r="H414" s="334">
        <f t="shared" si="12"/>
        <v>1.5625000000000014E-3</v>
      </c>
      <c r="I414" s="80"/>
    </row>
    <row r="415" spans="1:9" ht="14.25" customHeight="1" x14ac:dyDescent="0.2">
      <c r="A415" s="523">
        <v>43127</v>
      </c>
      <c r="B415" s="862" t="s">
        <v>726</v>
      </c>
      <c r="C415" s="863" t="s">
        <v>1295</v>
      </c>
      <c r="D415" s="1">
        <v>1.877314814814815E-2</v>
      </c>
      <c r="E415" s="80" t="s">
        <v>5883</v>
      </c>
      <c r="F415" s="69" t="s">
        <v>9168</v>
      </c>
      <c r="G415" s="82">
        <v>0.60540000000000005</v>
      </c>
      <c r="H415" s="334">
        <f t="shared" si="12"/>
        <v>-3.8194444444444517E-4</v>
      </c>
      <c r="I415" s="80"/>
    </row>
    <row r="416" spans="1:9" ht="14.25" customHeight="1" x14ac:dyDescent="0.2">
      <c r="A416" s="523">
        <v>43120</v>
      </c>
      <c r="B416" s="601" t="s">
        <v>726</v>
      </c>
      <c r="C416" s="958" t="s">
        <v>1295</v>
      </c>
      <c r="D416" s="1">
        <v>1.8391203703703705E-2</v>
      </c>
      <c r="E416" s="80" t="s">
        <v>5883</v>
      </c>
      <c r="F416" s="97" t="s">
        <v>9087</v>
      </c>
      <c r="G416" s="82">
        <v>0.61799999999999999</v>
      </c>
      <c r="H416" s="334">
        <f t="shared" si="12"/>
        <v>6.5972222222222231E-3</v>
      </c>
      <c r="I416" s="80"/>
    </row>
    <row r="417" spans="1:9" ht="14.25" customHeight="1" x14ac:dyDescent="0.2">
      <c r="A417" s="523">
        <v>43106</v>
      </c>
      <c r="B417" s="869" t="s">
        <v>726</v>
      </c>
      <c r="C417" s="903" t="s">
        <v>1295</v>
      </c>
      <c r="D417" s="334">
        <v>2.4988425925925928E-2</v>
      </c>
      <c r="E417" s="80" t="s">
        <v>1982</v>
      </c>
      <c r="F417" s="69" t="s">
        <v>9122</v>
      </c>
      <c r="G417" s="82">
        <v>0.45479999999999998</v>
      </c>
      <c r="H417" s="334">
        <f t="shared" si="12"/>
        <v>-7.4305555555555548E-3</v>
      </c>
      <c r="I417" s="80"/>
    </row>
    <row r="418" spans="1:9" ht="14.25" customHeight="1" x14ac:dyDescent="0.2">
      <c r="A418" s="523">
        <v>43101</v>
      </c>
      <c r="B418" s="556" t="s">
        <v>726</v>
      </c>
      <c r="C418" s="950" t="s">
        <v>1295</v>
      </c>
      <c r="D418" s="1">
        <v>1.7557870370370373E-2</v>
      </c>
      <c r="E418" s="80" t="s">
        <v>2251</v>
      </c>
      <c r="F418" s="69" t="s">
        <v>9019</v>
      </c>
      <c r="G418" s="82">
        <v>0.64729999999999999</v>
      </c>
      <c r="H418" s="334">
        <f t="shared" si="12"/>
        <v>3.4722222222222099E-4</v>
      </c>
      <c r="I418" s="80" t="s">
        <v>6132</v>
      </c>
    </row>
    <row r="419" spans="1:9" ht="14.25" customHeight="1" x14ac:dyDescent="0.2">
      <c r="A419" s="523">
        <v>43101</v>
      </c>
      <c r="B419" s="556" t="s">
        <v>726</v>
      </c>
      <c r="C419" s="950" t="s">
        <v>1295</v>
      </c>
      <c r="D419" s="1">
        <v>1.7905092592592594E-2</v>
      </c>
      <c r="E419" s="80" t="s">
        <v>9020</v>
      </c>
      <c r="F419" s="69" t="s">
        <v>9023</v>
      </c>
      <c r="G419" s="82">
        <v>0.63480000000000003</v>
      </c>
      <c r="H419" s="334">
        <f t="shared" si="12"/>
        <v>-1.6203703703703692E-4</v>
      </c>
      <c r="I419" s="80" t="s">
        <v>9021</v>
      </c>
    </row>
    <row r="420" spans="1:9" ht="14.25" customHeight="1" x14ac:dyDescent="0.2">
      <c r="A420" s="523">
        <v>43421</v>
      </c>
      <c r="B420" s="906" t="s">
        <v>2754</v>
      </c>
      <c r="C420" s="906" t="s">
        <v>1295</v>
      </c>
      <c r="D420" s="1">
        <v>1.7743055555555557E-2</v>
      </c>
      <c r="E420" s="80" t="s">
        <v>4379</v>
      </c>
      <c r="F420" s="80" t="s">
        <v>11044</v>
      </c>
      <c r="G420" s="82">
        <v>0.64839999999999998</v>
      </c>
      <c r="H420" s="334">
        <f t="shared" si="12"/>
        <v>-3.703703703703716E-4</v>
      </c>
    </row>
    <row r="421" spans="1:9" ht="14.25" customHeight="1" x14ac:dyDescent="0.2">
      <c r="A421" s="34">
        <v>43274</v>
      </c>
      <c r="B421" s="1071" t="s">
        <v>2754</v>
      </c>
      <c r="C421" s="1071" t="s">
        <v>1295</v>
      </c>
      <c r="D421" s="1">
        <v>1.7372685185185185E-2</v>
      </c>
      <c r="E421" s="80" t="s">
        <v>10111</v>
      </c>
      <c r="F421" s="80" t="s">
        <v>10134</v>
      </c>
      <c r="G421" s="82">
        <v>0.66220000000000001</v>
      </c>
      <c r="H421" s="334">
        <f t="shared" si="12"/>
        <v>-7.9861111111111105E-4</v>
      </c>
    </row>
    <row r="422" spans="1:9" ht="14.25" customHeight="1" x14ac:dyDescent="0.2">
      <c r="A422" s="523">
        <v>43267</v>
      </c>
      <c r="B422" s="1058" t="s">
        <v>2754</v>
      </c>
      <c r="C422" s="1059" t="s">
        <v>1295</v>
      </c>
      <c r="D422" s="1">
        <v>1.6574074074074074E-2</v>
      </c>
      <c r="E422" s="80" t="s">
        <v>3738</v>
      </c>
      <c r="F422" s="69" t="s">
        <v>9943</v>
      </c>
      <c r="G422" s="82">
        <v>0.69410000000000005</v>
      </c>
      <c r="H422" s="334" t="e">
        <f t="shared" si="12"/>
        <v>#VALUE!</v>
      </c>
      <c r="I422" s="80"/>
    </row>
    <row r="423" spans="1:9" ht="14.25" customHeight="1" x14ac:dyDescent="0.2">
      <c r="A423" s="523">
        <v>43463</v>
      </c>
      <c r="B423" s="862" t="s">
        <v>3508</v>
      </c>
      <c r="C423" s="862" t="s">
        <v>1295</v>
      </c>
      <c r="D423" s="1" t="s">
        <v>787</v>
      </c>
      <c r="E423" s="80" t="s">
        <v>5883</v>
      </c>
      <c r="F423" s="80" t="s">
        <v>4185</v>
      </c>
      <c r="G423" s="82"/>
      <c r="H423" s="334" t="e">
        <f t="shared" si="12"/>
        <v>#VALUE!</v>
      </c>
    </row>
    <row r="424" spans="1:9" ht="14.25" customHeight="1" x14ac:dyDescent="0.2">
      <c r="A424" s="523">
        <v>43459</v>
      </c>
      <c r="B424" s="80" t="s">
        <v>3508</v>
      </c>
      <c r="C424" s="80" t="s">
        <v>1295</v>
      </c>
      <c r="D424" s="1">
        <v>1.6145833333333335E-2</v>
      </c>
      <c r="E424" s="80" t="s">
        <v>5885</v>
      </c>
      <c r="F424" s="80" t="s">
        <v>8105</v>
      </c>
      <c r="G424" s="82">
        <v>0.63939999999999997</v>
      </c>
      <c r="H424" s="80"/>
    </row>
    <row r="425" spans="1:9" ht="14.25" customHeight="1" x14ac:dyDescent="0.2">
      <c r="A425" s="523">
        <v>43456</v>
      </c>
      <c r="B425" s="556" t="s">
        <v>3508</v>
      </c>
      <c r="C425" s="556" t="s">
        <v>1295</v>
      </c>
      <c r="D425" s="1">
        <v>1.6562500000000001E-2</v>
      </c>
      <c r="E425" s="80" t="s">
        <v>5883</v>
      </c>
      <c r="F425" s="80" t="s">
        <v>11331</v>
      </c>
      <c r="G425" s="82">
        <v>0.62329999999999997</v>
      </c>
      <c r="H425" s="334">
        <f t="shared" ref="H425:H456" si="13">D426-D425</f>
        <v>-2.3148148148148182E-4</v>
      </c>
    </row>
    <row r="426" spans="1:9" ht="14.25" customHeight="1" x14ac:dyDescent="0.2">
      <c r="A426" s="523">
        <v>43449</v>
      </c>
      <c r="B426" s="1029" t="s">
        <v>3508</v>
      </c>
      <c r="C426" s="1029" t="s">
        <v>1295</v>
      </c>
      <c r="D426" s="1">
        <v>1.6331018518518519E-2</v>
      </c>
      <c r="E426" s="80" t="s">
        <v>5883</v>
      </c>
      <c r="F426" s="80" t="s">
        <v>11303</v>
      </c>
      <c r="G426" s="82">
        <v>0.63219999999999998</v>
      </c>
      <c r="H426" s="334">
        <f t="shared" si="13"/>
        <v>2.0833333333333121E-4</v>
      </c>
    </row>
    <row r="427" spans="1:9" ht="14.25" customHeight="1" x14ac:dyDescent="0.2">
      <c r="A427" s="523">
        <v>43442</v>
      </c>
      <c r="B427" s="972" t="s">
        <v>3508</v>
      </c>
      <c r="C427" s="972" t="s">
        <v>1295</v>
      </c>
      <c r="D427" s="1">
        <v>1.653935185185185E-2</v>
      </c>
      <c r="E427" s="80" t="s">
        <v>5883</v>
      </c>
      <c r="F427" s="80" t="s">
        <v>7881</v>
      </c>
      <c r="G427" s="82">
        <v>0.62419999999999998</v>
      </c>
      <c r="H427" s="334">
        <f t="shared" si="13"/>
        <v>6.9444444444448361E-5</v>
      </c>
    </row>
    <row r="428" spans="1:9" ht="14.25" customHeight="1" x14ac:dyDescent="0.2">
      <c r="A428" s="523">
        <v>43435</v>
      </c>
      <c r="B428" s="1164" t="s">
        <v>3508</v>
      </c>
      <c r="C428" s="1164" t="s">
        <v>1295</v>
      </c>
      <c r="D428" s="1">
        <v>1.6608796296296299E-2</v>
      </c>
      <c r="E428" s="80" t="s">
        <v>10983</v>
      </c>
      <c r="F428" s="80" t="s">
        <v>11162</v>
      </c>
      <c r="G428" s="82">
        <v>0.62160000000000004</v>
      </c>
      <c r="H428" s="334">
        <f t="shared" si="13"/>
        <v>2.0717592592592558E-3</v>
      </c>
    </row>
    <row r="429" spans="1:9" ht="14.25" customHeight="1" x14ac:dyDescent="0.2">
      <c r="A429" s="523">
        <v>43428</v>
      </c>
      <c r="B429" s="1038" t="s">
        <v>3508</v>
      </c>
      <c r="C429" s="1038" t="s">
        <v>1295</v>
      </c>
      <c r="D429" s="1">
        <v>1.8680555555555554E-2</v>
      </c>
      <c r="E429" s="80" t="s">
        <v>5883</v>
      </c>
      <c r="F429" s="80" t="s">
        <v>11108</v>
      </c>
      <c r="G429" s="82">
        <v>0.55269999999999997</v>
      </c>
      <c r="H429" s="334">
        <f t="shared" si="13"/>
        <v>-2.9629629629629624E-3</v>
      </c>
    </row>
    <row r="430" spans="1:9" ht="14.25" customHeight="1" x14ac:dyDescent="0.2">
      <c r="A430" s="523">
        <v>43421</v>
      </c>
      <c r="B430" s="906" t="s">
        <v>3508</v>
      </c>
      <c r="C430" s="906" t="s">
        <v>1295</v>
      </c>
      <c r="D430" s="1">
        <v>1.5717592592592592E-2</v>
      </c>
      <c r="E430" s="80" t="s">
        <v>4379</v>
      </c>
      <c r="F430" s="80" t="s">
        <v>11043</v>
      </c>
      <c r="G430" s="82">
        <v>0.65680000000000005</v>
      </c>
      <c r="H430" s="334">
        <f t="shared" si="13"/>
        <v>9.3750000000000083E-4</v>
      </c>
    </row>
    <row r="431" spans="1:9" ht="14.25" customHeight="1" x14ac:dyDescent="0.2">
      <c r="A431" s="523">
        <v>43414</v>
      </c>
      <c r="B431" s="862" t="s">
        <v>3508</v>
      </c>
      <c r="C431" s="862" t="s">
        <v>1295</v>
      </c>
      <c r="D431" s="1">
        <v>1.6655092592592593E-2</v>
      </c>
      <c r="E431" s="80" t="s">
        <v>5883</v>
      </c>
      <c r="F431" s="80" t="s">
        <v>7764</v>
      </c>
      <c r="G431" s="82">
        <v>0.61990000000000001</v>
      </c>
      <c r="H431" s="334">
        <f t="shared" si="13"/>
        <v>2.4421296296296274E-3</v>
      </c>
    </row>
    <row r="432" spans="1:9" ht="14.25" customHeight="1" x14ac:dyDescent="0.2">
      <c r="A432" s="523">
        <v>43407</v>
      </c>
      <c r="B432" s="901" t="s">
        <v>3508</v>
      </c>
      <c r="C432" s="901" t="s">
        <v>1295</v>
      </c>
      <c r="D432" s="1150">
        <v>1.909722222222222E-2</v>
      </c>
      <c r="E432" s="80" t="s">
        <v>5883</v>
      </c>
      <c r="F432" s="80" t="s">
        <v>7738</v>
      </c>
      <c r="G432" s="82">
        <v>0.54059999999999997</v>
      </c>
      <c r="H432" s="334">
        <f t="shared" si="13"/>
        <v>-1.145833333333332E-3</v>
      </c>
    </row>
    <row r="433" spans="1:8" ht="14.25" customHeight="1" x14ac:dyDescent="0.2">
      <c r="A433" s="523">
        <v>43400</v>
      </c>
      <c r="B433" s="556" t="s">
        <v>3508</v>
      </c>
      <c r="C433" s="556" t="s">
        <v>1295</v>
      </c>
      <c r="D433" s="334">
        <v>1.7951388888888888E-2</v>
      </c>
      <c r="E433" s="80" t="s">
        <v>5883</v>
      </c>
      <c r="F433" s="80" t="s">
        <v>10930</v>
      </c>
      <c r="G433" s="82">
        <v>0.57509999999999994</v>
      </c>
      <c r="H433" s="334">
        <f t="shared" si="13"/>
        <v>-7.4074074074073973E-4</v>
      </c>
    </row>
    <row r="434" spans="1:8" ht="14.25" customHeight="1" x14ac:dyDescent="0.2">
      <c r="A434" s="523">
        <v>43393</v>
      </c>
      <c r="B434" s="862" t="s">
        <v>3508</v>
      </c>
      <c r="C434" s="862" t="s">
        <v>1295</v>
      </c>
      <c r="D434" s="1">
        <v>1.7210648148148149E-2</v>
      </c>
      <c r="E434" s="80" t="s">
        <v>5883</v>
      </c>
      <c r="F434" s="2" t="s">
        <v>7686</v>
      </c>
      <c r="G434" s="82">
        <v>0.59989999999999999</v>
      </c>
      <c r="H434" s="334">
        <f t="shared" si="13"/>
        <v>-2.314814814815061E-5</v>
      </c>
    </row>
    <row r="435" spans="1:8" ht="14.25" customHeight="1" x14ac:dyDescent="0.2">
      <c r="A435" s="523">
        <v>43386</v>
      </c>
      <c r="B435" s="532" t="s">
        <v>3508</v>
      </c>
      <c r="C435" s="532" t="s">
        <v>1295</v>
      </c>
      <c r="D435" s="1">
        <v>1.7187499999999998E-2</v>
      </c>
      <c r="E435" s="80" t="s">
        <v>5883</v>
      </c>
      <c r="F435" s="80" t="s">
        <v>7643</v>
      </c>
      <c r="G435" s="82">
        <v>0.60070000000000001</v>
      </c>
      <c r="H435" s="334">
        <f t="shared" si="13"/>
        <v>-1.307870370370369E-3</v>
      </c>
    </row>
    <row r="436" spans="1:8" ht="14.25" customHeight="1" x14ac:dyDescent="0.2">
      <c r="A436" s="34">
        <v>43379</v>
      </c>
      <c r="B436" s="869" t="s">
        <v>3508</v>
      </c>
      <c r="C436" s="869" t="s">
        <v>1295</v>
      </c>
      <c r="D436" s="1">
        <v>1.5879629629629629E-2</v>
      </c>
      <c r="E436" s="80" t="s">
        <v>10744</v>
      </c>
      <c r="F436" s="80" t="s">
        <v>10747</v>
      </c>
      <c r="G436" s="82">
        <v>0.65010000000000001</v>
      </c>
      <c r="H436" s="334">
        <f t="shared" si="13"/>
        <v>4.9768518518518434E-4</v>
      </c>
    </row>
    <row r="437" spans="1:8" ht="14.25" customHeight="1" x14ac:dyDescent="0.2">
      <c r="A437" s="34">
        <v>43372</v>
      </c>
      <c r="B437" s="532" t="s">
        <v>3508</v>
      </c>
      <c r="C437" s="532" t="s">
        <v>1295</v>
      </c>
      <c r="D437" s="1">
        <v>1.6377314814814813E-2</v>
      </c>
      <c r="E437" s="80" t="s">
        <v>9407</v>
      </c>
      <c r="F437" s="80" t="s">
        <v>10730</v>
      </c>
      <c r="G437" s="82">
        <v>0.63039999999999996</v>
      </c>
      <c r="H437" s="334">
        <f t="shared" si="13"/>
        <v>2.7777777777777957E-4</v>
      </c>
    </row>
    <row r="438" spans="1:8" ht="14.25" customHeight="1" x14ac:dyDescent="0.2">
      <c r="A438" s="34">
        <v>43365</v>
      </c>
      <c r="B438" s="556" t="s">
        <v>3508</v>
      </c>
      <c r="C438" s="556" t="s">
        <v>1295</v>
      </c>
      <c r="D438" s="1">
        <v>1.6655092592592593E-2</v>
      </c>
      <c r="E438" s="80" t="s">
        <v>4004</v>
      </c>
      <c r="F438" s="80" t="s">
        <v>7775</v>
      </c>
      <c r="G438" s="82">
        <v>0.61990000000000001</v>
      </c>
      <c r="H438" s="334" t="e">
        <f t="shared" si="13"/>
        <v>#VALUE!</v>
      </c>
    </row>
    <row r="439" spans="1:8" ht="14.25" customHeight="1" x14ac:dyDescent="0.2">
      <c r="A439" s="523">
        <v>43344</v>
      </c>
      <c r="B439" s="552" t="s">
        <v>3508</v>
      </c>
      <c r="C439" s="552" t="s">
        <v>1295</v>
      </c>
      <c r="D439" s="1" t="s">
        <v>787</v>
      </c>
      <c r="E439" t="s">
        <v>5883</v>
      </c>
      <c r="F439" t="s">
        <v>4185</v>
      </c>
      <c r="G439" s="82"/>
      <c r="H439" s="334" t="e">
        <f t="shared" si="13"/>
        <v>#VALUE!</v>
      </c>
    </row>
    <row r="440" spans="1:8" ht="14.25" customHeight="1" x14ac:dyDescent="0.2">
      <c r="A440" s="523">
        <v>43337</v>
      </c>
      <c r="B440" s="1044" t="s">
        <v>3508</v>
      </c>
      <c r="C440" s="1045" t="s">
        <v>1295</v>
      </c>
      <c r="D440" s="80" t="s">
        <v>787</v>
      </c>
      <c r="E440" s="80" t="s">
        <v>5883</v>
      </c>
      <c r="F440" s="69" t="s">
        <v>4185</v>
      </c>
      <c r="H440" s="334" t="e">
        <f t="shared" si="13"/>
        <v>#VALUE!</v>
      </c>
    </row>
    <row r="441" spans="1:8" ht="14.25" customHeight="1" x14ac:dyDescent="0.2">
      <c r="A441" s="523">
        <v>43330</v>
      </c>
      <c r="B441" s="1099" t="s">
        <v>3508</v>
      </c>
      <c r="C441" s="1099" t="s">
        <v>1295</v>
      </c>
      <c r="D441" s="334">
        <v>1.6909722222222225E-2</v>
      </c>
      <c r="E441" s="80" t="s">
        <v>5883</v>
      </c>
      <c r="F441" s="80" t="s">
        <v>10455</v>
      </c>
      <c r="G441" s="82">
        <v>0.61050000000000004</v>
      </c>
      <c r="H441" s="334">
        <f t="shared" si="13"/>
        <v>-5.671296296296327E-4</v>
      </c>
    </row>
    <row r="442" spans="1:8" ht="14.25" customHeight="1" x14ac:dyDescent="0.2">
      <c r="A442" s="523">
        <v>43323</v>
      </c>
      <c r="B442" s="585" t="s">
        <v>3508</v>
      </c>
      <c r="C442" s="585" t="s">
        <v>1295</v>
      </c>
      <c r="D442" s="1">
        <v>1.6342592592592593E-2</v>
      </c>
      <c r="E442" t="s">
        <v>209</v>
      </c>
      <c r="F442" t="s">
        <v>10415</v>
      </c>
      <c r="G442" s="82">
        <v>0.63170000000000004</v>
      </c>
      <c r="H442" s="334">
        <f t="shared" si="13"/>
        <v>4.386574074074074E-3</v>
      </c>
    </row>
    <row r="443" spans="1:8" ht="14.25" customHeight="1" x14ac:dyDescent="0.2">
      <c r="A443" s="523">
        <v>43316</v>
      </c>
      <c r="B443" s="1029" t="s">
        <v>3508</v>
      </c>
      <c r="C443" s="1077" t="s">
        <v>1295</v>
      </c>
      <c r="D443" s="136">
        <v>2.0729166666666667E-2</v>
      </c>
      <c r="E443" s="80" t="s">
        <v>5883</v>
      </c>
      <c r="F443" s="80" t="s">
        <v>10378</v>
      </c>
      <c r="G443" s="82">
        <v>0.498</v>
      </c>
      <c r="H443" s="334">
        <f t="shared" si="13"/>
        <v>-2.3263888888888883E-3</v>
      </c>
    </row>
    <row r="444" spans="1:8" ht="14.25" customHeight="1" x14ac:dyDescent="0.2">
      <c r="A444" s="523">
        <v>43309</v>
      </c>
      <c r="B444" s="879" t="s">
        <v>3508</v>
      </c>
      <c r="C444" s="879" t="s">
        <v>1295</v>
      </c>
      <c r="D444" s="1">
        <v>1.8402777777777778E-2</v>
      </c>
      <c r="E444" s="80" t="s">
        <v>5883</v>
      </c>
      <c r="F444" s="80" t="s">
        <v>10361</v>
      </c>
      <c r="G444" s="82">
        <v>0.56100000000000005</v>
      </c>
      <c r="H444" s="334">
        <f t="shared" si="13"/>
        <v>-7.407407407407432E-4</v>
      </c>
    </row>
    <row r="445" spans="1:8" ht="14.25" customHeight="1" x14ac:dyDescent="0.2">
      <c r="A445" s="523">
        <v>43302</v>
      </c>
      <c r="B445" s="985" t="s">
        <v>3508</v>
      </c>
      <c r="C445" s="985" t="s">
        <v>1295</v>
      </c>
      <c r="D445" s="1">
        <v>1.7662037037037035E-2</v>
      </c>
      <c r="E445" s="80" t="s">
        <v>8111</v>
      </c>
      <c r="F445" s="80" t="s">
        <v>10283</v>
      </c>
      <c r="G445" s="82">
        <v>0.58450000000000002</v>
      </c>
      <c r="H445" s="334" t="e">
        <f t="shared" si="13"/>
        <v>#VALUE!</v>
      </c>
    </row>
    <row r="446" spans="1:8" ht="14.25" customHeight="1" x14ac:dyDescent="0.2">
      <c r="A446" s="523">
        <v>43295</v>
      </c>
      <c r="B446" s="601" t="s">
        <v>3508</v>
      </c>
      <c r="C446" s="601" t="s">
        <v>1295</v>
      </c>
      <c r="D446" s="334" t="s">
        <v>787</v>
      </c>
      <c r="E446" s="80" t="s">
        <v>5883</v>
      </c>
      <c r="F446" s="80" t="s">
        <v>4185</v>
      </c>
      <c r="G446" s="82"/>
      <c r="H446" s="334" t="e">
        <f t="shared" si="13"/>
        <v>#VALUE!</v>
      </c>
    </row>
    <row r="447" spans="1:8" ht="14.25" customHeight="1" x14ac:dyDescent="0.2">
      <c r="A447" s="523">
        <v>43288</v>
      </c>
      <c r="B447" s="1077" t="s">
        <v>3508</v>
      </c>
      <c r="C447" s="1077" t="s">
        <v>1295</v>
      </c>
      <c r="D447" s="1">
        <v>1.741898148148148E-2</v>
      </c>
      <c r="E447" t="s">
        <v>1211</v>
      </c>
      <c r="F447" s="80" t="s">
        <v>10208</v>
      </c>
      <c r="G447" s="82">
        <v>0.5927</v>
      </c>
      <c r="H447" s="334">
        <f t="shared" si="13"/>
        <v>-8.6805555555555594E-4</v>
      </c>
    </row>
    <row r="448" spans="1:8" ht="14.25" customHeight="1" x14ac:dyDescent="0.2">
      <c r="A448" s="523">
        <v>43281</v>
      </c>
      <c r="B448" s="556" t="s">
        <v>3508</v>
      </c>
      <c r="C448" s="556" t="s">
        <v>1295</v>
      </c>
      <c r="D448" s="1">
        <v>1.6550925925925924E-2</v>
      </c>
      <c r="E448" s="80" t="s">
        <v>10111</v>
      </c>
      <c r="F448" s="80" t="s">
        <v>10178</v>
      </c>
      <c r="G448" s="82">
        <v>0.62380000000000002</v>
      </c>
      <c r="H448" s="334">
        <f t="shared" si="13"/>
        <v>3.4722222222224181E-5</v>
      </c>
    </row>
    <row r="449" spans="1:9" ht="14.25" customHeight="1" x14ac:dyDescent="0.2">
      <c r="A449" s="523">
        <v>43267</v>
      </c>
      <c r="B449" s="1058" t="s">
        <v>3508</v>
      </c>
      <c r="C449" s="1059" t="s">
        <v>1295</v>
      </c>
      <c r="D449" s="1">
        <v>1.6585648148148148E-2</v>
      </c>
      <c r="E449" s="80" t="s">
        <v>3738</v>
      </c>
      <c r="F449" s="69" t="s">
        <v>9944</v>
      </c>
      <c r="G449" s="82">
        <v>0.61760000000000004</v>
      </c>
      <c r="H449" s="334">
        <f t="shared" si="13"/>
        <v>0</v>
      </c>
      <c r="I449" s="80"/>
    </row>
    <row r="450" spans="1:9" ht="14.25" customHeight="1" x14ac:dyDescent="0.2">
      <c r="A450" s="523">
        <v>43260</v>
      </c>
      <c r="B450" s="532" t="s">
        <v>3508</v>
      </c>
      <c r="C450" s="843" t="s">
        <v>1295</v>
      </c>
      <c r="D450" s="1">
        <v>1.6585648148148148E-2</v>
      </c>
      <c r="E450" s="80" t="s">
        <v>5883</v>
      </c>
      <c r="F450" s="69" t="s">
        <v>6032</v>
      </c>
      <c r="G450" s="82">
        <v>0.61760000000000004</v>
      </c>
      <c r="H450" s="334">
        <f t="shared" si="13"/>
        <v>9.7222222222222501E-4</v>
      </c>
      <c r="I450" s="80"/>
    </row>
    <row r="451" spans="1:9" ht="14.25" customHeight="1" x14ac:dyDescent="0.2">
      <c r="A451" s="523">
        <v>43253</v>
      </c>
      <c r="B451" s="901" t="s">
        <v>3508</v>
      </c>
      <c r="C451" s="902" t="s">
        <v>1295</v>
      </c>
      <c r="D451" s="1">
        <v>1.7557870370370373E-2</v>
      </c>
      <c r="E451" s="80" t="s">
        <v>5883</v>
      </c>
      <c r="F451" s="69" t="s">
        <v>9878</v>
      </c>
      <c r="G451" s="82">
        <v>0.58340000000000003</v>
      </c>
      <c r="H451" s="334">
        <f t="shared" si="13"/>
        <v>-1.0995370370370412E-3</v>
      </c>
      <c r="I451" s="80"/>
    </row>
    <row r="452" spans="1:9" ht="14.25" customHeight="1" x14ac:dyDescent="0.2">
      <c r="A452" s="523">
        <v>43246</v>
      </c>
      <c r="B452" s="601" t="s">
        <v>3508</v>
      </c>
      <c r="C452" s="958" t="s">
        <v>1295</v>
      </c>
      <c r="D452" s="1">
        <v>1.6458333333333332E-2</v>
      </c>
      <c r="E452" s="80" t="s">
        <v>2830</v>
      </c>
      <c r="F452" s="69"/>
      <c r="G452" s="82">
        <v>0.62239999999999995</v>
      </c>
      <c r="H452" s="334">
        <f t="shared" si="13"/>
        <v>5.4398148148148209E-4</v>
      </c>
      <c r="I452" s="80"/>
    </row>
    <row r="453" spans="1:9" ht="14.25" customHeight="1" x14ac:dyDescent="0.2">
      <c r="A453" s="523">
        <v>43239</v>
      </c>
      <c r="B453" s="80" t="s">
        <v>3508</v>
      </c>
      <c r="C453" s="334" t="s">
        <v>1295</v>
      </c>
      <c r="D453" s="1">
        <v>1.7002314814814814E-2</v>
      </c>
      <c r="E453" s="80" t="s">
        <v>5883</v>
      </c>
      <c r="F453" s="69" t="s">
        <v>614</v>
      </c>
      <c r="G453" s="82">
        <v>0.60289999999999999</v>
      </c>
      <c r="H453" s="334">
        <f t="shared" si="13"/>
        <v>2.9513888888888923E-3</v>
      </c>
      <c r="I453" s="80"/>
    </row>
    <row r="454" spans="1:9" ht="14.25" customHeight="1" x14ac:dyDescent="0.2">
      <c r="A454" s="523">
        <v>43232</v>
      </c>
      <c r="B454" s="1051" t="s">
        <v>3508</v>
      </c>
      <c r="C454" s="1052" t="s">
        <v>1295</v>
      </c>
      <c r="D454" s="1">
        <v>1.9953703703703706E-2</v>
      </c>
      <c r="E454" s="80" t="s">
        <v>5883</v>
      </c>
      <c r="F454" s="69" t="s">
        <v>9767</v>
      </c>
      <c r="G454" s="82">
        <v>0.51329999999999998</v>
      </c>
      <c r="H454" s="334">
        <f t="shared" si="13"/>
        <v>-2.2569444444444468E-3</v>
      </c>
      <c r="I454" s="80"/>
    </row>
    <row r="455" spans="1:9" ht="14.25" customHeight="1" x14ac:dyDescent="0.2">
      <c r="A455" s="523">
        <v>43225</v>
      </c>
      <c r="B455" s="1044" t="s">
        <v>3508</v>
      </c>
      <c r="C455" s="1045" t="s">
        <v>1295</v>
      </c>
      <c r="D455" s="334">
        <v>1.7696759259259259E-2</v>
      </c>
      <c r="E455" s="80" t="s">
        <v>9304</v>
      </c>
      <c r="F455" s="69" t="s">
        <v>9724</v>
      </c>
      <c r="G455" s="82">
        <v>0.57879999999999998</v>
      </c>
      <c r="H455" s="334" t="e">
        <f t="shared" si="13"/>
        <v>#VALUE!</v>
      </c>
      <c r="I455" s="80"/>
    </row>
    <row r="456" spans="1:9" ht="14.25" customHeight="1" x14ac:dyDescent="0.2">
      <c r="A456" s="33">
        <v>43211</v>
      </c>
      <c r="B456" s="1038" t="s">
        <v>3508</v>
      </c>
      <c r="C456" s="1039" t="s">
        <v>1295</v>
      </c>
      <c r="D456" s="80" t="s">
        <v>8346</v>
      </c>
      <c r="E456" s="80" t="s">
        <v>5883</v>
      </c>
      <c r="F456" s="69" t="s">
        <v>4155</v>
      </c>
      <c r="G456" s="82"/>
      <c r="H456" s="334" t="e">
        <f t="shared" si="13"/>
        <v>#VALUE!</v>
      </c>
      <c r="I456" s="80"/>
    </row>
    <row r="457" spans="1:9" ht="14.25" customHeight="1" x14ac:dyDescent="0.2">
      <c r="A457" s="523">
        <v>43204</v>
      </c>
      <c r="B457" s="80" t="s">
        <v>3508</v>
      </c>
      <c r="C457" s="334" t="s">
        <v>1295</v>
      </c>
      <c r="D457" s="1">
        <v>2.1770833333333336E-2</v>
      </c>
      <c r="E457" s="80" t="s">
        <v>5883</v>
      </c>
      <c r="F457" s="69" t="s">
        <v>1975</v>
      </c>
      <c r="G457" s="82">
        <v>0.47049999999999997</v>
      </c>
      <c r="H457" s="334">
        <f t="shared" ref="H457:H475" si="14">D458-D457</f>
        <v>-2.9745370370370394E-3</v>
      </c>
      <c r="I457" s="80"/>
    </row>
    <row r="458" spans="1:9" ht="14.25" customHeight="1" x14ac:dyDescent="0.2">
      <c r="A458" s="523">
        <v>43197</v>
      </c>
      <c r="B458" s="930" t="s">
        <v>3508</v>
      </c>
      <c r="C458" s="931" t="s">
        <v>1295</v>
      </c>
      <c r="D458" s="1">
        <v>1.8796296296296297E-2</v>
      </c>
      <c r="E458" s="80" t="s">
        <v>5883</v>
      </c>
      <c r="F458" s="69" t="s">
        <v>9556</v>
      </c>
      <c r="G458" s="82">
        <v>0.54500000000000004</v>
      </c>
      <c r="H458" s="334">
        <f t="shared" si="14"/>
        <v>1.041666666666656E-4</v>
      </c>
      <c r="I458" s="80"/>
    </row>
    <row r="459" spans="1:9" ht="14.25" customHeight="1" x14ac:dyDescent="0.2">
      <c r="A459" s="523">
        <v>43190</v>
      </c>
      <c r="B459" s="1029" t="s">
        <v>3508</v>
      </c>
      <c r="C459" s="1030" t="s">
        <v>1295</v>
      </c>
      <c r="D459" s="1">
        <v>1.8900462962962963E-2</v>
      </c>
      <c r="E459" s="80" t="s">
        <v>3132</v>
      </c>
      <c r="F459" s="69" t="s">
        <v>9526</v>
      </c>
      <c r="G459" s="82">
        <v>0.54190000000000005</v>
      </c>
      <c r="H459" s="334">
        <f t="shared" si="14"/>
        <v>-1.412037037037038E-3</v>
      </c>
      <c r="I459" s="80"/>
    </row>
    <row r="460" spans="1:9" ht="14.25" customHeight="1" x14ac:dyDescent="0.2">
      <c r="A460" s="523">
        <v>43183</v>
      </c>
      <c r="B460" s="1019" t="s">
        <v>3508</v>
      </c>
      <c r="C460" s="1020" t="s">
        <v>1295</v>
      </c>
      <c r="D460" s="1">
        <v>1.7488425925925925E-2</v>
      </c>
      <c r="E460" s="80" t="s">
        <v>9407</v>
      </c>
      <c r="F460" s="69" t="s">
        <v>9478</v>
      </c>
      <c r="G460" s="82">
        <v>0.5857</v>
      </c>
      <c r="H460" s="334">
        <f t="shared" si="14"/>
        <v>1.7777777777777778E-2</v>
      </c>
      <c r="I460" s="80" t="s">
        <v>9493</v>
      </c>
    </row>
    <row r="461" spans="1:9" ht="14.25" customHeight="1" x14ac:dyDescent="0.2">
      <c r="A461" s="523">
        <v>43176</v>
      </c>
      <c r="B461" s="532" t="s">
        <v>3508</v>
      </c>
      <c r="C461" s="843" t="s">
        <v>1295</v>
      </c>
      <c r="D461" s="1">
        <v>3.5266203703703702E-2</v>
      </c>
      <c r="E461" s="80" t="s">
        <v>5883</v>
      </c>
      <c r="F461" s="69" t="s">
        <v>9438</v>
      </c>
      <c r="G461" s="82">
        <v>0.29039999999999999</v>
      </c>
      <c r="H461" s="334">
        <f t="shared" si="14"/>
        <v>-1.5509259259259257E-2</v>
      </c>
      <c r="I461" s="80"/>
    </row>
    <row r="462" spans="1:9" ht="14.25" customHeight="1" x14ac:dyDescent="0.2">
      <c r="A462" s="523">
        <v>43169</v>
      </c>
      <c r="B462" s="862" t="s">
        <v>3508</v>
      </c>
      <c r="C462" s="863" t="s">
        <v>1295</v>
      </c>
      <c r="D462" s="1">
        <v>1.9756944444444445E-2</v>
      </c>
      <c r="E462" s="80" t="s">
        <v>5883</v>
      </c>
      <c r="F462" s="69" t="s">
        <v>5824</v>
      </c>
      <c r="G462" s="82">
        <v>0.51849999999999996</v>
      </c>
      <c r="H462" s="334">
        <f t="shared" si="14"/>
        <v>-5.4398148148148209E-4</v>
      </c>
      <c r="I462" s="80"/>
    </row>
    <row r="463" spans="1:9" ht="14.25" customHeight="1" x14ac:dyDescent="0.2">
      <c r="A463" s="523">
        <v>43162</v>
      </c>
      <c r="B463" s="879" t="s">
        <v>3508</v>
      </c>
      <c r="C463" s="880" t="s">
        <v>1295</v>
      </c>
      <c r="D463" s="1">
        <v>1.9212962962962963E-2</v>
      </c>
      <c r="E463" s="80" t="s">
        <v>998</v>
      </c>
      <c r="F463" s="69" t="s">
        <v>9383</v>
      </c>
      <c r="G463" s="82">
        <v>0.53310000000000002</v>
      </c>
      <c r="H463" s="334">
        <f t="shared" si="14"/>
        <v>1.4930555555555565E-3</v>
      </c>
      <c r="I463" s="80"/>
    </row>
    <row r="464" spans="1:9" ht="14.25" customHeight="1" x14ac:dyDescent="0.2">
      <c r="A464" s="523">
        <v>43155</v>
      </c>
      <c r="B464" s="940" t="s">
        <v>3508</v>
      </c>
      <c r="C464" s="941" t="s">
        <v>1295</v>
      </c>
      <c r="D464" s="1">
        <v>2.0706018518518519E-2</v>
      </c>
      <c r="E464" s="80" t="s">
        <v>5883</v>
      </c>
      <c r="F464" s="69" t="s">
        <v>9328</v>
      </c>
      <c r="G464" s="82">
        <v>0.49469999999999997</v>
      </c>
      <c r="H464" s="334">
        <f t="shared" si="14"/>
        <v>-3.4027777777777789E-3</v>
      </c>
      <c r="I464" s="80"/>
    </row>
    <row r="465" spans="1:9" ht="14.25" customHeight="1" x14ac:dyDescent="0.2">
      <c r="A465" s="523">
        <v>43148</v>
      </c>
      <c r="B465" s="568" t="s">
        <v>3508</v>
      </c>
      <c r="C465" s="861" t="s">
        <v>1295</v>
      </c>
      <c r="D465" s="1">
        <v>1.7303240740740741E-2</v>
      </c>
      <c r="E465" s="80" t="s">
        <v>129</v>
      </c>
      <c r="F465" s="69" t="s">
        <v>1028</v>
      </c>
      <c r="G465" s="82">
        <v>0.59199999999999997</v>
      </c>
      <c r="H465" s="334">
        <f t="shared" si="14"/>
        <v>-3.3564814814814742E-4</v>
      </c>
      <c r="I465" s="80"/>
    </row>
    <row r="466" spans="1:9" ht="14.25" customHeight="1" x14ac:dyDescent="0.2">
      <c r="A466" s="523">
        <v>43141</v>
      </c>
      <c r="B466" s="987" t="s">
        <v>3508</v>
      </c>
      <c r="C466" s="988" t="s">
        <v>1295</v>
      </c>
      <c r="D466" s="1">
        <v>1.6967592592592593E-2</v>
      </c>
      <c r="E466" s="80" t="s">
        <v>1401</v>
      </c>
      <c r="F466" s="69" t="s">
        <v>9242</v>
      </c>
      <c r="G466" s="82">
        <v>0.60370000000000001</v>
      </c>
      <c r="H466" s="334" t="e">
        <f t="shared" si="14"/>
        <v>#VALUE!</v>
      </c>
      <c r="I466" s="80"/>
    </row>
    <row r="467" spans="1:9" ht="14.25" customHeight="1" x14ac:dyDescent="0.2">
      <c r="A467" s="523">
        <v>43127</v>
      </c>
      <c r="B467" s="862" t="s">
        <v>3508</v>
      </c>
      <c r="C467" s="863" t="s">
        <v>1295</v>
      </c>
      <c r="D467" s="1" t="s">
        <v>787</v>
      </c>
      <c r="E467" s="80" t="s">
        <v>5883</v>
      </c>
      <c r="F467" s="69" t="s">
        <v>4185</v>
      </c>
      <c r="G467" s="82"/>
      <c r="H467" s="334" t="e">
        <f t="shared" si="14"/>
        <v>#VALUE!</v>
      </c>
      <c r="I467" s="80"/>
    </row>
    <row r="468" spans="1:9" ht="14.25" customHeight="1" x14ac:dyDescent="0.2">
      <c r="A468" s="523">
        <v>43106</v>
      </c>
      <c r="B468" s="869" t="s">
        <v>3508</v>
      </c>
      <c r="C468" s="903" t="s">
        <v>1295</v>
      </c>
      <c r="D468" s="1">
        <v>1.8865740740740742E-2</v>
      </c>
      <c r="E468" s="80" t="s">
        <v>1982</v>
      </c>
      <c r="F468" s="69" t="s">
        <v>9120</v>
      </c>
      <c r="G468" s="571">
        <v>0.54290000000000005</v>
      </c>
      <c r="H468" s="334">
        <f t="shared" si="14"/>
        <v>-1.6666666666666705E-3</v>
      </c>
      <c r="I468" s="80"/>
    </row>
    <row r="469" spans="1:9" ht="14.25" customHeight="1" x14ac:dyDescent="0.2">
      <c r="A469" s="523">
        <v>43101</v>
      </c>
      <c r="B469" s="556" t="s">
        <v>3508</v>
      </c>
      <c r="C469" s="950" t="s">
        <v>1295</v>
      </c>
      <c r="D469" s="334">
        <v>1.7199074074074071E-2</v>
      </c>
      <c r="E469" s="80" t="s">
        <v>2251</v>
      </c>
      <c r="F469" s="69" t="s">
        <v>9019</v>
      </c>
      <c r="G469" s="82">
        <v>0.59560000000000002</v>
      </c>
      <c r="H469" s="334">
        <f t="shared" si="14"/>
        <v>-3.4722222222220711E-5</v>
      </c>
      <c r="I469" s="80"/>
    </row>
    <row r="470" spans="1:9" ht="14.25" customHeight="1" x14ac:dyDescent="0.2">
      <c r="A470" s="523">
        <v>43101</v>
      </c>
      <c r="B470" s="556" t="s">
        <v>3508</v>
      </c>
      <c r="C470" s="950" t="s">
        <v>1295</v>
      </c>
      <c r="D470" s="1">
        <v>1.7164351851851851E-2</v>
      </c>
      <c r="E470" s="80" t="s">
        <v>9020</v>
      </c>
      <c r="F470" s="69" t="s">
        <v>9022</v>
      </c>
      <c r="G470" s="82">
        <v>0.5968</v>
      </c>
      <c r="H470" s="334">
        <f t="shared" si="14"/>
        <v>-6.9444444444441422E-5</v>
      </c>
      <c r="I470" s="80" t="s">
        <v>9021</v>
      </c>
    </row>
    <row r="471" spans="1:9" ht="14.25" customHeight="1" x14ac:dyDescent="0.2">
      <c r="A471" s="523">
        <v>43358</v>
      </c>
      <c r="B471" s="1127" t="s">
        <v>3999</v>
      </c>
      <c r="C471" s="1127" t="s">
        <v>1295</v>
      </c>
      <c r="D471" s="1">
        <v>1.7094907407407409E-2</v>
      </c>
      <c r="E471" t="s">
        <v>5883</v>
      </c>
      <c r="F471" t="s">
        <v>10645</v>
      </c>
      <c r="G471" s="82">
        <v>0.60389999999999999</v>
      </c>
      <c r="H471" s="334">
        <f t="shared" si="14"/>
        <v>-4.0509259259259231E-4</v>
      </c>
    </row>
    <row r="472" spans="1:9" ht="14.25" customHeight="1" x14ac:dyDescent="0.2">
      <c r="A472" s="34">
        <v>43274</v>
      </c>
      <c r="B472" s="1071" t="s">
        <v>3999</v>
      </c>
      <c r="C472" s="1071" t="s">
        <v>1295</v>
      </c>
      <c r="D472" s="1">
        <v>1.6689814814814817E-2</v>
      </c>
      <c r="E472" s="80" t="s">
        <v>10111</v>
      </c>
      <c r="F472" s="80" t="s">
        <v>10133</v>
      </c>
      <c r="G472" s="82">
        <v>0.61370000000000002</v>
      </c>
      <c r="H472" s="334">
        <f t="shared" si="14"/>
        <v>5.4398148148147862E-4</v>
      </c>
    </row>
    <row r="473" spans="1:9" ht="14.25" customHeight="1" x14ac:dyDescent="0.2">
      <c r="A473" s="523">
        <v>43134</v>
      </c>
      <c r="B473" s="985" t="s">
        <v>3999</v>
      </c>
      <c r="C473" s="986" t="s">
        <v>1295</v>
      </c>
      <c r="D473" s="1">
        <v>1.7233796296296296E-2</v>
      </c>
      <c r="E473" s="80" t="s">
        <v>5883</v>
      </c>
      <c r="F473" s="69" t="s">
        <v>9190</v>
      </c>
      <c r="G473" s="82">
        <v>0.59440000000000004</v>
      </c>
      <c r="H473" s="334">
        <f t="shared" si="14"/>
        <v>1.1689814814814826E-3</v>
      </c>
      <c r="I473" s="80"/>
    </row>
    <row r="474" spans="1:9" ht="14.25" customHeight="1" x14ac:dyDescent="0.2">
      <c r="A474" s="523">
        <v>43120</v>
      </c>
      <c r="B474" s="601" t="s">
        <v>3999</v>
      </c>
      <c r="C474" s="958" t="s">
        <v>1295</v>
      </c>
      <c r="D474" s="1">
        <v>1.8402777777777778E-2</v>
      </c>
      <c r="E474" s="80" t="s">
        <v>5883</v>
      </c>
      <c r="F474" s="69" t="s">
        <v>9086</v>
      </c>
      <c r="G474" s="82">
        <v>0.55659999999999998</v>
      </c>
      <c r="H474" s="334">
        <f t="shared" si="14"/>
        <v>1.9560185185185167E-3</v>
      </c>
      <c r="I474" s="80"/>
    </row>
    <row r="475" spans="1:9" ht="14.25" customHeight="1" x14ac:dyDescent="0.2">
      <c r="A475" s="523">
        <v>43463</v>
      </c>
      <c r="B475" s="862" t="s">
        <v>866</v>
      </c>
      <c r="C475" s="862" t="s">
        <v>867</v>
      </c>
      <c r="D475" s="1">
        <v>2.0358796296296295E-2</v>
      </c>
      <c r="E475" s="80" t="s">
        <v>9307</v>
      </c>
      <c r="F475" s="80" t="s">
        <v>11403</v>
      </c>
      <c r="G475" s="82">
        <v>0.65780000000000005</v>
      </c>
      <c r="H475" s="334">
        <f t="shared" si="14"/>
        <v>-1.0763888888888871E-3</v>
      </c>
    </row>
    <row r="476" spans="1:9" ht="14.25" customHeight="1" x14ac:dyDescent="0.2">
      <c r="A476" s="523">
        <v>43459</v>
      </c>
      <c r="B476" s="80" t="s">
        <v>866</v>
      </c>
      <c r="C476" s="80" t="s">
        <v>867</v>
      </c>
      <c r="D476" s="1">
        <v>1.9282407407407408E-2</v>
      </c>
      <c r="E476" s="80" t="s">
        <v>5885</v>
      </c>
      <c r="F476" s="80" t="s">
        <v>9636</v>
      </c>
      <c r="G476" s="82">
        <v>0.69450000000000001</v>
      </c>
      <c r="H476" s="80"/>
    </row>
    <row r="477" spans="1:9" ht="14.25" customHeight="1" x14ac:dyDescent="0.2">
      <c r="A477" s="523">
        <v>43456</v>
      </c>
      <c r="B477" s="556" t="s">
        <v>866</v>
      </c>
      <c r="C477" s="556" t="s">
        <v>867</v>
      </c>
      <c r="D477" s="1">
        <v>2.0300925925925927E-2</v>
      </c>
      <c r="E477" s="80" t="s">
        <v>9307</v>
      </c>
      <c r="F477" s="80" t="s">
        <v>11351</v>
      </c>
      <c r="G477" s="82">
        <v>0.65959999999999996</v>
      </c>
      <c r="H477" s="334">
        <f t="shared" ref="H477:H522" si="15">D478-D477</f>
        <v>-1.2731481481481621E-4</v>
      </c>
    </row>
    <row r="478" spans="1:9" ht="14.25" customHeight="1" x14ac:dyDescent="0.2">
      <c r="A478" s="523">
        <v>43449</v>
      </c>
      <c r="B478" s="1029" t="s">
        <v>866</v>
      </c>
      <c r="C478" s="1029" t="s">
        <v>867</v>
      </c>
      <c r="D478" s="1">
        <v>2.0173611111111111E-2</v>
      </c>
      <c r="E478" s="80" t="s">
        <v>9307</v>
      </c>
      <c r="F478" s="80" t="s">
        <v>11299</v>
      </c>
      <c r="G478" s="82">
        <v>0.66379999999999995</v>
      </c>
      <c r="H478" s="334">
        <f t="shared" si="15"/>
        <v>-4.0509259259259578E-4</v>
      </c>
    </row>
    <row r="479" spans="1:9" ht="14.25" customHeight="1" x14ac:dyDescent="0.2">
      <c r="A479" s="523">
        <v>43442</v>
      </c>
      <c r="B479" s="972" t="s">
        <v>866</v>
      </c>
      <c r="C479" s="972" t="s">
        <v>867</v>
      </c>
      <c r="D479" s="1">
        <v>1.9768518518518515E-2</v>
      </c>
      <c r="E479" s="80" t="s">
        <v>10983</v>
      </c>
      <c r="F479" s="80" t="s">
        <v>11255</v>
      </c>
      <c r="G479" s="82">
        <v>0.6774</v>
      </c>
      <c r="H479" s="334">
        <f t="shared" si="15"/>
        <v>7.5231481481481677E-4</v>
      </c>
    </row>
    <row r="480" spans="1:9" ht="14.25" customHeight="1" x14ac:dyDescent="0.2">
      <c r="A480" s="523">
        <v>43435</v>
      </c>
      <c r="B480" s="1164" t="s">
        <v>866</v>
      </c>
      <c r="C480" s="1164" t="s">
        <v>867</v>
      </c>
      <c r="D480" s="1">
        <v>2.0520833333333332E-2</v>
      </c>
      <c r="E480" s="80" t="s">
        <v>9307</v>
      </c>
      <c r="F480" s="80" t="s">
        <v>11166</v>
      </c>
      <c r="G480" s="82">
        <v>0.65259999999999996</v>
      </c>
      <c r="H480" s="334">
        <f t="shared" si="15"/>
        <v>-9.6064814814814797E-4</v>
      </c>
    </row>
    <row r="481" spans="1:9" ht="14.25" customHeight="1" x14ac:dyDescent="0.2">
      <c r="A481" s="523">
        <v>43428</v>
      </c>
      <c r="B481" s="1038" t="s">
        <v>866</v>
      </c>
      <c r="C481" s="1038" t="s">
        <v>867</v>
      </c>
      <c r="D481" s="1">
        <v>1.9560185185185184E-2</v>
      </c>
      <c r="E481" s="80" t="s">
        <v>9307</v>
      </c>
      <c r="F481" s="80" t="s">
        <v>11099</v>
      </c>
      <c r="G481" s="82">
        <v>0.68459999999999999</v>
      </c>
      <c r="H481" s="334">
        <f t="shared" si="15"/>
        <v>-8.3333333333333176E-4</v>
      </c>
    </row>
    <row r="482" spans="1:9" ht="14.25" customHeight="1" x14ac:dyDescent="0.2">
      <c r="A482" s="523">
        <v>43421</v>
      </c>
      <c r="B482" s="906" t="s">
        <v>866</v>
      </c>
      <c r="C482" s="906" t="s">
        <v>867</v>
      </c>
      <c r="D482" s="1">
        <v>1.8726851851851852E-2</v>
      </c>
      <c r="E482" s="80" t="s">
        <v>5885</v>
      </c>
      <c r="F482" s="80" t="s">
        <v>11033</v>
      </c>
      <c r="G482" s="82">
        <v>0.71509999999999996</v>
      </c>
      <c r="H482" s="334">
        <f t="shared" si="15"/>
        <v>1.3425925925925897E-3</v>
      </c>
      <c r="I482" s="80" t="s">
        <v>11034</v>
      </c>
    </row>
    <row r="483" spans="1:9" ht="14.25" customHeight="1" x14ac:dyDescent="0.2">
      <c r="A483" s="523">
        <v>43414</v>
      </c>
      <c r="B483" s="862" t="s">
        <v>866</v>
      </c>
      <c r="C483" s="862" t="s">
        <v>867</v>
      </c>
      <c r="D483" s="1">
        <v>2.0069444444444442E-2</v>
      </c>
      <c r="E483" s="80" t="s">
        <v>9307</v>
      </c>
      <c r="F483" s="80" t="s">
        <v>10988</v>
      </c>
      <c r="G483" s="82">
        <v>0.66720000000000002</v>
      </c>
      <c r="H483" s="334">
        <f t="shared" si="15"/>
        <v>-8.564814814814789E-4</v>
      </c>
    </row>
    <row r="484" spans="1:9" ht="14.25" customHeight="1" x14ac:dyDescent="0.2">
      <c r="A484" s="523">
        <v>43407</v>
      </c>
      <c r="B484" s="901" t="s">
        <v>866</v>
      </c>
      <c r="C484" s="901" t="s">
        <v>867</v>
      </c>
      <c r="D484" s="1">
        <v>1.9212962962962963E-2</v>
      </c>
      <c r="E484" s="80" t="s">
        <v>9307</v>
      </c>
      <c r="F484" s="80" t="s">
        <v>10961</v>
      </c>
      <c r="G484" s="82">
        <v>0.69699999999999995</v>
      </c>
      <c r="H484" s="334">
        <f t="shared" si="15"/>
        <v>6.8287037037036841E-4</v>
      </c>
    </row>
    <row r="485" spans="1:9" ht="14.25" customHeight="1" x14ac:dyDescent="0.2">
      <c r="A485" s="523">
        <v>43400</v>
      </c>
      <c r="B485" s="556" t="s">
        <v>866</v>
      </c>
      <c r="C485" s="556" t="s">
        <v>867</v>
      </c>
      <c r="D485" s="1">
        <v>1.9895833333333331E-2</v>
      </c>
      <c r="E485" s="80" t="s">
        <v>9307</v>
      </c>
      <c r="F485" s="80" t="s">
        <v>10903</v>
      </c>
      <c r="G485" s="82">
        <v>0.67310000000000003</v>
      </c>
      <c r="H485" s="334">
        <f t="shared" si="15"/>
        <v>-1.8518518518518406E-4</v>
      </c>
    </row>
    <row r="486" spans="1:9" ht="14.25" customHeight="1" x14ac:dyDescent="0.2">
      <c r="A486" s="523">
        <v>43393</v>
      </c>
      <c r="B486" s="862" t="s">
        <v>866</v>
      </c>
      <c r="C486" s="862" t="s">
        <v>867</v>
      </c>
      <c r="D486" s="1">
        <v>1.9710648148148147E-2</v>
      </c>
      <c r="E486" s="80" t="s">
        <v>5948</v>
      </c>
      <c r="F486" s="80" t="s">
        <v>10833</v>
      </c>
      <c r="G486" s="82">
        <v>0.6794</v>
      </c>
      <c r="H486" s="334">
        <f t="shared" si="15"/>
        <v>2.4305555555555886E-4</v>
      </c>
      <c r="I486" t="s">
        <v>10834</v>
      </c>
    </row>
    <row r="487" spans="1:9" ht="14.25" customHeight="1" x14ac:dyDescent="0.2">
      <c r="A487" s="523">
        <v>43386</v>
      </c>
      <c r="B487" s="532" t="s">
        <v>866</v>
      </c>
      <c r="C487" s="532" t="s">
        <v>867</v>
      </c>
      <c r="D487" s="334">
        <v>1.9953703703703706E-2</v>
      </c>
      <c r="E487" s="80" t="s">
        <v>9307</v>
      </c>
      <c r="F487" s="80" t="s">
        <v>10823</v>
      </c>
      <c r="G487" s="82">
        <v>0.67110000000000003</v>
      </c>
      <c r="H487" s="334">
        <f t="shared" si="15"/>
        <v>-1.0416666666666907E-4</v>
      </c>
    </row>
    <row r="488" spans="1:9" ht="14.25" customHeight="1" x14ac:dyDescent="0.2">
      <c r="A488" s="34">
        <v>43379</v>
      </c>
      <c r="B488" s="869" t="s">
        <v>866</v>
      </c>
      <c r="C488" s="869" t="s">
        <v>867</v>
      </c>
      <c r="D488" s="1">
        <v>1.9849537037037037E-2</v>
      </c>
      <c r="E488" s="80" t="s">
        <v>9307</v>
      </c>
      <c r="F488" s="80" t="s">
        <v>10751</v>
      </c>
      <c r="G488" s="82">
        <v>0.67459999999999998</v>
      </c>
      <c r="H488" s="334">
        <f t="shared" si="15"/>
        <v>1.5046296296296335E-4</v>
      </c>
    </row>
    <row r="489" spans="1:9" ht="14.25" customHeight="1" x14ac:dyDescent="0.2">
      <c r="A489" s="34">
        <v>43372</v>
      </c>
      <c r="B489" s="532" t="s">
        <v>866</v>
      </c>
      <c r="C489" s="532" t="s">
        <v>867</v>
      </c>
      <c r="D489" s="1">
        <v>0.02</v>
      </c>
      <c r="E489" s="80" t="s">
        <v>9307</v>
      </c>
      <c r="F489" s="80" t="s">
        <v>10729</v>
      </c>
      <c r="G489" s="82">
        <v>0.66959999999999997</v>
      </c>
      <c r="H489" s="334">
        <f t="shared" si="15"/>
        <v>-4.5138888888889006E-4</v>
      </c>
    </row>
    <row r="490" spans="1:9" ht="14.25" customHeight="1" x14ac:dyDescent="0.2">
      <c r="A490" s="34">
        <v>43365</v>
      </c>
      <c r="B490" s="556" t="s">
        <v>866</v>
      </c>
      <c r="C490" s="556" t="s">
        <v>867</v>
      </c>
      <c r="D490" s="1">
        <v>1.954861111111111E-2</v>
      </c>
      <c r="E490" s="80" t="s">
        <v>9307</v>
      </c>
      <c r="F490" s="80" t="s">
        <v>10710</v>
      </c>
      <c r="G490" s="82">
        <v>0.68500000000000005</v>
      </c>
      <c r="H490" s="334">
        <f t="shared" si="15"/>
        <v>-9.2592592592592032E-5</v>
      </c>
    </row>
    <row r="491" spans="1:9" ht="14.25" customHeight="1" x14ac:dyDescent="0.2">
      <c r="A491" s="523">
        <v>43358</v>
      </c>
      <c r="B491" s="1127" t="s">
        <v>866</v>
      </c>
      <c r="C491" s="1127" t="s">
        <v>867</v>
      </c>
      <c r="D491" s="1">
        <v>1.9456018518518518E-2</v>
      </c>
      <c r="E491" t="s">
        <v>9307</v>
      </c>
      <c r="F491" s="80" t="s">
        <v>10632</v>
      </c>
      <c r="G491" s="82">
        <v>0.68830000000000002</v>
      </c>
      <c r="H491" s="334">
        <f t="shared" si="15"/>
        <v>-9.2592592592592032E-5</v>
      </c>
    </row>
    <row r="492" spans="1:9" ht="14.25" customHeight="1" x14ac:dyDescent="0.2">
      <c r="A492" s="523">
        <v>43351</v>
      </c>
      <c r="B492" s="532" t="s">
        <v>866</v>
      </c>
      <c r="C492" s="532" t="s">
        <v>867</v>
      </c>
      <c r="D492" s="334">
        <v>1.9363425925925926E-2</v>
      </c>
      <c r="E492" s="80" t="s">
        <v>9307</v>
      </c>
      <c r="F492" s="80" t="s">
        <v>10607</v>
      </c>
      <c r="G492" s="82">
        <v>0.69159999999999999</v>
      </c>
      <c r="H492" s="334">
        <f t="shared" si="15"/>
        <v>1.5046296296296335E-4</v>
      </c>
    </row>
    <row r="493" spans="1:9" ht="14.25" customHeight="1" x14ac:dyDescent="0.2">
      <c r="A493" s="523">
        <v>43344</v>
      </c>
      <c r="B493" s="552" t="s">
        <v>866</v>
      </c>
      <c r="C493" s="552" t="s">
        <v>867</v>
      </c>
      <c r="D493" s="1">
        <v>1.951388888888889E-2</v>
      </c>
      <c r="E493" t="s">
        <v>9307</v>
      </c>
      <c r="F493" t="s">
        <v>10541</v>
      </c>
      <c r="G493" s="82">
        <v>0.98619999999999997</v>
      </c>
      <c r="H493" s="334">
        <f t="shared" si="15"/>
        <v>-3.0092592592592671E-4</v>
      </c>
    </row>
    <row r="494" spans="1:9" ht="14.25" customHeight="1" x14ac:dyDescent="0.2">
      <c r="A494" s="523">
        <v>43330</v>
      </c>
      <c r="B494" s="1099" t="s">
        <v>866</v>
      </c>
      <c r="C494" s="1099" t="s">
        <v>867</v>
      </c>
      <c r="D494" s="1">
        <v>1.9212962962962963E-2</v>
      </c>
      <c r="E494" s="80" t="s">
        <v>9307</v>
      </c>
      <c r="F494" s="80" t="s">
        <v>10459</v>
      </c>
      <c r="G494" s="82">
        <v>0.69699999999999995</v>
      </c>
      <c r="H494" s="334">
        <f t="shared" si="15"/>
        <v>1.041666666666656E-4</v>
      </c>
    </row>
    <row r="495" spans="1:9" ht="14.25" customHeight="1" x14ac:dyDescent="0.2">
      <c r="A495" s="523">
        <v>43323</v>
      </c>
      <c r="B495" s="568" t="s">
        <v>866</v>
      </c>
      <c r="C495" s="568" t="s">
        <v>867</v>
      </c>
      <c r="D495" s="1">
        <v>1.9317129629629629E-2</v>
      </c>
      <c r="E495" s="80" t="s">
        <v>9307</v>
      </c>
      <c r="F495" s="80" t="s">
        <v>10423</v>
      </c>
      <c r="G495" s="82">
        <v>0.69320000000000004</v>
      </c>
      <c r="H495" s="334">
        <f t="shared" si="15"/>
        <v>6.9444444444444892E-5</v>
      </c>
    </row>
    <row r="496" spans="1:9" ht="14.25" customHeight="1" x14ac:dyDescent="0.2">
      <c r="A496" s="523">
        <v>43316</v>
      </c>
      <c r="B496" s="1029" t="s">
        <v>866</v>
      </c>
      <c r="C496" s="1030" t="s">
        <v>867</v>
      </c>
      <c r="D496" s="136">
        <v>1.9386574074074073E-2</v>
      </c>
      <c r="E496" s="80" t="s">
        <v>9307</v>
      </c>
      <c r="F496" s="69" t="s">
        <v>10386</v>
      </c>
      <c r="G496" s="82">
        <v>0.69069999999999998</v>
      </c>
      <c r="H496" s="334">
        <f t="shared" si="15"/>
        <v>5.7870370370370627E-4</v>
      </c>
    </row>
    <row r="497" spans="1:9" ht="14.25" customHeight="1" x14ac:dyDescent="0.2">
      <c r="A497" s="523">
        <v>43309</v>
      </c>
      <c r="B497" s="879" t="s">
        <v>866</v>
      </c>
      <c r="C497" s="879" t="s">
        <v>867</v>
      </c>
      <c r="D497" s="1">
        <v>1.996527777777778E-2</v>
      </c>
      <c r="E497" s="80" t="s">
        <v>9307</v>
      </c>
      <c r="F497" s="80" t="s">
        <v>10349</v>
      </c>
      <c r="G497" s="82">
        <v>0.67069999999999996</v>
      </c>
      <c r="H497" s="334">
        <f t="shared" si="15"/>
        <v>-9.8379629629629858E-4</v>
      </c>
    </row>
    <row r="498" spans="1:9" ht="14.25" customHeight="1" x14ac:dyDescent="0.2">
      <c r="A498" s="523">
        <v>43302</v>
      </c>
      <c r="B498" s="985" t="s">
        <v>866</v>
      </c>
      <c r="C498" s="985" t="s">
        <v>867</v>
      </c>
      <c r="D498" s="1">
        <v>1.8981481481481481E-2</v>
      </c>
      <c r="E498" s="80" t="s">
        <v>9307</v>
      </c>
      <c r="F498" s="80" t="s">
        <v>10305</v>
      </c>
      <c r="G498" s="82">
        <v>0.70550000000000002</v>
      </c>
      <c r="H498" s="334">
        <f t="shared" si="15"/>
        <v>7.5231481481481677E-4</v>
      </c>
    </row>
    <row r="499" spans="1:9" ht="14.25" customHeight="1" x14ac:dyDescent="0.2">
      <c r="A499" s="523">
        <v>43295</v>
      </c>
      <c r="B499" s="601" t="s">
        <v>866</v>
      </c>
      <c r="C499" s="601" t="s">
        <v>867</v>
      </c>
      <c r="D499" s="1">
        <v>1.9733796296296298E-2</v>
      </c>
      <c r="E499" s="80" t="s">
        <v>9307</v>
      </c>
      <c r="F499" s="80" t="s">
        <v>10245</v>
      </c>
      <c r="G499" s="82">
        <v>0.67859999999999998</v>
      </c>
      <c r="H499" s="334">
        <f t="shared" si="15"/>
        <v>-8.9120370370370655E-4</v>
      </c>
    </row>
    <row r="500" spans="1:9" ht="14.25" customHeight="1" x14ac:dyDescent="0.2">
      <c r="A500" s="34">
        <v>43274</v>
      </c>
      <c r="B500" s="1071" t="s">
        <v>866</v>
      </c>
      <c r="C500" s="1071" t="s">
        <v>867</v>
      </c>
      <c r="D500" s="1">
        <v>1.8842592592592591E-2</v>
      </c>
      <c r="E500" s="80" t="s">
        <v>9307</v>
      </c>
      <c r="F500" s="80" t="s">
        <v>10124</v>
      </c>
      <c r="G500" s="82">
        <v>0.7107</v>
      </c>
      <c r="H500" s="334">
        <f t="shared" si="15"/>
        <v>-2.5462962962962896E-4</v>
      </c>
    </row>
    <row r="501" spans="1:9" ht="14.25" customHeight="1" x14ac:dyDescent="0.2">
      <c r="A501" s="523">
        <v>43267</v>
      </c>
      <c r="B501" s="1058" t="s">
        <v>866</v>
      </c>
      <c r="C501" s="1059" t="s">
        <v>867</v>
      </c>
      <c r="D501" s="1">
        <v>1.8587962962962962E-2</v>
      </c>
      <c r="E501" s="80" t="s">
        <v>2431</v>
      </c>
      <c r="F501" s="69" t="s">
        <v>7842</v>
      </c>
      <c r="G501" s="82">
        <v>0.72040000000000004</v>
      </c>
      <c r="H501" s="334">
        <f t="shared" si="15"/>
        <v>5.3240740740740852E-4</v>
      </c>
      <c r="I501" s="80" t="s">
        <v>9949</v>
      </c>
    </row>
    <row r="502" spans="1:9" ht="14.25" customHeight="1" x14ac:dyDescent="0.2">
      <c r="A502" s="523">
        <v>43260</v>
      </c>
      <c r="B502" s="532" t="s">
        <v>866</v>
      </c>
      <c r="C502" s="843" t="s">
        <v>867</v>
      </c>
      <c r="D502" s="1">
        <v>1.9120370370370371E-2</v>
      </c>
      <c r="E502" s="80" t="s">
        <v>9307</v>
      </c>
      <c r="F502" s="69" t="s">
        <v>9918</v>
      </c>
      <c r="G502" s="82">
        <v>0.70040000000000002</v>
      </c>
      <c r="H502" s="334">
        <f t="shared" si="15"/>
        <v>-6.9444444444444892E-5</v>
      </c>
      <c r="I502" s="80"/>
    </row>
    <row r="503" spans="1:9" ht="14.25" customHeight="1" x14ac:dyDescent="0.2">
      <c r="A503" s="523">
        <v>43253</v>
      </c>
      <c r="B503" s="901" t="s">
        <v>866</v>
      </c>
      <c r="C503" s="902" t="s">
        <v>867</v>
      </c>
      <c r="D503" s="1">
        <v>1.9050925925925926E-2</v>
      </c>
      <c r="E503" s="80" t="s">
        <v>9307</v>
      </c>
      <c r="F503" s="69" t="s">
        <v>9867</v>
      </c>
      <c r="G503" s="82">
        <v>0.70289999999999997</v>
      </c>
      <c r="H503" s="334">
        <f t="shared" si="15"/>
        <v>-1.157407407407357E-5</v>
      </c>
      <c r="I503" s="80"/>
    </row>
    <row r="504" spans="1:9" ht="14.25" customHeight="1" x14ac:dyDescent="0.2">
      <c r="A504" s="523">
        <v>43246</v>
      </c>
      <c r="B504" s="601" t="s">
        <v>866</v>
      </c>
      <c r="C504" s="958" t="s">
        <v>867</v>
      </c>
      <c r="D504" s="1">
        <v>1.9039351851851852E-2</v>
      </c>
      <c r="E504" s="80" t="s">
        <v>9307</v>
      </c>
      <c r="F504" s="69" t="s">
        <v>9860</v>
      </c>
      <c r="G504" s="82">
        <v>0.70330000000000004</v>
      </c>
      <c r="H504" s="334">
        <f t="shared" si="15"/>
        <v>2.777777777777761E-4</v>
      </c>
      <c r="I504" s="80"/>
    </row>
    <row r="505" spans="1:9" ht="14.25" customHeight="1" x14ac:dyDescent="0.2">
      <c r="A505" s="523">
        <v>43239</v>
      </c>
      <c r="B505" s="80" t="s">
        <v>866</v>
      </c>
      <c r="C505" s="334" t="s">
        <v>867</v>
      </c>
      <c r="D505" s="1">
        <v>1.9317129629629629E-2</v>
      </c>
      <c r="E505" s="80" t="s">
        <v>9307</v>
      </c>
      <c r="F505" s="69" t="s">
        <v>9836</v>
      </c>
      <c r="G505" s="82">
        <v>0.69320000000000004</v>
      </c>
      <c r="H505" s="334">
        <f t="shared" si="15"/>
        <v>-3.9351851851851874E-4</v>
      </c>
      <c r="I505" s="80"/>
    </row>
    <row r="506" spans="1:9" ht="14.25" customHeight="1" x14ac:dyDescent="0.2">
      <c r="A506" s="523">
        <v>43232</v>
      </c>
      <c r="B506" s="1051" t="s">
        <v>866</v>
      </c>
      <c r="C506" s="1052" t="s">
        <v>867</v>
      </c>
      <c r="D506" s="1">
        <v>1.892361111111111E-2</v>
      </c>
      <c r="E506" s="80" t="s">
        <v>9307</v>
      </c>
      <c r="F506" s="69" t="s">
        <v>2385</v>
      </c>
      <c r="G506" s="82">
        <v>0.70940000000000003</v>
      </c>
      <c r="H506" s="334">
        <f t="shared" si="15"/>
        <v>3.2407407407407385E-4</v>
      </c>
      <c r="I506" s="80"/>
    </row>
    <row r="507" spans="1:9" ht="14.25" customHeight="1" x14ac:dyDescent="0.2">
      <c r="A507" s="523">
        <v>43225</v>
      </c>
      <c r="B507" s="1044" t="s">
        <v>866</v>
      </c>
      <c r="C507" s="1045" t="s">
        <v>867</v>
      </c>
      <c r="D507" s="1">
        <v>1.9247685185185184E-2</v>
      </c>
      <c r="E507" s="80" t="s">
        <v>9307</v>
      </c>
      <c r="F507" s="69" t="s">
        <v>9713</v>
      </c>
      <c r="G507" s="82">
        <v>0.69569999999999999</v>
      </c>
      <c r="H507" s="334">
        <f t="shared" si="15"/>
        <v>2.1990740740741171E-4</v>
      </c>
      <c r="I507" s="80"/>
    </row>
    <row r="508" spans="1:9" ht="14.25" customHeight="1" x14ac:dyDescent="0.2">
      <c r="A508" s="523">
        <v>43218</v>
      </c>
      <c r="B508" s="568" t="s">
        <v>866</v>
      </c>
      <c r="C508" s="861" t="s">
        <v>867</v>
      </c>
      <c r="D508" s="1">
        <v>1.9467592592592595E-2</v>
      </c>
      <c r="E508" s="80" t="s">
        <v>9307</v>
      </c>
      <c r="F508" s="69" t="s">
        <v>9672</v>
      </c>
      <c r="G508" s="82">
        <v>0.68789999999999996</v>
      </c>
      <c r="H508" s="334">
        <f t="shared" si="15"/>
        <v>-1.3888888888889325E-4</v>
      </c>
      <c r="I508" s="80"/>
    </row>
    <row r="509" spans="1:9" ht="14.25" customHeight="1" x14ac:dyDescent="0.2">
      <c r="A509" s="523">
        <v>43211</v>
      </c>
      <c r="B509" s="1038" t="s">
        <v>866</v>
      </c>
      <c r="C509" s="1039" t="s">
        <v>867</v>
      </c>
      <c r="D509" s="1">
        <v>1.9328703703703702E-2</v>
      </c>
      <c r="E509" s="80" t="s">
        <v>9307</v>
      </c>
      <c r="F509" s="69" t="s">
        <v>2385</v>
      </c>
      <c r="G509" s="82">
        <v>0.69279999999999997</v>
      </c>
      <c r="H509" s="334">
        <f t="shared" si="15"/>
        <v>1.5046296296296682E-4</v>
      </c>
      <c r="I509" s="80"/>
    </row>
    <row r="510" spans="1:9" ht="14.25" customHeight="1" x14ac:dyDescent="0.2">
      <c r="A510" s="523">
        <v>43204</v>
      </c>
      <c r="B510" s="80" t="s">
        <v>866</v>
      </c>
      <c r="C510" s="334" t="s">
        <v>867</v>
      </c>
      <c r="D510" s="1">
        <v>1.9479166666666669E-2</v>
      </c>
      <c r="E510" s="80" t="s">
        <v>9307</v>
      </c>
      <c r="F510" s="69" t="s">
        <v>2385</v>
      </c>
      <c r="G510" s="82">
        <v>0.6875</v>
      </c>
      <c r="H510" s="334">
        <f t="shared" si="15"/>
        <v>8.3333333333333176E-4</v>
      </c>
      <c r="I510" s="80"/>
    </row>
    <row r="511" spans="1:9" ht="14.25" customHeight="1" x14ac:dyDescent="0.2">
      <c r="A511" s="523">
        <v>43197</v>
      </c>
      <c r="B511" s="930" t="s">
        <v>866</v>
      </c>
      <c r="C511" s="931" t="s">
        <v>867</v>
      </c>
      <c r="D511" s="1">
        <v>2.0312500000000001E-2</v>
      </c>
      <c r="E511" s="80" t="s">
        <v>9307</v>
      </c>
      <c r="F511" s="69" t="s">
        <v>9572</v>
      </c>
      <c r="G511" s="82">
        <v>0.65300000000000002</v>
      </c>
      <c r="H511" s="334">
        <f t="shared" si="15"/>
        <v>-5.6712962962962923E-4</v>
      </c>
      <c r="I511" s="80"/>
    </row>
    <row r="512" spans="1:9" ht="14.25" customHeight="1" x14ac:dyDescent="0.2">
      <c r="A512" s="523">
        <v>43190</v>
      </c>
      <c r="B512" s="1029" t="s">
        <v>866</v>
      </c>
      <c r="C512" s="1030" t="s">
        <v>867</v>
      </c>
      <c r="D512" s="1">
        <v>1.9745370370370371E-2</v>
      </c>
      <c r="E512" s="80" t="s">
        <v>9307</v>
      </c>
      <c r="F512" s="69" t="s">
        <v>2385</v>
      </c>
      <c r="G512" s="82">
        <v>0.67820000000000003</v>
      </c>
      <c r="H512" s="334">
        <f t="shared" si="15"/>
        <v>3.8194444444444517E-4</v>
      </c>
      <c r="I512" s="80" t="s">
        <v>9525</v>
      </c>
    </row>
    <row r="513" spans="1:9" ht="14.25" customHeight="1" x14ac:dyDescent="0.2">
      <c r="A513" s="523">
        <v>43183</v>
      </c>
      <c r="B513" s="1019" t="s">
        <v>866</v>
      </c>
      <c r="C513" s="1020" t="s">
        <v>867</v>
      </c>
      <c r="D513" s="1">
        <v>2.0127314814814817E-2</v>
      </c>
      <c r="E513" s="80" t="s">
        <v>9307</v>
      </c>
      <c r="F513" s="69" t="s">
        <v>2401</v>
      </c>
      <c r="G513" s="82">
        <v>0.6653</v>
      </c>
      <c r="H513" s="334">
        <f t="shared" si="15"/>
        <v>-1.0763888888888906E-3</v>
      </c>
      <c r="I513" s="80" t="s">
        <v>9477</v>
      </c>
    </row>
    <row r="514" spans="1:9" ht="14.25" customHeight="1" x14ac:dyDescent="0.2">
      <c r="A514" s="523">
        <v>43176</v>
      </c>
      <c r="B514" s="532" t="s">
        <v>866</v>
      </c>
      <c r="C514" s="843" t="s">
        <v>867</v>
      </c>
      <c r="D514" s="1">
        <v>1.9050925925925926E-2</v>
      </c>
      <c r="E514" s="80" t="s">
        <v>5544</v>
      </c>
      <c r="F514" s="69" t="s">
        <v>9443</v>
      </c>
      <c r="G514" s="82">
        <v>0.70289999999999997</v>
      </c>
      <c r="H514" s="334">
        <f t="shared" si="15"/>
        <v>-6.481481481481477E-4</v>
      </c>
      <c r="I514" s="80"/>
    </row>
    <row r="515" spans="1:9" ht="14.25" customHeight="1" x14ac:dyDescent="0.2">
      <c r="A515" s="523">
        <v>43155</v>
      </c>
      <c r="B515" s="940" t="s">
        <v>866</v>
      </c>
      <c r="C515" s="941" t="s">
        <v>867</v>
      </c>
      <c r="D515" s="1">
        <v>1.8402777777777778E-2</v>
      </c>
      <c r="E515" s="80" t="s">
        <v>5885</v>
      </c>
      <c r="F515" s="69" t="s">
        <v>102</v>
      </c>
      <c r="G515" s="82">
        <v>0.72770000000000001</v>
      </c>
      <c r="H515" s="334">
        <f t="shared" si="15"/>
        <v>1.7361111111111049E-4</v>
      </c>
      <c r="I515" s="80"/>
    </row>
    <row r="516" spans="1:9" ht="14.25" customHeight="1" x14ac:dyDescent="0.2">
      <c r="A516" s="523">
        <v>43148</v>
      </c>
      <c r="B516" s="568" t="s">
        <v>866</v>
      </c>
      <c r="C516" s="861" t="s">
        <v>867</v>
      </c>
      <c r="D516" s="1">
        <v>1.8576388888888889E-2</v>
      </c>
      <c r="E516" s="80" t="s">
        <v>5885</v>
      </c>
      <c r="F516" s="69"/>
      <c r="G516" s="82">
        <v>0.72089999999999999</v>
      </c>
      <c r="H516" s="334">
        <f t="shared" si="15"/>
        <v>-1.041666666666656E-4</v>
      </c>
      <c r="I516" s="80"/>
    </row>
    <row r="517" spans="1:9" ht="14.25" customHeight="1" x14ac:dyDescent="0.2">
      <c r="A517" s="523">
        <v>43141</v>
      </c>
      <c r="B517" s="987" t="s">
        <v>866</v>
      </c>
      <c r="C517" s="988" t="s">
        <v>867</v>
      </c>
      <c r="D517" s="1">
        <v>1.8472222222222223E-2</v>
      </c>
      <c r="E517" s="80" t="s">
        <v>5885</v>
      </c>
      <c r="F517" s="69" t="s">
        <v>9238</v>
      </c>
      <c r="G517" s="82">
        <v>0.72489999999999999</v>
      </c>
      <c r="H517" s="334">
        <f t="shared" si="15"/>
        <v>5.0925925925925791E-4</v>
      </c>
      <c r="I517" s="80"/>
    </row>
    <row r="518" spans="1:9" ht="14.25" customHeight="1" x14ac:dyDescent="0.2">
      <c r="A518" s="523">
        <v>43134</v>
      </c>
      <c r="B518" s="985" t="s">
        <v>866</v>
      </c>
      <c r="C518" s="986" t="s">
        <v>867</v>
      </c>
      <c r="D518" s="1">
        <v>1.8981481481481481E-2</v>
      </c>
      <c r="E518" s="80" t="s">
        <v>5885</v>
      </c>
      <c r="F518" s="69" t="s">
        <v>514</v>
      </c>
      <c r="G518" s="82">
        <v>0.69330000000000003</v>
      </c>
      <c r="H518" s="334">
        <f t="shared" si="15"/>
        <v>4.6296296296297751E-5</v>
      </c>
      <c r="I518" s="80"/>
    </row>
    <row r="519" spans="1:9" ht="14.25" customHeight="1" x14ac:dyDescent="0.2">
      <c r="A519" s="523">
        <v>43127</v>
      </c>
      <c r="B519" s="862" t="s">
        <v>866</v>
      </c>
      <c r="C519" s="863" t="s">
        <v>867</v>
      </c>
      <c r="D519" s="1">
        <v>1.9027777777777779E-2</v>
      </c>
      <c r="E519" s="80" t="s">
        <v>5885</v>
      </c>
      <c r="F519" s="69" t="s">
        <v>9167</v>
      </c>
      <c r="G519" s="82">
        <v>0.69159999999999999</v>
      </c>
      <c r="H519" s="334">
        <f t="shared" si="15"/>
        <v>1.157407407407357E-5</v>
      </c>
      <c r="I519" s="80"/>
    </row>
    <row r="520" spans="1:9" ht="14.25" customHeight="1" x14ac:dyDescent="0.2">
      <c r="A520" s="523">
        <v>43113</v>
      </c>
      <c r="B520" s="972" t="s">
        <v>866</v>
      </c>
      <c r="C520" s="973" t="s">
        <v>867</v>
      </c>
      <c r="D520" s="1">
        <v>1.9039351851851852E-2</v>
      </c>
      <c r="E520" s="80" t="s">
        <v>5885</v>
      </c>
      <c r="F520" s="69" t="s">
        <v>9110</v>
      </c>
      <c r="G520" s="82">
        <v>0.69120000000000004</v>
      </c>
      <c r="H520" s="334">
        <f t="shared" si="15"/>
        <v>-5.3240740740740852E-4</v>
      </c>
      <c r="I520" s="80"/>
    </row>
    <row r="521" spans="1:9" ht="14.25" customHeight="1" x14ac:dyDescent="0.2">
      <c r="A521" s="523">
        <v>43106</v>
      </c>
      <c r="B521" s="869" t="s">
        <v>866</v>
      </c>
      <c r="C521" s="903" t="s">
        <v>867</v>
      </c>
      <c r="D521" s="1">
        <v>1.8506944444444444E-2</v>
      </c>
      <c r="E521" s="80" t="s">
        <v>5885</v>
      </c>
      <c r="F521" s="69" t="s">
        <v>1685</v>
      </c>
      <c r="G521" s="82">
        <v>0.71109999999999995</v>
      </c>
      <c r="H521" s="334">
        <f t="shared" si="15"/>
        <v>1.7245370370370383E-3</v>
      </c>
      <c r="I521" s="80"/>
    </row>
    <row r="522" spans="1:9" ht="14.25" customHeight="1" x14ac:dyDescent="0.2">
      <c r="A522" s="523">
        <v>43183</v>
      </c>
      <c r="B522" s="1019" t="s">
        <v>3398</v>
      </c>
      <c r="C522" s="1020" t="s">
        <v>3399</v>
      </c>
      <c r="D522" s="1">
        <v>2.0231481481481482E-2</v>
      </c>
      <c r="E522" s="80" t="s">
        <v>129</v>
      </c>
      <c r="F522" s="69" t="s">
        <v>9488</v>
      </c>
      <c r="G522" s="82">
        <v>0.47539999999999999</v>
      </c>
      <c r="H522" s="334">
        <f t="shared" si="15"/>
        <v>8.4143518518518499E-3</v>
      </c>
      <c r="I522" s="80"/>
    </row>
    <row r="523" spans="1:9" ht="14.25" customHeight="1" x14ac:dyDescent="0.2">
      <c r="A523" s="523">
        <v>43435</v>
      </c>
      <c r="B523" s="1164" t="s">
        <v>2478</v>
      </c>
      <c r="C523" s="1164" t="s">
        <v>3744</v>
      </c>
      <c r="D523" s="1">
        <v>2.8645833333333332E-2</v>
      </c>
      <c r="E523" s="80" t="s">
        <v>10983</v>
      </c>
      <c r="F523" s="80" t="s">
        <v>11183</v>
      </c>
      <c r="G523" s="82">
        <v>0.44479999999999997</v>
      </c>
      <c r="H523" s="334">
        <f>D526-D523</f>
        <v>-1.0416666666666664E-2</v>
      </c>
    </row>
    <row r="524" spans="1:9" ht="14.25" customHeight="1" x14ac:dyDescent="0.2">
      <c r="A524" s="523">
        <v>43459</v>
      </c>
      <c r="B524" s="80" t="s">
        <v>3837</v>
      </c>
      <c r="C524" s="80" t="s">
        <v>3838</v>
      </c>
      <c r="D524" s="1">
        <v>1.9456018518518518E-2</v>
      </c>
      <c r="E524" s="80" t="s">
        <v>129</v>
      </c>
      <c r="F524" s="80" t="s">
        <v>2684</v>
      </c>
      <c r="G524" s="82">
        <v>0.55800000000000005</v>
      </c>
      <c r="H524" s="80"/>
    </row>
    <row r="525" spans="1:9" ht="14.25" customHeight="1" x14ac:dyDescent="0.2">
      <c r="A525" s="523">
        <v>43456</v>
      </c>
      <c r="B525" s="556" t="s">
        <v>3837</v>
      </c>
      <c r="C525" s="556" t="s">
        <v>3838</v>
      </c>
      <c r="D525" s="1">
        <v>1.8912037037037036E-2</v>
      </c>
      <c r="E525" s="80" t="s">
        <v>129</v>
      </c>
      <c r="F525" s="80" t="s">
        <v>11359</v>
      </c>
      <c r="G525" s="82">
        <v>0.57410000000000005</v>
      </c>
      <c r="H525" s="334">
        <f t="shared" ref="H525:H557" si="16">D526-D525</f>
        <v>-6.8287037037036841E-4</v>
      </c>
    </row>
    <row r="526" spans="1:9" ht="14.25" customHeight="1" x14ac:dyDescent="0.2">
      <c r="A526" s="523">
        <v>43407</v>
      </c>
      <c r="B526" s="901" t="s">
        <v>3837</v>
      </c>
      <c r="C526" s="901" t="s">
        <v>3838</v>
      </c>
      <c r="D526" s="1">
        <v>1.8229166666666668E-2</v>
      </c>
      <c r="E526" s="80" t="s">
        <v>129</v>
      </c>
      <c r="F526" s="80" t="s">
        <v>10966</v>
      </c>
      <c r="G526" s="82">
        <v>0.59560000000000002</v>
      </c>
      <c r="H526" s="334">
        <f t="shared" si="16"/>
        <v>-1.8402777777777775E-3</v>
      </c>
    </row>
    <row r="527" spans="1:9" ht="14.25" customHeight="1" x14ac:dyDescent="0.2">
      <c r="A527" s="523">
        <v>43386</v>
      </c>
      <c r="B527" s="532" t="s">
        <v>3837</v>
      </c>
      <c r="C527" s="532" t="s">
        <v>3838</v>
      </c>
      <c r="D527" s="1">
        <v>1.638888888888889E-2</v>
      </c>
      <c r="E527" s="80" t="s">
        <v>129</v>
      </c>
      <c r="F527" s="80" t="s">
        <v>10819</v>
      </c>
      <c r="G527" s="82">
        <v>0.5877</v>
      </c>
      <c r="H527" s="334">
        <f t="shared" si="16"/>
        <v>1.9444444444444431E-3</v>
      </c>
    </row>
    <row r="528" spans="1:9" ht="14.25" customHeight="1" x14ac:dyDescent="0.2">
      <c r="A528" s="34">
        <v>43379</v>
      </c>
      <c r="B528" s="869" t="s">
        <v>3837</v>
      </c>
      <c r="C528" s="869" t="s">
        <v>3838</v>
      </c>
      <c r="D528" s="1">
        <v>1.8333333333333333E-2</v>
      </c>
      <c r="E528" s="80" t="s">
        <v>129</v>
      </c>
      <c r="F528" s="80" t="s">
        <v>10761</v>
      </c>
      <c r="G528" s="82">
        <v>0.59219999999999995</v>
      </c>
      <c r="H528" s="334">
        <f t="shared" si="16"/>
        <v>-1.4004629629629645E-3</v>
      </c>
    </row>
    <row r="529" spans="1:9" ht="14.25" customHeight="1" x14ac:dyDescent="0.2">
      <c r="A529" s="523">
        <v>43351</v>
      </c>
      <c r="B529" s="532" t="s">
        <v>3837</v>
      </c>
      <c r="C529" s="531" t="s">
        <v>3838</v>
      </c>
      <c r="D529" s="1">
        <v>1.6932870370370369E-2</v>
      </c>
      <c r="E529" s="80" t="s">
        <v>129</v>
      </c>
      <c r="F529" s="80" t="s">
        <v>10592</v>
      </c>
      <c r="G529" s="82">
        <v>0.6411</v>
      </c>
      <c r="H529" s="334">
        <f t="shared" si="16"/>
        <v>4.6296296296297751E-5</v>
      </c>
    </row>
    <row r="530" spans="1:9" ht="14.25" customHeight="1" x14ac:dyDescent="0.2">
      <c r="A530" s="523">
        <v>43344</v>
      </c>
      <c r="B530" s="552" t="s">
        <v>3837</v>
      </c>
      <c r="C530" s="552" t="s">
        <v>3838</v>
      </c>
      <c r="D530" s="1">
        <v>1.6979166666666667E-2</v>
      </c>
      <c r="E530" s="80" t="s">
        <v>129</v>
      </c>
      <c r="F530" s="80" t="s">
        <v>10551</v>
      </c>
      <c r="G530" s="82">
        <v>0.63939999999999997</v>
      </c>
      <c r="H530" s="334">
        <f t="shared" si="16"/>
        <v>3.2407407407407385E-4</v>
      </c>
    </row>
    <row r="531" spans="1:9" ht="14.25" customHeight="1" x14ac:dyDescent="0.2">
      <c r="A531" s="523">
        <v>43316</v>
      </c>
      <c r="B531" s="1029" t="s">
        <v>3837</v>
      </c>
      <c r="C531" s="1030" t="s">
        <v>3838</v>
      </c>
      <c r="D531" s="136">
        <v>1.7303240740740741E-2</v>
      </c>
      <c r="E531" s="80" t="s">
        <v>129</v>
      </c>
      <c r="F531" s="69" t="s">
        <v>10389</v>
      </c>
      <c r="G531" s="82">
        <v>0.62739999999999996</v>
      </c>
      <c r="H531" s="334">
        <f t="shared" si="16"/>
        <v>1.2500000000000011E-3</v>
      </c>
    </row>
    <row r="532" spans="1:9" ht="14.25" customHeight="1" x14ac:dyDescent="0.2">
      <c r="A532" s="523">
        <v>43309</v>
      </c>
      <c r="B532" s="879" t="s">
        <v>3837</v>
      </c>
      <c r="C532" s="879" t="s">
        <v>3838</v>
      </c>
      <c r="D532" s="1">
        <v>1.8553240740740742E-2</v>
      </c>
      <c r="E532" s="80" t="s">
        <v>129</v>
      </c>
      <c r="F532" s="80" t="s">
        <v>10338</v>
      </c>
      <c r="G532" s="82">
        <v>0.58520000000000005</v>
      </c>
      <c r="H532" s="334">
        <f t="shared" si="16"/>
        <v>4.2824074074073945E-4</v>
      </c>
    </row>
    <row r="533" spans="1:9" ht="14.25" customHeight="1" x14ac:dyDescent="0.2">
      <c r="A533" s="523">
        <v>43302</v>
      </c>
      <c r="B533" s="985" t="s">
        <v>3837</v>
      </c>
      <c r="C533" s="985" t="s">
        <v>3838</v>
      </c>
      <c r="D533" s="1">
        <v>1.8981481481481481E-2</v>
      </c>
      <c r="E533" s="80" t="s">
        <v>129</v>
      </c>
      <c r="F533" s="80" t="s">
        <v>3052</v>
      </c>
      <c r="G533" s="82">
        <v>0.57199999999999995</v>
      </c>
      <c r="H533" s="334">
        <f t="shared" si="16"/>
        <v>-4.745370370370372E-4</v>
      </c>
    </row>
    <row r="534" spans="1:9" ht="14.25" customHeight="1" x14ac:dyDescent="0.2">
      <c r="A534" s="523">
        <v>43288</v>
      </c>
      <c r="B534" s="1029" t="s">
        <v>3837</v>
      </c>
      <c r="C534" s="1029" t="s">
        <v>3838</v>
      </c>
      <c r="D534" s="1">
        <v>1.8506944444444444E-2</v>
      </c>
      <c r="E534" t="s">
        <v>129</v>
      </c>
      <c r="F534" t="s">
        <v>10215</v>
      </c>
      <c r="G534" s="82">
        <v>0.58660000000000001</v>
      </c>
      <c r="H534" s="334">
        <f t="shared" si="16"/>
        <v>2.1180555555555571E-3</v>
      </c>
    </row>
    <row r="535" spans="1:9" ht="14.25" customHeight="1" x14ac:dyDescent="0.2">
      <c r="A535" s="523">
        <v>43281</v>
      </c>
      <c r="B535" s="556" t="s">
        <v>3837</v>
      </c>
      <c r="C535" s="556" t="s">
        <v>3838</v>
      </c>
      <c r="D535" s="1">
        <v>2.0625000000000001E-2</v>
      </c>
      <c r="E535" s="80" t="s">
        <v>129</v>
      </c>
      <c r="F535" s="80" t="s">
        <v>10169</v>
      </c>
      <c r="G535" s="82">
        <v>0.52639999999999998</v>
      </c>
      <c r="H535" s="334" t="e">
        <f t="shared" si="16"/>
        <v>#VALUE!</v>
      </c>
    </row>
    <row r="536" spans="1:9" ht="14.25" customHeight="1" x14ac:dyDescent="0.2">
      <c r="A536" s="34">
        <v>43274</v>
      </c>
      <c r="B536" s="1071" t="s">
        <v>3837</v>
      </c>
      <c r="C536" s="1071" t="s">
        <v>3838</v>
      </c>
      <c r="D536" s="80" t="s">
        <v>787</v>
      </c>
      <c r="E536" s="80" t="s">
        <v>129</v>
      </c>
      <c r="F536" s="80" t="s">
        <v>4061</v>
      </c>
      <c r="H536" s="334" t="e">
        <f t="shared" si="16"/>
        <v>#VALUE!</v>
      </c>
    </row>
    <row r="537" spans="1:9" ht="14.25" customHeight="1" x14ac:dyDescent="0.2">
      <c r="A537" s="523">
        <v>43246</v>
      </c>
      <c r="B537" s="601" t="s">
        <v>3837</v>
      </c>
      <c r="C537" s="958" t="s">
        <v>3838</v>
      </c>
      <c r="D537" s="1">
        <v>1.5763888888888886E-2</v>
      </c>
      <c r="E537" s="80" t="s">
        <v>9859</v>
      </c>
      <c r="F537" s="69" t="s">
        <v>2629</v>
      </c>
      <c r="G537" s="82">
        <v>0.68869999999999998</v>
      </c>
      <c r="H537" s="334">
        <f t="shared" si="16"/>
        <v>4.3981481481481649E-4</v>
      </c>
      <c r="I537" s="80"/>
    </row>
    <row r="538" spans="1:9" ht="14.25" customHeight="1" x14ac:dyDescent="0.2">
      <c r="A538" s="523">
        <v>43239</v>
      </c>
      <c r="B538" s="80" t="s">
        <v>3837</v>
      </c>
      <c r="C538" s="334" t="s">
        <v>3838</v>
      </c>
      <c r="D538" s="1">
        <v>1.6203703703703703E-2</v>
      </c>
      <c r="E538" s="80" t="s">
        <v>129</v>
      </c>
      <c r="F538" s="69" t="s">
        <v>3448</v>
      </c>
      <c r="G538" s="82">
        <v>0.67</v>
      </c>
      <c r="H538" s="334">
        <f t="shared" si="16"/>
        <v>2.0833333333333467E-4</v>
      </c>
      <c r="I538" s="80"/>
    </row>
    <row r="539" spans="1:9" ht="14.25" customHeight="1" x14ac:dyDescent="0.2">
      <c r="A539" s="523">
        <v>43232</v>
      </c>
      <c r="B539" s="1038" t="s">
        <v>3837</v>
      </c>
      <c r="C539" s="1039" t="s">
        <v>3838</v>
      </c>
      <c r="D539" s="1">
        <v>1.6412037037037037E-2</v>
      </c>
      <c r="E539" s="80" t="s">
        <v>129</v>
      </c>
      <c r="F539" s="69" t="s">
        <v>9756</v>
      </c>
      <c r="G539" s="82">
        <v>0.66149999999999998</v>
      </c>
      <c r="H539" s="334">
        <f t="shared" si="16"/>
        <v>-5.2083333333333495E-4</v>
      </c>
      <c r="I539" s="80"/>
    </row>
    <row r="540" spans="1:9" ht="14.25" customHeight="1" x14ac:dyDescent="0.2">
      <c r="A540" s="523">
        <v>43225</v>
      </c>
      <c r="B540" s="1038" t="s">
        <v>3837</v>
      </c>
      <c r="C540" s="1039" t="s">
        <v>3838</v>
      </c>
      <c r="D540" s="1">
        <v>1.5891203703703703E-2</v>
      </c>
      <c r="E540" s="80" t="s">
        <v>129</v>
      </c>
      <c r="F540" s="69" t="s">
        <v>9709</v>
      </c>
      <c r="G540" s="82">
        <v>0.68320000000000003</v>
      </c>
      <c r="H540" s="334">
        <f t="shared" si="16"/>
        <v>1.5046296296296335E-4</v>
      </c>
      <c r="I540" s="80"/>
    </row>
    <row r="541" spans="1:9" ht="14.25" customHeight="1" x14ac:dyDescent="0.2">
      <c r="A541" s="523">
        <v>43218</v>
      </c>
      <c r="B541" s="1038" t="s">
        <v>3837</v>
      </c>
      <c r="C541" s="1039" t="s">
        <v>3838</v>
      </c>
      <c r="D541" s="1">
        <v>1.6041666666666666E-2</v>
      </c>
      <c r="E541" s="80" t="s">
        <v>129</v>
      </c>
      <c r="F541" s="69" t="s">
        <v>9665</v>
      </c>
      <c r="G541" s="82">
        <v>0.67679999999999996</v>
      </c>
      <c r="H541" s="334">
        <f t="shared" si="16"/>
        <v>1.7361111111111396E-4</v>
      </c>
      <c r="I541" s="80"/>
    </row>
    <row r="542" spans="1:9" ht="14.25" customHeight="1" x14ac:dyDescent="0.2">
      <c r="A542" s="523">
        <v>43211</v>
      </c>
      <c r="B542" s="1038" t="s">
        <v>3837</v>
      </c>
      <c r="C542" s="1039" t="s">
        <v>3838</v>
      </c>
      <c r="D542" s="1">
        <v>1.621527777777778E-2</v>
      </c>
      <c r="E542" s="80" t="s">
        <v>129</v>
      </c>
      <c r="F542" s="69" t="s">
        <v>9624</v>
      </c>
      <c r="G542" s="82">
        <v>0.66949999999999998</v>
      </c>
      <c r="H542" s="334">
        <f t="shared" si="16"/>
        <v>-8.1018518518518462E-5</v>
      </c>
      <c r="I542" s="80"/>
    </row>
    <row r="543" spans="1:9" ht="14.25" customHeight="1" x14ac:dyDescent="0.2">
      <c r="A543" s="523">
        <v>43204</v>
      </c>
      <c r="B543" s="1038" t="s">
        <v>3837</v>
      </c>
      <c r="C543" s="1039" t="s">
        <v>3838</v>
      </c>
      <c r="D543" s="1">
        <v>1.6134259259259261E-2</v>
      </c>
      <c r="E543" s="80" t="s">
        <v>129</v>
      </c>
      <c r="F543" s="69" t="s">
        <v>9591</v>
      </c>
      <c r="G543" s="82">
        <v>0.67290000000000005</v>
      </c>
      <c r="H543" s="334">
        <f t="shared" si="16"/>
        <v>-2.5462962962963243E-4</v>
      </c>
      <c r="I543" s="80"/>
    </row>
    <row r="544" spans="1:9" ht="14.25" customHeight="1" x14ac:dyDescent="0.2">
      <c r="A544" s="523">
        <v>43197</v>
      </c>
      <c r="B544" s="1038" t="s">
        <v>3837</v>
      </c>
      <c r="C544" s="1039" t="s">
        <v>3838</v>
      </c>
      <c r="D544" s="1">
        <v>1.5879629629629629E-2</v>
      </c>
      <c r="E544" s="80" t="s">
        <v>129</v>
      </c>
      <c r="F544" s="69" t="s">
        <v>9550</v>
      </c>
      <c r="G544" s="82">
        <v>0.68369999999999997</v>
      </c>
      <c r="H544" s="334">
        <f t="shared" si="16"/>
        <v>4.9768518518518434E-4</v>
      </c>
      <c r="I544" s="80"/>
    </row>
    <row r="545" spans="1:13" ht="14.25" customHeight="1" x14ac:dyDescent="0.2">
      <c r="A545" s="523">
        <v>43190</v>
      </c>
      <c r="B545" s="1038" t="s">
        <v>3837</v>
      </c>
      <c r="C545" s="1039" t="s">
        <v>3838</v>
      </c>
      <c r="D545" s="1">
        <v>1.6377314814814813E-2</v>
      </c>
      <c r="E545" s="80" t="s">
        <v>129</v>
      </c>
      <c r="F545" s="69" t="s">
        <v>916</v>
      </c>
      <c r="G545" s="82">
        <v>0.66290000000000004</v>
      </c>
      <c r="H545" s="334">
        <f t="shared" si="16"/>
        <v>-1.157407407407357E-5</v>
      </c>
      <c r="I545" s="80"/>
    </row>
    <row r="546" spans="1:13" ht="14.25" customHeight="1" x14ac:dyDescent="0.2">
      <c r="A546" s="523">
        <v>43183</v>
      </c>
      <c r="B546" s="1038" t="s">
        <v>3837</v>
      </c>
      <c r="C546" s="1039" t="s">
        <v>3838</v>
      </c>
      <c r="D546" s="1">
        <v>1.636574074074074E-2</v>
      </c>
      <c r="E546" s="80" t="s">
        <v>9494</v>
      </c>
      <c r="F546" s="69" t="s">
        <v>9495</v>
      </c>
      <c r="G546" s="82">
        <v>0.66339999999999999</v>
      </c>
      <c r="H546" s="334">
        <f t="shared" si="16"/>
        <v>4.6296296296296363E-4</v>
      </c>
      <c r="I546" s="80" t="s">
        <v>9496</v>
      </c>
      <c r="M546" t="s">
        <v>9492</v>
      </c>
    </row>
    <row r="547" spans="1:13" ht="14.25" customHeight="1" x14ac:dyDescent="0.2">
      <c r="A547" s="523">
        <v>43176</v>
      </c>
      <c r="B547" s="1038" t="s">
        <v>3837</v>
      </c>
      <c r="C547" s="1039" t="s">
        <v>3838</v>
      </c>
      <c r="D547" s="1">
        <v>1.6828703703703703E-2</v>
      </c>
      <c r="E547" s="80" t="s">
        <v>129</v>
      </c>
      <c r="F547" s="69" t="s">
        <v>9451</v>
      </c>
      <c r="G547" s="82">
        <v>0.64510000000000001</v>
      </c>
      <c r="H547" s="334">
        <f t="shared" si="16"/>
        <v>-5.5555555555555566E-4</v>
      </c>
      <c r="I547" s="80"/>
    </row>
    <row r="548" spans="1:13" ht="14.25" customHeight="1" x14ac:dyDescent="0.2">
      <c r="A548" s="523">
        <v>43169</v>
      </c>
      <c r="B548" s="1038" t="s">
        <v>3837</v>
      </c>
      <c r="C548" s="1039" t="s">
        <v>3838</v>
      </c>
      <c r="D548" s="1">
        <v>1.6273148148148148E-2</v>
      </c>
      <c r="E548" s="80" t="s">
        <v>5885</v>
      </c>
      <c r="F548" s="69" t="s">
        <v>9427</v>
      </c>
      <c r="G548" s="82">
        <v>0.66710000000000003</v>
      </c>
      <c r="H548" s="334">
        <f t="shared" si="16"/>
        <v>-4.6296296296297751E-5</v>
      </c>
      <c r="I548" s="80"/>
    </row>
    <row r="549" spans="1:13" ht="14.25" customHeight="1" x14ac:dyDescent="0.2">
      <c r="A549" s="523">
        <v>43155</v>
      </c>
      <c r="B549" s="1038" t="s">
        <v>3837</v>
      </c>
      <c r="C549" s="1039" t="s">
        <v>3838</v>
      </c>
      <c r="D549" s="1">
        <v>1.622685185185185E-2</v>
      </c>
      <c r="E549" s="80" t="s">
        <v>129</v>
      </c>
      <c r="F549" s="69" t="s">
        <v>9321</v>
      </c>
      <c r="G549" s="82">
        <v>0.66900000000000004</v>
      </c>
      <c r="H549" s="334">
        <f t="shared" si="16"/>
        <v>1.0416666666666907E-4</v>
      </c>
      <c r="I549" s="80"/>
    </row>
    <row r="550" spans="1:13" ht="14.25" customHeight="1" x14ac:dyDescent="0.2">
      <c r="A550" s="523">
        <v>43148</v>
      </c>
      <c r="B550" s="1038" t="s">
        <v>3837</v>
      </c>
      <c r="C550" s="1039" t="s">
        <v>3838</v>
      </c>
      <c r="D550" s="1">
        <v>1.6331018518518519E-2</v>
      </c>
      <c r="E550" s="80" t="s">
        <v>129</v>
      </c>
      <c r="F550" s="69" t="s">
        <v>9293</v>
      </c>
      <c r="G550" s="82">
        <v>0.66479999999999995</v>
      </c>
      <c r="H550" s="334">
        <f t="shared" si="16"/>
        <v>-5.7870370370371321E-5</v>
      </c>
      <c r="I550" s="80"/>
    </row>
    <row r="551" spans="1:13" ht="14.25" customHeight="1" x14ac:dyDescent="0.2">
      <c r="A551" s="523">
        <v>43141</v>
      </c>
      <c r="B551" s="1038" t="s">
        <v>3837</v>
      </c>
      <c r="C551" s="1039" t="s">
        <v>3838</v>
      </c>
      <c r="D551" s="1">
        <v>1.6273148148148148E-2</v>
      </c>
      <c r="E551" s="80" t="s">
        <v>129</v>
      </c>
      <c r="F551" s="69" t="s">
        <v>3151</v>
      </c>
      <c r="G551" s="82">
        <v>0.66710000000000003</v>
      </c>
      <c r="H551" s="334">
        <f t="shared" si="16"/>
        <v>5.7870370370371321E-5</v>
      </c>
      <c r="I551" s="80"/>
    </row>
    <row r="552" spans="1:13" ht="14.25" customHeight="1" x14ac:dyDescent="0.2">
      <c r="A552" s="523">
        <v>43134</v>
      </c>
      <c r="B552" s="1038" t="s">
        <v>3837</v>
      </c>
      <c r="C552" s="1039" t="s">
        <v>3838</v>
      </c>
      <c r="D552" s="1">
        <v>1.6331018518518519E-2</v>
      </c>
      <c r="E552" s="80" t="s">
        <v>129</v>
      </c>
      <c r="F552" s="69" t="s">
        <v>9192</v>
      </c>
      <c r="G552" s="82">
        <v>0.66479999999999995</v>
      </c>
      <c r="H552" s="334">
        <f t="shared" si="16"/>
        <v>-1.9675925925925764E-4</v>
      </c>
      <c r="I552" s="80"/>
    </row>
    <row r="553" spans="1:13" ht="14.25" customHeight="1" x14ac:dyDescent="0.2">
      <c r="A553" s="523">
        <v>43127</v>
      </c>
      <c r="B553" s="1038" t="s">
        <v>3837</v>
      </c>
      <c r="C553" s="1039" t="s">
        <v>3838</v>
      </c>
      <c r="D553" s="1">
        <v>1.6134259259259261E-2</v>
      </c>
      <c r="E553" s="80" t="s">
        <v>129</v>
      </c>
      <c r="F553" s="69" t="s">
        <v>9171</v>
      </c>
      <c r="G553" s="82">
        <v>0.67290000000000005</v>
      </c>
      <c r="H553" s="334">
        <f t="shared" si="16"/>
        <v>-2.5462962962963243E-4</v>
      </c>
      <c r="I553" s="80"/>
    </row>
    <row r="554" spans="1:13" ht="14.25" customHeight="1" x14ac:dyDescent="0.2">
      <c r="A554" s="523">
        <v>43113</v>
      </c>
      <c r="B554" s="1038" t="s">
        <v>3837</v>
      </c>
      <c r="C554" s="1039" t="s">
        <v>3838</v>
      </c>
      <c r="D554" s="1">
        <v>1.5879629629629629E-2</v>
      </c>
      <c r="E554" s="80" t="s">
        <v>129</v>
      </c>
      <c r="F554" s="69" t="s">
        <v>9106</v>
      </c>
      <c r="G554" s="82">
        <v>0.68369999999999997</v>
      </c>
      <c r="H554" s="334">
        <f t="shared" si="16"/>
        <v>1.9675925925925764E-4</v>
      </c>
      <c r="I554" s="80"/>
    </row>
    <row r="555" spans="1:13" ht="14.25" customHeight="1" x14ac:dyDescent="0.2">
      <c r="A555" s="523">
        <v>43106</v>
      </c>
      <c r="B555" s="1038" t="s">
        <v>3837</v>
      </c>
      <c r="C555" s="1039" t="s">
        <v>3838</v>
      </c>
      <c r="D555" s="1">
        <v>1.6076388888888887E-2</v>
      </c>
      <c r="E555" s="80" t="s">
        <v>129</v>
      </c>
      <c r="F555" s="69" t="s">
        <v>9105</v>
      </c>
      <c r="G555" s="82">
        <v>0.66949999999999998</v>
      </c>
      <c r="H555" s="334">
        <f t="shared" si="16"/>
        <v>2.314814814815061E-5</v>
      </c>
      <c r="I555" s="80"/>
    </row>
    <row r="556" spans="1:13" ht="14.25" customHeight="1" x14ac:dyDescent="0.2">
      <c r="A556" s="33">
        <v>43101</v>
      </c>
      <c r="B556" s="1038" t="s">
        <v>3837</v>
      </c>
      <c r="C556" s="1039" t="s">
        <v>3838</v>
      </c>
      <c r="D556" s="1">
        <v>1.6099537037037037E-2</v>
      </c>
      <c r="E556" s="80" t="s">
        <v>5885</v>
      </c>
      <c r="F556" s="69" t="s">
        <v>9044</v>
      </c>
      <c r="G556" s="82">
        <v>0.66859999999999997</v>
      </c>
      <c r="H556" s="334">
        <f t="shared" si="16"/>
        <v>5.9027777777777984E-4</v>
      </c>
      <c r="I556" s="80"/>
    </row>
    <row r="557" spans="1:13" ht="14.25" customHeight="1" x14ac:dyDescent="0.2">
      <c r="A557" s="33">
        <v>43101</v>
      </c>
      <c r="B557" s="1038" t="s">
        <v>3837</v>
      </c>
      <c r="C557" s="1039" t="s">
        <v>3838</v>
      </c>
      <c r="D557" s="1">
        <v>1.6689814814814817E-2</v>
      </c>
      <c r="E557" s="80" t="s">
        <v>129</v>
      </c>
      <c r="F557" s="69" t="s">
        <v>9045</v>
      </c>
      <c r="G557" s="82">
        <v>0.64490000000000003</v>
      </c>
      <c r="H557" s="334">
        <f t="shared" si="16"/>
        <v>3.4259259259259225E-3</v>
      </c>
      <c r="I557" s="80"/>
    </row>
    <row r="558" spans="1:13" ht="14.25" customHeight="1" x14ac:dyDescent="0.2">
      <c r="A558" s="523">
        <v>43463</v>
      </c>
      <c r="B558" s="80" t="s">
        <v>4548</v>
      </c>
      <c r="C558" s="80" t="s">
        <v>3838</v>
      </c>
      <c r="D558" s="1">
        <v>2.011574074074074E-2</v>
      </c>
      <c r="E558" s="80" t="s">
        <v>129</v>
      </c>
      <c r="F558" s="69" t="s">
        <v>11535</v>
      </c>
      <c r="G558" s="82">
        <v>0.53969999999999996</v>
      </c>
      <c r="H558" s="334"/>
    </row>
    <row r="559" spans="1:13" ht="14.25" customHeight="1" x14ac:dyDescent="0.2">
      <c r="A559" s="523">
        <v>43459</v>
      </c>
      <c r="B559" s="80" t="s">
        <v>4548</v>
      </c>
      <c r="C559" s="80" t="s">
        <v>3838</v>
      </c>
      <c r="D559" s="1">
        <v>1.9456018518518518E-2</v>
      </c>
      <c r="E559" s="80" t="s">
        <v>129</v>
      </c>
      <c r="F559" s="69" t="s">
        <v>11534</v>
      </c>
      <c r="G559" s="82">
        <v>0.55800000000000005</v>
      </c>
      <c r="H559" s="334"/>
    </row>
    <row r="560" spans="1:13" ht="14.25" customHeight="1" x14ac:dyDescent="0.2">
      <c r="A560" s="523">
        <v>43449</v>
      </c>
      <c r="B560" s="1029" t="s">
        <v>4548</v>
      </c>
      <c r="C560" s="1029" t="s">
        <v>3838</v>
      </c>
      <c r="D560" s="1">
        <v>1.894675925925926E-2</v>
      </c>
      <c r="E560" s="80" t="s">
        <v>129</v>
      </c>
      <c r="F560" s="80" t="s">
        <v>11285</v>
      </c>
      <c r="G560" s="82">
        <v>0.57299999999999995</v>
      </c>
      <c r="H560" s="334">
        <f>D561-D560</f>
        <v>-1.064814814814817E-3</v>
      </c>
    </row>
    <row r="561" spans="1:9" ht="14.25" customHeight="1" x14ac:dyDescent="0.2">
      <c r="A561" s="523">
        <v>43463</v>
      </c>
      <c r="B561" s="862" t="s">
        <v>3508</v>
      </c>
      <c r="C561" s="862" t="s">
        <v>3632</v>
      </c>
      <c r="D561" s="1">
        <v>1.7881944444444443E-2</v>
      </c>
      <c r="E561" s="80" t="s">
        <v>5885</v>
      </c>
      <c r="F561" s="80" t="s">
        <v>11414</v>
      </c>
      <c r="G561" s="82">
        <v>0.60189999999999999</v>
      </c>
      <c r="H561" s="334">
        <f>D562-D561</f>
        <v>1.8171296296296303E-3</v>
      </c>
    </row>
    <row r="562" spans="1:9" ht="14.25" customHeight="1" x14ac:dyDescent="0.2">
      <c r="A562" s="523">
        <v>43459</v>
      </c>
      <c r="B562" s="80" t="s">
        <v>3508</v>
      </c>
      <c r="C562" s="80" t="s">
        <v>3632</v>
      </c>
      <c r="D562" s="1">
        <v>1.9699074074074074E-2</v>
      </c>
      <c r="E562" s="80" t="s">
        <v>5885</v>
      </c>
      <c r="F562" s="80" t="s">
        <v>4027</v>
      </c>
      <c r="G562" s="82">
        <v>0.5464</v>
      </c>
      <c r="H562" s="80"/>
    </row>
    <row r="563" spans="1:9" ht="14.25" customHeight="1" x14ac:dyDescent="0.2">
      <c r="A563" s="523">
        <v>43456</v>
      </c>
      <c r="B563" s="556" t="s">
        <v>3508</v>
      </c>
      <c r="C563" s="556" t="s">
        <v>3632</v>
      </c>
      <c r="D563" s="1">
        <v>1.5740740740740743E-2</v>
      </c>
      <c r="E563" s="80" t="s">
        <v>5885</v>
      </c>
      <c r="F563" s="80" t="s">
        <v>11330</v>
      </c>
      <c r="G563" s="82">
        <v>0.68379999999999996</v>
      </c>
      <c r="H563" s="334">
        <f t="shared" ref="H563:H594" si="17">D564-D563</f>
        <v>-4.0509259259259578E-4</v>
      </c>
    </row>
    <row r="564" spans="1:9" ht="14.25" customHeight="1" x14ac:dyDescent="0.2">
      <c r="A564" s="523">
        <v>43449</v>
      </c>
      <c r="B564" s="1029" t="s">
        <v>3508</v>
      </c>
      <c r="C564" s="1029" t="s">
        <v>3632</v>
      </c>
      <c r="D564" s="1">
        <v>1.5335648148148147E-2</v>
      </c>
      <c r="E564" s="80" t="s">
        <v>5885</v>
      </c>
      <c r="F564" s="80" t="s">
        <v>11291</v>
      </c>
      <c r="G564" s="82">
        <v>0.70189999999999997</v>
      </c>
      <c r="H564" s="334">
        <f t="shared" si="17"/>
        <v>1.0995370370370412E-3</v>
      </c>
    </row>
    <row r="565" spans="1:9" ht="14.25" customHeight="1" x14ac:dyDescent="0.2">
      <c r="A565" s="523">
        <v>43442</v>
      </c>
      <c r="B565" s="972" t="s">
        <v>3508</v>
      </c>
      <c r="C565" s="972" t="s">
        <v>3632</v>
      </c>
      <c r="D565" s="1">
        <v>1.6435185185185188E-2</v>
      </c>
      <c r="E565" s="80" t="s">
        <v>4727</v>
      </c>
      <c r="F565" s="80" t="s">
        <v>11250</v>
      </c>
      <c r="G565" s="82">
        <v>0.65490000000000004</v>
      </c>
      <c r="H565" s="334">
        <f t="shared" si="17"/>
        <v>1.6435185185185164E-3</v>
      </c>
    </row>
    <row r="566" spans="1:9" ht="14.25" customHeight="1" x14ac:dyDescent="0.2">
      <c r="A566" s="523">
        <v>43435</v>
      </c>
      <c r="B566" s="1164" t="s">
        <v>3508</v>
      </c>
      <c r="C566" s="1164" t="s">
        <v>3632</v>
      </c>
      <c r="D566" s="1">
        <v>1.8078703703703704E-2</v>
      </c>
      <c r="E566" s="80" t="s">
        <v>5885</v>
      </c>
      <c r="F566" s="80" t="s">
        <v>11173</v>
      </c>
      <c r="G566" s="82">
        <v>0.59540000000000004</v>
      </c>
      <c r="H566" s="334">
        <f t="shared" si="17"/>
        <v>-2.4074074074074067E-3</v>
      </c>
    </row>
    <row r="567" spans="1:9" ht="14.25" customHeight="1" x14ac:dyDescent="0.2">
      <c r="A567" s="523">
        <v>43428</v>
      </c>
      <c r="B567" s="1038" t="s">
        <v>3508</v>
      </c>
      <c r="C567" s="1038" t="s">
        <v>3632</v>
      </c>
      <c r="D567" s="1">
        <v>1.5671296296296298E-2</v>
      </c>
      <c r="E567" s="80" t="s">
        <v>10983</v>
      </c>
      <c r="F567" s="80" t="s">
        <v>11087</v>
      </c>
      <c r="G567" s="82">
        <v>0.68689999999999996</v>
      </c>
      <c r="H567" s="334">
        <f t="shared" si="17"/>
        <v>8.2175925925925819E-4</v>
      </c>
      <c r="I567" s="80" t="s">
        <v>11125</v>
      </c>
    </row>
    <row r="568" spans="1:9" ht="14.25" customHeight="1" x14ac:dyDescent="0.2">
      <c r="A568" s="523">
        <v>43407</v>
      </c>
      <c r="B568" s="901" t="s">
        <v>3508</v>
      </c>
      <c r="C568" s="901" t="s">
        <v>3632</v>
      </c>
      <c r="D568" s="1">
        <v>1.6493055555555556E-2</v>
      </c>
      <c r="E568" s="80" t="s">
        <v>8248</v>
      </c>
      <c r="F568" s="80" t="s">
        <v>10959</v>
      </c>
      <c r="G568" s="82">
        <v>0.65259999999999996</v>
      </c>
      <c r="H568" s="334">
        <f t="shared" si="17"/>
        <v>-5.0925925925926138E-4</v>
      </c>
    </row>
    <row r="569" spans="1:9" ht="14.25" customHeight="1" x14ac:dyDescent="0.2">
      <c r="A569" s="523">
        <v>43400</v>
      </c>
      <c r="B569" s="556" t="s">
        <v>3508</v>
      </c>
      <c r="C569" s="556" t="s">
        <v>3632</v>
      </c>
      <c r="D569" s="1">
        <v>1.5983796296296295E-2</v>
      </c>
      <c r="E569" s="80" t="s">
        <v>10891</v>
      </c>
      <c r="F569" s="80" t="s">
        <v>10921</v>
      </c>
      <c r="G569" s="82">
        <v>0.6734</v>
      </c>
      <c r="H569" s="334">
        <f t="shared" si="17"/>
        <v>2.8935185185185314E-4</v>
      </c>
    </row>
    <row r="570" spans="1:9" ht="14.25" customHeight="1" x14ac:dyDescent="0.2">
      <c r="A570" s="523">
        <v>43393</v>
      </c>
      <c r="B570" s="862" t="s">
        <v>3508</v>
      </c>
      <c r="C570" s="862" t="s">
        <v>3632</v>
      </c>
      <c r="D570" s="1">
        <v>1.6273148148148148E-2</v>
      </c>
      <c r="E570" s="80" t="s">
        <v>5885</v>
      </c>
      <c r="F570" s="80" t="s">
        <v>914</v>
      </c>
      <c r="G570" s="82">
        <v>0.66149999999999998</v>
      </c>
      <c r="H570" s="334">
        <f t="shared" si="17"/>
        <v>4.6412037037037029E-3</v>
      </c>
    </row>
    <row r="571" spans="1:9" ht="14.25" customHeight="1" x14ac:dyDescent="0.2">
      <c r="A571" s="523">
        <v>43386</v>
      </c>
      <c r="B571" s="532" t="s">
        <v>3508</v>
      </c>
      <c r="C571" s="532" t="s">
        <v>3632</v>
      </c>
      <c r="D571" s="1">
        <v>2.0914351851851851E-2</v>
      </c>
      <c r="E571" s="80" t="s">
        <v>5885</v>
      </c>
      <c r="F571" s="80" t="s">
        <v>8421</v>
      </c>
      <c r="G571" s="82">
        <v>0.51470000000000005</v>
      </c>
      <c r="H571" s="334">
        <f t="shared" si="17"/>
        <v>-3.5069444444444445E-3</v>
      </c>
    </row>
    <row r="572" spans="1:9" ht="14.25" customHeight="1" x14ac:dyDescent="0.2">
      <c r="A572" s="34">
        <v>43379</v>
      </c>
      <c r="B572" s="869" t="s">
        <v>3508</v>
      </c>
      <c r="C572" s="869" t="s">
        <v>3632</v>
      </c>
      <c r="D572" s="1">
        <v>1.7407407407407406E-2</v>
      </c>
      <c r="E572" s="80" t="s">
        <v>10775</v>
      </c>
      <c r="F572" s="80" t="s">
        <v>10778</v>
      </c>
      <c r="G572" s="82">
        <v>0.61839999999999995</v>
      </c>
      <c r="H572" s="334">
        <f t="shared" si="17"/>
        <v>-7.6388888888888687E-4</v>
      </c>
    </row>
    <row r="573" spans="1:9" ht="14.25" customHeight="1" x14ac:dyDescent="0.2">
      <c r="A573" s="34">
        <v>43372</v>
      </c>
      <c r="B573" s="532" t="s">
        <v>3508</v>
      </c>
      <c r="C573" s="532" t="s">
        <v>3632</v>
      </c>
      <c r="D573" s="1">
        <v>1.6643518518518519E-2</v>
      </c>
      <c r="E573" s="80" t="s">
        <v>8407</v>
      </c>
      <c r="F573" s="80" t="s">
        <v>10727</v>
      </c>
      <c r="G573" s="82">
        <v>0.64670000000000005</v>
      </c>
      <c r="H573" s="334">
        <f t="shared" si="17"/>
        <v>-9.2592592592592726E-4</v>
      </c>
    </row>
    <row r="574" spans="1:9" ht="14.25" customHeight="1" x14ac:dyDescent="0.2">
      <c r="A574" s="34">
        <v>43365</v>
      </c>
      <c r="B574" s="556" t="s">
        <v>3508</v>
      </c>
      <c r="C574" s="556" t="s">
        <v>3632</v>
      </c>
      <c r="D574" s="1">
        <v>1.5717592592592592E-2</v>
      </c>
      <c r="E574" s="80" t="s">
        <v>5885</v>
      </c>
      <c r="F574" s="80" t="s">
        <v>10694</v>
      </c>
      <c r="G574" s="82">
        <v>0.68479999999999996</v>
      </c>
      <c r="H574" s="334">
        <f t="shared" si="17"/>
        <v>-7.1759259259259085E-4</v>
      </c>
    </row>
    <row r="575" spans="1:9" ht="14.25" customHeight="1" x14ac:dyDescent="0.2">
      <c r="A575" s="523">
        <v>43351</v>
      </c>
      <c r="B575" s="532" t="s">
        <v>3508</v>
      </c>
      <c r="C575" s="532" t="s">
        <v>3632</v>
      </c>
      <c r="D575" s="1">
        <v>1.5000000000000001E-2</v>
      </c>
      <c r="E575" s="80" t="s">
        <v>3072</v>
      </c>
      <c r="F575" s="80" t="s">
        <v>10605</v>
      </c>
      <c r="G575" s="82">
        <v>0.71760000000000002</v>
      </c>
      <c r="H575" s="334">
        <f t="shared" si="17"/>
        <v>-3.703703703703716E-4</v>
      </c>
    </row>
    <row r="576" spans="1:9" ht="14.25" customHeight="1" x14ac:dyDescent="0.2">
      <c r="A576" s="523">
        <v>43344</v>
      </c>
      <c r="B576" s="552" t="s">
        <v>3508</v>
      </c>
      <c r="C576" s="552" t="s">
        <v>3632</v>
      </c>
      <c r="D576" s="1">
        <v>1.462962962962963E-2</v>
      </c>
      <c r="E576" t="s">
        <v>10546</v>
      </c>
      <c r="F576" s="80" t="s">
        <v>10559</v>
      </c>
      <c r="G576" s="82">
        <v>0.73580000000000001</v>
      </c>
      <c r="H576" s="334">
        <f t="shared" si="17"/>
        <v>1.9444444444444448E-3</v>
      </c>
      <c r="I576" t="s">
        <v>10548</v>
      </c>
    </row>
    <row r="577" spans="1:14" ht="14.25" customHeight="1" x14ac:dyDescent="0.2">
      <c r="A577" s="523">
        <v>43337</v>
      </c>
      <c r="B577" s="1044" t="s">
        <v>3508</v>
      </c>
      <c r="C577" s="1044" t="s">
        <v>3632</v>
      </c>
      <c r="D577" s="1">
        <v>1.6574074074074074E-2</v>
      </c>
      <c r="E577" s="80" t="s">
        <v>10495</v>
      </c>
      <c r="F577" s="80" t="s">
        <v>10496</v>
      </c>
      <c r="G577" s="82">
        <v>0.64939999999999998</v>
      </c>
      <c r="H577" s="334">
        <f t="shared" si="17"/>
        <v>2.1990740740740825E-4</v>
      </c>
    </row>
    <row r="578" spans="1:14" ht="14.25" customHeight="1" x14ac:dyDescent="0.2">
      <c r="A578" s="523">
        <v>43330</v>
      </c>
      <c r="B578" s="1099" t="s">
        <v>3508</v>
      </c>
      <c r="C578" s="1099" t="s">
        <v>3632</v>
      </c>
      <c r="D578" s="1">
        <v>1.6793981481481483E-2</v>
      </c>
      <c r="E578" s="80" t="s">
        <v>5885</v>
      </c>
      <c r="F578" s="80" t="s">
        <v>10446</v>
      </c>
      <c r="G578" s="82">
        <v>0.64090000000000003</v>
      </c>
      <c r="H578" s="334">
        <f t="shared" si="17"/>
        <v>-1.3541666666666667E-3</v>
      </c>
    </row>
    <row r="579" spans="1:14" ht="14.25" customHeight="1" x14ac:dyDescent="0.2">
      <c r="A579" s="523">
        <v>43316</v>
      </c>
      <c r="B579" s="1077" t="s">
        <v>3508</v>
      </c>
      <c r="C579" s="1077" t="s">
        <v>3632</v>
      </c>
      <c r="D579" s="136">
        <v>1.5439814814814816E-2</v>
      </c>
      <c r="E579" t="s">
        <v>527</v>
      </c>
      <c r="F579" t="s">
        <v>10374</v>
      </c>
      <c r="G579" s="82">
        <v>0.69720000000000004</v>
      </c>
      <c r="H579" s="334">
        <f t="shared" si="17"/>
        <v>2.7314814814814806E-3</v>
      </c>
    </row>
    <row r="580" spans="1:14" ht="14.25" customHeight="1" x14ac:dyDescent="0.2">
      <c r="A580" s="523">
        <v>43309</v>
      </c>
      <c r="B580" s="879" t="s">
        <v>3508</v>
      </c>
      <c r="C580" s="879" t="s">
        <v>3632</v>
      </c>
      <c r="D580" s="1">
        <v>1.8171296296296297E-2</v>
      </c>
      <c r="E580" s="80" t="s">
        <v>5885</v>
      </c>
      <c r="F580" s="80" t="s">
        <v>10341</v>
      </c>
      <c r="G580" s="82">
        <v>0.58730000000000004</v>
      </c>
      <c r="H580" s="334">
        <f t="shared" si="17"/>
        <v>5.0578703703703688E-3</v>
      </c>
    </row>
    <row r="581" spans="1:14" ht="18.75" customHeight="1" x14ac:dyDescent="0.2">
      <c r="A581" s="523">
        <v>43302</v>
      </c>
      <c r="B581" s="985" t="s">
        <v>3508</v>
      </c>
      <c r="C581" s="985" t="s">
        <v>3632</v>
      </c>
      <c r="D581" s="1">
        <v>2.3229166666666665E-2</v>
      </c>
      <c r="E581" s="80" t="s">
        <v>5885</v>
      </c>
      <c r="F581" s="80" t="s">
        <v>10297</v>
      </c>
      <c r="G581" s="82">
        <v>0.45939999999999998</v>
      </c>
      <c r="H581" s="334">
        <f t="shared" si="17"/>
        <v>-7.5115740740740733E-3</v>
      </c>
    </row>
    <row r="582" spans="1:14" ht="14.25" customHeight="1" x14ac:dyDescent="0.2">
      <c r="A582" s="523">
        <v>43295</v>
      </c>
      <c r="B582" s="601" t="s">
        <v>3508</v>
      </c>
      <c r="C582" s="601" t="s">
        <v>3632</v>
      </c>
      <c r="D582" s="1">
        <v>1.5717592592592592E-2</v>
      </c>
      <c r="E582" s="80" t="s">
        <v>5885</v>
      </c>
      <c r="F582" s="80" t="s">
        <v>10227</v>
      </c>
      <c r="G582" s="82">
        <v>0.67889999999999995</v>
      </c>
      <c r="H582" s="334">
        <f t="shared" si="17"/>
        <v>1.8518518518518406E-4</v>
      </c>
    </row>
    <row r="583" spans="1:14" ht="14.25" customHeight="1" x14ac:dyDescent="0.2">
      <c r="A583" s="523">
        <v>43288</v>
      </c>
      <c r="B583" s="1077" t="s">
        <v>3508</v>
      </c>
      <c r="C583" s="1077" t="s">
        <v>3632</v>
      </c>
      <c r="D583" s="1">
        <v>1.5902777777777776E-2</v>
      </c>
      <c r="E583" t="s">
        <v>5885</v>
      </c>
      <c r="F583" t="s">
        <v>10200</v>
      </c>
      <c r="G583" s="82">
        <v>0.67100000000000004</v>
      </c>
      <c r="H583" s="334">
        <f t="shared" si="17"/>
        <v>-7.7546296296296044E-4</v>
      </c>
    </row>
    <row r="584" spans="1:14" ht="14.25" customHeight="1" x14ac:dyDescent="0.2">
      <c r="A584" s="523">
        <v>43281</v>
      </c>
      <c r="B584" s="552" t="s">
        <v>3508</v>
      </c>
      <c r="C584" s="552" t="s">
        <v>3632</v>
      </c>
      <c r="D584" s="1">
        <v>1.5127314814814816E-2</v>
      </c>
      <c r="E584" s="80" t="s">
        <v>5885</v>
      </c>
      <c r="F584" s="80" t="s">
        <v>10156</v>
      </c>
      <c r="G584" s="82">
        <v>0.70540000000000003</v>
      </c>
      <c r="H584" s="334">
        <f t="shared" si="17"/>
        <v>-9.2592592592595502E-5</v>
      </c>
    </row>
    <row r="585" spans="1:14" ht="14.25" customHeight="1" x14ac:dyDescent="0.2">
      <c r="A585" s="523">
        <v>43267</v>
      </c>
      <c r="B585" s="1058" t="s">
        <v>3508</v>
      </c>
      <c r="C585" s="1059" t="s">
        <v>3632</v>
      </c>
      <c r="D585" s="1">
        <v>1.503472222222222E-2</v>
      </c>
      <c r="E585" s="80" t="s">
        <v>843</v>
      </c>
      <c r="F585" s="69" t="s">
        <v>4960</v>
      </c>
      <c r="G585" s="82">
        <v>0.70979999999999999</v>
      </c>
      <c r="H585" s="334">
        <f t="shared" si="17"/>
        <v>-3.7037037037036813E-4</v>
      </c>
      <c r="I585" s="80" t="s">
        <v>9942</v>
      </c>
      <c r="N585" t="s">
        <v>9957</v>
      </c>
    </row>
    <row r="586" spans="1:14" ht="14.25" customHeight="1" x14ac:dyDescent="0.2">
      <c r="A586" s="523">
        <v>43260</v>
      </c>
      <c r="B586" s="532" t="s">
        <v>3508</v>
      </c>
      <c r="C586" s="843" t="s">
        <v>3632</v>
      </c>
      <c r="D586" s="1">
        <v>1.4664351851851852E-2</v>
      </c>
      <c r="E586" s="80" t="s">
        <v>5885</v>
      </c>
      <c r="F586" s="69" t="s">
        <v>2475</v>
      </c>
      <c r="G586" s="82">
        <v>0.72770000000000001</v>
      </c>
      <c r="H586" s="334">
        <f t="shared" si="17"/>
        <v>2.0833333333333294E-4</v>
      </c>
      <c r="I586" s="80"/>
    </row>
    <row r="587" spans="1:14" ht="14.25" customHeight="1" x14ac:dyDescent="0.2">
      <c r="A587" s="523">
        <v>43253</v>
      </c>
      <c r="B587" s="901" t="s">
        <v>3508</v>
      </c>
      <c r="C587" s="902" t="s">
        <v>3632</v>
      </c>
      <c r="D587" s="1">
        <v>1.4872685185185185E-2</v>
      </c>
      <c r="E587" s="80" t="s">
        <v>5885</v>
      </c>
      <c r="F587" s="69" t="s">
        <v>9882</v>
      </c>
      <c r="G587" s="82">
        <v>0.71750000000000003</v>
      </c>
      <c r="H587" s="334">
        <f t="shared" si="17"/>
        <v>1.1921296296296281E-3</v>
      </c>
      <c r="I587" s="80"/>
    </row>
    <row r="588" spans="1:14" ht="14.25" customHeight="1" x14ac:dyDescent="0.2">
      <c r="A588" s="523">
        <v>43246</v>
      </c>
      <c r="B588" s="601" t="s">
        <v>3508</v>
      </c>
      <c r="C588" s="958" t="s">
        <v>3632</v>
      </c>
      <c r="D588" s="1">
        <v>1.6064814814814813E-2</v>
      </c>
      <c r="E588" s="80" t="s">
        <v>5885</v>
      </c>
      <c r="F588" s="69" t="s">
        <v>9853</v>
      </c>
      <c r="G588" s="82">
        <v>0.6643</v>
      </c>
      <c r="H588" s="334">
        <f t="shared" si="17"/>
        <v>9.6064814814814797E-4</v>
      </c>
      <c r="I588" s="80"/>
    </row>
    <row r="589" spans="1:14" ht="14.25" customHeight="1" x14ac:dyDescent="0.2">
      <c r="A589" s="523">
        <v>43232</v>
      </c>
      <c r="B589" s="1051" t="s">
        <v>3508</v>
      </c>
      <c r="C589" s="1052" t="s">
        <v>3632</v>
      </c>
      <c r="D589" s="1">
        <v>1.7025462962962961E-2</v>
      </c>
      <c r="E589" s="80" t="s">
        <v>5885</v>
      </c>
      <c r="F589" s="69" t="s">
        <v>9766</v>
      </c>
      <c r="G589" s="82">
        <v>0.62680000000000002</v>
      </c>
      <c r="H589" s="334">
        <f t="shared" si="17"/>
        <v>-2.5231481481481459E-3</v>
      </c>
      <c r="I589" s="80" t="s">
        <v>9765</v>
      </c>
    </row>
    <row r="590" spans="1:14" ht="14.25" customHeight="1" x14ac:dyDescent="0.2">
      <c r="A590" s="523">
        <v>43225</v>
      </c>
      <c r="B590" s="1044" t="s">
        <v>3508</v>
      </c>
      <c r="C590" s="1045" t="s">
        <v>3632</v>
      </c>
      <c r="D590" s="1">
        <v>1.4502314814814815E-2</v>
      </c>
      <c r="E590" s="80" t="s">
        <v>5885</v>
      </c>
      <c r="F590" s="69" t="s">
        <v>9241</v>
      </c>
      <c r="G590" s="82">
        <v>0.73580000000000001</v>
      </c>
      <c r="H590" s="334">
        <f t="shared" si="17"/>
        <v>6.8287037037037014E-4</v>
      </c>
      <c r="I590" s="80"/>
    </row>
    <row r="591" spans="1:14" ht="14.25" customHeight="1" x14ac:dyDescent="0.2">
      <c r="A591" s="523">
        <v>43218</v>
      </c>
      <c r="B591" s="568" t="s">
        <v>3508</v>
      </c>
      <c r="C591" s="861" t="s">
        <v>3632</v>
      </c>
      <c r="D591" s="1">
        <v>1.5185185185185185E-2</v>
      </c>
      <c r="E591" s="80" t="s">
        <v>5885</v>
      </c>
      <c r="F591" s="69" t="s">
        <v>1179</v>
      </c>
      <c r="G591" s="82">
        <v>0.70269999999999999</v>
      </c>
      <c r="H591" s="334">
        <f t="shared" si="17"/>
        <v>-1.3888888888888978E-4</v>
      </c>
      <c r="I591" s="80"/>
    </row>
    <row r="592" spans="1:14" ht="14.25" customHeight="1" x14ac:dyDescent="0.2">
      <c r="A592" s="523">
        <v>43211</v>
      </c>
      <c r="B592" s="1038" t="s">
        <v>3508</v>
      </c>
      <c r="C592" s="1039" t="s">
        <v>3632</v>
      </c>
      <c r="D592" s="114">
        <v>1.5046296296296295E-2</v>
      </c>
      <c r="E592" s="80" t="s">
        <v>9307</v>
      </c>
      <c r="F592" s="69" t="s">
        <v>9651</v>
      </c>
      <c r="G592" s="82">
        <v>0.70920000000000005</v>
      </c>
      <c r="H592" s="334">
        <f t="shared" si="17"/>
        <v>-4.3981481481481302E-4</v>
      </c>
      <c r="I592" s="80"/>
    </row>
    <row r="593" spans="1:10" ht="14.25" customHeight="1" x14ac:dyDescent="0.2">
      <c r="A593" s="523">
        <v>43204</v>
      </c>
      <c r="B593" s="80" t="s">
        <v>3508</v>
      </c>
      <c r="C593" s="334" t="s">
        <v>3632</v>
      </c>
      <c r="D593" s="1">
        <v>1.4606481481481482E-2</v>
      </c>
      <c r="E593" s="80" t="s">
        <v>5885</v>
      </c>
      <c r="F593" s="69" t="s">
        <v>9602</v>
      </c>
      <c r="G593" s="82">
        <v>0.73060000000000003</v>
      </c>
      <c r="H593" s="334">
        <f t="shared" si="17"/>
        <v>3.0555555555555527E-3</v>
      </c>
      <c r="I593" s="80"/>
    </row>
    <row r="594" spans="1:10" ht="14.25" customHeight="1" x14ac:dyDescent="0.2">
      <c r="A594" s="523">
        <v>43190</v>
      </c>
      <c r="B594" s="1029" t="s">
        <v>3508</v>
      </c>
      <c r="C594" s="1030" t="s">
        <v>3632</v>
      </c>
      <c r="D594" s="1">
        <v>1.7662037037037035E-2</v>
      </c>
      <c r="E594" s="80" t="s">
        <v>8248</v>
      </c>
      <c r="F594" s="69" t="s">
        <v>9533</v>
      </c>
      <c r="G594" s="82">
        <v>0.60419999999999996</v>
      </c>
      <c r="H594" s="334">
        <f t="shared" si="17"/>
        <v>-2.6967592592592564E-3</v>
      </c>
      <c r="I594" s="80"/>
    </row>
    <row r="595" spans="1:10" ht="14.25" customHeight="1" x14ac:dyDescent="0.2">
      <c r="A595" s="523">
        <v>43183</v>
      </c>
      <c r="B595" s="1019" t="s">
        <v>3508</v>
      </c>
      <c r="C595" s="1020" t="s">
        <v>3632</v>
      </c>
      <c r="D595" s="1">
        <v>1.4965277777777779E-2</v>
      </c>
      <c r="E595" s="80" t="s">
        <v>5885</v>
      </c>
      <c r="F595" s="69" t="s">
        <v>7689</v>
      </c>
      <c r="G595" s="82">
        <v>0.71309999999999996</v>
      </c>
      <c r="H595" s="334">
        <f t="shared" ref="H595:H630" si="18">D596-D595</f>
        <v>1.2962962962962954E-3</v>
      </c>
      <c r="I595" s="80"/>
    </row>
    <row r="596" spans="1:10" ht="14.25" customHeight="1" x14ac:dyDescent="0.2">
      <c r="A596" s="523">
        <v>43176</v>
      </c>
      <c r="B596" s="532" t="s">
        <v>3508</v>
      </c>
      <c r="C596" s="843" t="s">
        <v>3632</v>
      </c>
      <c r="D596" s="1">
        <v>1.6261574074074074E-2</v>
      </c>
      <c r="E596" s="80" t="s">
        <v>5544</v>
      </c>
      <c r="F596" s="69" t="s">
        <v>9441</v>
      </c>
      <c r="G596" s="82">
        <v>0.65620000000000001</v>
      </c>
      <c r="H596" s="334">
        <f t="shared" si="18"/>
        <v>0</v>
      </c>
      <c r="I596" s="80"/>
    </row>
    <row r="597" spans="1:10" ht="14.25" customHeight="1" x14ac:dyDescent="0.2">
      <c r="A597" s="523">
        <v>43155</v>
      </c>
      <c r="B597" s="940" t="s">
        <v>3508</v>
      </c>
      <c r="C597" s="941" t="s">
        <v>3632</v>
      </c>
      <c r="D597" s="1">
        <v>1.6261574074074074E-2</v>
      </c>
      <c r="E597" s="80" t="s">
        <v>9338</v>
      </c>
      <c r="F597" s="69" t="s">
        <v>9342</v>
      </c>
      <c r="G597" s="82">
        <v>0.65620000000000001</v>
      </c>
      <c r="H597" s="334">
        <f t="shared" si="18"/>
        <v>-1.2499999999999994E-3</v>
      </c>
      <c r="I597" s="80"/>
    </row>
    <row r="598" spans="1:10" ht="14.25" customHeight="1" x14ac:dyDescent="0.2">
      <c r="A598" s="523">
        <v>43148</v>
      </c>
      <c r="B598" s="568" t="s">
        <v>3508</v>
      </c>
      <c r="C598" s="861" t="s">
        <v>3632</v>
      </c>
      <c r="D598" s="1">
        <v>1.5011574074074075E-2</v>
      </c>
      <c r="E598" s="80" t="s">
        <v>5885</v>
      </c>
      <c r="F598" s="69" t="s">
        <v>9283</v>
      </c>
      <c r="G598" s="82">
        <v>0.71089999999999998</v>
      </c>
      <c r="H598" s="334">
        <f t="shared" si="18"/>
        <v>1.539351851851849E-3</v>
      </c>
      <c r="I598" s="80"/>
    </row>
    <row r="599" spans="1:10" ht="14.25" customHeight="1" x14ac:dyDescent="0.2">
      <c r="A599" s="523">
        <v>43141</v>
      </c>
      <c r="B599" s="987" t="s">
        <v>3508</v>
      </c>
      <c r="C599" s="988" t="s">
        <v>3632</v>
      </c>
      <c r="D599" s="1">
        <v>1.6550925925925924E-2</v>
      </c>
      <c r="E599" s="80" t="s">
        <v>8383</v>
      </c>
      <c r="F599" s="69" t="s">
        <v>8394</v>
      </c>
      <c r="G599" s="82">
        <v>0.64480000000000004</v>
      </c>
      <c r="H599" s="334">
        <f t="shared" si="18"/>
        <v>-4.745370370370372E-4</v>
      </c>
      <c r="I599" s="80" t="s">
        <v>9239</v>
      </c>
    </row>
    <row r="600" spans="1:10" ht="14.25" customHeight="1" x14ac:dyDescent="0.2">
      <c r="A600" s="523">
        <v>43134</v>
      </c>
      <c r="B600" s="985" t="s">
        <v>3508</v>
      </c>
      <c r="C600" s="986" t="s">
        <v>3632</v>
      </c>
      <c r="D600" s="1">
        <v>1.6076388888888887E-2</v>
      </c>
      <c r="E600" s="80" t="s">
        <v>5885</v>
      </c>
      <c r="F600" s="69" t="s">
        <v>6144</v>
      </c>
      <c r="G600" s="82">
        <v>0.66379999999999995</v>
      </c>
      <c r="H600" s="334">
        <f t="shared" si="18"/>
        <v>9.2592592592592726E-4</v>
      </c>
      <c r="I600" s="80"/>
    </row>
    <row r="601" spans="1:10" ht="14.25" customHeight="1" x14ac:dyDescent="0.2">
      <c r="A601" s="523">
        <v>43127</v>
      </c>
      <c r="B601" s="862" t="s">
        <v>3508</v>
      </c>
      <c r="C601" s="863" t="s">
        <v>3632</v>
      </c>
      <c r="D601" s="1">
        <v>1.7002314814814814E-2</v>
      </c>
      <c r="E601" s="80" t="s">
        <v>5885</v>
      </c>
      <c r="F601" s="69" t="s">
        <v>9166</v>
      </c>
      <c r="G601" s="82">
        <v>0.62760000000000005</v>
      </c>
      <c r="H601" s="334">
        <f t="shared" si="18"/>
        <v>1.7361111111111049E-4</v>
      </c>
      <c r="I601" s="80"/>
    </row>
    <row r="602" spans="1:10" ht="14.25" customHeight="1" x14ac:dyDescent="0.2">
      <c r="A602" s="523">
        <v>43113</v>
      </c>
      <c r="B602" s="972" t="s">
        <v>3508</v>
      </c>
      <c r="C602" s="973" t="s">
        <v>3632</v>
      </c>
      <c r="D602" s="1">
        <v>1.7175925925925924E-2</v>
      </c>
      <c r="E602" s="80" t="s">
        <v>5885</v>
      </c>
      <c r="F602" s="69" t="s">
        <v>9109</v>
      </c>
      <c r="G602" s="82">
        <v>0.62129999999999996</v>
      </c>
      <c r="H602" s="334">
        <f t="shared" si="18"/>
        <v>-1.2615740740740712E-3</v>
      </c>
      <c r="I602" s="80"/>
    </row>
    <row r="603" spans="1:10" ht="14.25" customHeight="1" x14ac:dyDescent="0.2">
      <c r="A603" s="523">
        <v>43106</v>
      </c>
      <c r="B603" s="869" t="s">
        <v>3508</v>
      </c>
      <c r="C603" s="903" t="s">
        <v>3632</v>
      </c>
      <c r="D603" s="1">
        <v>1.5914351851851853E-2</v>
      </c>
      <c r="E603" s="80" t="s">
        <v>5885</v>
      </c>
      <c r="F603" s="69" t="s">
        <v>7961</v>
      </c>
      <c r="G603" s="82">
        <v>0.67049999999999998</v>
      </c>
      <c r="H603" s="334">
        <f t="shared" si="18"/>
        <v>3.1365740740740729E-3</v>
      </c>
      <c r="I603" s="80"/>
    </row>
    <row r="604" spans="1:10" ht="12.75" customHeight="1" x14ac:dyDescent="0.2">
      <c r="A604" s="523">
        <v>43101</v>
      </c>
      <c r="B604" s="556" t="s">
        <v>3508</v>
      </c>
      <c r="C604" s="950" t="s">
        <v>3632</v>
      </c>
      <c r="D604" s="1">
        <v>1.9050925925925926E-2</v>
      </c>
      <c r="E604" s="80" t="s">
        <v>5885</v>
      </c>
      <c r="F604" s="69" t="s">
        <v>9028</v>
      </c>
      <c r="G604" s="82">
        <v>0.56010000000000004</v>
      </c>
      <c r="H604" s="334">
        <f t="shared" si="18"/>
        <v>-2.7777777777777783E-3</v>
      </c>
      <c r="I604" s="80"/>
    </row>
    <row r="605" spans="1:10" ht="12.75" customHeight="1" x14ac:dyDescent="0.2">
      <c r="A605" s="523">
        <v>43101</v>
      </c>
      <c r="B605" s="556" t="s">
        <v>3508</v>
      </c>
      <c r="C605" s="950" t="s">
        <v>3632</v>
      </c>
      <c r="D605" s="1">
        <v>1.6273148148148148E-2</v>
      </c>
      <c r="E605" s="80" t="s">
        <v>129</v>
      </c>
      <c r="F605" s="69" t="s">
        <v>9030</v>
      </c>
      <c r="G605" s="82">
        <v>0.6421</v>
      </c>
      <c r="H605" s="334">
        <f t="shared" si="18"/>
        <v>-5.9027777777777637E-4</v>
      </c>
      <c r="I605" s="80"/>
    </row>
    <row r="606" spans="1:10" ht="14.25" customHeight="1" x14ac:dyDescent="0.2">
      <c r="A606" s="523">
        <v>43358</v>
      </c>
      <c r="B606" s="1128" t="s">
        <v>3999</v>
      </c>
      <c r="C606" s="1128" t="s">
        <v>3632</v>
      </c>
      <c r="D606" s="334">
        <v>1.5682870370370371E-2</v>
      </c>
      <c r="E606" t="s">
        <v>5885</v>
      </c>
      <c r="F606" s="523" t="s">
        <v>10634</v>
      </c>
      <c r="G606" s="82">
        <v>0.68630000000000002</v>
      </c>
      <c r="H606" s="334">
        <f t="shared" si="18"/>
        <v>1.6203703703703692E-4</v>
      </c>
      <c r="J606" s="82"/>
    </row>
    <row r="607" spans="1:10" ht="14.25" customHeight="1" x14ac:dyDescent="0.2">
      <c r="A607" s="34">
        <v>43274</v>
      </c>
      <c r="B607" s="1071" t="s">
        <v>3999</v>
      </c>
      <c r="C607" s="1071" t="s">
        <v>3632</v>
      </c>
      <c r="D607" s="1">
        <v>1.5844907407407408E-2</v>
      </c>
      <c r="E607" t="s">
        <v>8248</v>
      </c>
      <c r="F607" s="80" t="s">
        <v>1236</v>
      </c>
      <c r="G607" s="82">
        <v>0.67349999999999999</v>
      </c>
      <c r="H607" s="334">
        <f t="shared" si="18"/>
        <v>-2.7777777777777783E-4</v>
      </c>
    </row>
    <row r="608" spans="1:10" ht="14.25" customHeight="1" x14ac:dyDescent="0.2">
      <c r="A608" s="523">
        <v>43120</v>
      </c>
      <c r="B608" s="601" t="s">
        <v>3999</v>
      </c>
      <c r="C608" s="958" t="s">
        <v>3632</v>
      </c>
      <c r="D608" s="1">
        <v>1.556712962962963E-2</v>
      </c>
      <c r="E608" s="80" t="s">
        <v>1401</v>
      </c>
      <c r="F608" s="69" t="s">
        <v>9088</v>
      </c>
      <c r="G608" s="82">
        <v>0.6855</v>
      </c>
      <c r="H608" s="334">
        <f t="shared" si="18"/>
        <v>5.0347222222222234E-3</v>
      </c>
      <c r="I608" s="80" t="s">
        <v>9097</v>
      </c>
    </row>
    <row r="609" spans="1:9" ht="14.25" customHeight="1" x14ac:dyDescent="0.2">
      <c r="A609" s="523">
        <v>43428</v>
      </c>
      <c r="B609" s="1038" t="s">
        <v>4259</v>
      </c>
      <c r="C609" s="1038" t="s">
        <v>3632</v>
      </c>
      <c r="D609" s="1">
        <v>2.0601851851851854E-2</v>
      </c>
      <c r="E609" s="80" t="s">
        <v>10983</v>
      </c>
      <c r="F609" s="80" t="s">
        <v>11129</v>
      </c>
      <c r="G609" s="82">
        <v>0.61009999999999998</v>
      </c>
      <c r="H609" s="334">
        <f t="shared" si="18"/>
        <v>7.6388888888888687E-4</v>
      </c>
    </row>
    <row r="610" spans="1:9" ht="14.25" customHeight="1" x14ac:dyDescent="0.2">
      <c r="A610" s="523">
        <v>43407</v>
      </c>
      <c r="B610" s="901" t="s">
        <v>4259</v>
      </c>
      <c r="C610" s="901" t="s">
        <v>3632</v>
      </c>
      <c r="D610" s="1">
        <v>2.1365740740740741E-2</v>
      </c>
      <c r="E610" s="80" t="s">
        <v>8248</v>
      </c>
      <c r="F610" s="80" t="s">
        <v>2629</v>
      </c>
      <c r="G610" s="82">
        <v>0.58830000000000005</v>
      </c>
      <c r="H610" s="334">
        <f t="shared" si="18"/>
        <v>-1.6435185185185198E-3</v>
      </c>
    </row>
    <row r="611" spans="1:9" ht="14.25" customHeight="1" x14ac:dyDescent="0.2">
      <c r="A611" s="523">
        <v>43400</v>
      </c>
      <c r="B611" s="556" t="s">
        <v>4259</v>
      </c>
      <c r="C611" s="556" t="s">
        <v>3632</v>
      </c>
      <c r="D611" s="1">
        <v>1.9722222222222221E-2</v>
      </c>
      <c r="E611" s="80" t="s">
        <v>10891</v>
      </c>
      <c r="F611" s="80" t="s">
        <v>10898</v>
      </c>
      <c r="G611" s="82">
        <v>0.63729999999999998</v>
      </c>
      <c r="H611" s="334">
        <f t="shared" si="18"/>
        <v>2.6504629629629656E-3</v>
      </c>
    </row>
    <row r="612" spans="1:9" ht="14.25" customHeight="1" x14ac:dyDescent="0.2">
      <c r="A612" s="523">
        <v>43386</v>
      </c>
      <c r="B612" s="80" t="s">
        <v>4259</v>
      </c>
      <c r="C612" s="80" t="s">
        <v>3632</v>
      </c>
      <c r="D612" s="1">
        <v>2.2372685185185186E-2</v>
      </c>
      <c r="E612" s="80" t="s">
        <v>4451</v>
      </c>
      <c r="F612" s="80" t="s">
        <v>8394</v>
      </c>
      <c r="G612" s="82">
        <v>0.56179999999999997</v>
      </c>
      <c r="H612" s="334">
        <f t="shared" si="18"/>
        <v>-4.6296296296296363E-4</v>
      </c>
    </row>
    <row r="613" spans="1:9" ht="14.25" customHeight="1" x14ac:dyDescent="0.2">
      <c r="A613" s="34">
        <v>43379</v>
      </c>
      <c r="B613" s="869" t="s">
        <v>4259</v>
      </c>
      <c r="C613" s="869" t="s">
        <v>3632</v>
      </c>
      <c r="D613" s="1">
        <v>2.1909722222222223E-2</v>
      </c>
      <c r="E613" s="80" t="s">
        <v>10775</v>
      </c>
      <c r="F613" s="80" t="s">
        <v>10777</v>
      </c>
      <c r="G613" s="82">
        <v>0.57369999999999999</v>
      </c>
      <c r="H613" s="334">
        <f t="shared" si="18"/>
        <v>-2.465277777777778E-3</v>
      </c>
      <c r="I613" t="s">
        <v>10780</v>
      </c>
    </row>
    <row r="614" spans="1:9" ht="14.25" customHeight="1" x14ac:dyDescent="0.2">
      <c r="A614" s="34">
        <v>43372</v>
      </c>
      <c r="B614" s="532" t="s">
        <v>4259</v>
      </c>
      <c r="C614" s="532" t="s">
        <v>3632</v>
      </c>
      <c r="D614" s="1">
        <v>1.9444444444444445E-2</v>
      </c>
      <c r="E614" s="80" t="s">
        <v>8407</v>
      </c>
      <c r="F614" s="80" t="s">
        <v>10736</v>
      </c>
      <c r="G614" s="82">
        <v>0.64639999999999997</v>
      </c>
      <c r="H614" s="334">
        <f t="shared" si="18"/>
        <v>1.8518518518518406E-4</v>
      </c>
    </row>
    <row r="615" spans="1:9" ht="14.25" customHeight="1" x14ac:dyDescent="0.2">
      <c r="A615" s="523">
        <v>43351</v>
      </c>
      <c r="B615" s="532" t="s">
        <v>4259</v>
      </c>
      <c r="C615" s="532" t="s">
        <v>3632</v>
      </c>
      <c r="D615" s="1">
        <v>1.9629629629629629E-2</v>
      </c>
      <c r="E615" s="80" t="s">
        <v>3072</v>
      </c>
      <c r="F615" s="80" t="s">
        <v>10604</v>
      </c>
      <c r="G615" s="82">
        <v>0.64029999999999998</v>
      </c>
      <c r="H615" s="334">
        <f t="shared" si="18"/>
        <v>-1.041666666666656E-4</v>
      </c>
    </row>
    <row r="616" spans="1:9" ht="14.25" customHeight="1" x14ac:dyDescent="0.2">
      <c r="A616" s="523">
        <v>43344</v>
      </c>
      <c r="B616" s="552" t="s">
        <v>4259</v>
      </c>
      <c r="C616" s="552" t="s">
        <v>3632</v>
      </c>
      <c r="D616" s="1">
        <v>1.9525462962962963E-2</v>
      </c>
      <c r="E616" t="s">
        <v>10546</v>
      </c>
      <c r="F616" s="80" t="s">
        <v>10561</v>
      </c>
      <c r="G616" s="82">
        <v>0.73580000000000001</v>
      </c>
      <c r="H616" s="334">
        <f t="shared" si="18"/>
        <v>2.7314814814814771E-3</v>
      </c>
    </row>
    <row r="617" spans="1:9" ht="14.25" customHeight="1" x14ac:dyDescent="0.2">
      <c r="A617" s="523">
        <v>43337</v>
      </c>
      <c r="B617" s="1044" t="s">
        <v>4259</v>
      </c>
      <c r="C617" s="1044" t="s">
        <v>3632</v>
      </c>
      <c r="D617" s="1">
        <v>2.225694444444444E-2</v>
      </c>
      <c r="E617" s="80" t="s">
        <v>10495</v>
      </c>
      <c r="F617" s="80" t="s">
        <v>10497</v>
      </c>
      <c r="G617" s="82">
        <v>0.56469999999999998</v>
      </c>
      <c r="H617" s="334">
        <f t="shared" si="18"/>
        <v>-1.0879629629629572E-3</v>
      </c>
    </row>
    <row r="618" spans="1:9" ht="14.25" customHeight="1" x14ac:dyDescent="0.2">
      <c r="A618" s="523">
        <v>43316</v>
      </c>
      <c r="B618" t="s">
        <v>4259</v>
      </c>
      <c r="C618" s="334" t="s">
        <v>3632</v>
      </c>
      <c r="D618" s="136">
        <v>2.1168981481481483E-2</v>
      </c>
      <c r="E618" t="s">
        <v>527</v>
      </c>
      <c r="F618" t="s">
        <v>10397</v>
      </c>
      <c r="G618" s="82">
        <v>0.59379999999999999</v>
      </c>
      <c r="H618" s="334">
        <f t="shared" si="18"/>
        <v>2.4305555555555192E-4</v>
      </c>
    </row>
    <row r="619" spans="1:9" ht="14.25" customHeight="1" x14ac:dyDescent="0.2">
      <c r="A619" s="34">
        <v>43274</v>
      </c>
      <c r="B619" s="1072" t="s">
        <v>4259</v>
      </c>
      <c r="C619" s="1072" t="s">
        <v>3632</v>
      </c>
      <c r="D619" s="1">
        <v>2.1412037037037035E-2</v>
      </c>
      <c r="E619" t="s">
        <v>8248</v>
      </c>
      <c r="F619" s="80" t="s">
        <v>2629</v>
      </c>
      <c r="G619" s="82">
        <v>0.58699999999999997</v>
      </c>
      <c r="H619" s="334">
        <f t="shared" si="18"/>
        <v>-1.1921296296296263E-3</v>
      </c>
    </row>
    <row r="620" spans="1:9" ht="14.25" customHeight="1" x14ac:dyDescent="0.2">
      <c r="A620" s="523">
        <v>43211</v>
      </c>
      <c r="B620" s="1038" t="s">
        <v>4259</v>
      </c>
      <c r="C620" s="1039" t="s">
        <v>3632</v>
      </c>
      <c r="D620" s="1">
        <v>2.0219907407407409E-2</v>
      </c>
      <c r="E620" s="80" t="s">
        <v>9307</v>
      </c>
      <c r="F620" s="69" t="s">
        <v>9570</v>
      </c>
      <c r="G620" s="82">
        <v>0.62160000000000004</v>
      </c>
      <c r="H620" s="334">
        <f t="shared" si="18"/>
        <v>1.6087962962962922E-3</v>
      </c>
      <c r="I620" s="80"/>
    </row>
    <row r="621" spans="1:9" ht="14.25" customHeight="1" x14ac:dyDescent="0.2">
      <c r="A621" s="523">
        <v>43463</v>
      </c>
      <c r="B621" s="862" t="s">
        <v>2479</v>
      </c>
      <c r="C621" s="862" t="s">
        <v>11025</v>
      </c>
      <c r="D621" s="1">
        <v>2.1828703703703701E-2</v>
      </c>
      <c r="E621" s="80" t="s">
        <v>5885</v>
      </c>
      <c r="F621" s="80" t="s">
        <v>11413</v>
      </c>
      <c r="G621" s="82">
        <v>0.47560000000000002</v>
      </c>
      <c r="H621" s="334">
        <f t="shared" si="18"/>
        <v>8.4837962962962948E-3</v>
      </c>
    </row>
    <row r="622" spans="1:9" ht="14.25" customHeight="1" x14ac:dyDescent="0.2">
      <c r="A622" s="523">
        <v>43449</v>
      </c>
      <c r="B622" s="1029" t="s">
        <v>2479</v>
      </c>
      <c r="C622" s="1029" t="s">
        <v>11025</v>
      </c>
      <c r="D622" s="1">
        <v>3.0312499999999996E-2</v>
      </c>
      <c r="E622" s="80" t="s">
        <v>10983</v>
      </c>
      <c r="F622" s="80" t="s">
        <v>11162</v>
      </c>
      <c r="G622" s="82">
        <v>0.47189999999999999</v>
      </c>
      <c r="H622" s="334">
        <f t="shared" si="18"/>
        <v>2.8240740740740795E-3</v>
      </c>
    </row>
    <row r="623" spans="1:9" ht="14.25" customHeight="1" x14ac:dyDescent="0.2">
      <c r="A623" s="523">
        <v>43463</v>
      </c>
      <c r="B623" s="862" t="s">
        <v>3535</v>
      </c>
      <c r="C623" s="862" t="s">
        <v>11025</v>
      </c>
      <c r="D623" s="1">
        <v>3.3136574074074075E-2</v>
      </c>
      <c r="E623" s="80" t="s">
        <v>5885</v>
      </c>
      <c r="F623" s="80" t="s">
        <v>11415</v>
      </c>
      <c r="G623" s="82">
        <v>0.28189999999999998</v>
      </c>
      <c r="H623" s="334">
        <f t="shared" si="18"/>
        <v>1.6666666666666635E-3</v>
      </c>
    </row>
    <row r="624" spans="1:9" ht="14.25" customHeight="1" x14ac:dyDescent="0.2">
      <c r="A624" s="523">
        <v>43456</v>
      </c>
      <c r="B624" s="556" t="s">
        <v>3535</v>
      </c>
      <c r="C624" s="556" t="s">
        <v>11025</v>
      </c>
      <c r="D624" s="1">
        <v>3.4803240740740739E-2</v>
      </c>
      <c r="E624" s="80" t="s">
        <v>2147</v>
      </c>
      <c r="F624" s="80" t="s">
        <v>11357</v>
      </c>
      <c r="G624" s="82">
        <v>0.26840000000000003</v>
      </c>
      <c r="H624" s="334">
        <f t="shared" si="18"/>
        <v>-1.280092592592592E-2</v>
      </c>
    </row>
    <row r="625" spans="1:9" ht="14.25" customHeight="1" x14ac:dyDescent="0.2">
      <c r="A625" s="523">
        <v>43449</v>
      </c>
      <c r="B625" s="1029" t="s">
        <v>3535</v>
      </c>
      <c r="C625" s="1029" t="s">
        <v>11025</v>
      </c>
      <c r="D625" s="1">
        <v>2.2002314814814818E-2</v>
      </c>
      <c r="E625" s="80" t="s">
        <v>10983</v>
      </c>
      <c r="F625" s="80" t="s">
        <v>11279</v>
      </c>
      <c r="G625" s="82">
        <v>0.30809999999999998</v>
      </c>
      <c r="H625" s="334">
        <f t="shared" si="18"/>
        <v>-6.9675925925925981E-3</v>
      </c>
    </row>
    <row r="626" spans="1:9" ht="14.25" customHeight="1" x14ac:dyDescent="0.2">
      <c r="A626" s="523">
        <v>43442</v>
      </c>
      <c r="B626" s="972" t="s">
        <v>3535</v>
      </c>
      <c r="C626" s="972" t="s">
        <v>11025</v>
      </c>
      <c r="D626" s="1">
        <v>1.503472222222222E-2</v>
      </c>
      <c r="E626" s="80" t="s">
        <v>9307</v>
      </c>
      <c r="F626" s="80" t="s">
        <v>11252</v>
      </c>
      <c r="G626" s="82">
        <v>0.62119999999999997</v>
      </c>
      <c r="H626" s="334">
        <f t="shared" si="18"/>
        <v>1.4120370370370415E-3</v>
      </c>
      <c r="I626" t="s">
        <v>10901</v>
      </c>
    </row>
    <row r="627" spans="1:9" ht="14.25" customHeight="1" x14ac:dyDescent="0.2">
      <c r="A627" s="523">
        <v>43428</v>
      </c>
      <c r="B627" s="1038" t="s">
        <v>3535</v>
      </c>
      <c r="C627" s="1038" t="s">
        <v>11025</v>
      </c>
      <c r="D627" s="1">
        <v>1.6446759259259262E-2</v>
      </c>
      <c r="E627" s="80" t="s">
        <v>5883</v>
      </c>
      <c r="F627" s="80" t="s">
        <v>11111</v>
      </c>
      <c r="G627" s="82">
        <v>0.56789999999999996</v>
      </c>
      <c r="H627" s="334">
        <f t="shared" si="18"/>
        <v>1.425925925925926E-2</v>
      </c>
    </row>
    <row r="628" spans="1:9" ht="14.25" customHeight="1" x14ac:dyDescent="0.2">
      <c r="A628" s="523">
        <v>43421</v>
      </c>
      <c r="B628" s="906" t="s">
        <v>3535</v>
      </c>
      <c r="C628" s="906" t="s">
        <v>11025</v>
      </c>
      <c r="D628" s="1">
        <v>3.0706018518518521E-2</v>
      </c>
      <c r="E628" s="80" t="s">
        <v>9307</v>
      </c>
      <c r="F628" s="80" t="s">
        <v>11028</v>
      </c>
      <c r="G628" s="82">
        <v>0.30420000000000003</v>
      </c>
      <c r="H628" s="334">
        <f t="shared" si="18"/>
        <v>-8.4375000000000006E-3</v>
      </c>
      <c r="I628" t="s">
        <v>11064</v>
      </c>
    </row>
    <row r="629" spans="1:9" ht="14.25" customHeight="1" x14ac:dyDescent="0.2">
      <c r="A629" s="523">
        <v>43456</v>
      </c>
      <c r="B629" s="556" t="s">
        <v>2479</v>
      </c>
      <c r="C629" s="556" t="s">
        <v>11355</v>
      </c>
      <c r="D629" s="1">
        <v>2.2268518518518521E-2</v>
      </c>
      <c r="E629" s="80" t="s">
        <v>2147</v>
      </c>
      <c r="F629" s="80" t="s">
        <v>11356</v>
      </c>
      <c r="G629" s="82">
        <v>0.4662</v>
      </c>
      <c r="H629" s="334">
        <f t="shared" si="18"/>
        <v>-6.0185185185185237E-3</v>
      </c>
    </row>
    <row r="630" spans="1:9" ht="14.25" customHeight="1" x14ac:dyDescent="0.2">
      <c r="A630" s="523">
        <v>43463</v>
      </c>
      <c r="B630" s="862" t="s">
        <v>4576</v>
      </c>
      <c r="C630" s="862" t="s">
        <v>4577</v>
      </c>
      <c r="D630" s="1">
        <v>1.6249999999999997E-2</v>
      </c>
      <c r="E630" s="80" t="s">
        <v>129</v>
      </c>
      <c r="F630" s="80" t="s">
        <v>11417</v>
      </c>
      <c r="G630" s="82">
        <v>0.61539999999999995</v>
      </c>
      <c r="H630" s="334">
        <f t="shared" si="18"/>
        <v>1.0416666666666907E-4</v>
      </c>
    </row>
    <row r="631" spans="1:9" ht="14.25" customHeight="1" x14ac:dyDescent="0.2">
      <c r="A631" s="523">
        <v>43459</v>
      </c>
      <c r="B631" s="80" t="s">
        <v>4576</v>
      </c>
      <c r="C631" s="80" t="s">
        <v>4577</v>
      </c>
      <c r="D631" s="1">
        <v>1.6354166666666666E-2</v>
      </c>
      <c r="E631" s="80" t="s">
        <v>129</v>
      </c>
      <c r="F631" s="80" t="s">
        <v>4068</v>
      </c>
      <c r="G631" s="82">
        <v>0.61150000000000004</v>
      </c>
      <c r="H631" s="80"/>
    </row>
    <row r="632" spans="1:9" ht="14.25" customHeight="1" x14ac:dyDescent="0.2">
      <c r="A632" s="523">
        <v>43456</v>
      </c>
      <c r="B632" s="556" t="s">
        <v>4576</v>
      </c>
      <c r="C632" s="556" t="s">
        <v>4577</v>
      </c>
      <c r="D632" s="1">
        <v>1.6631944444444446E-2</v>
      </c>
      <c r="E632" s="80" t="s">
        <v>5883</v>
      </c>
      <c r="F632" s="80" t="s">
        <v>11332</v>
      </c>
      <c r="G632" s="82">
        <v>0.60129999999999995</v>
      </c>
      <c r="H632" s="334">
        <f t="shared" ref="H632:H663" si="19">D633-D632</f>
        <v>2.5347222222222229E-3</v>
      </c>
    </row>
    <row r="633" spans="1:9" ht="14.25" customHeight="1" x14ac:dyDescent="0.2">
      <c r="A633" s="523">
        <v>43449</v>
      </c>
      <c r="B633" s="1029" t="s">
        <v>4576</v>
      </c>
      <c r="C633" s="1029" t="s">
        <v>4577</v>
      </c>
      <c r="D633" s="1">
        <v>1.9166666666666669E-2</v>
      </c>
      <c r="E633" s="80" t="s">
        <v>5883</v>
      </c>
      <c r="F633" s="80" t="s">
        <v>11305</v>
      </c>
      <c r="G633" s="82">
        <v>0.52170000000000005</v>
      </c>
      <c r="H633" s="334">
        <f t="shared" si="19"/>
        <v>-1.3078703703703724E-3</v>
      </c>
    </row>
    <row r="634" spans="1:9" ht="14.25" customHeight="1" x14ac:dyDescent="0.2">
      <c r="A634" s="523">
        <v>43442</v>
      </c>
      <c r="B634" s="972" t="s">
        <v>4576</v>
      </c>
      <c r="C634" s="972" t="s">
        <v>4577</v>
      </c>
      <c r="D634" s="1">
        <v>1.7858796296296296E-2</v>
      </c>
      <c r="E634" s="80" t="s">
        <v>10983</v>
      </c>
      <c r="F634" s="80" t="s">
        <v>11162</v>
      </c>
      <c r="G634" s="82">
        <v>0.55989999999999995</v>
      </c>
      <c r="H634" s="334">
        <f t="shared" si="19"/>
        <v>9.0277777777777665E-4</v>
      </c>
    </row>
    <row r="635" spans="1:9" ht="14.25" customHeight="1" x14ac:dyDescent="0.2">
      <c r="A635" s="523">
        <v>43435</v>
      </c>
      <c r="B635" s="1164" t="s">
        <v>4576</v>
      </c>
      <c r="C635" s="1164" t="s">
        <v>4577</v>
      </c>
      <c r="D635" s="1">
        <v>1.8761574074074073E-2</v>
      </c>
      <c r="E635" s="80" t="s">
        <v>5883</v>
      </c>
      <c r="F635" s="80" t="s">
        <v>1383</v>
      </c>
      <c r="G635" s="82">
        <v>0.53300000000000003</v>
      </c>
      <c r="H635" s="334">
        <f t="shared" si="19"/>
        <v>-1.8865740740740718E-3</v>
      </c>
    </row>
    <row r="636" spans="1:9" ht="14.25" customHeight="1" x14ac:dyDescent="0.2">
      <c r="A636" s="523">
        <v>43414</v>
      </c>
      <c r="B636" s="862" t="s">
        <v>4576</v>
      </c>
      <c r="C636" s="862" t="s">
        <v>4577</v>
      </c>
      <c r="D636" s="1">
        <v>1.6875000000000001E-2</v>
      </c>
      <c r="E636" s="80" t="s">
        <v>5883</v>
      </c>
      <c r="F636" s="80" t="s">
        <v>3792</v>
      </c>
      <c r="G636" s="82">
        <v>0.59260000000000002</v>
      </c>
      <c r="H636" s="334">
        <f t="shared" si="19"/>
        <v>-8.6805555555555594E-4</v>
      </c>
    </row>
    <row r="637" spans="1:9" ht="14.25" customHeight="1" x14ac:dyDescent="0.2">
      <c r="A637" s="523">
        <v>43407</v>
      </c>
      <c r="B637" s="901" t="s">
        <v>4576</v>
      </c>
      <c r="C637" s="901" t="s">
        <v>4577</v>
      </c>
      <c r="D637" s="1">
        <v>1.6006944444444445E-2</v>
      </c>
      <c r="E637" s="80" t="s">
        <v>5883</v>
      </c>
      <c r="F637" s="80" t="s">
        <v>10964</v>
      </c>
      <c r="G637" s="82">
        <v>0.62470000000000003</v>
      </c>
      <c r="H637" s="334">
        <f t="shared" si="19"/>
        <v>1.6203703703703692E-4</v>
      </c>
    </row>
    <row r="638" spans="1:9" ht="14.25" customHeight="1" x14ac:dyDescent="0.2">
      <c r="A638" s="523">
        <v>43400</v>
      </c>
      <c r="B638" s="556" t="s">
        <v>4576</v>
      </c>
      <c r="C638" s="556" t="s">
        <v>4577</v>
      </c>
      <c r="D638" s="1">
        <v>1.6168981481481482E-2</v>
      </c>
      <c r="E638" s="80" t="s">
        <v>5883</v>
      </c>
      <c r="F638" s="80" t="s">
        <v>10927</v>
      </c>
      <c r="G638" s="82">
        <v>0.61850000000000005</v>
      </c>
      <c r="H638" s="334">
        <f t="shared" si="19"/>
        <v>-2.5462962962962896E-4</v>
      </c>
    </row>
    <row r="639" spans="1:9" ht="14.25" customHeight="1" x14ac:dyDescent="0.2">
      <c r="A639" s="523">
        <v>43393</v>
      </c>
      <c r="B639" s="862" t="s">
        <v>4576</v>
      </c>
      <c r="C639" s="862" t="s">
        <v>4577</v>
      </c>
      <c r="D639" s="1">
        <v>1.5914351851851853E-2</v>
      </c>
      <c r="E639" s="80" t="s">
        <v>129</v>
      </c>
      <c r="F639" s="80" t="s">
        <v>10842</v>
      </c>
      <c r="G639" s="82">
        <v>0.62839999999999996</v>
      </c>
      <c r="H639" s="334">
        <f t="shared" si="19"/>
        <v>7.1759259259259259E-4</v>
      </c>
    </row>
    <row r="640" spans="1:9" ht="14.25" customHeight="1" x14ac:dyDescent="0.2">
      <c r="A640" s="523">
        <v>43386</v>
      </c>
      <c r="B640" s="532" t="s">
        <v>4576</v>
      </c>
      <c r="C640" s="532" t="s">
        <v>4577</v>
      </c>
      <c r="D640" s="1">
        <v>1.6631944444444446E-2</v>
      </c>
      <c r="E640" s="80" t="s">
        <v>5883</v>
      </c>
      <c r="F640" s="80" t="s">
        <v>6010</v>
      </c>
      <c r="G640" s="82">
        <v>0.60129999999999995</v>
      </c>
      <c r="H640" s="334">
        <f t="shared" si="19"/>
        <v>-5.7870370370370627E-4</v>
      </c>
    </row>
    <row r="641" spans="1:11" ht="14.25" customHeight="1" x14ac:dyDescent="0.2">
      <c r="A641" s="34">
        <v>43379</v>
      </c>
      <c r="B641" s="869" t="s">
        <v>4576</v>
      </c>
      <c r="C641" s="869" t="s">
        <v>4577</v>
      </c>
      <c r="D641" s="1">
        <v>1.6053240740740739E-2</v>
      </c>
      <c r="E641" s="80" t="s">
        <v>5883</v>
      </c>
      <c r="F641" s="80" t="s">
        <v>10757</v>
      </c>
      <c r="G641" s="82">
        <v>0.62290000000000001</v>
      </c>
      <c r="H641" s="334">
        <f t="shared" si="19"/>
        <v>0</v>
      </c>
    </row>
    <row r="642" spans="1:11" ht="14.25" customHeight="1" x14ac:dyDescent="0.2">
      <c r="A642" s="34">
        <v>43372</v>
      </c>
      <c r="B642" s="532" t="s">
        <v>4576</v>
      </c>
      <c r="C642" s="532" t="s">
        <v>4577</v>
      </c>
      <c r="D642" s="1">
        <v>1.6053240740740739E-2</v>
      </c>
      <c r="E642" s="80" t="s">
        <v>5883</v>
      </c>
      <c r="F642" s="80" t="s">
        <v>10719</v>
      </c>
      <c r="G642" s="82">
        <v>0.62290000000000001</v>
      </c>
      <c r="H642" s="334">
        <f t="shared" si="19"/>
        <v>-1.041666666666656E-4</v>
      </c>
    </row>
    <row r="643" spans="1:11" ht="14.25" customHeight="1" x14ac:dyDescent="0.2">
      <c r="A643" s="34">
        <v>43365</v>
      </c>
      <c r="B643" s="556" t="s">
        <v>4576</v>
      </c>
      <c r="C643" s="556" t="s">
        <v>4577</v>
      </c>
      <c r="D643" s="1">
        <v>1.5949074074074074E-2</v>
      </c>
      <c r="E643" s="80" t="s">
        <v>129</v>
      </c>
      <c r="F643" s="80" t="s">
        <v>10707</v>
      </c>
      <c r="G643" s="82">
        <v>0.627</v>
      </c>
      <c r="H643" s="334">
        <f t="shared" si="19"/>
        <v>4.0162037037037059E-3</v>
      </c>
    </row>
    <row r="644" spans="1:11" ht="14.25" customHeight="1" x14ac:dyDescent="0.2">
      <c r="A644" s="523">
        <v>43358</v>
      </c>
      <c r="B644" s="1127" t="s">
        <v>4576</v>
      </c>
      <c r="C644" s="1127" t="s">
        <v>4577</v>
      </c>
      <c r="D644" s="334">
        <v>1.996527777777778E-2</v>
      </c>
      <c r="E644" t="s">
        <v>5883</v>
      </c>
      <c r="F644" t="s">
        <v>10647</v>
      </c>
      <c r="G644" s="82">
        <v>0.50090000000000001</v>
      </c>
      <c r="H644" s="334">
        <f t="shared" si="19"/>
        <v>-2.4189814814814838E-3</v>
      </c>
    </row>
    <row r="645" spans="1:11" ht="14.25" customHeight="1" x14ac:dyDescent="0.2">
      <c r="A645" s="523">
        <v>43351</v>
      </c>
      <c r="B645" s="532" t="s">
        <v>4576</v>
      </c>
      <c r="C645" s="531" t="s">
        <v>4577</v>
      </c>
      <c r="D645" s="1">
        <v>1.7546296296296296E-2</v>
      </c>
      <c r="E645" s="80" t="s">
        <v>5883</v>
      </c>
      <c r="F645" s="80" t="s">
        <v>10598</v>
      </c>
      <c r="G645" s="82">
        <v>0.56989999999999996</v>
      </c>
      <c r="H645" s="334">
        <f t="shared" si="19"/>
        <v>2.3148148148148182E-4</v>
      </c>
    </row>
    <row r="646" spans="1:11" ht="14.25" customHeight="1" x14ac:dyDescent="0.2">
      <c r="A646" s="523">
        <v>43330</v>
      </c>
      <c r="B646" s="1099" t="s">
        <v>4576</v>
      </c>
      <c r="C646" s="1099" t="s">
        <v>4577</v>
      </c>
      <c r="D646" s="1">
        <v>1.7777777777777778E-2</v>
      </c>
      <c r="E646" s="80" t="s">
        <v>5883</v>
      </c>
      <c r="F646" s="80" t="s">
        <v>10457</v>
      </c>
      <c r="G646" s="82">
        <v>0.5625</v>
      </c>
      <c r="H646" s="334">
        <f t="shared" si="19"/>
        <v>-1.5972222222222221E-3</v>
      </c>
    </row>
    <row r="647" spans="1:11" ht="14.25" customHeight="1" x14ac:dyDescent="0.2">
      <c r="A647" s="523">
        <v>43323</v>
      </c>
      <c r="B647" s="585" t="s">
        <v>4576</v>
      </c>
      <c r="C647" s="585" t="s">
        <v>4577</v>
      </c>
      <c r="D647" s="1">
        <v>1.6180555555555556E-2</v>
      </c>
      <c r="E647" t="s">
        <v>5883</v>
      </c>
      <c r="F647" t="s">
        <v>10408</v>
      </c>
      <c r="G647" s="82">
        <v>0.61799999999999999</v>
      </c>
      <c r="H647" s="334">
        <f t="shared" si="19"/>
        <v>1.041666666666656E-4</v>
      </c>
    </row>
    <row r="648" spans="1:11" ht="14.25" customHeight="1" x14ac:dyDescent="0.2">
      <c r="A648" s="523">
        <v>43316</v>
      </c>
      <c r="B648" s="1029" t="s">
        <v>4576</v>
      </c>
      <c r="C648" s="1030" t="s">
        <v>4577</v>
      </c>
      <c r="D648" s="136">
        <v>1.6284722222222221E-2</v>
      </c>
      <c r="E648" s="80" t="s">
        <v>129</v>
      </c>
      <c r="F648" s="69" t="s">
        <v>10383</v>
      </c>
      <c r="G648" s="82">
        <v>0.61409999999999998</v>
      </c>
      <c r="H648" s="334">
        <f t="shared" si="19"/>
        <v>-9.2592592592592032E-5</v>
      </c>
    </row>
    <row r="649" spans="1:11" ht="14.25" customHeight="1" x14ac:dyDescent="0.2">
      <c r="A649" s="523">
        <v>43309</v>
      </c>
      <c r="B649" s="879" t="s">
        <v>4576</v>
      </c>
      <c r="C649" s="879" t="s">
        <v>4577</v>
      </c>
      <c r="D649" s="1">
        <v>1.6192129629629629E-2</v>
      </c>
      <c r="E649" s="80" t="s">
        <v>5883</v>
      </c>
      <c r="F649" s="80" t="s">
        <v>4803</v>
      </c>
      <c r="G649" s="82">
        <v>0.61760000000000004</v>
      </c>
      <c r="H649" s="334">
        <f t="shared" si="19"/>
        <v>1.2731481481481621E-4</v>
      </c>
    </row>
    <row r="650" spans="1:11" ht="14.25" customHeight="1" x14ac:dyDescent="0.2">
      <c r="A650" s="523">
        <v>43302</v>
      </c>
      <c r="B650" s="985" t="s">
        <v>4576</v>
      </c>
      <c r="C650" s="985" t="s">
        <v>4577</v>
      </c>
      <c r="D650" s="1">
        <v>1.6319444444444445E-2</v>
      </c>
      <c r="E650" s="80" t="s">
        <v>129</v>
      </c>
      <c r="F650" s="80" t="s">
        <v>164</v>
      </c>
      <c r="G650" s="82">
        <v>0.61280000000000001</v>
      </c>
      <c r="H650" s="334">
        <f t="shared" si="19"/>
        <v>3.5416666666666652E-3</v>
      </c>
    </row>
    <row r="651" spans="1:11" ht="14.25" customHeight="1" x14ac:dyDescent="0.2">
      <c r="A651" s="523">
        <v>43295</v>
      </c>
      <c r="B651" s="601" t="s">
        <v>4576</v>
      </c>
      <c r="C651" s="601" t="s">
        <v>4577</v>
      </c>
      <c r="D651" s="1">
        <v>1.9861111111111111E-2</v>
      </c>
      <c r="E651" s="80" t="s">
        <v>5883</v>
      </c>
      <c r="F651" s="80" t="s">
        <v>10232</v>
      </c>
      <c r="G651" s="82">
        <v>0.50349999999999995</v>
      </c>
      <c r="H651" s="334">
        <f t="shared" si="19"/>
        <v>-2.2222222222222227E-3</v>
      </c>
    </row>
    <row r="652" spans="1:11" ht="14.25" customHeight="1" x14ac:dyDescent="0.2">
      <c r="A652" s="523">
        <v>43288</v>
      </c>
      <c r="B652" s="1029" t="s">
        <v>4576</v>
      </c>
      <c r="C652" s="1029" t="s">
        <v>4577</v>
      </c>
      <c r="D652" s="1">
        <v>1.7638888888888888E-2</v>
      </c>
      <c r="E652" s="80" t="s">
        <v>129</v>
      </c>
      <c r="F652" s="80" t="s">
        <v>10213</v>
      </c>
      <c r="G652" s="82">
        <v>0.56689999999999996</v>
      </c>
      <c r="H652" s="334">
        <f t="shared" si="19"/>
        <v>-1.574074074074075E-3</v>
      </c>
    </row>
    <row r="653" spans="1:11" ht="14.25" customHeight="1" x14ac:dyDescent="0.2">
      <c r="A653" s="523">
        <v>43281</v>
      </c>
      <c r="B653" s="552" t="s">
        <v>4576</v>
      </c>
      <c r="C653" s="552" t="s">
        <v>4577</v>
      </c>
      <c r="D653" s="1">
        <v>1.6064814814814813E-2</v>
      </c>
      <c r="E653" s="80" t="s">
        <v>129</v>
      </c>
      <c r="F653" s="80" t="s">
        <v>10160</v>
      </c>
      <c r="G653" s="82">
        <v>0.62250000000000005</v>
      </c>
      <c r="H653" s="334">
        <f t="shared" si="19"/>
        <v>-3.2407407407407038E-4</v>
      </c>
    </row>
    <row r="654" spans="1:11" ht="14.25" customHeight="1" x14ac:dyDescent="0.2">
      <c r="A654" s="34">
        <v>43274</v>
      </c>
      <c r="B654" s="1071" t="s">
        <v>4576</v>
      </c>
      <c r="C654" s="1071" t="s">
        <v>4577</v>
      </c>
      <c r="D654" s="1">
        <v>1.5740740740740743E-2</v>
      </c>
      <c r="E654" s="80" t="s">
        <v>5883</v>
      </c>
      <c r="F654" s="80" t="s">
        <v>8123</v>
      </c>
      <c r="G654" s="82">
        <v>0.63829999999999998</v>
      </c>
      <c r="H654" s="334">
        <f t="shared" si="19"/>
        <v>3.0092592592592324E-4</v>
      </c>
      <c r="I654" s="82"/>
      <c r="J654" s="82"/>
      <c r="K654" s="82"/>
    </row>
    <row r="655" spans="1:11" ht="14.25" customHeight="1" x14ac:dyDescent="0.2">
      <c r="A655" s="523">
        <v>43267</v>
      </c>
      <c r="B655" s="1058" t="s">
        <v>4576</v>
      </c>
      <c r="C655" s="1059" t="s">
        <v>4577</v>
      </c>
      <c r="D655" s="1">
        <v>1.6041666666666666E-2</v>
      </c>
      <c r="E655" s="80" t="s">
        <v>5883</v>
      </c>
      <c r="F655" s="69" t="s">
        <v>5830</v>
      </c>
      <c r="G655" s="82">
        <v>0.62339999999999995</v>
      </c>
      <c r="H655" s="334">
        <f t="shared" si="19"/>
        <v>4.9768518518518434E-4</v>
      </c>
      <c r="I655" s="80"/>
    </row>
    <row r="656" spans="1:11" ht="14.25" customHeight="1" x14ac:dyDescent="0.2">
      <c r="A656" s="523">
        <v>43260</v>
      </c>
      <c r="B656" s="532" t="s">
        <v>4576</v>
      </c>
      <c r="C656" s="843" t="s">
        <v>4577</v>
      </c>
      <c r="D656" s="1">
        <v>1.653935185185185E-2</v>
      </c>
      <c r="E656" s="80" t="s">
        <v>5883</v>
      </c>
      <c r="F656" s="69" t="s">
        <v>395</v>
      </c>
      <c r="G656" s="82">
        <v>0.60460000000000003</v>
      </c>
      <c r="H656" s="334">
        <f t="shared" si="19"/>
        <v>1.1574074074074091E-3</v>
      </c>
      <c r="I656" s="80"/>
    </row>
    <row r="657" spans="1:9" ht="14.25" customHeight="1" x14ac:dyDescent="0.2">
      <c r="A657" s="523">
        <v>43253</v>
      </c>
      <c r="B657" s="901" t="s">
        <v>4576</v>
      </c>
      <c r="C657" s="902" t="s">
        <v>4577</v>
      </c>
      <c r="D657" s="1">
        <v>1.7696759259259259E-2</v>
      </c>
      <c r="E657" s="80" t="s">
        <v>5883</v>
      </c>
      <c r="F657" s="69" t="s">
        <v>5378</v>
      </c>
      <c r="G657" s="82">
        <v>0.56510000000000005</v>
      </c>
      <c r="H657" s="334">
        <f t="shared" si="19"/>
        <v>-1.5509259259259243E-3</v>
      </c>
      <c r="I657" s="80"/>
    </row>
    <row r="658" spans="1:9" ht="14.25" customHeight="1" x14ac:dyDescent="0.2">
      <c r="A658" s="523">
        <v>43239</v>
      </c>
      <c r="B658" s="80" t="s">
        <v>4576</v>
      </c>
      <c r="C658" s="334" t="s">
        <v>4577</v>
      </c>
      <c r="D658" s="1">
        <v>1.6145833333333335E-2</v>
      </c>
      <c r="E658" s="80" t="s">
        <v>5883</v>
      </c>
      <c r="F658" s="69" t="s">
        <v>2947</v>
      </c>
      <c r="G658" s="82">
        <v>0.61529999999999996</v>
      </c>
      <c r="H658" s="334">
        <f t="shared" si="19"/>
        <v>-2.3148148148148182E-4</v>
      </c>
      <c r="I658" s="80"/>
    </row>
    <row r="659" spans="1:9" ht="14.25" customHeight="1" x14ac:dyDescent="0.2">
      <c r="A659" s="523">
        <v>43232</v>
      </c>
      <c r="B659" s="1051" t="s">
        <v>4576</v>
      </c>
      <c r="C659" s="1052" t="s">
        <v>4577</v>
      </c>
      <c r="D659" s="1">
        <v>1.5914351851851853E-2</v>
      </c>
      <c r="E659" s="80" t="s">
        <v>5883</v>
      </c>
      <c r="F659" s="69" t="s">
        <v>5417</v>
      </c>
      <c r="G659" s="82">
        <v>0.62329999999999997</v>
      </c>
      <c r="H659" s="334">
        <f t="shared" si="19"/>
        <v>-2.8935185185185314E-4</v>
      </c>
      <c r="I659" s="80"/>
    </row>
    <row r="660" spans="1:9" ht="14.25" customHeight="1" x14ac:dyDescent="0.2">
      <c r="A660" s="523">
        <v>43225</v>
      </c>
      <c r="B660" s="1044" t="s">
        <v>4576</v>
      </c>
      <c r="C660" s="1045" t="s">
        <v>4577</v>
      </c>
      <c r="D660" s="1">
        <v>1.5625E-2</v>
      </c>
      <c r="E660" s="80" t="s">
        <v>129</v>
      </c>
      <c r="F660" s="69" t="s">
        <v>9707</v>
      </c>
      <c r="G660" s="82">
        <v>0.63480000000000003</v>
      </c>
      <c r="H660" s="334">
        <f t="shared" si="19"/>
        <v>4.3981481481481302E-4</v>
      </c>
      <c r="I660" s="80"/>
    </row>
    <row r="661" spans="1:9" ht="14.25" customHeight="1" x14ac:dyDescent="0.2">
      <c r="A661" s="523">
        <v>43218</v>
      </c>
      <c r="B661" s="568" t="s">
        <v>4576</v>
      </c>
      <c r="C661" s="861" t="s">
        <v>4577</v>
      </c>
      <c r="D661" s="1">
        <v>1.6064814814814813E-2</v>
      </c>
      <c r="E661" s="80" t="s">
        <v>5883</v>
      </c>
      <c r="F661" s="97" t="s">
        <v>1113</v>
      </c>
      <c r="G661" s="82">
        <v>0.61739999999999995</v>
      </c>
      <c r="H661" s="334">
        <f t="shared" si="19"/>
        <v>2.1759259259259284E-3</v>
      </c>
      <c r="I661" s="80"/>
    </row>
    <row r="662" spans="1:9" ht="14.25" customHeight="1" x14ac:dyDescent="0.2">
      <c r="A662" s="523">
        <v>43211</v>
      </c>
      <c r="B662" s="1038" t="s">
        <v>4576</v>
      </c>
      <c r="C662" s="1039" t="s">
        <v>4577</v>
      </c>
      <c r="D662" s="1">
        <v>1.8240740740740741E-2</v>
      </c>
      <c r="E662" s="80" t="s">
        <v>5883</v>
      </c>
      <c r="F662" s="69" t="s">
        <v>315</v>
      </c>
      <c r="G662" s="82">
        <v>0.54379999999999995</v>
      </c>
      <c r="H662" s="334" t="e">
        <f t="shared" si="19"/>
        <v>#VALUE!</v>
      </c>
      <c r="I662" s="80"/>
    </row>
    <row r="663" spans="1:9" ht="14.25" customHeight="1" x14ac:dyDescent="0.2">
      <c r="A663" s="33">
        <v>43211</v>
      </c>
      <c r="B663" s="1038" t="s">
        <v>4576</v>
      </c>
      <c r="C663" s="1039" t="s">
        <v>4577</v>
      </c>
      <c r="D663" s="80" t="s">
        <v>787</v>
      </c>
      <c r="E663" s="80" t="s">
        <v>5883</v>
      </c>
      <c r="F663" s="69" t="s">
        <v>2726</v>
      </c>
      <c r="G663" s="82"/>
      <c r="H663" s="334" t="e">
        <f t="shared" si="19"/>
        <v>#VALUE!</v>
      </c>
      <c r="I663" s="80"/>
    </row>
    <row r="664" spans="1:9" ht="14.25" customHeight="1" x14ac:dyDescent="0.2">
      <c r="A664" s="523">
        <v>43204</v>
      </c>
      <c r="B664" s="80" t="s">
        <v>4576</v>
      </c>
      <c r="C664" s="334" t="s">
        <v>4577</v>
      </c>
      <c r="D664" s="1">
        <v>1.6203703703703703E-2</v>
      </c>
      <c r="E664" s="80" t="s">
        <v>5883</v>
      </c>
      <c r="F664" s="69" t="s">
        <v>5745</v>
      </c>
      <c r="G664" s="82">
        <v>0.61209999999999998</v>
      </c>
      <c r="H664" s="334">
        <f t="shared" ref="H664:H690" si="20">D665-D664</f>
        <v>2.3032407407407411E-3</v>
      </c>
      <c r="I664" s="80"/>
    </row>
    <row r="665" spans="1:9" ht="14.25" customHeight="1" x14ac:dyDescent="0.2">
      <c r="A665" s="523">
        <v>43197</v>
      </c>
      <c r="B665" s="930" t="s">
        <v>4576</v>
      </c>
      <c r="C665" s="931" t="s">
        <v>4577</v>
      </c>
      <c r="D665" s="1">
        <v>1.8506944444444444E-2</v>
      </c>
      <c r="E665" s="80" t="s">
        <v>5883</v>
      </c>
      <c r="F665" s="69" t="s">
        <v>9559</v>
      </c>
      <c r="G665" s="82">
        <v>0.53600000000000003</v>
      </c>
      <c r="H665" s="334">
        <f t="shared" si="20"/>
        <v>-1.8402777777777775E-3</v>
      </c>
      <c r="I665" s="80"/>
    </row>
    <row r="666" spans="1:9" ht="14.25" customHeight="1" x14ac:dyDescent="0.2">
      <c r="A666" s="523">
        <v>43183</v>
      </c>
      <c r="B666" s="1019" t="s">
        <v>4576</v>
      </c>
      <c r="C666" s="1020" t="s">
        <v>4577</v>
      </c>
      <c r="D666" s="1">
        <v>1.6666666666666666E-2</v>
      </c>
      <c r="E666" s="80" t="s">
        <v>9307</v>
      </c>
      <c r="F666" s="69" t="s">
        <v>4960</v>
      </c>
      <c r="G666" s="82">
        <v>0.59509999999999996</v>
      </c>
      <c r="H666" s="334">
        <f t="shared" si="20"/>
        <v>3.4722222222220711E-5</v>
      </c>
      <c r="I666" s="80"/>
    </row>
    <row r="667" spans="1:9" ht="14.25" customHeight="1" x14ac:dyDescent="0.2">
      <c r="A667" s="523">
        <v>43176</v>
      </c>
      <c r="B667" s="532" t="s">
        <v>4576</v>
      </c>
      <c r="C667" s="843" t="s">
        <v>4577</v>
      </c>
      <c r="D667" s="1">
        <v>1.6701388888888887E-2</v>
      </c>
      <c r="E667" s="80" t="s">
        <v>5883</v>
      </c>
      <c r="F667" s="69" t="s">
        <v>1054</v>
      </c>
      <c r="G667" s="82">
        <v>0.59389999999999998</v>
      </c>
      <c r="H667" s="334">
        <f t="shared" si="20"/>
        <v>-9.3750000000000083E-4</v>
      </c>
      <c r="I667" s="80"/>
    </row>
    <row r="668" spans="1:9" ht="14.25" customHeight="1" x14ac:dyDescent="0.2">
      <c r="A668" s="523">
        <v>43169</v>
      </c>
      <c r="B668" s="862" t="s">
        <v>4576</v>
      </c>
      <c r="C668" s="863" t="s">
        <v>4577</v>
      </c>
      <c r="D668" s="1">
        <v>1.5763888888888886E-2</v>
      </c>
      <c r="E668" s="80" t="s">
        <v>129</v>
      </c>
      <c r="F668" s="69" t="s">
        <v>2898</v>
      </c>
      <c r="G668" s="82">
        <v>0.62919999999999998</v>
      </c>
      <c r="H668" s="334">
        <f t="shared" si="20"/>
        <v>1.574074074074075E-3</v>
      </c>
      <c r="I668" s="80"/>
    </row>
    <row r="669" spans="1:9" ht="14.25" customHeight="1" x14ac:dyDescent="0.2">
      <c r="A669" s="523">
        <v>43162</v>
      </c>
      <c r="B669" s="879" t="s">
        <v>4576</v>
      </c>
      <c r="C669" s="880" t="s">
        <v>4577</v>
      </c>
      <c r="D669" s="1">
        <v>1.7337962962962961E-2</v>
      </c>
      <c r="E669" s="80" t="s">
        <v>2818</v>
      </c>
      <c r="F669" s="69" t="s">
        <v>9381</v>
      </c>
      <c r="G669" s="82">
        <v>0.57210000000000005</v>
      </c>
      <c r="H669" s="334">
        <f t="shared" si="20"/>
        <v>-7.7546296296296044E-4</v>
      </c>
      <c r="I669" s="80"/>
    </row>
    <row r="670" spans="1:9" ht="14.25" customHeight="1" x14ac:dyDescent="0.2">
      <c r="A670" s="523">
        <v>43155</v>
      </c>
      <c r="B670" s="940" t="s">
        <v>4576</v>
      </c>
      <c r="C670" s="941" t="s">
        <v>4577</v>
      </c>
      <c r="D670" s="1">
        <v>1.6562500000000001E-2</v>
      </c>
      <c r="E670" s="80" t="s">
        <v>5883</v>
      </c>
      <c r="F670" s="69" t="s">
        <v>4506</v>
      </c>
      <c r="G670" s="82">
        <v>0.59889999999999999</v>
      </c>
      <c r="H670" s="334">
        <f t="shared" si="20"/>
        <v>-7.6388888888889034E-4</v>
      </c>
      <c r="I670" s="80"/>
    </row>
    <row r="671" spans="1:9" ht="14.25" customHeight="1" x14ac:dyDescent="0.2">
      <c r="A671" s="523">
        <v>43148</v>
      </c>
      <c r="B671" s="568" t="s">
        <v>4576</v>
      </c>
      <c r="C671" s="861" t="s">
        <v>4577</v>
      </c>
      <c r="D671" s="1">
        <v>1.579861111111111E-2</v>
      </c>
      <c r="E671" s="80" t="s">
        <v>129</v>
      </c>
      <c r="F671" s="69" t="s">
        <v>9290</v>
      </c>
      <c r="G671" s="82">
        <v>0.62780000000000002</v>
      </c>
      <c r="H671" s="334">
        <f t="shared" si="20"/>
        <v>-3.2407407407407211E-4</v>
      </c>
      <c r="I671" s="80"/>
    </row>
    <row r="672" spans="1:9" ht="14.25" customHeight="1" x14ac:dyDescent="0.2">
      <c r="A672" s="523">
        <v>43141</v>
      </c>
      <c r="B672" s="987" t="s">
        <v>4576</v>
      </c>
      <c r="C672" s="988" t="s">
        <v>4577</v>
      </c>
      <c r="D672" s="1">
        <v>1.5474537037037038E-2</v>
      </c>
      <c r="E672" s="80" t="s">
        <v>129</v>
      </c>
      <c r="F672" s="69" t="s">
        <v>5613</v>
      </c>
      <c r="G672" s="82">
        <v>0.64100000000000001</v>
      </c>
      <c r="H672" s="334">
        <f t="shared" si="20"/>
        <v>1.851851851851858E-4</v>
      </c>
      <c r="I672" s="80"/>
    </row>
    <row r="673" spans="1:9" ht="14.25" customHeight="1" x14ac:dyDescent="0.2">
      <c r="A673" s="523">
        <v>43134</v>
      </c>
      <c r="B673" s="985" t="s">
        <v>4576</v>
      </c>
      <c r="C673" s="986" t="s">
        <v>4577</v>
      </c>
      <c r="D673" s="1">
        <v>1.5659722222222224E-2</v>
      </c>
      <c r="E673" s="80" t="s">
        <v>5883</v>
      </c>
      <c r="F673" s="69" t="s">
        <v>4932</v>
      </c>
      <c r="G673" s="82">
        <v>0.63339999999999996</v>
      </c>
      <c r="H673" s="334">
        <f t="shared" si="20"/>
        <v>0</v>
      </c>
      <c r="I673" s="80"/>
    </row>
    <row r="674" spans="1:9" ht="14.25" customHeight="1" x14ac:dyDescent="0.2">
      <c r="A674" s="523">
        <v>43127</v>
      </c>
      <c r="B674" s="862" t="s">
        <v>4576</v>
      </c>
      <c r="C674" s="863" t="s">
        <v>4577</v>
      </c>
      <c r="D674" s="1">
        <v>1.5659722222222224E-2</v>
      </c>
      <c r="E674" s="80" t="s">
        <v>5883</v>
      </c>
      <c r="F674" s="69" t="s">
        <v>3823</v>
      </c>
      <c r="G674" s="82">
        <v>0.63339999999999996</v>
      </c>
      <c r="H674" s="334">
        <f t="shared" si="20"/>
        <v>5.3240740740740505E-4</v>
      </c>
      <c r="I674" s="80"/>
    </row>
    <row r="675" spans="1:9" ht="14.25" customHeight="1" x14ac:dyDescent="0.2">
      <c r="A675" s="523">
        <v>43120</v>
      </c>
      <c r="B675" s="601" t="s">
        <v>4576</v>
      </c>
      <c r="C675" s="958" t="s">
        <v>4577</v>
      </c>
      <c r="D675" s="1">
        <v>1.6192129629629629E-2</v>
      </c>
      <c r="E675" s="80" t="s">
        <v>5883</v>
      </c>
      <c r="F675" s="69" t="s">
        <v>4170</v>
      </c>
      <c r="G675" s="82">
        <v>0.61260000000000003</v>
      </c>
      <c r="H675" s="334">
        <f t="shared" si="20"/>
        <v>-4.0509259259259231E-4</v>
      </c>
      <c r="I675" s="80"/>
    </row>
    <row r="676" spans="1:9" ht="14.25" customHeight="1" x14ac:dyDescent="0.2">
      <c r="A676" s="523">
        <v>43113</v>
      </c>
      <c r="B676" s="972" t="s">
        <v>4576</v>
      </c>
      <c r="C676" s="973" t="s">
        <v>4577</v>
      </c>
      <c r="D676" s="1">
        <v>1.5787037037037037E-2</v>
      </c>
      <c r="E676" s="80" t="s">
        <v>129</v>
      </c>
      <c r="F676" s="69" t="s">
        <v>9111</v>
      </c>
      <c r="G676" s="82">
        <v>0.62829999999999997</v>
      </c>
      <c r="H676" s="334">
        <f t="shared" si="20"/>
        <v>6.3657407407407413E-4</v>
      </c>
      <c r="I676" s="80"/>
    </row>
    <row r="677" spans="1:9" ht="14.25" customHeight="1" x14ac:dyDescent="0.2">
      <c r="A677" s="523">
        <v>43106</v>
      </c>
      <c r="B677" s="869" t="s">
        <v>4576</v>
      </c>
      <c r="C677" s="903" t="s">
        <v>4577</v>
      </c>
      <c r="D677" s="1">
        <v>1.6423611111111111E-2</v>
      </c>
      <c r="E677" s="80" t="s">
        <v>5883</v>
      </c>
      <c r="F677" s="69" t="s">
        <v>1265</v>
      </c>
      <c r="G677" s="82">
        <v>0.60389999999999999</v>
      </c>
      <c r="H677" s="334">
        <f t="shared" si="20"/>
        <v>-5.2083333333333495E-4</v>
      </c>
      <c r="I677" s="80"/>
    </row>
    <row r="678" spans="1:9" ht="14.25" customHeight="1" x14ac:dyDescent="0.2">
      <c r="A678" s="523">
        <v>43101</v>
      </c>
      <c r="B678" s="556" t="s">
        <v>4576</v>
      </c>
      <c r="C678" s="950" t="s">
        <v>4577</v>
      </c>
      <c r="D678" s="1">
        <v>1.5902777777777776E-2</v>
      </c>
      <c r="E678" s="80" t="s">
        <v>129</v>
      </c>
      <c r="F678" s="69" t="s">
        <v>9031</v>
      </c>
      <c r="G678" s="82">
        <v>0.62370000000000003</v>
      </c>
      <c r="H678" s="334">
        <f t="shared" si="20"/>
        <v>-3.6458333333333325E-3</v>
      </c>
      <c r="I678" s="80"/>
    </row>
    <row r="679" spans="1:9" ht="14.25" customHeight="1" x14ac:dyDescent="0.2">
      <c r="A679" s="523">
        <v>43260</v>
      </c>
      <c r="B679" s="532" t="s">
        <v>859</v>
      </c>
      <c r="C679" s="843" t="s">
        <v>860</v>
      </c>
      <c r="D679" s="1">
        <v>1.2256944444444444E-2</v>
      </c>
      <c r="E679" s="80" t="s">
        <v>248</v>
      </c>
      <c r="F679" s="69" t="s">
        <v>9898</v>
      </c>
      <c r="G679" s="82">
        <v>0.85650000000000004</v>
      </c>
      <c r="H679" s="334">
        <f t="shared" si="20"/>
        <v>1.5046296296296509E-4</v>
      </c>
      <c r="I679" s="80"/>
    </row>
    <row r="680" spans="1:9" ht="14.25" customHeight="1" x14ac:dyDescent="0.2">
      <c r="A680" s="523">
        <v>43246</v>
      </c>
      <c r="B680" s="601" t="s">
        <v>859</v>
      </c>
      <c r="C680" s="958" t="s">
        <v>860</v>
      </c>
      <c r="D680" s="1">
        <v>1.2407407407407409E-2</v>
      </c>
      <c r="E680" s="80" t="s">
        <v>248</v>
      </c>
      <c r="F680" s="69"/>
      <c r="G680" s="82">
        <v>0.84609999999999996</v>
      </c>
      <c r="H680" s="334">
        <f t="shared" si="20"/>
        <v>4.1666666666666415E-4</v>
      </c>
      <c r="I680" s="80"/>
    </row>
    <row r="681" spans="1:9" ht="14.25" customHeight="1" x14ac:dyDescent="0.2">
      <c r="A681" s="523">
        <v>43232</v>
      </c>
      <c r="B681" s="1051" t="s">
        <v>859</v>
      </c>
      <c r="C681" s="1052" t="s">
        <v>860</v>
      </c>
      <c r="D681" s="1">
        <v>1.2824074074074073E-2</v>
      </c>
      <c r="E681" s="80" t="s">
        <v>248</v>
      </c>
      <c r="F681" s="69" t="s">
        <v>9770</v>
      </c>
      <c r="G681" s="82">
        <v>0.81859999999999999</v>
      </c>
      <c r="H681" s="334">
        <f t="shared" si="20"/>
        <v>-3.7037037037036986E-4</v>
      </c>
      <c r="I681" s="80"/>
    </row>
    <row r="682" spans="1:9" ht="14.25" customHeight="1" x14ac:dyDescent="0.2">
      <c r="A682" s="523">
        <v>43211</v>
      </c>
      <c r="B682" s="1038" t="s">
        <v>859</v>
      </c>
      <c r="C682" s="1039" t="s">
        <v>860</v>
      </c>
      <c r="D682" s="334">
        <v>1.2453703703703703E-2</v>
      </c>
      <c r="E682" s="80" t="s">
        <v>248</v>
      </c>
      <c r="F682" s="69" t="s">
        <v>9641</v>
      </c>
      <c r="G682" s="82">
        <v>0.84289999999999998</v>
      </c>
      <c r="H682" s="334">
        <f t="shared" si="20"/>
        <v>-1.5046296296296335E-4</v>
      </c>
      <c r="I682" s="80"/>
    </row>
    <row r="683" spans="1:9" ht="14.25" customHeight="1" x14ac:dyDescent="0.2">
      <c r="A683" s="523">
        <v>43183</v>
      </c>
      <c r="B683" s="1019" t="s">
        <v>859</v>
      </c>
      <c r="C683" s="1020" t="s">
        <v>860</v>
      </c>
      <c r="D683" s="1">
        <v>1.230324074074074E-2</v>
      </c>
      <c r="E683" s="80" t="s">
        <v>248</v>
      </c>
      <c r="F683" s="69" t="s">
        <v>9471</v>
      </c>
      <c r="G683" s="82">
        <v>0.85319999999999996</v>
      </c>
      <c r="H683" s="334">
        <f t="shared" si="20"/>
        <v>-2.3148148148147141E-5</v>
      </c>
      <c r="I683" s="80"/>
    </row>
    <row r="684" spans="1:9" ht="14.25" customHeight="1" x14ac:dyDescent="0.2">
      <c r="A684" s="523">
        <v>43148</v>
      </c>
      <c r="B684" s="568" t="s">
        <v>859</v>
      </c>
      <c r="C684" s="861" t="s">
        <v>860</v>
      </c>
      <c r="D684" s="1">
        <v>1.2280092592592592E-2</v>
      </c>
      <c r="E684" s="80" t="s">
        <v>248</v>
      </c>
      <c r="F684" s="69" t="s">
        <v>9286</v>
      </c>
      <c r="G684" s="82">
        <v>0.85489999999999999</v>
      </c>
      <c r="H684" s="334">
        <f t="shared" si="20"/>
        <v>5.7870370370369587E-5</v>
      </c>
      <c r="I684" s="80"/>
    </row>
    <row r="685" spans="1:9" ht="14.25" customHeight="1" x14ac:dyDescent="0.2">
      <c r="A685" s="523">
        <v>43141</v>
      </c>
      <c r="B685" s="987" t="s">
        <v>859</v>
      </c>
      <c r="C685" s="988" t="s">
        <v>860</v>
      </c>
      <c r="D685" s="1">
        <v>1.2337962962962962E-2</v>
      </c>
      <c r="E685" s="80" t="s">
        <v>248</v>
      </c>
      <c r="F685" s="69" t="s">
        <v>9241</v>
      </c>
      <c r="G685" s="82">
        <v>0.8508</v>
      </c>
      <c r="H685" s="334">
        <f t="shared" si="20"/>
        <v>3.4722222222224181E-5</v>
      </c>
      <c r="I685" s="80"/>
    </row>
    <row r="686" spans="1:9" ht="12.75" customHeight="1" x14ac:dyDescent="0.2">
      <c r="A686" s="523">
        <v>43134</v>
      </c>
      <c r="B686" s="985" t="s">
        <v>859</v>
      </c>
      <c r="C686" s="986" t="s">
        <v>860</v>
      </c>
      <c r="D686" s="1">
        <v>1.2372685185185186E-2</v>
      </c>
      <c r="E686" s="80" t="s">
        <v>248</v>
      </c>
      <c r="F686" s="69" t="s">
        <v>9200</v>
      </c>
      <c r="G686" s="82">
        <v>0.84850000000000003</v>
      </c>
      <c r="H686" s="334">
        <f t="shared" si="20"/>
        <v>1.3888888888888631E-4</v>
      </c>
      <c r="I686" s="80"/>
    </row>
    <row r="687" spans="1:9" ht="12.75" customHeight="1" x14ac:dyDescent="0.2">
      <c r="A687" s="523">
        <v>43120</v>
      </c>
      <c r="B687" s="601" t="s">
        <v>859</v>
      </c>
      <c r="C687" s="958" t="s">
        <v>860</v>
      </c>
      <c r="D687" s="1">
        <v>1.2511574074074073E-2</v>
      </c>
      <c r="E687" s="80" t="s">
        <v>248</v>
      </c>
      <c r="F687" s="69" t="s">
        <v>9083</v>
      </c>
      <c r="G687" s="82">
        <v>0.83899999999999997</v>
      </c>
      <c r="H687" s="334">
        <f t="shared" si="20"/>
        <v>6.6435185185185191E-3</v>
      </c>
      <c r="I687" s="80" t="s">
        <v>9082</v>
      </c>
    </row>
    <row r="688" spans="1:9" x14ac:dyDescent="0.2">
      <c r="A688" s="523">
        <v>43274</v>
      </c>
      <c r="B688" s="1074" t="s">
        <v>3755</v>
      </c>
      <c r="C688" s="1074" t="s">
        <v>3799</v>
      </c>
      <c r="D688" s="1">
        <v>1.9155092592592592E-2</v>
      </c>
      <c r="E688" s="80" t="s">
        <v>10144</v>
      </c>
      <c r="F688" s="80" t="s">
        <v>10145</v>
      </c>
      <c r="G688" s="82">
        <v>0.58130000000000004</v>
      </c>
      <c r="H688" s="334">
        <f t="shared" si="20"/>
        <v>9.6064814814814832E-3</v>
      </c>
      <c r="I688" s="80" t="s">
        <v>10151</v>
      </c>
    </row>
    <row r="689" spans="1:9" x14ac:dyDescent="0.2">
      <c r="A689" s="523">
        <v>43274</v>
      </c>
      <c r="B689" s="1074" t="s">
        <v>1794</v>
      </c>
      <c r="C689" s="1074" t="s">
        <v>3799</v>
      </c>
      <c r="D689" s="1">
        <v>2.8761574074074075E-2</v>
      </c>
      <c r="E689" s="80" t="s">
        <v>10144</v>
      </c>
      <c r="F689" s="80" t="s">
        <v>10146</v>
      </c>
      <c r="G689" s="82">
        <v>0.371</v>
      </c>
      <c r="H689" s="334">
        <f t="shared" si="20"/>
        <v>-8.4606481481481477E-3</v>
      </c>
      <c r="I689" s="80" t="s">
        <v>10151</v>
      </c>
    </row>
    <row r="690" spans="1:9" x14ac:dyDescent="0.2">
      <c r="A690" s="523">
        <v>43463</v>
      </c>
      <c r="B690" s="862" t="s">
        <v>922</v>
      </c>
      <c r="C690" s="862" t="s">
        <v>1530</v>
      </c>
      <c r="D690" s="1">
        <v>2.0300925925925927E-2</v>
      </c>
      <c r="E690" s="80" t="s">
        <v>5883</v>
      </c>
      <c r="F690" s="80" t="s">
        <v>11425</v>
      </c>
      <c r="G690" s="82">
        <v>0.5393</v>
      </c>
      <c r="H690" s="334">
        <f t="shared" si="20"/>
        <v>-7.6388888888889034E-4</v>
      </c>
    </row>
    <row r="691" spans="1:9" x14ac:dyDescent="0.2">
      <c r="A691" s="523">
        <v>43459</v>
      </c>
      <c r="B691" s="80" t="s">
        <v>922</v>
      </c>
      <c r="C691" s="80" t="s">
        <v>1530</v>
      </c>
      <c r="D691" s="1">
        <v>1.9537037037037037E-2</v>
      </c>
      <c r="E691" s="80" t="s">
        <v>5885</v>
      </c>
      <c r="F691" s="80" t="s">
        <v>4958</v>
      </c>
      <c r="G691" s="82">
        <v>0.56040000000000001</v>
      </c>
      <c r="H691" s="80"/>
    </row>
    <row r="692" spans="1:9" x14ac:dyDescent="0.2">
      <c r="A692" s="523">
        <v>43456</v>
      </c>
      <c r="B692" s="556" t="s">
        <v>922</v>
      </c>
      <c r="C692" s="556" t="s">
        <v>1530</v>
      </c>
      <c r="D692" s="1">
        <v>2.0497685185185185E-2</v>
      </c>
      <c r="E692" s="80" t="s">
        <v>5883</v>
      </c>
      <c r="F692" s="80" t="s">
        <v>11338</v>
      </c>
      <c r="G692" s="82">
        <v>0.53120000000000001</v>
      </c>
      <c r="H692" s="334">
        <f t="shared" ref="H692:H723" si="21">D693-D692</f>
        <v>-1.145833333333332E-3</v>
      </c>
    </row>
    <row r="693" spans="1:9" x14ac:dyDescent="0.2">
      <c r="A693" s="523">
        <v>43449</v>
      </c>
      <c r="B693" s="1029" t="s">
        <v>922</v>
      </c>
      <c r="C693" s="1029" t="s">
        <v>1530</v>
      </c>
      <c r="D693" s="1">
        <v>1.9351851851851853E-2</v>
      </c>
      <c r="E693" s="80" t="s">
        <v>5883</v>
      </c>
      <c r="F693" s="80" t="s">
        <v>11306</v>
      </c>
      <c r="G693" s="82">
        <v>0.56579999999999997</v>
      </c>
      <c r="H693" s="334">
        <f t="shared" si="21"/>
        <v>7.8703703703703748E-4</v>
      </c>
    </row>
    <row r="694" spans="1:9" x14ac:dyDescent="0.2">
      <c r="A694" s="523">
        <v>43442</v>
      </c>
      <c r="B694" s="972" t="s">
        <v>922</v>
      </c>
      <c r="C694" s="972" t="s">
        <v>1530</v>
      </c>
      <c r="D694" s="1">
        <v>2.013888888888889E-2</v>
      </c>
      <c r="E694" s="80" t="s">
        <v>5883</v>
      </c>
      <c r="F694" s="80" t="s">
        <v>11240</v>
      </c>
      <c r="G694" s="82">
        <v>0.54369999999999996</v>
      </c>
      <c r="H694" s="334">
        <f t="shared" si="21"/>
        <v>-5.3240740740740852E-4</v>
      </c>
    </row>
    <row r="695" spans="1:9" x14ac:dyDescent="0.2">
      <c r="A695" s="523">
        <v>43435</v>
      </c>
      <c r="B695" s="1164" t="s">
        <v>922</v>
      </c>
      <c r="C695" s="1164" t="s">
        <v>1530</v>
      </c>
      <c r="D695" s="1">
        <v>1.9606481481481482E-2</v>
      </c>
      <c r="E695" s="80" t="s">
        <v>10983</v>
      </c>
      <c r="F695" s="80" t="s">
        <v>11164</v>
      </c>
      <c r="G695" s="82">
        <v>0.55840000000000001</v>
      </c>
      <c r="H695" s="334">
        <f t="shared" si="21"/>
        <v>3.703703703703716E-4</v>
      </c>
    </row>
    <row r="696" spans="1:9" x14ac:dyDescent="0.2">
      <c r="A696" s="523">
        <v>43428</v>
      </c>
      <c r="B696" s="1038" t="s">
        <v>922</v>
      </c>
      <c r="C696" s="1038" t="s">
        <v>1530</v>
      </c>
      <c r="D696" s="1">
        <v>1.9976851851851853E-2</v>
      </c>
      <c r="E696" s="80" t="s">
        <v>11090</v>
      </c>
      <c r="F696" s="80" t="s">
        <v>11093</v>
      </c>
      <c r="G696" s="82">
        <v>0.54810000000000003</v>
      </c>
      <c r="H696" s="334">
        <f t="shared" si="21"/>
        <v>-4.745370370370372E-4</v>
      </c>
      <c r="I696" t="s">
        <v>11094</v>
      </c>
    </row>
    <row r="697" spans="1:9" x14ac:dyDescent="0.2">
      <c r="A697" s="523">
        <v>43426</v>
      </c>
      <c r="B697" s="80" t="s">
        <v>922</v>
      </c>
      <c r="C697" s="80" t="s">
        <v>1530</v>
      </c>
      <c r="D697" s="1">
        <v>1.9502314814814816E-2</v>
      </c>
      <c r="E697" s="80" t="s">
        <v>2068</v>
      </c>
      <c r="F697" s="80" t="s">
        <v>11128</v>
      </c>
      <c r="G697" s="82">
        <v>0.56140000000000001</v>
      </c>
      <c r="H697" s="334">
        <f t="shared" si="21"/>
        <v>-9.2592592592592726E-4</v>
      </c>
    </row>
    <row r="698" spans="1:9" x14ac:dyDescent="0.2">
      <c r="A698" s="523">
        <v>43421</v>
      </c>
      <c r="B698" s="906" t="s">
        <v>922</v>
      </c>
      <c r="C698" s="906" t="s">
        <v>1530</v>
      </c>
      <c r="D698" s="1">
        <v>1.8576388888888889E-2</v>
      </c>
      <c r="E698" s="80" t="s">
        <v>5883</v>
      </c>
      <c r="F698" s="80" t="s">
        <v>11038</v>
      </c>
      <c r="G698" s="82">
        <v>0.58940000000000003</v>
      </c>
      <c r="H698" s="334">
        <f t="shared" si="21"/>
        <v>6.0185185185185341E-4</v>
      </c>
    </row>
    <row r="699" spans="1:9" x14ac:dyDescent="0.2">
      <c r="A699" s="523">
        <v>43414</v>
      </c>
      <c r="B699" s="862" t="s">
        <v>922</v>
      </c>
      <c r="C699" s="862" t="s">
        <v>1530</v>
      </c>
      <c r="D699" s="1">
        <v>1.9178240740740742E-2</v>
      </c>
      <c r="E699" s="80" t="s">
        <v>5883</v>
      </c>
      <c r="F699" s="80" t="s">
        <v>4493</v>
      </c>
      <c r="G699" s="82">
        <v>0.57089999999999996</v>
      </c>
      <c r="H699" s="334">
        <f t="shared" si="21"/>
        <v>-2.3148148148148182E-4</v>
      </c>
    </row>
    <row r="700" spans="1:9" x14ac:dyDescent="0.2">
      <c r="A700" s="523">
        <v>43407</v>
      </c>
      <c r="B700" s="901" t="s">
        <v>922</v>
      </c>
      <c r="C700" s="901" t="s">
        <v>1530</v>
      </c>
      <c r="D700" s="1">
        <v>1.894675925925926E-2</v>
      </c>
      <c r="E700" s="80" t="s">
        <v>5095</v>
      </c>
      <c r="F700" s="80" t="s">
        <v>10949</v>
      </c>
      <c r="G700" s="82">
        <v>0.57789999999999997</v>
      </c>
      <c r="H700" s="334">
        <f t="shared" si="21"/>
        <v>4.9768518518518434E-4</v>
      </c>
    </row>
    <row r="701" spans="1:9" ht="12.75" customHeight="1" x14ac:dyDescent="0.2">
      <c r="A701" s="523">
        <v>43400</v>
      </c>
      <c r="B701" s="556" t="s">
        <v>922</v>
      </c>
      <c r="C701" s="556" t="s">
        <v>1530</v>
      </c>
      <c r="D701" s="1">
        <v>1.9444444444444445E-2</v>
      </c>
      <c r="E701" s="80" t="s">
        <v>5883</v>
      </c>
      <c r="F701" s="80" t="s">
        <v>10931</v>
      </c>
      <c r="G701" s="82">
        <v>0.56310000000000004</v>
      </c>
      <c r="H701" s="334">
        <f t="shared" si="21"/>
        <v>-1.2152777777777769E-3</v>
      </c>
    </row>
    <row r="702" spans="1:9" ht="12.75" customHeight="1" x14ac:dyDescent="0.2">
      <c r="A702" s="523">
        <v>43393</v>
      </c>
      <c r="B702" s="862" t="s">
        <v>922</v>
      </c>
      <c r="C702" s="862" t="s">
        <v>1530</v>
      </c>
      <c r="D702" s="1">
        <v>1.8229166666666668E-2</v>
      </c>
      <c r="E702" s="80" t="s">
        <v>5883</v>
      </c>
      <c r="F702" s="80" t="s">
        <v>7801</v>
      </c>
      <c r="G702" s="82">
        <v>0.60060000000000002</v>
      </c>
      <c r="H702" s="334">
        <f t="shared" si="21"/>
        <v>6.481481481481477E-4</v>
      </c>
    </row>
    <row r="703" spans="1:9" ht="12.75" customHeight="1" x14ac:dyDescent="0.2">
      <c r="A703" s="523">
        <v>43386</v>
      </c>
      <c r="B703" s="532" t="s">
        <v>922</v>
      </c>
      <c r="C703" s="532" t="s">
        <v>1530</v>
      </c>
      <c r="D703" s="1">
        <v>1.8877314814814816E-2</v>
      </c>
      <c r="E703" s="80" t="s">
        <v>5883</v>
      </c>
      <c r="F703" s="80" t="s">
        <v>2352</v>
      </c>
      <c r="G703" s="82">
        <v>0.57999999999999996</v>
      </c>
      <c r="H703" s="334">
        <f t="shared" si="21"/>
        <v>8.9120370370369961E-4</v>
      </c>
    </row>
    <row r="704" spans="1:9" x14ac:dyDescent="0.2">
      <c r="A704" s="34">
        <v>43379</v>
      </c>
      <c r="B704" s="869" t="s">
        <v>922</v>
      </c>
      <c r="C704" s="869" t="s">
        <v>1530</v>
      </c>
      <c r="D704" s="1">
        <v>1.9768518518518515E-2</v>
      </c>
      <c r="E704" s="80" t="s">
        <v>10768</v>
      </c>
      <c r="F704" s="80" t="s">
        <v>10769</v>
      </c>
      <c r="G704" s="82">
        <v>0.55389999999999995</v>
      </c>
      <c r="H704" s="334">
        <f t="shared" si="21"/>
        <v>-1.1805555555555527E-3</v>
      </c>
    </row>
    <row r="705" spans="1:11" ht="12.75" customHeight="1" x14ac:dyDescent="0.2">
      <c r="A705" s="34">
        <v>43372</v>
      </c>
      <c r="B705" s="532" t="s">
        <v>922</v>
      </c>
      <c r="C705" s="532" t="s">
        <v>1530</v>
      </c>
      <c r="D705" s="1">
        <v>1.8587962962962962E-2</v>
      </c>
      <c r="E705" s="80" t="s">
        <v>10717</v>
      </c>
      <c r="F705" s="80" t="s">
        <v>10739</v>
      </c>
      <c r="G705" s="82">
        <v>0.58899999999999997</v>
      </c>
      <c r="H705" s="334">
        <f t="shared" si="21"/>
        <v>1.157407407407357E-5</v>
      </c>
    </row>
    <row r="706" spans="1:11" x14ac:dyDescent="0.2">
      <c r="A706" s="34">
        <v>43365</v>
      </c>
      <c r="B706" s="556" t="s">
        <v>922</v>
      </c>
      <c r="C706" s="556" t="s">
        <v>1530</v>
      </c>
      <c r="D706" s="1">
        <v>1.8599537037037036E-2</v>
      </c>
      <c r="E706" s="80" t="s">
        <v>10665</v>
      </c>
      <c r="F706" s="80" t="s">
        <v>10716</v>
      </c>
      <c r="G706" s="82">
        <v>0.5887</v>
      </c>
      <c r="H706" s="334">
        <f t="shared" si="21"/>
        <v>4.1666666666666935E-4</v>
      </c>
    </row>
    <row r="707" spans="1:11" ht="12.75" customHeight="1" x14ac:dyDescent="0.2">
      <c r="A707" s="523">
        <v>43358</v>
      </c>
      <c r="B707" s="1127" t="s">
        <v>922</v>
      </c>
      <c r="C707" s="1127" t="s">
        <v>1530</v>
      </c>
      <c r="D707" s="1">
        <v>1.9016203703703705E-2</v>
      </c>
      <c r="E707" t="s">
        <v>5883</v>
      </c>
      <c r="F707" t="s">
        <v>10646</v>
      </c>
      <c r="G707" s="82">
        <v>0.57579999999999998</v>
      </c>
      <c r="H707" s="334">
        <f t="shared" si="21"/>
        <v>6.145833333333333E-3</v>
      </c>
    </row>
    <row r="708" spans="1:11" x14ac:dyDescent="0.2">
      <c r="A708" s="523">
        <v>43344</v>
      </c>
      <c r="B708" s="552" t="s">
        <v>922</v>
      </c>
      <c r="C708" s="552" t="s">
        <v>1530</v>
      </c>
      <c r="D708" s="1">
        <v>2.5162037037037038E-2</v>
      </c>
      <c r="E708" t="s">
        <v>5883</v>
      </c>
      <c r="F708" s="80" t="s">
        <v>10573</v>
      </c>
      <c r="G708" s="82">
        <v>0.43509999999999999</v>
      </c>
      <c r="H708" s="334">
        <f t="shared" si="21"/>
        <v>-4.3287037037037061E-3</v>
      </c>
    </row>
    <row r="709" spans="1:11" x14ac:dyDescent="0.2">
      <c r="A709" s="523">
        <v>43337</v>
      </c>
      <c r="B709" s="1044" t="s">
        <v>922</v>
      </c>
      <c r="C709" s="1044" t="s">
        <v>1530</v>
      </c>
      <c r="D709" s="1">
        <v>2.0833333333333332E-2</v>
      </c>
      <c r="E709" s="80" t="s">
        <v>5883</v>
      </c>
      <c r="F709" s="80" t="s">
        <v>10485</v>
      </c>
      <c r="G709" s="82">
        <v>0.52559999999999996</v>
      </c>
      <c r="H709" s="334">
        <f t="shared" si="21"/>
        <v>-9.2592592592592032E-5</v>
      </c>
    </row>
    <row r="710" spans="1:11" x14ac:dyDescent="0.2">
      <c r="A710" s="523">
        <v>43330</v>
      </c>
      <c r="B710" s="1099" t="s">
        <v>922</v>
      </c>
      <c r="C710" s="1099" t="s">
        <v>1530</v>
      </c>
      <c r="D710" s="1">
        <v>2.074074074074074E-2</v>
      </c>
      <c r="E710" s="80" t="s">
        <v>8116</v>
      </c>
      <c r="F710" s="80" t="s">
        <v>10443</v>
      </c>
      <c r="G710" s="82">
        <v>0.52790000000000004</v>
      </c>
      <c r="H710" s="334">
        <f t="shared" si="21"/>
        <v>-6.5972222222222127E-4</v>
      </c>
    </row>
    <row r="711" spans="1:11" x14ac:dyDescent="0.2">
      <c r="A711" s="523">
        <v>43323</v>
      </c>
      <c r="B711" s="585" t="s">
        <v>922</v>
      </c>
      <c r="C711" s="585" t="s">
        <v>1530</v>
      </c>
      <c r="D711" s="1">
        <v>2.0081018518518519E-2</v>
      </c>
      <c r="E711" t="s">
        <v>2384</v>
      </c>
      <c r="F711" t="s">
        <v>10414</v>
      </c>
      <c r="G711" s="82">
        <v>0.54520000000000002</v>
      </c>
      <c r="H711" s="334">
        <f t="shared" si="21"/>
        <v>9.2476851851851852E-3</v>
      </c>
      <c r="I711" t="s">
        <v>10413</v>
      </c>
    </row>
    <row r="712" spans="1:11" x14ac:dyDescent="0.2">
      <c r="A712" s="523">
        <v>43316</v>
      </c>
      <c r="B712" s="1029" t="s">
        <v>922</v>
      </c>
      <c r="C712" s="1077" t="s">
        <v>1530</v>
      </c>
      <c r="D712" s="136">
        <v>2.9328703703703704E-2</v>
      </c>
      <c r="E712" s="80" t="s">
        <v>5883</v>
      </c>
      <c r="F712" s="80" t="s">
        <v>10379</v>
      </c>
      <c r="G712" s="82">
        <v>0.37330000000000002</v>
      </c>
      <c r="H712" s="334">
        <f t="shared" si="21"/>
        <v>-7.8356481481481471E-3</v>
      </c>
    </row>
    <row r="713" spans="1:11" x14ac:dyDescent="0.2">
      <c r="A713" s="523">
        <v>43309</v>
      </c>
      <c r="B713" s="879" t="s">
        <v>922</v>
      </c>
      <c r="C713" s="879" t="s">
        <v>1530</v>
      </c>
      <c r="D713" s="1">
        <v>2.1493055555555557E-2</v>
      </c>
      <c r="E713" s="80" t="s">
        <v>5883</v>
      </c>
      <c r="F713" s="80" t="s">
        <v>10363</v>
      </c>
      <c r="G713" s="82">
        <v>0.50939999999999996</v>
      </c>
      <c r="H713" s="334">
        <f t="shared" si="21"/>
        <v>-1.6782407407407406E-3</v>
      </c>
    </row>
    <row r="714" spans="1:11" x14ac:dyDescent="0.2">
      <c r="A714" s="523">
        <v>43302</v>
      </c>
      <c r="B714" s="985" t="s">
        <v>922</v>
      </c>
      <c r="C714" s="985" t="s">
        <v>1530</v>
      </c>
      <c r="D714" s="1">
        <v>1.9814814814814816E-2</v>
      </c>
      <c r="E714" s="80" t="s">
        <v>5883</v>
      </c>
      <c r="F714" s="80" t="s">
        <v>10295</v>
      </c>
      <c r="G714" s="82">
        <v>0.55259999999999998</v>
      </c>
      <c r="H714" s="334">
        <f t="shared" si="21"/>
        <v>5.0925925925925791E-4</v>
      </c>
    </row>
    <row r="715" spans="1:11" ht="12.75" customHeight="1" x14ac:dyDescent="0.2">
      <c r="A715" s="523">
        <v>43295</v>
      </c>
      <c r="B715" s="601" t="s">
        <v>922</v>
      </c>
      <c r="C715" s="601" t="s">
        <v>1530</v>
      </c>
      <c r="D715" s="1">
        <v>2.0324074074074074E-2</v>
      </c>
      <c r="E715" s="80" t="s">
        <v>5883</v>
      </c>
      <c r="F715" s="80" t="s">
        <v>10233</v>
      </c>
      <c r="G715" s="82">
        <v>0.53869999999999996</v>
      </c>
      <c r="H715" s="334">
        <f t="shared" si="21"/>
        <v>-1.157407407407357E-5</v>
      </c>
    </row>
    <row r="716" spans="1:11" ht="12.75" customHeight="1" x14ac:dyDescent="0.2">
      <c r="A716" s="523">
        <v>43288</v>
      </c>
      <c r="B716" s="1077" t="s">
        <v>922</v>
      </c>
      <c r="C716" s="1077" t="s">
        <v>1530</v>
      </c>
      <c r="D716" s="1">
        <v>2.0312500000000001E-2</v>
      </c>
      <c r="E716" t="s">
        <v>5883</v>
      </c>
      <c r="F716" t="s">
        <v>2043</v>
      </c>
      <c r="G716" s="82">
        <v>0.53900000000000003</v>
      </c>
      <c r="H716" s="334">
        <f t="shared" si="21"/>
        <v>9.2592592592592379E-4</v>
      </c>
    </row>
    <row r="717" spans="1:11" ht="12.75" customHeight="1" x14ac:dyDescent="0.2">
      <c r="A717" s="523">
        <v>43281</v>
      </c>
      <c r="B717" s="556" t="s">
        <v>922</v>
      </c>
      <c r="C717" s="556" t="s">
        <v>1530</v>
      </c>
      <c r="D717" s="1">
        <v>2.1238425925925924E-2</v>
      </c>
      <c r="E717" s="80" t="s">
        <v>8248</v>
      </c>
      <c r="F717" s="80" t="s">
        <v>9475</v>
      </c>
      <c r="G717" s="82">
        <v>0.51549999999999996</v>
      </c>
      <c r="H717" s="334">
        <f t="shared" si="21"/>
        <v>-1.493055555555553E-3</v>
      </c>
    </row>
    <row r="718" spans="1:11" x14ac:dyDescent="0.2">
      <c r="A718" s="34">
        <v>43274</v>
      </c>
      <c r="B718" s="1071" t="s">
        <v>922</v>
      </c>
      <c r="C718" s="1071" t="s">
        <v>1530</v>
      </c>
      <c r="D718" s="1">
        <v>1.9745370370370371E-2</v>
      </c>
      <c r="E718" s="80" t="s">
        <v>5883</v>
      </c>
      <c r="F718" s="80" t="s">
        <v>7687</v>
      </c>
      <c r="G718" s="82">
        <v>0.55449999999999999</v>
      </c>
      <c r="H718" s="334">
        <f t="shared" si="21"/>
        <v>8.1018518518518462E-5</v>
      </c>
      <c r="I718" s="82"/>
      <c r="J718" s="82"/>
      <c r="K718" s="82"/>
    </row>
    <row r="719" spans="1:11" x14ac:dyDescent="0.2">
      <c r="A719" s="523">
        <v>43267</v>
      </c>
      <c r="B719" s="1058" t="s">
        <v>922</v>
      </c>
      <c r="C719" s="1059" t="s">
        <v>1530</v>
      </c>
      <c r="D719" s="1">
        <v>1.982638888888889E-2</v>
      </c>
      <c r="E719" s="80" t="s">
        <v>5883</v>
      </c>
      <c r="F719" s="69" t="s">
        <v>8123</v>
      </c>
      <c r="G719" s="82">
        <v>0.55220000000000002</v>
      </c>
      <c r="H719" s="334">
        <f t="shared" si="21"/>
        <v>1.5046296296296335E-4</v>
      </c>
      <c r="I719" s="80"/>
    </row>
    <row r="720" spans="1:11" x14ac:dyDescent="0.2">
      <c r="A720" s="523">
        <v>43260</v>
      </c>
      <c r="B720" s="532" t="s">
        <v>922</v>
      </c>
      <c r="C720" s="843" t="s">
        <v>1530</v>
      </c>
      <c r="D720" s="1">
        <v>1.9976851851851853E-2</v>
      </c>
      <c r="E720" s="80" t="s">
        <v>5883</v>
      </c>
      <c r="F720" s="69" t="s">
        <v>9917</v>
      </c>
      <c r="G720" s="82">
        <v>0.54810000000000003</v>
      </c>
      <c r="H720" s="334">
        <f t="shared" si="21"/>
        <v>3.4722222222222099E-4</v>
      </c>
      <c r="I720" s="80"/>
    </row>
    <row r="721" spans="1:9" x14ac:dyDescent="0.2">
      <c r="A721" s="523">
        <v>43253</v>
      </c>
      <c r="B721" s="901" t="s">
        <v>922</v>
      </c>
      <c r="C721" s="902" t="s">
        <v>1530</v>
      </c>
      <c r="D721" s="1">
        <v>2.0324074074074074E-2</v>
      </c>
      <c r="E721" s="80" t="s">
        <v>5883</v>
      </c>
      <c r="F721" s="69" t="s">
        <v>395</v>
      </c>
      <c r="G721" s="82">
        <v>0.53869999999999996</v>
      </c>
      <c r="H721" s="334">
        <f t="shared" si="21"/>
        <v>1.2152777777777769E-3</v>
      </c>
      <c r="I721" s="80"/>
    </row>
    <row r="722" spans="1:9" x14ac:dyDescent="0.2">
      <c r="A722" s="523">
        <v>43246</v>
      </c>
      <c r="B722" s="601" t="s">
        <v>922</v>
      </c>
      <c r="C722" s="958" t="s">
        <v>1530</v>
      </c>
      <c r="D722" s="1">
        <v>2.1539351851851851E-2</v>
      </c>
      <c r="E722" s="80" t="s">
        <v>5883</v>
      </c>
      <c r="F722" s="69"/>
      <c r="G722" s="82">
        <v>0.50829999999999997</v>
      </c>
      <c r="H722" s="334">
        <f t="shared" si="21"/>
        <v>-1.041666666666656E-4</v>
      </c>
      <c r="I722" s="80"/>
    </row>
    <row r="723" spans="1:9" x14ac:dyDescent="0.2">
      <c r="A723" s="523">
        <v>43239</v>
      </c>
      <c r="B723" s="80" t="s">
        <v>922</v>
      </c>
      <c r="C723" s="334" t="s">
        <v>1530</v>
      </c>
      <c r="D723" s="1">
        <v>2.1435185185185186E-2</v>
      </c>
      <c r="E723" s="80" t="s">
        <v>5883</v>
      </c>
      <c r="F723" s="69" t="s">
        <v>2947</v>
      </c>
      <c r="G723" s="82">
        <v>0.51080000000000003</v>
      </c>
      <c r="H723" s="334">
        <f t="shared" si="21"/>
        <v>5.3240740740740713E-3</v>
      </c>
      <c r="I723" s="80"/>
    </row>
    <row r="724" spans="1:9" x14ac:dyDescent="0.2">
      <c r="A724" s="523">
        <v>43232</v>
      </c>
      <c r="B724" s="1051" t="s">
        <v>922</v>
      </c>
      <c r="C724" s="1052" t="s">
        <v>1530</v>
      </c>
      <c r="D724" s="1">
        <v>2.6759259259259257E-2</v>
      </c>
      <c r="E724" s="80" t="s">
        <v>5883</v>
      </c>
      <c r="F724" s="69" t="s">
        <v>5417</v>
      </c>
      <c r="G724" s="82">
        <v>0.40920000000000001</v>
      </c>
      <c r="H724" s="334">
        <f t="shared" ref="H724:H755" si="22">D725-D724</f>
        <v>4.479166666666673E-3</v>
      </c>
      <c r="I724" s="80"/>
    </row>
    <row r="725" spans="1:9" ht="14.25" customHeight="1" x14ac:dyDescent="0.2">
      <c r="A725" s="523">
        <v>43225</v>
      </c>
      <c r="B725" s="1044" t="s">
        <v>922</v>
      </c>
      <c r="C725" s="1045" t="s">
        <v>1530</v>
      </c>
      <c r="D725" s="1">
        <v>3.123842592592593E-2</v>
      </c>
      <c r="E725" s="80" t="s">
        <v>5883</v>
      </c>
      <c r="F725" s="69" t="s">
        <v>9711</v>
      </c>
      <c r="G725" s="82">
        <v>0.35049999999999998</v>
      </c>
      <c r="H725" s="334">
        <f t="shared" si="22"/>
        <v>-1.1250000000000003E-2</v>
      </c>
      <c r="I725" s="80" t="s">
        <v>9712</v>
      </c>
    </row>
    <row r="726" spans="1:9" ht="14.25" customHeight="1" x14ac:dyDescent="0.2">
      <c r="A726" s="523">
        <v>43211</v>
      </c>
      <c r="B726" s="1038" t="s">
        <v>922</v>
      </c>
      <c r="C726" s="1039" t="s">
        <v>1530</v>
      </c>
      <c r="D726" s="1">
        <v>1.9988425925925927E-2</v>
      </c>
      <c r="E726" s="80" t="s">
        <v>5883</v>
      </c>
      <c r="F726" s="97" t="s">
        <v>9642</v>
      </c>
      <c r="G726" s="82">
        <v>0.54779999999999995</v>
      </c>
      <c r="H726" s="334">
        <f t="shared" si="22"/>
        <v>-2.0833333333333467E-4</v>
      </c>
      <c r="I726" s="80" t="s">
        <v>1212</v>
      </c>
    </row>
    <row r="727" spans="1:9" ht="14.25" customHeight="1" x14ac:dyDescent="0.2">
      <c r="A727" s="523">
        <v>43204</v>
      </c>
      <c r="B727" s="80" t="s">
        <v>922</v>
      </c>
      <c r="C727" s="334" t="s">
        <v>1530</v>
      </c>
      <c r="D727" s="1">
        <v>1.9780092592592592E-2</v>
      </c>
      <c r="E727" s="80" t="s">
        <v>9407</v>
      </c>
      <c r="F727" s="69" t="s">
        <v>9584</v>
      </c>
      <c r="G727" s="82">
        <v>0.55349999999999999</v>
      </c>
      <c r="H727" s="334">
        <f t="shared" si="22"/>
        <v>6.4814814814815117E-4</v>
      </c>
      <c r="I727" s="80"/>
    </row>
    <row r="728" spans="1:9" ht="14.25" customHeight="1" x14ac:dyDescent="0.2">
      <c r="A728" s="523">
        <v>43197</v>
      </c>
      <c r="B728" s="930" t="s">
        <v>922</v>
      </c>
      <c r="C728" s="931" t="s">
        <v>1530</v>
      </c>
      <c r="D728" s="1">
        <v>2.0428240740740743E-2</v>
      </c>
      <c r="E728" s="80" t="s">
        <v>5883</v>
      </c>
      <c r="F728" s="69" t="s">
        <v>9558</v>
      </c>
      <c r="G728" s="82">
        <v>0.53600000000000003</v>
      </c>
      <c r="H728" s="334">
        <f t="shared" si="22"/>
        <v>-2.8935185185185314E-4</v>
      </c>
      <c r="I728" s="80"/>
    </row>
    <row r="729" spans="1:9" ht="14.25" customHeight="1" x14ac:dyDescent="0.2">
      <c r="A729" s="523">
        <v>43190</v>
      </c>
      <c r="B729" s="1029" t="s">
        <v>922</v>
      </c>
      <c r="C729" s="1030" t="s">
        <v>1530</v>
      </c>
      <c r="D729" s="1">
        <v>2.013888888888889E-2</v>
      </c>
      <c r="E729" s="80" t="s">
        <v>5883</v>
      </c>
      <c r="F729" s="69" t="s">
        <v>5723</v>
      </c>
      <c r="G729" s="82">
        <v>0.54369999999999996</v>
      </c>
      <c r="H729" s="334">
        <f t="shared" si="22"/>
        <v>-4.0509259259259231E-4</v>
      </c>
      <c r="I729" s="80"/>
    </row>
    <row r="730" spans="1:9" ht="14.25" customHeight="1" x14ac:dyDescent="0.2">
      <c r="A730" s="523">
        <v>43183</v>
      </c>
      <c r="B730" s="1019" t="s">
        <v>922</v>
      </c>
      <c r="C730" s="1020" t="s">
        <v>1530</v>
      </c>
      <c r="D730" s="1">
        <v>1.9733796296296298E-2</v>
      </c>
      <c r="E730" s="80" t="s">
        <v>1401</v>
      </c>
      <c r="F730" s="69" t="s">
        <v>9489</v>
      </c>
      <c r="G730" s="82">
        <v>0.56140000000000001</v>
      </c>
      <c r="H730" s="334">
        <f t="shared" si="22"/>
        <v>-4.6296296296296363E-4</v>
      </c>
      <c r="I730" s="80"/>
    </row>
    <row r="731" spans="1:9" ht="14.25" customHeight="1" x14ac:dyDescent="0.2">
      <c r="A731" s="523">
        <v>43176</v>
      </c>
      <c r="B731" s="532" t="s">
        <v>922</v>
      </c>
      <c r="C731" s="843" t="s">
        <v>1530</v>
      </c>
      <c r="D731" s="1">
        <v>1.9270833333333334E-2</v>
      </c>
      <c r="E731" s="80" t="s">
        <v>5544</v>
      </c>
      <c r="F731" s="69" t="s">
        <v>2629</v>
      </c>
      <c r="G731" s="82">
        <v>0.56820000000000004</v>
      </c>
      <c r="H731" s="334">
        <f t="shared" si="22"/>
        <v>1.2615740740740712E-3</v>
      </c>
      <c r="I731" s="80"/>
    </row>
    <row r="732" spans="1:9" ht="14.25" customHeight="1" x14ac:dyDescent="0.2">
      <c r="A732" s="523">
        <v>43169</v>
      </c>
      <c r="B732" s="862" t="s">
        <v>922</v>
      </c>
      <c r="C732" s="863" t="s">
        <v>1530</v>
      </c>
      <c r="D732" s="1">
        <v>2.0532407407407405E-2</v>
      </c>
      <c r="E732" s="80" t="s">
        <v>5883</v>
      </c>
      <c r="F732" s="69" t="s">
        <v>9426</v>
      </c>
      <c r="G732" s="82">
        <v>0.5333</v>
      </c>
      <c r="H732" s="334">
        <f t="shared" si="22"/>
        <v>-1.2152777777777769E-3</v>
      </c>
      <c r="I732" s="80"/>
    </row>
    <row r="733" spans="1:9" ht="14.25" customHeight="1" x14ac:dyDescent="0.2">
      <c r="A733" s="523">
        <v>43162</v>
      </c>
      <c r="B733" s="879" t="s">
        <v>922</v>
      </c>
      <c r="C733" s="880" t="s">
        <v>1530</v>
      </c>
      <c r="D733" s="1">
        <v>1.9317129629629629E-2</v>
      </c>
      <c r="E733" s="80" t="s">
        <v>5885</v>
      </c>
      <c r="F733" s="69" t="s">
        <v>9380</v>
      </c>
      <c r="G733" s="82">
        <v>0.56679999999999997</v>
      </c>
      <c r="H733" s="334">
        <f t="shared" si="22"/>
        <v>2.7430555555555541E-3</v>
      </c>
      <c r="I733" s="80"/>
    </row>
    <row r="734" spans="1:9" ht="14.25" customHeight="1" x14ac:dyDescent="0.2">
      <c r="A734" s="523">
        <v>43155</v>
      </c>
      <c r="B734" s="940" t="s">
        <v>922</v>
      </c>
      <c r="C734" s="941" t="s">
        <v>1530</v>
      </c>
      <c r="D734" s="1">
        <v>2.2060185185185183E-2</v>
      </c>
      <c r="E734" s="80" t="s">
        <v>5883</v>
      </c>
      <c r="F734" s="69" t="s">
        <v>9327</v>
      </c>
      <c r="G734" s="82">
        <v>0.49630000000000002</v>
      </c>
      <c r="H734" s="334">
        <f t="shared" si="22"/>
        <v>-2.812499999999999E-3</v>
      </c>
      <c r="I734" s="80"/>
    </row>
    <row r="735" spans="1:9" ht="14.25" customHeight="1" x14ac:dyDescent="0.2">
      <c r="A735" s="523">
        <v>43148</v>
      </c>
      <c r="B735" s="568" t="s">
        <v>922</v>
      </c>
      <c r="C735" s="861" t="s">
        <v>1530</v>
      </c>
      <c r="D735" s="1">
        <v>1.9247685185185184E-2</v>
      </c>
      <c r="E735" s="80" t="s">
        <v>9271</v>
      </c>
      <c r="F735" s="69" t="s">
        <v>9277</v>
      </c>
      <c r="G735" s="82">
        <v>0.56889999999999996</v>
      </c>
      <c r="H735" s="334">
        <f t="shared" si="22"/>
        <v>8.1018518518518462E-4</v>
      </c>
      <c r="I735" s="80"/>
    </row>
    <row r="736" spans="1:9" ht="14.25" customHeight="1" x14ac:dyDescent="0.2">
      <c r="A736" s="523">
        <v>43141</v>
      </c>
      <c r="B736" s="987" t="s">
        <v>922</v>
      </c>
      <c r="C736" s="988" t="s">
        <v>1530</v>
      </c>
      <c r="D736" s="1">
        <v>2.0057870370370368E-2</v>
      </c>
      <c r="E736" s="80" t="s">
        <v>9224</v>
      </c>
      <c r="F736" s="69" t="s">
        <v>9256</v>
      </c>
      <c r="G736" s="82">
        <v>0.54590000000000005</v>
      </c>
      <c r="H736" s="334">
        <f t="shared" si="22"/>
        <v>-5.7870370370369933E-4</v>
      </c>
      <c r="I736" s="80"/>
    </row>
    <row r="737" spans="1:26" ht="14.25" customHeight="1" x14ac:dyDescent="0.2">
      <c r="A737" s="523">
        <v>43134</v>
      </c>
      <c r="B737" s="985" t="s">
        <v>922</v>
      </c>
      <c r="C737" s="986" t="s">
        <v>1530</v>
      </c>
      <c r="D737" s="1">
        <v>1.9479166666666669E-2</v>
      </c>
      <c r="E737" s="80" t="s">
        <v>9189</v>
      </c>
      <c r="F737" s="69" t="s">
        <v>9202</v>
      </c>
      <c r="G737" s="82">
        <v>0.56210000000000004</v>
      </c>
      <c r="H737" s="334" t="e">
        <f t="shared" si="22"/>
        <v>#VALUE!</v>
      </c>
      <c r="I737" s="80"/>
    </row>
    <row r="738" spans="1:26" ht="14.25" customHeight="1" x14ac:dyDescent="0.2">
      <c r="A738" s="523">
        <v>43134</v>
      </c>
      <c r="B738" s="985" t="s">
        <v>922</v>
      </c>
      <c r="C738" s="986" t="s">
        <v>1530</v>
      </c>
      <c r="D738" s="1" t="s">
        <v>787</v>
      </c>
      <c r="E738" s="80" t="s">
        <v>9189</v>
      </c>
      <c r="F738" s="69"/>
      <c r="G738" s="82"/>
      <c r="H738" s="334" t="e">
        <f t="shared" si="22"/>
        <v>#VALUE!</v>
      </c>
      <c r="I738" s="80"/>
    </row>
    <row r="739" spans="1:26" ht="14.25" customHeight="1" x14ac:dyDescent="0.2">
      <c r="A739" s="523">
        <v>43127</v>
      </c>
      <c r="B739" s="862" t="s">
        <v>922</v>
      </c>
      <c r="C739" s="863" t="s">
        <v>1530</v>
      </c>
      <c r="D739" s="1">
        <v>2.1388888888888888E-2</v>
      </c>
      <c r="E739" s="80" t="s">
        <v>9157</v>
      </c>
      <c r="F739" s="69" t="s">
        <v>9184</v>
      </c>
      <c r="G739" s="82">
        <v>0.50760000000000005</v>
      </c>
      <c r="H739" s="334">
        <f t="shared" si="22"/>
        <v>-7.7546296296296044E-4</v>
      </c>
      <c r="I739" s="80"/>
    </row>
    <row r="740" spans="1:26" ht="14.25" customHeight="1" x14ac:dyDescent="0.25">
      <c r="A740" s="523">
        <v>43120</v>
      </c>
      <c r="B740" s="601" t="s">
        <v>922</v>
      </c>
      <c r="C740" s="958" t="s">
        <v>1530</v>
      </c>
      <c r="D740" s="1">
        <v>2.0613425925925927E-2</v>
      </c>
      <c r="E740" s="80" t="s">
        <v>5883</v>
      </c>
      <c r="F740" s="69" t="s">
        <v>9126</v>
      </c>
      <c r="G740" s="82">
        <v>0.52669999999999995</v>
      </c>
      <c r="H740" s="334">
        <f t="shared" si="22"/>
        <v>-1.0416666666666907E-4</v>
      </c>
      <c r="Z740" s="185"/>
    </row>
    <row r="741" spans="1:26" ht="14.25" customHeight="1" x14ac:dyDescent="0.25">
      <c r="A741" s="523">
        <v>43113</v>
      </c>
      <c r="B741" s="972" t="s">
        <v>922</v>
      </c>
      <c r="C741" s="973" t="s">
        <v>1530</v>
      </c>
      <c r="D741" s="1">
        <v>2.0509259259259258E-2</v>
      </c>
      <c r="E741" s="80" t="s">
        <v>1822</v>
      </c>
      <c r="F741" s="69" t="s">
        <v>9127</v>
      </c>
      <c r="G741" s="82">
        <v>0.52929999999999999</v>
      </c>
      <c r="H741" s="334">
        <f t="shared" si="22"/>
        <v>-9.1435185185185369E-4</v>
      </c>
      <c r="Z741" s="185"/>
    </row>
    <row r="742" spans="1:26" ht="14.25" customHeight="1" x14ac:dyDescent="0.25">
      <c r="A742" s="523">
        <v>43106</v>
      </c>
      <c r="B742" s="869" t="s">
        <v>922</v>
      </c>
      <c r="C742" s="903" t="s">
        <v>1530</v>
      </c>
      <c r="D742" s="1">
        <v>1.9594907407407405E-2</v>
      </c>
      <c r="E742" s="80" t="s">
        <v>129</v>
      </c>
      <c r="F742" s="69" t="s">
        <v>9125</v>
      </c>
      <c r="G742" s="82">
        <v>0.55400000000000005</v>
      </c>
      <c r="H742" s="334">
        <f t="shared" si="22"/>
        <v>4.0509259259259578E-4</v>
      </c>
      <c r="Z742" s="185"/>
    </row>
    <row r="743" spans="1:26" ht="14.25" customHeight="1" x14ac:dyDescent="0.2">
      <c r="A743" s="523">
        <v>43101</v>
      </c>
      <c r="B743" s="556" t="s">
        <v>922</v>
      </c>
      <c r="C743" s="950" t="s">
        <v>1530</v>
      </c>
      <c r="D743" s="1">
        <v>0.02</v>
      </c>
      <c r="E743" s="80" t="s">
        <v>2251</v>
      </c>
      <c r="F743" s="69" t="s">
        <v>9019</v>
      </c>
      <c r="G743" s="82">
        <v>0.54279999999999995</v>
      </c>
      <c r="H743" s="334">
        <f t="shared" si="22"/>
        <v>-7.0601851851851555E-4</v>
      </c>
      <c r="I743" s="80"/>
    </row>
    <row r="744" spans="1:26" ht="14.25" customHeight="1" x14ac:dyDescent="0.2">
      <c r="A744" s="523">
        <v>43101</v>
      </c>
      <c r="B744" s="556" t="s">
        <v>922</v>
      </c>
      <c r="C744" s="950" t="s">
        <v>1530</v>
      </c>
      <c r="D744" s="1">
        <v>1.9293981481481485E-2</v>
      </c>
      <c r="E744" s="80" t="s">
        <v>9020</v>
      </c>
      <c r="F744" s="69" t="s">
        <v>6206</v>
      </c>
      <c r="G744" s="82">
        <v>0.56269999999999998</v>
      </c>
      <c r="H744" s="334">
        <f t="shared" si="22"/>
        <v>-2.6736111111111127E-3</v>
      </c>
      <c r="I744" s="80" t="s">
        <v>9021</v>
      </c>
    </row>
    <row r="745" spans="1:26" ht="14.25" customHeight="1" x14ac:dyDescent="0.2">
      <c r="A745" s="523">
        <v>43463</v>
      </c>
      <c r="B745" s="862" t="s">
        <v>2478</v>
      </c>
      <c r="C745" s="862" t="s">
        <v>4439</v>
      </c>
      <c r="D745" s="1">
        <v>1.6620370370370372E-2</v>
      </c>
      <c r="E745" s="80" t="s">
        <v>5883</v>
      </c>
      <c r="F745" s="80" t="s">
        <v>3148</v>
      </c>
      <c r="G745" s="82">
        <v>0.63160000000000005</v>
      </c>
      <c r="H745" s="334">
        <f t="shared" si="22"/>
        <v>2.3148148148147141E-5</v>
      </c>
    </row>
    <row r="746" spans="1:26" ht="14.25" customHeight="1" x14ac:dyDescent="0.2">
      <c r="A746" s="523">
        <v>43456</v>
      </c>
      <c r="B746" s="556" t="s">
        <v>2478</v>
      </c>
      <c r="C746" s="556" t="s">
        <v>4439</v>
      </c>
      <c r="D746" s="1">
        <v>1.6643518518518519E-2</v>
      </c>
      <c r="E746" s="80" t="s">
        <v>5883</v>
      </c>
      <c r="F746" s="80" t="s">
        <v>11333</v>
      </c>
      <c r="G746" s="82">
        <v>0.63070000000000004</v>
      </c>
      <c r="H746" s="334">
        <f t="shared" si="22"/>
        <v>-5.3240740740740852E-4</v>
      </c>
    </row>
    <row r="747" spans="1:26" ht="14.25" customHeight="1" x14ac:dyDescent="0.2">
      <c r="A747" s="523">
        <v>43449</v>
      </c>
      <c r="B747" s="1029" t="s">
        <v>2478</v>
      </c>
      <c r="C747" s="1029" t="s">
        <v>4439</v>
      </c>
      <c r="D747" s="1">
        <v>1.6111111111111111E-2</v>
      </c>
      <c r="E747" s="80" t="s">
        <v>5883</v>
      </c>
      <c r="F747" s="80" t="s">
        <v>11302</v>
      </c>
      <c r="G747" s="82">
        <v>0.65159999999999996</v>
      </c>
      <c r="H747" s="334">
        <f t="shared" si="22"/>
        <v>3.3564814814815089E-4</v>
      </c>
    </row>
    <row r="748" spans="1:26" ht="14.25" customHeight="1" x14ac:dyDescent="0.2">
      <c r="A748" s="523">
        <v>43442</v>
      </c>
      <c r="B748" s="972" t="s">
        <v>2478</v>
      </c>
      <c r="C748" s="972" t="s">
        <v>4439</v>
      </c>
      <c r="D748" s="1">
        <v>1.6446759259259262E-2</v>
      </c>
      <c r="E748" s="80" t="s">
        <v>5883</v>
      </c>
      <c r="F748" s="80" t="s">
        <v>1362</v>
      </c>
      <c r="G748" s="82">
        <v>0.63829999999999998</v>
      </c>
      <c r="H748" s="334">
        <f t="shared" si="22"/>
        <v>4.6296296296296363E-4</v>
      </c>
    </row>
    <row r="749" spans="1:26" ht="14.25" customHeight="1" x14ac:dyDescent="0.2">
      <c r="A749" s="523">
        <v>43435</v>
      </c>
      <c r="B749" s="1164" t="s">
        <v>2478</v>
      </c>
      <c r="C749" s="1164" t="s">
        <v>4439</v>
      </c>
      <c r="D749" s="1">
        <v>1.6909722222222225E-2</v>
      </c>
      <c r="E749" s="80" t="s">
        <v>5883</v>
      </c>
      <c r="F749" s="80" t="s">
        <v>11172</v>
      </c>
      <c r="G749" s="82">
        <v>0.62080000000000002</v>
      </c>
      <c r="H749" s="334">
        <f t="shared" si="22"/>
        <v>-7.2916666666666963E-4</v>
      </c>
    </row>
    <row r="750" spans="1:26" ht="14.25" customHeight="1" x14ac:dyDescent="0.2">
      <c r="A750" s="523">
        <v>43428</v>
      </c>
      <c r="B750" s="1038" t="s">
        <v>2478</v>
      </c>
      <c r="C750" s="1038" t="s">
        <v>4439</v>
      </c>
      <c r="D750" s="1">
        <v>1.6180555555555556E-2</v>
      </c>
      <c r="E750" s="80" t="s">
        <v>5883</v>
      </c>
      <c r="F750" s="80" t="s">
        <v>11110</v>
      </c>
      <c r="G750" s="82">
        <v>0.64880000000000004</v>
      </c>
      <c r="H750" s="334">
        <f t="shared" si="22"/>
        <v>4.6296296296294281E-5</v>
      </c>
    </row>
    <row r="751" spans="1:26" ht="14.25" customHeight="1" x14ac:dyDescent="0.2">
      <c r="A751" s="523">
        <v>43421</v>
      </c>
      <c r="B751" s="906" t="s">
        <v>2478</v>
      </c>
      <c r="C751" s="906" t="s">
        <v>4439</v>
      </c>
      <c r="D751" s="1">
        <v>1.622685185185185E-2</v>
      </c>
      <c r="E751" s="80" t="s">
        <v>5883</v>
      </c>
      <c r="F751" s="80" t="s">
        <v>11037</v>
      </c>
      <c r="G751" s="82">
        <v>0.64690000000000003</v>
      </c>
      <c r="H751" s="334">
        <f t="shared" si="22"/>
        <v>-2.0833333333333121E-4</v>
      </c>
    </row>
    <row r="752" spans="1:26" ht="14.25" customHeight="1" x14ac:dyDescent="0.2">
      <c r="A752" s="523">
        <v>43407</v>
      </c>
      <c r="B752" s="901" t="s">
        <v>2478</v>
      </c>
      <c r="C752" s="901" t="s">
        <v>4439</v>
      </c>
      <c r="D752" s="1">
        <v>1.6018518518518519E-2</v>
      </c>
      <c r="E752" s="80" t="s">
        <v>5883</v>
      </c>
      <c r="F752" s="80" t="s">
        <v>10965</v>
      </c>
      <c r="G752" s="82">
        <v>0.65529999999999999</v>
      </c>
      <c r="H752" s="334">
        <f t="shared" si="22"/>
        <v>0</v>
      </c>
    </row>
    <row r="753" spans="1:9" ht="14.25" customHeight="1" x14ac:dyDescent="0.2">
      <c r="A753" s="523">
        <v>43400</v>
      </c>
      <c r="B753" s="556" t="s">
        <v>2478</v>
      </c>
      <c r="C753" s="556" t="s">
        <v>4439</v>
      </c>
      <c r="D753" s="1">
        <v>1.6018518518518519E-2</v>
      </c>
      <c r="E753" s="80" t="s">
        <v>5883</v>
      </c>
      <c r="F753" s="80" t="s">
        <v>10926</v>
      </c>
      <c r="G753" s="82">
        <v>0.65529999999999999</v>
      </c>
      <c r="H753" s="334">
        <f t="shared" si="22"/>
        <v>9.2592592592592379E-4</v>
      </c>
    </row>
    <row r="754" spans="1:9" ht="14.25" customHeight="1" x14ac:dyDescent="0.2">
      <c r="A754" s="523">
        <v>43393</v>
      </c>
      <c r="B754" s="862" t="s">
        <v>2478</v>
      </c>
      <c r="C754" s="862" t="s">
        <v>4439</v>
      </c>
      <c r="D754" s="1">
        <v>1.6944444444444443E-2</v>
      </c>
      <c r="E754" s="80" t="s">
        <v>1982</v>
      </c>
      <c r="F754" s="80" t="s">
        <v>10859</v>
      </c>
      <c r="G754" s="82">
        <v>0.61950000000000005</v>
      </c>
      <c r="H754" s="334">
        <f t="shared" si="22"/>
        <v>-6.1342592592592352E-4</v>
      </c>
    </row>
    <row r="755" spans="1:9" ht="14.25" customHeight="1" x14ac:dyDescent="0.2">
      <c r="A755" s="523">
        <v>43386</v>
      </c>
      <c r="B755" s="532" t="s">
        <v>2478</v>
      </c>
      <c r="C755" s="532" t="s">
        <v>4439</v>
      </c>
      <c r="D755" s="1">
        <v>1.6331018518518519E-2</v>
      </c>
      <c r="E755" s="80" t="s">
        <v>5883</v>
      </c>
      <c r="F755" s="80" t="s">
        <v>153</v>
      </c>
      <c r="G755" s="82">
        <v>0.64280000000000004</v>
      </c>
      <c r="H755" s="334">
        <f t="shared" si="22"/>
        <v>-1.8518518518518406E-4</v>
      </c>
    </row>
    <row r="756" spans="1:9" ht="14.25" customHeight="1" x14ac:dyDescent="0.2">
      <c r="A756" s="34">
        <v>43379</v>
      </c>
      <c r="B756" s="869" t="s">
        <v>2478</v>
      </c>
      <c r="C756" s="869" t="s">
        <v>4439</v>
      </c>
      <c r="D756" s="1">
        <v>1.6145833333333335E-2</v>
      </c>
      <c r="E756" s="80" t="s">
        <v>5883</v>
      </c>
      <c r="F756" s="80" t="s">
        <v>10758</v>
      </c>
      <c r="G756" s="82">
        <v>0.6502</v>
      </c>
      <c r="H756" s="334">
        <f t="shared" ref="H756:H780" si="23">D757-D756</f>
        <v>-6.9444444444448361E-5</v>
      </c>
    </row>
    <row r="757" spans="1:9" ht="14.25" customHeight="1" x14ac:dyDescent="0.2">
      <c r="A757" s="34">
        <v>43365</v>
      </c>
      <c r="B757" s="556" t="s">
        <v>2478</v>
      </c>
      <c r="C757" s="556" t="s">
        <v>4439</v>
      </c>
      <c r="D757" s="1">
        <v>1.6076388888888887E-2</v>
      </c>
      <c r="E757" s="80" t="s">
        <v>5883</v>
      </c>
      <c r="F757" s="80" t="s">
        <v>10695</v>
      </c>
      <c r="G757" s="82">
        <v>0.65300000000000002</v>
      </c>
      <c r="H757" s="334">
        <f t="shared" si="23"/>
        <v>1.5046296296296335E-4</v>
      </c>
    </row>
    <row r="758" spans="1:9" ht="14.25" customHeight="1" x14ac:dyDescent="0.2">
      <c r="A758" s="523">
        <v>43358</v>
      </c>
      <c r="B758" s="1127" t="s">
        <v>2478</v>
      </c>
      <c r="C758" s="1127" t="s">
        <v>4439</v>
      </c>
      <c r="D758" s="1">
        <v>1.622685185185185E-2</v>
      </c>
      <c r="E758" t="s">
        <v>5883</v>
      </c>
      <c r="F758" t="s">
        <v>10644</v>
      </c>
      <c r="G758" s="82">
        <v>0.64690000000000003</v>
      </c>
      <c r="H758" s="334">
        <f t="shared" si="23"/>
        <v>3.2407407407407385E-4</v>
      </c>
    </row>
    <row r="759" spans="1:9" ht="14.25" customHeight="1" x14ac:dyDescent="0.2">
      <c r="A759" s="523">
        <v>43344</v>
      </c>
      <c r="B759" s="552" t="s">
        <v>2478</v>
      </c>
      <c r="C759" s="552" t="s">
        <v>4439</v>
      </c>
      <c r="D759" s="1">
        <v>1.6550925925925924E-2</v>
      </c>
      <c r="E759" t="s">
        <v>5883</v>
      </c>
      <c r="F759" t="s">
        <v>10566</v>
      </c>
      <c r="G759" s="82">
        <v>0.63429999999999997</v>
      </c>
      <c r="H759" s="334">
        <f t="shared" si="23"/>
        <v>6.9444444444448361E-5</v>
      </c>
    </row>
    <row r="760" spans="1:9" ht="14.25" customHeight="1" x14ac:dyDescent="0.2">
      <c r="A760" s="523">
        <v>43337</v>
      </c>
      <c r="B760" s="1044" t="s">
        <v>2478</v>
      </c>
      <c r="C760" s="1044" t="s">
        <v>4439</v>
      </c>
      <c r="D760" s="1">
        <v>1.6620370370370372E-2</v>
      </c>
      <c r="E760" s="80" t="s">
        <v>5883</v>
      </c>
      <c r="F760" s="80" t="s">
        <v>6449</v>
      </c>
      <c r="G760" s="82">
        <v>0.63160000000000005</v>
      </c>
      <c r="H760" s="334">
        <f t="shared" si="23"/>
        <v>4.1666666666666588E-4</v>
      </c>
    </row>
    <row r="761" spans="1:9" ht="14.25" customHeight="1" x14ac:dyDescent="0.2">
      <c r="A761" s="523">
        <v>43330</v>
      </c>
      <c r="B761" s="1099" t="s">
        <v>2478</v>
      </c>
      <c r="C761" s="1099" t="s">
        <v>4439</v>
      </c>
      <c r="D761" s="1">
        <v>1.7037037037037038E-2</v>
      </c>
      <c r="E761" s="80" t="s">
        <v>5883</v>
      </c>
      <c r="F761" s="80" t="s">
        <v>10456</v>
      </c>
      <c r="G761" s="82">
        <v>0.61619999999999997</v>
      </c>
      <c r="H761" s="334">
        <f t="shared" si="23"/>
        <v>-5.5555555555555566E-4</v>
      </c>
    </row>
    <row r="762" spans="1:9" ht="14.25" customHeight="1" x14ac:dyDescent="0.2">
      <c r="A762" s="523">
        <v>43323</v>
      </c>
      <c r="B762" s="585" t="s">
        <v>2478</v>
      </c>
      <c r="C762" s="585" t="s">
        <v>4439</v>
      </c>
      <c r="D762" s="1">
        <v>1.6481481481481482E-2</v>
      </c>
      <c r="E762" t="s">
        <v>5883</v>
      </c>
      <c r="F762" t="s">
        <v>10409</v>
      </c>
      <c r="G762" s="82">
        <v>0.63690000000000002</v>
      </c>
      <c r="H762" s="334">
        <f t="shared" si="23"/>
        <v>4.6296296296296016E-4</v>
      </c>
    </row>
    <row r="763" spans="1:9" ht="14.25" customHeight="1" x14ac:dyDescent="0.2">
      <c r="A763" s="523">
        <v>43316</v>
      </c>
      <c r="B763" s="1029" t="s">
        <v>2478</v>
      </c>
      <c r="C763" s="1077" t="s">
        <v>4439</v>
      </c>
      <c r="D763" s="136">
        <v>1.6944444444444443E-2</v>
      </c>
      <c r="E763" s="80" t="s">
        <v>5883</v>
      </c>
      <c r="F763" s="80" t="s">
        <v>10377</v>
      </c>
      <c r="G763" s="82">
        <v>0.61950000000000005</v>
      </c>
      <c r="H763" s="334">
        <f t="shared" si="23"/>
        <v>-8.6805555555555594E-4</v>
      </c>
    </row>
    <row r="764" spans="1:9" ht="14.25" customHeight="1" x14ac:dyDescent="0.2">
      <c r="A764" s="523">
        <v>43267</v>
      </c>
      <c r="B764" s="1058" t="s">
        <v>2478</v>
      </c>
      <c r="C764" s="1059" t="s">
        <v>4439</v>
      </c>
      <c r="D764" s="1">
        <v>1.6076388888888887E-2</v>
      </c>
      <c r="E764" s="80" t="s">
        <v>5883</v>
      </c>
      <c r="F764" s="69" t="s">
        <v>1602</v>
      </c>
      <c r="G764" s="82">
        <v>0.6472</v>
      </c>
      <c r="H764" s="334">
        <f t="shared" si="23"/>
        <v>-9.2592592592592032E-5</v>
      </c>
      <c r="I764" s="80"/>
    </row>
    <row r="765" spans="1:9" ht="14.25" customHeight="1" x14ac:dyDescent="0.2">
      <c r="A765" s="523">
        <v>43260</v>
      </c>
      <c r="B765" s="532" t="s">
        <v>2478</v>
      </c>
      <c r="C765" s="843" t="s">
        <v>4439</v>
      </c>
      <c r="D765" s="1">
        <v>1.5983796296296295E-2</v>
      </c>
      <c r="E765" s="80" t="s">
        <v>5883</v>
      </c>
      <c r="F765" s="69" t="s">
        <v>673</v>
      </c>
      <c r="G765" s="82">
        <v>0.65100000000000002</v>
      </c>
      <c r="H765" s="334">
        <f t="shared" si="23"/>
        <v>1.8518518518518753E-4</v>
      </c>
      <c r="I765" s="80"/>
    </row>
    <row r="766" spans="1:9" ht="14.25" customHeight="1" x14ac:dyDescent="0.2">
      <c r="A766" s="523">
        <v>43253</v>
      </c>
      <c r="B766" s="901" t="s">
        <v>2478</v>
      </c>
      <c r="C766" s="902" t="s">
        <v>4439</v>
      </c>
      <c r="D766" s="1">
        <v>1.6168981481481482E-2</v>
      </c>
      <c r="E766" s="80" t="s">
        <v>5883</v>
      </c>
      <c r="F766" s="69" t="s">
        <v>1630</v>
      </c>
      <c r="G766" s="82">
        <v>0.64349999999999996</v>
      </c>
      <c r="H766" s="334">
        <f t="shared" si="23"/>
        <v>-1.2731481481481621E-4</v>
      </c>
      <c r="I766" s="80"/>
    </row>
    <row r="767" spans="1:9" ht="14.25" customHeight="1" x14ac:dyDescent="0.2">
      <c r="A767" s="523">
        <v>43239</v>
      </c>
      <c r="B767" s="80" t="s">
        <v>2478</v>
      </c>
      <c r="C767" s="334" t="s">
        <v>4439</v>
      </c>
      <c r="D767" s="1">
        <v>1.6041666666666666E-2</v>
      </c>
      <c r="E767" s="80" t="s">
        <v>5883</v>
      </c>
      <c r="F767" s="69" t="s">
        <v>3003</v>
      </c>
      <c r="G767" s="82">
        <v>0.64859999999999995</v>
      </c>
      <c r="H767" s="334">
        <f t="shared" si="23"/>
        <v>1.157407407407357E-5</v>
      </c>
      <c r="I767" s="80"/>
    </row>
    <row r="768" spans="1:9" ht="14.25" customHeight="1" x14ac:dyDescent="0.2">
      <c r="A768" s="523">
        <v>43218</v>
      </c>
      <c r="B768" s="568" t="s">
        <v>2478</v>
      </c>
      <c r="C768" s="861" t="s">
        <v>4439</v>
      </c>
      <c r="D768" s="1">
        <v>1.6053240740740739E-2</v>
      </c>
      <c r="E768" s="80" t="s">
        <v>5883</v>
      </c>
      <c r="F768" s="69" t="s">
        <v>2547</v>
      </c>
      <c r="G768" s="82">
        <v>0.6482</v>
      </c>
      <c r="H768" s="334">
        <f t="shared" si="23"/>
        <v>0</v>
      </c>
      <c r="I768" s="80"/>
    </row>
    <row r="769" spans="1:9" ht="14.25" customHeight="1" x14ac:dyDescent="0.2">
      <c r="A769" s="523">
        <v>43211</v>
      </c>
      <c r="B769" s="1038" t="s">
        <v>2478</v>
      </c>
      <c r="C769" s="1039" t="s">
        <v>4439</v>
      </c>
      <c r="D769" s="1">
        <v>1.6053240740740739E-2</v>
      </c>
      <c r="E769" s="80" t="s">
        <v>5883</v>
      </c>
      <c r="F769" s="69" t="s">
        <v>2130</v>
      </c>
      <c r="G769" s="82">
        <v>0.6482</v>
      </c>
      <c r="H769" s="334">
        <f t="shared" si="23"/>
        <v>3.0092592592592671E-4</v>
      </c>
      <c r="I769" s="80"/>
    </row>
    <row r="770" spans="1:9" ht="14.25" customHeight="1" x14ac:dyDescent="0.2">
      <c r="A770" s="523">
        <v>43197</v>
      </c>
      <c r="B770" s="930" t="s">
        <v>2478</v>
      </c>
      <c r="C770" s="931" t="s">
        <v>4439</v>
      </c>
      <c r="D770" s="1">
        <v>1.6354166666666666E-2</v>
      </c>
      <c r="E770" s="80" t="s">
        <v>5883</v>
      </c>
      <c r="F770" s="69" t="s">
        <v>940</v>
      </c>
      <c r="G770" s="82">
        <v>0.63619999999999999</v>
      </c>
      <c r="H770" s="334">
        <f t="shared" si="23"/>
        <v>3.3564814814815089E-4</v>
      </c>
      <c r="I770" s="80"/>
    </row>
    <row r="771" spans="1:9" ht="14.25" customHeight="1" x14ac:dyDescent="0.2">
      <c r="A771" s="523">
        <v>43190</v>
      </c>
      <c r="B771" s="1029" t="s">
        <v>2478</v>
      </c>
      <c r="C771" s="1030" t="s">
        <v>4439</v>
      </c>
      <c r="D771" s="1">
        <v>1.6689814814814817E-2</v>
      </c>
      <c r="E771" s="80" t="s">
        <v>5883</v>
      </c>
      <c r="F771" s="69" t="s">
        <v>2335</v>
      </c>
      <c r="G771" s="82">
        <v>0.62339999999999995</v>
      </c>
      <c r="H771" s="334">
        <f t="shared" si="23"/>
        <v>4.7453703703703373E-4</v>
      </c>
      <c r="I771" s="80"/>
    </row>
    <row r="772" spans="1:9" ht="14.25" customHeight="1" x14ac:dyDescent="0.2">
      <c r="A772" s="523">
        <v>43176</v>
      </c>
      <c r="B772" s="532" t="s">
        <v>2478</v>
      </c>
      <c r="C772" s="843" t="s">
        <v>4439</v>
      </c>
      <c r="D772" s="1">
        <v>1.7164351851851851E-2</v>
      </c>
      <c r="E772" s="80" t="s">
        <v>5883</v>
      </c>
      <c r="F772" s="69" t="s">
        <v>4650</v>
      </c>
      <c r="G772" s="82">
        <v>0.60619999999999996</v>
      </c>
      <c r="H772" s="334">
        <f t="shared" si="23"/>
        <v>-5.2083333333333148E-4</v>
      </c>
      <c r="I772" s="80"/>
    </row>
    <row r="773" spans="1:9" ht="14.25" customHeight="1" x14ac:dyDescent="0.2">
      <c r="A773" s="523">
        <v>43155</v>
      </c>
      <c r="B773" s="940" t="s">
        <v>2478</v>
      </c>
      <c r="C773" s="941" t="s">
        <v>4439</v>
      </c>
      <c r="D773" s="1">
        <v>1.6643518518518519E-2</v>
      </c>
      <c r="E773" s="80" t="s">
        <v>5883</v>
      </c>
      <c r="F773" s="69" t="s">
        <v>9325</v>
      </c>
      <c r="G773" s="82">
        <v>0.62519999999999998</v>
      </c>
      <c r="H773" s="334">
        <f t="shared" si="23"/>
        <v>-4.0509259259259578E-4</v>
      </c>
      <c r="I773" s="80"/>
    </row>
    <row r="774" spans="1:9" ht="14.25" customHeight="1" x14ac:dyDescent="0.2">
      <c r="A774" s="523">
        <v>43148</v>
      </c>
      <c r="B774" s="568" t="s">
        <v>2478</v>
      </c>
      <c r="C774" s="861" t="s">
        <v>4439</v>
      </c>
      <c r="D774" s="1">
        <v>1.6238425925925924E-2</v>
      </c>
      <c r="E774" s="80" t="s">
        <v>5883</v>
      </c>
      <c r="F774" s="69" t="s">
        <v>2877</v>
      </c>
      <c r="G774" s="82">
        <v>0.64080000000000004</v>
      </c>
      <c r="H774" s="334">
        <f t="shared" si="23"/>
        <v>-3.819444444444417E-4</v>
      </c>
      <c r="I774" s="80"/>
    </row>
    <row r="775" spans="1:9" ht="14.25" customHeight="1" x14ac:dyDescent="0.2">
      <c r="A775" s="523">
        <v>43134</v>
      </c>
      <c r="B775" s="985" t="s">
        <v>2478</v>
      </c>
      <c r="C775" s="986" t="s">
        <v>4439</v>
      </c>
      <c r="D775" s="1">
        <v>1.5856481481481482E-2</v>
      </c>
      <c r="E775" s="80" t="s">
        <v>5883</v>
      </c>
      <c r="F775" s="69" t="s">
        <v>1689</v>
      </c>
      <c r="G775" s="82">
        <v>0.65620000000000001</v>
      </c>
      <c r="H775" s="334">
        <f t="shared" si="23"/>
        <v>6.9444444444444892E-5</v>
      </c>
      <c r="I775" s="80"/>
    </row>
    <row r="776" spans="1:9" ht="14.25" customHeight="1" x14ac:dyDescent="0.2">
      <c r="A776" s="523">
        <v>43127</v>
      </c>
      <c r="B776" s="862" t="s">
        <v>2478</v>
      </c>
      <c r="C776" s="863" t="s">
        <v>4439</v>
      </c>
      <c r="D776" s="1">
        <v>1.5925925925925927E-2</v>
      </c>
      <c r="E776" s="80" t="s">
        <v>5883</v>
      </c>
      <c r="F776" s="69" t="s">
        <v>130</v>
      </c>
      <c r="G776" s="82">
        <v>0.65329999999999999</v>
      </c>
      <c r="H776" s="334">
        <f t="shared" si="23"/>
        <v>1.041666666666656E-4</v>
      </c>
      <c r="I776" s="80"/>
    </row>
    <row r="777" spans="1:9" ht="14.25" customHeight="1" x14ac:dyDescent="0.2">
      <c r="A777" s="523">
        <v>43120</v>
      </c>
      <c r="B777" s="601" t="s">
        <v>2478</v>
      </c>
      <c r="C777" s="958" t="s">
        <v>4439</v>
      </c>
      <c r="D777" s="1">
        <v>1.6030092592592592E-2</v>
      </c>
      <c r="E777" s="80" t="s">
        <v>5883</v>
      </c>
      <c r="F777" s="69" t="s">
        <v>9099</v>
      </c>
      <c r="G777" s="82">
        <v>0.64910000000000001</v>
      </c>
      <c r="H777" s="334">
        <f t="shared" si="23"/>
        <v>6.9444444444444892E-5</v>
      </c>
      <c r="I777" s="80"/>
    </row>
    <row r="778" spans="1:9" ht="14.25" customHeight="1" x14ac:dyDescent="0.2">
      <c r="A778" s="523">
        <v>43113</v>
      </c>
      <c r="B778" s="972" t="s">
        <v>2478</v>
      </c>
      <c r="C778" s="973" t="s">
        <v>4439</v>
      </c>
      <c r="D778" s="1">
        <v>1.6099537037037037E-2</v>
      </c>
      <c r="E778" s="80" t="s">
        <v>5883</v>
      </c>
      <c r="F778" s="69" t="s">
        <v>2173</v>
      </c>
      <c r="G778" s="82">
        <v>0.64629999999999999</v>
      </c>
      <c r="H778" s="334">
        <f t="shared" si="23"/>
        <v>1.1574074074074264E-4</v>
      </c>
      <c r="I778" s="80"/>
    </row>
    <row r="779" spans="1:9" ht="14.25" customHeight="1" x14ac:dyDescent="0.2">
      <c r="A779" s="523">
        <v>43106</v>
      </c>
      <c r="B779" s="869" t="s">
        <v>2478</v>
      </c>
      <c r="C779" s="903" t="s">
        <v>4439</v>
      </c>
      <c r="D779" s="1">
        <v>1.621527777777778E-2</v>
      </c>
      <c r="E779" s="80" t="s">
        <v>129</v>
      </c>
      <c r="F779" s="69" t="s">
        <v>9117</v>
      </c>
      <c r="G779" s="82">
        <v>0.64170000000000005</v>
      </c>
      <c r="H779" s="334">
        <f t="shared" si="23"/>
        <v>4.4444444444444418E-3</v>
      </c>
      <c r="I779" s="80"/>
    </row>
    <row r="780" spans="1:9" ht="14.25" customHeight="1" x14ac:dyDescent="0.2">
      <c r="A780" s="523">
        <v>43463</v>
      </c>
      <c r="B780" s="862" t="s">
        <v>1589</v>
      </c>
      <c r="C780" s="862" t="s">
        <v>1590</v>
      </c>
      <c r="D780" s="1">
        <v>2.0659722222222222E-2</v>
      </c>
      <c r="E780" s="80" t="s">
        <v>1719</v>
      </c>
      <c r="F780" s="80" t="s">
        <v>11395</v>
      </c>
      <c r="G780" s="82">
        <v>0.58599999999999997</v>
      </c>
      <c r="H780" s="334">
        <f t="shared" si="23"/>
        <v>-5.5555555555555566E-4</v>
      </c>
    </row>
    <row r="781" spans="1:9" ht="14.25" customHeight="1" x14ac:dyDescent="0.2">
      <c r="A781" s="523">
        <v>43459</v>
      </c>
      <c r="B781" s="80" t="s">
        <v>1589</v>
      </c>
      <c r="C781" s="80" t="s">
        <v>1590</v>
      </c>
      <c r="D781" s="1">
        <v>2.0104166666666666E-2</v>
      </c>
      <c r="E781" s="80" t="s">
        <v>6393</v>
      </c>
      <c r="F781" s="80" t="s">
        <v>11374</v>
      </c>
      <c r="G781" s="82">
        <v>0.60219999999999996</v>
      </c>
      <c r="H781" s="80"/>
    </row>
    <row r="782" spans="1:9" ht="14.25" customHeight="1" x14ac:dyDescent="0.2">
      <c r="A782" s="523">
        <v>43456</v>
      </c>
      <c r="B782" s="556" t="s">
        <v>1589</v>
      </c>
      <c r="C782" s="556" t="s">
        <v>1590</v>
      </c>
      <c r="D782" s="1">
        <v>1.9918981481481482E-2</v>
      </c>
      <c r="E782" s="80" t="s">
        <v>1719</v>
      </c>
      <c r="F782" s="80" t="s">
        <v>11353</v>
      </c>
      <c r="G782" s="82">
        <v>0.60780000000000001</v>
      </c>
      <c r="H782" s="334" t="e">
        <f t="shared" ref="H782:H828" si="24">D783-D782</f>
        <v>#VALUE!</v>
      </c>
    </row>
    <row r="783" spans="1:9" ht="14.25" customHeight="1" x14ac:dyDescent="0.2">
      <c r="A783" s="523">
        <v>43449</v>
      </c>
      <c r="B783" s="1029" t="s">
        <v>1589</v>
      </c>
      <c r="C783" s="1029" t="s">
        <v>1590</v>
      </c>
      <c r="D783" s="1" t="s">
        <v>787</v>
      </c>
      <c r="E783" s="80" t="s">
        <v>1719</v>
      </c>
      <c r="F783" s="69" t="s">
        <v>4185</v>
      </c>
      <c r="G783" s="82"/>
      <c r="H783" s="334" t="e">
        <f t="shared" si="24"/>
        <v>#VALUE!</v>
      </c>
    </row>
    <row r="784" spans="1:9" ht="14.25" customHeight="1" x14ac:dyDescent="0.2">
      <c r="A784" s="523">
        <v>43442</v>
      </c>
      <c r="B784" s="972" t="s">
        <v>1589</v>
      </c>
      <c r="C784" s="972" t="s">
        <v>1590</v>
      </c>
      <c r="D784" s="1" t="s">
        <v>787</v>
      </c>
      <c r="E784" s="80" t="s">
        <v>1719</v>
      </c>
      <c r="F784" s="80" t="s">
        <v>5508</v>
      </c>
      <c r="G784" s="82"/>
      <c r="H784" s="334" t="e">
        <f t="shared" si="24"/>
        <v>#VALUE!</v>
      </c>
    </row>
    <row r="785" spans="1:9" ht="14.25" customHeight="1" x14ac:dyDescent="0.2">
      <c r="A785" s="523">
        <v>43435</v>
      </c>
      <c r="B785" s="1164" t="s">
        <v>1589</v>
      </c>
      <c r="C785" s="1164" t="s">
        <v>1590</v>
      </c>
      <c r="D785" s="1">
        <v>1.9930555555555556E-2</v>
      </c>
      <c r="E785" s="80" t="s">
        <v>1719</v>
      </c>
      <c r="F785" s="80" t="s">
        <v>11156</v>
      </c>
      <c r="G785" s="82">
        <v>0.60740000000000005</v>
      </c>
      <c r="H785" s="334">
        <f t="shared" si="24"/>
        <v>6.9444444444444892E-5</v>
      </c>
    </row>
    <row r="786" spans="1:9" ht="14.25" customHeight="1" x14ac:dyDescent="0.2">
      <c r="A786" s="523">
        <v>43428</v>
      </c>
      <c r="B786" s="1038" t="s">
        <v>1589</v>
      </c>
      <c r="C786" s="1038" t="s">
        <v>1590</v>
      </c>
      <c r="D786" s="1">
        <v>0.02</v>
      </c>
      <c r="E786" s="80" t="s">
        <v>1719</v>
      </c>
      <c r="F786" s="80" t="s">
        <v>11081</v>
      </c>
      <c r="G786" s="82">
        <v>0.60529999999999995</v>
      </c>
      <c r="H786" s="334">
        <f t="shared" si="24"/>
        <v>5.4398148148147862E-4</v>
      </c>
    </row>
    <row r="787" spans="1:9" ht="14.25" customHeight="1" x14ac:dyDescent="0.2">
      <c r="A787" s="523">
        <v>43421</v>
      </c>
      <c r="B787" s="906" t="s">
        <v>1589</v>
      </c>
      <c r="C787" s="906" t="s">
        <v>1590</v>
      </c>
      <c r="D787" s="1">
        <v>2.0543981481481479E-2</v>
      </c>
      <c r="E787" s="80" t="s">
        <v>1719</v>
      </c>
      <c r="F787" s="80" t="s">
        <v>11032</v>
      </c>
      <c r="G787" s="82">
        <v>0.58930000000000005</v>
      </c>
      <c r="H787" s="334" t="e">
        <f t="shared" si="24"/>
        <v>#VALUE!</v>
      </c>
    </row>
    <row r="788" spans="1:9" ht="14.25" customHeight="1" x14ac:dyDescent="0.2">
      <c r="A788" s="523">
        <v>43414</v>
      </c>
      <c r="B788" s="862" t="s">
        <v>1589</v>
      </c>
      <c r="C788" s="862" t="s">
        <v>1590</v>
      </c>
      <c r="D788" s="1" t="s">
        <v>787</v>
      </c>
      <c r="E788" s="80" t="s">
        <v>1719</v>
      </c>
      <c r="F788" s="80" t="s">
        <v>4185</v>
      </c>
      <c r="G788" s="82"/>
      <c r="H788" s="334" t="e">
        <f t="shared" si="24"/>
        <v>#VALUE!</v>
      </c>
    </row>
    <row r="789" spans="1:9" ht="14.25" customHeight="1" x14ac:dyDescent="0.2">
      <c r="A789" s="523">
        <v>43407</v>
      </c>
      <c r="B789" s="901" t="s">
        <v>1589</v>
      </c>
      <c r="C789" s="901" t="s">
        <v>1590</v>
      </c>
      <c r="D789" s="1">
        <v>2.0162037037037037E-2</v>
      </c>
      <c r="E789" s="80" t="s">
        <v>1719</v>
      </c>
      <c r="F789" s="80" t="s">
        <v>10942</v>
      </c>
      <c r="G789" s="82">
        <v>0.60050000000000003</v>
      </c>
      <c r="H789" s="334">
        <f t="shared" si="24"/>
        <v>-2.4305555555555539E-4</v>
      </c>
    </row>
    <row r="790" spans="1:9" ht="14.25" customHeight="1" x14ac:dyDescent="0.2">
      <c r="A790" s="33">
        <v>43400</v>
      </c>
      <c r="B790" s="556" t="s">
        <v>1589</v>
      </c>
      <c r="C790" s="556" t="s">
        <v>1590</v>
      </c>
      <c r="D790" s="1">
        <v>1.9918981481481482E-2</v>
      </c>
      <c r="E790" s="80" t="s">
        <v>6393</v>
      </c>
      <c r="F790" s="80" t="s">
        <v>10932</v>
      </c>
      <c r="G790" s="82">
        <v>0.60780000000000001</v>
      </c>
      <c r="H790" s="334" t="e">
        <f t="shared" si="24"/>
        <v>#VALUE!</v>
      </c>
    </row>
    <row r="791" spans="1:9" ht="14.25" customHeight="1" x14ac:dyDescent="0.2">
      <c r="A791" s="523">
        <v>43393</v>
      </c>
      <c r="B791" s="862" t="s">
        <v>1589</v>
      </c>
      <c r="C791" s="862" t="s">
        <v>1590</v>
      </c>
      <c r="D791" s="1" t="s">
        <v>787</v>
      </c>
      <c r="E791" s="80" t="s">
        <v>1719</v>
      </c>
      <c r="F791" s="80" t="s">
        <v>4185</v>
      </c>
      <c r="G791" s="82"/>
      <c r="H791" s="334" t="e">
        <f t="shared" si="24"/>
        <v>#VALUE!</v>
      </c>
    </row>
    <row r="792" spans="1:9" ht="14.25" customHeight="1" x14ac:dyDescent="0.2">
      <c r="A792" s="523">
        <v>43386</v>
      </c>
      <c r="B792" s="532" t="s">
        <v>1589</v>
      </c>
      <c r="C792" s="532" t="s">
        <v>1590</v>
      </c>
      <c r="D792" s="334">
        <v>2.1631944444444443E-2</v>
      </c>
      <c r="E792" s="80" t="s">
        <v>3947</v>
      </c>
      <c r="F792" s="80" t="s">
        <v>10827</v>
      </c>
      <c r="G792" s="82">
        <v>0.55969999999999998</v>
      </c>
      <c r="H792" s="334">
        <f t="shared" si="24"/>
        <v>-3.1250000000000028E-4</v>
      </c>
      <c r="I792" t="s">
        <v>10815</v>
      </c>
    </row>
    <row r="793" spans="1:9" ht="14.25" customHeight="1" x14ac:dyDescent="0.2">
      <c r="A793" s="34">
        <v>43379</v>
      </c>
      <c r="B793" s="869" t="s">
        <v>1589</v>
      </c>
      <c r="C793" s="869" t="s">
        <v>1590</v>
      </c>
      <c r="D793" s="1">
        <v>2.1319444444444443E-2</v>
      </c>
      <c r="E793" s="80" t="s">
        <v>1719</v>
      </c>
      <c r="F793" s="80" t="s">
        <v>10692</v>
      </c>
      <c r="G793" s="82">
        <v>0.56789999999999996</v>
      </c>
      <c r="H793" s="334">
        <f t="shared" si="24"/>
        <v>4.9768518518518781E-4</v>
      </c>
      <c r="I793" s="80" t="s">
        <v>10767</v>
      </c>
    </row>
    <row r="794" spans="1:9" ht="14.25" customHeight="1" x14ac:dyDescent="0.2">
      <c r="A794" s="34">
        <v>43372</v>
      </c>
      <c r="B794" s="532" t="s">
        <v>1589</v>
      </c>
      <c r="C794" s="532" t="s">
        <v>1590</v>
      </c>
      <c r="D794" s="1">
        <v>2.1817129629629631E-2</v>
      </c>
      <c r="E794" s="80" t="s">
        <v>1719</v>
      </c>
      <c r="F794" s="80" t="s">
        <v>10549</v>
      </c>
      <c r="G794" s="82">
        <v>0.55489999999999995</v>
      </c>
      <c r="H794" s="334">
        <f t="shared" si="24"/>
        <v>-1.1805555555555562E-3</v>
      </c>
    </row>
    <row r="795" spans="1:9" ht="14.25" customHeight="1" x14ac:dyDescent="0.2">
      <c r="A795" s="34">
        <v>43365</v>
      </c>
      <c r="B795" s="556" t="s">
        <v>1589</v>
      </c>
      <c r="C795" s="556" t="s">
        <v>1590</v>
      </c>
      <c r="D795" s="334">
        <v>2.0636574074074075E-2</v>
      </c>
      <c r="E795" s="80" t="s">
        <v>1719</v>
      </c>
      <c r="F795" s="80" t="s">
        <v>10699</v>
      </c>
      <c r="G795" s="82">
        <v>0.5867</v>
      </c>
      <c r="H795" s="334" t="e">
        <f t="shared" si="24"/>
        <v>#VALUE!</v>
      </c>
    </row>
    <row r="796" spans="1:9" ht="14.25" customHeight="1" x14ac:dyDescent="0.2">
      <c r="A796" s="523">
        <v>43358</v>
      </c>
      <c r="B796" s="1127" t="s">
        <v>1589</v>
      </c>
      <c r="C796" s="1129" t="s">
        <v>1590</v>
      </c>
      <c r="D796" s="334" t="s">
        <v>787</v>
      </c>
      <c r="E796" t="s">
        <v>1719</v>
      </c>
      <c r="F796" t="s">
        <v>4185</v>
      </c>
      <c r="G796" s="82"/>
      <c r="H796" s="334" t="e">
        <f t="shared" si="24"/>
        <v>#VALUE!</v>
      </c>
    </row>
    <row r="797" spans="1:9" ht="14.25" customHeight="1" x14ac:dyDescent="0.2">
      <c r="A797" s="523">
        <v>43344</v>
      </c>
      <c r="B797" s="552" t="s">
        <v>1589</v>
      </c>
      <c r="C797" s="552" t="s">
        <v>1590</v>
      </c>
      <c r="D797" s="334" t="s">
        <v>787</v>
      </c>
      <c r="E797" s="80" t="s">
        <v>1719</v>
      </c>
      <c r="F797" s="80" t="s">
        <v>5508</v>
      </c>
      <c r="G797" s="82"/>
      <c r="H797" s="334" t="e">
        <f t="shared" si="24"/>
        <v>#VALUE!</v>
      </c>
    </row>
    <row r="798" spans="1:9" ht="14.25" customHeight="1" x14ac:dyDescent="0.2">
      <c r="A798" s="523">
        <v>43337</v>
      </c>
      <c r="B798" s="1044" t="s">
        <v>1589</v>
      </c>
      <c r="C798" s="1044" t="s">
        <v>1590</v>
      </c>
      <c r="D798" s="1">
        <v>3.3055555555555553E-2</v>
      </c>
      <c r="E798" s="80" t="s">
        <v>1719</v>
      </c>
      <c r="F798" s="80" t="s">
        <v>8160</v>
      </c>
      <c r="G798" s="82">
        <v>0.36620000000000003</v>
      </c>
      <c r="H798" s="334">
        <f t="shared" si="24"/>
        <v>-1.2997685185185185E-2</v>
      </c>
    </row>
    <row r="799" spans="1:9" ht="14.25" customHeight="1" x14ac:dyDescent="0.2">
      <c r="A799" s="523">
        <v>43323</v>
      </c>
      <c r="B799" s="585" t="s">
        <v>1589</v>
      </c>
      <c r="C799" s="585" t="s">
        <v>1590</v>
      </c>
      <c r="D799" s="1">
        <v>2.0057870370370368E-2</v>
      </c>
      <c r="E799" t="s">
        <v>1719</v>
      </c>
      <c r="F799" t="s">
        <v>10411</v>
      </c>
      <c r="G799" s="82">
        <v>0.60360000000000003</v>
      </c>
      <c r="H799" s="334" t="e">
        <f t="shared" si="24"/>
        <v>#VALUE!</v>
      </c>
    </row>
    <row r="800" spans="1:9" ht="14.25" customHeight="1" x14ac:dyDescent="0.2">
      <c r="A800" s="33">
        <v>43316</v>
      </c>
      <c r="B800" s="1029" t="s">
        <v>1589</v>
      </c>
      <c r="C800" s="1030" t="s">
        <v>1590</v>
      </c>
      <c r="D800" s="207" t="s">
        <v>787</v>
      </c>
      <c r="E800" s="80" t="s">
        <v>1719</v>
      </c>
      <c r="F800" s="69" t="s">
        <v>4185</v>
      </c>
      <c r="H800" s="334" t="e">
        <f t="shared" si="24"/>
        <v>#VALUE!</v>
      </c>
    </row>
    <row r="801" spans="1:9" ht="14.25" customHeight="1" x14ac:dyDescent="0.2">
      <c r="A801" s="523">
        <v>43309</v>
      </c>
      <c r="B801" s="879" t="s">
        <v>1589</v>
      </c>
      <c r="C801" s="879" t="s">
        <v>1590</v>
      </c>
      <c r="D801" s="1">
        <v>2.0023148148148148E-2</v>
      </c>
      <c r="E801" s="80" t="s">
        <v>6393</v>
      </c>
      <c r="F801" s="80" t="s">
        <v>8425</v>
      </c>
      <c r="G801" s="82">
        <v>0.60460000000000003</v>
      </c>
      <c r="H801" s="334">
        <f t="shared" si="24"/>
        <v>-2.0833333333333121E-4</v>
      </c>
    </row>
    <row r="802" spans="1:9" ht="14.25" customHeight="1" x14ac:dyDescent="0.2">
      <c r="A802" s="523">
        <v>43302</v>
      </c>
      <c r="B802" s="985" t="s">
        <v>1589</v>
      </c>
      <c r="C802" s="985" t="s">
        <v>1590</v>
      </c>
      <c r="D802" s="1">
        <v>1.9814814814814816E-2</v>
      </c>
      <c r="E802" s="80" t="s">
        <v>6393</v>
      </c>
      <c r="F802" s="80" t="s">
        <v>10278</v>
      </c>
      <c r="G802" s="82">
        <v>0.61099999999999999</v>
      </c>
      <c r="H802" s="334" t="e">
        <f t="shared" si="24"/>
        <v>#VALUE!</v>
      </c>
    </row>
    <row r="803" spans="1:9" ht="14.25" customHeight="1" x14ac:dyDescent="0.2">
      <c r="A803" s="523">
        <v>43295</v>
      </c>
      <c r="B803" s="601" t="s">
        <v>1589</v>
      </c>
      <c r="C803" s="601" t="s">
        <v>1590</v>
      </c>
      <c r="D803" s="80" t="s">
        <v>787</v>
      </c>
      <c r="E803" s="80" t="s">
        <v>1719</v>
      </c>
      <c r="F803" s="80" t="s">
        <v>5508</v>
      </c>
      <c r="H803" s="334" t="e">
        <f t="shared" si="24"/>
        <v>#VALUE!</v>
      </c>
    </row>
    <row r="804" spans="1:9" ht="14.25" customHeight="1" x14ac:dyDescent="0.2">
      <c r="A804" s="523">
        <v>43281</v>
      </c>
      <c r="B804" s="556" t="s">
        <v>1589</v>
      </c>
      <c r="C804" s="950" t="s">
        <v>1590</v>
      </c>
      <c r="D804" s="80" t="s">
        <v>787</v>
      </c>
      <c r="E804" s="80" t="s">
        <v>1719</v>
      </c>
      <c r="F804" s="69" t="s">
        <v>4185</v>
      </c>
      <c r="G804" s="82"/>
      <c r="H804" s="334" t="e">
        <f t="shared" si="24"/>
        <v>#VALUE!</v>
      </c>
    </row>
    <row r="805" spans="1:9" ht="14.25" customHeight="1" x14ac:dyDescent="0.2">
      <c r="A805" s="523">
        <v>43267</v>
      </c>
      <c r="B805" s="1058" t="s">
        <v>1589</v>
      </c>
      <c r="C805" s="1059" t="s">
        <v>1590</v>
      </c>
      <c r="D805" s="1">
        <v>2.0300925925925927E-2</v>
      </c>
      <c r="E805" s="80" t="s">
        <v>1719</v>
      </c>
      <c r="F805" s="69" t="s">
        <v>5372</v>
      </c>
      <c r="G805" s="82">
        <v>0.59640000000000004</v>
      </c>
      <c r="H805" s="334">
        <f t="shared" si="24"/>
        <v>-1.6203703703703692E-4</v>
      </c>
      <c r="I805" s="80"/>
    </row>
    <row r="806" spans="1:9" ht="14.25" customHeight="1" x14ac:dyDescent="0.2">
      <c r="A806" s="523">
        <v>43260</v>
      </c>
      <c r="B806" s="532" t="s">
        <v>1589</v>
      </c>
      <c r="C806" s="843" t="s">
        <v>1590</v>
      </c>
      <c r="D806" s="334">
        <v>2.013888888888889E-2</v>
      </c>
      <c r="E806" s="80" t="s">
        <v>1719</v>
      </c>
      <c r="F806" s="69" t="s">
        <v>9906</v>
      </c>
      <c r="G806" s="82">
        <v>0.60109999999999997</v>
      </c>
      <c r="H806" s="334" t="e">
        <f t="shared" si="24"/>
        <v>#VALUE!</v>
      </c>
      <c r="I806" s="80"/>
    </row>
    <row r="807" spans="1:9" ht="14.25" customHeight="1" x14ac:dyDescent="0.2">
      <c r="A807" s="523">
        <v>43253</v>
      </c>
      <c r="B807" s="901" t="s">
        <v>1589</v>
      </c>
      <c r="C807" s="902" t="s">
        <v>1590</v>
      </c>
      <c r="D807" s="334" t="s">
        <v>787</v>
      </c>
      <c r="E807" s="80" t="s">
        <v>1719</v>
      </c>
      <c r="F807" s="69" t="s">
        <v>4185</v>
      </c>
      <c r="G807" s="82"/>
      <c r="H807" s="334" t="e">
        <f t="shared" si="24"/>
        <v>#VALUE!</v>
      </c>
      <c r="I807" s="80"/>
    </row>
    <row r="808" spans="1:9" ht="14.25" customHeight="1" x14ac:dyDescent="0.2">
      <c r="A808" s="523">
        <v>43246</v>
      </c>
      <c r="B808" s="601" t="s">
        <v>1589</v>
      </c>
      <c r="C808" s="958" t="s">
        <v>1590</v>
      </c>
      <c r="D808" s="1">
        <v>1.996527777777778E-2</v>
      </c>
      <c r="E808" s="80" t="s">
        <v>1719</v>
      </c>
      <c r="F808" s="69"/>
      <c r="G808" s="82">
        <v>0.60640000000000005</v>
      </c>
      <c r="H808" s="334" t="e">
        <f t="shared" si="24"/>
        <v>#VALUE!</v>
      </c>
      <c r="I808" s="80"/>
    </row>
    <row r="809" spans="1:9" ht="14.25" customHeight="1" x14ac:dyDescent="0.2">
      <c r="A809" s="523">
        <v>43239</v>
      </c>
      <c r="B809" s="80" t="s">
        <v>1589</v>
      </c>
      <c r="C809" s="334" t="s">
        <v>1590</v>
      </c>
      <c r="D809" s="334" t="s">
        <v>787</v>
      </c>
      <c r="E809" s="80" t="s">
        <v>1719</v>
      </c>
      <c r="F809" s="69" t="s">
        <v>1549</v>
      </c>
      <c r="G809" s="82"/>
      <c r="H809" s="334" t="e">
        <f t="shared" si="24"/>
        <v>#VALUE!</v>
      </c>
      <c r="I809" s="80"/>
    </row>
    <row r="810" spans="1:9" ht="14.25" customHeight="1" x14ac:dyDescent="0.2">
      <c r="A810" s="523">
        <v>43232</v>
      </c>
      <c r="B810" s="1051" t="s">
        <v>1589</v>
      </c>
      <c r="C810" s="1052" t="s">
        <v>1590</v>
      </c>
      <c r="D810" s="1">
        <v>2.0069444444444442E-2</v>
      </c>
      <c r="E810" s="80" t="s">
        <v>1719</v>
      </c>
      <c r="F810" s="69" t="s">
        <v>917</v>
      </c>
      <c r="G810" s="82">
        <v>0.60319999999999996</v>
      </c>
      <c r="H810" s="334" t="e">
        <f t="shared" si="24"/>
        <v>#VALUE!</v>
      </c>
      <c r="I810" s="80"/>
    </row>
    <row r="811" spans="1:9" ht="14.25" customHeight="1" x14ac:dyDescent="0.2">
      <c r="A811" s="33">
        <v>43225</v>
      </c>
      <c r="B811" s="1044" t="s">
        <v>1589</v>
      </c>
      <c r="C811" s="1045" t="s">
        <v>1590</v>
      </c>
      <c r="D811" s="80" t="s">
        <v>787</v>
      </c>
      <c r="E811" s="80" t="s">
        <v>1719</v>
      </c>
      <c r="F811" s="69" t="s">
        <v>4185</v>
      </c>
      <c r="G811" s="82"/>
      <c r="H811" s="334" t="e">
        <f t="shared" si="24"/>
        <v>#VALUE!</v>
      </c>
      <c r="I811" s="80"/>
    </row>
    <row r="812" spans="1:9" ht="14.25" customHeight="1" x14ac:dyDescent="0.2">
      <c r="A812" s="523">
        <v>43218</v>
      </c>
      <c r="B812" s="568" t="s">
        <v>1589</v>
      </c>
      <c r="C812" s="861" t="s">
        <v>1590</v>
      </c>
      <c r="D812" s="1">
        <v>2.0324074074074074E-2</v>
      </c>
      <c r="E812" s="80" t="s">
        <v>1719</v>
      </c>
      <c r="F812" s="69" t="s">
        <v>9660</v>
      </c>
      <c r="G812" s="82">
        <v>0.59570000000000001</v>
      </c>
      <c r="H812" s="334">
        <f t="shared" si="24"/>
        <v>5.7870370370371321E-5</v>
      </c>
      <c r="I812" s="80"/>
    </row>
    <row r="813" spans="1:9" ht="14.25" customHeight="1" x14ac:dyDescent="0.2">
      <c r="A813" s="523">
        <v>43211</v>
      </c>
      <c r="B813" s="1038" t="s">
        <v>1589</v>
      </c>
      <c r="C813" s="1039" t="s">
        <v>1590</v>
      </c>
      <c r="D813" s="1">
        <v>2.0381944444444446E-2</v>
      </c>
      <c r="E813" s="80" t="s">
        <v>1719</v>
      </c>
      <c r="F813" s="97" t="s">
        <v>3423</v>
      </c>
      <c r="G813" s="82">
        <v>0.59399999999999997</v>
      </c>
      <c r="H813" s="334">
        <f t="shared" si="24"/>
        <v>-3.9351851851851874E-4</v>
      </c>
      <c r="I813" s="80"/>
    </row>
    <row r="814" spans="1:9" ht="14.25" customHeight="1" x14ac:dyDescent="0.2">
      <c r="A814" s="523">
        <v>43197</v>
      </c>
      <c r="B814" s="930" t="s">
        <v>1589</v>
      </c>
      <c r="C814" s="931" t="s">
        <v>1590</v>
      </c>
      <c r="D814" s="1">
        <v>1.9988425925925927E-2</v>
      </c>
      <c r="E814" s="80" t="s">
        <v>1719</v>
      </c>
      <c r="F814" s="69" t="s">
        <v>9562</v>
      </c>
      <c r="G814" s="82">
        <v>0.60570000000000002</v>
      </c>
      <c r="H814" s="334">
        <f t="shared" si="24"/>
        <v>1.4780092592592598E-2</v>
      </c>
      <c r="I814" s="80"/>
    </row>
    <row r="815" spans="1:9" ht="14.25" customHeight="1" x14ac:dyDescent="0.2">
      <c r="A815" s="523">
        <v>43190</v>
      </c>
      <c r="B815" s="1029" t="s">
        <v>1589</v>
      </c>
      <c r="C815" s="1030" t="s">
        <v>1590</v>
      </c>
      <c r="D815" s="1">
        <v>3.4768518518518525E-2</v>
      </c>
      <c r="E815" s="80" t="s">
        <v>1719</v>
      </c>
      <c r="F815" s="69" t="s">
        <v>9516</v>
      </c>
      <c r="G815" s="82">
        <v>0.34820000000000001</v>
      </c>
      <c r="H815" s="334">
        <f t="shared" si="24"/>
        <v>-1.4444444444444451E-2</v>
      </c>
      <c r="I815" s="80"/>
    </row>
    <row r="816" spans="1:9" ht="14.25" customHeight="1" x14ac:dyDescent="0.2">
      <c r="A816" s="523">
        <v>43183</v>
      </c>
      <c r="B816" s="1019" t="s">
        <v>1589</v>
      </c>
      <c r="C816" s="1020" t="s">
        <v>1590</v>
      </c>
      <c r="D816" s="1">
        <v>2.0324074074074074E-2</v>
      </c>
      <c r="E816" s="80" t="s">
        <v>1719</v>
      </c>
      <c r="F816" s="69" t="s">
        <v>9482</v>
      </c>
      <c r="G816" s="82">
        <v>0.58940000000000003</v>
      </c>
      <c r="H816" s="334" t="e">
        <f t="shared" si="24"/>
        <v>#VALUE!</v>
      </c>
      <c r="I816" s="80"/>
    </row>
    <row r="817" spans="1:9" ht="14.25" customHeight="1" x14ac:dyDescent="0.2">
      <c r="A817" s="523">
        <v>43176</v>
      </c>
      <c r="B817" s="532" t="s">
        <v>1589</v>
      </c>
      <c r="C817" s="843" t="s">
        <v>1590</v>
      </c>
      <c r="D817" s="334" t="s">
        <v>787</v>
      </c>
      <c r="E817" s="80" t="s">
        <v>1719</v>
      </c>
      <c r="F817" s="69" t="s">
        <v>4185</v>
      </c>
      <c r="G817" s="82"/>
      <c r="H817" s="334" t="e">
        <f t="shared" si="24"/>
        <v>#VALUE!</v>
      </c>
      <c r="I817" s="80"/>
    </row>
    <row r="818" spans="1:9" ht="14.25" customHeight="1" x14ac:dyDescent="0.2">
      <c r="A818" s="523">
        <v>43169</v>
      </c>
      <c r="B818" s="862" t="s">
        <v>1589</v>
      </c>
      <c r="C818" s="863" t="s">
        <v>1590</v>
      </c>
      <c r="D818" s="624">
        <v>4.3379629629629629E-2</v>
      </c>
      <c r="E818" s="80" t="s">
        <v>1719</v>
      </c>
      <c r="F818" s="69" t="s">
        <v>8160</v>
      </c>
      <c r="G818" s="82">
        <v>0.27610000000000001</v>
      </c>
      <c r="H818" s="334" t="e">
        <f t="shared" si="24"/>
        <v>#VALUE!</v>
      </c>
      <c r="I818" s="80"/>
    </row>
    <row r="819" spans="1:9" ht="14.25" customHeight="1" x14ac:dyDescent="0.2">
      <c r="A819" s="523">
        <v>43155</v>
      </c>
      <c r="B819" s="940" t="s">
        <v>1589</v>
      </c>
      <c r="C819" s="941" t="s">
        <v>1590</v>
      </c>
      <c r="D819" s="1" t="s">
        <v>787</v>
      </c>
      <c r="E819" s="80" t="s">
        <v>1719</v>
      </c>
      <c r="F819" s="69"/>
      <c r="G819" s="82"/>
      <c r="H819" s="334" t="e">
        <f t="shared" si="24"/>
        <v>#VALUE!</v>
      </c>
      <c r="I819" s="80"/>
    </row>
    <row r="820" spans="1:9" ht="14.25" customHeight="1" x14ac:dyDescent="0.2">
      <c r="A820" s="523">
        <v>43148</v>
      </c>
      <c r="B820" s="568" t="s">
        <v>1589</v>
      </c>
      <c r="C820" s="861" t="s">
        <v>1590</v>
      </c>
      <c r="D820" s="1">
        <v>2.1122685185185185E-2</v>
      </c>
      <c r="E820" s="80" t="s">
        <v>1719</v>
      </c>
      <c r="F820" s="69" t="s">
        <v>1237</v>
      </c>
      <c r="G820" s="82">
        <v>0.56710000000000005</v>
      </c>
      <c r="H820" s="334">
        <f t="shared" si="24"/>
        <v>1.0127314814814815E-2</v>
      </c>
      <c r="I820" s="80"/>
    </row>
    <row r="821" spans="1:9" ht="14.25" customHeight="1" x14ac:dyDescent="0.2">
      <c r="A821" s="523">
        <v>43141</v>
      </c>
      <c r="B821" s="987" t="s">
        <v>1589</v>
      </c>
      <c r="C821" s="988" t="s">
        <v>1590</v>
      </c>
      <c r="D821" s="1">
        <v>3.125E-2</v>
      </c>
      <c r="E821" s="80" t="s">
        <v>1719</v>
      </c>
      <c r="F821" s="69" t="s">
        <v>8160</v>
      </c>
      <c r="G821" s="82">
        <v>0.38329999999999997</v>
      </c>
      <c r="H821" s="334">
        <f t="shared" si="24"/>
        <v>-9.7337962962962959E-3</v>
      </c>
      <c r="I821" s="80"/>
    </row>
    <row r="822" spans="1:9" ht="14.25" customHeight="1" x14ac:dyDescent="0.2">
      <c r="A822" s="523">
        <v>43134</v>
      </c>
      <c r="B822" s="985" t="s">
        <v>1589</v>
      </c>
      <c r="C822" s="986" t="s">
        <v>1590</v>
      </c>
      <c r="D822" s="334">
        <v>2.1516203703703704E-2</v>
      </c>
      <c r="E822" s="80" t="s">
        <v>1719</v>
      </c>
      <c r="F822" s="69" t="s">
        <v>1608</v>
      </c>
      <c r="G822" s="82">
        <v>0.55679999999999996</v>
      </c>
      <c r="H822" s="334">
        <f t="shared" si="24"/>
        <v>1.0046296296296296E-2</v>
      </c>
      <c r="I822" s="80"/>
    </row>
    <row r="823" spans="1:9" ht="14.25" customHeight="1" x14ac:dyDescent="0.2">
      <c r="A823" s="523">
        <v>43127</v>
      </c>
      <c r="B823" s="862" t="s">
        <v>1589</v>
      </c>
      <c r="C823" s="863" t="s">
        <v>1590</v>
      </c>
      <c r="D823" s="1">
        <v>3.15625E-2</v>
      </c>
      <c r="E823" s="80" t="s">
        <v>1719</v>
      </c>
      <c r="F823" s="69" t="s">
        <v>9169</v>
      </c>
      <c r="G823" s="82">
        <v>0.3795</v>
      </c>
      <c r="H823" s="334">
        <f t="shared" si="24"/>
        <v>-1.0000000000000002E-2</v>
      </c>
      <c r="I823" s="80"/>
    </row>
    <row r="824" spans="1:9" ht="14.25" customHeight="1" x14ac:dyDescent="0.2">
      <c r="A824" s="523">
        <v>43120</v>
      </c>
      <c r="B824" s="601" t="s">
        <v>1589</v>
      </c>
      <c r="C824" s="958" t="s">
        <v>1590</v>
      </c>
      <c r="D824" s="1">
        <v>2.1562499999999998E-2</v>
      </c>
      <c r="E824" s="80" t="s">
        <v>1401</v>
      </c>
      <c r="F824" s="69" t="s">
        <v>9093</v>
      </c>
      <c r="G824" s="82">
        <v>0.55559999999999998</v>
      </c>
      <c r="H824" s="334">
        <f t="shared" si="24"/>
        <v>1.0416666666666907E-4</v>
      </c>
      <c r="I824" s="80"/>
    </row>
    <row r="825" spans="1:9" ht="14.25" customHeight="1" x14ac:dyDescent="0.2">
      <c r="A825" s="523">
        <v>43113</v>
      </c>
      <c r="B825" s="972" t="s">
        <v>1589</v>
      </c>
      <c r="C825" s="973" t="s">
        <v>1590</v>
      </c>
      <c r="D825" s="1">
        <v>2.1666666666666667E-2</v>
      </c>
      <c r="E825" s="80" t="s">
        <v>6393</v>
      </c>
      <c r="F825" s="69" t="s">
        <v>9113</v>
      </c>
      <c r="G825" s="82">
        <v>0.55289999999999995</v>
      </c>
      <c r="H825" s="334">
        <f t="shared" si="24"/>
        <v>7.523148148148133E-4</v>
      </c>
      <c r="I825" s="80"/>
    </row>
    <row r="826" spans="1:9" ht="14.25" customHeight="1" x14ac:dyDescent="0.2">
      <c r="A826" s="523">
        <v>43106</v>
      </c>
      <c r="B826" s="869" t="s">
        <v>1589</v>
      </c>
      <c r="C826" s="903" t="s">
        <v>1590</v>
      </c>
      <c r="D826" s="1">
        <v>2.2418981481481481E-2</v>
      </c>
      <c r="E826" s="80" t="s">
        <v>1719</v>
      </c>
      <c r="F826" s="69" t="s">
        <v>9112</v>
      </c>
      <c r="G826" s="82">
        <v>0.5343</v>
      </c>
      <c r="H826" s="334">
        <f t="shared" si="24"/>
        <v>3.2407407407407385E-4</v>
      </c>
      <c r="I826" s="80"/>
    </row>
    <row r="827" spans="1:9" ht="14.25" customHeight="1" x14ac:dyDescent="0.2">
      <c r="A827" s="523">
        <v>43101</v>
      </c>
      <c r="B827" s="556" t="s">
        <v>1589</v>
      </c>
      <c r="C827" s="950" t="s">
        <v>1590</v>
      </c>
      <c r="D827" s="1">
        <v>2.2743055555555555E-2</v>
      </c>
      <c r="E827" s="80" t="s">
        <v>2593</v>
      </c>
      <c r="F827" s="69" t="s">
        <v>6210</v>
      </c>
      <c r="G827" s="82">
        <v>0.52669999999999995</v>
      </c>
      <c r="H827" s="334">
        <f t="shared" si="24"/>
        <v>5.2314814814814793E-3</v>
      </c>
      <c r="I827" s="80"/>
    </row>
    <row r="828" spans="1:9" ht="14.25" customHeight="1" x14ac:dyDescent="0.2">
      <c r="A828" s="523">
        <v>43463</v>
      </c>
      <c r="B828" s="862" t="s">
        <v>3542</v>
      </c>
      <c r="C828" s="862" t="s">
        <v>1590</v>
      </c>
      <c r="D828" s="1">
        <v>2.7974537037037034E-2</v>
      </c>
      <c r="E828" s="80" t="s">
        <v>1719</v>
      </c>
      <c r="F828" s="80" t="s">
        <v>11396</v>
      </c>
      <c r="G828" s="82">
        <v>0.55279999999999996</v>
      </c>
      <c r="H828" s="334">
        <f t="shared" si="24"/>
        <v>-1.0995370370370343E-3</v>
      </c>
    </row>
    <row r="829" spans="1:9" ht="14.25" customHeight="1" x14ac:dyDescent="0.2">
      <c r="A829" s="523">
        <v>43459</v>
      </c>
      <c r="B829" s="80" t="s">
        <v>3542</v>
      </c>
      <c r="C829" s="80" t="s">
        <v>1590</v>
      </c>
      <c r="D829" s="1">
        <v>2.6875E-2</v>
      </c>
      <c r="E829" s="80" t="s">
        <v>6393</v>
      </c>
      <c r="F829" s="80" t="s">
        <v>11376</v>
      </c>
      <c r="G829" s="82">
        <v>0.57540000000000002</v>
      </c>
      <c r="H829" s="80"/>
    </row>
    <row r="830" spans="1:9" ht="14.25" customHeight="1" x14ac:dyDescent="0.2">
      <c r="A830" s="523">
        <v>43449</v>
      </c>
      <c r="B830" s="1029" t="s">
        <v>3542</v>
      </c>
      <c r="C830" s="1029" t="s">
        <v>1590</v>
      </c>
      <c r="D830" s="1">
        <v>2.826388888888889E-2</v>
      </c>
      <c r="E830" s="80" t="s">
        <v>1719</v>
      </c>
      <c r="F830" s="80" t="s">
        <v>11282</v>
      </c>
      <c r="G830" s="82">
        <v>0.53810000000000002</v>
      </c>
      <c r="H830" s="334">
        <f t="shared" ref="H830:H874" si="25">D831-D830</f>
        <v>9.2592592592592032E-4</v>
      </c>
    </row>
    <row r="831" spans="1:9" ht="14.25" customHeight="1" x14ac:dyDescent="0.2">
      <c r="A831" s="523">
        <v>43442</v>
      </c>
      <c r="B831" s="972" t="s">
        <v>3542</v>
      </c>
      <c r="C831" s="972" t="s">
        <v>1590</v>
      </c>
      <c r="D831" s="1">
        <v>2.9189814814814811E-2</v>
      </c>
      <c r="E831" s="80" t="s">
        <v>1719</v>
      </c>
      <c r="F831" s="80" t="s">
        <v>11236</v>
      </c>
      <c r="G831" s="82">
        <v>0.52100000000000002</v>
      </c>
      <c r="H831" s="334">
        <f t="shared" si="25"/>
        <v>-2.0138888888888845E-3</v>
      </c>
    </row>
    <row r="832" spans="1:9" ht="14.25" customHeight="1" x14ac:dyDescent="0.2">
      <c r="A832" s="523">
        <v>43428</v>
      </c>
      <c r="B832" s="1038" t="s">
        <v>3542</v>
      </c>
      <c r="C832" s="1038" t="s">
        <v>1590</v>
      </c>
      <c r="D832" s="1">
        <v>2.7175925925925926E-2</v>
      </c>
      <c r="E832" s="80" t="s">
        <v>1719</v>
      </c>
      <c r="F832" s="80" t="s">
        <v>11082</v>
      </c>
      <c r="G832" s="82">
        <v>0.55959999999999999</v>
      </c>
      <c r="H832" s="334">
        <f t="shared" si="25"/>
        <v>1.0763888888888871E-3</v>
      </c>
    </row>
    <row r="833" spans="1:8" ht="14.25" customHeight="1" x14ac:dyDescent="0.2">
      <c r="A833" s="523">
        <v>43421</v>
      </c>
      <c r="B833" s="906" t="s">
        <v>3542</v>
      </c>
      <c r="C833" s="906" t="s">
        <v>1590</v>
      </c>
      <c r="D833" s="1">
        <v>2.8252314814814813E-2</v>
      </c>
      <c r="E833" s="80" t="s">
        <v>1719</v>
      </c>
      <c r="F833" s="80" t="s">
        <v>11031</v>
      </c>
      <c r="G833" s="82">
        <v>0.54610000000000003</v>
      </c>
      <c r="H833" s="334">
        <f t="shared" si="25"/>
        <v>6.9444444444444892E-5</v>
      </c>
    </row>
    <row r="834" spans="1:8" ht="14.25" customHeight="1" x14ac:dyDescent="0.2">
      <c r="A834" s="523">
        <v>43414</v>
      </c>
      <c r="B834" s="862" t="s">
        <v>3542</v>
      </c>
      <c r="C834" s="862" t="s">
        <v>1590</v>
      </c>
      <c r="D834" s="1">
        <v>2.8321759259259258E-2</v>
      </c>
      <c r="E834" s="80" t="s">
        <v>6393</v>
      </c>
      <c r="F834" s="80" t="s">
        <v>3059</v>
      </c>
      <c r="G834" s="82">
        <v>0.53700000000000003</v>
      </c>
      <c r="H834" s="334">
        <f t="shared" si="25"/>
        <v>3.2175925925925948E-3</v>
      </c>
    </row>
    <row r="835" spans="1:8" ht="14.25" customHeight="1" x14ac:dyDescent="0.2">
      <c r="A835" s="523">
        <v>43407</v>
      </c>
      <c r="B835" s="901" t="s">
        <v>3542</v>
      </c>
      <c r="C835" s="901" t="s">
        <v>1590</v>
      </c>
      <c r="D835" s="1">
        <v>3.1539351851851853E-2</v>
      </c>
      <c r="E835" s="80" t="s">
        <v>1719</v>
      </c>
      <c r="F835" s="80" t="s">
        <v>10941</v>
      </c>
      <c r="G835" s="82">
        <v>0.48220000000000002</v>
      </c>
      <c r="H835" s="334">
        <f t="shared" si="25"/>
        <v>-4.5717592592592581E-3</v>
      </c>
    </row>
    <row r="836" spans="1:8" ht="14.25" customHeight="1" x14ac:dyDescent="0.2">
      <c r="A836" s="523">
        <v>43400</v>
      </c>
      <c r="B836" s="556" t="s">
        <v>3542</v>
      </c>
      <c r="C836" s="556" t="s">
        <v>1590</v>
      </c>
      <c r="D836" s="1">
        <v>2.6967592592592595E-2</v>
      </c>
      <c r="E836" s="80" t="s">
        <v>6393</v>
      </c>
      <c r="F836" s="80" t="s">
        <v>10915</v>
      </c>
      <c r="G836" s="82">
        <v>0.56389999999999996</v>
      </c>
      <c r="H836" s="334">
        <f t="shared" si="25"/>
        <v>3.0208333333333268E-3</v>
      </c>
    </row>
    <row r="837" spans="1:8" ht="14.25" customHeight="1" x14ac:dyDescent="0.2">
      <c r="A837" s="523">
        <v>43386</v>
      </c>
      <c r="B837" s="532" t="s">
        <v>3542</v>
      </c>
      <c r="C837" s="532" t="s">
        <v>1590</v>
      </c>
      <c r="D837" s="1">
        <v>2.9988425925925922E-2</v>
      </c>
      <c r="E837" s="80" t="s">
        <v>1719</v>
      </c>
      <c r="F837" s="80" t="s">
        <v>10828</v>
      </c>
      <c r="G837" s="82">
        <v>0.5071</v>
      </c>
      <c r="H837" s="334">
        <f t="shared" si="25"/>
        <v>-8.1018518518511523E-5</v>
      </c>
    </row>
    <row r="838" spans="1:8" ht="14.25" customHeight="1" x14ac:dyDescent="0.2">
      <c r="A838" s="34">
        <v>43379</v>
      </c>
      <c r="B838" s="869" t="s">
        <v>3542</v>
      </c>
      <c r="C838" s="869" t="s">
        <v>1590</v>
      </c>
      <c r="D838" s="1">
        <v>2.990740740740741E-2</v>
      </c>
      <c r="E838" s="80" t="s">
        <v>1719</v>
      </c>
      <c r="F838" s="80" t="s">
        <v>10754</v>
      </c>
      <c r="G838" s="82">
        <v>0.50849999999999995</v>
      </c>
      <c r="H838" s="334">
        <f t="shared" si="25"/>
        <v>-1.9097222222222258E-3</v>
      </c>
    </row>
    <row r="839" spans="1:8" ht="14.25" customHeight="1" x14ac:dyDescent="0.2">
      <c r="A839" s="34">
        <v>43372</v>
      </c>
      <c r="B839" s="532" t="s">
        <v>3542</v>
      </c>
      <c r="C839" s="532" t="s">
        <v>1590</v>
      </c>
      <c r="D839" s="1">
        <v>2.7997685185185184E-2</v>
      </c>
      <c r="E839" s="80" t="s">
        <v>1719</v>
      </c>
      <c r="F839" s="80" t="s">
        <v>10722</v>
      </c>
      <c r="G839" s="82">
        <v>0.54320000000000002</v>
      </c>
      <c r="H839" s="334">
        <f t="shared" si="25"/>
        <v>1.1805555555555562E-3</v>
      </c>
    </row>
    <row r="840" spans="1:8" ht="14.25" customHeight="1" x14ac:dyDescent="0.2">
      <c r="A840" s="34">
        <v>43365</v>
      </c>
      <c r="B840" s="556" t="s">
        <v>3542</v>
      </c>
      <c r="C840" s="556" t="s">
        <v>1590</v>
      </c>
      <c r="D840" s="1">
        <v>2.9178240740740741E-2</v>
      </c>
      <c r="E840" s="80" t="s">
        <v>1719</v>
      </c>
      <c r="F840" s="80" t="s">
        <v>10692</v>
      </c>
      <c r="G840" s="82">
        <v>0.5212</v>
      </c>
      <c r="H840" s="334">
        <f t="shared" si="25"/>
        <v>-1.7939814814814832E-3</v>
      </c>
    </row>
    <row r="841" spans="1:8" ht="14.25" customHeight="1" x14ac:dyDescent="0.2">
      <c r="A841" s="523">
        <v>43344</v>
      </c>
      <c r="B841" s="552" t="s">
        <v>3542</v>
      </c>
      <c r="C841" s="552" t="s">
        <v>1590</v>
      </c>
      <c r="D841" s="1">
        <v>2.7384259259259257E-2</v>
      </c>
      <c r="E841" t="s">
        <v>1719</v>
      </c>
      <c r="F841" s="80" t="s">
        <v>10549</v>
      </c>
      <c r="G841" s="82">
        <v>0.5554</v>
      </c>
      <c r="H841" s="334">
        <f t="shared" si="25"/>
        <v>-2.3148148148147835E-4</v>
      </c>
    </row>
    <row r="842" spans="1:8" ht="14.25" customHeight="1" x14ac:dyDescent="0.2">
      <c r="A842" s="523">
        <v>43337</v>
      </c>
      <c r="B842" s="1044" t="s">
        <v>3542</v>
      </c>
      <c r="C842" s="1044" t="s">
        <v>1590</v>
      </c>
      <c r="D842" s="1">
        <v>2.7152777777777779E-2</v>
      </c>
      <c r="E842" s="80" t="s">
        <v>1719</v>
      </c>
      <c r="F842" s="80" t="s">
        <v>10483</v>
      </c>
      <c r="G842" s="82">
        <v>0.56010000000000004</v>
      </c>
      <c r="H842" s="334">
        <f t="shared" si="25"/>
        <v>-5.3240740740740505E-4</v>
      </c>
    </row>
    <row r="843" spans="1:8" ht="14.25" customHeight="1" x14ac:dyDescent="0.2">
      <c r="A843" s="523">
        <v>43330</v>
      </c>
      <c r="B843" s="1099" t="s">
        <v>3542</v>
      </c>
      <c r="C843" s="1099" t="s">
        <v>1590</v>
      </c>
      <c r="D843" s="1">
        <v>2.6620370370370374E-2</v>
      </c>
      <c r="E843" s="80" t="s">
        <v>6393</v>
      </c>
      <c r="F843" s="80" t="s">
        <v>10462</v>
      </c>
      <c r="G843" s="82">
        <v>0.57130000000000003</v>
      </c>
      <c r="H843" s="334">
        <f t="shared" si="25"/>
        <v>6.2499999999999362E-4</v>
      </c>
    </row>
    <row r="844" spans="1:8" ht="14.25" customHeight="1" x14ac:dyDescent="0.2">
      <c r="A844" s="523">
        <v>43323</v>
      </c>
      <c r="B844" s="585" t="s">
        <v>3542</v>
      </c>
      <c r="C844" s="585" t="s">
        <v>1590</v>
      </c>
      <c r="D844" s="1">
        <v>2.7245370370370368E-2</v>
      </c>
      <c r="E844" t="s">
        <v>1719</v>
      </c>
      <c r="F844" t="s">
        <v>10412</v>
      </c>
      <c r="G844" s="82">
        <v>0.55820000000000003</v>
      </c>
      <c r="H844" s="334">
        <f t="shared" si="25"/>
        <v>6.2500000000000056E-4</v>
      </c>
    </row>
    <row r="845" spans="1:8" ht="14.25" customHeight="1" x14ac:dyDescent="0.2">
      <c r="A845" s="523">
        <v>43316</v>
      </c>
      <c r="B845" s="1029" t="s">
        <v>3542</v>
      </c>
      <c r="C845" s="1030" t="s">
        <v>1590</v>
      </c>
      <c r="D845" s="136">
        <v>2.7870370370370368E-2</v>
      </c>
      <c r="E845" s="80" t="s">
        <v>1719</v>
      </c>
      <c r="F845" s="69" t="s">
        <v>10394</v>
      </c>
      <c r="G845" s="82">
        <v>0.54569999999999996</v>
      </c>
      <c r="H845" s="334">
        <f t="shared" si="25"/>
        <v>-1.4814814814814795E-3</v>
      </c>
    </row>
    <row r="846" spans="1:8" ht="14.25" customHeight="1" x14ac:dyDescent="0.2">
      <c r="A846" s="523">
        <v>43309</v>
      </c>
      <c r="B846" s="879" t="s">
        <v>3542</v>
      </c>
      <c r="C846" s="879" t="s">
        <v>1590</v>
      </c>
      <c r="D846" s="1">
        <v>2.6388888888888889E-2</v>
      </c>
      <c r="E846" s="80" t="s">
        <v>6393</v>
      </c>
      <c r="F846" s="80" t="s">
        <v>10345</v>
      </c>
      <c r="G846" s="82">
        <v>0.57630000000000003</v>
      </c>
      <c r="H846" s="334">
        <f t="shared" si="25"/>
        <v>4.0509259259259578E-4</v>
      </c>
    </row>
    <row r="847" spans="1:8" ht="14.25" customHeight="1" x14ac:dyDescent="0.2">
      <c r="A847" s="523">
        <v>43302</v>
      </c>
      <c r="B847" s="985" t="s">
        <v>3542</v>
      </c>
      <c r="C847" s="985" t="s">
        <v>1590</v>
      </c>
      <c r="D847" s="334">
        <v>2.6793981481481485E-2</v>
      </c>
      <c r="E847" s="80" t="s">
        <v>6393</v>
      </c>
      <c r="F847" s="80" t="s">
        <v>10277</v>
      </c>
      <c r="G847" s="82">
        <v>0.56759999999999999</v>
      </c>
      <c r="H847" s="334">
        <f t="shared" si="25"/>
        <v>2.7777777777777263E-4</v>
      </c>
    </row>
    <row r="848" spans="1:8" ht="14.25" customHeight="1" x14ac:dyDescent="0.2">
      <c r="A848" s="523">
        <v>43295</v>
      </c>
      <c r="B848" s="601" t="s">
        <v>3542</v>
      </c>
      <c r="C848" s="601" t="s">
        <v>1590</v>
      </c>
      <c r="D848" s="334">
        <v>2.7071759259259257E-2</v>
      </c>
      <c r="E848" s="80" t="s">
        <v>1719</v>
      </c>
      <c r="F848" s="80" t="s">
        <v>10254</v>
      </c>
      <c r="G848" s="82">
        <v>0.56179999999999997</v>
      </c>
      <c r="H848" s="334">
        <f t="shared" si="25"/>
        <v>-1.0879629629629607E-3</v>
      </c>
    </row>
    <row r="849" spans="1:9" ht="14.25" customHeight="1" x14ac:dyDescent="0.2">
      <c r="A849" s="523">
        <v>43288</v>
      </c>
      <c r="B849" s="1077" t="s">
        <v>3542</v>
      </c>
      <c r="C849" s="1077" t="s">
        <v>1590</v>
      </c>
      <c r="D849" s="1">
        <v>2.5983796296296297E-2</v>
      </c>
      <c r="E849" t="s">
        <v>6393</v>
      </c>
      <c r="F849" t="s">
        <v>8564</v>
      </c>
      <c r="G849" s="82">
        <v>0.58530000000000004</v>
      </c>
      <c r="H849" s="334" t="e">
        <f t="shared" si="25"/>
        <v>#VALUE!</v>
      </c>
    </row>
    <row r="850" spans="1:9" ht="14.25" customHeight="1" x14ac:dyDescent="0.2">
      <c r="A850" s="523">
        <v>43281</v>
      </c>
      <c r="B850" s="552" t="s">
        <v>3542</v>
      </c>
      <c r="C850" s="552" t="s">
        <v>1590</v>
      </c>
      <c r="D850" s="80" t="s">
        <v>787</v>
      </c>
      <c r="E850" s="80" t="s">
        <v>1719</v>
      </c>
      <c r="F850" s="80" t="s">
        <v>4854</v>
      </c>
      <c r="G850" s="82"/>
      <c r="H850" s="334" t="e">
        <f t="shared" si="25"/>
        <v>#VALUE!</v>
      </c>
    </row>
    <row r="851" spans="1:9" ht="14.25" customHeight="1" x14ac:dyDescent="0.2">
      <c r="A851" s="34">
        <v>43274</v>
      </c>
      <c r="B851" s="1071" t="s">
        <v>3542</v>
      </c>
      <c r="C851" s="1071" t="s">
        <v>1590</v>
      </c>
      <c r="D851" s="1">
        <v>2.5995370370370367E-2</v>
      </c>
      <c r="E851" s="80" t="s">
        <v>6393</v>
      </c>
      <c r="F851" s="80" t="s">
        <v>10135</v>
      </c>
      <c r="G851" s="82">
        <v>0.58499999999999996</v>
      </c>
      <c r="H851" s="334">
        <f t="shared" si="25"/>
        <v>3.587962962963015E-4</v>
      </c>
    </row>
    <row r="852" spans="1:9" ht="14.25" customHeight="1" x14ac:dyDescent="0.2">
      <c r="A852" s="523">
        <v>43267</v>
      </c>
      <c r="B852" s="1058" t="s">
        <v>3542</v>
      </c>
      <c r="C852" s="1059" t="s">
        <v>1590</v>
      </c>
      <c r="D852" s="1">
        <v>2.6354166666666668E-2</v>
      </c>
      <c r="E852" s="80" t="s">
        <v>1719</v>
      </c>
      <c r="F852" s="69" t="s">
        <v>9955</v>
      </c>
      <c r="G852" s="82">
        <v>0.57709999999999995</v>
      </c>
      <c r="H852" s="334">
        <f t="shared" si="25"/>
        <v>7.4074074074073626E-4</v>
      </c>
      <c r="I852" s="80"/>
    </row>
    <row r="853" spans="1:9" ht="14.25" customHeight="1" x14ac:dyDescent="0.2">
      <c r="A853" s="523">
        <v>43260</v>
      </c>
      <c r="B853" s="532" t="s">
        <v>3542</v>
      </c>
      <c r="C853" s="843" t="s">
        <v>1590</v>
      </c>
      <c r="D853" s="1">
        <v>2.7094907407407404E-2</v>
      </c>
      <c r="E853" s="80" t="s">
        <v>1719</v>
      </c>
      <c r="F853" s="97" t="s">
        <v>3709</v>
      </c>
      <c r="G853" s="82">
        <v>0.56130000000000002</v>
      </c>
      <c r="H853" s="334">
        <f t="shared" si="25"/>
        <v>-6.9444444444444892E-5</v>
      </c>
      <c r="I853" s="80"/>
    </row>
    <row r="854" spans="1:9" ht="14.25" customHeight="1" x14ac:dyDescent="0.2">
      <c r="A854" s="523">
        <v>43253</v>
      </c>
      <c r="B854" s="901" t="s">
        <v>3542</v>
      </c>
      <c r="C854" s="902" t="s">
        <v>1590</v>
      </c>
      <c r="D854" s="1">
        <v>2.7025462962962959E-2</v>
      </c>
      <c r="E854" s="80" t="s">
        <v>1719</v>
      </c>
      <c r="F854" s="69" t="s">
        <v>9871</v>
      </c>
      <c r="G854" s="82">
        <v>0.56269999999999998</v>
      </c>
      <c r="H854" s="334">
        <f t="shared" si="25"/>
        <v>-9.8379629629629164E-4</v>
      </c>
      <c r="I854" s="80"/>
    </row>
    <row r="855" spans="1:9" ht="14.25" customHeight="1" x14ac:dyDescent="0.2">
      <c r="A855" s="523">
        <v>43246</v>
      </c>
      <c r="B855" s="601" t="s">
        <v>3542</v>
      </c>
      <c r="C855" s="958" t="s">
        <v>1590</v>
      </c>
      <c r="D855" s="1">
        <v>2.6041666666666668E-2</v>
      </c>
      <c r="E855" s="80" t="s">
        <v>1719</v>
      </c>
      <c r="F855" s="69" t="s">
        <v>3190</v>
      </c>
      <c r="G855" s="82">
        <v>0.58399999999999996</v>
      </c>
      <c r="H855" s="334">
        <f t="shared" si="25"/>
        <v>1.8518518518518406E-4</v>
      </c>
      <c r="I855" s="80"/>
    </row>
    <row r="856" spans="1:9" ht="14.25" customHeight="1" x14ac:dyDescent="0.2">
      <c r="A856" s="523">
        <v>43239</v>
      </c>
      <c r="B856" s="80" t="s">
        <v>3542</v>
      </c>
      <c r="C856" s="334" t="s">
        <v>1590</v>
      </c>
      <c r="D856" s="1">
        <v>2.6226851851851852E-2</v>
      </c>
      <c r="E856" s="80" t="s">
        <v>1719</v>
      </c>
      <c r="F856" s="69" t="s">
        <v>4588</v>
      </c>
      <c r="G856" s="82">
        <v>0.57989999999999997</v>
      </c>
      <c r="H856" s="334">
        <f t="shared" si="25"/>
        <v>1.1921296296296333E-3</v>
      </c>
      <c r="I856" s="80"/>
    </row>
    <row r="857" spans="1:9" ht="14.25" customHeight="1" x14ac:dyDescent="0.2">
      <c r="A857" s="523">
        <v>43232</v>
      </c>
      <c r="B857" s="1051" t="s">
        <v>3542</v>
      </c>
      <c r="C857" s="1052" t="s">
        <v>1590</v>
      </c>
      <c r="D857" s="1">
        <v>2.7418981481481485E-2</v>
      </c>
      <c r="E857" s="80" t="s">
        <v>1719</v>
      </c>
      <c r="F857" s="69" t="s">
        <v>9748</v>
      </c>
      <c r="G857" s="82">
        <v>0.55469999999999997</v>
      </c>
      <c r="H857" s="334">
        <f t="shared" si="25"/>
        <v>-6.9444444444448361E-5</v>
      </c>
      <c r="I857" s="80"/>
    </row>
    <row r="858" spans="1:9" ht="14.25" customHeight="1" x14ac:dyDescent="0.2">
      <c r="A858" s="523">
        <v>43211</v>
      </c>
      <c r="B858" s="1038" t="s">
        <v>3542</v>
      </c>
      <c r="C858" s="1039" t="s">
        <v>1590</v>
      </c>
      <c r="D858" s="334">
        <v>2.7349537037037037E-2</v>
      </c>
      <c r="E858" s="80" t="s">
        <v>1719</v>
      </c>
      <c r="F858" s="69" t="s">
        <v>9622</v>
      </c>
      <c r="G858" s="82">
        <v>0.55610000000000004</v>
      </c>
      <c r="H858" s="334">
        <f t="shared" si="25"/>
        <v>-1.0185185185185193E-3</v>
      </c>
      <c r="I858" s="80"/>
    </row>
    <row r="859" spans="1:9" ht="14.25" customHeight="1" x14ac:dyDescent="0.2">
      <c r="A859" s="523">
        <v>43204</v>
      </c>
      <c r="B859" s="80" t="s">
        <v>3542</v>
      </c>
      <c r="C859" s="334" t="s">
        <v>1590</v>
      </c>
      <c r="D859" s="1">
        <v>2.6331018518518517E-2</v>
      </c>
      <c r="E859" s="80" t="s">
        <v>6393</v>
      </c>
      <c r="F859" s="69" t="s">
        <v>9587</v>
      </c>
      <c r="G859" s="82">
        <v>0.5776</v>
      </c>
      <c r="H859" s="334" t="e">
        <f t="shared" si="25"/>
        <v>#VALUE!</v>
      </c>
      <c r="I859" s="80"/>
    </row>
    <row r="860" spans="1:9" ht="14.25" customHeight="1" x14ac:dyDescent="0.2">
      <c r="A860" s="523">
        <v>43197</v>
      </c>
      <c r="B860" s="930" t="s">
        <v>3542</v>
      </c>
      <c r="C860" s="931" t="s">
        <v>1590</v>
      </c>
      <c r="D860" s="1" t="s">
        <v>787</v>
      </c>
      <c r="E860" s="80" t="s">
        <v>1719</v>
      </c>
      <c r="F860" s="69" t="s">
        <v>4854</v>
      </c>
      <c r="G860" s="82"/>
      <c r="H860" s="334" t="e">
        <f t="shared" si="25"/>
        <v>#VALUE!</v>
      </c>
      <c r="I860" s="80"/>
    </row>
    <row r="861" spans="1:9" ht="14.25" customHeight="1" x14ac:dyDescent="0.2">
      <c r="A861" s="523">
        <v>43190</v>
      </c>
      <c r="B861" s="1029" t="s">
        <v>3542</v>
      </c>
      <c r="C861" s="1030" t="s">
        <v>1590</v>
      </c>
      <c r="D861" s="1">
        <v>2.7013888888888889E-2</v>
      </c>
      <c r="E861" s="80" t="s">
        <v>1719</v>
      </c>
      <c r="F861" s="69" t="s">
        <v>9515</v>
      </c>
      <c r="G861" s="82">
        <v>0.56299999999999994</v>
      </c>
      <c r="H861" s="334">
        <f t="shared" si="25"/>
        <v>8.564814814814789E-4</v>
      </c>
      <c r="I861" s="80"/>
    </row>
    <row r="862" spans="1:9" x14ac:dyDescent="0.2">
      <c r="A862" s="523">
        <v>43183</v>
      </c>
      <c r="B862" s="1019" t="s">
        <v>3542</v>
      </c>
      <c r="C862" s="1020" t="s">
        <v>1590</v>
      </c>
      <c r="D862" s="1">
        <v>2.7870370370370368E-2</v>
      </c>
      <c r="E862" s="80" t="s">
        <v>1719</v>
      </c>
      <c r="F862" s="69" t="s">
        <v>854</v>
      </c>
      <c r="G862" s="82">
        <v>0.54569999999999996</v>
      </c>
      <c r="H862" s="334" t="e">
        <f t="shared" si="25"/>
        <v>#VALUE!</v>
      </c>
      <c r="I862" s="80"/>
    </row>
    <row r="863" spans="1:9" x14ac:dyDescent="0.2">
      <c r="A863" s="523">
        <v>43176</v>
      </c>
      <c r="B863" s="532" t="s">
        <v>3542</v>
      </c>
      <c r="C863" s="843" t="s">
        <v>1590</v>
      </c>
      <c r="D863" s="334" t="s">
        <v>787</v>
      </c>
      <c r="E863" s="80" t="s">
        <v>1719</v>
      </c>
      <c r="F863" s="69" t="s">
        <v>5508</v>
      </c>
      <c r="G863" s="82"/>
      <c r="H863" s="334" t="e">
        <f t="shared" si="25"/>
        <v>#VALUE!</v>
      </c>
      <c r="I863" s="80"/>
    </row>
    <row r="864" spans="1:9" x14ac:dyDescent="0.2">
      <c r="A864" s="523">
        <v>43169</v>
      </c>
      <c r="B864" s="862" t="s">
        <v>3542</v>
      </c>
      <c r="C864" s="863" t="s">
        <v>1590</v>
      </c>
      <c r="D864" s="334" t="s">
        <v>787</v>
      </c>
      <c r="E864" s="80" t="s">
        <v>1719</v>
      </c>
      <c r="F864" s="69" t="s">
        <v>5699</v>
      </c>
      <c r="G864" s="82"/>
      <c r="H864" s="334" t="e">
        <f t="shared" si="25"/>
        <v>#VALUE!</v>
      </c>
      <c r="I864" s="80"/>
    </row>
    <row r="865" spans="1:9" x14ac:dyDescent="0.2">
      <c r="A865" s="523">
        <v>43155</v>
      </c>
      <c r="B865" s="940" t="s">
        <v>3542</v>
      </c>
      <c r="C865" s="941" t="s">
        <v>1590</v>
      </c>
      <c r="D865" s="1" t="s">
        <v>787</v>
      </c>
      <c r="E865" s="80" t="s">
        <v>1719</v>
      </c>
      <c r="F865" s="69"/>
      <c r="G865" s="82"/>
      <c r="H865" s="334" t="e">
        <f t="shared" si="25"/>
        <v>#VALUE!</v>
      </c>
      <c r="I865" s="80"/>
    </row>
    <row r="866" spans="1:9" x14ac:dyDescent="0.2">
      <c r="A866" s="523">
        <v>43148</v>
      </c>
      <c r="B866" s="568" t="s">
        <v>3542</v>
      </c>
      <c r="C866" s="861" t="s">
        <v>1590</v>
      </c>
      <c r="D866" s="35">
        <v>4.2939814814814813E-2</v>
      </c>
      <c r="E866" s="80" t="s">
        <v>1719</v>
      </c>
      <c r="F866" s="69" t="s">
        <v>8160</v>
      </c>
      <c r="G866" s="82">
        <v>0.35420000000000001</v>
      </c>
      <c r="H866" s="334">
        <f t="shared" si="25"/>
        <v>-1.6793981481481483E-2</v>
      </c>
      <c r="I866" s="80"/>
    </row>
    <row r="867" spans="1:9" x14ac:dyDescent="0.2">
      <c r="A867" s="523">
        <v>43134</v>
      </c>
      <c r="B867" s="985" t="s">
        <v>3542</v>
      </c>
      <c r="C867" s="986" t="s">
        <v>1590</v>
      </c>
      <c r="D867" s="1">
        <v>2.614583333333333E-2</v>
      </c>
      <c r="E867" s="80" t="s">
        <v>1719</v>
      </c>
      <c r="F867" s="69" t="s">
        <v>5450</v>
      </c>
      <c r="G867" s="82">
        <v>0.58169999999999999</v>
      </c>
      <c r="H867" s="334">
        <f t="shared" si="25"/>
        <v>1.8634259259259316E-3</v>
      </c>
      <c r="I867" s="80"/>
    </row>
    <row r="868" spans="1:9" x14ac:dyDescent="0.2">
      <c r="A868" s="523">
        <v>43127</v>
      </c>
      <c r="B868" s="862" t="s">
        <v>3542</v>
      </c>
      <c r="C868" s="863" t="s">
        <v>1590</v>
      </c>
      <c r="D868" s="1">
        <v>2.8009259259259262E-2</v>
      </c>
      <c r="E868" s="80" t="s">
        <v>1719</v>
      </c>
      <c r="F868" s="69" t="s">
        <v>1587</v>
      </c>
      <c r="G868" s="82">
        <v>0.54300000000000004</v>
      </c>
      <c r="H868" s="334">
        <f t="shared" si="25"/>
        <v>-2.025462962962965E-3</v>
      </c>
      <c r="I868" s="80"/>
    </row>
    <row r="869" spans="1:9" x14ac:dyDescent="0.2">
      <c r="A869" s="523">
        <v>43120</v>
      </c>
      <c r="B869" s="80" t="s">
        <v>3542</v>
      </c>
      <c r="C869" s="334" t="s">
        <v>1590</v>
      </c>
      <c r="D869" s="1">
        <v>2.5983796296296297E-2</v>
      </c>
      <c r="E869" s="80" t="s">
        <v>1401</v>
      </c>
      <c r="F869" s="69" t="s">
        <v>9096</v>
      </c>
      <c r="G869" s="82">
        <v>0.58530000000000004</v>
      </c>
      <c r="H869" s="334">
        <f t="shared" si="25"/>
        <v>-9.3749999999999736E-4</v>
      </c>
      <c r="I869" s="80"/>
    </row>
    <row r="870" spans="1:9" x14ac:dyDescent="0.2">
      <c r="A870" s="523">
        <v>43101</v>
      </c>
      <c r="B870" s="556" t="s">
        <v>3542</v>
      </c>
      <c r="C870" s="950" t="s">
        <v>1590</v>
      </c>
      <c r="D870" s="1">
        <v>2.5046296296296299E-2</v>
      </c>
      <c r="E870" s="80" t="s">
        <v>2593</v>
      </c>
      <c r="F870" s="69" t="s">
        <v>6210</v>
      </c>
      <c r="G870" s="82">
        <v>0.60719999999999996</v>
      </c>
      <c r="H870" s="334">
        <f t="shared" si="25"/>
        <v>2.719907407407407E-3</v>
      </c>
      <c r="I870" s="80"/>
    </row>
    <row r="871" spans="1:9" x14ac:dyDescent="0.2">
      <c r="A871" s="523">
        <v>43456</v>
      </c>
      <c r="B871" s="556" t="s">
        <v>5522</v>
      </c>
      <c r="C871" s="556" t="s">
        <v>1590</v>
      </c>
      <c r="D871" s="1">
        <v>2.7766203703703706E-2</v>
      </c>
      <c r="E871" s="80" t="s">
        <v>1719</v>
      </c>
      <c r="F871" s="80" t="s">
        <v>11354</v>
      </c>
      <c r="G871" s="82">
        <v>0.55689999999999995</v>
      </c>
      <c r="H871" s="334">
        <f t="shared" si="25"/>
        <v>1.0752314814814815E-2</v>
      </c>
    </row>
    <row r="872" spans="1:9" x14ac:dyDescent="0.2">
      <c r="A872" s="523">
        <v>43393</v>
      </c>
      <c r="B872" s="862" t="s">
        <v>5522</v>
      </c>
      <c r="C872" s="862" t="s">
        <v>1590</v>
      </c>
      <c r="D872" s="1">
        <v>3.8518518518518521E-2</v>
      </c>
      <c r="E872" s="80" t="s">
        <v>1719</v>
      </c>
      <c r="F872" s="80" t="s">
        <v>10837</v>
      </c>
      <c r="G872" s="82">
        <v>0.39479999999999998</v>
      </c>
      <c r="H872" s="334" t="e">
        <f t="shared" si="25"/>
        <v>#VALUE!</v>
      </c>
    </row>
    <row r="873" spans="1:9" x14ac:dyDescent="0.2">
      <c r="A873" s="523">
        <v>43358</v>
      </c>
      <c r="B873" s="1127" t="s">
        <v>5522</v>
      </c>
      <c r="C873" s="1129" t="s">
        <v>1590</v>
      </c>
      <c r="D873" s="1" t="s">
        <v>787</v>
      </c>
      <c r="E873" t="s">
        <v>1719</v>
      </c>
      <c r="F873" s="80" t="s">
        <v>10653</v>
      </c>
      <c r="G873" s="82"/>
      <c r="H873" s="334" t="e">
        <f t="shared" si="25"/>
        <v>#VALUE!</v>
      </c>
    </row>
    <row r="874" spans="1:9" x14ac:dyDescent="0.2">
      <c r="A874" s="523">
        <v>43463</v>
      </c>
      <c r="B874" s="862" t="s">
        <v>1796</v>
      </c>
      <c r="C874" s="862" t="s">
        <v>1797</v>
      </c>
      <c r="D874" s="1">
        <v>1.9467592592592595E-2</v>
      </c>
      <c r="E874" s="80" t="s">
        <v>5883</v>
      </c>
      <c r="F874" s="80" t="s">
        <v>1119</v>
      </c>
      <c r="G874" s="82">
        <v>0.57730000000000004</v>
      </c>
      <c r="H874" s="334">
        <f t="shared" si="25"/>
        <v>-2.3495370370370389E-3</v>
      </c>
    </row>
    <row r="875" spans="1:9" x14ac:dyDescent="0.2">
      <c r="A875" s="523">
        <v>43459</v>
      </c>
      <c r="B875" s="80" t="s">
        <v>1796</v>
      </c>
      <c r="C875" s="80" t="s">
        <v>1797</v>
      </c>
      <c r="D875" s="1">
        <v>1.7118055555555556E-2</v>
      </c>
      <c r="E875" s="80" t="s">
        <v>5885</v>
      </c>
      <c r="F875" s="80" t="s">
        <v>5249</v>
      </c>
      <c r="G875" s="82">
        <v>0.65649999999999997</v>
      </c>
      <c r="H875" s="80"/>
    </row>
    <row r="876" spans="1:9" x14ac:dyDescent="0.2">
      <c r="A876" s="523">
        <v>43456</v>
      </c>
      <c r="B876" s="556" t="s">
        <v>1796</v>
      </c>
      <c r="C876" s="556" t="s">
        <v>1797</v>
      </c>
      <c r="D876" s="1">
        <v>1.8136574074074072E-2</v>
      </c>
      <c r="E876" s="80" t="s">
        <v>5883</v>
      </c>
      <c r="F876" s="80" t="s">
        <v>11336</v>
      </c>
      <c r="G876" s="82">
        <v>0.61970000000000003</v>
      </c>
      <c r="H876" s="334">
        <f t="shared" ref="H876:H907" si="26">D877-D876</f>
        <v>2.0601851851851857E-3</v>
      </c>
    </row>
    <row r="877" spans="1:9" x14ac:dyDescent="0.2">
      <c r="A877" s="523">
        <v>43449</v>
      </c>
      <c r="B877" s="1029" t="s">
        <v>1796</v>
      </c>
      <c r="C877" s="1029" t="s">
        <v>1797</v>
      </c>
      <c r="D877" s="1">
        <v>2.0196759259259258E-2</v>
      </c>
      <c r="E877" s="80" t="s">
        <v>5883</v>
      </c>
      <c r="F877" s="80" t="s">
        <v>11307</v>
      </c>
      <c r="G877" s="82">
        <v>0.55640000000000001</v>
      </c>
      <c r="H877" s="334">
        <f t="shared" si="26"/>
        <v>3.2407407407407385E-4</v>
      </c>
    </row>
    <row r="878" spans="1:9" x14ac:dyDescent="0.2">
      <c r="A878" s="523">
        <v>43442</v>
      </c>
      <c r="B878" s="972" t="s">
        <v>1796</v>
      </c>
      <c r="C878" s="972" t="s">
        <v>1797</v>
      </c>
      <c r="D878" s="1">
        <v>2.0520833333333332E-2</v>
      </c>
      <c r="E878" s="80" t="s">
        <v>6284</v>
      </c>
      <c r="F878" s="80" t="s">
        <v>11239</v>
      </c>
      <c r="G878" s="82">
        <v>0.54769999999999996</v>
      </c>
      <c r="H878" s="334">
        <f t="shared" si="26"/>
        <v>-2.2800925925925905E-3</v>
      </c>
    </row>
    <row r="879" spans="1:9" x14ac:dyDescent="0.2">
      <c r="A879" s="523">
        <v>43421</v>
      </c>
      <c r="B879" s="906" t="s">
        <v>1796</v>
      </c>
      <c r="C879" s="906" t="s">
        <v>1797</v>
      </c>
      <c r="D879" s="1">
        <v>1.8240740740740741E-2</v>
      </c>
      <c r="E879" s="80" t="s">
        <v>5883</v>
      </c>
      <c r="F879" s="80" t="s">
        <v>11039</v>
      </c>
      <c r="G879" s="82">
        <v>0.61609999999999998</v>
      </c>
      <c r="H879" s="334">
        <f t="shared" si="26"/>
        <v>1.0300925925925929E-3</v>
      </c>
    </row>
    <row r="880" spans="1:9" x14ac:dyDescent="0.2">
      <c r="A880" s="34">
        <v>43372</v>
      </c>
      <c r="B880" s="532" t="s">
        <v>1796</v>
      </c>
      <c r="C880" s="532" t="s">
        <v>1797</v>
      </c>
      <c r="D880" s="1">
        <v>1.9270833333333334E-2</v>
      </c>
      <c r="E880" s="80" t="s">
        <v>8407</v>
      </c>
      <c r="F880" s="80" t="s">
        <v>10736</v>
      </c>
      <c r="G880" s="82">
        <v>0.58320000000000005</v>
      </c>
      <c r="H880" s="334">
        <f t="shared" si="26"/>
        <v>4.1319444444444485E-3</v>
      </c>
    </row>
    <row r="881" spans="1:11" ht="12.75" customHeight="1" x14ac:dyDescent="0.2">
      <c r="A881" s="523">
        <v>43351</v>
      </c>
      <c r="B881" s="532" t="s">
        <v>1796</v>
      </c>
      <c r="C881" s="532" t="s">
        <v>1797</v>
      </c>
      <c r="D881" s="1">
        <v>2.3402777777777783E-2</v>
      </c>
      <c r="E881" s="80" t="s">
        <v>2840</v>
      </c>
      <c r="F881" s="80" t="s">
        <v>10603</v>
      </c>
      <c r="G881" s="82">
        <v>0.48020000000000002</v>
      </c>
      <c r="H881" s="334">
        <f t="shared" si="26"/>
        <v>-4.7916666666666732E-3</v>
      </c>
    </row>
    <row r="882" spans="1:11" x14ac:dyDescent="0.2">
      <c r="A882" s="523">
        <v>43344</v>
      </c>
      <c r="B882" s="552" t="s">
        <v>1796</v>
      </c>
      <c r="C882" s="552" t="s">
        <v>1797</v>
      </c>
      <c r="D882" s="1">
        <v>1.861111111111111E-2</v>
      </c>
      <c r="E882" t="s">
        <v>5883</v>
      </c>
      <c r="F882" t="s">
        <v>10567</v>
      </c>
      <c r="G882" s="82">
        <v>0.60389999999999999</v>
      </c>
      <c r="H882" s="334">
        <f t="shared" si="26"/>
        <v>3.6111111111111135E-3</v>
      </c>
    </row>
    <row r="883" spans="1:11" x14ac:dyDescent="0.2">
      <c r="A883" s="523">
        <v>43337</v>
      </c>
      <c r="B883" s="1044" t="s">
        <v>1796</v>
      </c>
      <c r="C883" s="1044" t="s">
        <v>1797</v>
      </c>
      <c r="D883" s="1">
        <v>2.2222222222222223E-2</v>
      </c>
      <c r="E883" s="80" t="s">
        <v>5883</v>
      </c>
      <c r="F883" s="80" t="s">
        <v>10486</v>
      </c>
      <c r="G883" s="82">
        <v>0.50570000000000004</v>
      </c>
      <c r="H883" s="334">
        <f t="shared" si="26"/>
        <v>7.4421296296296319E-3</v>
      </c>
    </row>
    <row r="884" spans="1:11" x14ac:dyDescent="0.2">
      <c r="A884" s="523">
        <v>43330</v>
      </c>
      <c r="B884" s="1099" t="s">
        <v>1796</v>
      </c>
      <c r="C884" s="1099" t="s">
        <v>1797</v>
      </c>
      <c r="D884" s="1">
        <v>2.9664351851851855E-2</v>
      </c>
      <c r="E884" s="80" t="s">
        <v>5883</v>
      </c>
      <c r="F884" s="80" t="s">
        <v>10463</v>
      </c>
      <c r="G884" s="82">
        <v>0.37890000000000001</v>
      </c>
      <c r="H884" s="334">
        <f t="shared" si="26"/>
        <v>-1.1296296296296301E-2</v>
      </c>
    </row>
    <row r="885" spans="1:11" x14ac:dyDescent="0.2">
      <c r="A885" s="523">
        <v>43323</v>
      </c>
      <c r="B885" s="585" t="s">
        <v>1796</v>
      </c>
      <c r="C885" s="585" t="s">
        <v>1797</v>
      </c>
      <c r="D885" s="1">
        <v>1.8368055555555554E-2</v>
      </c>
      <c r="E885" t="s">
        <v>10192</v>
      </c>
      <c r="F885" t="s">
        <v>10402</v>
      </c>
      <c r="G885" s="82">
        <v>0.61180000000000001</v>
      </c>
      <c r="H885" s="334">
        <f t="shared" si="26"/>
        <v>2.6273148148148184E-3</v>
      </c>
    </row>
    <row r="886" spans="1:11" x14ac:dyDescent="0.2">
      <c r="A886" s="523">
        <v>43295</v>
      </c>
      <c r="B886" s="601" t="s">
        <v>1796</v>
      </c>
      <c r="C886" s="601" t="s">
        <v>1797</v>
      </c>
      <c r="D886" s="1">
        <v>2.0995370370370373E-2</v>
      </c>
      <c r="E886" s="80" t="s">
        <v>10246</v>
      </c>
      <c r="F886" s="80" t="s">
        <v>10259</v>
      </c>
      <c r="G886" s="82">
        <v>0.5353</v>
      </c>
      <c r="H886" s="334">
        <f t="shared" si="26"/>
        <v>-3.3101851851851903E-3</v>
      </c>
    </row>
    <row r="887" spans="1:11" x14ac:dyDescent="0.2">
      <c r="A887" s="34">
        <v>43274</v>
      </c>
      <c r="B887" s="1071" t="s">
        <v>1796</v>
      </c>
      <c r="C887" s="1071" t="s">
        <v>1797</v>
      </c>
      <c r="D887" s="1">
        <v>1.7685185185185182E-2</v>
      </c>
      <c r="E887" s="80" t="s">
        <v>5883</v>
      </c>
      <c r="F887" s="80" t="s">
        <v>10140</v>
      </c>
      <c r="G887" s="82">
        <v>0.63549999999999995</v>
      </c>
      <c r="H887" s="334">
        <f t="shared" si="26"/>
        <v>-2.777777777777761E-4</v>
      </c>
      <c r="I887" s="82"/>
      <c r="J887" s="82"/>
      <c r="K887" s="82"/>
    </row>
    <row r="888" spans="1:11" x14ac:dyDescent="0.2">
      <c r="A888" s="523">
        <v>43260</v>
      </c>
      <c r="B888" s="532" t="s">
        <v>1796</v>
      </c>
      <c r="C888" s="843" t="s">
        <v>1797</v>
      </c>
      <c r="D888" s="1">
        <v>1.7407407407407406E-2</v>
      </c>
      <c r="E888" s="80" t="s">
        <v>5883</v>
      </c>
      <c r="F888" s="69" t="s">
        <v>9916</v>
      </c>
      <c r="G888" s="82">
        <v>0.64559999999999995</v>
      </c>
      <c r="H888" s="334">
        <f t="shared" si="26"/>
        <v>-1.041666666666656E-4</v>
      </c>
      <c r="I888" s="80"/>
    </row>
    <row r="889" spans="1:11" x14ac:dyDescent="0.2">
      <c r="A889" s="523">
        <v>43253</v>
      </c>
      <c r="B889" s="901" t="s">
        <v>1796</v>
      </c>
      <c r="C889" s="902" t="s">
        <v>1797</v>
      </c>
      <c r="D889" s="1">
        <v>1.7303240740740741E-2</v>
      </c>
      <c r="E889" s="80" t="s">
        <v>9307</v>
      </c>
      <c r="F889" s="69" t="s">
        <v>9570</v>
      </c>
      <c r="G889" s="82">
        <v>0.64949999999999997</v>
      </c>
      <c r="H889" s="334">
        <f t="shared" si="26"/>
        <v>8.2175925925925819E-4</v>
      </c>
      <c r="I889" s="80"/>
    </row>
    <row r="890" spans="1:11" x14ac:dyDescent="0.2">
      <c r="A890" s="523">
        <v>43246</v>
      </c>
      <c r="B890" s="601" t="s">
        <v>1796</v>
      </c>
      <c r="C890" s="958" t="s">
        <v>1797</v>
      </c>
      <c r="D890" s="114">
        <v>1.8124999999999999E-2</v>
      </c>
      <c r="E890" s="80" t="s">
        <v>5883</v>
      </c>
      <c r="F890" s="69"/>
      <c r="G890" s="82">
        <v>0.62009999999999998</v>
      </c>
      <c r="H890" s="334">
        <f t="shared" si="26"/>
        <v>1.5532407407407408E-2</v>
      </c>
      <c r="I890" s="80"/>
    </row>
    <row r="891" spans="1:11" x14ac:dyDescent="0.2">
      <c r="A891" s="523">
        <v>43232</v>
      </c>
      <c r="B891" s="1051" t="s">
        <v>1796</v>
      </c>
      <c r="C891" s="1052" t="s">
        <v>1797</v>
      </c>
      <c r="D891" s="1">
        <v>3.3657407407407407E-2</v>
      </c>
      <c r="E891" s="80" t="s">
        <v>5883</v>
      </c>
      <c r="F891" s="69" t="s">
        <v>9768</v>
      </c>
      <c r="G891" s="82">
        <v>0.33389999999999997</v>
      </c>
      <c r="H891" s="334">
        <f t="shared" si="26"/>
        <v>-1.5439814814814812E-2</v>
      </c>
      <c r="I891" s="80"/>
    </row>
    <row r="892" spans="1:11" x14ac:dyDescent="0.2">
      <c r="A892" s="523">
        <v>43225</v>
      </c>
      <c r="B892" s="1044" t="s">
        <v>1796</v>
      </c>
      <c r="C892" s="1045" t="s">
        <v>1797</v>
      </c>
      <c r="D892" s="1">
        <v>1.8217592592592594E-2</v>
      </c>
      <c r="E892" s="80" t="s">
        <v>5883</v>
      </c>
      <c r="F892" s="69" t="s">
        <v>2877</v>
      </c>
      <c r="G892" s="82">
        <v>0.6169</v>
      </c>
      <c r="H892" s="334">
        <f t="shared" si="26"/>
        <v>1.5925925925925923E-2</v>
      </c>
      <c r="I892" s="80"/>
    </row>
    <row r="893" spans="1:11" x14ac:dyDescent="0.2">
      <c r="A893" s="523">
        <v>43211</v>
      </c>
      <c r="B893" s="1038" t="s">
        <v>1796</v>
      </c>
      <c r="C893" s="1039" t="s">
        <v>1797</v>
      </c>
      <c r="D893" s="1">
        <v>3.4143518518518517E-2</v>
      </c>
      <c r="E893" s="80" t="s">
        <v>5883</v>
      </c>
      <c r="F893" s="69" t="s">
        <v>9635</v>
      </c>
      <c r="G893" s="82">
        <v>0.32919999999999999</v>
      </c>
      <c r="H893" s="334">
        <f t="shared" si="26"/>
        <v>-1.2905092592592593E-2</v>
      </c>
      <c r="I893" s="80"/>
    </row>
    <row r="894" spans="1:11" x14ac:dyDescent="0.2">
      <c r="A894" s="523">
        <v>43204</v>
      </c>
      <c r="B894" s="80" t="s">
        <v>1796</v>
      </c>
      <c r="C894" s="334" t="s">
        <v>1797</v>
      </c>
      <c r="D894" s="1">
        <v>2.1238425925925924E-2</v>
      </c>
      <c r="E894" s="80" t="s">
        <v>9586</v>
      </c>
      <c r="F894" s="69" t="s">
        <v>9609</v>
      </c>
      <c r="G894" s="82">
        <v>0.5292</v>
      </c>
      <c r="H894" s="334">
        <f t="shared" si="26"/>
        <v>-3.6226851851851836E-3</v>
      </c>
      <c r="I894" s="80"/>
    </row>
    <row r="895" spans="1:11" x14ac:dyDescent="0.2">
      <c r="A895" s="523">
        <v>43197</v>
      </c>
      <c r="B895" s="930" t="s">
        <v>1796</v>
      </c>
      <c r="C895" s="931" t="s">
        <v>1797</v>
      </c>
      <c r="D895" s="1">
        <v>1.7615740740740741E-2</v>
      </c>
      <c r="E895" s="80" t="s">
        <v>5883</v>
      </c>
      <c r="F895" s="69" t="s">
        <v>9555</v>
      </c>
      <c r="G895" s="82">
        <v>0.63800000000000001</v>
      </c>
      <c r="H895" s="334">
        <f t="shared" si="26"/>
        <v>5.4861111111111083E-3</v>
      </c>
      <c r="I895" s="80" t="s">
        <v>8530</v>
      </c>
    </row>
    <row r="896" spans="1:11" x14ac:dyDescent="0.2">
      <c r="A896" s="523">
        <v>43190</v>
      </c>
      <c r="B896" s="1029" t="s">
        <v>1796</v>
      </c>
      <c r="C896" s="1030" t="s">
        <v>1797</v>
      </c>
      <c r="D896" s="1">
        <v>2.3101851851851849E-2</v>
      </c>
      <c r="E896" s="80" t="s">
        <v>5883</v>
      </c>
      <c r="F896" s="69" t="s">
        <v>9518</v>
      </c>
      <c r="G896" s="82">
        <v>0.48649999999999999</v>
      </c>
      <c r="H896" s="334">
        <f t="shared" si="26"/>
        <v>-3.9004629629629597E-3</v>
      </c>
      <c r="I896" s="80"/>
    </row>
    <row r="897" spans="1:9" x14ac:dyDescent="0.2">
      <c r="A897" s="523">
        <v>43176</v>
      </c>
      <c r="B897" s="532" t="s">
        <v>1796</v>
      </c>
      <c r="C897" s="843" t="s">
        <v>1797</v>
      </c>
      <c r="D897" s="1">
        <v>1.9201388888888889E-2</v>
      </c>
      <c r="E897" s="80" t="s">
        <v>5544</v>
      </c>
      <c r="F897" s="69" t="s">
        <v>2629</v>
      </c>
      <c r="G897" s="82">
        <v>0.58530000000000004</v>
      </c>
      <c r="H897" s="334">
        <f t="shared" si="26"/>
        <v>1.041666666666656E-4</v>
      </c>
      <c r="I897" s="80"/>
    </row>
    <row r="898" spans="1:9" x14ac:dyDescent="0.2">
      <c r="A898" s="523">
        <v>43169</v>
      </c>
      <c r="B898" s="862" t="s">
        <v>1796</v>
      </c>
      <c r="C898" s="863" t="s">
        <v>1797</v>
      </c>
      <c r="D898" s="1">
        <v>1.9305555555555555E-2</v>
      </c>
      <c r="E898" s="80" t="s">
        <v>5883</v>
      </c>
      <c r="F898" s="69" t="s">
        <v>4476</v>
      </c>
      <c r="G898" s="82">
        <v>0.58209999999999995</v>
      </c>
      <c r="H898" s="334">
        <f t="shared" si="26"/>
        <v>-9.9537037037036868E-4</v>
      </c>
      <c r="I898" s="80"/>
    </row>
    <row r="899" spans="1:9" x14ac:dyDescent="0.2">
      <c r="A899" s="523">
        <v>43162</v>
      </c>
      <c r="B899" s="879" t="s">
        <v>1796</v>
      </c>
      <c r="C899" s="880" t="s">
        <v>1797</v>
      </c>
      <c r="D899" s="1">
        <v>1.8310185185185186E-2</v>
      </c>
      <c r="E899" s="80" t="s">
        <v>5947</v>
      </c>
      <c r="F899" s="69" t="s">
        <v>9385</v>
      </c>
      <c r="G899" s="82">
        <v>0.61380000000000001</v>
      </c>
      <c r="H899" s="334">
        <f t="shared" si="26"/>
        <v>-2.8935185185185314E-4</v>
      </c>
      <c r="I899" s="80"/>
    </row>
    <row r="900" spans="1:9" x14ac:dyDescent="0.2">
      <c r="A900" s="523">
        <v>43155</v>
      </c>
      <c r="B900" s="940" t="s">
        <v>1796</v>
      </c>
      <c r="C900" s="941" t="s">
        <v>1797</v>
      </c>
      <c r="D900" s="1">
        <v>1.8020833333333333E-2</v>
      </c>
      <c r="E900" s="80" t="s">
        <v>5883</v>
      </c>
      <c r="F900" s="69" t="s">
        <v>9326</v>
      </c>
      <c r="G900" s="82">
        <v>0.62360000000000004</v>
      </c>
      <c r="H900" s="334">
        <f t="shared" si="26"/>
        <v>1.7129629629629647E-3</v>
      </c>
      <c r="I900" s="80"/>
    </row>
    <row r="901" spans="1:9" x14ac:dyDescent="0.2">
      <c r="A901" s="523">
        <v>43148</v>
      </c>
      <c r="B901" s="568" t="s">
        <v>1796</v>
      </c>
      <c r="C901" s="861" t="s">
        <v>1797</v>
      </c>
      <c r="D901" s="1">
        <v>1.9733796296296298E-2</v>
      </c>
      <c r="E901" s="80" t="s">
        <v>5883</v>
      </c>
      <c r="F901" s="69" t="s">
        <v>412</v>
      </c>
      <c r="G901" s="82">
        <v>0.56950000000000001</v>
      </c>
      <c r="H901" s="334">
        <f t="shared" si="26"/>
        <v>6.8287037037036841E-4</v>
      </c>
      <c r="I901" s="80"/>
    </row>
    <row r="902" spans="1:9" x14ac:dyDescent="0.2">
      <c r="A902" s="523">
        <v>43127</v>
      </c>
      <c r="B902" s="862" t="s">
        <v>1796</v>
      </c>
      <c r="C902" s="863" t="s">
        <v>1797</v>
      </c>
      <c r="D902" s="1">
        <v>2.0416666666666666E-2</v>
      </c>
      <c r="E902" s="80" t="s">
        <v>5079</v>
      </c>
      <c r="F902" s="69" t="s">
        <v>9172</v>
      </c>
      <c r="G902" s="82">
        <v>0.5454</v>
      </c>
      <c r="H902" s="334">
        <f t="shared" si="26"/>
        <v>1.5162037037037036E-3</v>
      </c>
      <c r="I902" s="80" t="s">
        <v>9182</v>
      </c>
    </row>
    <row r="903" spans="1:9" x14ac:dyDescent="0.2">
      <c r="A903" s="523">
        <v>43463</v>
      </c>
      <c r="B903" s="862" t="s">
        <v>868</v>
      </c>
      <c r="C903" s="862" t="s">
        <v>2480</v>
      </c>
      <c r="D903" s="1">
        <v>2.193287037037037E-2</v>
      </c>
      <c r="E903" s="80" t="s">
        <v>1214</v>
      </c>
      <c r="F903" s="80" t="s">
        <v>11419</v>
      </c>
      <c r="G903" s="82">
        <v>0.59</v>
      </c>
      <c r="H903" s="334">
        <f t="shared" si="26"/>
        <v>1.0763888888888871E-3</v>
      </c>
    </row>
    <row r="904" spans="1:9" x14ac:dyDescent="0.2">
      <c r="A904" s="523">
        <v>43456</v>
      </c>
      <c r="B904" s="556" t="s">
        <v>868</v>
      </c>
      <c r="C904" s="556" t="s">
        <v>2480</v>
      </c>
      <c r="D904" s="1">
        <v>2.3009259259259257E-2</v>
      </c>
      <c r="E904" s="80" t="s">
        <v>1214</v>
      </c>
      <c r="F904" s="80" t="s">
        <v>11346</v>
      </c>
      <c r="G904" s="82">
        <v>0.56240000000000001</v>
      </c>
      <c r="H904" s="334">
        <f t="shared" si="26"/>
        <v>-6.4814814814814423E-4</v>
      </c>
    </row>
    <row r="905" spans="1:9" x14ac:dyDescent="0.2">
      <c r="A905" s="523">
        <v>43449</v>
      </c>
      <c r="B905" s="1029" t="s">
        <v>868</v>
      </c>
      <c r="C905" s="1029" t="s">
        <v>2480</v>
      </c>
      <c r="D905" s="1">
        <v>2.2361111111111113E-2</v>
      </c>
      <c r="E905" s="80" t="s">
        <v>1214</v>
      </c>
      <c r="F905" s="80" t="s">
        <v>11290</v>
      </c>
      <c r="G905" s="82">
        <v>0.57869999999999999</v>
      </c>
      <c r="H905" s="334">
        <f t="shared" si="26"/>
        <v>1.7708333333333326E-3</v>
      </c>
    </row>
    <row r="906" spans="1:9" x14ac:dyDescent="0.2">
      <c r="A906" s="523">
        <v>43442</v>
      </c>
      <c r="B906" s="972" t="s">
        <v>868</v>
      </c>
      <c r="C906" s="972" t="s">
        <v>2480</v>
      </c>
      <c r="D906" s="1">
        <v>2.4131944444444445E-2</v>
      </c>
      <c r="E906" s="80" t="s">
        <v>11246</v>
      </c>
      <c r="F906" s="80" t="s">
        <v>11247</v>
      </c>
      <c r="G906" s="82">
        <v>0.53620000000000001</v>
      </c>
      <c r="H906" s="334">
        <f t="shared" si="26"/>
        <v>-8.1018518518518462E-4</v>
      </c>
    </row>
    <row r="907" spans="1:9" x14ac:dyDescent="0.2">
      <c r="A907" s="523">
        <v>43414</v>
      </c>
      <c r="B907" s="862" t="s">
        <v>868</v>
      </c>
      <c r="C907" s="862" t="s">
        <v>2480</v>
      </c>
      <c r="D907" s="1">
        <v>2.3321759259259261E-2</v>
      </c>
      <c r="E907" s="80" t="s">
        <v>3167</v>
      </c>
      <c r="F907" s="80" t="s">
        <v>10995</v>
      </c>
      <c r="G907" s="82">
        <v>0.55479999999999996</v>
      </c>
      <c r="H907" s="334">
        <f t="shared" si="26"/>
        <v>-2.0833333333333467E-4</v>
      </c>
    </row>
    <row r="908" spans="1:9" x14ac:dyDescent="0.2">
      <c r="A908" s="523">
        <v>43386</v>
      </c>
      <c r="B908" s="532" t="s">
        <v>868</v>
      </c>
      <c r="C908" s="532" t="s">
        <v>2480</v>
      </c>
      <c r="D908" s="1">
        <v>2.3113425925925926E-2</v>
      </c>
      <c r="E908" s="80" t="s">
        <v>3167</v>
      </c>
      <c r="F908" s="80" t="s">
        <v>10824</v>
      </c>
      <c r="G908" s="82">
        <v>0.55979999999999996</v>
      </c>
      <c r="H908" s="334">
        <f t="shared" ref="H908:H941" si="27">D909-D908</f>
        <v>-8.2175925925925819E-4</v>
      </c>
    </row>
    <row r="909" spans="1:9" x14ac:dyDescent="0.2">
      <c r="A909" s="523">
        <v>43344</v>
      </c>
      <c r="B909" s="552" t="s">
        <v>868</v>
      </c>
      <c r="C909" s="552" t="s">
        <v>2480</v>
      </c>
      <c r="D909" s="1">
        <v>2.2291666666666668E-2</v>
      </c>
      <c r="E909" t="s">
        <v>3167</v>
      </c>
      <c r="F909" t="s">
        <v>10535</v>
      </c>
      <c r="G909" s="82">
        <v>0.57169999999999999</v>
      </c>
      <c r="H909" s="334">
        <f t="shared" si="27"/>
        <v>-9.9537037037036868E-4</v>
      </c>
    </row>
    <row r="910" spans="1:9" x14ac:dyDescent="0.2">
      <c r="A910" s="523">
        <v>43323</v>
      </c>
      <c r="B910" s="585" t="s">
        <v>868</v>
      </c>
      <c r="C910" s="585" t="s">
        <v>2480</v>
      </c>
      <c r="D910" s="1">
        <v>2.1296296296296299E-2</v>
      </c>
      <c r="E910" t="s">
        <v>10192</v>
      </c>
      <c r="F910" t="s">
        <v>10402</v>
      </c>
      <c r="G910" s="82">
        <v>0.59840000000000004</v>
      </c>
      <c r="H910" s="334">
        <f t="shared" si="27"/>
        <v>-4.629629629629671E-4</v>
      </c>
    </row>
    <row r="911" spans="1:9" x14ac:dyDescent="0.2">
      <c r="A911" s="523">
        <v>43316</v>
      </c>
      <c r="B911" s="1029" t="s">
        <v>868</v>
      </c>
      <c r="C911" s="1030" t="s">
        <v>2480</v>
      </c>
      <c r="D911" s="136">
        <v>2.0833333333333332E-2</v>
      </c>
      <c r="E911" s="80" t="s">
        <v>3167</v>
      </c>
      <c r="F911" s="69" t="s">
        <v>10381</v>
      </c>
      <c r="G911" s="82">
        <v>0.61170000000000002</v>
      </c>
      <c r="H911" s="334">
        <f t="shared" si="27"/>
        <v>-1.3888888888888631E-4</v>
      </c>
    </row>
    <row r="912" spans="1:9" x14ac:dyDescent="0.2">
      <c r="A912" s="523">
        <v>43309</v>
      </c>
      <c r="B912" s="879" t="s">
        <v>868</v>
      </c>
      <c r="C912" s="879" t="s">
        <v>2480</v>
      </c>
      <c r="D912" s="1">
        <v>2.0694444444444446E-2</v>
      </c>
      <c r="E912" s="80" t="s">
        <v>3167</v>
      </c>
      <c r="F912" s="80" t="s">
        <v>10344</v>
      </c>
      <c r="G912" s="82">
        <v>0.61580000000000001</v>
      </c>
      <c r="H912" s="334">
        <f t="shared" si="27"/>
        <v>-6.1342592592592698E-4</v>
      </c>
    </row>
    <row r="913" spans="1:9" x14ac:dyDescent="0.2">
      <c r="A913" s="523">
        <v>43302</v>
      </c>
      <c r="B913" s="985" t="s">
        <v>868</v>
      </c>
      <c r="C913" s="985" t="s">
        <v>2480</v>
      </c>
      <c r="D913" s="1">
        <v>2.0081018518518519E-2</v>
      </c>
      <c r="E913" s="80" t="s">
        <v>3167</v>
      </c>
      <c r="F913" s="80" t="s">
        <v>10298</v>
      </c>
      <c r="G913" s="82">
        <v>0.63460000000000005</v>
      </c>
      <c r="H913" s="334">
        <f t="shared" si="27"/>
        <v>6.0185185185185341E-4</v>
      </c>
    </row>
    <row r="914" spans="1:9" x14ac:dyDescent="0.2">
      <c r="A914" s="523">
        <v>43295</v>
      </c>
      <c r="B914" s="601" t="s">
        <v>868</v>
      </c>
      <c r="C914" s="601" t="s">
        <v>2480</v>
      </c>
      <c r="D914" s="1">
        <v>2.0682870370370372E-2</v>
      </c>
      <c r="E914" s="80" t="s">
        <v>3167</v>
      </c>
      <c r="F914" s="80" t="s">
        <v>10207</v>
      </c>
      <c r="G914" s="82">
        <v>0.61609999999999998</v>
      </c>
      <c r="H914" s="334">
        <f t="shared" si="27"/>
        <v>2.777777777777761E-4</v>
      </c>
    </row>
    <row r="915" spans="1:9" x14ac:dyDescent="0.2">
      <c r="A915" s="523">
        <v>43288</v>
      </c>
      <c r="B915" s="1077" t="s">
        <v>868</v>
      </c>
      <c r="C915" s="1077" t="s">
        <v>2480</v>
      </c>
      <c r="D915" s="1">
        <v>2.0960648148148148E-2</v>
      </c>
      <c r="E915" t="s">
        <v>3167</v>
      </c>
      <c r="F915" t="s">
        <v>10207</v>
      </c>
      <c r="G915" s="82">
        <v>0.60799999999999998</v>
      </c>
      <c r="H915" s="334">
        <f t="shared" si="27"/>
        <v>0</v>
      </c>
    </row>
    <row r="916" spans="1:9" x14ac:dyDescent="0.2">
      <c r="A916" s="523">
        <v>43281</v>
      </c>
      <c r="B916" s="552" t="s">
        <v>868</v>
      </c>
      <c r="C916" s="552" t="s">
        <v>2480</v>
      </c>
      <c r="D916" s="1">
        <v>2.0960648148148148E-2</v>
      </c>
      <c r="E916" s="80" t="s">
        <v>1214</v>
      </c>
      <c r="F916" s="80" t="s">
        <v>10161</v>
      </c>
      <c r="G916" s="82">
        <v>0.60799999999999998</v>
      </c>
      <c r="H916" s="334">
        <f t="shared" si="27"/>
        <v>9.7222222222222154E-4</v>
      </c>
    </row>
    <row r="917" spans="1:9" x14ac:dyDescent="0.2">
      <c r="A917" s="34">
        <v>43274</v>
      </c>
      <c r="B917" s="1071" t="s">
        <v>868</v>
      </c>
      <c r="C917" s="1071" t="s">
        <v>2480</v>
      </c>
      <c r="D917" s="1">
        <v>2.193287037037037E-2</v>
      </c>
      <c r="E917" s="80" t="s">
        <v>3167</v>
      </c>
      <c r="F917" s="2" t="s">
        <v>1113</v>
      </c>
      <c r="G917" s="82">
        <v>0.58099999999999996</v>
      </c>
      <c r="H917" s="334">
        <f t="shared" si="27"/>
        <v>-8.1018518518521931E-5</v>
      </c>
    </row>
    <row r="918" spans="1:9" x14ac:dyDescent="0.2">
      <c r="A918" s="523">
        <v>43246</v>
      </c>
      <c r="B918" s="601" t="s">
        <v>868</v>
      </c>
      <c r="C918" s="958" t="s">
        <v>2480</v>
      </c>
      <c r="D918" s="1">
        <v>2.1851851851851848E-2</v>
      </c>
      <c r="E918" s="80" t="s">
        <v>3167</v>
      </c>
      <c r="F918" s="69"/>
      <c r="G918" s="82">
        <v>0.58320000000000005</v>
      </c>
      <c r="H918" s="334">
        <f t="shared" si="27"/>
        <v>1.2962962962963023E-3</v>
      </c>
      <c r="I918" s="80"/>
    </row>
    <row r="919" spans="1:9" x14ac:dyDescent="0.2">
      <c r="A919" s="523">
        <v>43407</v>
      </c>
      <c r="B919" s="901" t="s">
        <v>1938</v>
      </c>
      <c r="C919" s="901" t="s">
        <v>2480</v>
      </c>
      <c r="D919" s="1">
        <v>2.314814814814815E-2</v>
      </c>
      <c r="E919" s="80" t="s">
        <v>3167</v>
      </c>
      <c r="F919" s="80" t="s">
        <v>10947</v>
      </c>
      <c r="G919" s="82">
        <v>0.55900000000000005</v>
      </c>
      <c r="H919" s="334">
        <f t="shared" si="27"/>
        <v>-1.5277777777777807E-3</v>
      </c>
    </row>
    <row r="920" spans="1:9" x14ac:dyDescent="0.2">
      <c r="A920" s="523">
        <v>43260</v>
      </c>
      <c r="B920" s="532" t="s">
        <v>1938</v>
      </c>
      <c r="C920" s="843" t="s">
        <v>2480</v>
      </c>
      <c r="D920" s="1">
        <v>2.162037037037037E-2</v>
      </c>
      <c r="E920" s="80" t="s">
        <v>3167</v>
      </c>
      <c r="F920" s="69" t="s">
        <v>9919</v>
      </c>
      <c r="G920" s="82">
        <v>0.58940000000000003</v>
      </c>
      <c r="H920" s="334">
        <f t="shared" si="27"/>
        <v>-1.145833333333332E-3</v>
      </c>
      <c r="I920" s="80"/>
    </row>
    <row r="921" spans="1:9" x14ac:dyDescent="0.2">
      <c r="A921" s="523">
        <v>43232</v>
      </c>
      <c r="B921" s="1051" t="s">
        <v>1938</v>
      </c>
      <c r="C921" s="1052" t="s">
        <v>2480</v>
      </c>
      <c r="D921" s="1">
        <v>2.0474537037037038E-2</v>
      </c>
      <c r="E921" s="80" t="s">
        <v>1214</v>
      </c>
      <c r="F921" s="69" t="s">
        <v>9778</v>
      </c>
      <c r="G921" s="82">
        <v>0.62239999999999995</v>
      </c>
      <c r="H921" s="334">
        <f t="shared" si="27"/>
        <v>1.2939814814814817E-2</v>
      </c>
      <c r="I921" s="80"/>
    </row>
    <row r="922" spans="1:9" x14ac:dyDescent="0.2">
      <c r="A922" s="523">
        <v>43225</v>
      </c>
      <c r="B922" s="1044" t="s">
        <v>8098</v>
      </c>
      <c r="C922" s="1045" t="s">
        <v>8099</v>
      </c>
      <c r="D922" s="1">
        <v>3.3414351851851855E-2</v>
      </c>
      <c r="E922" s="80" t="s">
        <v>9304</v>
      </c>
      <c r="F922" s="69" t="s">
        <v>9731</v>
      </c>
      <c r="G922" s="82">
        <v>0.3145</v>
      </c>
      <c r="H922" s="334">
        <f t="shared" si="27"/>
        <v>-1.4618055555555558E-2</v>
      </c>
      <c r="I922" s="80"/>
    </row>
    <row r="923" spans="1:9" x14ac:dyDescent="0.2">
      <c r="A923" s="523">
        <v>43400</v>
      </c>
      <c r="B923" s="556" t="s">
        <v>10935</v>
      </c>
      <c r="C923" s="556" t="s">
        <v>10911</v>
      </c>
      <c r="D923" s="1">
        <v>1.8796296296296297E-2</v>
      </c>
      <c r="E923" s="80" t="s">
        <v>2068</v>
      </c>
      <c r="F923" s="80" t="s">
        <v>10918</v>
      </c>
      <c r="G923" s="82">
        <v>0.63490000000000002</v>
      </c>
      <c r="H923" s="334">
        <f t="shared" si="27"/>
        <v>1.0648148148148136E-3</v>
      </c>
    </row>
    <row r="924" spans="1:9" x14ac:dyDescent="0.2">
      <c r="A924" s="523">
        <v>43456</v>
      </c>
      <c r="B924" s="556" t="s">
        <v>5540</v>
      </c>
      <c r="C924" s="556" t="s">
        <v>5541</v>
      </c>
      <c r="D924" s="1">
        <v>1.9861111111111111E-2</v>
      </c>
      <c r="E924" s="80" t="s">
        <v>2627</v>
      </c>
      <c r="F924" s="80" t="s">
        <v>11347</v>
      </c>
      <c r="G924" s="82">
        <v>0.61660000000000004</v>
      </c>
      <c r="H924" s="334">
        <f t="shared" si="27"/>
        <v>-4.2824074074073945E-4</v>
      </c>
    </row>
    <row r="925" spans="1:9" x14ac:dyDescent="0.2">
      <c r="A925" s="523">
        <v>43421</v>
      </c>
      <c r="B925" s="906" t="s">
        <v>5540</v>
      </c>
      <c r="C925" s="906" t="s">
        <v>5541</v>
      </c>
      <c r="D925" s="1">
        <v>1.9432870370370371E-2</v>
      </c>
      <c r="E925" s="80" t="s">
        <v>3595</v>
      </c>
      <c r="F925" s="80" t="s">
        <v>9174</v>
      </c>
      <c r="G925" s="82">
        <v>0.63009999999999999</v>
      </c>
      <c r="H925" s="334">
        <f t="shared" si="27"/>
        <v>-1.1574074074074264E-4</v>
      </c>
      <c r="I925" s="80" t="s">
        <v>11048</v>
      </c>
    </row>
    <row r="926" spans="1:9" ht="12.75" customHeight="1" x14ac:dyDescent="0.2">
      <c r="A926" s="523">
        <v>43414</v>
      </c>
      <c r="B926" s="862" t="s">
        <v>5540</v>
      </c>
      <c r="C926" s="862" t="s">
        <v>5541</v>
      </c>
      <c r="D926" s="1">
        <v>1.9317129629629629E-2</v>
      </c>
      <c r="E926" s="80" t="s">
        <v>2627</v>
      </c>
      <c r="F926" s="80" t="s">
        <v>10990</v>
      </c>
      <c r="G926" s="82">
        <v>0.63390000000000002</v>
      </c>
      <c r="H926" s="334">
        <f t="shared" si="27"/>
        <v>-2.0833333333333467E-4</v>
      </c>
    </row>
    <row r="927" spans="1:9" x14ac:dyDescent="0.2">
      <c r="A927" s="523">
        <v>43400</v>
      </c>
      <c r="B927" s="556" t="s">
        <v>5540</v>
      </c>
      <c r="C927" s="556" t="s">
        <v>5541</v>
      </c>
      <c r="D927" s="1">
        <v>1.9108796296296294E-2</v>
      </c>
      <c r="E927" s="80" t="s">
        <v>2627</v>
      </c>
      <c r="F927" s="80" t="s">
        <v>10924</v>
      </c>
      <c r="G927" s="82">
        <v>0.63360000000000005</v>
      </c>
      <c r="H927" s="334">
        <f t="shared" si="27"/>
        <v>1.1574074074074264E-4</v>
      </c>
      <c r="I927" s="80" t="s">
        <v>10925</v>
      </c>
    </row>
    <row r="928" spans="1:9" x14ac:dyDescent="0.2">
      <c r="A928" s="523">
        <v>43393</v>
      </c>
      <c r="B928" s="862" t="s">
        <v>5540</v>
      </c>
      <c r="C928" s="862" t="s">
        <v>5541</v>
      </c>
      <c r="D928" s="1">
        <v>1.9224537037037037E-2</v>
      </c>
      <c r="E928" s="80" t="s">
        <v>2627</v>
      </c>
      <c r="F928" s="80" t="s">
        <v>10850</v>
      </c>
      <c r="G928" s="82">
        <v>0.62970000000000004</v>
      </c>
      <c r="H928" s="334">
        <f t="shared" si="27"/>
        <v>-8.449074074074088E-4</v>
      </c>
    </row>
    <row r="929" spans="1:9" x14ac:dyDescent="0.2">
      <c r="A929" s="523">
        <v>43344</v>
      </c>
      <c r="B929" s="552" t="s">
        <v>5540</v>
      </c>
      <c r="C929" s="552" t="s">
        <v>5541</v>
      </c>
      <c r="D929" s="1">
        <v>1.8379629629629628E-2</v>
      </c>
      <c r="E929" t="s">
        <v>2627</v>
      </c>
      <c r="F929" t="s">
        <v>10539</v>
      </c>
      <c r="G929" s="82">
        <v>0.65869999999999995</v>
      </c>
      <c r="H929" s="334">
        <f t="shared" si="27"/>
        <v>3.9351851851852221E-4</v>
      </c>
    </row>
    <row r="930" spans="1:9" x14ac:dyDescent="0.2">
      <c r="A930" s="523">
        <v>43337</v>
      </c>
      <c r="B930" s="1044" t="s">
        <v>5540</v>
      </c>
      <c r="C930" s="1044" t="s">
        <v>5541</v>
      </c>
      <c r="D930" s="1">
        <v>1.877314814814815E-2</v>
      </c>
      <c r="E930" s="80" t="s">
        <v>2627</v>
      </c>
      <c r="F930" s="80" t="s">
        <v>10499</v>
      </c>
      <c r="G930" s="82">
        <v>0.64490000000000003</v>
      </c>
      <c r="H930" s="334">
        <f t="shared" si="27"/>
        <v>1.3773148148148139E-3</v>
      </c>
    </row>
    <row r="931" spans="1:9" x14ac:dyDescent="0.2">
      <c r="A931" s="523">
        <v>43330</v>
      </c>
      <c r="B931" s="1099" t="s">
        <v>5540</v>
      </c>
      <c r="C931" s="1099" t="s">
        <v>5541</v>
      </c>
      <c r="D931" s="1">
        <v>2.0150462962962964E-2</v>
      </c>
      <c r="E931" s="80" t="s">
        <v>2627</v>
      </c>
      <c r="F931" s="80" t="s">
        <v>10445</v>
      </c>
      <c r="G931" s="82">
        <v>0.6008</v>
      </c>
      <c r="H931" s="334">
        <f t="shared" si="27"/>
        <v>-2.1875000000000019E-3</v>
      </c>
    </row>
    <row r="932" spans="1:9" x14ac:dyDescent="0.2">
      <c r="A932" s="523">
        <v>43225</v>
      </c>
      <c r="B932" s="1044" t="s">
        <v>5540</v>
      </c>
      <c r="C932" s="1045" t="s">
        <v>5541</v>
      </c>
      <c r="D932" s="1">
        <v>1.7962962962962962E-2</v>
      </c>
      <c r="E932" s="80" t="s">
        <v>2627</v>
      </c>
      <c r="F932" s="97" t="s">
        <v>3709</v>
      </c>
      <c r="G932" s="82">
        <v>0.67400000000000004</v>
      </c>
      <c r="H932" s="334">
        <f t="shared" si="27"/>
        <v>1.145833333333332E-3</v>
      </c>
      <c r="I932" s="80"/>
    </row>
    <row r="933" spans="1:9" x14ac:dyDescent="0.2">
      <c r="A933" s="523">
        <v>43211</v>
      </c>
      <c r="B933" s="1038" t="s">
        <v>5540</v>
      </c>
      <c r="C933" s="1039" t="s">
        <v>5541</v>
      </c>
      <c r="D933" s="1">
        <v>1.9108796296296294E-2</v>
      </c>
      <c r="E933" s="80" t="s">
        <v>2627</v>
      </c>
      <c r="F933" s="69" t="s">
        <v>1485</v>
      </c>
      <c r="G933" s="82">
        <v>0.63360000000000005</v>
      </c>
      <c r="H933" s="334">
        <f t="shared" si="27"/>
        <v>1.1574074074074264E-4</v>
      </c>
      <c r="I933" s="80"/>
    </row>
    <row r="934" spans="1:9" x14ac:dyDescent="0.2">
      <c r="A934" s="523">
        <v>43169</v>
      </c>
      <c r="B934" s="862" t="s">
        <v>5540</v>
      </c>
      <c r="C934" s="863" t="s">
        <v>5541</v>
      </c>
      <c r="D934" s="1">
        <v>1.9224537037037037E-2</v>
      </c>
      <c r="E934" s="80" t="s">
        <v>2627</v>
      </c>
      <c r="F934" s="69" t="s">
        <v>9423</v>
      </c>
      <c r="G934" s="82">
        <v>0.62970000000000004</v>
      </c>
      <c r="H934" s="334">
        <f t="shared" si="27"/>
        <v>2.66203703703706E-4</v>
      </c>
      <c r="I934" s="80"/>
    </row>
    <row r="935" spans="1:9" x14ac:dyDescent="0.2">
      <c r="A935" s="523">
        <v>43155</v>
      </c>
      <c r="B935" s="940" t="s">
        <v>5540</v>
      </c>
      <c r="C935" s="941" t="s">
        <v>5541</v>
      </c>
      <c r="D935" s="1">
        <v>1.9490740740740743E-2</v>
      </c>
      <c r="E935" s="80" t="s">
        <v>5267</v>
      </c>
      <c r="F935" s="69" t="s">
        <v>9348</v>
      </c>
      <c r="G935" s="82">
        <v>0.62109999999999999</v>
      </c>
      <c r="H935" s="334">
        <f t="shared" si="27"/>
        <v>-2.7777777777777957E-4</v>
      </c>
      <c r="I935" s="80"/>
    </row>
    <row r="936" spans="1:9" x14ac:dyDescent="0.2">
      <c r="A936" s="523">
        <v>43148</v>
      </c>
      <c r="B936" s="568" t="s">
        <v>5540</v>
      </c>
      <c r="C936" s="861" t="s">
        <v>5541</v>
      </c>
      <c r="D936" s="1">
        <v>1.9212962962962963E-2</v>
      </c>
      <c r="E936" s="80" t="s">
        <v>2627</v>
      </c>
      <c r="F936" s="69" t="s">
        <v>9280</v>
      </c>
      <c r="G936" s="82">
        <v>0.63009999999999999</v>
      </c>
      <c r="H936" s="334">
        <f t="shared" si="27"/>
        <v>1.9675925925925764E-4</v>
      </c>
      <c r="I936" s="80"/>
    </row>
    <row r="937" spans="1:9" x14ac:dyDescent="0.2">
      <c r="A937" s="523">
        <v>43141</v>
      </c>
      <c r="B937" s="987" t="s">
        <v>5540</v>
      </c>
      <c r="C937" s="988" t="s">
        <v>5541</v>
      </c>
      <c r="D937" s="1">
        <v>1.9409722222222221E-2</v>
      </c>
      <c r="E937" s="80" t="s">
        <v>2627</v>
      </c>
      <c r="F937" s="69" t="s">
        <v>9243</v>
      </c>
      <c r="G937" s="82">
        <v>0.62370000000000003</v>
      </c>
      <c r="H937" s="334">
        <f t="shared" si="27"/>
        <v>6.9444444444448361E-5</v>
      </c>
      <c r="I937" s="80"/>
    </row>
    <row r="938" spans="1:9" x14ac:dyDescent="0.2">
      <c r="A938" s="523">
        <v>43155</v>
      </c>
      <c r="B938" s="940" t="s">
        <v>3535</v>
      </c>
      <c r="C938" s="941" t="s">
        <v>5541</v>
      </c>
      <c r="D938" s="1">
        <v>1.9479166666666669E-2</v>
      </c>
      <c r="E938" s="80" t="s">
        <v>5267</v>
      </c>
      <c r="F938" s="69" t="s">
        <v>9347</v>
      </c>
      <c r="G938" s="82">
        <v>0.46350000000000002</v>
      </c>
      <c r="H938" s="334">
        <f t="shared" si="27"/>
        <v>-2.6041666666666678E-3</v>
      </c>
      <c r="I938" s="80"/>
    </row>
    <row r="939" spans="1:9" x14ac:dyDescent="0.2">
      <c r="A939" s="523">
        <v>43421</v>
      </c>
      <c r="B939" s="906" t="s">
        <v>3543</v>
      </c>
      <c r="C939" s="906" t="s">
        <v>3100</v>
      </c>
      <c r="D939" s="1">
        <v>1.6875000000000001E-2</v>
      </c>
      <c r="E939" s="80" t="s">
        <v>5947</v>
      </c>
      <c r="F939" s="80" t="s">
        <v>11042</v>
      </c>
      <c r="G939" s="82">
        <v>0.62209999999999999</v>
      </c>
      <c r="H939" s="334">
        <f t="shared" si="27"/>
        <v>8.1018518518518115E-4</v>
      </c>
    </row>
    <row r="940" spans="1:9" x14ac:dyDescent="0.2">
      <c r="A940" s="523">
        <v>43386</v>
      </c>
      <c r="B940" s="532" t="s">
        <v>3543</v>
      </c>
      <c r="C940" s="532" t="s">
        <v>3100</v>
      </c>
      <c r="D940" s="1">
        <v>1.7685185185185182E-2</v>
      </c>
      <c r="E940" s="80" t="s">
        <v>5947</v>
      </c>
      <c r="F940" s="80" t="s">
        <v>10812</v>
      </c>
      <c r="G940" s="82">
        <v>0.59360000000000002</v>
      </c>
      <c r="H940" s="334">
        <f t="shared" si="27"/>
        <v>-2.1990740740740478E-4</v>
      </c>
    </row>
    <row r="941" spans="1:9" x14ac:dyDescent="0.2">
      <c r="A941" s="523">
        <v>43225</v>
      </c>
      <c r="B941" s="1044" t="s">
        <v>3543</v>
      </c>
      <c r="C941" s="1045" t="s">
        <v>3100</v>
      </c>
      <c r="D941" s="1">
        <v>1.7465277777777777E-2</v>
      </c>
      <c r="E941" s="80" t="s">
        <v>5947</v>
      </c>
      <c r="F941" s="69" t="s">
        <v>9715</v>
      </c>
      <c r="G941" s="82">
        <v>0.5958</v>
      </c>
      <c r="H941" s="334">
        <f t="shared" si="27"/>
        <v>3.8888888888888862E-3</v>
      </c>
      <c r="I941" s="80"/>
    </row>
    <row r="942" spans="1:9" x14ac:dyDescent="0.2">
      <c r="A942" s="523">
        <v>43459</v>
      </c>
      <c r="B942" s="80" t="s">
        <v>5980</v>
      </c>
      <c r="C942" s="80" t="s">
        <v>4818</v>
      </c>
      <c r="D942" s="1">
        <v>2.1354166666666664E-2</v>
      </c>
      <c r="E942" s="80" t="s">
        <v>5656</v>
      </c>
      <c r="F942" s="80" t="s">
        <v>11388</v>
      </c>
      <c r="G942" s="82">
        <v>0.63090000000000002</v>
      </c>
      <c r="H942" s="80"/>
    </row>
    <row r="943" spans="1:9" x14ac:dyDescent="0.2">
      <c r="A943" s="523">
        <v>43456</v>
      </c>
      <c r="B943" s="556" t="s">
        <v>5980</v>
      </c>
      <c r="C943" s="556" t="s">
        <v>4818</v>
      </c>
      <c r="D943" s="1">
        <v>2.207175925925926E-2</v>
      </c>
      <c r="E943" s="80" t="s">
        <v>5656</v>
      </c>
      <c r="F943" s="80" t="s">
        <v>11369</v>
      </c>
      <c r="G943" s="82">
        <v>0.61040000000000005</v>
      </c>
      <c r="H943" s="334">
        <f t="shared" ref="H943:H974" si="28">D944-D943</f>
        <v>9.490740740740744E-4</v>
      </c>
    </row>
    <row r="944" spans="1:9" x14ac:dyDescent="0.2">
      <c r="A944" s="523">
        <v>43449</v>
      </c>
      <c r="B944" s="1029" t="s">
        <v>5980</v>
      </c>
      <c r="C944" s="1029" t="s">
        <v>4818</v>
      </c>
      <c r="D944" s="1">
        <v>2.3020833333333334E-2</v>
      </c>
      <c r="E944" s="80" t="s">
        <v>5656</v>
      </c>
      <c r="F944" s="80" t="s">
        <v>11294</v>
      </c>
      <c r="G944" s="82">
        <v>0.58620000000000005</v>
      </c>
      <c r="H944" s="334">
        <f t="shared" si="28"/>
        <v>-5.7870370370367852E-5</v>
      </c>
    </row>
    <row r="945" spans="1:9" x14ac:dyDescent="0.2">
      <c r="A945" s="523">
        <v>43442</v>
      </c>
      <c r="B945" s="972" t="s">
        <v>5980</v>
      </c>
      <c r="C945" s="972" t="s">
        <v>4818</v>
      </c>
      <c r="D945" s="1">
        <v>2.2962962962962966E-2</v>
      </c>
      <c r="E945" s="80" t="s">
        <v>5656</v>
      </c>
      <c r="F945" s="80" t="s">
        <v>11242</v>
      </c>
      <c r="G945" s="82">
        <v>0.5867</v>
      </c>
      <c r="H945" s="334">
        <f t="shared" si="28"/>
        <v>1.2731481481481274E-4</v>
      </c>
    </row>
    <row r="946" spans="1:9" ht="12.75" customHeight="1" x14ac:dyDescent="0.2">
      <c r="A946" s="523">
        <v>43435</v>
      </c>
      <c r="B946" s="1164" t="s">
        <v>5980</v>
      </c>
      <c r="C946" s="1164" t="s">
        <v>4818</v>
      </c>
      <c r="D946" s="1">
        <v>2.3090277777777779E-2</v>
      </c>
      <c r="E946" s="80" t="s">
        <v>8897</v>
      </c>
      <c r="F946" s="80" t="s">
        <v>11169</v>
      </c>
      <c r="G946" s="82">
        <v>0.58350000000000002</v>
      </c>
      <c r="H946" s="334">
        <f t="shared" si="28"/>
        <v>-3.4722222222222446E-4</v>
      </c>
      <c r="I946" s="80" t="s">
        <v>6037</v>
      </c>
    </row>
    <row r="947" spans="1:9" x14ac:dyDescent="0.2">
      <c r="A947" s="523">
        <v>43421</v>
      </c>
      <c r="B947" s="906" t="s">
        <v>5980</v>
      </c>
      <c r="C947" s="906" t="s">
        <v>4818</v>
      </c>
      <c r="D947" s="1">
        <v>2.2743055555555555E-2</v>
      </c>
      <c r="E947" s="80" t="s">
        <v>358</v>
      </c>
      <c r="F947" s="80" t="s">
        <v>11049</v>
      </c>
      <c r="G947" s="82">
        <v>0.59240000000000004</v>
      </c>
      <c r="H947" s="334">
        <f t="shared" si="28"/>
        <v>4.2824074074074292E-4</v>
      </c>
    </row>
    <row r="948" spans="1:9" x14ac:dyDescent="0.2">
      <c r="A948" s="523">
        <v>43414</v>
      </c>
      <c r="B948" s="862" t="s">
        <v>5980</v>
      </c>
      <c r="C948" s="862" t="s">
        <v>4818</v>
      </c>
      <c r="D948" s="1">
        <v>2.3171296296296297E-2</v>
      </c>
      <c r="E948" s="80" t="s">
        <v>10793</v>
      </c>
      <c r="F948" s="80" t="s">
        <v>10985</v>
      </c>
      <c r="G948" s="82">
        <v>0.58140000000000003</v>
      </c>
      <c r="H948" s="334">
        <f t="shared" si="28"/>
        <v>-1.7361111111111049E-4</v>
      </c>
    </row>
    <row r="949" spans="1:9" x14ac:dyDescent="0.2">
      <c r="A949" s="523">
        <v>43393</v>
      </c>
      <c r="B949" s="862" t="s">
        <v>5980</v>
      </c>
      <c r="C949" s="862" t="s">
        <v>4818</v>
      </c>
      <c r="D949" s="1">
        <v>2.2997685185185187E-2</v>
      </c>
      <c r="E949" s="80" t="s">
        <v>5656</v>
      </c>
      <c r="F949" s="80" t="s">
        <v>10843</v>
      </c>
      <c r="G949" s="82">
        <v>0.58579999999999999</v>
      </c>
      <c r="H949" s="334">
        <f t="shared" si="28"/>
        <v>-6.9444444444444892E-4</v>
      </c>
    </row>
    <row r="950" spans="1:9" x14ac:dyDescent="0.2">
      <c r="A950" s="523">
        <v>43386</v>
      </c>
      <c r="B950" s="532" t="s">
        <v>5980</v>
      </c>
      <c r="C950" s="532" t="s">
        <v>4818</v>
      </c>
      <c r="D950" s="1">
        <v>2.2303240740740738E-2</v>
      </c>
      <c r="E950" s="80" t="s">
        <v>5656</v>
      </c>
      <c r="F950" s="80" t="s">
        <v>10825</v>
      </c>
      <c r="G950" s="82">
        <v>0.60399999999999998</v>
      </c>
      <c r="H950" s="334">
        <f t="shared" si="28"/>
        <v>4.3981481481481649E-4</v>
      </c>
    </row>
    <row r="951" spans="1:9" x14ac:dyDescent="0.2">
      <c r="A951" s="34">
        <v>43379</v>
      </c>
      <c r="B951" s="869" t="s">
        <v>5980</v>
      </c>
      <c r="C951" s="869" t="s">
        <v>4818</v>
      </c>
      <c r="D951" s="1">
        <v>2.2743055555555555E-2</v>
      </c>
      <c r="E951" s="80" t="s">
        <v>5656</v>
      </c>
      <c r="F951" s="80" t="s">
        <v>10753</v>
      </c>
      <c r="G951" s="82">
        <v>0.59240000000000004</v>
      </c>
      <c r="H951" s="334">
        <f t="shared" si="28"/>
        <v>1.5046296296296682E-4</v>
      </c>
    </row>
    <row r="952" spans="1:9" x14ac:dyDescent="0.2">
      <c r="A952" s="34">
        <v>43372</v>
      </c>
      <c r="B952" s="532" t="s">
        <v>5980</v>
      </c>
      <c r="C952" s="532" t="s">
        <v>4818</v>
      </c>
      <c r="D952" s="1">
        <v>2.2893518518518521E-2</v>
      </c>
      <c r="E952" s="80" t="s">
        <v>5656</v>
      </c>
      <c r="F952" s="80" t="s">
        <v>10724</v>
      </c>
      <c r="G952" s="82">
        <v>0.58850000000000002</v>
      </c>
      <c r="H952" s="334">
        <f t="shared" si="28"/>
        <v>-1.0185185185185193E-3</v>
      </c>
    </row>
    <row r="953" spans="1:9" x14ac:dyDescent="0.2">
      <c r="A953" s="523">
        <v>43351</v>
      </c>
      <c r="B953" s="532" t="s">
        <v>5980</v>
      </c>
      <c r="C953" s="531" t="s">
        <v>4818</v>
      </c>
      <c r="D953" s="1">
        <v>2.1875000000000002E-2</v>
      </c>
      <c r="E953" s="80" t="s">
        <v>5656</v>
      </c>
      <c r="F953" s="80" t="s">
        <v>10601</v>
      </c>
      <c r="G953" s="82">
        <v>0.6159</v>
      </c>
      <c r="H953" s="334">
        <f t="shared" si="28"/>
        <v>-2.314814814815408E-5</v>
      </c>
    </row>
    <row r="954" spans="1:9" x14ac:dyDescent="0.2">
      <c r="A954" s="523">
        <v>43344</v>
      </c>
      <c r="B954" s="552" t="s">
        <v>5980</v>
      </c>
      <c r="C954" s="552" t="s">
        <v>4818</v>
      </c>
      <c r="D954" s="1">
        <v>2.1851851851851848E-2</v>
      </c>
      <c r="E954" t="s">
        <v>10542</v>
      </c>
      <c r="F954" s="80" t="s">
        <v>10560</v>
      </c>
      <c r="G954" s="82">
        <v>0.61650000000000005</v>
      </c>
      <c r="H954" s="334">
        <f t="shared" si="28"/>
        <v>3.587962962963015E-4</v>
      </c>
      <c r="I954" t="s">
        <v>10544</v>
      </c>
    </row>
    <row r="955" spans="1:9" x14ac:dyDescent="0.2">
      <c r="A955" s="33">
        <v>43337</v>
      </c>
      <c r="B955" s="1044" t="s">
        <v>5980</v>
      </c>
      <c r="C955" s="1045" t="s">
        <v>4818</v>
      </c>
      <c r="D955" s="334">
        <v>2.2210648148148149E-2</v>
      </c>
      <c r="E955" s="80" t="s">
        <v>1211</v>
      </c>
      <c r="F955" s="69" t="s">
        <v>2629</v>
      </c>
      <c r="G955" s="82">
        <v>0.60660000000000003</v>
      </c>
      <c r="H955" s="334">
        <f t="shared" si="28"/>
        <v>1.2499999999999976E-3</v>
      </c>
    </row>
    <row r="956" spans="1:9" x14ac:dyDescent="0.2">
      <c r="A956" s="523">
        <v>43330</v>
      </c>
      <c r="B956" s="1099" t="s">
        <v>5980</v>
      </c>
      <c r="C956" s="1099" t="s">
        <v>4818</v>
      </c>
      <c r="D956" s="1">
        <v>2.3460648148148147E-2</v>
      </c>
      <c r="E956" s="80" t="s">
        <v>5656</v>
      </c>
      <c r="F956" s="80" t="s">
        <v>10469</v>
      </c>
      <c r="G956" s="82">
        <v>0.57420000000000004</v>
      </c>
      <c r="H956" s="334">
        <f t="shared" si="28"/>
        <v>-1.6087962962962991E-3</v>
      </c>
      <c r="I956" s="80" t="s">
        <v>10470</v>
      </c>
    </row>
    <row r="957" spans="1:9" x14ac:dyDescent="0.2">
      <c r="A957" s="523">
        <v>43323</v>
      </c>
      <c r="B957" s="568" t="s">
        <v>5980</v>
      </c>
      <c r="C957" s="585" t="s">
        <v>4818</v>
      </c>
      <c r="D957" s="1">
        <v>2.1851851851851848E-2</v>
      </c>
      <c r="E957" s="80" t="s">
        <v>2312</v>
      </c>
      <c r="F957" s="80" t="s">
        <v>10418</v>
      </c>
      <c r="G957" s="82">
        <v>0.61650000000000005</v>
      </c>
      <c r="H957" s="334">
        <f t="shared" si="28"/>
        <v>1.4004629629629645E-3</v>
      </c>
    </row>
    <row r="958" spans="1:9" x14ac:dyDescent="0.2">
      <c r="A958" s="523">
        <v>43316</v>
      </c>
      <c r="B958" s="1029" t="s">
        <v>5980</v>
      </c>
      <c r="C958" s="1077" t="s">
        <v>4818</v>
      </c>
      <c r="D958" s="136">
        <v>2.3252314814814812E-2</v>
      </c>
      <c r="E958" s="80" t="s">
        <v>4179</v>
      </c>
      <c r="F958" s="80" t="s">
        <v>10375</v>
      </c>
      <c r="G958" s="82">
        <v>0.57940000000000003</v>
      </c>
      <c r="H958" s="334">
        <f t="shared" si="28"/>
        <v>-3.2407407407407385E-4</v>
      </c>
    </row>
    <row r="959" spans="1:9" x14ac:dyDescent="0.2">
      <c r="A959" s="523">
        <v>43302</v>
      </c>
      <c r="B959" s="985" t="s">
        <v>5980</v>
      </c>
      <c r="C959" s="985" t="s">
        <v>4818</v>
      </c>
      <c r="D959" s="1">
        <v>2.2928240740740739E-2</v>
      </c>
      <c r="E959" s="80" t="s">
        <v>5656</v>
      </c>
      <c r="F959" s="80" t="s">
        <v>10299</v>
      </c>
      <c r="G959" s="82">
        <v>0.58760000000000001</v>
      </c>
      <c r="H959" s="334">
        <f t="shared" si="28"/>
        <v>3.4722222222222099E-4</v>
      </c>
    </row>
    <row r="960" spans="1:9" x14ac:dyDescent="0.2">
      <c r="A960" s="523">
        <v>43295</v>
      </c>
      <c r="B960" s="601" t="s">
        <v>5980</v>
      </c>
      <c r="C960" s="601" t="s">
        <v>4818</v>
      </c>
      <c r="D960" s="1">
        <v>2.327546296296296E-2</v>
      </c>
      <c r="E960" s="80" t="s">
        <v>5960</v>
      </c>
      <c r="F960" s="80" t="s">
        <v>10235</v>
      </c>
      <c r="G960" s="82">
        <v>0.57879999999999998</v>
      </c>
      <c r="H960" s="334">
        <f t="shared" si="28"/>
        <v>1.2962962962963023E-3</v>
      </c>
    </row>
    <row r="961" spans="1:9" x14ac:dyDescent="0.2">
      <c r="A961" s="523">
        <v>43281</v>
      </c>
      <c r="B961" s="552" t="s">
        <v>5980</v>
      </c>
      <c r="C961" s="552" t="s">
        <v>4818</v>
      </c>
      <c r="D961" s="1">
        <v>2.4571759259259262E-2</v>
      </c>
      <c r="E961" s="80" t="s">
        <v>2245</v>
      </c>
      <c r="F961" s="80" t="s">
        <v>10164</v>
      </c>
      <c r="G961" s="82">
        <v>0.54830000000000001</v>
      </c>
      <c r="H961" s="334">
        <f t="shared" si="28"/>
        <v>2.1990740740740825E-4</v>
      </c>
    </row>
    <row r="962" spans="1:9" x14ac:dyDescent="0.2">
      <c r="A962" s="34">
        <v>43274</v>
      </c>
      <c r="B962" s="1071" t="s">
        <v>5980</v>
      </c>
      <c r="C962" s="1071" t="s">
        <v>4818</v>
      </c>
      <c r="D962" s="1">
        <v>2.479166666666667E-2</v>
      </c>
      <c r="E962" s="80" t="s">
        <v>972</v>
      </c>
      <c r="F962" s="80" t="s">
        <v>10121</v>
      </c>
      <c r="G962" s="82">
        <v>0.54339999999999999</v>
      </c>
      <c r="H962" s="334">
        <f t="shared" si="28"/>
        <v>5.9027777777777291E-4</v>
      </c>
    </row>
    <row r="963" spans="1:9" x14ac:dyDescent="0.2">
      <c r="A963" s="523">
        <v>43260</v>
      </c>
      <c r="B963" s="532" t="s">
        <v>5980</v>
      </c>
      <c r="C963" s="843" t="s">
        <v>4818</v>
      </c>
      <c r="D963" s="1">
        <v>2.5381944444444443E-2</v>
      </c>
      <c r="E963" s="80" t="s">
        <v>353</v>
      </c>
      <c r="F963" s="69" t="s">
        <v>9922</v>
      </c>
      <c r="G963" s="82">
        <v>0.53080000000000005</v>
      </c>
      <c r="H963" s="334">
        <f t="shared" si="28"/>
        <v>-2.6851851851851828E-3</v>
      </c>
      <c r="I963" s="80"/>
    </row>
    <row r="964" spans="1:9" x14ac:dyDescent="0.2">
      <c r="A964" s="523">
        <v>43253</v>
      </c>
      <c r="B964" s="901" t="s">
        <v>5980</v>
      </c>
      <c r="C964" s="902" t="s">
        <v>4818</v>
      </c>
      <c r="D964" s="1">
        <v>2.269675925925926E-2</v>
      </c>
      <c r="E964" s="80" t="s">
        <v>5656</v>
      </c>
      <c r="F964" s="69" t="s">
        <v>9881</v>
      </c>
      <c r="G964" s="82">
        <v>0.59360000000000002</v>
      </c>
      <c r="H964" s="334">
        <f t="shared" si="28"/>
        <v>1.574074074074075E-3</v>
      </c>
      <c r="I964" s="80"/>
    </row>
    <row r="965" spans="1:9" x14ac:dyDescent="0.2">
      <c r="A965" s="523">
        <v>43246</v>
      </c>
      <c r="B965" s="601" t="s">
        <v>5980</v>
      </c>
      <c r="C965" s="958" t="s">
        <v>4818</v>
      </c>
      <c r="D965" s="1">
        <v>2.4270833333333335E-2</v>
      </c>
      <c r="E965" s="80" t="s">
        <v>1211</v>
      </c>
      <c r="F965" s="69" t="s">
        <v>9854</v>
      </c>
      <c r="G965" s="82">
        <v>0.55510000000000004</v>
      </c>
      <c r="H965" s="334">
        <f t="shared" si="28"/>
        <v>5.0925925925925444E-4</v>
      </c>
      <c r="I965" s="80"/>
    </row>
    <row r="966" spans="1:9" x14ac:dyDescent="0.2">
      <c r="A966" s="523">
        <v>43239</v>
      </c>
      <c r="B966" s="80" t="s">
        <v>5980</v>
      </c>
      <c r="C966" s="334" t="s">
        <v>4818</v>
      </c>
      <c r="D966" s="1">
        <v>2.478009259259259E-2</v>
      </c>
      <c r="E966" s="80" t="s">
        <v>5656</v>
      </c>
      <c r="F966" s="69" t="s">
        <v>9825</v>
      </c>
      <c r="G966" s="82">
        <v>0.54369999999999996</v>
      </c>
      <c r="H966" s="334">
        <f t="shared" si="28"/>
        <v>-6.597222222222178E-4</v>
      </c>
      <c r="I966" s="80"/>
    </row>
    <row r="967" spans="1:9" ht="12.75" customHeight="1" x14ac:dyDescent="0.2">
      <c r="A967" s="523">
        <v>43232</v>
      </c>
      <c r="B967" s="1051" t="s">
        <v>5980</v>
      </c>
      <c r="C967" s="1052" t="s">
        <v>4818</v>
      </c>
      <c r="D967" s="1">
        <v>2.4120370370370372E-2</v>
      </c>
      <c r="E967" s="80" t="s">
        <v>9750</v>
      </c>
      <c r="F967" s="69" t="s">
        <v>9751</v>
      </c>
      <c r="G967" s="82">
        <v>0.5585</v>
      </c>
      <c r="H967" s="334">
        <f t="shared" si="28"/>
        <v>6.597222222222178E-4</v>
      </c>
      <c r="I967" s="80"/>
    </row>
    <row r="968" spans="1:9" x14ac:dyDescent="0.2">
      <c r="A968" s="523">
        <v>43225</v>
      </c>
      <c r="B968" s="1044" t="s">
        <v>5980</v>
      </c>
      <c r="C968" s="1045" t="s">
        <v>4818</v>
      </c>
      <c r="D968" s="1">
        <v>2.478009259259259E-2</v>
      </c>
      <c r="E968" s="80" t="s">
        <v>9719</v>
      </c>
      <c r="F968" s="69" t="s">
        <v>9720</v>
      </c>
      <c r="G968" s="82">
        <v>0.54369999999999996</v>
      </c>
      <c r="H968" s="334">
        <f t="shared" si="28"/>
        <v>-1.7708333333333326E-3</v>
      </c>
      <c r="I968" s="80"/>
    </row>
    <row r="969" spans="1:9" x14ac:dyDescent="0.2">
      <c r="A969" s="523">
        <v>43218</v>
      </c>
      <c r="B969" s="568" t="s">
        <v>5980</v>
      </c>
      <c r="C969" s="861" t="s">
        <v>4818</v>
      </c>
      <c r="D969" s="1">
        <v>2.3009259259259257E-2</v>
      </c>
      <c r="E969" s="80" t="s">
        <v>5656</v>
      </c>
      <c r="F969" s="69" t="s">
        <v>9676</v>
      </c>
      <c r="G969" s="82">
        <v>0.57110000000000005</v>
      </c>
      <c r="H969" s="334">
        <f t="shared" si="28"/>
        <v>1.574074074074075E-3</v>
      </c>
      <c r="I969" s="80"/>
    </row>
    <row r="970" spans="1:9" x14ac:dyDescent="0.2">
      <c r="A970" s="523">
        <v>43204</v>
      </c>
      <c r="B970" s="80" t="s">
        <v>5980</v>
      </c>
      <c r="C970" s="334" t="s">
        <v>4818</v>
      </c>
      <c r="D970" s="1">
        <v>2.4583333333333332E-2</v>
      </c>
      <c r="E970" s="80" t="s">
        <v>4281</v>
      </c>
      <c r="F970" s="69" t="s">
        <v>9608</v>
      </c>
      <c r="G970" s="82">
        <v>0.54800000000000004</v>
      </c>
      <c r="H970" s="334">
        <f t="shared" si="28"/>
        <v>-3.3564814814815089E-4</v>
      </c>
      <c r="I970" s="80"/>
    </row>
    <row r="971" spans="1:9" x14ac:dyDescent="0.2">
      <c r="A971" s="523">
        <v>43176</v>
      </c>
      <c r="B971" s="532" t="s">
        <v>5980</v>
      </c>
      <c r="C971" s="843" t="s">
        <v>4818</v>
      </c>
      <c r="D971" s="1">
        <v>2.4247685185185181E-2</v>
      </c>
      <c r="E971" s="80" t="s">
        <v>9142</v>
      </c>
      <c r="F971" s="69" t="s">
        <v>9448</v>
      </c>
      <c r="G971" s="82">
        <v>0.55559999999999998</v>
      </c>
      <c r="H971" s="334">
        <f t="shared" si="28"/>
        <v>-9.9537037037036868E-4</v>
      </c>
      <c r="I971" s="80"/>
    </row>
    <row r="972" spans="1:9" x14ac:dyDescent="0.2">
      <c r="A972" s="523">
        <v>43169</v>
      </c>
      <c r="B972" s="862" t="s">
        <v>5980</v>
      </c>
      <c r="C972" s="863" t="s">
        <v>4818</v>
      </c>
      <c r="D972" s="1">
        <v>2.3252314814814812E-2</v>
      </c>
      <c r="E972" s="80" t="s">
        <v>5656</v>
      </c>
      <c r="F972" s="69" t="s">
        <v>970</v>
      </c>
      <c r="G972" s="82">
        <v>0.57940000000000003</v>
      </c>
      <c r="H972" s="334">
        <f t="shared" si="28"/>
        <v>1.157407407407704E-5</v>
      </c>
      <c r="I972" s="80"/>
    </row>
    <row r="973" spans="1:9" x14ac:dyDescent="0.2">
      <c r="A973" s="523">
        <v>43155</v>
      </c>
      <c r="B973" s="940" t="s">
        <v>5980</v>
      </c>
      <c r="C973" s="941" t="s">
        <v>4818</v>
      </c>
      <c r="D973" s="1">
        <v>2.326388888888889E-2</v>
      </c>
      <c r="E973" s="80" t="s">
        <v>1821</v>
      </c>
      <c r="F973" s="69" t="s">
        <v>9329</v>
      </c>
      <c r="G973" s="82">
        <v>0.57909999999999995</v>
      </c>
      <c r="H973" s="334">
        <f t="shared" si="28"/>
        <v>-3.8194444444444517E-4</v>
      </c>
      <c r="I973" s="80"/>
    </row>
    <row r="974" spans="1:9" x14ac:dyDescent="0.2">
      <c r="A974" s="523">
        <v>43148</v>
      </c>
      <c r="B974" s="568" t="s">
        <v>5980</v>
      </c>
      <c r="C974" s="861" t="s">
        <v>4818</v>
      </c>
      <c r="D974" s="1">
        <v>2.2881944444444444E-2</v>
      </c>
      <c r="E974" s="80" t="s">
        <v>358</v>
      </c>
      <c r="F974" s="69" t="s">
        <v>9298</v>
      </c>
      <c r="G974" s="82">
        <v>0.58879999999999999</v>
      </c>
      <c r="H974" s="334">
        <f t="shared" si="28"/>
        <v>5.6712962962962576E-4</v>
      </c>
      <c r="I974" s="80"/>
    </row>
    <row r="975" spans="1:9" x14ac:dyDescent="0.2">
      <c r="A975" s="523">
        <v>43141</v>
      </c>
      <c r="B975" s="987" t="s">
        <v>5980</v>
      </c>
      <c r="C975" s="988" t="s">
        <v>4818</v>
      </c>
      <c r="D975" s="1">
        <v>2.344907407407407E-2</v>
      </c>
      <c r="E975" s="80" t="s">
        <v>6075</v>
      </c>
      <c r="F975" s="69" t="s">
        <v>4113</v>
      </c>
      <c r="G975" s="82">
        <v>0.57450000000000001</v>
      </c>
      <c r="H975" s="334">
        <f t="shared" ref="H975:H1006" si="29">D976-D975</f>
        <v>-1.3078703703703655E-3</v>
      </c>
      <c r="I975" s="80"/>
    </row>
    <row r="976" spans="1:9" x14ac:dyDescent="0.2">
      <c r="A976" s="523">
        <v>43134</v>
      </c>
      <c r="B976" s="985" t="s">
        <v>5980</v>
      </c>
      <c r="C976" s="986" t="s">
        <v>4818</v>
      </c>
      <c r="D976" s="1">
        <v>2.2141203703703705E-2</v>
      </c>
      <c r="E976" s="80" t="s">
        <v>358</v>
      </c>
      <c r="F976" s="69" t="s">
        <v>9204</v>
      </c>
      <c r="G976" s="82">
        <v>0.60850000000000004</v>
      </c>
      <c r="H976" s="334">
        <f t="shared" si="29"/>
        <v>5.0925925925926138E-4</v>
      </c>
      <c r="I976" s="80"/>
    </row>
    <row r="977" spans="1:9" x14ac:dyDescent="0.2">
      <c r="A977" s="523">
        <v>43127</v>
      </c>
      <c r="B977" s="862" t="s">
        <v>5980</v>
      </c>
      <c r="C977" s="863" t="s">
        <v>4818</v>
      </c>
      <c r="D977" s="1">
        <v>2.2650462962962966E-2</v>
      </c>
      <c r="E977" s="80" t="s">
        <v>3595</v>
      </c>
      <c r="F977" s="69" t="s">
        <v>471</v>
      </c>
      <c r="G977" s="82">
        <v>0.5948</v>
      </c>
      <c r="H977" s="334">
        <f t="shared" si="29"/>
        <v>8.1018518518518115E-4</v>
      </c>
      <c r="I977" s="80"/>
    </row>
    <row r="978" spans="1:9" x14ac:dyDescent="0.2">
      <c r="A978" s="523">
        <v>43113</v>
      </c>
      <c r="B978" s="972" t="s">
        <v>5980</v>
      </c>
      <c r="C978" s="973" t="s">
        <v>4818</v>
      </c>
      <c r="D978" s="1">
        <v>2.3460648148148147E-2</v>
      </c>
      <c r="E978" s="80" t="s">
        <v>358</v>
      </c>
      <c r="F978" s="69" t="s">
        <v>9071</v>
      </c>
      <c r="G978" s="82">
        <v>0.56640000000000001</v>
      </c>
      <c r="H978" s="334">
        <f t="shared" si="29"/>
        <v>3.2407407407407385E-4</v>
      </c>
      <c r="I978" s="80"/>
    </row>
    <row r="979" spans="1:9" x14ac:dyDescent="0.2">
      <c r="A979" s="523">
        <v>43106</v>
      </c>
      <c r="B979" s="869" t="s">
        <v>5980</v>
      </c>
      <c r="C979" s="903" t="s">
        <v>4818</v>
      </c>
      <c r="D979" s="1">
        <v>2.3784722222222221E-2</v>
      </c>
      <c r="E979" s="80" t="s">
        <v>358</v>
      </c>
      <c r="F979" s="69"/>
      <c r="G979" s="82">
        <v>0.55859999999999999</v>
      </c>
      <c r="H979" s="334">
        <f t="shared" si="29"/>
        <v>1.7870370370370377E-2</v>
      </c>
      <c r="I979" s="80"/>
    </row>
    <row r="980" spans="1:9" x14ac:dyDescent="0.2">
      <c r="A980" s="523">
        <v>43101</v>
      </c>
      <c r="B980" s="556" t="s">
        <v>5980</v>
      </c>
      <c r="C980" s="950" t="s">
        <v>4818</v>
      </c>
      <c r="D980" s="1">
        <v>4.1655092592592598E-2</v>
      </c>
      <c r="E980" s="80" t="s">
        <v>7962</v>
      </c>
      <c r="F980" s="69" t="s">
        <v>9026</v>
      </c>
      <c r="G980" s="82"/>
      <c r="H980" s="334">
        <f t="shared" si="29"/>
        <v>-1.6724537037037045E-2</v>
      </c>
      <c r="I980" s="80" t="s">
        <v>9027</v>
      </c>
    </row>
    <row r="981" spans="1:9" x14ac:dyDescent="0.2">
      <c r="A981" s="523">
        <v>43101</v>
      </c>
      <c r="B981" s="556" t="s">
        <v>5980</v>
      </c>
      <c r="C981" s="950" t="s">
        <v>4818</v>
      </c>
      <c r="D981" s="1">
        <v>2.4930555555555553E-2</v>
      </c>
      <c r="E981" s="80" t="s">
        <v>4633</v>
      </c>
      <c r="F981" s="69" t="s">
        <v>9024</v>
      </c>
      <c r="G981" s="82">
        <v>0.53300000000000003</v>
      </c>
      <c r="H981" s="334">
        <f t="shared" si="29"/>
        <v>2.8819444444444474E-3</v>
      </c>
      <c r="I981" s="80" t="s">
        <v>139</v>
      </c>
    </row>
    <row r="982" spans="1:9" x14ac:dyDescent="0.2">
      <c r="A982" s="523">
        <v>43435</v>
      </c>
      <c r="B982" s="1164" t="s">
        <v>4071</v>
      </c>
      <c r="C982" s="1164" t="s">
        <v>1691</v>
      </c>
      <c r="D982" s="1">
        <v>2.78125E-2</v>
      </c>
      <c r="E982" s="80" t="s">
        <v>4950</v>
      </c>
      <c r="F982" s="80" t="s">
        <v>11188</v>
      </c>
      <c r="G982" s="82">
        <v>0.44030000000000002</v>
      </c>
      <c r="H982" s="334">
        <f t="shared" si="29"/>
        <v>5.6365740740740682E-3</v>
      </c>
    </row>
    <row r="983" spans="1:9" x14ac:dyDescent="0.2">
      <c r="A983" s="523">
        <v>43421</v>
      </c>
      <c r="B983" s="906" t="s">
        <v>4071</v>
      </c>
      <c r="C983" s="906" t="s">
        <v>1691</v>
      </c>
      <c r="D983" s="1">
        <v>3.3449074074074069E-2</v>
      </c>
      <c r="E983" s="80" t="s">
        <v>11023</v>
      </c>
      <c r="F983" s="80" t="s">
        <v>11017</v>
      </c>
      <c r="G983" s="82">
        <v>0.46200000000000002</v>
      </c>
      <c r="H983" s="334">
        <f t="shared" si="29"/>
        <v>-6.0532407407407306E-3</v>
      </c>
    </row>
    <row r="984" spans="1:9" x14ac:dyDescent="0.2">
      <c r="A984" s="523">
        <v>43316</v>
      </c>
      <c r="B984" s="1029" t="s">
        <v>4071</v>
      </c>
      <c r="C984" s="1030" t="s">
        <v>1691</v>
      </c>
      <c r="D984" s="136">
        <v>2.7395833333333338E-2</v>
      </c>
      <c r="E984" s="80" t="s">
        <v>4179</v>
      </c>
      <c r="F984" s="69" t="s">
        <v>10395</v>
      </c>
      <c r="G984" s="82">
        <v>0.44700000000000001</v>
      </c>
      <c r="H984" s="334">
        <f t="shared" si="29"/>
        <v>-1.405092592592593E-2</v>
      </c>
      <c r="I984" t="s">
        <v>10396</v>
      </c>
    </row>
    <row r="985" spans="1:9" x14ac:dyDescent="0.2">
      <c r="A985" s="523">
        <v>43456</v>
      </c>
      <c r="B985" s="556" t="s">
        <v>3011</v>
      </c>
      <c r="C985" s="556" t="s">
        <v>3012</v>
      </c>
      <c r="D985" s="1">
        <v>1.3344907407407408E-2</v>
      </c>
      <c r="E985" s="80" t="s">
        <v>3009</v>
      </c>
      <c r="F985" s="80" t="s">
        <v>11362</v>
      </c>
      <c r="G985" s="82">
        <v>0.77359999999999995</v>
      </c>
      <c r="H985" s="334">
        <f t="shared" si="29"/>
        <v>-2.4305555555555539E-4</v>
      </c>
    </row>
    <row r="986" spans="1:9" x14ac:dyDescent="0.2">
      <c r="A986" s="523">
        <v>43442</v>
      </c>
      <c r="B986" s="972" t="s">
        <v>3011</v>
      </c>
      <c r="C986" s="972" t="s">
        <v>3012</v>
      </c>
      <c r="D986" s="1">
        <v>1.3101851851851852E-2</v>
      </c>
      <c r="E986" s="80" t="s">
        <v>3009</v>
      </c>
      <c r="F986" s="80" t="s">
        <v>11259</v>
      </c>
      <c r="G986" s="82">
        <v>0.78800000000000003</v>
      </c>
      <c r="H986" s="334">
        <f t="shared" si="29"/>
        <v>-2.8935185185185314E-4</v>
      </c>
    </row>
    <row r="987" spans="1:9" x14ac:dyDescent="0.2">
      <c r="A987" s="523">
        <v>43393</v>
      </c>
      <c r="B987" s="862" t="s">
        <v>3011</v>
      </c>
      <c r="C987" s="862" t="s">
        <v>3012</v>
      </c>
      <c r="D987" s="1">
        <v>1.2812499999999999E-2</v>
      </c>
      <c r="E987" s="80" t="s">
        <v>840</v>
      </c>
      <c r="F987" s="80" t="s">
        <v>10854</v>
      </c>
      <c r="G987" s="82">
        <v>0.80579999999999996</v>
      </c>
      <c r="H987" s="334">
        <f t="shared" si="29"/>
        <v>1.7361111111111049E-4</v>
      </c>
    </row>
    <row r="988" spans="1:9" x14ac:dyDescent="0.2">
      <c r="A988" s="523">
        <v>43386</v>
      </c>
      <c r="B988" s="532" t="s">
        <v>3011</v>
      </c>
      <c r="C988" s="532" t="s">
        <v>3012</v>
      </c>
      <c r="D988" s="1">
        <v>1.298611111111111E-2</v>
      </c>
      <c r="E988" s="80" t="s">
        <v>3009</v>
      </c>
      <c r="F988" s="80" t="s">
        <v>10821</v>
      </c>
      <c r="G988" s="82">
        <v>0.79500000000000004</v>
      </c>
      <c r="H988" s="334">
        <f t="shared" si="29"/>
        <v>2.4074074074074102E-3</v>
      </c>
    </row>
    <row r="989" spans="1:9" x14ac:dyDescent="0.2">
      <c r="A989" s="523">
        <v>43239</v>
      </c>
      <c r="B989" s="80" t="s">
        <v>3011</v>
      </c>
      <c r="C989" s="334" t="s">
        <v>3012</v>
      </c>
      <c r="D989" s="1">
        <v>1.539351851851852E-2</v>
      </c>
      <c r="E989" s="80" t="s">
        <v>5198</v>
      </c>
      <c r="F989" s="69" t="s">
        <v>9821</v>
      </c>
      <c r="G989" s="82">
        <v>0.67069999999999996</v>
      </c>
      <c r="H989" s="334">
        <f t="shared" si="29"/>
        <v>-2.9166666666666698E-3</v>
      </c>
      <c r="I989" s="80"/>
    </row>
    <row r="990" spans="1:9" x14ac:dyDescent="0.2">
      <c r="A990" s="523">
        <v>43113</v>
      </c>
      <c r="B990" s="972" t="s">
        <v>3011</v>
      </c>
      <c r="C990" s="973" t="s">
        <v>3012</v>
      </c>
      <c r="D990" s="1">
        <v>1.247685185185185E-2</v>
      </c>
      <c r="E990" s="80" t="s">
        <v>3009</v>
      </c>
      <c r="F990" s="69" t="s">
        <v>9108</v>
      </c>
      <c r="G990" s="82">
        <v>0.82099999999999995</v>
      </c>
      <c r="H990" s="334">
        <f t="shared" si="29"/>
        <v>-2.4305555555555365E-4</v>
      </c>
      <c r="I990" s="80"/>
    </row>
    <row r="991" spans="1:9" x14ac:dyDescent="0.2">
      <c r="A991" s="33">
        <v>43101</v>
      </c>
      <c r="B991" s="556" t="s">
        <v>3011</v>
      </c>
      <c r="C991" s="950" t="s">
        <v>3012</v>
      </c>
      <c r="D991" s="1">
        <v>1.2233796296296296E-2</v>
      </c>
      <c r="E991" s="80" t="s">
        <v>3009</v>
      </c>
      <c r="F991" s="69" t="s">
        <v>9049</v>
      </c>
      <c r="G991" s="82">
        <v>0.83730000000000004</v>
      </c>
      <c r="H991" s="334">
        <f t="shared" si="29"/>
        <v>1.1458333333333333E-2</v>
      </c>
      <c r="I991" s="80" t="s">
        <v>9050</v>
      </c>
    </row>
    <row r="992" spans="1:9" x14ac:dyDescent="0.2">
      <c r="A992" s="523">
        <v>43323</v>
      </c>
      <c r="B992" s="568" t="s">
        <v>5369</v>
      </c>
      <c r="C992" s="585" t="s">
        <v>2117</v>
      </c>
      <c r="D992" s="1">
        <v>2.3692129629629629E-2</v>
      </c>
      <c r="E992" s="80" t="s">
        <v>10419</v>
      </c>
      <c r="F992" s="80" t="s">
        <v>10425</v>
      </c>
      <c r="G992" s="82">
        <v>0.5554</v>
      </c>
      <c r="H992" s="334">
        <f t="shared" si="29"/>
        <v>5.5555555555555219E-4</v>
      </c>
    </row>
    <row r="993" spans="1:9" ht="12.75" customHeight="1" x14ac:dyDescent="0.2">
      <c r="A993" s="523">
        <v>43302</v>
      </c>
      <c r="B993" s="985" t="s">
        <v>5369</v>
      </c>
      <c r="C993" s="985" t="s">
        <v>2117</v>
      </c>
      <c r="D993" s="1">
        <v>2.4247685185185181E-2</v>
      </c>
      <c r="E993" s="80" t="s">
        <v>10282</v>
      </c>
      <c r="F993" s="80" t="s">
        <v>10315</v>
      </c>
      <c r="G993" s="82">
        <v>0.53369999999999995</v>
      </c>
      <c r="H993" s="334">
        <f t="shared" si="29"/>
        <v>6.4814814814815463E-4</v>
      </c>
    </row>
    <row r="994" spans="1:9" x14ac:dyDescent="0.2">
      <c r="A994" s="523">
        <v>43295</v>
      </c>
      <c r="B994" s="601" t="s">
        <v>5369</v>
      </c>
      <c r="C994" s="601" t="s">
        <v>2117</v>
      </c>
      <c r="D994" s="1">
        <v>2.4895833333333336E-2</v>
      </c>
      <c r="E994" s="80" t="s">
        <v>10229</v>
      </c>
      <c r="F994" s="80" t="s">
        <v>10258</v>
      </c>
      <c r="G994" s="82">
        <v>0.51980000000000004</v>
      </c>
      <c r="H994" s="334">
        <f t="shared" si="29"/>
        <v>-6.319444444444447E-3</v>
      </c>
    </row>
    <row r="995" spans="1:9" x14ac:dyDescent="0.2">
      <c r="A995" s="523">
        <v>43456</v>
      </c>
      <c r="B995" s="556" t="s">
        <v>1308</v>
      </c>
      <c r="C995" s="556" t="s">
        <v>428</v>
      </c>
      <c r="D995" s="1">
        <v>1.8576388888888889E-2</v>
      </c>
      <c r="E995" s="80" t="s">
        <v>8248</v>
      </c>
      <c r="F995" s="80" t="s">
        <v>11349</v>
      </c>
      <c r="G995" s="82">
        <v>0.54700000000000004</v>
      </c>
      <c r="H995" s="334" t="e">
        <f t="shared" si="29"/>
        <v>#VALUE!</v>
      </c>
      <c r="I995" s="80" t="s">
        <v>11370</v>
      </c>
    </row>
    <row r="996" spans="1:9" x14ac:dyDescent="0.2">
      <c r="A996" s="523">
        <v>43456</v>
      </c>
      <c r="B996" s="556" t="s">
        <v>4640</v>
      </c>
      <c r="C996" s="556" t="s">
        <v>4641</v>
      </c>
      <c r="D996" s="1" t="s">
        <v>4642</v>
      </c>
      <c r="E996" s="80" t="s">
        <v>5947</v>
      </c>
      <c r="F996" s="80" t="s">
        <v>4061</v>
      </c>
      <c r="G996" s="82"/>
      <c r="H996" s="334" t="e">
        <f t="shared" si="29"/>
        <v>#VALUE!</v>
      </c>
    </row>
    <row r="997" spans="1:9" x14ac:dyDescent="0.2">
      <c r="A997" s="33">
        <v>43449</v>
      </c>
      <c r="B997" s="1029" t="s">
        <v>4640</v>
      </c>
      <c r="C997" s="1030" t="s">
        <v>4641</v>
      </c>
      <c r="D997" s="80" t="s">
        <v>787</v>
      </c>
      <c r="E997" s="80" t="s">
        <v>5517</v>
      </c>
      <c r="F997" s="69" t="s">
        <v>4185</v>
      </c>
      <c r="G997" s="82"/>
      <c r="H997" s="334" t="e">
        <f t="shared" si="29"/>
        <v>#VALUE!</v>
      </c>
    </row>
    <row r="998" spans="1:9" x14ac:dyDescent="0.2">
      <c r="A998" s="523">
        <v>43442</v>
      </c>
      <c r="B998" s="972" t="s">
        <v>4640</v>
      </c>
      <c r="C998" s="972" t="s">
        <v>4641</v>
      </c>
      <c r="D998" s="1" t="s">
        <v>787</v>
      </c>
      <c r="E998" s="80" t="s">
        <v>5947</v>
      </c>
      <c r="F998" s="80" t="s">
        <v>4854</v>
      </c>
      <c r="G998" s="82"/>
      <c r="H998" s="334" t="e">
        <f t="shared" si="29"/>
        <v>#VALUE!</v>
      </c>
    </row>
    <row r="999" spans="1:9" x14ac:dyDescent="0.2">
      <c r="A999" s="523">
        <v>43421</v>
      </c>
      <c r="B999" s="906" t="s">
        <v>4640</v>
      </c>
      <c r="C999" s="906" t="s">
        <v>4641</v>
      </c>
      <c r="D999" s="334" t="s">
        <v>787</v>
      </c>
      <c r="E999" s="80" t="s">
        <v>5947</v>
      </c>
      <c r="F999" s="80" t="s">
        <v>5508</v>
      </c>
      <c r="G999" s="82"/>
      <c r="H999" s="334" t="e">
        <f t="shared" si="29"/>
        <v>#VALUE!</v>
      </c>
    </row>
    <row r="1000" spans="1:9" x14ac:dyDescent="0.2">
      <c r="A1000" s="33">
        <v>43414</v>
      </c>
      <c r="B1000" s="80" t="s">
        <v>4640</v>
      </c>
      <c r="C1000" s="334" t="s">
        <v>4641</v>
      </c>
      <c r="D1000" s="80" t="s">
        <v>787</v>
      </c>
      <c r="E1000" s="80" t="s">
        <v>5947</v>
      </c>
      <c r="F1000" s="69" t="s">
        <v>4185</v>
      </c>
      <c r="H1000" s="334" t="e">
        <f t="shared" si="29"/>
        <v>#VALUE!</v>
      </c>
    </row>
    <row r="1001" spans="1:9" x14ac:dyDescent="0.2">
      <c r="A1001" s="33">
        <v>43400</v>
      </c>
      <c r="B1001" s="556" t="s">
        <v>4640</v>
      </c>
      <c r="C1001" s="950" t="s">
        <v>4641</v>
      </c>
      <c r="D1001" s="80" t="s">
        <v>787</v>
      </c>
      <c r="E1001" s="80" t="s">
        <v>5947</v>
      </c>
      <c r="F1001" s="69" t="s">
        <v>4854</v>
      </c>
      <c r="G1001" s="82"/>
      <c r="H1001" s="334" t="e">
        <f t="shared" si="29"/>
        <v>#VALUE!</v>
      </c>
    </row>
    <row r="1002" spans="1:9" x14ac:dyDescent="0.2">
      <c r="A1002" s="33">
        <v>43393</v>
      </c>
      <c r="B1002" s="862" t="s">
        <v>4640</v>
      </c>
      <c r="C1002" s="863" t="s">
        <v>4641</v>
      </c>
      <c r="D1002" s="80" t="s">
        <v>787</v>
      </c>
      <c r="E1002" s="80" t="s">
        <v>5947</v>
      </c>
      <c r="F1002" s="69" t="s">
        <v>5508</v>
      </c>
      <c r="G1002" s="82"/>
      <c r="H1002" s="334" t="e">
        <f t="shared" si="29"/>
        <v>#VALUE!</v>
      </c>
    </row>
    <row r="1003" spans="1:9" x14ac:dyDescent="0.2">
      <c r="A1003" s="523">
        <v>43386</v>
      </c>
      <c r="B1003" s="532" t="s">
        <v>4640</v>
      </c>
      <c r="C1003" s="532" t="s">
        <v>4641</v>
      </c>
      <c r="D1003" s="1" t="s">
        <v>787</v>
      </c>
      <c r="E1003" s="80" t="s">
        <v>5947</v>
      </c>
      <c r="F1003" s="80" t="s">
        <v>1549</v>
      </c>
      <c r="G1003" s="82"/>
      <c r="H1003" s="334" t="e">
        <f t="shared" si="29"/>
        <v>#VALUE!</v>
      </c>
    </row>
    <row r="1004" spans="1:9" x14ac:dyDescent="0.2">
      <c r="A1004" s="523">
        <v>43365</v>
      </c>
      <c r="B1004" s="556" t="s">
        <v>4640</v>
      </c>
      <c r="C1004" s="950" t="s">
        <v>4641</v>
      </c>
      <c r="D1004" s="80" t="s">
        <v>787</v>
      </c>
      <c r="E1004" s="80" t="s">
        <v>5947</v>
      </c>
      <c r="F1004" s="69" t="s">
        <v>3301</v>
      </c>
      <c r="G1004" s="82"/>
      <c r="H1004" s="334" t="e">
        <f t="shared" si="29"/>
        <v>#VALUE!</v>
      </c>
    </row>
    <row r="1005" spans="1:9" x14ac:dyDescent="0.2">
      <c r="A1005" s="523">
        <v>43358</v>
      </c>
      <c r="B1005" s="1127" t="s">
        <v>4640</v>
      </c>
      <c r="C1005" s="1127" t="s">
        <v>4641</v>
      </c>
      <c r="D1005" s="1">
        <v>2.5636574074074072E-2</v>
      </c>
      <c r="E1005" t="s">
        <v>1021</v>
      </c>
      <c r="F1005" s="80" t="s">
        <v>10643</v>
      </c>
      <c r="G1005" s="82">
        <v>0.45419999999999999</v>
      </c>
      <c r="H1005" s="334" t="e">
        <f t="shared" si="29"/>
        <v>#VALUE!</v>
      </c>
    </row>
    <row r="1006" spans="1:9" x14ac:dyDescent="0.2">
      <c r="A1006" s="523">
        <v>43344</v>
      </c>
      <c r="B1006" s="552" t="s">
        <v>4640</v>
      </c>
      <c r="C1006" s="552" t="s">
        <v>4641</v>
      </c>
      <c r="D1006" s="80" t="s">
        <v>787</v>
      </c>
      <c r="E1006" s="80" t="s">
        <v>5947</v>
      </c>
      <c r="F1006" s="80" t="s">
        <v>5508</v>
      </c>
      <c r="H1006" s="334" t="e">
        <f t="shared" si="29"/>
        <v>#VALUE!</v>
      </c>
    </row>
    <row r="1007" spans="1:9" x14ac:dyDescent="0.2">
      <c r="A1007" s="33">
        <v>43337</v>
      </c>
      <c r="B1007" s="1044" t="s">
        <v>4640</v>
      </c>
      <c r="C1007" s="1045" t="s">
        <v>4641</v>
      </c>
      <c r="D1007" s="80" t="s">
        <v>787</v>
      </c>
      <c r="E1007" s="80" t="s">
        <v>5947</v>
      </c>
      <c r="F1007" s="69" t="s">
        <v>4854</v>
      </c>
      <c r="H1007" s="334" t="e">
        <f t="shared" ref="H1007:H1030" si="30">D1008-D1007</f>
        <v>#VALUE!</v>
      </c>
    </row>
    <row r="1008" spans="1:9" x14ac:dyDescent="0.2">
      <c r="A1008" s="33">
        <v>43330</v>
      </c>
      <c r="B1008" s="1099" t="s">
        <v>4640</v>
      </c>
      <c r="C1008" s="1101" t="s">
        <v>4641</v>
      </c>
      <c r="D1008" s="80" t="s">
        <v>787</v>
      </c>
      <c r="E1008" s="80" t="s">
        <v>5947</v>
      </c>
      <c r="F1008" s="69" t="s">
        <v>5508</v>
      </c>
      <c r="G1008" s="69"/>
      <c r="H1008" s="334" t="e">
        <f t="shared" si="30"/>
        <v>#VALUE!</v>
      </c>
    </row>
    <row r="1009" spans="1:9" x14ac:dyDescent="0.2">
      <c r="A1009" s="523">
        <v>43323</v>
      </c>
      <c r="B1009" s="568" t="s">
        <v>4640</v>
      </c>
      <c r="C1009" s="861" t="s">
        <v>4641</v>
      </c>
      <c r="D1009" s="80" t="s">
        <v>787</v>
      </c>
      <c r="E1009" s="80" t="s">
        <v>5947</v>
      </c>
      <c r="F1009" s="69" t="s">
        <v>1549</v>
      </c>
      <c r="G1009" s="82"/>
      <c r="H1009" s="334" t="e">
        <f t="shared" si="30"/>
        <v>#VALUE!</v>
      </c>
    </row>
    <row r="1010" spans="1:9" ht="12" customHeight="1" x14ac:dyDescent="0.2">
      <c r="A1010" s="523">
        <v>43295</v>
      </c>
      <c r="B1010" s="601" t="s">
        <v>4640</v>
      </c>
      <c r="C1010" s="601" t="s">
        <v>4641</v>
      </c>
      <c r="D1010" s="334" t="s">
        <v>787</v>
      </c>
      <c r="E1010" s="80" t="s">
        <v>5947</v>
      </c>
      <c r="F1010" s="80" t="s">
        <v>5508</v>
      </c>
      <c r="G1010" s="82"/>
      <c r="H1010" s="334" t="e">
        <f t="shared" si="30"/>
        <v>#VALUE!</v>
      </c>
    </row>
    <row r="1011" spans="1:9" x14ac:dyDescent="0.2">
      <c r="A1011" s="523">
        <v>43281</v>
      </c>
      <c r="B1011" s="556" t="s">
        <v>4640</v>
      </c>
      <c r="C1011" s="950" t="s">
        <v>4641</v>
      </c>
      <c r="D1011" s="80" t="s">
        <v>787</v>
      </c>
      <c r="E1011" s="80" t="s">
        <v>5947</v>
      </c>
      <c r="F1011" s="69" t="s">
        <v>1549</v>
      </c>
      <c r="G1011" s="82"/>
      <c r="H1011" s="334" t="e">
        <f t="shared" si="30"/>
        <v>#VALUE!</v>
      </c>
    </row>
    <row r="1012" spans="1:9" x14ac:dyDescent="0.2">
      <c r="A1012" s="33">
        <v>43267</v>
      </c>
      <c r="B1012" s="1058" t="s">
        <v>4640</v>
      </c>
      <c r="C1012" s="1059" t="s">
        <v>4641</v>
      </c>
      <c r="D1012" s="80" t="s">
        <v>787</v>
      </c>
      <c r="E1012" s="80" t="s">
        <v>5947</v>
      </c>
      <c r="F1012" s="69" t="s">
        <v>5508</v>
      </c>
      <c r="G1012" s="82"/>
      <c r="H1012" s="334" t="e">
        <f t="shared" si="30"/>
        <v>#VALUE!</v>
      </c>
      <c r="I1012" s="80"/>
    </row>
    <row r="1013" spans="1:9" x14ac:dyDescent="0.2">
      <c r="A1013" s="33">
        <v>43260</v>
      </c>
      <c r="B1013" s="532" t="s">
        <v>4640</v>
      </c>
      <c r="C1013" s="843" t="s">
        <v>4641</v>
      </c>
      <c r="D1013" s="80" t="s">
        <v>787</v>
      </c>
      <c r="E1013" s="80" t="s">
        <v>5947</v>
      </c>
      <c r="F1013" s="69" t="s">
        <v>4854</v>
      </c>
      <c r="G1013" s="82"/>
      <c r="H1013" s="334" t="e">
        <f t="shared" si="30"/>
        <v>#VALUE!</v>
      </c>
      <c r="I1013" s="80"/>
    </row>
    <row r="1014" spans="1:9" ht="12.75" customHeight="1" x14ac:dyDescent="0.2">
      <c r="A1014" s="523">
        <v>43239</v>
      </c>
      <c r="B1014" s="80" t="s">
        <v>4640</v>
      </c>
      <c r="C1014" s="334" t="s">
        <v>4641</v>
      </c>
      <c r="D1014" s="1">
        <v>2.4305555555555556E-2</v>
      </c>
      <c r="E1014" s="80" t="s">
        <v>9816</v>
      </c>
      <c r="F1014" s="69" t="s">
        <v>9834</v>
      </c>
      <c r="G1014" s="82">
        <v>0.4748</v>
      </c>
      <c r="H1014" s="334" t="e">
        <f t="shared" si="30"/>
        <v>#VALUE!</v>
      </c>
      <c r="I1014" s="80" t="s">
        <v>9845</v>
      </c>
    </row>
    <row r="1015" spans="1:9" x14ac:dyDescent="0.2">
      <c r="A1015" s="523">
        <v>43232</v>
      </c>
      <c r="B1015" s="1051" t="s">
        <v>4640</v>
      </c>
      <c r="C1015" s="1052" t="s">
        <v>4641</v>
      </c>
      <c r="D1015" s="334" t="s">
        <v>787</v>
      </c>
      <c r="E1015" s="80" t="s">
        <v>5947</v>
      </c>
      <c r="F1015" s="69" t="s">
        <v>5508</v>
      </c>
      <c r="G1015" s="82"/>
      <c r="H1015" s="334" t="e">
        <f t="shared" si="30"/>
        <v>#VALUE!</v>
      </c>
      <c r="I1015" s="80"/>
    </row>
    <row r="1016" spans="1:9" x14ac:dyDescent="0.2">
      <c r="A1016" s="33">
        <v>43211</v>
      </c>
      <c r="B1016" s="1038" t="s">
        <v>4640</v>
      </c>
      <c r="C1016" s="1039" t="s">
        <v>4641</v>
      </c>
      <c r="D1016" s="80" t="s">
        <v>787</v>
      </c>
      <c r="E1016" s="80" t="s">
        <v>5947</v>
      </c>
      <c r="F1016" s="69" t="s">
        <v>5508</v>
      </c>
      <c r="G1016" s="82"/>
      <c r="H1016" s="334" t="e">
        <f t="shared" si="30"/>
        <v>#VALUE!</v>
      </c>
      <c r="I1016" s="80"/>
    </row>
    <row r="1017" spans="1:9" x14ac:dyDescent="0.2">
      <c r="A1017" s="523">
        <v>43176</v>
      </c>
      <c r="B1017" s="532" t="s">
        <v>4640</v>
      </c>
      <c r="C1017" s="843" t="s">
        <v>4641</v>
      </c>
      <c r="D1017" s="80" t="s">
        <v>787</v>
      </c>
      <c r="E1017" s="80" t="s">
        <v>5947</v>
      </c>
      <c r="F1017" s="69" t="s">
        <v>9455</v>
      </c>
      <c r="G1017" s="82"/>
      <c r="H1017" s="334" t="e">
        <f t="shared" si="30"/>
        <v>#VALUE!</v>
      </c>
      <c r="I1017" s="80"/>
    </row>
    <row r="1018" spans="1:9" x14ac:dyDescent="0.2">
      <c r="A1018" s="523">
        <v>43169</v>
      </c>
      <c r="B1018" s="862" t="s">
        <v>4640</v>
      </c>
      <c r="C1018" s="863" t="s">
        <v>4641</v>
      </c>
      <c r="D1018" s="334">
        <v>3.108796296296296E-2</v>
      </c>
      <c r="E1018" s="80" t="s">
        <v>5947</v>
      </c>
      <c r="F1018" s="69" t="s">
        <v>9416</v>
      </c>
      <c r="G1018" s="82">
        <v>0.37119999999999997</v>
      </c>
      <c r="H1018" s="334" t="e">
        <f t="shared" si="30"/>
        <v>#VALUE!</v>
      </c>
      <c r="I1018" s="80"/>
    </row>
    <row r="1019" spans="1:9" x14ac:dyDescent="0.2">
      <c r="A1019" s="523">
        <v>43155</v>
      </c>
      <c r="B1019" s="940" t="s">
        <v>4640</v>
      </c>
      <c r="C1019" s="941" t="s">
        <v>4641</v>
      </c>
      <c r="D1019" s="334" t="s">
        <v>787</v>
      </c>
      <c r="E1019" s="80" t="s">
        <v>5947</v>
      </c>
      <c r="F1019" s="69" t="s">
        <v>1549</v>
      </c>
      <c r="G1019" s="82"/>
      <c r="H1019" s="334" t="e">
        <f t="shared" si="30"/>
        <v>#VALUE!</v>
      </c>
      <c r="I1019" s="80"/>
    </row>
    <row r="1020" spans="1:9" x14ac:dyDescent="0.2">
      <c r="A1020" s="523">
        <v>43148</v>
      </c>
      <c r="B1020" s="568" t="s">
        <v>4640</v>
      </c>
      <c r="C1020" s="861" t="s">
        <v>4641</v>
      </c>
      <c r="D1020" s="334" t="s">
        <v>787</v>
      </c>
      <c r="E1020" s="80" t="s">
        <v>5947</v>
      </c>
      <c r="F1020" s="69" t="s">
        <v>5508</v>
      </c>
      <c r="G1020" s="82"/>
      <c r="H1020" s="334" t="e">
        <f t="shared" si="30"/>
        <v>#VALUE!</v>
      </c>
      <c r="I1020" s="80"/>
    </row>
    <row r="1021" spans="1:9" x14ac:dyDescent="0.2">
      <c r="A1021" s="523">
        <v>43141</v>
      </c>
      <c r="B1021" s="987" t="s">
        <v>4640</v>
      </c>
      <c r="C1021" s="988" t="s">
        <v>4641</v>
      </c>
      <c r="D1021" s="334" t="s">
        <v>787</v>
      </c>
      <c r="E1021" s="80" t="s">
        <v>5947</v>
      </c>
      <c r="F1021" s="69" t="s">
        <v>4854</v>
      </c>
      <c r="G1021" s="82"/>
      <c r="H1021" s="334" t="e">
        <f t="shared" si="30"/>
        <v>#VALUE!</v>
      </c>
      <c r="I1021" s="80"/>
    </row>
    <row r="1022" spans="1:9" x14ac:dyDescent="0.2">
      <c r="A1022" s="33">
        <v>43127</v>
      </c>
      <c r="B1022" s="862" t="s">
        <v>4640</v>
      </c>
      <c r="C1022" s="863" t="s">
        <v>4641</v>
      </c>
      <c r="D1022" s="80" t="s">
        <v>787</v>
      </c>
      <c r="E1022" s="80" t="s">
        <v>5947</v>
      </c>
      <c r="F1022" s="69" t="s">
        <v>5508</v>
      </c>
      <c r="G1022" s="82"/>
      <c r="H1022" s="334" t="e">
        <f t="shared" si="30"/>
        <v>#VALUE!</v>
      </c>
      <c r="I1022" s="80"/>
    </row>
    <row r="1023" spans="1:9" x14ac:dyDescent="0.2">
      <c r="A1023" s="523">
        <v>43120</v>
      </c>
      <c r="B1023" s="80" t="s">
        <v>4640</v>
      </c>
      <c r="C1023" s="334" t="s">
        <v>4641</v>
      </c>
      <c r="D1023" s="334" t="s">
        <v>787</v>
      </c>
      <c r="E1023" s="80" t="s">
        <v>5947</v>
      </c>
      <c r="F1023" s="69" t="s">
        <v>5508</v>
      </c>
      <c r="G1023" s="82"/>
      <c r="H1023" s="334" t="e">
        <f t="shared" si="30"/>
        <v>#VALUE!</v>
      </c>
      <c r="I1023" s="80"/>
    </row>
    <row r="1024" spans="1:9" x14ac:dyDescent="0.2">
      <c r="A1024" s="33">
        <v>43101</v>
      </c>
      <c r="B1024" s="556" t="s">
        <v>4640</v>
      </c>
      <c r="C1024" s="950" t="s">
        <v>4641</v>
      </c>
      <c r="D1024" s="80" t="s">
        <v>787</v>
      </c>
      <c r="E1024" s="80" t="s">
        <v>5947</v>
      </c>
      <c r="F1024" s="69" t="s">
        <v>5508</v>
      </c>
      <c r="G1024" s="82"/>
      <c r="H1024" s="334" t="e">
        <f t="shared" si="30"/>
        <v>#VALUE!</v>
      </c>
      <c r="I1024" s="80"/>
    </row>
    <row r="1025" spans="1:9" x14ac:dyDescent="0.2">
      <c r="A1025" s="523">
        <v>43351</v>
      </c>
      <c r="B1025" s="532" t="s">
        <v>10595</v>
      </c>
      <c r="C1025" s="532" t="s">
        <v>4641</v>
      </c>
      <c r="D1025" s="334" t="s">
        <v>787</v>
      </c>
      <c r="E1025" s="80" t="s">
        <v>5947</v>
      </c>
      <c r="F1025" s="80" t="s">
        <v>4185</v>
      </c>
      <c r="G1025" s="82"/>
      <c r="H1025" s="334" t="e">
        <f t="shared" si="30"/>
        <v>#VALUE!</v>
      </c>
    </row>
    <row r="1026" spans="1:9" x14ac:dyDescent="0.2">
      <c r="A1026" s="523">
        <v>43239</v>
      </c>
      <c r="B1026" s="1019" t="s">
        <v>5433</v>
      </c>
      <c r="C1026" s="1020" t="s">
        <v>2708</v>
      </c>
      <c r="D1026" s="1">
        <v>2.1041666666666667E-2</v>
      </c>
      <c r="E1026" s="80" t="s">
        <v>1401</v>
      </c>
      <c r="F1026" s="69" t="s">
        <v>9833</v>
      </c>
      <c r="G1026" s="82">
        <v>0.54349999999999998</v>
      </c>
      <c r="H1026" s="334">
        <f t="shared" si="30"/>
        <v>4.3981481481481302E-4</v>
      </c>
      <c r="I1026" s="80"/>
    </row>
    <row r="1027" spans="1:9" x14ac:dyDescent="0.2">
      <c r="A1027" s="523">
        <v>43197</v>
      </c>
      <c r="B1027" s="1019" t="s">
        <v>5433</v>
      </c>
      <c r="C1027" s="1020" t="s">
        <v>2708</v>
      </c>
      <c r="D1027" s="1">
        <v>2.148148148148148E-2</v>
      </c>
      <c r="E1027" s="80" t="s">
        <v>1401</v>
      </c>
      <c r="F1027" s="69" t="s">
        <v>9565</v>
      </c>
      <c r="G1027" s="82">
        <v>0.5323</v>
      </c>
      <c r="H1027" s="334">
        <f t="shared" si="30"/>
        <v>7.5231481481481677E-4</v>
      </c>
      <c r="I1027" s="80"/>
    </row>
    <row r="1028" spans="1:9" x14ac:dyDescent="0.2">
      <c r="A1028" s="523">
        <v>43183</v>
      </c>
      <c r="B1028" s="1019" t="s">
        <v>5433</v>
      </c>
      <c r="C1028" s="1020" t="s">
        <v>2708</v>
      </c>
      <c r="D1028" s="1">
        <v>2.2233796296296297E-2</v>
      </c>
      <c r="E1028" s="80" t="s">
        <v>1401</v>
      </c>
      <c r="F1028" s="69" t="s">
        <v>9490</v>
      </c>
      <c r="G1028" s="82">
        <v>0.51429999999999998</v>
      </c>
      <c r="H1028" s="334">
        <f t="shared" si="30"/>
        <v>1.8287037037037039E-3</v>
      </c>
      <c r="I1028" s="80"/>
    </row>
    <row r="1029" spans="1:9" x14ac:dyDescent="0.2">
      <c r="A1029" s="523">
        <v>43176</v>
      </c>
      <c r="B1029" s="1019" t="s">
        <v>5433</v>
      </c>
      <c r="C1029" s="1020" t="s">
        <v>2708</v>
      </c>
      <c r="D1029" s="1">
        <v>2.4062500000000001E-2</v>
      </c>
      <c r="E1029" s="80" t="s">
        <v>5544</v>
      </c>
      <c r="F1029" s="69" t="s">
        <v>705</v>
      </c>
      <c r="G1029" s="82">
        <v>0.47520000000000001</v>
      </c>
      <c r="H1029" s="334">
        <f t="shared" si="30"/>
        <v>-2.5000000000000022E-3</v>
      </c>
      <c r="I1029" s="80"/>
    </row>
    <row r="1030" spans="1:9" x14ac:dyDescent="0.2">
      <c r="A1030" s="523">
        <v>43463</v>
      </c>
      <c r="B1030" s="862" t="s">
        <v>665</v>
      </c>
      <c r="C1030" s="862" t="s">
        <v>11394</v>
      </c>
      <c r="D1030" s="1">
        <v>2.1562499999999998E-2</v>
      </c>
      <c r="E1030" s="80" t="s">
        <v>9218</v>
      </c>
      <c r="F1030" s="80" t="s">
        <v>11424</v>
      </c>
      <c r="G1030" s="82">
        <v>0.50780000000000003</v>
      </c>
      <c r="H1030" s="334" t="e">
        <f t="shared" si="30"/>
        <v>#VALUE!</v>
      </c>
    </row>
    <row r="1031" spans="1:9" x14ac:dyDescent="0.2">
      <c r="A1031" s="523">
        <v>43459</v>
      </c>
      <c r="B1031" s="80" t="s">
        <v>665</v>
      </c>
      <c r="C1031" s="80" t="s">
        <v>666</v>
      </c>
      <c r="D1031" s="1" t="s">
        <v>787</v>
      </c>
      <c r="E1031" s="80" t="s">
        <v>1401</v>
      </c>
      <c r="F1031" s="80" t="s">
        <v>5508</v>
      </c>
      <c r="G1031" s="82"/>
      <c r="H1031" s="80"/>
    </row>
    <row r="1032" spans="1:9" x14ac:dyDescent="0.2">
      <c r="A1032" s="523">
        <v>43456</v>
      </c>
      <c r="B1032" s="556" t="s">
        <v>665</v>
      </c>
      <c r="C1032" s="556" t="s">
        <v>666</v>
      </c>
      <c r="D1032" s="1">
        <v>1.909722222222222E-2</v>
      </c>
      <c r="E1032" s="80" t="s">
        <v>10983</v>
      </c>
      <c r="F1032" s="80" t="s">
        <v>11365</v>
      </c>
      <c r="G1032" s="82">
        <v>0.57330000000000003</v>
      </c>
      <c r="H1032" s="334">
        <f t="shared" ref="H1032:H1063" si="31">D1033-D1032</f>
        <v>1.759259259259259E-3</v>
      </c>
    </row>
    <row r="1033" spans="1:9" x14ac:dyDescent="0.2">
      <c r="A1033" s="523">
        <v>43442</v>
      </c>
      <c r="B1033" s="972" t="s">
        <v>665</v>
      </c>
      <c r="C1033" s="972" t="s">
        <v>666</v>
      </c>
      <c r="D1033" s="1">
        <v>2.0856481481481479E-2</v>
      </c>
      <c r="E1033" s="80" t="s">
        <v>10479</v>
      </c>
      <c r="F1033" s="80" t="s">
        <v>11266</v>
      </c>
      <c r="G1033" s="82">
        <v>0.52500000000000002</v>
      </c>
      <c r="H1033" s="334">
        <f t="shared" si="31"/>
        <v>-9.6064814814814797E-4</v>
      </c>
    </row>
    <row r="1034" spans="1:9" x14ac:dyDescent="0.2">
      <c r="A1034" s="523">
        <v>43435</v>
      </c>
      <c r="B1034" s="1164" t="s">
        <v>665</v>
      </c>
      <c r="C1034" s="1164" t="s">
        <v>666</v>
      </c>
      <c r="D1034" s="1">
        <v>1.9895833333333331E-2</v>
      </c>
      <c r="E1034" s="80" t="s">
        <v>4950</v>
      </c>
      <c r="F1034" s="80" t="s">
        <v>11160</v>
      </c>
      <c r="G1034" s="82">
        <v>0.55030000000000001</v>
      </c>
      <c r="H1034" s="334">
        <f t="shared" si="31"/>
        <v>4.3981481481481649E-4</v>
      </c>
    </row>
    <row r="1035" spans="1:9" x14ac:dyDescent="0.2">
      <c r="A1035" s="523">
        <v>43428</v>
      </c>
      <c r="B1035" s="1038" t="s">
        <v>665</v>
      </c>
      <c r="C1035" s="1038" t="s">
        <v>666</v>
      </c>
      <c r="D1035" s="1">
        <v>2.0335648148148148E-2</v>
      </c>
      <c r="E1035" s="80" t="s">
        <v>11077</v>
      </c>
      <c r="F1035" s="80" t="s">
        <v>11100</v>
      </c>
      <c r="G1035" s="82">
        <v>0.53839999999999999</v>
      </c>
      <c r="H1035" s="334">
        <f t="shared" si="31"/>
        <v>6.9444444444444892E-5</v>
      </c>
    </row>
    <row r="1036" spans="1:9" ht="12.75" customHeight="1" x14ac:dyDescent="0.2">
      <c r="A1036" s="523">
        <v>43421</v>
      </c>
      <c r="B1036" s="906" t="s">
        <v>665</v>
      </c>
      <c r="C1036" s="906" t="s">
        <v>666</v>
      </c>
      <c r="D1036" s="1">
        <v>2.0405092592592593E-2</v>
      </c>
      <c r="E1036" s="80" t="s">
        <v>11023</v>
      </c>
      <c r="F1036" s="80" t="s">
        <v>11016</v>
      </c>
      <c r="G1036" s="82">
        <v>0.53659999999999997</v>
      </c>
      <c r="H1036" s="334">
        <f t="shared" si="31"/>
        <v>2.314814814815061E-5</v>
      </c>
    </row>
    <row r="1037" spans="1:9" x14ac:dyDescent="0.2">
      <c r="A1037" s="523">
        <v>43414</v>
      </c>
      <c r="B1037" s="862" t="s">
        <v>665</v>
      </c>
      <c r="C1037" s="862" t="s">
        <v>666</v>
      </c>
      <c r="D1037" s="1">
        <v>2.0428240740740743E-2</v>
      </c>
      <c r="E1037" s="80" t="s">
        <v>10793</v>
      </c>
      <c r="F1037" s="80" t="s">
        <v>10984</v>
      </c>
      <c r="G1037" s="82">
        <v>0.53059999999999996</v>
      </c>
      <c r="H1037" s="334">
        <f t="shared" si="31"/>
        <v>1.157407407407357E-5</v>
      </c>
    </row>
    <row r="1038" spans="1:9" x14ac:dyDescent="0.2">
      <c r="A1038" s="523">
        <v>43407</v>
      </c>
      <c r="B1038" s="901" t="s">
        <v>665</v>
      </c>
      <c r="C1038" s="901" t="s">
        <v>666</v>
      </c>
      <c r="D1038" s="1">
        <v>2.0439814814814817E-2</v>
      </c>
      <c r="E1038" s="80" t="s">
        <v>4180</v>
      </c>
      <c r="F1038" s="80" t="s">
        <v>10956</v>
      </c>
      <c r="G1038" s="82">
        <v>0.53569999999999995</v>
      </c>
      <c r="H1038" s="334">
        <f t="shared" si="31"/>
        <v>6.1342592592592698E-4</v>
      </c>
    </row>
    <row r="1039" spans="1:9" x14ac:dyDescent="0.2">
      <c r="A1039" s="523">
        <v>43400</v>
      </c>
      <c r="B1039" s="556" t="s">
        <v>665</v>
      </c>
      <c r="C1039" s="556" t="s">
        <v>666</v>
      </c>
      <c r="D1039" s="1">
        <v>2.1053240740740744E-2</v>
      </c>
      <c r="E1039" s="80" t="s">
        <v>10880</v>
      </c>
      <c r="F1039" s="80" t="s">
        <v>10922</v>
      </c>
      <c r="G1039" s="82">
        <v>0.52010000000000001</v>
      </c>
      <c r="H1039" s="334">
        <f t="shared" si="31"/>
        <v>3.6111111111111066E-3</v>
      </c>
    </row>
    <row r="1040" spans="1:9" x14ac:dyDescent="0.2">
      <c r="A1040" s="523">
        <v>43393</v>
      </c>
      <c r="B1040" s="862" t="s">
        <v>665</v>
      </c>
      <c r="C1040" s="862" t="s">
        <v>666</v>
      </c>
      <c r="D1040" s="1">
        <v>2.4664351851851851E-2</v>
      </c>
      <c r="E1040" s="80" t="s">
        <v>10479</v>
      </c>
      <c r="F1040" s="80" t="s">
        <v>10853</v>
      </c>
      <c r="G1040" s="82">
        <v>0.44390000000000002</v>
      </c>
      <c r="H1040" s="334">
        <f t="shared" si="31"/>
        <v>-3.9351851851851839E-3</v>
      </c>
    </row>
    <row r="1041" spans="1:8" x14ac:dyDescent="0.2">
      <c r="A1041" s="523">
        <v>43386</v>
      </c>
      <c r="B1041" s="532" t="s">
        <v>665</v>
      </c>
      <c r="C1041" s="532" t="s">
        <v>666</v>
      </c>
      <c r="D1041" s="1">
        <v>2.0729166666666667E-2</v>
      </c>
      <c r="E1041" s="80" t="s">
        <v>10622</v>
      </c>
      <c r="F1041" s="80" t="s">
        <v>10817</v>
      </c>
      <c r="G1041" s="82">
        <v>0.5282</v>
      </c>
      <c r="H1041" s="334">
        <f t="shared" si="31"/>
        <v>7.2800925925925949E-3</v>
      </c>
    </row>
    <row r="1042" spans="1:8" x14ac:dyDescent="0.2">
      <c r="A1042" s="34">
        <v>43379</v>
      </c>
      <c r="B1042" s="869" t="s">
        <v>665</v>
      </c>
      <c r="C1042" s="869" t="s">
        <v>666</v>
      </c>
      <c r="D1042" s="1">
        <v>2.8009259259259262E-2</v>
      </c>
      <c r="E1042" s="80" t="s">
        <v>1656</v>
      </c>
      <c r="F1042" s="80" t="s">
        <v>10783</v>
      </c>
      <c r="G1042" s="82">
        <v>0.39090000000000003</v>
      </c>
      <c r="H1042" s="334">
        <f t="shared" si="31"/>
        <v>-7.0370370370370396E-3</v>
      </c>
    </row>
    <row r="1043" spans="1:8" x14ac:dyDescent="0.2">
      <c r="A1043" s="34">
        <v>43372</v>
      </c>
      <c r="B1043" s="532" t="s">
        <v>665</v>
      </c>
      <c r="C1043" s="532" t="s">
        <v>666</v>
      </c>
      <c r="D1043" s="1">
        <v>2.0972222222222222E-2</v>
      </c>
      <c r="E1043" s="80" t="s">
        <v>8407</v>
      </c>
      <c r="F1043" s="80" t="s">
        <v>10715</v>
      </c>
      <c r="G1043" s="82">
        <v>0.52210000000000001</v>
      </c>
      <c r="H1043" s="334">
        <f t="shared" si="31"/>
        <v>-7.1759259259259259E-4</v>
      </c>
    </row>
    <row r="1044" spans="1:8" x14ac:dyDescent="0.2">
      <c r="A1044" s="34">
        <v>43365</v>
      </c>
      <c r="B1044" s="556" t="s">
        <v>665</v>
      </c>
      <c r="C1044" s="556" t="s">
        <v>666</v>
      </c>
      <c r="D1044" s="1">
        <v>2.0254629629629629E-2</v>
      </c>
      <c r="E1044" s="80" t="s">
        <v>10664</v>
      </c>
      <c r="F1044" s="80" t="s">
        <v>10714</v>
      </c>
      <c r="G1044" s="82">
        <v>0.54059999999999997</v>
      </c>
      <c r="H1044" s="334" t="e">
        <f t="shared" si="31"/>
        <v>#VALUE!</v>
      </c>
    </row>
    <row r="1045" spans="1:8" x14ac:dyDescent="0.2">
      <c r="A1045" s="523">
        <v>43358</v>
      </c>
      <c r="B1045" s="1127" t="s">
        <v>665</v>
      </c>
      <c r="C1045" s="1129" t="s">
        <v>666</v>
      </c>
      <c r="D1045" s="334" t="s">
        <v>787</v>
      </c>
      <c r="E1045" t="s">
        <v>1401</v>
      </c>
      <c r="F1045" t="s">
        <v>5508</v>
      </c>
      <c r="G1045" s="82"/>
      <c r="H1045" s="334" t="e">
        <f t="shared" si="31"/>
        <v>#VALUE!</v>
      </c>
    </row>
    <row r="1046" spans="1:8" x14ac:dyDescent="0.2">
      <c r="A1046" s="523">
        <v>43351</v>
      </c>
      <c r="B1046" s="532" t="s">
        <v>665</v>
      </c>
      <c r="C1046" s="532" t="s">
        <v>666</v>
      </c>
      <c r="D1046" s="1">
        <v>2.1516203703703704E-2</v>
      </c>
      <c r="E1046" s="80" t="s">
        <v>8373</v>
      </c>
      <c r="F1046" s="80" t="s">
        <v>10606</v>
      </c>
      <c r="G1046" s="82">
        <v>0.50890000000000002</v>
      </c>
      <c r="H1046" s="334">
        <f t="shared" si="31"/>
        <v>-1.2152777777777769E-3</v>
      </c>
    </row>
    <row r="1047" spans="1:8" x14ac:dyDescent="0.2">
      <c r="A1047" s="523">
        <v>43344</v>
      </c>
      <c r="B1047" s="552" t="s">
        <v>665</v>
      </c>
      <c r="C1047" s="552" t="s">
        <v>666</v>
      </c>
      <c r="D1047" s="1">
        <v>2.0300925925925927E-2</v>
      </c>
      <c r="E1047" t="s">
        <v>4974</v>
      </c>
      <c r="F1047" t="s">
        <v>10562</v>
      </c>
      <c r="G1047" s="82">
        <v>0.5393</v>
      </c>
      <c r="H1047" s="334">
        <f t="shared" si="31"/>
        <v>-9.6064814814814797E-4</v>
      </c>
    </row>
    <row r="1048" spans="1:8" x14ac:dyDescent="0.2">
      <c r="A1048" s="523">
        <v>43337</v>
      </c>
      <c r="B1048" s="1044" t="s">
        <v>665</v>
      </c>
      <c r="C1048" s="1044" t="s">
        <v>666</v>
      </c>
      <c r="D1048" s="1">
        <v>1.9340277777777779E-2</v>
      </c>
      <c r="E1048" s="80" t="s">
        <v>7932</v>
      </c>
      <c r="F1048" s="80" t="s">
        <v>10488</v>
      </c>
      <c r="G1048" s="82">
        <v>0.56610000000000005</v>
      </c>
      <c r="H1048" s="334">
        <f t="shared" si="31"/>
        <v>1.2152777777777769E-3</v>
      </c>
    </row>
    <row r="1049" spans="1:8" x14ac:dyDescent="0.2">
      <c r="A1049" s="523">
        <v>43330</v>
      </c>
      <c r="B1049" s="1099" t="s">
        <v>665</v>
      </c>
      <c r="C1049" s="1099" t="s">
        <v>666</v>
      </c>
      <c r="D1049" s="1">
        <v>2.0555555555555556E-2</v>
      </c>
      <c r="E1049" s="80" t="s">
        <v>10272</v>
      </c>
      <c r="F1049" s="80" t="s">
        <v>10458</v>
      </c>
      <c r="G1049" s="82">
        <v>0.53269999999999995</v>
      </c>
      <c r="H1049" s="334">
        <f t="shared" si="31"/>
        <v>-1.2731481481481274E-4</v>
      </c>
    </row>
    <row r="1050" spans="1:8" x14ac:dyDescent="0.2">
      <c r="A1050" s="523">
        <v>43323</v>
      </c>
      <c r="B1050" s="585" t="s">
        <v>665</v>
      </c>
      <c r="C1050" s="585" t="s">
        <v>666</v>
      </c>
      <c r="D1050" s="1">
        <v>2.0428240740740743E-2</v>
      </c>
      <c r="E1050" t="s">
        <v>10192</v>
      </c>
      <c r="F1050" t="s">
        <v>10402</v>
      </c>
      <c r="G1050" s="82">
        <v>0.53600000000000003</v>
      </c>
      <c r="H1050" s="334">
        <f t="shared" si="31"/>
        <v>-4.2824074074074292E-4</v>
      </c>
    </row>
    <row r="1051" spans="1:8" x14ac:dyDescent="0.2">
      <c r="A1051" s="523">
        <v>43316</v>
      </c>
      <c r="B1051" s="1077" t="s">
        <v>665</v>
      </c>
      <c r="C1051" s="1077" t="s">
        <v>666</v>
      </c>
      <c r="D1051" s="136">
        <v>0.02</v>
      </c>
      <c r="E1051" s="80" t="s">
        <v>4179</v>
      </c>
      <c r="F1051" s="80" t="s">
        <v>10376</v>
      </c>
      <c r="G1051" s="82">
        <v>0.54749999999999999</v>
      </c>
      <c r="H1051" s="334">
        <f t="shared" si="31"/>
        <v>9.6064814814814797E-4</v>
      </c>
    </row>
    <row r="1052" spans="1:8" x14ac:dyDescent="0.2">
      <c r="A1052" s="523">
        <v>43309</v>
      </c>
      <c r="B1052" s="879" t="s">
        <v>665</v>
      </c>
      <c r="C1052" s="879" t="s">
        <v>666</v>
      </c>
      <c r="D1052" s="1">
        <v>2.0960648148148148E-2</v>
      </c>
      <c r="E1052" s="80" t="s">
        <v>5359</v>
      </c>
      <c r="F1052" s="80" t="s">
        <v>10346</v>
      </c>
      <c r="G1052" s="82">
        <v>0.52239999999999998</v>
      </c>
      <c r="H1052" s="334">
        <f t="shared" si="31"/>
        <v>-2.6620370370370253E-4</v>
      </c>
    </row>
    <row r="1053" spans="1:8" x14ac:dyDescent="0.2">
      <c r="A1053" s="523">
        <v>43302</v>
      </c>
      <c r="B1053" s="985" t="s">
        <v>665</v>
      </c>
      <c r="C1053" s="985" t="s">
        <v>666</v>
      </c>
      <c r="D1053" s="1">
        <v>2.0694444444444446E-2</v>
      </c>
      <c r="E1053" s="80" t="s">
        <v>9735</v>
      </c>
      <c r="F1053" s="80" t="s">
        <v>10308</v>
      </c>
      <c r="G1053" s="82">
        <v>0.52459999999999996</v>
      </c>
      <c r="H1053" s="334">
        <f t="shared" si="31"/>
        <v>1.0416666666666664E-3</v>
      </c>
    </row>
    <row r="1054" spans="1:8" x14ac:dyDescent="0.2">
      <c r="A1054" s="523">
        <v>43295</v>
      </c>
      <c r="B1054" s="601" t="s">
        <v>665</v>
      </c>
      <c r="C1054" s="601" t="s">
        <v>666</v>
      </c>
      <c r="D1054" s="1">
        <v>2.1736111111111112E-2</v>
      </c>
      <c r="E1054" s="80" t="s">
        <v>9578</v>
      </c>
      <c r="F1054" s="80" t="s">
        <v>10262</v>
      </c>
      <c r="G1054" s="82">
        <v>0.4995</v>
      </c>
      <c r="H1054" s="334">
        <f t="shared" si="31"/>
        <v>5.2083333333332801E-4</v>
      </c>
    </row>
    <row r="1055" spans="1:8" x14ac:dyDescent="0.2">
      <c r="A1055" s="523">
        <v>43288</v>
      </c>
      <c r="B1055" s="1029" t="s">
        <v>665</v>
      </c>
      <c r="C1055" s="1029" t="s">
        <v>666</v>
      </c>
      <c r="D1055" s="1">
        <v>2.225694444444444E-2</v>
      </c>
      <c r="E1055" s="80" t="s">
        <v>9407</v>
      </c>
      <c r="F1055" s="80" t="s">
        <v>10214</v>
      </c>
      <c r="G1055" s="82">
        <v>0.48780000000000001</v>
      </c>
      <c r="H1055" s="334">
        <f t="shared" si="31"/>
        <v>-2.0370370370370317E-3</v>
      </c>
    </row>
    <row r="1056" spans="1:8" x14ac:dyDescent="0.2">
      <c r="A1056" s="523">
        <v>43281</v>
      </c>
      <c r="B1056" s="552" t="s">
        <v>665</v>
      </c>
      <c r="C1056" s="552" t="s">
        <v>666</v>
      </c>
      <c r="D1056" s="1">
        <v>2.0219907407407409E-2</v>
      </c>
      <c r="E1056" s="80" t="s">
        <v>2245</v>
      </c>
      <c r="F1056" s="80" t="s">
        <v>10163</v>
      </c>
      <c r="G1056" s="82">
        <v>0.53720000000000001</v>
      </c>
      <c r="H1056" s="334">
        <f t="shared" si="31"/>
        <v>4.745370370370372E-4</v>
      </c>
    </row>
    <row r="1057" spans="1:9" x14ac:dyDescent="0.2">
      <c r="A1057" s="34">
        <v>43274</v>
      </c>
      <c r="B1057" s="1071" t="s">
        <v>665</v>
      </c>
      <c r="C1057" s="1071" t="s">
        <v>666</v>
      </c>
      <c r="D1057" s="1">
        <v>2.0694444444444446E-2</v>
      </c>
      <c r="E1057" s="80" t="s">
        <v>972</v>
      </c>
      <c r="F1057" s="80" t="s">
        <v>10120</v>
      </c>
      <c r="G1057" s="82">
        <v>0.52459999999999996</v>
      </c>
      <c r="H1057" s="334">
        <f t="shared" si="31"/>
        <v>-5.4398148148148209E-4</v>
      </c>
    </row>
    <row r="1058" spans="1:9" x14ac:dyDescent="0.2">
      <c r="A1058" s="523">
        <v>43267</v>
      </c>
      <c r="B1058" s="1058" t="s">
        <v>665</v>
      </c>
      <c r="C1058" s="1059" t="s">
        <v>666</v>
      </c>
      <c r="D1058" s="1">
        <v>2.0150462962962964E-2</v>
      </c>
      <c r="E1058" s="80" t="s">
        <v>129</v>
      </c>
      <c r="F1058" s="69" t="s">
        <v>9940</v>
      </c>
      <c r="G1058" s="82">
        <v>0.53879999999999995</v>
      </c>
      <c r="H1058" s="334">
        <f t="shared" si="31"/>
        <v>-2.3148148148148182E-4</v>
      </c>
      <c r="I1058" s="80"/>
    </row>
    <row r="1059" spans="1:9" x14ac:dyDescent="0.2">
      <c r="A1059" s="523">
        <v>43260</v>
      </c>
      <c r="B1059" s="532" t="s">
        <v>665</v>
      </c>
      <c r="C1059" s="843" t="s">
        <v>666</v>
      </c>
      <c r="D1059" s="1">
        <v>1.9918981481481482E-2</v>
      </c>
      <c r="E1059" s="80" t="s">
        <v>9142</v>
      </c>
      <c r="F1059" s="69" t="s">
        <v>9923</v>
      </c>
      <c r="G1059" s="82">
        <v>0.53939999999999999</v>
      </c>
      <c r="H1059" s="334">
        <f t="shared" si="31"/>
        <v>2.1990740740740755E-3</v>
      </c>
      <c r="I1059" s="80"/>
    </row>
    <row r="1060" spans="1:9" ht="12.75" customHeight="1" x14ac:dyDescent="0.2">
      <c r="A1060" s="523">
        <v>43253</v>
      </c>
      <c r="B1060" s="901" t="s">
        <v>665</v>
      </c>
      <c r="C1060" s="902" t="s">
        <v>666</v>
      </c>
      <c r="D1060" s="1">
        <v>2.2118055555555557E-2</v>
      </c>
      <c r="E1060" s="80" t="s">
        <v>8248</v>
      </c>
      <c r="F1060" s="69" t="s">
        <v>9862</v>
      </c>
      <c r="G1060" s="82">
        <v>0.49080000000000001</v>
      </c>
      <c r="H1060" s="334">
        <f t="shared" si="31"/>
        <v>-1.4583333333333358E-3</v>
      </c>
      <c r="I1060" s="80"/>
    </row>
    <row r="1061" spans="1:9" x14ac:dyDescent="0.2">
      <c r="A1061" s="523">
        <v>43246</v>
      </c>
      <c r="B1061" s="601" t="s">
        <v>665</v>
      </c>
      <c r="C1061" s="958" t="s">
        <v>666</v>
      </c>
      <c r="D1061" s="1">
        <v>2.0659722222222222E-2</v>
      </c>
      <c r="E1061" s="80" t="s">
        <v>9719</v>
      </c>
      <c r="F1061" s="69" t="s">
        <v>9857</v>
      </c>
      <c r="G1061" s="82">
        <v>0.52549999999999997</v>
      </c>
      <c r="H1061" s="334">
        <f t="shared" si="31"/>
        <v>2.1296296296296306E-3</v>
      </c>
      <c r="I1061" s="80"/>
    </row>
    <row r="1062" spans="1:9" x14ac:dyDescent="0.2">
      <c r="A1062" s="523">
        <v>43239</v>
      </c>
      <c r="B1062" s="80" t="s">
        <v>665</v>
      </c>
      <c r="C1062" s="334" t="s">
        <v>666</v>
      </c>
      <c r="D1062" s="1">
        <v>2.2789351851851852E-2</v>
      </c>
      <c r="E1062" s="80" t="s">
        <v>8116</v>
      </c>
      <c r="F1062" s="69" t="s">
        <v>9829</v>
      </c>
      <c r="G1062" s="82">
        <v>0.47639999999999999</v>
      </c>
      <c r="H1062" s="334">
        <f t="shared" si="31"/>
        <v>-2.1990740740740825E-4</v>
      </c>
      <c r="I1062" s="80" t="s">
        <v>9844</v>
      </c>
    </row>
    <row r="1063" spans="1:9" x14ac:dyDescent="0.2">
      <c r="A1063" s="523">
        <v>43232</v>
      </c>
      <c r="B1063" s="1051" t="s">
        <v>665</v>
      </c>
      <c r="C1063" s="1052" t="s">
        <v>666</v>
      </c>
      <c r="D1063" s="1">
        <v>2.2569444444444444E-2</v>
      </c>
      <c r="E1063" s="80" t="s">
        <v>9307</v>
      </c>
      <c r="F1063" s="69" t="s">
        <v>9747</v>
      </c>
      <c r="G1063" s="82">
        <v>0.48099999999999998</v>
      </c>
      <c r="H1063" s="334">
        <f t="shared" si="31"/>
        <v>1.0613425925925925E-2</v>
      </c>
      <c r="I1063" s="80"/>
    </row>
    <row r="1064" spans="1:9" x14ac:dyDescent="0.2">
      <c r="A1064" s="523">
        <v>43225</v>
      </c>
      <c r="B1064" s="1044" t="s">
        <v>665</v>
      </c>
      <c r="C1064" s="1045" t="s">
        <v>666</v>
      </c>
      <c r="D1064" s="1">
        <v>3.318287037037037E-2</v>
      </c>
      <c r="E1064" s="80" t="s">
        <v>1401</v>
      </c>
      <c r="F1064" s="69" t="s">
        <v>9730</v>
      </c>
      <c r="G1064" s="82">
        <v>0.32829999999999998</v>
      </c>
      <c r="H1064" s="334">
        <f t="shared" ref="H1064:H1091" si="32">D1065-D1064</f>
        <v>-1.1446759259259257E-2</v>
      </c>
      <c r="I1064" s="80"/>
    </row>
    <row r="1065" spans="1:9" x14ac:dyDescent="0.2">
      <c r="A1065" s="523">
        <v>43211</v>
      </c>
      <c r="B1065" s="1038" t="s">
        <v>665</v>
      </c>
      <c r="C1065" s="1039" t="s">
        <v>666</v>
      </c>
      <c r="D1065" s="1">
        <v>2.1736111111111112E-2</v>
      </c>
      <c r="E1065" s="80" t="s">
        <v>9630</v>
      </c>
      <c r="F1065" s="69" t="s">
        <v>9634</v>
      </c>
      <c r="G1065" s="82">
        <v>0.4995</v>
      </c>
      <c r="H1065" s="334">
        <f t="shared" si="32"/>
        <v>-1.2384259259259275E-3</v>
      </c>
      <c r="I1065" s="80" t="s">
        <v>9632</v>
      </c>
    </row>
    <row r="1066" spans="1:9" x14ac:dyDescent="0.2">
      <c r="A1066" s="523">
        <v>43204</v>
      </c>
      <c r="B1066" s="80" t="s">
        <v>665</v>
      </c>
      <c r="C1066" s="334" t="s">
        <v>666</v>
      </c>
      <c r="D1066" s="1">
        <v>2.0497685185185185E-2</v>
      </c>
      <c r="E1066" s="80" t="s">
        <v>9582</v>
      </c>
      <c r="F1066" s="69" t="s">
        <v>9601</v>
      </c>
      <c r="G1066" s="82">
        <v>0.52959999999999996</v>
      </c>
      <c r="H1066" s="334">
        <f t="shared" si="32"/>
        <v>-1.5162037037037036E-3</v>
      </c>
      <c r="I1066" s="80"/>
    </row>
    <row r="1067" spans="1:9" x14ac:dyDescent="0.2">
      <c r="A1067" s="523">
        <v>43197</v>
      </c>
      <c r="B1067" s="930" t="s">
        <v>665</v>
      </c>
      <c r="C1067" s="931" t="s">
        <v>666</v>
      </c>
      <c r="D1067" s="1">
        <v>1.8981481481481481E-2</v>
      </c>
      <c r="E1067" s="80" t="s">
        <v>4368</v>
      </c>
      <c r="F1067" s="69" t="s">
        <v>9568</v>
      </c>
      <c r="G1067" s="82">
        <v>0.57199999999999995</v>
      </c>
      <c r="H1067" s="334">
        <f t="shared" si="32"/>
        <v>1.7013888888888912E-3</v>
      </c>
      <c r="I1067" s="80"/>
    </row>
    <row r="1068" spans="1:9" x14ac:dyDescent="0.2">
      <c r="A1068" s="523">
        <v>43190</v>
      </c>
      <c r="B1068" s="1029" t="s">
        <v>665</v>
      </c>
      <c r="C1068" s="1030" t="s">
        <v>666</v>
      </c>
      <c r="D1068" s="1">
        <v>2.0682870370370372E-2</v>
      </c>
      <c r="E1068" s="80" t="s">
        <v>9304</v>
      </c>
      <c r="F1068" s="69" t="s">
        <v>9600</v>
      </c>
      <c r="G1068" s="82">
        <v>0.52490000000000003</v>
      </c>
      <c r="H1068" s="334">
        <f t="shared" si="32"/>
        <v>8.1018518518518462E-4</v>
      </c>
      <c r="I1068" s="80"/>
    </row>
    <row r="1069" spans="1:9" x14ac:dyDescent="0.2">
      <c r="A1069" s="523">
        <v>43183</v>
      </c>
      <c r="B1069" s="1019" t="s">
        <v>665</v>
      </c>
      <c r="C1069" s="1020" t="s">
        <v>666</v>
      </c>
      <c r="D1069" s="1">
        <v>2.1493055555555557E-2</v>
      </c>
      <c r="E1069" s="80" t="s">
        <v>9144</v>
      </c>
      <c r="F1069" s="69" t="s">
        <v>9509</v>
      </c>
      <c r="G1069" s="82">
        <v>0.50509999999999999</v>
      </c>
      <c r="H1069" s="334">
        <f t="shared" si="32"/>
        <v>-1.8518518518518753E-4</v>
      </c>
      <c r="I1069" s="80" t="s">
        <v>9483</v>
      </c>
    </row>
    <row r="1070" spans="1:9" x14ac:dyDescent="0.2">
      <c r="A1070" s="523">
        <v>43176</v>
      </c>
      <c r="B1070" s="532" t="s">
        <v>665</v>
      </c>
      <c r="C1070" s="843" t="s">
        <v>666</v>
      </c>
      <c r="D1070" s="1">
        <v>2.1307870370370369E-2</v>
      </c>
      <c r="E1070" s="80" t="s">
        <v>5544</v>
      </c>
      <c r="F1070" s="69" t="s">
        <v>4166</v>
      </c>
      <c r="G1070" s="82">
        <v>0.50949999999999995</v>
      </c>
      <c r="H1070" s="334">
        <f t="shared" si="32"/>
        <v>3.4837962962963008E-3</v>
      </c>
      <c r="I1070" s="80"/>
    </row>
    <row r="1071" spans="1:9" x14ac:dyDescent="0.2">
      <c r="A1071" s="523">
        <v>43155</v>
      </c>
      <c r="B1071" s="940" t="s">
        <v>665</v>
      </c>
      <c r="C1071" s="941" t="s">
        <v>666</v>
      </c>
      <c r="D1071" s="1">
        <v>2.479166666666667E-2</v>
      </c>
      <c r="E1071" s="80" t="s">
        <v>9340</v>
      </c>
      <c r="F1071" s="69" t="s">
        <v>9341</v>
      </c>
      <c r="G1071" s="82">
        <v>0.43790000000000001</v>
      </c>
      <c r="H1071" s="334">
        <f t="shared" si="32"/>
        <v>-2.9513888888888923E-3</v>
      </c>
      <c r="I1071" s="80" t="s">
        <v>9343</v>
      </c>
    </row>
    <row r="1072" spans="1:9" x14ac:dyDescent="0.2">
      <c r="A1072" s="523">
        <v>43148</v>
      </c>
      <c r="B1072" s="568" t="s">
        <v>665</v>
      </c>
      <c r="C1072" s="861" t="s">
        <v>666</v>
      </c>
      <c r="D1072" s="1">
        <v>2.1840277777777778E-2</v>
      </c>
      <c r="E1072" s="80" t="s">
        <v>9134</v>
      </c>
      <c r="F1072" s="69" t="s">
        <v>9278</v>
      </c>
      <c r="G1072" s="82">
        <v>0.49709999999999999</v>
      </c>
      <c r="H1072" s="334">
        <f t="shared" si="32"/>
        <v>-1.4467592592592587E-3</v>
      </c>
      <c r="I1072" s="80"/>
    </row>
    <row r="1073" spans="1:9" x14ac:dyDescent="0.2">
      <c r="A1073" s="523">
        <v>43134</v>
      </c>
      <c r="B1073" s="985" t="s">
        <v>665</v>
      </c>
      <c r="C1073" s="986" t="s">
        <v>666</v>
      </c>
      <c r="D1073" s="1">
        <v>2.0393518518518519E-2</v>
      </c>
      <c r="E1073" s="80" t="s">
        <v>8223</v>
      </c>
      <c r="F1073" s="69" t="s">
        <v>9203</v>
      </c>
      <c r="G1073" s="82">
        <v>0.5323</v>
      </c>
      <c r="H1073" s="334">
        <f t="shared" si="32"/>
        <v>-1.4236111111111116E-3</v>
      </c>
      <c r="I1073" s="80"/>
    </row>
    <row r="1074" spans="1:9" x14ac:dyDescent="0.2">
      <c r="A1074" s="523">
        <v>43127</v>
      </c>
      <c r="B1074" s="862" t="s">
        <v>665</v>
      </c>
      <c r="C1074" s="863" t="s">
        <v>666</v>
      </c>
      <c r="D1074" s="1">
        <v>1.8969907407407408E-2</v>
      </c>
      <c r="E1074" s="80" t="s">
        <v>3595</v>
      </c>
      <c r="F1074" s="69" t="s">
        <v>9174</v>
      </c>
      <c r="G1074" s="82">
        <v>0.57230000000000003</v>
      </c>
      <c r="H1074" s="334">
        <f t="shared" si="32"/>
        <v>1.041666666666656E-4</v>
      </c>
      <c r="I1074" s="80" t="s">
        <v>9181</v>
      </c>
    </row>
    <row r="1075" spans="1:9" x14ac:dyDescent="0.2">
      <c r="A1075" s="523">
        <v>43120</v>
      </c>
      <c r="B1075" s="601" t="s">
        <v>665</v>
      </c>
      <c r="C1075" s="958" t="s">
        <v>666</v>
      </c>
      <c r="D1075" s="1">
        <v>1.9074074074074073E-2</v>
      </c>
      <c r="E1075" s="80" t="s">
        <v>1401</v>
      </c>
      <c r="F1075" s="69" t="s">
        <v>9090</v>
      </c>
      <c r="G1075" s="82">
        <v>0.56920000000000004</v>
      </c>
      <c r="H1075" s="334">
        <f t="shared" si="32"/>
        <v>-2.3148148148147141E-5</v>
      </c>
      <c r="I1075" s="80"/>
    </row>
    <row r="1076" spans="1:9" x14ac:dyDescent="0.2">
      <c r="A1076" s="523">
        <v>43113</v>
      </c>
      <c r="B1076" s="972" t="s">
        <v>665</v>
      </c>
      <c r="C1076" s="973" t="s">
        <v>666</v>
      </c>
      <c r="D1076" s="1">
        <v>1.9050925925925926E-2</v>
      </c>
      <c r="E1076" s="80" t="s">
        <v>8897</v>
      </c>
      <c r="F1076" s="69" t="s">
        <v>9070</v>
      </c>
      <c r="G1076" s="82">
        <v>0.56989999999999996</v>
      </c>
      <c r="H1076" s="334">
        <f t="shared" si="32"/>
        <v>4.6296296296296363E-4</v>
      </c>
      <c r="I1076" s="80"/>
    </row>
    <row r="1077" spans="1:9" x14ac:dyDescent="0.2">
      <c r="A1077" s="523">
        <v>43106</v>
      </c>
      <c r="B1077" s="869" t="s">
        <v>665</v>
      </c>
      <c r="C1077" s="903" t="s">
        <v>666</v>
      </c>
      <c r="D1077" s="1">
        <v>1.951388888888889E-2</v>
      </c>
      <c r="E1077" s="80" t="s">
        <v>9065</v>
      </c>
      <c r="F1077" s="69" t="s">
        <v>9069</v>
      </c>
      <c r="G1077" s="82">
        <v>0.55630000000000002</v>
      </c>
      <c r="H1077" s="334">
        <f t="shared" si="32"/>
        <v>1.3888888888888978E-4</v>
      </c>
      <c r="I1077" s="80" t="s">
        <v>9075</v>
      </c>
    </row>
    <row r="1078" spans="1:9" x14ac:dyDescent="0.2">
      <c r="A1078" s="523">
        <v>43101</v>
      </c>
      <c r="B1078" s="556" t="s">
        <v>665</v>
      </c>
      <c r="C1078" s="950" t="s">
        <v>666</v>
      </c>
      <c r="D1078" s="1">
        <v>1.9652777777777779E-2</v>
      </c>
      <c r="E1078" s="80" t="s">
        <v>8514</v>
      </c>
      <c r="F1078" s="69" t="s">
        <v>9018</v>
      </c>
      <c r="G1078" s="82">
        <v>0.5524</v>
      </c>
      <c r="H1078" s="334">
        <f t="shared" si="32"/>
        <v>8.6805555555555247E-4</v>
      </c>
      <c r="I1078" s="80"/>
    </row>
    <row r="1079" spans="1:9" x14ac:dyDescent="0.2">
      <c r="A1079" s="523">
        <v>43101</v>
      </c>
      <c r="B1079" s="556" t="s">
        <v>665</v>
      </c>
      <c r="C1079" s="950" t="s">
        <v>666</v>
      </c>
      <c r="D1079" s="1">
        <v>2.0520833333333332E-2</v>
      </c>
      <c r="E1079" s="80" t="s">
        <v>4499</v>
      </c>
      <c r="F1079" s="69" t="s">
        <v>9019</v>
      </c>
      <c r="G1079" s="82">
        <v>0.52900000000000003</v>
      </c>
      <c r="H1079" s="334" t="e">
        <f t="shared" si="32"/>
        <v>#VALUE!</v>
      </c>
      <c r="I1079" s="80" t="s">
        <v>4960</v>
      </c>
    </row>
    <row r="1080" spans="1:9" x14ac:dyDescent="0.2">
      <c r="A1080" s="523">
        <v>43101</v>
      </c>
      <c r="B1080" s="556" t="s">
        <v>665</v>
      </c>
      <c r="C1080" s="950" t="s">
        <v>666</v>
      </c>
      <c r="D1080" s="334" t="s">
        <v>787</v>
      </c>
      <c r="E1080" s="80" t="s">
        <v>4499</v>
      </c>
      <c r="F1080" s="69" t="s">
        <v>5201</v>
      </c>
      <c r="G1080" s="82">
        <v>0.52900000000000003</v>
      </c>
      <c r="H1080" s="334" t="e">
        <f t="shared" si="32"/>
        <v>#VALUE!</v>
      </c>
      <c r="I1080" s="80"/>
    </row>
    <row r="1081" spans="1:9" x14ac:dyDescent="0.2">
      <c r="A1081" s="523">
        <v>43421</v>
      </c>
      <c r="B1081" s="906" t="s">
        <v>4677</v>
      </c>
      <c r="C1081" s="906" t="s">
        <v>4678</v>
      </c>
      <c r="D1081" s="1">
        <v>2.9571759259259259E-2</v>
      </c>
      <c r="E1081" s="80" t="s">
        <v>5198</v>
      </c>
      <c r="F1081" s="2" t="s">
        <v>3709</v>
      </c>
      <c r="G1081" s="82">
        <v>0.41410000000000002</v>
      </c>
      <c r="H1081" s="334">
        <f t="shared" si="32"/>
        <v>-2.3148148148147835E-4</v>
      </c>
    </row>
    <row r="1082" spans="1:9" x14ac:dyDescent="0.2">
      <c r="A1082" s="523">
        <v>43414</v>
      </c>
      <c r="B1082" s="862" t="s">
        <v>4677</v>
      </c>
      <c r="C1082" s="862" t="s">
        <v>4678</v>
      </c>
      <c r="D1082" s="1">
        <v>2.9340277777777781E-2</v>
      </c>
      <c r="E1082" s="80" t="s">
        <v>5198</v>
      </c>
      <c r="F1082" s="80" t="s">
        <v>10993</v>
      </c>
      <c r="G1082" s="82">
        <v>0.41739999999999999</v>
      </c>
      <c r="H1082" s="334">
        <f t="shared" si="32"/>
        <v>5.2083333333333322E-3</v>
      </c>
    </row>
    <row r="1083" spans="1:9" x14ac:dyDescent="0.2">
      <c r="A1083" s="523">
        <v>43358</v>
      </c>
      <c r="B1083" s="1127" t="s">
        <v>4677</v>
      </c>
      <c r="C1083" s="1127" t="s">
        <v>4678</v>
      </c>
      <c r="D1083" s="1">
        <v>3.4548611111111113E-2</v>
      </c>
      <c r="E1083" t="s">
        <v>5198</v>
      </c>
      <c r="F1083" s="80" t="s">
        <v>10642</v>
      </c>
      <c r="G1083" s="571">
        <v>0.35439999999999999</v>
      </c>
      <c r="H1083" s="334">
        <f t="shared" si="32"/>
        <v>-9.5254629629629682E-3</v>
      </c>
    </row>
    <row r="1084" spans="1:9" x14ac:dyDescent="0.2">
      <c r="A1084" s="523">
        <v>43267</v>
      </c>
      <c r="B1084" s="1058" t="s">
        <v>4677</v>
      </c>
      <c r="C1084" s="1059" t="s">
        <v>4678</v>
      </c>
      <c r="D1084" s="1">
        <v>2.5023148148148145E-2</v>
      </c>
      <c r="E1084" s="80" t="s">
        <v>5198</v>
      </c>
      <c r="F1084" s="69" t="s">
        <v>4588</v>
      </c>
      <c r="G1084" s="82">
        <v>0.4894</v>
      </c>
      <c r="H1084" s="334">
        <f t="shared" si="32"/>
        <v>2.5810185185185207E-3</v>
      </c>
      <c r="I1084" s="80"/>
    </row>
    <row r="1085" spans="1:9" x14ac:dyDescent="0.2">
      <c r="A1085" s="523">
        <v>43253</v>
      </c>
      <c r="B1085" s="901" t="s">
        <v>4677</v>
      </c>
      <c r="C1085" s="902" t="s">
        <v>4678</v>
      </c>
      <c r="D1085" s="1">
        <v>2.7604166666666666E-2</v>
      </c>
      <c r="E1085" s="80" t="s">
        <v>5198</v>
      </c>
      <c r="F1085" s="69" t="s">
        <v>5919</v>
      </c>
      <c r="G1085" s="82">
        <v>0.44359999999999999</v>
      </c>
      <c r="H1085" s="334">
        <f t="shared" si="32"/>
        <v>-3.0902777777777786E-3</v>
      </c>
      <c r="I1085" s="80"/>
    </row>
    <row r="1086" spans="1:9" ht="12.75" customHeight="1" x14ac:dyDescent="0.2">
      <c r="A1086" s="523">
        <v>43218</v>
      </c>
      <c r="B1086" s="568" t="s">
        <v>4677</v>
      </c>
      <c r="C1086" s="861" t="s">
        <v>4678</v>
      </c>
      <c r="D1086" s="1">
        <v>2.4513888888888887E-2</v>
      </c>
      <c r="E1086" s="80" t="s">
        <v>5198</v>
      </c>
      <c r="F1086" s="69" t="s">
        <v>9682</v>
      </c>
      <c r="G1086" s="82">
        <v>0.4995</v>
      </c>
      <c r="H1086" s="334">
        <f t="shared" si="32"/>
        <v>6.9444444444444545E-4</v>
      </c>
      <c r="I1086" s="80"/>
    </row>
    <row r="1087" spans="1:9" x14ac:dyDescent="0.2">
      <c r="A1087" s="523">
        <v>43204</v>
      </c>
      <c r="B1087" s="80" t="s">
        <v>4677</v>
      </c>
      <c r="C1087" s="334" t="s">
        <v>4678</v>
      </c>
      <c r="D1087" s="1">
        <v>2.5208333333333333E-2</v>
      </c>
      <c r="E1087" s="80" t="s">
        <v>5198</v>
      </c>
      <c r="F1087" s="69" t="s">
        <v>4589</v>
      </c>
      <c r="G1087" s="82">
        <v>0.48580000000000001</v>
      </c>
      <c r="H1087" s="334">
        <f t="shared" si="32"/>
        <v>8.4490740740740533E-4</v>
      </c>
      <c r="I1087" s="80"/>
    </row>
    <row r="1088" spans="1:9" ht="12.75" customHeight="1" x14ac:dyDescent="0.2">
      <c r="A1088" s="523">
        <v>43197</v>
      </c>
      <c r="B1088" s="930" t="s">
        <v>4677</v>
      </c>
      <c r="C1088" s="931" t="s">
        <v>4678</v>
      </c>
      <c r="D1088" s="1">
        <v>2.6053240740740738E-2</v>
      </c>
      <c r="E1088" s="80" t="s">
        <v>5198</v>
      </c>
      <c r="F1088" s="69" t="s">
        <v>9571</v>
      </c>
      <c r="G1088" s="82">
        <v>0.47</v>
      </c>
      <c r="H1088" s="334">
        <f t="shared" si="32"/>
        <v>-1.4398148148148144E-2</v>
      </c>
      <c r="I1088" s="80" t="s">
        <v>9574</v>
      </c>
    </row>
    <row r="1089" spans="1:9" x14ac:dyDescent="0.2">
      <c r="A1089" s="523">
        <v>43351</v>
      </c>
      <c r="B1089" s="531" t="s">
        <v>3837</v>
      </c>
      <c r="C1089" s="531" t="s">
        <v>10580</v>
      </c>
      <c r="D1089" s="1">
        <v>1.1655092592592594E-2</v>
      </c>
      <c r="E1089" t="s">
        <v>1401</v>
      </c>
      <c r="F1089" t="s">
        <v>10581</v>
      </c>
      <c r="G1089" s="82">
        <v>0.78149999999999997</v>
      </c>
      <c r="H1089" s="334">
        <f t="shared" si="32"/>
        <v>8.4490740740740724E-3</v>
      </c>
    </row>
    <row r="1090" spans="1:9" x14ac:dyDescent="0.2">
      <c r="A1090" s="523">
        <v>43407</v>
      </c>
      <c r="B1090" s="901" t="s">
        <v>3014</v>
      </c>
      <c r="C1090" s="901" t="s">
        <v>3015</v>
      </c>
      <c r="D1090" s="1">
        <v>2.0104166666666666E-2</v>
      </c>
      <c r="E1090" s="80" t="s">
        <v>527</v>
      </c>
      <c r="F1090" s="80" t="s">
        <v>10943</v>
      </c>
      <c r="G1090" s="82">
        <v>0.59360000000000002</v>
      </c>
      <c r="H1090" s="334">
        <f t="shared" si="32"/>
        <v>6.0185185185185341E-4</v>
      </c>
    </row>
    <row r="1091" spans="1:9" x14ac:dyDescent="0.2">
      <c r="A1091" s="523">
        <v>43183</v>
      </c>
      <c r="B1091" s="1019" t="s">
        <v>3014</v>
      </c>
      <c r="C1091" s="1020" t="s">
        <v>3015</v>
      </c>
      <c r="D1091" s="1">
        <v>2.0706018518518519E-2</v>
      </c>
      <c r="E1091" s="80" t="s">
        <v>475</v>
      </c>
      <c r="F1091" s="69" t="s">
        <v>9505</v>
      </c>
      <c r="G1091" s="82">
        <v>0.56899999999999995</v>
      </c>
      <c r="H1091" s="334">
        <f t="shared" si="32"/>
        <v>-2.5347222222222229E-3</v>
      </c>
      <c r="I1091" s="80"/>
    </row>
    <row r="1092" spans="1:9" x14ac:dyDescent="0.2">
      <c r="A1092" s="523">
        <v>43459</v>
      </c>
      <c r="B1092" s="80" t="s">
        <v>5649</v>
      </c>
      <c r="C1092" s="80" t="s">
        <v>1047</v>
      </c>
      <c r="D1092" s="1">
        <v>1.8171296296296297E-2</v>
      </c>
      <c r="E1092" s="80" t="s">
        <v>4876</v>
      </c>
      <c r="F1092" s="80" t="s">
        <v>11377</v>
      </c>
      <c r="G1092" s="82">
        <v>0.57769999999999999</v>
      </c>
      <c r="H1092" s="80"/>
    </row>
    <row r="1093" spans="1:9" x14ac:dyDescent="0.2">
      <c r="A1093" s="523">
        <v>43463</v>
      </c>
      <c r="B1093" s="862" t="s">
        <v>2342</v>
      </c>
      <c r="C1093" s="862" t="s">
        <v>2343</v>
      </c>
      <c r="D1093" s="1">
        <v>1.6608796296296299E-2</v>
      </c>
      <c r="E1093" s="80" t="s">
        <v>5883</v>
      </c>
      <c r="F1093" s="80" t="s">
        <v>2354</v>
      </c>
      <c r="G1093" s="82">
        <v>0.64810000000000001</v>
      </c>
      <c r="H1093" s="334">
        <f>D1094-D1093</f>
        <v>-1.4467592592592622E-3</v>
      </c>
    </row>
    <row r="1094" spans="1:9" x14ac:dyDescent="0.2">
      <c r="A1094" s="523">
        <v>43459</v>
      </c>
      <c r="B1094" s="80" t="s">
        <v>2342</v>
      </c>
      <c r="C1094" s="80" t="s">
        <v>2343</v>
      </c>
      <c r="D1094" s="1">
        <v>1.5162037037037036E-2</v>
      </c>
      <c r="E1094" s="80" t="s">
        <v>129</v>
      </c>
      <c r="F1094" s="80" t="s">
        <v>11387</v>
      </c>
      <c r="G1094" s="82">
        <v>0.70989999999999998</v>
      </c>
      <c r="H1094" s="80"/>
    </row>
    <row r="1095" spans="1:9" x14ac:dyDescent="0.2">
      <c r="A1095" s="523">
        <v>43456</v>
      </c>
      <c r="B1095" s="556" t="s">
        <v>2342</v>
      </c>
      <c r="C1095" s="556" t="s">
        <v>2343</v>
      </c>
      <c r="D1095" s="1">
        <v>1.4872685185185185E-2</v>
      </c>
      <c r="E1095" s="80" t="s">
        <v>998</v>
      </c>
      <c r="F1095" s="80" t="s">
        <v>11341</v>
      </c>
      <c r="G1095" s="82">
        <v>0.72370000000000001</v>
      </c>
      <c r="H1095" s="334" t="e">
        <f t="shared" ref="H1095:H1135" si="33">D1096-D1095</f>
        <v>#VALUE!</v>
      </c>
      <c r="I1095" t="s">
        <v>11340</v>
      </c>
    </row>
    <row r="1096" spans="1:9" x14ac:dyDescent="0.2">
      <c r="A1096" s="33">
        <v>43449</v>
      </c>
      <c r="B1096" s="1029" t="s">
        <v>2342</v>
      </c>
      <c r="C1096" s="1030" t="s">
        <v>2343</v>
      </c>
      <c r="D1096" s="80" t="s">
        <v>787</v>
      </c>
      <c r="E1096" s="80" t="s">
        <v>5883</v>
      </c>
      <c r="F1096" s="69" t="s">
        <v>4185</v>
      </c>
      <c r="G1096" s="82"/>
      <c r="H1096" s="334" t="e">
        <f t="shared" si="33"/>
        <v>#VALUE!</v>
      </c>
    </row>
    <row r="1097" spans="1:9" x14ac:dyDescent="0.2">
      <c r="A1097" s="523">
        <v>43442</v>
      </c>
      <c r="B1097" s="972" t="s">
        <v>2342</v>
      </c>
      <c r="C1097" s="972" t="s">
        <v>2343</v>
      </c>
      <c r="D1097" s="1">
        <v>1.5462962962962963E-2</v>
      </c>
      <c r="E1097" s="80" t="s">
        <v>129</v>
      </c>
      <c r="F1097" s="80" t="s">
        <v>11245</v>
      </c>
      <c r="G1097" s="82">
        <v>0.69610000000000005</v>
      </c>
      <c r="H1097" s="334">
        <f t="shared" si="33"/>
        <v>4.0509259259259231E-4</v>
      </c>
    </row>
    <row r="1098" spans="1:9" x14ac:dyDescent="0.2">
      <c r="A1098" s="523">
        <v>43435</v>
      </c>
      <c r="B1098" s="1164" t="s">
        <v>2342</v>
      </c>
      <c r="C1098" s="1164" t="s">
        <v>2343</v>
      </c>
      <c r="D1098" s="1">
        <v>1.5868055555555555E-2</v>
      </c>
      <c r="E1098" s="80" t="s">
        <v>10983</v>
      </c>
      <c r="F1098" s="80" t="s">
        <v>11161</v>
      </c>
      <c r="G1098" s="82">
        <v>0.67830000000000001</v>
      </c>
      <c r="H1098" s="334">
        <f t="shared" si="33"/>
        <v>-1.2847222222222236E-3</v>
      </c>
    </row>
    <row r="1099" spans="1:9" x14ac:dyDescent="0.2">
      <c r="A1099" s="523">
        <v>43421</v>
      </c>
      <c r="B1099" s="906" t="s">
        <v>2342</v>
      </c>
      <c r="C1099" s="906" t="s">
        <v>2343</v>
      </c>
      <c r="D1099" s="1">
        <v>1.4583333333333332E-2</v>
      </c>
      <c r="E1099" s="80" t="s">
        <v>5198</v>
      </c>
      <c r="F1099" s="80" t="s">
        <v>11059</v>
      </c>
      <c r="G1099" s="82">
        <v>0.73809999999999998</v>
      </c>
      <c r="H1099" s="334">
        <f t="shared" si="33"/>
        <v>2.3148148148148182E-4</v>
      </c>
      <c r="I1099" s="80" t="s">
        <v>11060</v>
      </c>
    </row>
    <row r="1100" spans="1:9" x14ac:dyDescent="0.2">
      <c r="A1100" s="523">
        <v>43414</v>
      </c>
      <c r="B1100" s="862" t="s">
        <v>2342</v>
      </c>
      <c r="C1100" s="862" t="s">
        <v>2343</v>
      </c>
      <c r="D1100" s="1">
        <v>1.4814814814814814E-2</v>
      </c>
      <c r="E1100" s="80" t="s">
        <v>5456</v>
      </c>
      <c r="F1100" s="80" t="s">
        <v>11005</v>
      </c>
      <c r="G1100" s="82">
        <v>0.72660000000000002</v>
      </c>
      <c r="H1100" s="334">
        <f t="shared" si="33"/>
        <v>-3.2407407407407211E-4</v>
      </c>
    </row>
    <row r="1101" spans="1:9" x14ac:dyDescent="0.2">
      <c r="A1101" s="523">
        <v>43407</v>
      </c>
      <c r="B1101" s="901" t="s">
        <v>2342</v>
      </c>
      <c r="C1101" s="901" t="s">
        <v>2343</v>
      </c>
      <c r="D1101" s="1">
        <v>1.4490740740740742E-2</v>
      </c>
      <c r="E1101" s="80" t="s">
        <v>5095</v>
      </c>
      <c r="F1101" s="80" t="s">
        <v>10948</v>
      </c>
      <c r="G1101" s="82">
        <v>0.74280000000000002</v>
      </c>
      <c r="H1101" s="334">
        <f t="shared" si="33"/>
        <v>4.0509259259259058E-4</v>
      </c>
    </row>
    <row r="1102" spans="1:9" x14ac:dyDescent="0.2">
      <c r="A1102" s="523">
        <v>43400</v>
      </c>
      <c r="B1102" s="556" t="s">
        <v>2342</v>
      </c>
      <c r="C1102" s="556" t="s">
        <v>2343</v>
      </c>
      <c r="D1102" s="1">
        <v>1.4895833333333332E-2</v>
      </c>
      <c r="E1102" s="80" t="s">
        <v>4148</v>
      </c>
      <c r="F1102" s="80" t="s">
        <v>10920</v>
      </c>
      <c r="G1102" s="82">
        <v>0.72260000000000002</v>
      </c>
      <c r="H1102" s="334">
        <f t="shared" si="33"/>
        <v>-6.0185185185184994E-4</v>
      </c>
    </row>
    <row r="1103" spans="1:9" x14ac:dyDescent="0.2">
      <c r="A1103" s="523">
        <v>43393</v>
      </c>
      <c r="B1103" s="862" t="s">
        <v>2342</v>
      </c>
      <c r="C1103" s="862" t="s">
        <v>2343</v>
      </c>
      <c r="D1103" s="1">
        <v>1.4293981481481482E-2</v>
      </c>
      <c r="E1103" s="80" t="s">
        <v>3072</v>
      </c>
      <c r="F1103" s="80" t="s">
        <v>10858</v>
      </c>
      <c r="G1103" s="82">
        <v>0.753</v>
      </c>
      <c r="H1103" s="334">
        <f t="shared" si="33"/>
        <v>1.365740740740742E-3</v>
      </c>
      <c r="I1103" s="80" t="s">
        <v>10847</v>
      </c>
    </row>
    <row r="1104" spans="1:9" x14ac:dyDescent="0.2">
      <c r="A1104" s="523">
        <v>43386</v>
      </c>
      <c r="B1104" s="532" t="s">
        <v>2342</v>
      </c>
      <c r="C1104" s="532" t="s">
        <v>2343</v>
      </c>
      <c r="D1104" s="1">
        <v>1.5659722222222224E-2</v>
      </c>
      <c r="E1104" s="80" t="s">
        <v>129</v>
      </c>
      <c r="F1104" s="80" t="s">
        <v>10822</v>
      </c>
      <c r="G1104" s="82">
        <v>0.68740000000000001</v>
      </c>
      <c r="H1104" s="334">
        <f t="shared" si="33"/>
        <v>-1.4120370370370398E-3</v>
      </c>
      <c r="I1104" t="s">
        <v>10809</v>
      </c>
    </row>
    <row r="1105" spans="1:13" x14ac:dyDescent="0.2">
      <c r="A1105" s="34">
        <v>43379</v>
      </c>
      <c r="B1105" s="869" t="s">
        <v>2342</v>
      </c>
      <c r="C1105" s="869" t="s">
        <v>2343</v>
      </c>
      <c r="D1105" s="1">
        <v>1.4247685185185184E-2</v>
      </c>
      <c r="E1105" s="80" t="s">
        <v>5885</v>
      </c>
      <c r="F1105" s="80" t="s">
        <v>10755</v>
      </c>
      <c r="G1105" s="82">
        <v>0.75549999999999995</v>
      </c>
      <c r="H1105" s="334">
        <f t="shared" si="33"/>
        <v>2.9513888888888871E-3</v>
      </c>
      <c r="I1105" s="80" t="s">
        <v>10756</v>
      </c>
      <c r="M1105" s="80" t="s">
        <v>10779</v>
      </c>
    </row>
    <row r="1106" spans="1:13" x14ac:dyDescent="0.2">
      <c r="A1106" s="34">
        <v>43372</v>
      </c>
      <c r="B1106" s="532" t="s">
        <v>2342</v>
      </c>
      <c r="C1106" s="532" t="s">
        <v>2343</v>
      </c>
      <c r="D1106" s="1">
        <v>1.7199074074074071E-2</v>
      </c>
      <c r="E1106" s="80" t="s">
        <v>5883</v>
      </c>
      <c r="F1106" s="80" t="s">
        <v>10721</v>
      </c>
      <c r="G1106" s="82">
        <v>0.62580000000000002</v>
      </c>
      <c r="H1106" s="334">
        <f t="shared" si="33"/>
        <v>-2.893518518518514E-3</v>
      </c>
    </row>
    <row r="1107" spans="1:13" x14ac:dyDescent="0.2">
      <c r="A1107" s="34">
        <v>43365</v>
      </c>
      <c r="B1107" s="556" t="s">
        <v>2342</v>
      </c>
      <c r="C1107" s="556" t="s">
        <v>2343</v>
      </c>
      <c r="D1107" s="1">
        <v>1.4305555555555557E-2</v>
      </c>
      <c r="E1107" s="80" t="s">
        <v>1003</v>
      </c>
      <c r="F1107" s="80" t="s">
        <v>10702</v>
      </c>
      <c r="G1107" s="82">
        <v>0.75239999999999996</v>
      </c>
      <c r="H1107" s="334">
        <f t="shared" si="33"/>
        <v>1.8865740740740718E-3</v>
      </c>
    </row>
    <row r="1108" spans="1:13" x14ac:dyDescent="0.2">
      <c r="A1108" s="523">
        <v>43351</v>
      </c>
      <c r="B1108" s="532" t="s">
        <v>2342</v>
      </c>
      <c r="C1108" s="531" t="s">
        <v>2343</v>
      </c>
      <c r="D1108" s="1">
        <v>1.6192129629629629E-2</v>
      </c>
      <c r="E1108" s="80" t="s">
        <v>5883</v>
      </c>
      <c r="F1108" s="80" t="s">
        <v>10597</v>
      </c>
      <c r="G1108" s="82">
        <v>0.66479999999999995</v>
      </c>
      <c r="H1108" s="334">
        <f t="shared" si="33"/>
        <v>-1.446759259259257E-3</v>
      </c>
    </row>
    <row r="1109" spans="1:13" ht="12.75" customHeight="1" x14ac:dyDescent="0.2">
      <c r="A1109" s="523">
        <v>43344</v>
      </c>
      <c r="B1109" s="552" t="s">
        <v>2342</v>
      </c>
      <c r="C1109" s="552" t="s">
        <v>2343</v>
      </c>
      <c r="D1109" s="1">
        <v>1.4745370370370372E-2</v>
      </c>
      <c r="E1109" t="s">
        <v>5883</v>
      </c>
      <c r="F1109" t="s">
        <v>10564</v>
      </c>
      <c r="G1109" s="82">
        <v>0.73</v>
      </c>
      <c r="H1109" s="334">
        <f t="shared" si="33"/>
        <v>5.0925925925925791E-4</v>
      </c>
    </row>
    <row r="1110" spans="1:13" x14ac:dyDescent="0.2">
      <c r="A1110" s="523">
        <v>43337</v>
      </c>
      <c r="B1110" s="1044" t="s">
        <v>2342</v>
      </c>
      <c r="C1110" s="1044" t="s">
        <v>2343</v>
      </c>
      <c r="D1110" s="1">
        <v>1.525462962962963E-2</v>
      </c>
      <c r="E1110" s="80" t="s">
        <v>5883</v>
      </c>
      <c r="F1110" s="80" t="s">
        <v>10510</v>
      </c>
      <c r="G1110" s="82">
        <v>0.7056</v>
      </c>
      <c r="H1110" s="334">
        <f t="shared" si="33"/>
        <v>5.9027777777777811E-4</v>
      </c>
    </row>
    <row r="1111" spans="1:13" x14ac:dyDescent="0.2">
      <c r="A1111" s="523">
        <v>43330</v>
      </c>
      <c r="B1111" s="1099" t="s">
        <v>2342</v>
      </c>
      <c r="C1111" s="1099" t="s">
        <v>2343</v>
      </c>
      <c r="D1111" s="1">
        <v>1.5844907407407408E-2</v>
      </c>
      <c r="E1111" s="80" t="s">
        <v>8116</v>
      </c>
      <c r="F1111" s="80" t="s">
        <v>10472</v>
      </c>
      <c r="G1111" s="82">
        <v>0.66930000000000001</v>
      </c>
      <c r="H1111" s="334">
        <f t="shared" si="33"/>
        <v>-1.5046296296296335E-4</v>
      </c>
    </row>
    <row r="1112" spans="1:13" x14ac:dyDescent="0.2">
      <c r="A1112" s="523">
        <v>43309</v>
      </c>
      <c r="B1112" s="879" t="s">
        <v>2342</v>
      </c>
      <c r="C1112" s="879" t="s">
        <v>2343</v>
      </c>
      <c r="D1112" s="1">
        <v>1.5694444444444445E-2</v>
      </c>
      <c r="E1112" s="80" t="s">
        <v>5883</v>
      </c>
      <c r="F1112" s="80" t="s">
        <v>10360</v>
      </c>
      <c r="G1112" s="82">
        <v>0.68579999999999997</v>
      </c>
      <c r="H1112" s="334">
        <f t="shared" si="33"/>
        <v>-5.5555555555555566E-4</v>
      </c>
    </row>
    <row r="1113" spans="1:13" x14ac:dyDescent="0.2">
      <c r="A1113" s="523">
        <v>43302</v>
      </c>
      <c r="B1113" s="985" t="s">
        <v>2342</v>
      </c>
      <c r="C1113" s="985" t="s">
        <v>2343</v>
      </c>
      <c r="D1113" s="1">
        <v>1.5138888888888889E-2</v>
      </c>
      <c r="E1113" s="80" t="s">
        <v>129</v>
      </c>
      <c r="F1113" s="80" t="s">
        <v>10300</v>
      </c>
      <c r="G1113" s="82">
        <v>0.71099999999999997</v>
      </c>
      <c r="H1113" s="334">
        <f t="shared" si="33"/>
        <v>-4.9768518518518608E-4</v>
      </c>
    </row>
    <row r="1114" spans="1:13" x14ac:dyDescent="0.2">
      <c r="A1114" s="523">
        <v>43295</v>
      </c>
      <c r="B1114" s="601" t="s">
        <v>2342</v>
      </c>
      <c r="C1114" s="601" t="s">
        <v>2343</v>
      </c>
      <c r="D1114" s="1">
        <v>1.4641203703703703E-2</v>
      </c>
      <c r="E1114" s="80" t="s">
        <v>5948</v>
      </c>
      <c r="F1114" s="80" t="s">
        <v>10234</v>
      </c>
      <c r="G1114" s="82">
        <v>0.73519999999999996</v>
      </c>
      <c r="H1114" s="334" t="e">
        <f t="shared" si="33"/>
        <v>#VALUE!</v>
      </c>
    </row>
    <row r="1115" spans="1:13" x14ac:dyDescent="0.2">
      <c r="A1115" s="33">
        <v>43288</v>
      </c>
      <c r="B1115" s="1029" t="s">
        <v>2342</v>
      </c>
      <c r="C1115" s="1030" t="s">
        <v>2343</v>
      </c>
      <c r="D1115" s="80" t="s">
        <v>787</v>
      </c>
      <c r="E1115" s="80" t="s">
        <v>5883</v>
      </c>
      <c r="F1115" s="69" t="s">
        <v>4185</v>
      </c>
      <c r="G1115" s="82"/>
      <c r="H1115" s="334" t="e">
        <f t="shared" si="33"/>
        <v>#VALUE!</v>
      </c>
    </row>
    <row r="1116" spans="1:13" x14ac:dyDescent="0.2">
      <c r="A1116" s="523">
        <v>43281</v>
      </c>
      <c r="B1116" s="552" t="s">
        <v>2342</v>
      </c>
      <c r="C1116" s="552" t="s">
        <v>2343</v>
      </c>
      <c r="D1116" s="1">
        <v>1.5127314814814816E-2</v>
      </c>
      <c r="E1116" s="80" t="s">
        <v>5883</v>
      </c>
      <c r="F1116" s="80" t="s">
        <v>10157</v>
      </c>
      <c r="G1116" s="82">
        <v>0.71160000000000001</v>
      </c>
      <c r="H1116" s="334">
        <f t="shared" si="33"/>
        <v>-5.555555555555574E-4</v>
      </c>
    </row>
    <row r="1117" spans="1:13" x14ac:dyDescent="0.2">
      <c r="A1117" s="34">
        <v>43274</v>
      </c>
      <c r="B1117" s="1071" t="s">
        <v>2342</v>
      </c>
      <c r="C1117" s="1071" t="s">
        <v>2343</v>
      </c>
      <c r="D1117" s="1">
        <v>1.4571759259259258E-2</v>
      </c>
      <c r="E1117" s="80" t="s">
        <v>5883</v>
      </c>
      <c r="F1117" s="80" t="s">
        <v>4726</v>
      </c>
      <c r="G1117" s="82">
        <v>0.73870000000000002</v>
      </c>
      <c r="H1117" s="334">
        <f t="shared" si="33"/>
        <v>8.3333333333333523E-4</v>
      </c>
      <c r="I1117" s="82"/>
      <c r="J1117" s="82"/>
      <c r="K1117" s="82"/>
    </row>
    <row r="1118" spans="1:13" x14ac:dyDescent="0.2">
      <c r="A1118" s="523">
        <v>43267</v>
      </c>
      <c r="B1118" s="1058" t="s">
        <v>2342</v>
      </c>
      <c r="C1118" s="1059" t="s">
        <v>2343</v>
      </c>
      <c r="D1118" s="1">
        <v>1.5405092592592593E-2</v>
      </c>
      <c r="E1118" s="80" t="s">
        <v>998</v>
      </c>
      <c r="F1118" s="69" t="s">
        <v>9950</v>
      </c>
      <c r="G1118" s="82">
        <v>0.69869999999999999</v>
      </c>
      <c r="H1118" s="334">
        <f t="shared" si="33"/>
        <v>7.0601851851851728E-4</v>
      </c>
      <c r="I1118" s="80"/>
    </row>
    <row r="1119" spans="1:13" x14ac:dyDescent="0.2">
      <c r="A1119" s="523">
        <v>43253</v>
      </c>
      <c r="B1119" s="901" t="s">
        <v>2342</v>
      </c>
      <c r="C1119" s="902" t="s">
        <v>2343</v>
      </c>
      <c r="D1119" s="1">
        <v>1.6111111111111111E-2</v>
      </c>
      <c r="E1119" s="80" t="s">
        <v>9873</v>
      </c>
      <c r="F1119" s="69" t="s">
        <v>9875</v>
      </c>
      <c r="G1119" s="82">
        <v>0.66810000000000003</v>
      </c>
      <c r="H1119" s="334">
        <f t="shared" si="33"/>
        <v>-1.6203703703703692E-4</v>
      </c>
      <c r="I1119" s="80"/>
    </row>
    <row r="1120" spans="1:13" x14ac:dyDescent="0.2">
      <c r="A1120" s="523">
        <v>43246</v>
      </c>
      <c r="B1120" s="601" t="s">
        <v>2342</v>
      </c>
      <c r="C1120" s="958" t="s">
        <v>2343</v>
      </c>
      <c r="D1120" s="1">
        <v>1.5949074074074074E-2</v>
      </c>
      <c r="E1120" s="80" t="s">
        <v>5883</v>
      </c>
      <c r="F1120" s="69"/>
      <c r="G1120" s="82">
        <v>0.67490000000000006</v>
      </c>
      <c r="H1120" s="334">
        <f t="shared" si="33"/>
        <v>-1.0879629629629642E-3</v>
      </c>
      <c r="I1120" s="80"/>
    </row>
    <row r="1121" spans="1:9" x14ac:dyDescent="0.2">
      <c r="A1121" s="523">
        <v>43239</v>
      </c>
      <c r="B1121" s="80" t="s">
        <v>2342</v>
      </c>
      <c r="C1121" s="334" t="s">
        <v>2343</v>
      </c>
      <c r="D1121" s="1">
        <v>1.486111111111111E-2</v>
      </c>
      <c r="E1121" s="80" t="s">
        <v>998</v>
      </c>
      <c r="F1121" s="69" t="s">
        <v>9823</v>
      </c>
      <c r="G1121" s="82">
        <v>0.72430000000000005</v>
      </c>
      <c r="H1121" s="334">
        <f t="shared" si="33"/>
        <v>-3.4722222222222099E-4</v>
      </c>
      <c r="I1121" s="80"/>
    </row>
    <row r="1122" spans="1:9" x14ac:dyDescent="0.2">
      <c r="A1122" s="34">
        <v>43232</v>
      </c>
      <c r="B1122" t="s">
        <v>2342</v>
      </c>
      <c r="C1122" s="1" t="s">
        <v>2343</v>
      </c>
      <c r="D1122" s="114">
        <v>1.4513888888888889E-2</v>
      </c>
      <c r="E1122" s="80" t="s">
        <v>5883</v>
      </c>
      <c r="F1122" s="69" t="s">
        <v>8927</v>
      </c>
      <c r="G1122" s="82">
        <v>0.74159999999999993</v>
      </c>
      <c r="H1122" s="334">
        <f t="shared" si="33"/>
        <v>1.5624999999999979E-3</v>
      </c>
    </row>
    <row r="1123" spans="1:9" x14ac:dyDescent="0.2">
      <c r="A1123" s="34">
        <v>43225</v>
      </c>
      <c r="B1123" t="s">
        <v>2342</v>
      </c>
      <c r="C1123" s="1" t="s">
        <v>2343</v>
      </c>
      <c r="D1123" s="1">
        <v>1.6076388888888887E-2</v>
      </c>
      <c r="E1123" s="80" t="s">
        <v>129</v>
      </c>
      <c r="F1123" s="69" t="s">
        <v>8927</v>
      </c>
      <c r="G1123" s="82">
        <v>0.66949999999999998</v>
      </c>
      <c r="H1123" s="334">
        <f t="shared" si="33"/>
        <v>2.0023148148148179E-3</v>
      </c>
    </row>
    <row r="1124" spans="1:9" x14ac:dyDescent="0.2">
      <c r="A1124" s="34">
        <v>43218</v>
      </c>
      <c r="B1124" t="s">
        <v>2342</v>
      </c>
      <c r="C1124" s="1" t="s">
        <v>2343</v>
      </c>
      <c r="D1124" s="1">
        <v>1.8078703703703704E-2</v>
      </c>
      <c r="E1124" s="80" t="s">
        <v>5883</v>
      </c>
      <c r="F1124" s="41"/>
      <c r="G1124" s="82">
        <v>0.59540000000000004</v>
      </c>
      <c r="H1124" s="334">
        <f t="shared" si="33"/>
        <v>5.787037037037028E-4</v>
      </c>
    </row>
    <row r="1125" spans="1:9" x14ac:dyDescent="0.2">
      <c r="A1125" s="34">
        <v>43211</v>
      </c>
      <c r="B1125" t="s">
        <v>2342</v>
      </c>
      <c r="C1125" s="1" t="s">
        <v>2343</v>
      </c>
      <c r="D1125" s="1">
        <v>1.8657407407407407E-2</v>
      </c>
      <c r="E1125" s="80" t="s">
        <v>5883</v>
      </c>
      <c r="F1125" s="41"/>
      <c r="G1125" s="82">
        <v>0.57689999999999997</v>
      </c>
      <c r="H1125" s="334">
        <f t="shared" si="33"/>
        <v>-3.8773148148148126E-3</v>
      </c>
    </row>
    <row r="1126" spans="1:9" x14ac:dyDescent="0.2">
      <c r="A1126" s="523">
        <v>43204</v>
      </c>
      <c r="B1126" s="80" t="s">
        <v>2342</v>
      </c>
      <c r="C1126" s="334" t="s">
        <v>2343</v>
      </c>
      <c r="D1126" s="1">
        <v>1.4780092592592595E-2</v>
      </c>
      <c r="E1126" s="80" t="s">
        <v>9407</v>
      </c>
      <c r="F1126" s="69" t="s">
        <v>9585</v>
      </c>
      <c r="G1126" s="82">
        <v>0.72829999999999995</v>
      </c>
      <c r="H1126" s="334">
        <f t="shared" si="33"/>
        <v>1.0185185185185158E-3</v>
      </c>
      <c r="I1126" s="80" t="s">
        <v>9813</v>
      </c>
    </row>
    <row r="1127" spans="1:9" x14ac:dyDescent="0.2">
      <c r="A1127" s="523">
        <v>43218</v>
      </c>
      <c r="B1127" s="568" t="s">
        <v>5637</v>
      </c>
      <c r="C1127" s="861" t="s">
        <v>5638</v>
      </c>
      <c r="D1127" s="1">
        <v>1.579861111111111E-2</v>
      </c>
      <c r="E1127" s="80" t="s">
        <v>6393</v>
      </c>
      <c r="F1127" s="69" t="s">
        <v>9683</v>
      </c>
      <c r="G1127" s="82">
        <v>0.87770000000000004</v>
      </c>
      <c r="H1127" s="334">
        <f t="shared" si="33"/>
        <v>5.9837962962962961E-3</v>
      </c>
      <c r="I1127" s="80" t="s">
        <v>9687</v>
      </c>
    </row>
    <row r="1128" spans="1:9" x14ac:dyDescent="0.2">
      <c r="A1128" s="523">
        <v>43316</v>
      </c>
      <c r="B1128" s="80" t="s">
        <v>5649</v>
      </c>
      <c r="C1128" s="334" t="s">
        <v>4943</v>
      </c>
      <c r="D1128" s="136">
        <v>2.1782407407407407E-2</v>
      </c>
      <c r="E1128" s="80" t="s">
        <v>1183</v>
      </c>
      <c r="F1128" s="69" t="s">
        <v>10399</v>
      </c>
      <c r="G1128" s="82">
        <v>0.5202</v>
      </c>
      <c r="H1128" s="334">
        <f t="shared" si="33"/>
        <v>4.8032407407407399E-3</v>
      </c>
    </row>
    <row r="1129" spans="1:9" x14ac:dyDescent="0.2">
      <c r="A1129" s="523">
        <v>43316</v>
      </c>
      <c r="B1129" t="s">
        <v>1572</v>
      </c>
      <c r="C1129" t="s">
        <v>4943</v>
      </c>
      <c r="D1129" s="136">
        <v>2.6585648148148146E-2</v>
      </c>
      <c r="E1129" s="80" t="s">
        <v>1183</v>
      </c>
      <c r="F1129" s="80" t="s">
        <v>3485</v>
      </c>
      <c r="G1129" s="82">
        <v>0.36349999999999999</v>
      </c>
      <c r="H1129" s="334">
        <f t="shared" si="33"/>
        <v>-3.4722222222222099E-4</v>
      </c>
    </row>
    <row r="1130" spans="1:9" x14ac:dyDescent="0.2">
      <c r="A1130" s="523">
        <v>43428</v>
      </c>
      <c r="B1130" s="1038" t="s">
        <v>398</v>
      </c>
      <c r="C1130" s="1038" t="s">
        <v>4943</v>
      </c>
      <c r="D1130" s="1">
        <v>2.6238425925925925E-2</v>
      </c>
      <c r="E1130" s="80" t="s">
        <v>11118</v>
      </c>
      <c r="F1130" s="80" t="s">
        <v>11120</v>
      </c>
      <c r="G1130" s="82">
        <v>0.52100000000000002</v>
      </c>
      <c r="H1130" s="334">
        <f t="shared" si="33"/>
        <v>2.2453703703703698E-3</v>
      </c>
    </row>
    <row r="1131" spans="1:9" ht="12.75" customHeight="1" x14ac:dyDescent="0.2">
      <c r="A1131" s="523">
        <v>43351</v>
      </c>
      <c r="B1131" s="531" t="s">
        <v>398</v>
      </c>
      <c r="C1131" s="531" t="s">
        <v>4943</v>
      </c>
      <c r="D1131" s="1">
        <v>2.8483796296296295E-2</v>
      </c>
      <c r="E1131" t="s">
        <v>5544</v>
      </c>
      <c r="F1131" t="s">
        <v>10578</v>
      </c>
      <c r="G1131" s="82">
        <v>0.47299999999999998</v>
      </c>
      <c r="H1131" s="334" t="e">
        <f t="shared" si="33"/>
        <v>#VALUE!</v>
      </c>
    </row>
    <row r="1132" spans="1:9" x14ac:dyDescent="0.2">
      <c r="A1132" s="523">
        <v>43302</v>
      </c>
      <c r="B1132" s="985" t="s">
        <v>398</v>
      </c>
      <c r="C1132" s="985" t="s">
        <v>4943</v>
      </c>
      <c r="D1132" s="334" t="s">
        <v>787</v>
      </c>
      <c r="E1132" s="80" t="s">
        <v>5544</v>
      </c>
      <c r="F1132" s="80" t="s">
        <v>10280</v>
      </c>
      <c r="H1132" s="334" t="e">
        <f t="shared" si="33"/>
        <v>#VALUE!</v>
      </c>
    </row>
    <row r="1133" spans="1:9" x14ac:dyDescent="0.2">
      <c r="A1133" s="523">
        <v>43162</v>
      </c>
      <c r="B1133" s="879" t="s">
        <v>398</v>
      </c>
      <c r="C1133" s="880" t="s">
        <v>4943</v>
      </c>
      <c r="D1133" s="1">
        <v>3.0682870370370371E-2</v>
      </c>
      <c r="E1133" s="80" t="s">
        <v>5456</v>
      </c>
      <c r="F1133" s="69" t="s">
        <v>9392</v>
      </c>
      <c r="G1133" s="82">
        <v>0.43909999999999999</v>
      </c>
      <c r="H1133" s="334">
        <f t="shared" si="33"/>
        <v>6.1342592592592594E-3</v>
      </c>
      <c r="I1133" s="80"/>
    </row>
    <row r="1134" spans="1:9" x14ac:dyDescent="0.2">
      <c r="A1134" s="523">
        <v>43141</v>
      </c>
      <c r="B1134" s="987" t="s">
        <v>398</v>
      </c>
      <c r="C1134" s="988" t="s">
        <v>4943</v>
      </c>
      <c r="D1134" s="1">
        <v>3.681712962962963E-2</v>
      </c>
      <c r="E1134" s="80" t="s">
        <v>5544</v>
      </c>
      <c r="F1134" s="80" t="s">
        <v>9253</v>
      </c>
      <c r="G1134" s="82">
        <v>0.3659</v>
      </c>
      <c r="H1134" s="334">
        <f t="shared" si="33"/>
        <v>-1.7476851851851851E-2</v>
      </c>
      <c r="I1134" s="80"/>
    </row>
    <row r="1135" spans="1:9" x14ac:dyDescent="0.2">
      <c r="A1135" s="523">
        <v>43463</v>
      </c>
      <c r="B1135" s="862" t="s">
        <v>2137</v>
      </c>
      <c r="C1135" s="862" t="s">
        <v>4943</v>
      </c>
      <c r="D1135" s="1">
        <v>1.9340277777777779E-2</v>
      </c>
      <c r="E1135" s="80" t="s">
        <v>11405</v>
      </c>
      <c r="F1135" s="80" t="s">
        <v>11423</v>
      </c>
      <c r="G1135" s="82">
        <v>0.58109999999999995</v>
      </c>
      <c r="H1135" s="334">
        <f t="shared" si="33"/>
        <v>-2.0023148148148179E-3</v>
      </c>
    </row>
    <row r="1136" spans="1:9" x14ac:dyDescent="0.2">
      <c r="A1136" s="523">
        <v>43459</v>
      </c>
      <c r="B1136" s="80" t="s">
        <v>2137</v>
      </c>
      <c r="C1136" s="80" t="s">
        <v>4943</v>
      </c>
      <c r="D1136" s="1">
        <v>1.7337962962962961E-2</v>
      </c>
      <c r="E1136" s="80" t="s">
        <v>1401</v>
      </c>
      <c r="F1136" s="80" t="s">
        <v>11384</v>
      </c>
      <c r="G1136" s="82">
        <v>0.6482</v>
      </c>
      <c r="H1136" s="80"/>
    </row>
    <row r="1137" spans="1:9" x14ac:dyDescent="0.2">
      <c r="A1137" s="523">
        <v>43456</v>
      </c>
      <c r="B1137" s="556" t="s">
        <v>2137</v>
      </c>
      <c r="C1137" s="556" t="s">
        <v>4943</v>
      </c>
      <c r="D1137" s="1">
        <v>1.7893518518518517E-2</v>
      </c>
      <c r="E1137" s="80" t="s">
        <v>5544</v>
      </c>
      <c r="F1137" s="80" t="s">
        <v>11361</v>
      </c>
      <c r="G1137" s="82">
        <v>0.62809999999999999</v>
      </c>
      <c r="H1137" s="334">
        <f t="shared" ref="H1137:H1168" si="34">D1138-D1137</f>
        <v>6.5972222222222474E-4</v>
      </c>
    </row>
    <row r="1138" spans="1:9" x14ac:dyDescent="0.2">
      <c r="A1138" s="523">
        <v>43449</v>
      </c>
      <c r="B1138" s="1029" t="s">
        <v>2137</v>
      </c>
      <c r="C1138" s="1029" t="s">
        <v>4943</v>
      </c>
      <c r="D1138" s="334">
        <v>1.8553240740740742E-2</v>
      </c>
      <c r="E1138" s="80" t="s">
        <v>4200</v>
      </c>
      <c r="F1138" s="80" t="s">
        <v>11316</v>
      </c>
      <c r="G1138" s="82">
        <v>0.60570000000000002</v>
      </c>
      <c r="H1138" s="334">
        <f t="shared" si="34"/>
        <v>-2.1990740740740825E-4</v>
      </c>
      <c r="I1138" t="s">
        <v>11283</v>
      </c>
    </row>
    <row r="1139" spans="1:9" x14ac:dyDescent="0.2">
      <c r="A1139" s="523">
        <v>43435</v>
      </c>
      <c r="B1139" s="1164" t="s">
        <v>2137</v>
      </c>
      <c r="C1139" s="1164" t="s">
        <v>4943</v>
      </c>
      <c r="D1139" s="1">
        <v>1.8333333333333333E-2</v>
      </c>
      <c r="E1139" s="80" t="s">
        <v>2465</v>
      </c>
      <c r="F1139" s="80" t="s">
        <v>11177</v>
      </c>
      <c r="G1139" s="82">
        <v>0.61299999999999999</v>
      </c>
      <c r="H1139" s="334">
        <f t="shared" si="34"/>
        <v>2.4421296296296309E-3</v>
      </c>
    </row>
    <row r="1140" spans="1:9" x14ac:dyDescent="0.2">
      <c r="A1140" s="523">
        <v>43428</v>
      </c>
      <c r="B1140" s="1038" t="s">
        <v>2137</v>
      </c>
      <c r="C1140" s="1038" t="s">
        <v>4943</v>
      </c>
      <c r="D1140" s="1">
        <v>2.0775462962962964E-2</v>
      </c>
      <c r="E1140" s="80" t="s">
        <v>11118</v>
      </c>
      <c r="F1140" s="80" t="s">
        <v>11119</v>
      </c>
      <c r="G1140" s="82">
        <v>0.54090000000000005</v>
      </c>
      <c r="H1140" s="334">
        <f t="shared" si="34"/>
        <v>-2.9513888888888888E-3</v>
      </c>
    </row>
    <row r="1141" spans="1:9" x14ac:dyDescent="0.2">
      <c r="A1141" s="523">
        <v>43421</v>
      </c>
      <c r="B1141" s="906" t="s">
        <v>2137</v>
      </c>
      <c r="C1141" s="906" t="s">
        <v>4943</v>
      </c>
      <c r="D1141" s="1">
        <v>1.7824074074074076E-2</v>
      </c>
      <c r="E1141" s="80" t="s">
        <v>5456</v>
      </c>
      <c r="F1141" s="80" t="s">
        <v>11057</v>
      </c>
      <c r="G1141" s="82">
        <v>0.63049999999999995</v>
      </c>
      <c r="H1141" s="334">
        <f t="shared" si="34"/>
        <v>4.9768518518518434E-4</v>
      </c>
    </row>
    <row r="1142" spans="1:9" x14ac:dyDescent="0.2">
      <c r="A1142" s="523">
        <v>43414</v>
      </c>
      <c r="B1142" s="862" t="s">
        <v>2137</v>
      </c>
      <c r="C1142" s="862" t="s">
        <v>4943</v>
      </c>
      <c r="D1142" s="1">
        <v>1.832175925925926E-2</v>
      </c>
      <c r="E1142" s="80" t="s">
        <v>5544</v>
      </c>
      <c r="F1142" s="80" t="s">
        <v>11000</v>
      </c>
      <c r="G1142" s="82">
        <v>0.61339999999999995</v>
      </c>
      <c r="H1142" s="334">
        <f t="shared" si="34"/>
        <v>1.1574074074074091E-3</v>
      </c>
    </row>
    <row r="1143" spans="1:9" x14ac:dyDescent="0.2">
      <c r="A1143" s="523">
        <v>43407</v>
      </c>
      <c r="B1143" s="901" t="s">
        <v>2137</v>
      </c>
      <c r="C1143" s="901" t="s">
        <v>4943</v>
      </c>
      <c r="D1143" s="1">
        <v>1.9479166666666669E-2</v>
      </c>
      <c r="E1143" s="80" t="s">
        <v>10479</v>
      </c>
      <c r="F1143" s="80" t="s">
        <v>10969</v>
      </c>
      <c r="G1143" s="82">
        <v>0.57689999999999997</v>
      </c>
      <c r="H1143" s="334">
        <f t="shared" si="34"/>
        <v>-1.2152777777777804E-3</v>
      </c>
    </row>
    <row r="1144" spans="1:9" x14ac:dyDescent="0.2">
      <c r="A1144" s="523">
        <v>43393</v>
      </c>
      <c r="B1144" s="862" t="s">
        <v>2137</v>
      </c>
      <c r="C1144" s="862" t="s">
        <v>4943</v>
      </c>
      <c r="D1144" s="1">
        <v>1.8263888888888889E-2</v>
      </c>
      <c r="E1144" s="80" t="s">
        <v>5544</v>
      </c>
      <c r="F1144" s="80" t="s">
        <v>10855</v>
      </c>
      <c r="G1144" s="82">
        <v>0.61529999999999996</v>
      </c>
      <c r="H1144" s="334" t="e">
        <f t="shared" si="34"/>
        <v>#VALUE!</v>
      </c>
    </row>
    <row r="1145" spans="1:9" x14ac:dyDescent="0.2">
      <c r="A1145" s="523">
        <v>43386</v>
      </c>
      <c r="B1145" s="532" t="s">
        <v>2137</v>
      </c>
      <c r="C1145" s="532" t="s">
        <v>4943</v>
      </c>
      <c r="D1145" s="1" t="s">
        <v>787</v>
      </c>
      <c r="E1145" s="80" t="s">
        <v>5544</v>
      </c>
      <c r="F1145" s="80" t="s">
        <v>4061</v>
      </c>
      <c r="G1145" s="82"/>
      <c r="H1145" s="334" t="e">
        <f t="shared" si="34"/>
        <v>#VALUE!</v>
      </c>
    </row>
    <row r="1146" spans="1:9" x14ac:dyDescent="0.2">
      <c r="A1146" s="34">
        <v>43372</v>
      </c>
      <c r="B1146" s="532" t="s">
        <v>2137</v>
      </c>
      <c r="C1146" s="532" t="s">
        <v>4943</v>
      </c>
      <c r="D1146" s="1">
        <v>3.0046296296296297E-2</v>
      </c>
      <c r="E1146" s="80" t="s">
        <v>8407</v>
      </c>
      <c r="F1146" s="80" t="s">
        <v>10684</v>
      </c>
      <c r="G1146" s="82">
        <v>0.374</v>
      </c>
      <c r="H1146" s="334">
        <f t="shared" si="34"/>
        <v>-1.1493055555555555E-2</v>
      </c>
    </row>
    <row r="1147" spans="1:9" x14ac:dyDescent="0.2">
      <c r="A1147" s="34">
        <v>43365</v>
      </c>
      <c r="B1147" s="556" t="s">
        <v>2137</v>
      </c>
      <c r="C1147" s="556" t="s">
        <v>4943</v>
      </c>
      <c r="D1147" s="1">
        <v>1.8553240740740742E-2</v>
      </c>
      <c r="E1147" s="80" t="s">
        <v>8154</v>
      </c>
      <c r="F1147" s="80" t="s">
        <v>10683</v>
      </c>
      <c r="G1147" s="82">
        <v>0.60570000000000002</v>
      </c>
      <c r="H1147" s="334">
        <f t="shared" si="34"/>
        <v>-6.3657407407407413E-4</v>
      </c>
    </row>
    <row r="1148" spans="1:9" x14ac:dyDescent="0.2">
      <c r="A1148" s="523">
        <v>43358</v>
      </c>
      <c r="B1148" s="1127" t="s">
        <v>2137</v>
      </c>
      <c r="C1148" s="1129" t="s">
        <v>4943</v>
      </c>
      <c r="D1148" s="1">
        <v>1.7916666666666668E-2</v>
      </c>
      <c r="E1148" t="s">
        <v>10649</v>
      </c>
      <c r="F1148" t="s">
        <v>10742</v>
      </c>
      <c r="G1148" s="82">
        <v>0.62729999999999997</v>
      </c>
      <c r="H1148" s="334">
        <f t="shared" si="34"/>
        <v>6.9444444444441422E-5</v>
      </c>
    </row>
    <row r="1149" spans="1:9" x14ac:dyDescent="0.2">
      <c r="A1149" s="523">
        <v>43351</v>
      </c>
      <c r="B1149" s="531" t="s">
        <v>2137</v>
      </c>
      <c r="C1149" s="531" t="s">
        <v>4943</v>
      </c>
      <c r="D1149" s="1">
        <v>1.7986111111111109E-2</v>
      </c>
      <c r="E1149" t="s">
        <v>5544</v>
      </c>
      <c r="F1149" t="s">
        <v>10577</v>
      </c>
      <c r="G1149" s="82">
        <v>0.62480000000000002</v>
      </c>
      <c r="H1149" s="334">
        <f t="shared" si="34"/>
        <v>1.6805555555555563E-2</v>
      </c>
    </row>
    <row r="1150" spans="1:9" x14ac:dyDescent="0.2">
      <c r="A1150" s="523">
        <v>43337</v>
      </c>
      <c r="B1150" s="1044" t="s">
        <v>2137</v>
      </c>
      <c r="C1150" s="1044" t="s">
        <v>4943</v>
      </c>
      <c r="D1150" s="1">
        <v>3.4791666666666672E-2</v>
      </c>
      <c r="E1150" s="80" t="s">
        <v>5544</v>
      </c>
      <c r="F1150" s="80" t="s">
        <v>8160</v>
      </c>
      <c r="G1150" s="82">
        <v>0.32300000000000001</v>
      </c>
      <c r="H1150" s="334">
        <f t="shared" si="34"/>
        <v>-8.0324074074074152E-3</v>
      </c>
    </row>
    <row r="1151" spans="1:9" x14ac:dyDescent="0.2">
      <c r="A1151" s="523">
        <v>43316</v>
      </c>
      <c r="B1151" s="1029" t="s">
        <v>2137</v>
      </c>
      <c r="C1151" s="1030" t="s">
        <v>4943</v>
      </c>
      <c r="D1151" s="136">
        <v>2.6759259259259257E-2</v>
      </c>
      <c r="E1151" s="80" t="s">
        <v>1183</v>
      </c>
      <c r="F1151" s="69" t="s">
        <v>10391</v>
      </c>
      <c r="G1151" s="82">
        <v>0.42</v>
      </c>
      <c r="H1151" s="334">
        <f t="shared" si="34"/>
        <v>8.518518518518519E-3</v>
      </c>
    </row>
    <row r="1152" spans="1:9" x14ac:dyDescent="0.2">
      <c r="A1152" s="523">
        <v>43309</v>
      </c>
      <c r="B1152" s="879" t="s">
        <v>2137</v>
      </c>
      <c r="C1152" s="879" t="s">
        <v>4943</v>
      </c>
      <c r="D1152" s="1">
        <v>3.5277777777777776E-2</v>
      </c>
      <c r="E1152" s="80" t="s">
        <v>5544</v>
      </c>
      <c r="F1152" s="80" t="s">
        <v>8160</v>
      </c>
      <c r="G1152" s="82">
        <v>0.31859999999999999</v>
      </c>
      <c r="H1152" s="334" t="e">
        <f t="shared" si="34"/>
        <v>#VALUE!</v>
      </c>
    </row>
    <row r="1153" spans="1:9" x14ac:dyDescent="0.2">
      <c r="A1153" s="523">
        <v>43302</v>
      </c>
      <c r="B1153" s="985" t="s">
        <v>2137</v>
      </c>
      <c r="C1153" s="985" t="s">
        <v>4943</v>
      </c>
      <c r="D1153" s="334" t="s">
        <v>787</v>
      </c>
      <c r="E1153" s="80" t="s">
        <v>5544</v>
      </c>
      <c r="F1153" s="80" t="s">
        <v>4061</v>
      </c>
      <c r="H1153" s="334" t="e">
        <f t="shared" si="34"/>
        <v>#VALUE!</v>
      </c>
    </row>
    <row r="1154" spans="1:9" x14ac:dyDescent="0.2">
      <c r="A1154" s="523">
        <v>43239</v>
      </c>
      <c r="B1154" s="80" t="s">
        <v>2137</v>
      </c>
      <c r="C1154" s="334" t="s">
        <v>4943</v>
      </c>
      <c r="D1154" s="35">
        <v>4.3148148148148151E-2</v>
      </c>
      <c r="E1154" s="80" t="s">
        <v>5544</v>
      </c>
      <c r="F1154" s="80" t="s">
        <v>10318</v>
      </c>
      <c r="G1154" s="82">
        <v>0.26050000000000001</v>
      </c>
      <c r="H1154" s="334">
        <f t="shared" si="34"/>
        <v>-2.2766203703703705E-2</v>
      </c>
      <c r="I1154" s="80"/>
    </row>
    <row r="1155" spans="1:9" ht="12.75" customHeight="1" x14ac:dyDescent="0.2">
      <c r="A1155" s="523">
        <v>43211</v>
      </c>
      <c r="B1155" s="80" t="s">
        <v>2137</v>
      </c>
      <c r="C1155" s="334" t="s">
        <v>4943</v>
      </c>
      <c r="D1155" s="1">
        <v>2.0381944444444446E-2</v>
      </c>
      <c r="E1155" s="80" t="s">
        <v>5544</v>
      </c>
      <c r="F1155" s="80" t="s">
        <v>10318</v>
      </c>
      <c r="G1155" s="82">
        <v>0.5514</v>
      </c>
      <c r="H1155" s="334">
        <f t="shared" si="34"/>
        <v>-1.6319444444444463E-3</v>
      </c>
      <c r="I1155" s="80"/>
    </row>
    <row r="1156" spans="1:9" x14ac:dyDescent="0.2">
      <c r="A1156" s="523">
        <v>43204</v>
      </c>
      <c r="B1156" s="80" t="s">
        <v>2137</v>
      </c>
      <c r="C1156" s="334" t="s">
        <v>4943</v>
      </c>
      <c r="D1156" s="1">
        <v>1.8749999999999999E-2</v>
      </c>
      <c r="E1156" s="80" t="s">
        <v>9592</v>
      </c>
      <c r="F1156" s="69" t="s">
        <v>9593</v>
      </c>
      <c r="G1156" s="82">
        <v>0.59940000000000004</v>
      </c>
      <c r="H1156" s="334">
        <f t="shared" si="34"/>
        <v>-5.2083333333333148E-4</v>
      </c>
      <c r="I1156" s="80"/>
    </row>
    <row r="1157" spans="1:9" x14ac:dyDescent="0.2">
      <c r="A1157" s="523">
        <v>43197</v>
      </c>
      <c r="B1157" s="624" t="s">
        <v>2137</v>
      </c>
      <c r="C1157" s="334" t="s">
        <v>4943</v>
      </c>
      <c r="D1157" s="1">
        <v>1.8229166666666668E-2</v>
      </c>
      <c r="E1157" s="80" t="s">
        <v>5544</v>
      </c>
      <c r="F1157" s="80" t="s">
        <v>10318</v>
      </c>
      <c r="G1157" s="82">
        <v>0.61650000000000005</v>
      </c>
      <c r="H1157" s="334">
        <f t="shared" si="34"/>
        <v>0</v>
      </c>
      <c r="I1157" s="80"/>
    </row>
    <row r="1158" spans="1:9" x14ac:dyDescent="0.2">
      <c r="A1158" s="523">
        <v>43183</v>
      </c>
      <c r="B1158" s="1019" t="s">
        <v>2137</v>
      </c>
      <c r="C1158" s="1020" t="s">
        <v>4943</v>
      </c>
      <c r="D1158" s="1">
        <v>1.8229166666666668E-2</v>
      </c>
      <c r="E1158" s="80" t="s">
        <v>5544</v>
      </c>
      <c r="F1158" s="69" t="s">
        <v>2877</v>
      </c>
      <c r="G1158" s="82">
        <v>0.61650000000000005</v>
      </c>
      <c r="H1158" s="334">
        <f t="shared" si="34"/>
        <v>1.7476851851851855E-3</v>
      </c>
      <c r="I1158" s="80"/>
    </row>
    <row r="1159" spans="1:9" x14ac:dyDescent="0.2">
      <c r="A1159" s="523">
        <v>43162</v>
      </c>
      <c r="B1159" s="879" t="s">
        <v>2137</v>
      </c>
      <c r="C1159" s="880" t="s">
        <v>4943</v>
      </c>
      <c r="D1159" s="1">
        <v>1.9976851851851853E-2</v>
      </c>
      <c r="E1159" s="80" t="s">
        <v>5456</v>
      </c>
      <c r="F1159" s="69" t="s">
        <v>9389</v>
      </c>
      <c r="G1159" s="82">
        <v>0.55740000000000001</v>
      </c>
      <c r="H1159" s="334">
        <f t="shared" si="34"/>
        <v>-7.6388888888889034E-4</v>
      </c>
      <c r="I1159" s="80"/>
    </row>
    <row r="1160" spans="1:9" x14ac:dyDescent="0.2">
      <c r="A1160" s="523">
        <v>43148</v>
      </c>
      <c r="B1160" s="568" t="s">
        <v>2137</v>
      </c>
      <c r="C1160" s="861" t="s">
        <v>4943</v>
      </c>
      <c r="D1160" s="1">
        <v>1.9212962962962963E-2</v>
      </c>
      <c r="E1160" s="80" t="s">
        <v>5544</v>
      </c>
      <c r="F1160" s="69" t="s">
        <v>130</v>
      </c>
      <c r="G1160" s="82">
        <v>0.57950000000000002</v>
      </c>
      <c r="H1160" s="334">
        <f t="shared" si="34"/>
        <v>4.1782407407407393E-3</v>
      </c>
      <c r="I1160" s="80"/>
    </row>
    <row r="1161" spans="1:9" x14ac:dyDescent="0.2">
      <c r="A1161" s="523">
        <v>43141</v>
      </c>
      <c r="B1161" s="987" t="s">
        <v>2137</v>
      </c>
      <c r="C1161" s="988" t="s">
        <v>4943</v>
      </c>
      <c r="D1161" s="1">
        <v>2.3391203703703702E-2</v>
      </c>
      <c r="E1161" s="80" t="s">
        <v>5544</v>
      </c>
      <c r="F1161" s="69" t="s">
        <v>2538</v>
      </c>
      <c r="G1161" s="82">
        <v>0.47599999999999998</v>
      </c>
      <c r="H1161" s="334">
        <f t="shared" si="34"/>
        <v>-5.7175925925925936E-3</v>
      </c>
      <c r="I1161" s="80"/>
    </row>
    <row r="1162" spans="1:9" x14ac:dyDescent="0.2">
      <c r="A1162" s="523">
        <v>43120</v>
      </c>
      <c r="B1162" s="601" t="s">
        <v>2137</v>
      </c>
      <c r="C1162" s="958" t="s">
        <v>4943</v>
      </c>
      <c r="D1162" s="1">
        <v>1.7673611111111109E-2</v>
      </c>
      <c r="E1162" s="80" t="s">
        <v>1401</v>
      </c>
      <c r="F1162" s="69" t="s">
        <v>9089</v>
      </c>
      <c r="G1162" s="82">
        <v>0.63</v>
      </c>
      <c r="H1162" s="334">
        <f t="shared" si="34"/>
        <v>2.025462962962965E-3</v>
      </c>
      <c r="I1162" s="80" t="s">
        <v>9098</v>
      </c>
    </row>
    <row r="1163" spans="1:9" x14ac:dyDescent="0.2">
      <c r="A1163" s="523">
        <v>43106</v>
      </c>
      <c r="B1163" s="869" t="s">
        <v>2137</v>
      </c>
      <c r="C1163" s="903" t="s">
        <v>4943</v>
      </c>
      <c r="D1163" s="1">
        <v>1.9699074074074074E-2</v>
      </c>
      <c r="E1163" s="80" t="s">
        <v>5544</v>
      </c>
      <c r="F1163" s="69" t="s">
        <v>9107</v>
      </c>
      <c r="G1163" s="82">
        <v>0.56520000000000004</v>
      </c>
      <c r="H1163" s="334">
        <f t="shared" si="34"/>
        <v>-1.412037037037038E-3</v>
      </c>
      <c r="I1163" s="80"/>
    </row>
    <row r="1164" spans="1:9" x14ac:dyDescent="0.2">
      <c r="A1164" s="33">
        <v>43101</v>
      </c>
      <c r="B1164" s="556" t="s">
        <v>2137</v>
      </c>
      <c r="C1164" s="950" t="s">
        <v>4943</v>
      </c>
      <c r="D1164" s="1">
        <v>1.8287037037037036E-2</v>
      </c>
      <c r="E1164" s="80" t="s">
        <v>5654</v>
      </c>
      <c r="F1164" s="69" t="s">
        <v>9048</v>
      </c>
      <c r="G1164" s="82">
        <v>0.6089</v>
      </c>
      <c r="H1164" s="334">
        <f t="shared" si="34"/>
        <v>8.6574074074074053E-3</v>
      </c>
      <c r="I1164" s="80"/>
    </row>
    <row r="1165" spans="1:9" x14ac:dyDescent="0.2">
      <c r="A1165" s="523">
        <v>43260</v>
      </c>
      <c r="B1165" s="80" t="s">
        <v>3673</v>
      </c>
      <c r="C1165" s="334" t="s">
        <v>4943</v>
      </c>
      <c r="D1165" s="1">
        <v>2.6944444444444441E-2</v>
      </c>
      <c r="E1165" s="80" t="s">
        <v>1183</v>
      </c>
      <c r="F1165" s="69" t="s">
        <v>2130</v>
      </c>
      <c r="G1165" s="82">
        <v>0.41710000000000003</v>
      </c>
      <c r="H1165" s="334">
        <f t="shared" si="34"/>
        <v>0</v>
      </c>
      <c r="I1165" s="80"/>
    </row>
    <row r="1166" spans="1:9" x14ac:dyDescent="0.2">
      <c r="A1166" s="523">
        <v>43260</v>
      </c>
      <c r="B1166" s="532" t="s">
        <v>3673</v>
      </c>
      <c r="C1166" s="843" t="s">
        <v>4943</v>
      </c>
      <c r="D1166" s="1">
        <v>2.6944444444444441E-2</v>
      </c>
      <c r="E1166" s="80" t="s">
        <v>1183</v>
      </c>
      <c r="F1166" s="69" t="s">
        <v>2130</v>
      </c>
      <c r="G1166" s="82">
        <v>0.41710000000000003</v>
      </c>
      <c r="H1166" s="334">
        <f t="shared" si="34"/>
        <v>-8.3564814814814786E-3</v>
      </c>
      <c r="I1166" s="80"/>
    </row>
    <row r="1167" spans="1:9" x14ac:dyDescent="0.2">
      <c r="A1167" s="523">
        <v>43134</v>
      </c>
      <c r="B1167" s="985" t="s">
        <v>3673</v>
      </c>
      <c r="C1167" s="986" t="s">
        <v>4943</v>
      </c>
      <c r="D1167" s="1">
        <v>1.8587962962962962E-2</v>
      </c>
      <c r="E1167" s="80" t="s">
        <v>5544</v>
      </c>
      <c r="F1167" s="69" t="s">
        <v>9194</v>
      </c>
      <c r="G1167" s="82">
        <v>0.59899999999999998</v>
      </c>
      <c r="H1167" s="334">
        <f t="shared" si="34"/>
        <v>-3.1365740740740729E-3</v>
      </c>
      <c r="I1167" s="80"/>
    </row>
    <row r="1168" spans="1:9" x14ac:dyDescent="0.2">
      <c r="A1168" s="523">
        <v>43463</v>
      </c>
      <c r="B1168" s="862" t="s">
        <v>2478</v>
      </c>
      <c r="C1168" s="862" t="s">
        <v>2479</v>
      </c>
      <c r="D1168" s="1">
        <v>1.545138888888889E-2</v>
      </c>
      <c r="E1168" s="80" t="s">
        <v>3167</v>
      </c>
      <c r="F1168" s="80" t="s">
        <v>11427</v>
      </c>
      <c r="G1168" s="82">
        <v>0.6794</v>
      </c>
      <c r="H1168" s="334">
        <f t="shared" si="34"/>
        <v>-7.1759259259259432E-4</v>
      </c>
    </row>
    <row r="1169" spans="1:13" x14ac:dyDescent="0.2">
      <c r="A1169" s="523">
        <v>43459</v>
      </c>
      <c r="B1169" s="80" t="s">
        <v>2478</v>
      </c>
      <c r="C1169" s="80" t="s">
        <v>2479</v>
      </c>
      <c r="D1169" s="1">
        <v>1.4733796296296295E-2</v>
      </c>
      <c r="E1169" s="80" t="s">
        <v>10192</v>
      </c>
      <c r="F1169" s="80" t="s">
        <v>11379</v>
      </c>
      <c r="G1169" s="82">
        <v>0.71250000000000002</v>
      </c>
      <c r="H1169" s="80"/>
    </row>
    <row r="1170" spans="1:13" x14ac:dyDescent="0.2">
      <c r="A1170" s="523">
        <v>43456</v>
      </c>
      <c r="B1170" s="556" t="s">
        <v>2478</v>
      </c>
      <c r="C1170" s="556" t="s">
        <v>2479</v>
      </c>
      <c r="D1170" s="1">
        <v>1.4490740740740742E-2</v>
      </c>
      <c r="E1170" s="80" t="s">
        <v>3167</v>
      </c>
      <c r="F1170" s="80" t="s">
        <v>11339</v>
      </c>
      <c r="G1170" s="82">
        <v>0.72440000000000004</v>
      </c>
      <c r="H1170" s="334">
        <f t="shared" ref="H1170:H1217" si="35">D1171-D1170</f>
        <v>2.3148148148148008E-4</v>
      </c>
    </row>
    <row r="1171" spans="1:13" x14ac:dyDescent="0.2">
      <c r="A1171" s="523">
        <v>43449</v>
      </c>
      <c r="B1171" s="1029" t="s">
        <v>2478</v>
      </c>
      <c r="C1171" s="1029" t="s">
        <v>2479</v>
      </c>
      <c r="D1171" s="1">
        <v>1.4722222222222222E-2</v>
      </c>
      <c r="E1171" s="80" t="s">
        <v>3167</v>
      </c>
      <c r="F1171" s="80" t="s">
        <v>11293</v>
      </c>
      <c r="G1171" s="82">
        <v>0.71309999999999996</v>
      </c>
      <c r="H1171" s="334">
        <f t="shared" si="35"/>
        <v>1.7361111111111049E-4</v>
      </c>
    </row>
    <row r="1172" spans="1:13" x14ac:dyDescent="0.2">
      <c r="A1172" s="523">
        <v>43442</v>
      </c>
      <c r="B1172" s="972" t="s">
        <v>2478</v>
      </c>
      <c r="C1172" s="972" t="s">
        <v>2479</v>
      </c>
      <c r="D1172" s="1">
        <v>1.4895833333333332E-2</v>
      </c>
      <c r="E1172" s="80" t="s">
        <v>3167</v>
      </c>
      <c r="F1172" s="80" t="s">
        <v>11241</v>
      </c>
      <c r="G1172" s="82">
        <v>0.70469999999999999</v>
      </c>
      <c r="H1172" s="334">
        <f t="shared" si="35"/>
        <v>-5.6712962962962923E-4</v>
      </c>
    </row>
    <row r="1173" spans="1:13" x14ac:dyDescent="0.2">
      <c r="A1173" s="523">
        <v>43435</v>
      </c>
      <c r="B1173" s="1164" t="s">
        <v>2478</v>
      </c>
      <c r="C1173" s="1164" t="s">
        <v>2479</v>
      </c>
      <c r="D1173" s="1">
        <v>1.4328703703703703E-2</v>
      </c>
      <c r="E1173" s="80" t="s">
        <v>3167</v>
      </c>
      <c r="F1173" s="80" t="s">
        <v>11171</v>
      </c>
      <c r="G1173" s="82">
        <v>0.73260000000000003</v>
      </c>
      <c r="H1173" s="334">
        <f t="shared" si="35"/>
        <v>3.3564814814814915E-4</v>
      </c>
    </row>
    <row r="1174" spans="1:13" x14ac:dyDescent="0.2">
      <c r="A1174" s="523">
        <v>43428</v>
      </c>
      <c r="B1174" s="1038" t="s">
        <v>2478</v>
      </c>
      <c r="C1174" s="1038" t="s">
        <v>2479</v>
      </c>
      <c r="D1174" s="1">
        <v>1.4664351851851852E-2</v>
      </c>
      <c r="E1174" s="80" t="s">
        <v>3167</v>
      </c>
      <c r="F1174" s="80" t="s">
        <v>11107</v>
      </c>
      <c r="G1174" s="82">
        <v>0.71589999999999998</v>
      </c>
      <c r="H1174" s="334">
        <f t="shared" si="35"/>
        <v>1.6898148148148141E-3</v>
      </c>
    </row>
    <row r="1175" spans="1:13" x14ac:dyDescent="0.2">
      <c r="A1175" s="523">
        <v>43421</v>
      </c>
      <c r="B1175" s="906" t="s">
        <v>2478</v>
      </c>
      <c r="C1175" s="906" t="s">
        <v>2479</v>
      </c>
      <c r="D1175" s="1">
        <v>1.6354166666666666E-2</v>
      </c>
      <c r="E1175" s="80" t="s">
        <v>5942</v>
      </c>
      <c r="F1175" s="80" t="s">
        <v>11065</v>
      </c>
      <c r="G1175" s="82">
        <v>0.64190000000000003</v>
      </c>
      <c r="H1175" s="334">
        <f t="shared" si="35"/>
        <v>-1.7476851851851837E-3</v>
      </c>
      <c r="I1175" s="80" t="s">
        <v>3081</v>
      </c>
    </row>
    <row r="1176" spans="1:13" x14ac:dyDescent="0.2">
      <c r="A1176" s="523">
        <v>43414</v>
      </c>
      <c r="B1176" s="862" t="s">
        <v>2478</v>
      </c>
      <c r="C1176" s="862" t="s">
        <v>2479</v>
      </c>
      <c r="D1176" s="1">
        <v>1.4606481481481482E-2</v>
      </c>
      <c r="E1176" s="80" t="s">
        <v>3167</v>
      </c>
      <c r="F1176" s="80" t="s">
        <v>10994</v>
      </c>
      <c r="G1176" s="82">
        <v>0.71870000000000001</v>
      </c>
      <c r="H1176" s="334">
        <f t="shared" si="35"/>
        <v>-3.3564814814814742E-4</v>
      </c>
    </row>
    <row r="1177" spans="1:13" x14ac:dyDescent="0.2">
      <c r="A1177" s="523">
        <v>43407</v>
      </c>
      <c r="B1177" s="901" t="s">
        <v>2478</v>
      </c>
      <c r="C1177" s="901" t="s">
        <v>2479</v>
      </c>
      <c r="D1177" s="1">
        <v>1.4270833333333335E-2</v>
      </c>
      <c r="E1177" s="80" t="s">
        <v>3167</v>
      </c>
      <c r="F1177" s="80" t="s">
        <v>10946</v>
      </c>
      <c r="G1177" s="82">
        <v>0.73560000000000003</v>
      </c>
      <c r="H1177" s="334">
        <f t="shared" si="35"/>
        <v>3.2407407407407038E-4</v>
      </c>
    </row>
    <row r="1178" spans="1:13" x14ac:dyDescent="0.2">
      <c r="A1178" s="523">
        <v>43400</v>
      </c>
      <c r="B1178" s="556" t="s">
        <v>2478</v>
      </c>
      <c r="C1178" s="556" t="s">
        <v>2479</v>
      </c>
      <c r="D1178" s="1">
        <v>1.4594907407407405E-2</v>
      </c>
      <c r="E1178" s="80" t="s">
        <v>3344</v>
      </c>
      <c r="F1178" s="80" t="s">
        <v>10919</v>
      </c>
      <c r="G1178" s="82">
        <v>0.71930000000000005</v>
      </c>
      <c r="H1178" s="334">
        <f t="shared" si="35"/>
        <v>-3.0092592592592324E-4</v>
      </c>
    </row>
    <row r="1179" spans="1:13" x14ac:dyDescent="0.2">
      <c r="A1179" s="523">
        <v>43393</v>
      </c>
      <c r="B1179" s="862" t="s">
        <v>2478</v>
      </c>
      <c r="C1179" s="862" t="s">
        <v>2479</v>
      </c>
      <c r="D1179" s="1">
        <v>1.4293981481481482E-2</v>
      </c>
      <c r="E1179" s="80" t="s">
        <v>3167</v>
      </c>
      <c r="F1179" s="80" t="s">
        <v>10832</v>
      </c>
      <c r="G1179" s="82">
        <v>0.73440000000000005</v>
      </c>
      <c r="H1179" s="334">
        <f t="shared" si="35"/>
        <v>2.4421296296296292E-3</v>
      </c>
    </row>
    <row r="1180" spans="1:13" x14ac:dyDescent="0.2">
      <c r="A1180" s="523">
        <v>43386</v>
      </c>
      <c r="B1180" s="532" t="s">
        <v>2478</v>
      </c>
      <c r="C1180" s="532" t="s">
        <v>2479</v>
      </c>
      <c r="D1180" s="1">
        <v>1.6736111111111111E-2</v>
      </c>
      <c r="E1180" s="80" t="s">
        <v>3167</v>
      </c>
      <c r="F1180" s="80" t="s">
        <v>750</v>
      </c>
      <c r="G1180" s="82">
        <v>0.62719999999999998</v>
      </c>
      <c r="H1180" s="334">
        <f t="shared" si="35"/>
        <v>-6.1342592592592698E-4</v>
      </c>
    </row>
    <row r="1181" spans="1:13" x14ac:dyDescent="0.2">
      <c r="A1181" s="34">
        <v>43379</v>
      </c>
      <c r="B1181" s="869" t="s">
        <v>2478</v>
      </c>
      <c r="C1181" s="869" t="s">
        <v>2479</v>
      </c>
      <c r="D1181" s="1">
        <v>1.6122685185185184E-2</v>
      </c>
      <c r="E1181" s="80" t="s">
        <v>10768</v>
      </c>
      <c r="F1181" s="80" t="s">
        <v>10770</v>
      </c>
      <c r="G1181" s="82">
        <v>0.65110000000000001</v>
      </c>
      <c r="H1181" s="334">
        <f t="shared" si="35"/>
        <v>-2.2685185185185187E-3</v>
      </c>
      <c r="I1181" t="s">
        <v>10771</v>
      </c>
      <c r="M1181" t="s">
        <v>10772</v>
      </c>
    </row>
    <row r="1182" spans="1:13" ht="12.75" customHeight="1" x14ac:dyDescent="0.2">
      <c r="A1182" s="34">
        <v>43372</v>
      </c>
      <c r="B1182" s="532" t="s">
        <v>2478</v>
      </c>
      <c r="C1182" s="532" t="s">
        <v>2479</v>
      </c>
      <c r="D1182" s="1">
        <v>1.3854166666666666E-2</v>
      </c>
      <c r="E1182" s="80" t="s">
        <v>3167</v>
      </c>
      <c r="F1182" s="80" t="s">
        <v>10697</v>
      </c>
      <c r="G1182" s="82">
        <v>0.75770000000000004</v>
      </c>
      <c r="H1182" s="334">
        <f t="shared" si="35"/>
        <v>1.3888888888888978E-4</v>
      </c>
    </row>
    <row r="1183" spans="1:13" x14ac:dyDescent="0.2">
      <c r="A1183" s="34">
        <v>43365</v>
      </c>
      <c r="B1183" s="556" t="s">
        <v>2478</v>
      </c>
      <c r="C1183" s="556" t="s">
        <v>2479</v>
      </c>
      <c r="D1183" s="1">
        <v>1.3993055555555555E-2</v>
      </c>
      <c r="E1183" s="80" t="s">
        <v>3167</v>
      </c>
      <c r="F1183" s="80" t="s">
        <v>10696</v>
      </c>
      <c r="G1183" s="82">
        <v>0.75019999999999998</v>
      </c>
      <c r="H1183" s="334">
        <f t="shared" si="35"/>
        <v>1.7361111111111049E-4</v>
      </c>
    </row>
    <row r="1184" spans="1:13" x14ac:dyDescent="0.2">
      <c r="A1184" s="523">
        <v>43358</v>
      </c>
      <c r="B1184" s="1127" t="s">
        <v>2478</v>
      </c>
      <c r="C1184" s="1127" t="s">
        <v>2479</v>
      </c>
      <c r="D1184" s="1">
        <v>1.4166666666666666E-2</v>
      </c>
      <c r="E1184" t="s">
        <v>3167</v>
      </c>
      <c r="F1184" s="80" t="s">
        <v>10635</v>
      </c>
      <c r="G1184" s="82">
        <v>0.74099999999999999</v>
      </c>
      <c r="H1184" s="334">
        <f t="shared" si="35"/>
        <v>-4.9768518518518434E-4</v>
      </c>
    </row>
    <row r="1185" spans="1:9" x14ac:dyDescent="0.2">
      <c r="A1185" s="523">
        <v>43351</v>
      </c>
      <c r="B1185" s="532" t="s">
        <v>2478</v>
      </c>
      <c r="C1185" s="531" t="s">
        <v>2479</v>
      </c>
      <c r="D1185" s="1">
        <v>1.3668981481481482E-2</v>
      </c>
      <c r="E1185" s="80" t="s">
        <v>3167</v>
      </c>
      <c r="F1185" s="80" t="s">
        <v>10600</v>
      </c>
      <c r="G1185" s="82">
        <v>0.76800000000000002</v>
      </c>
      <c r="H1185" s="334">
        <f t="shared" si="35"/>
        <v>5.4398148148148036E-4</v>
      </c>
    </row>
    <row r="1186" spans="1:9" x14ac:dyDescent="0.2">
      <c r="A1186" s="523">
        <v>43344</v>
      </c>
      <c r="B1186" s="552" t="s">
        <v>2478</v>
      </c>
      <c r="C1186" s="552" t="s">
        <v>2479</v>
      </c>
      <c r="D1186" s="1">
        <v>1.4212962962962962E-2</v>
      </c>
      <c r="E1186" t="s">
        <v>5883</v>
      </c>
      <c r="F1186" t="s">
        <v>10534</v>
      </c>
      <c r="G1186" s="82">
        <v>0.73860000000000003</v>
      </c>
      <c r="H1186" s="334">
        <f t="shared" si="35"/>
        <v>-4.0509259259259058E-4</v>
      </c>
    </row>
    <row r="1187" spans="1:9" x14ac:dyDescent="0.2">
      <c r="A1187" s="523">
        <v>43337</v>
      </c>
      <c r="B1187" s="1044" t="s">
        <v>2478</v>
      </c>
      <c r="C1187" s="1044" t="s">
        <v>2479</v>
      </c>
      <c r="D1187" s="1">
        <v>1.3807870370370371E-2</v>
      </c>
      <c r="E1187" s="80" t="s">
        <v>3167</v>
      </c>
      <c r="F1187" s="80" t="s">
        <v>10484</v>
      </c>
      <c r="G1187" s="82">
        <v>0.76029999999999998</v>
      </c>
      <c r="H1187" s="334">
        <f t="shared" si="35"/>
        <v>1.1458333333333338E-3</v>
      </c>
    </row>
    <row r="1188" spans="1:9" x14ac:dyDescent="0.2">
      <c r="A1188" s="523">
        <v>43316</v>
      </c>
      <c r="B1188" s="1029" t="s">
        <v>2478</v>
      </c>
      <c r="C1188" s="1030" t="s">
        <v>2479</v>
      </c>
      <c r="D1188" s="136">
        <v>1.4953703703703705E-2</v>
      </c>
      <c r="E1188" s="80" t="s">
        <v>3167</v>
      </c>
      <c r="F1188" s="69" t="s">
        <v>10380</v>
      </c>
      <c r="G1188" s="82">
        <v>0.70199999999999996</v>
      </c>
      <c r="H1188" s="334">
        <f t="shared" si="35"/>
        <v>-4.8611111111111251E-4</v>
      </c>
    </row>
    <row r="1189" spans="1:9" x14ac:dyDescent="0.2">
      <c r="A1189" s="523">
        <v>43309</v>
      </c>
      <c r="B1189" s="879" t="s">
        <v>2478</v>
      </c>
      <c r="C1189" s="879" t="s">
        <v>2479</v>
      </c>
      <c r="D1189" s="1">
        <v>1.4467592592592593E-2</v>
      </c>
      <c r="E1189" s="80" t="s">
        <v>3167</v>
      </c>
      <c r="F1189" s="80" t="s">
        <v>10343</v>
      </c>
      <c r="G1189" s="82">
        <v>0.72560000000000002</v>
      </c>
      <c r="H1189" s="334">
        <f t="shared" si="35"/>
        <v>1.5509259259259261E-3</v>
      </c>
    </row>
    <row r="1190" spans="1:9" x14ac:dyDescent="0.2">
      <c r="A1190" s="523">
        <v>43302</v>
      </c>
      <c r="B1190" s="985" t="s">
        <v>2478</v>
      </c>
      <c r="C1190" s="985" t="s">
        <v>2479</v>
      </c>
      <c r="D1190" s="1">
        <v>1.6018518518518519E-2</v>
      </c>
      <c r="E1190" s="80" t="s">
        <v>9735</v>
      </c>
      <c r="F1190" s="80" t="s">
        <v>10289</v>
      </c>
      <c r="G1190" s="82">
        <v>0.65529999999999999</v>
      </c>
      <c r="H1190" s="334">
        <f t="shared" si="35"/>
        <v>-1.3425925925925931E-3</v>
      </c>
      <c r="I1190" s="80" t="s">
        <v>10290</v>
      </c>
    </row>
    <row r="1191" spans="1:9" x14ac:dyDescent="0.2">
      <c r="A1191" s="523">
        <v>43295</v>
      </c>
      <c r="B1191" s="601" t="s">
        <v>2478</v>
      </c>
      <c r="C1191" s="601" t="s">
        <v>2479</v>
      </c>
      <c r="D1191" s="1">
        <v>1.4675925925925926E-2</v>
      </c>
      <c r="E1191" s="80" t="s">
        <v>10192</v>
      </c>
      <c r="F1191" s="80" t="s">
        <v>10247</v>
      </c>
      <c r="G1191" s="82">
        <v>0.71530000000000005</v>
      </c>
      <c r="H1191" s="334">
        <f t="shared" si="35"/>
        <v>5.0925925925925965E-4</v>
      </c>
      <c r="I1191" s="80" t="s">
        <v>10256</v>
      </c>
    </row>
    <row r="1192" spans="1:9" x14ac:dyDescent="0.2">
      <c r="A1192" s="523">
        <v>43281</v>
      </c>
      <c r="B1192" s="552" t="s">
        <v>2478</v>
      </c>
      <c r="C1192" s="552" t="s">
        <v>2479</v>
      </c>
      <c r="D1192" s="1">
        <v>1.5185185185185185E-2</v>
      </c>
      <c r="E1192" s="80" t="s">
        <v>8890</v>
      </c>
      <c r="F1192" s="80" t="s">
        <v>1236</v>
      </c>
      <c r="G1192" s="82">
        <v>0.69130000000000003</v>
      </c>
      <c r="H1192" s="334">
        <f t="shared" si="35"/>
        <v>-7.1759259259259259E-4</v>
      </c>
    </row>
    <row r="1193" spans="1:9" x14ac:dyDescent="0.2">
      <c r="A1193" s="34">
        <v>43274</v>
      </c>
      <c r="B1193" s="1071" t="s">
        <v>2478</v>
      </c>
      <c r="C1193" s="1071" t="s">
        <v>2479</v>
      </c>
      <c r="D1193" s="1">
        <v>1.4467592592592593E-2</v>
      </c>
      <c r="E1193" s="80" t="s">
        <v>3167</v>
      </c>
      <c r="F1193" s="80" t="s">
        <v>10118</v>
      </c>
      <c r="G1193" s="82">
        <v>0.72499999999999998</v>
      </c>
      <c r="H1193" s="334">
        <f t="shared" si="35"/>
        <v>3.4722222222222099E-4</v>
      </c>
    </row>
    <row r="1194" spans="1:9" x14ac:dyDescent="0.2">
      <c r="A1194" s="523">
        <v>43267</v>
      </c>
      <c r="B1194" s="1058" t="s">
        <v>2478</v>
      </c>
      <c r="C1194" s="1059" t="s">
        <v>2479</v>
      </c>
      <c r="D1194" s="1">
        <v>1.4814814814814814E-2</v>
      </c>
      <c r="E1194" s="80" t="s">
        <v>3167</v>
      </c>
      <c r="F1194" s="69" t="s">
        <v>9936</v>
      </c>
      <c r="G1194" s="82">
        <v>0.70860000000000001</v>
      </c>
      <c r="H1194" s="334">
        <f t="shared" si="35"/>
        <v>2.9560185185185182E-2</v>
      </c>
      <c r="I1194" s="80"/>
    </row>
    <row r="1195" spans="1:9" x14ac:dyDescent="0.2">
      <c r="A1195" s="523">
        <v>43260</v>
      </c>
      <c r="B1195" s="532" t="s">
        <v>2478</v>
      </c>
      <c r="C1195" s="843" t="s">
        <v>2479</v>
      </c>
      <c r="D1195" s="35">
        <v>4.4374999999999998E-2</v>
      </c>
      <c r="E1195" s="80" t="s">
        <v>9897</v>
      </c>
      <c r="F1195" s="69" t="s">
        <v>9901</v>
      </c>
      <c r="G1195" s="82">
        <v>0.23419999999999999</v>
      </c>
      <c r="H1195" s="334">
        <f t="shared" si="35"/>
        <v>-2.9548611111111109E-2</v>
      </c>
      <c r="I1195" s="80"/>
    </row>
    <row r="1196" spans="1:9" x14ac:dyDescent="0.2">
      <c r="A1196" s="523">
        <v>43253</v>
      </c>
      <c r="B1196" s="901" t="s">
        <v>2478</v>
      </c>
      <c r="C1196" s="902" t="s">
        <v>2479</v>
      </c>
      <c r="D1196" s="1">
        <v>1.4826388888888889E-2</v>
      </c>
      <c r="E1196" s="80" t="s">
        <v>3167</v>
      </c>
      <c r="F1196" s="69" t="s">
        <v>9883</v>
      </c>
      <c r="G1196" s="82">
        <v>0.70179999999999998</v>
      </c>
      <c r="H1196" s="334">
        <f t="shared" si="35"/>
        <v>-2.7777777777777783E-4</v>
      </c>
      <c r="I1196" s="80"/>
    </row>
    <row r="1197" spans="1:9" x14ac:dyDescent="0.2">
      <c r="A1197" s="523">
        <v>43246</v>
      </c>
      <c r="B1197" s="601" t="s">
        <v>2478</v>
      </c>
      <c r="C1197" s="958" t="s">
        <v>2479</v>
      </c>
      <c r="D1197" s="1">
        <v>1.4548611111111111E-2</v>
      </c>
      <c r="E1197" s="80" t="s">
        <v>3167</v>
      </c>
      <c r="F1197" s="69"/>
      <c r="G1197" s="82">
        <v>0.71519999999999995</v>
      </c>
      <c r="H1197" s="334">
        <f t="shared" si="35"/>
        <v>2.1990740740740825E-4</v>
      </c>
      <c r="I1197" s="80"/>
    </row>
    <row r="1198" spans="1:9" x14ac:dyDescent="0.2">
      <c r="A1198" s="523">
        <v>43232</v>
      </c>
      <c r="B1198" s="1051" t="s">
        <v>2478</v>
      </c>
      <c r="C1198" s="1052" t="s">
        <v>2479</v>
      </c>
      <c r="D1198" s="1">
        <v>1.4768518518518519E-2</v>
      </c>
      <c r="E1198" s="80" t="s">
        <v>142</v>
      </c>
      <c r="F1198" s="69" t="s">
        <v>9769</v>
      </c>
      <c r="G1198" s="82">
        <v>0.70450000000000002</v>
      </c>
      <c r="H1198" s="334">
        <f t="shared" si="35"/>
        <v>3.0555555555555561E-3</v>
      </c>
      <c r="I1198" s="80"/>
    </row>
    <row r="1199" spans="1:9" x14ac:dyDescent="0.2">
      <c r="A1199" s="523">
        <v>43225</v>
      </c>
      <c r="B1199" s="1044" t="s">
        <v>2478</v>
      </c>
      <c r="C1199" s="1045" t="s">
        <v>2479</v>
      </c>
      <c r="D1199" s="1">
        <v>1.7824074074074076E-2</v>
      </c>
      <c r="E1199" s="80" t="s">
        <v>2542</v>
      </c>
      <c r="F1199" s="1043" t="s">
        <v>9717</v>
      </c>
      <c r="G1199" s="82">
        <v>0.55379999999999996</v>
      </c>
      <c r="H1199" s="334">
        <f t="shared" si="35"/>
        <v>-3.0324074074074073E-3</v>
      </c>
      <c r="I1199" s="80" t="s">
        <v>9732</v>
      </c>
    </row>
    <row r="1200" spans="1:9" x14ac:dyDescent="0.2">
      <c r="A1200" s="523">
        <v>43218</v>
      </c>
      <c r="B1200" s="568" t="s">
        <v>2478</v>
      </c>
      <c r="C1200" s="861" t="s">
        <v>2479</v>
      </c>
      <c r="D1200" s="1">
        <v>1.4791666666666668E-2</v>
      </c>
      <c r="E1200" s="80" t="s">
        <v>3167</v>
      </c>
      <c r="F1200" s="69" t="s">
        <v>9686</v>
      </c>
      <c r="G1200" s="82">
        <v>0.70340000000000003</v>
      </c>
      <c r="H1200" s="334">
        <f t="shared" si="35"/>
        <v>1.4467592592592553E-3</v>
      </c>
      <c r="I1200" s="80"/>
    </row>
    <row r="1201" spans="1:9" x14ac:dyDescent="0.2">
      <c r="A1201" s="523">
        <v>43211</v>
      </c>
      <c r="B1201" s="1038" t="s">
        <v>2478</v>
      </c>
      <c r="C1201" s="1039" t="s">
        <v>2479</v>
      </c>
      <c r="D1201" s="1">
        <v>1.6238425925925924E-2</v>
      </c>
      <c r="E1201" s="80" t="s">
        <v>3167</v>
      </c>
      <c r="F1201" s="69" t="s">
        <v>9638</v>
      </c>
      <c r="G1201" s="82">
        <v>0.64058000000000004</v>
      </c>
      <c r="H1201" s="334">
        <f t="shared" si="35"/>
        <v>1.331018518518523E-3</v>
      </c>
      <c r="I1201" s="80"/>
    </row>
    <row r="1202" spans="1:9" x14ac:dyDescent="0.2">
      <c r="A1202" s="523">
        <v>43204</v>
      </c>
      <c r="B1202" s="80" t="s">
        <v>2478</v>
      </c>
      <c r="C1202" s="334" t="s">
        <v>2479</v>
      </c>
      <c r="D1202" s="1">
        <v>1.7569444444444447E-2</v>
      </c>
      <c r="E1202" s="80" t="s">
        <v>3167</v>
      </c>
      <c r="F1202" s="69" t="s">
        <v>9611</v>
      </c>
      <c r="G1202" s="82">
        <v>0.59219999999999995</v>
      </c>
      <c r="H1202" s="334">
        <f t="shared" si="35"/>
        <v>-9.3750000000000083E-4</v>
      </c>
      <c r="I1202" s="80"/>
    </row>
    <row r="1203" spans="1:9" x14ac:dyDescent="0.2">
      <c r="A1203" s="523">
        <v>43190</v>
      </c>
      <c r="B1203" s="1029" t="s">
        <v>2478</v>
      </c>
      <c r="C1203" s="1030" t="s">
        <v>2479</v>
      </c>
      <c r="D1203" s="1">
        <v>1.6631944444444446E-2</v>
      </c>
      <c r="E1203" s="80" t="s">
        <v>3167</v>
      </c>
      <c r="F1203" s="69" t="s">
        <v>9519</v>
      </c>
      <c r="G1203" s="82">
        <v>0.62560000000000004</v>
      </c>
      <c r="H1203" s="334">
        <f t="shared" si="35"/>
        <v>-1.3078703703703724E-3</v>
      </c>
      <c r="I1203" s="80"/>
    </row>
    <row r="1204" spans="1:9" x14ac:dyDescent="0.2">
      <c r="A1204" s="523">
        <v>43183</v>
      </c>
      <c r="B1204" s="1019" t="s">
        <v>2478</v>
      </c>
      <c r="C1204" s="1020" t="s">
        <v>2479</v>
      </c>
      <c r="D1204" s="1">
        <v>1.5324074074074073E-2</v>
      </c>
      <c r="E1204" s="80" t="s">
        <v>3167</v>
      </c>
      <c r="F1204" s="69" t="s">
        <v>9486</v>
      </c>
      <c r="G1204" s="82">
        <v>0.67900000000000005</v>
      </c>
      <c r="H1204" s="334">
        <f t="shared" si="35"/>
        <v>-6.0185185185185168E-4</v>
      </c>
      <c r="I1204" s="80"/>
    </row>
    <row r="1205" spans="1:9" x14ac:dyDescent="0.2">
      <c r="A1205" s="523">
        <v>43176</v>
      </c>
      <c r="B1205" s="532" t="s">
        <v>2478</v>
      </c>
      <c r="C1205" s="843" t="s">
        <v>2479</v>
      </c>
      <c r="D1205" s="1">
        <v>1.4722222222222222E-2</v>
      </c>
      <c r="E1205" s="80" t="s">
        <v>4535</v>
      </c>
      <c r="F1205" s="69" t="s">
        <v>1236</v>
      </c>
      <c r="G1205" s="82">
        <v>0.70679999999999998</v>
      </c>
      <c r="H1205" s="334">
        <f t="shared" si="35"/>
        <v>4.3865740740740723E-3</v>
      </c>
      <c r="I1205" s="80"/>
    </row>
    <row r="1206" spans="1:9" x14ac:dyDescent="0.2">
      <c r="A1206" s="523">
        <v>43169</v>
      </c>
      <c r="B1206" s="862" t="s">
        <v>2478</v>
      </c>
      <c r="C1206" s="863" t="s">
        <v>2479</v>
      </c>
      <c r="D1206" s="1">
        <v>1.9108796296296294E-2</v>
      </c>
      <c r="E1206" s="80" t="s">
        <v>8116</v>
      </c>
      <c r="F1206" s="69" t="s">
        <v>9419</v>
      </c>
      <c r="G1206" s="82">
        <v>0.54449999999999998</v>
      </c>
      <c r="H1206" s="334">
        <f t="shared" si="35"/>
        <v>-2.8587962962962968E-3</v>
      </c>
      <c r="I1206" s="80"/>
    </row>
    <row r="1207" spans="1:9" x14ac:dyDescent="0.2">
      <c r="A1207" s="523">
        <v>43162</v>
      </c>
      <c r="B1207" s="879" t="s">
        <v>2478</v>
      </c>
      <c r="C1207" s="880" t="s">
        <v>2479</v>
      </c>
      <c r="D1207" s="1">
        <v>1.6249999999999997E-2</v>
      </c>
      <c r="E1207" s="80" t="s">
        <v>8116</v>
      </c>
      <c r="F1207" s="69" t="s">
        <v>9386</v>
      </c>
      <c r="G1207" s="82">
        <v>0.64029999999999998</v>
      </c>
      <c r="H1207" s="334">
        <f t="shared" si="35"/>
        <v>-1.4930555555555513E-3</v>
      </c>
      <c r="I1207" s="80"/>
    </row>
    <row r="1208" spans="1:9" x14ac:dyDescent="0.2">
      <c r="A1208" s="523">
        <v>43155</v>
      </c>
      <c r="B1208" s="940" t="s">
        <v>2478</v>
      </c>
      <c r="C1208" s="941" t="s">
        <v>2479</v>
      </c>
      <c r="D1208" s="1">
        <v>1.4756944444444446E-2</v>
      </c>
      <c r="E1208" s="80" t="s">
        <v>3167</v>
      </c>
      <c r="F1208" s="69" t="s">
        <v>6123</v>
      </c>
      <c r="G1208" s="82">
        <v>0.70509999999999995</v>
      </c>
      <c r="H1208" s="334">
        <f t="shared" si="35"/>
        <v>1.5046296296296283E-3</v>
      </c>
      <c r="I1208" s="80"/>
    </row>
    <row r="1209" spans="1:9" x14ac:dyDescent="0.2">
      <c r="A1209" s="523">
        <v>43148</v>
      </c>
      <c r="B1209" s="568" t="s">
        <v>2478</v>
      </c>
      <c r="C1209" s="861" t="s">
        <v>2479</v>
      </c>
      <c r="D1209" s="1">
        <v>1.6261574074074074E-2</v>
      </c>
      <c r="E1209" s="80" t="s">
        <v>3167</v>
      </c>
      <c r="F1209" s="69" t="s">
        <v>9285</v>
      </c>
      <c r="G1209" s="82">
        <v>0.63990000000000002</v>
      </c>
      <c r="H1209" s="334">
        <f t="shared" si="35"/>
        <v>9.8379629629629511E-4</v>
      </c>
      <c r="I1209" s="80"/>
    </row>
    <row r="1210" spans="1:9" ht="12.75" customHeight="1" x14ac:dyDescent="0.2">
      <c r="A1210" s="523">
        <v>43141</v>
      </c>
      <c r="B1210" s="987" t="s">
        <v>2478</v>
      </c>
      <c r="C1210" s="988" t="s">
        <v>2479</v>
      </c>
      <c r="D1210" s="1">
        <v>1.7245370370370369E-2</v>
      </c>
      <c r="E1210" s="80" t="s">
        <v>3167</v>
      </c>
      <c r="F1210" s="69" t="s">
        <v>9240</v>
      </c>
      <c r="G1210" s="82">
        <v>0.60340000000000005</v>
      </c>
      <c r="H1210" s="334">
        <f t="shared" si="35"/>
        <v>-1.9444444444444431E-3</v>
      </c>
      <c r="I1210" s="80"/>
    </row>
    <row r="1211" spans="1:9" x14ac:dyDescent="0.2">
      <c r="A1211" s="523">
        <v>43127</v>
      </c>
      <c r="B1211" s="862" t="s">
        <v>2478</v>
      </c>
      <c r="C1211" s="863" t="s">
        <v>2479</v>
      </c>
      <c r="D1211" s="1">
        <v>1.5300925925925926E-2</v>
      </c>
      <c r="E1211" s="80" t="s">
        <v>3167</v>
      </c>
      <c r="F1211" s="69" t="s">
        <v>3556</v>
      </c>
      <c r="G1211" s="82">
        <v>0.68</v>
      </c>
      <c r="H1211" s="334">
        <f t="shared" si="35"/>
        <v>-2.1990740740740998E-4</v>
      </c>
      <c r="I1211" s="80"/>
    </row>
    <row r="1212" spans="1:9" x14ac:dyDescent="0.2">
      <c r="A1212" s="523">
        <v>43120</v>
      </c>
      <c r="B1212" s="601" t="s">
        <v>2478</v>
      </c>
      <c r="C1212" s="958" t="s">
        <v>2479</v>
      </c>
      <c r="D1212" s="1">
        <v>1.5081018518518516E-2</v>
      </c>
      <c r="E1212" s="80" t="s">
        <v>3167</v>
      </c>
      <c r="F1212" s="69" t="s">
        <v>9085</v>
      </c>
      <c r="G1212" s="82">
        <v>0.68989999999999996</v>
      </c>
      <c r="H1212" s="334">
        <f t="shared" si="35"/>
        <v>-3.4722222222222099E-4</v>
      </c>
      <c r="I1212" s="80"/>
    </row>
    <row r="1213" spans="1:9" x14ac:dyDescent="0.2">
      <c r="A1213" s="523">
        <v>43113</v>
      </c>
      <c r="B1213" s="972" t="s">
        <v>2478</v>
      </c>
      <c r="C1213" s="973" t="s">
        <v>2479</v>
      </c>
      <c r="D1213" s="1">
        <v>1.4733796296296295E-2</v>
      </c>
      <c r="E1213" s="80" t="s">
        <v>3167</v>
      </c>
      <c r="F1213" s="69" t="s">
        <v>1471</v>
      </c>
      <c r="G1213" s="82">
        <v>0.70620000000000005</v>
      </c>
      <c r="H1213" s="334">
        <f t="shared" si="35"/>
        <v>1.2152777777777787E-3</v>
      </c>
      <c r="I1213" s="80"/>
    </row>
    <row r="1214" spans="1:9" x14ac:dyDescent="0.2">
      <c r="A1214" s="523">
        <v>43106</v>
      </c>
      <c r="B1214" s="869" t="s">
        <v>2478</v>
      </c>
      <c r="C1214" s="903" t="s">
        <v>2479</v>
      </c>
      <c r="D1214" s="1">
        <v>1.5949074074074074E-2</v>
      </c>
      <c r="E1214" s="80" t="s">
        <v>8116</v>
      </c>
      <c r="F1214" s="69" t="s">
        <v>9116</v>
      </c>
      <c r="G1214" s="82">
        <v>0.65239999999999998</v>
      </c>
      <c r="H1214" s="334">
        <f t="shared" si="35"/>
        <v>1.1574074074073917E-4</v>
      </c>
      <c r="I1214" s="80"/>
    </row>
    <row r="1215" spans="1:9" x14ac:dyDescent="0.2">
      <c r="A1215" s="523">
        <v>43101</v>
      </c>
      <c r="B1215" s="556" t="s">
        <v>2478</v>
      </c>
      <c r="C1215" s="950" t="s">
        <v>2479</v>
      </c>
      <c r="D1215" s="1">
        <v>1.6064814814814813E-2</v>
      </c>
      <c r="E1215" s="80" t="s">
        <v>8144</v>
      </c>
      <c r="F1215" s="69" t="s">
        <v>9032</v>
      </c>
      <c r="G1215" s="82">
        <v>0.64770000000000005</v>
      </c>
      <c r="H1215" s="334">
        <f t="shared" si="35"/>
        <v>-1.3657407407407385E-3</v>
      </c>
      <c r="I1215" s="80"/>
    </row>
    <row r="1216" spans="1:9" x14ac:dyDescent="0.2">
      <c r="A1216" s="523">
        <v>43101</v>
      </c>
      <c r="B1216" s="556" t="s">
        <v>2478</v>
      </c>
      <c r="C1216" s="950" t="s">
        <v>2479</v>
      </c>
      <c r="D1216" s="1">
        <v>1.4699074074074074E-2</v>
      </c>
      <c r="E1216" s="80" t="s">
        <v>1214</v>
      </c>
      <c r="F1216" s="69" t="s">
        <v>9033</v>
      </c>
      <c r="G1216" s="82">
        <v>0.70789999999999997</v>
      </c>
      <c r="H1216" s="334">
        <f t="shared" si="35"/>
        <v>-2.3148148148148182E-4</v>
      </c>
      <c r="I1216" s="80"/>
    </row>
    <row r="1217" spans="1:9" x14ac:dyDescent="0.2">
      <c r="A1217" s="523">
        <v>43288</v>
      </c>
      <c r="B1217" s="1077" t="s">
        <v>2641</v>
      </c>
      <c r="C1217" s="1077" t="s">
        <v>2479</v>
      </c>
      <c r="D1217" s="1">
        <v>1.4467592592592593E-2</v>
      </c>
      <c r="E1217" t="s">
        <v>3167</v>
      </c>
      <c r="F1217" t="s">
        <v>10207</v>
      </c>
      <c r="G1217" s="82">
        <v>0.72560000000000002</v>
      </c>
      <c r="H1217" s="334">
        <f t="shared" si="35"/>
        <v>-2.2453703703703698E-3</v>
      </c>
    </row>
    <row r="1218" spans="1:9" x14ac:dyDescent="0.2">
      <c r="A1218" s="523">
        <v>43459</v>
      </c>
      <c r="B1218" s="80" t="s">
        <v>3535</v>
      </c>
      <c r="C1218" s="80" t="s">
        <v>3536</v>
      </c>
      <c r="D1218" s="1">
        <v>1.2222222222222223E-2</v>
      </c>
      <c r="E1218" s="80" t="s">
        <v>5885</v>
      </c>
      <c r="F1218" s="80" t="s">
        <v>11371</v>
      </c>
      <c r="G1218" s="82">
        <v>0.81820000000000004</v>
      </c>
      <c r="H1218" s="80"/>
    </row>
    <row r="1219" spans="1:9" x14ac:dyDescent="0.2">
      <c r="A1219" s="523">
        <v>43463</v>
      </c>
      <c r="B1219" s="862" t="s">
        <v>866</v>
      </c>
      <c r="C1219" s="862" t="s">
        <v>4635</v>
      </c>
      <c r="D1219" s="1">
        <v>2.2395833333333334E-2</v>
      </c>
      <c r="E1219" s="80" t="s">
        <v>5947</v>
      </c>
      <c r="F1219" s="80" t="s">
        <v>11420</v>
      </c>
      <c r="G1219" s="82">
        <v>0.48480000000000001</v>
      </c>
      <c r="H1219" s="334">
        <f t="shared" ref="H1219:H1258" si="36">D1220-D1219</f>
        <v>4.05092592592593E-3</v>
      </c>
    </row>
    <row r="1220" spans="1:9" x14ac:dyDescent="0.2">
      <c r="A1220" s="523">
        <v>43449</v>
      </c>
      <c r="B1220" s="1029" t="s">
        <v>866</v>
      </c>
      <c r="C1220" s="1029" t="s">
        <v>4635</v>
      </c>
      <c r="D1220" s="1">
        <v>2.6446759259259264E-2</v>
      </c>
      <c r="E1220" s="80" t="s">
        <v>5947</v>
      </c>
      <c r="F1220" s="80" t="s">
        <v>11301</v>
      </c>
      <c r="G1220" s="82">
        <v>0.41049999999999998</v>
      </c>
      <c r="H1220" s="334">
        <f t="shared" si="36"/>
        <v>-6.2268518518518549E-3</v>
      </c>
    </row>
    <row r="1221" spans="1:9" x14ac:dyDescent="0.2">
      <c r="A1221" s="523">
        <v>43442</v>
      </c>
      <c r="B1221" s="972" t="s">
        <v>866</v>
      </c>
      <c r="C1221" s="972" t="s">
        <v>4635</v>
      </c>
      <c r="D1221" s="1">
        <v>2.0219907407407409E-2</v>
      </c>
      <c r="E1221" s="80" t="s">
        <v>5883</v>
      </c>
      <c r="F1221" s="80" t="s">
        <v>8273</v>
      </c>
      <c r="G1221" s="82">
        <v>0.53690000000000004</v>
      </c>
      <c r="H1221" s="334">
        <f t="shared" si="36"/>
        <v>4.0509259259259231E-4</v>
      </c>
    </row>
    <row r="1222" spans="1:9" x14ac:dyDescent="0.2">
      <c r="A1222" s="523">
        <v>43428</v>
      </c>
      <c r="B1222" s="1038" t="s">
        <v>866</v>
      </c>
      <c r="C1222" s="1038" t="s">
        <v>4635</v>
      </c>
      <c r="D1222" s="1">
        <v>2.0625000000000001E-2</v>
      </c>
      <c r="E1222" s="80" t="s">
        <v>5883</v>
      </c>
      <c r="F1222" s="80" t="s">
        <v>11114</v>
      </c>
      <c r="G1222" s="82">
        <v>0.52639999999999998</v>
      </c>
      <c r="H1222" s="334">
        <f t="shared" si="36"/>
        <v>2.6620370370370253E-4</v>
      </c>
    </row>
    <row r="1223" spans="1:9" x14ac:dyDescent="0.2">
      <c r="A1223" s="523">
        <v>43414</v>
      </c>
      <c r="B1223" s="862" t="s">
        <v>866</v>
      </c>
      <c r="C1223" s="862" t="s">
        <v>4635</v>
      </c>
      <c r="D1223" s="1">
        <v>2.0891203703703703E-2</v>
      </c>
      <c r="E1223" s="80" t="s">
        <v>5883</v>
      </c>
      <c r="F1223" s="80" t="s">
        <v>5132</v>
      </c>
      <c r="G1223" s="82">
        <v>0.51970000000000005</v>
      </c>
      <c r="H1223" s="334">
        <f t="shared" si="36"/>
        <v>-3.703703703703716E-4</v>
      </c>
    </row>
    <row r="1224" spans="1:9" x14ac:dyDescent="0.2">
      <c r="A1224" s="523">
        <v>43407</v>
      </c>
      <c r="B1224" s="901" t="s">
        <v>866</v>
      </c>
      <c r="C1224" s="901" t="s">
        <v>4635</v>
      </c>
      <c r="D1224" s="1">
        <v>2.0520833333333332E-2</v>
      </c>
      <c r="E1224" s="80" t="s">
        <v>5883</v>
      </c>
      <c r="F1224" s="80" t="s">
        <v>7554</v>
      </c>
      <c r="G1224" s="82">
        <v>0.52900000000000003</v>
      </c>
      <c r="H1224" s="334">
        <f t="shared" si="36"/>
        <v>7.8703703703703748E-4</v>
      </c>
    </row>
    <row r="1225" spans="1:9" x14ac:dyDescent="0.2">
      <c r="A1225" s="34">
        <v>43372</v>
      </c>
      <c r="B1225" s="532" t="s">
        <v>866</v>
      </c>
      <c r="C1225" s="532" t="s">
        <v>4635</v>
      </c>
      <c r="D1225" s="1">
        <v>2.1307870370370369E-2</v>
      </c>
      <c r="E1225" s="80" t="s">
        <v>5883</v>
      </c>
      <c r="F1225" s="80" t="s">
        <v>10720</v>
      </c>
      <c r="G1225" s="82">
        <v>0.50949999999999995</v>
      </c>
      <c r="H1225" s="334">
        <f t="shared" si="36"/>
        <v>2.5462962962962896E-4</v>
      </c>
    </row>
    <row r="1226" spans="1:9" x14ac:dyDescent="0.2">
      <c r="A1226" s="523">
        <v>43351</v>
      </c>
      <c r="B1226" s="531" t="s">
        <v>866</v>
      </c>
      <c r="C1226" s="531" t="s">
        <v>4635</v>
      </c>
      <c r="D1226" s="1">
        <v>2.1562499999999998E-2</v>
      </c>
      <c r="E1226" s="80" t="s">
        <v>10585</v>
      </c>
      <c r="F1226" s="80" t="s">
        <v>10612</v>
      </c>
      <c r="G1226" s="82">
        <v>0.50349999999999995</v>
      </c>
      <c r="H1226" s="334">
        <f t="shared" si="36"/>
        <v>-2.4421296296296274E-3</v>
      </c>
    </row>
    <row r="1227" spans="1:9" x14ac:dyDescent="0.2">
      <c r="A1227" s="523">
        <v>43337</v>
      </c>
      <c r="B1227" s="1044" t="s">
        <v>866</v>
      </c>
      <c r="C1227" s="1044" t="s">
        <v>4635</v>
      </c>
      <c r="D1227" s="1">
        <v>1.9120370370370371E-2</v>
      </c>
      <c r="E1227" s="80" t="s">
        <v>1003</v>
      </c>
      <c r="F1227" s="80" t="s">
        <v>10490</v>
      </c>
      <c r="G1227" s="82">
        <v>0.56779999999999997</v>
      </c>
      <c r="H1227" s="334">
        <f t="shared" si="36"/>
        <v>9.1435185185185022E-4</v>
      </c>
    </row>
    <row r="1228" spans="1:9" x14ac:dyDescent="0.2">
      <c r="A1228" s="523">
        <v>43309</v>
      </c>
      <c r="B1228" s="879" t="s">
        <v>866</v>
      </c>
      <c r="C1228" s="879" t="s">
        <v>4635</v>
      </c>
      <c r="D1228" s="1">
        <v>2.0034722222222221E-2</v>
      </c>
      <c r="E1228" s="80" t="s">
        <v>5883</v>
      </c>
      <c r="F1228" s="80" t="s">
        <v>7801</v>
      </c>
      <c r="G1228" s="82">
        <v>0.54190000000000005</v>
      </c>
      <c r="H1228" s="334">
        <f t="shared" si="36"/>
        <v>3.5416666666666721E-3</v>
      </c>
    </row>
    <row r="1229" spans="1:9" x14ac:dyDescent="0.2">
      <c r="A1229" s="523">
        <v>43267</v>
      </c>
      <c r="B1229" s="1058" t="s">
        <v>866</v>
      </c>
      <c r="C1229" s="1059" t="s">
        <v>4635</v>
      </c>
      <c r="D1229" s="1">
        <v>2.3576388888888893E-2</v>
      </c>
      <c r="E1229" s="80" t="s">
        <v>5456</v>
      </c>
      <c r="F1229" s="69" t="s">
        <v>3060</v>
      </c>
      <c r="G1229" s="82">
        <v>0.46050000000000002</v>
      </c>
      <c r="H1229" s="334">
        <f t="shared" si="36"/>
        <v>-2.5810185185185207E-3</v>
      </c>
      <c r="I1229" s="80" t="s">
        <v>9958</v>
      </c>
    </row>
    <row r="1230" spans="1:9" x14ac:dyDescent="0.2">
      <c r="A1230" s="523">
        <v>43253</v>
      </c>
      <c r="B1230" s="901" t="s">
        <v>866</v>
      </c>
      <c r="C1230" s="902" t="s">
        <v>4635</v>
      </c>
      <c r="D1230" s="1">
        <v>2.0995370370370373E-2</v>
      </c>
      <c r="E1230" s="80" t="s">
        <v>1982</v>
      </c>
      <c r="F1230" s="69" t="s">
        <v>6066</v>
      </c>
      <c r="G1230" s="82">
        <v>0.5171</v>
      </c>
      <c r="H1230" s="334">
        <f>D1232-D1230</f>
        <v>1.9675925925925937E-3</v>
      </c>
      <c r="I1230" s="80"/>
    </row>
    <row r="1231" spans="1:9" x14ac:dyDescent="0.2">
      <c r="A1231" s="523">
        <v>43232</v>
      </c>
      <c r="B1231" s="80" t="s">
        <v>866</v>
      </c>
      <c r="C1231" s="334" t="s">
        <v>4635</v>
      </c>
      <c r="D1231" s="1">
        <v>2.0150462962962964E-2</v>
      </c>
      <c r="E1231" s="80" t="s">
        <v>9307</v>
      </c>
      <c r="F1231" s="69" t="s">
        <v>9621</v>
      </c>
      <c r="G1231" s="82">
        <v>0.53879999999999995</v>
      </c>
      <c r="H1231" s="334">
        <f>D1233-D1231</f>
        <v>2.800925925925922E-3</v>
      </c>
      <c r="I1231" s="80"/>
    </row>
    <row r="1232" spans="1:9" x14ac:dyDescent="0.2">
      <c r="A1232" s="523">
        <v>43225</v>
      </c>
      <c r="B1232" s="1044" t="s">
        <v>866</v>
      </c>
      <c r="C1232" s="1045" t="s">
        <v>4635</v>
      </c>
      <c r="D1232" s="1">
        <v>2.2962962962962966E-2</v>
      </c>
      <c r="E1232" s="80" t="s">
        <v>9578</v>
      </c>
      <c r="F1232" s="69" t="s">
        <v>9722</v>
      </c>
      <c r="G1232" s="82">
        <v>0.4728</v>
      </c>
      <c r="H1232" s="334">
        <f>D1233-D1232</f>
        <v>-1.1574074074080509E-5</v>
      </c>
      <c r="I1232" s="80"/>
    </row>
    <row r="1233" spans="1:9" x14ac:dyDescent="0.2">
      <c r="A1233" s="523">
        <v>43218</v>
      </c>
      <c r="B1233" s="568" t="s">
        <v>866</v>
      </c>
      <c r="C1233" s="861" t="s">
        <v>4635</v>
      </c>
      <c r="D1233" s="1">
        <v>2.2951388888888886E-2</v>
      </c>
      <c r="E1233" s="80" t="s">
        <v>5883</v>
      </c>
      <c r="F1233" s="69" t="s">
        <v>514</v>
      </c>
      <c r="G1233" s="82">
        <v>0.47299999999999998</v>
      </c>
      <c r="H1233" s="334">
        <f t="shared" si="36"/>
        <v>-4.861111111111073E-4</v>
      </c>
      <c r="I1233" s="80"/>
    </row>
    <row r="1234" spans="1:9" x14ac:dyDescent="0.2">
      <c r="A1234" s="523">
        <v>43176</v>
      </c>
      <c r="B1234" s="532" t="s">
        <v>866</v>
      </c>
      <c r="C1234" s="843" t="s">
        <v>4635</v>
      </c>
      <c r="D1234" s="1">
        <v>2.2465277777777778E-2</v>
      </c>
      <c r="E1234" s="80" t="s">
        <v>9449</v>
      </c>
      <c r="F1234" s="69" t="s">
        <v>9458</v>
      </c>
      <c r="G1234" s="82">
        <v>0.48330000000000001</v>
      </c>
      <c r="H1234" s="334">
        <f t="shared" si="36"/>
        <v>-2.2569444444444434E-3</v>
      </c>
      <c r="I1234" s="80"/>
    </row>
    <row r="1235" spans="1:9" x14ac:dyDescent="0.2">
      <c r="A1235" s="523">
        <v>43169</v>
      </c>
      <c r="B1235" s="862" t="s">
        <v>866</v>
      </c>
      <c r="C1235" s="863" t="s">
        <v>4635</v>
      </c>
      <c r="D1235" s="1">
        <v>2.0208333333333335E-2</v>
      </c>
      <c r="E1235" s="80" t="s">
        <v>2431</v>
      </c>
      <c r="F1235" s="69" t="s">
        <v>9422</v>
      </c>
      <c r="G1235" s="82">
        <v>0.53720000000000001</v>
      </c>
      <c r="H1235" s="334">
        <f t="shared" si="36"/>
        <v>1.2152777777777769E-3</v>
      </c>
      <c r="I1235" s="80"/>
    </row>
    <row r="1236" spans="1:9" x14ac:dyDescent="0.2">
      <c r="A1236" s="523">
        <v>43148</v>
      </c>
      <c r="B1236" s="568" t="s">
        <v>866</v>
      </c>
      <c r="C1236" s="861" t="s">
        <v>4635</v>
      </c>
      <c r="D1236" s="1">
        <v>2.1423611111111112E-2</v>
      </c>
      <c r="E1236" s="80" t="s">
        <v>843</v>
      </c>
      <c r="F1236" s="69" t="s">
        <v>9281</v>
      </c>
      <c r="G1236" s="82">
        <v>0.50680000000000003</v>
      </c>
      <c r="H1236" s="334">
        <f t="shared" si="36"/>
        <v>-9.0277777777778012E-4</v>
      </c>
      <c r="I1236" s="80"/>
    </row>
    <row r="1237" spans="1:9" x14ac:dyDescent="0.2">
      <c r="A1237" s="523">
        <v>43141</v>
      </c>
      <c r="B1237" s="987" t="s">
        <v>866</v>
      </c>
      <c r="C1237" s="988" t="s">
        <v>4635</v>
      </c>
      <c r="D1237" s="1">
        <v>2.0520833333333332E-2</v>
      </c>
      <c r="E1237" s="80" t="s">
        <v>3299</v>
      </c>
      <c r="F1237" s="69" t="s">
        <v>9244</v>
      </c>
      <c r="G1237" s="82">
        <v>0.52900000000000003</v>
      </c>
      <c r="H1237" s="334">
        <f t="shared" si="36"/>
        <v>-3.8888888888888862E-3</v>
      </c>
      <c r="I1237" s="80"/>
    </row>
    <row r="1238" spans="1:9" x14ac:dyDescent="0.2">
      <c r="A1238" s="523">
        <v>43176</v>
      </c>
      <c r="B1238" s="532" t="s">
        <v>2822</v>
      </c>
      <c r="C1238" s="843" t="s">
        <v>2823</v>
      </c>
      <c r="D1238" s="1">
        <v>1.6631944444444446E-2</v>
      </c>
      <c r="E1238" s="80" t="s">
        <v>5544</v>
      </c>
      <c r="F1238" s="69" t="s">
        <v>1113</v>
      </c>
      <c r="G1238" s="82">
        <v>0.63190000000000002</v>
      </c>
      <c r="H1238" s="334">
        <f t="shared" si="36"/>
        <v>-1.0763888888888924E-3</v>
      </c>
      <c r="I1238" s="80"/>
    </row>
    <row r="1239" spans="1:9" x14ac:dyDescent="0.2">
      <c r="A1239" s="523">
        <v>43169</v>
      </c>
      <c r="B1239" s="862" t="s">
        <v>2822</v>
      </c>
      <c r="C1239" s="863" t="s">
        <v>2823</v>
      </c>
      <c r="D1239" s="1">
        <v>1.5555555555555553E-2</v>
      </c>
      <c r="E1239" s="80" t="s">
        <v>5544</v>
      </c>
      <c r="F1239" s="69" t="s">
        <v>315</v>
      </c>
      <c r="G1239" s="82">
        <v>0.67190000000000005</v>
      </c>
      <c r="H1239" s="334">
        <f t="shared" si="36"/>
        <v>-3.5879629629629456E-4</v>
      </c>
      <c r="I1239" s="80"/>
    </row>
    <row r="1240" spans="1:9" x14ac:dyDescent="0.2">
      <c r="A1240" s="523">
        <v>43141</v>
      </c>
      <c r="B1240" s="987" t="s">
        <v>2822</v>
      </c>
      <c r="C1240" s="988" t="s">
        <v>2823</v>
      </c>
      <c r="D1240" s="1">
        <v>1.5196759259259259E-2</v>
      </c>
      <c r="E1240" s="80" t="s">
        <v>5544</v>
      </c>
      <c r="F1240" s="69" t="s">
        <v>9236</v>
      </c>
      <c r="G1240" s="82">
        <v>0.68769999999999998</v>
      </c>
      <c r="H1240" s="334">
        <f t="shared" si="36"/>
        <v>-3.5879629629629629E-4</v>
      </c>
      <c r="I1240" s="80"/>
    </row>
    <row r="1241" spans="1:9" x14ac:dyDescent="0.2">
      <c r="A1241" s="523">
        <v>43134</v>
      </c>
      <c r="B1241" s="985" t="s">
        <v>2822</v>
      </c>
      <c r="C1241" s="986" t="s">
        <v>2823</v>
      </c>
      <c r="D1241" s="1">
        <v>1.4837962962962963E-2</v>
      </c>
      <c r="E1241" s="80" t="s">
        <v>5544</v>
      </c>
      <c r="F1241" s="69" t="s">
        <v>9195</v>
      </c>
      <c r="G1241" s="82">
        <v>0.70440000000000003</v>
      </c>
      <c r="H1241" s="334">
        <f t="shared" si="36"/>
        <v>2.3148148148148008E-4</v>
      </c>
      <c r="I1241" s="80"/>
    </row>
    <row r="1242" spans="1:9" x14ac:dyDescent="0.2">
      <c r="A1242" s="523">
        <v>43127</v>
      </c>
      <c r="B1242" s="862" t="s">
        <v>2822</v>
      </c>
      <c r="C1242" s="863" t="s">
        <v>2823</v>
      </c>
      <c r="D1242" s="1">
        <v>1.5069444444444443E-2</v>
      </c>
      <c r="E1242" s="80" t="s">
        <v>5544</v>
      </c>
      <c r="F1242" s="69" t="s">
        <v>2268</v>
      </c>
      <c r="G1242" s="82">
        <v>0.69350000000000001</v>
      </c>
      <c r="H1242" s="334" t="e">
        <f t="shared" si="36"/>
        <v>#VALUE!</v>
      </c>
      <c r="I1242" s="80"/>
    </row>
    <row r="1243" spans="1:9" x14ac:dyDescent="0.2">
      <c r="A1243" s="523">
        <v>43120</v>
      </c>
      <c r="B1243" s="601" t="s">
        <v>2822</v>
      </c>
      <c r="C1243" s="958" t="s">
        <v>2823</v>
      </c>
      <c r="D1243" s="334" t="s">
        <v>787</v>
      </c>
      <c r="E1243" s="80" t="s">
        <v>5544</v>
      </c>
      <c r="F1243" s="69" t="s">
        <v>4000</v>
      </c>
      <c r="G1243" s="82"/>
      <c r="H1243" s="334" t="e">
        <f t="shared" si="36"/>
        <v>#VALUE!</v>
      </c>
      <c r="I1243" s="80"/>
    </row>
    <row r="1244" spans="1:9" x14ac:dyDescent="0.2">
      <c r="A1244" s="523">
        <v>43113</v>
      </c>
      <c r="B1244" s="972" t="s">
        <v>2822</v>
      </c>
      <c r="C1244" s="973" t="s">
        <v>2823</v>
      </c>
      <c r="D1244" s="1">
        <v>1.5995370370370372E-2</v>
      </c>
      <c r="E1244" s="80" t="s">
        <v>5544</v>
      </c>
      <c r="F1244" s="69" t="s">
        <v>1054</v>
      </c>
      <c r="G1244" s="82">
        <v>0.65339999999999998</v>
      </c>
      <c r="H1244" s="334">
        <f t="shared" si="36"/>
        <v>-3.4722222222222099E-4</v>
      </c>
      <c r="I1244" s="80"/>
    </row>
    <row r="1245" spans="1:9" x14ac:dyDescent="0.2">
      <c r="A1245" s="523">
        <v>43106</v>
      </c>
      <c r="B1245" s="869" t="s">
        <v>2822</v>
      </c>
      <c r="C1245" s="903" t="s">
        <v>2823</v>
      </c>
      <c r="D1245" s="1">
        <v>1.5648148148148151E-2</v>
      </c>
      <c r="E1245" s="80" t="s">
        <v>5544</v>
      </c>
      <c r="F1245" s="69" t="s">
        <v>2898</v>
      </c>
      <c r="G1245" s="82">
        <v>0.66790000000000005</v>
      </c>
      <c r="H1245" s="334">
        <f t="shared" si="36"/>
        <v>1.6666666666666635E-3</v>
      </c>
      <c r="I1245" s="80"/>
    </row>
    <row r="1246" spans="1:9" x14ac:dyDescent="0.2">
      <c r="A1246" s="523">
        <v>43463</v>
      </c>
      <c r="B1246" s="862" t="s">
        <v>429</v>
      </c>
      <c r="C1246" s="862" t="s">
        <v>430</v>
      </c>
      <c r="D1246" s="1">
        <v>1.7314814814814814E-2</v>
      </c>
      <c r="E1246" s="80" t="s">
        <v>5544</v>
      </c>
      <c r="F1246" s="80" t="s">
        <v>11418</v>
      </c>
      <c r="G1246" s="82">
        <v>0.67249999999999999</v>
      </c>
      <c r="H1246" s="334">
        <f t="shared" si="36"/>
        <v>-1.8518518518518406E-4</v>
      </c>
    </row>
    <row r="1247" spans="1:9" x14ac:dyDescent="0.2">
      <c r="A1247" s="523">
        <v>43407</v>
      </c>
      <c r="B1247" s="901" t="s">
        <v>429</v>
      </c>
      <c r="C1247" s="901" t="s">
        <v>430</v>
      </c>
      <c r="D1247" s="1">
        <v>1.712962962962963E-2</v>
      </c>
      <c r="E1247" s="80" t="s">
        <v>5544</v>
      </c>
      <c r="F1247" s="80" t="s">
        <v>10950</v>
      </c>
      <c r="G1247" s="82">
        <v>0.67969999999999997</v>
      </c>
      <c r="H1247" s="334">
        <f t="shared" si="36"/>
        <v>3.4722222222220711E-5</v>
      </c>
    </row>
    <row r="1248" spans="1:9" x14ac:dyDescent="0.2">
      <c r="A1248" s="523">
        <v>43393</v>
      </c>
      <c r="B1248" s="862" t="s">
        <v>429</v>
      </c>
      <c r="C1248" s="862" t="s">
        <v>430</v>
      </c>
      <c r="D1248" s="1">
        <v>1.7164351851851851E-2</v>
      </c>
      <c r="E1248" s="80" t="s">
        <v>5544</v>
      </c>
      <c r="F1248" s="80" t="s">
        <v>10863</v>
      </c>
      <c r="G1248" s="82">
        <v>0.6784</v>
      </c>
      <c r="H1248" s="334">
        <f t="shared" si="36"/>
        <v>7.8703703703703748E-4</v>
      </c>
    </row>
    <row r="1249" spans="1:26" x14ac:dyDescent="0.2">
      <c r="A1249" s="34">
        <v>43379</v>
      </c>
      <c r="B1249" s="869" t="s">
        <v>429</v>
      </c>
      <c r="C1249" s="869" t="s">
        <v>430</v>
      </c>
      <c r="D1249" s="1">
        <v>1.7951388888888888E-2</v>
      </c>
      <c r="E1249" s="80" t="s">
        <v>5544</v>
      </c>
      <c r="F1249" s="80" t="s">
        <v>10749</v>
      </c>
      <c r="G1249" s="82">
        <v>0.64280000000000004</v>
      </c>
      <c r="H1249" s="334">
        <f t="shared" si="36"/>
        <v>-1.7361111111111049E-4</v>
      </c>
    </row>
    <row r="1250" spans="1:26" x14ac:dyDescent="0.2">
      <c r="A1250" s="523">
        <v>43253</v>
      </c>
      <c r="B1250" s="901" t="s">
        <v>429</v>
      </c>
      <c r="C1250" s="902" t="s">
        <v>430</v>
      </c>
      <c r="D1250" s="1">
        <v>1.7777777777777778E-2</v>
      </c>
      <c r="E1250" s="80" t="s">
        <v>5544</v>
      </c>
      <c r="F1250" s="97" t="s">
        <v>9885</v>
      </c>
      <c r="G1250" s="82">
        <v>0.64910000000000001</v>
      </c>
      <c r="H1250" s="334">
        <f t="shared" si="36"/>
        <v>2.5462962962962896E-4</v>
      </c>
      <c r="I1250" s="80" t="s">
        <v>9884</v>
      </c>
    </row>
    <row r="1251" spans="1:26" x14ac:dyDescent="0.2">
      <c r="A1251" s="523">
        <v>43246</v>
      </c>
      <c r="B1251" s="601" t="s">
        <v>429</v>
      </c>
      <c r="C1251" s="958" t="s">
        <v>430</v>
      </c>
      <c r="D1251" s="1">
        <v>1.8032407407407407E-2</v>
      </c>
      <c r="E1251" s="80" t="s">
        <v>5544</v>
      </c>
      <c r="F1251" s="69"/>
      <c r="G1251" s="571">
        <v>0.63990000000000002</v>
      </c>
      <c r="H1251" s="334">
        <f t="shared" si="36"/>
        <v>-1.8518518518518406E-4</v>
      </c>
      <c r="I1251" s="80"/>
    </row>
    <row r="1252" spans="1:26" x14ac:dyDescent="0.2">
      <c r="A1252" s="523">
        <v>43239</v>
      </c>
      <c r="B1252" s="80" t="s">
        <v>429</v>
      </c>
      <c r="C1252" s="334" t="s">
        <v>430</v>
      </c>
      <c r="D1252" s="1">
        <v>1.7847222222222223E-2</v>
      </c>
      <c r="E1252" s="80" t="s">
        <v>5544</v>
      </c>
      <c r="F1252" s="69" t="s">
        <v>9827</v>
      </c>
      <c r="G1252" s="82">
        <v>0.64659999999999995</v>
      </c>
      <c r="H1252" s="334">
        <f t="shared" si="36"/>
        <v>5.9027777777777637E-4</v>
      </c>
      <c r="I1252" s="80"/>
    </row>
    <row r="1253" spans="1:26" x14ac:dyDescent="0.2">
      <c r="A1253" s="34">
        <v>43372</v>
      </c>
      <c r="B1253" s="532" t="s">
        <v>9912</v>
      </c>
      <c r="C1253" s="532" t="s">
        <v>430</v>
      </c>
      <c r="D1253" s="1">
        <v>1.8437499999999999E-2</v>
      </c>
      <c r="E1253" s="80" t="s">
        <v>5885</v>
      </c>
      <c r="F1253" s="80" t="s">
        <v>10718</v>
      </c>
      <c r="G1253" s="82">
        <v>0.62590000000000001</v>
      </c>
      <c r="H1253" s="334">
        <f t="shared" si="36"/>
        <v>-1.1342592592592585E-3</v>
      </c>
    </row>
    <row r="1254" spans="1:26" x14ac:dyDescent="0.2">
      <c r="A1254" s="523">
        <v>43260</v>
      </c>
      <c r="B1254" s="532" t="s">
        <v>9912</v>
      </c>
      <c r="C1254" s="843" t="s">
        <v>430</v>
      </c>
      <c r="D1254" s="1">
        <v>1.7303240740740741E-2</v>
      </c>
      <c r="E1254" s="80" t="s">
        <v>5544</v>
      </c>
      <c r="F1254" s="69" t="s">
        <v>9913</v>
      </c>
      <c r="G1254" s="82">
        <v>0.66690000000000005</v>
      </c>
      <c r="H1254" s="334" t="e">
        <f t="shared" si="36"/>
        <v>#VALUE!</v>
      </c>
      <c r="I1254" s="80"/>
    </row>
    <row r="1255" spans="1:26" x14ac:dyDescent="0.2">
      <c r="A1255" s="33">
        <v>43211</v>
      </c>
      <c r="B1255" s="1038" t="s">
        <v>4567</v>
      </c>
      <c r="C1255" s="1039" t="s">
        <v>4562</v>
      </c>
      <c r="D1255" s="80" t="s">
        <v>8346</v>
      </c>
      <c r="E1255" s="80" t="s">
        <v>5883</v>
      </c>
      <c r="F1255" s="69" t="s">
        <v>4061</v>
      </c>
      <c r="G1255" s="82"/>
      <c r="H1255" s="334" t="e">
        <f t="shared" si="36"/>
        <v>#VALUE!</v>
      </c>
      <c r="I1255" s="80"/>
    </row>
    <row r="1256" spans="1:26" x14ac:dyDescent="0.2">
      <c r="A1256" s="523">
        <v>43127</v>
      </c>
      <c r="B1256" s="862" t="s">
        <v>4567</v>
      </c>
      <c r="C1256" s="863" t="s">
        <v>4562</v>
      </c>
      <c r="D1256" s="1">
        <v>2.5995370370370367E-2</v>
      </c>
      <c r="E1256" s="80" t="s">
        <v>9155</v>
      </c>
      <c r="F1256" s="69" t="s">
        <v>9183</v>
      </c>
      <c r="G1256" s="82">
        <v>0.47110000000000002</v>
      </c>
      <c r="H1256" s="334">
        <f t="shared" si="36"/>
        <v>1.5625000000000014E-3</v>
      </c>
      <c r="I1256" s="80"/>
    </row>
    <row r="1257" spans="1:26" ht="12.75" customHeight="1" x14ac:dyDescent="0.25">
      <c r="A1257" s="523">
        <v>43120</v>
      </c>
      <c r="B1257" s="601" t="s">
        <v>4567</v>
      </c>
      <c r="C1257" s="958" t="s">
        <v>4562</v>
      </c>
      <c r="D1257" s="334">
        <v>2.7557870370370368E-2</v>
      </c>
      <c r="E1257" s="80" t="s">
        <v>4210</v>
      </c>
      <c r="F1257" s="69" t="s">
        <v>9133</v>
      </c>
      <c r="G1257" s="82">
        <v>0.44440000000000002</v>
      </c>
      <c r="H1257" s="334">
        <f t="shared" si="36"/>
        <v>-8.599537037037034E-3</v>
      </c>
      <c r="Z1257" s="185"/>
    </row>
    <row r="1258" spans="1:26" x14ac:dyDescent="0.2">
      <c r="A1258" s="523">
        <v>43463</v>
      </c>
      <c r="B1258" s="862" t="s">
        <v>4561</v>
      </c>
      <c r="C1258" s="862" t="s">
        <v>4562</v>
      </c>
      <c r="D1258" s="1">
        <v>1.8958333333333334E-2</v>
      </c>
      <c r="E1258" s="80" t="s">
        <v>5456</v>
      </c>
      <c r="F1258" s="80" t="s">
        <v>11428</v>
      </c>
      <c r="G1258" s="82">
        <v>0.5615</v>
      </c>
      <c r="H1258" s="334">
        <f t="shared" si="36"/>
        <v>7.2916666666666616E-4</v>
      </c>
    </row>
    <row r="1259" spans="1:26" x14ac:dyDescent="0.2">
      <c r="A1259" s="523">
        <v>43459</v>
      </c>
      <c r="B1259" s="80" t="s">
        <v>4561</v>
      </c>
      <c r="C1259" s="80" t="s">
        <v>4562</v>
      </c>
      <c r="D1259" s="1">
        <v>1.96875E-2</v>
      </c>
      <c r="E1259" s="80" t="s">
        <v>129</v>
      </c>
      <c r="F1259" s="80" t="s">
        <v>6038</v>
      </c>
      <c r="G1259" s="82">
        <v>0.54259999999999997</v>
      </c>
      <c r="H1259" s="80"/>
    </row>
    <row r="1260" spans="1:26" x14ac:dyDescent="0.2">
      <c r="A1260" s="523">
        <v>43456</v>
      </c>
      <c r="B1260" s="556" t="s">
        <v>4561</v>
      </c>
      <c r="C1260" s="556" t="s">
        <v>4562</v>
      </c>
      <c r="D1260" s="1">
        <v>1.9780092592592592E-2</v>
      </c>
      <c r="E1260" s="80" t="s">
        <v>5883</v>
      </c>
      <c r="F1260" s="80" t="s">
        <v>11337</v>
      </c>
      <c r="G1260" s="82">
        <v>0.54010000000000002</v>
      </c>
      <c r="H1260" s="334">
        <f t="shared" ref="H1260:H1291" si="37">D1261-D1260</f>
        <v>-5.0925925925925791E-4</v>
      </c>
    </row>
    <row r="1261" spans="1:26" x14ac:dyDescent="0.2">
      <c r="A1261" s="523">
        <v>43449</v>
      </c>
      <c r="B1261" s="1029" t="s">
        <v>4561</v>
      </c>
      <c r="C1261" s="1029" t="s">
        <v>4562</v>
      </c>
      <c r="D1261" s="1">
        <v>1.9270833333333334E-2</v>
      </c>
      <c r="E1261" s="80" t="s">
        <v>129</v>
      </c>
      <c r="F1261" s="80" t="s">
        <v>11297</v>
      </c>
      <c r="G1261" s="82">
        <v>0.5544</v>
      </c>
      <c r="H1261" s="334">
        <f t="shared" si="37"/>
        <v>-1.157407407407357E-5</v>
      </c>
    </row>
    <row r="1262" spans="1:26" ht="12.75" customHeight="1" x14ac:dyDescent="0.2">
      <c r="A1262" s="523">
        <v>43442</v>
      </c>
      <c r="B1262" s="972" t="s">
        <v>4561</v>
      </c>
      <c r="C1262" s="972" t="s">
        <v>4562</v>
      </c>
      <c r="D1262" s="1">
        <v>1.9259259259259261E-2</v>
      </c>
      <c r="E1262" s="80" t="s">
        <v>5456</v>
      </c>
      <c r="F1262" s="80" t="s">
        <v>11248</v>
      </c>
      <c r="G1262" s="82">
        <v>0.55469999999999997</v>
      </c>
      <c r="H1262" s="334">
        <f t="shared" si="37"/>
        <v>4.0509259259259231E-4</v>
      </c>
    </row>
    <row r="1263" spans="1:26" ht="12.75" customHeight="1" x14ac:dyDescent="0.2">
      <c r="A1263" s="523">
        <v>43435</v>
      </c>
      <c r="B1263" s="1164" t="s">
        <v>4561</v>
      </c>
      <c r="C1263" s="1164" t="s">
        <v>4562</v>
      </c>
      <c r="D1263" s="1">
        <v>1.9664351851851853E-2</v>
      </c>
      <c r="E1263" s="80" t="s">
        <v>10983</v>
      </c>
      <c r="F1263" s="80" t="s">
        <v>11162</v>
      </c>
      <c r="G1263" s="82">
        <v>0.54330000000000001</v>
      </c>
      <c r="H1263" s="334">
        <f t="shared" si="37"/>
        <v>-4.1666666666666935E-4</v>
      </c>
    </row>
    <row r="1264" spans="1:26" ht="12.75" customHeight="1" x14ac:dyDescent="0.2">
      <c r="A1264" s="523">
        <v>43428</v>
      </c>
      <c r="B1264" s="1038" t="s">
        <v>4561</v>
      </c>
      <c r="C1264" s="1038" t="s">
        <v>4562</v>
      </c>
      <c r="D1264" s="1">
        <v>1.9247685185185184E-2</v>
      </c>
      <c r="E1264" s="80" t="s">
        <v>5456</v>
      </c>
      <c r="F1264" s="80" t="s">
        <v>11102</v>
      </c>
      <c r="G1264" s="82">
        <v>0.55500000000000005</v>
      </c>
      <c r="H1264" s="334">
        <f t="shared" si="37"/>
        <v>-4.5138888888888659E-4</v>
      </c>
    </row>
    <row r="1265" spans="1:8" ht="12.75" customHeight="1" x14ac:dyDescent="0.2">
      <c r="A1265" s="523">
        <v>43421</v>
      </c>
      <c r="B1265" s="906" t="s">
        <v>4561</v>
      </c>
      <c r="C1265" s="906" t="s">
        <v>4562</v>
      </c>
      <c r="D1265" s="1">
        <v>1.8796296296296297E-2</v>
      </c>
      <c r="E1265" s="80" t="s">
        <v>5883</v>
      </c>
      <c r="F1265" s="80" t="s">
        <v>11040</v>
      </c>
      <c r="G1265" s="82">
        <v>0.56830000000000003</v>
      </c>
      <c r="H1265" s="334">
        <f t="shared" si="37"/>
        <v>3.3912037037037018E-3</v>
      </c>
    </row>
    <row r="1266" spans="1:8" ht="12.75" customHeight="1" x14ac:dyDescent="0.2">
      <c r="A1266" s="523">
        <v>43414</v>
      </c>
      <c r="B1266" s="862" t="s">
        <v>4561</v>
      </c>
      <c r="C1266" s="862" t="s">
        <v>4562</v>
      </c>
      <c r="D1266" s="1">
        <v>2.2187499999999999E-2</v>
      </c>
      <c r="E1266" s="80" t="s">
        <v>8705</v>
      </c>
      <c r="F1266" s="80" t="s">
        <v>10996</v>
      </c>
      <c r="G1266" s="82">
        <v>0.48149999999999998</v>
      </c>
      <c r="H1266" s="334">
        <f t="shared" si="37"/>
        <v>-3.4722222222222203E-3</v>
      </c>
    </row>
    <row r="1267" spans="1:8" ht="12.75" customHeight="1" x14ac:dyDescent="0.2">
      <c r="A1267" s="523">
        <v>43407</v>
      </c>
      <c r="B1267" s="901" t="s">
        <v>4561</v>
      </c>
      <c r="C1267" s="901" t="s">
        <v>4562</v>
      </c>
      <c r="D1267" s="1">
        <v>1.8715277777777779E-2</v>
      </c>
      <c r="E1267" s="80" t="s">
        <v>5456</v>
      </c>
      <c r="F1267" s="80" t="s">
        <v>10940</v>
      </c>
      <c r="G1267" s="82">
        <v>0.57079999999999997</v>
      </c>
      <c r="H1267" s="334">
        <f t="shared" si="37"/>
        <v>1.6087962962962957E-3</v>
      </c>
    </row>
    <row r="1268" spans="1:8" ht="12.75" customHeight="1" x14ac:dyDescent="0.2">
      <c r="A1268" s="523">
        <v>43386</v>
      </c>
      <c r="B1268" s="532" t="s">
        <v>4561</v>
      </c>
      <c r="C1268" s="532" t="s">
        <v>4562</v>
      </c>
      <c r="D1268" s="1">
        <v>2.0324074074074074E-2</v>
      </c>
      <c r="E1268" s="80" t="s">
        <v>5456</v>
      </c>
      <c r="F1268" s="80" t="s">
        <v>10814</v>
      </c>
      <c r="G1268" s="82">
        <v>0.52559999999999996</v>
      </c>
      <c r="H1268" s="334">
        <f t="shared" si="37"/>
        <v>-6.0185185185185341E-4</v>
      </c>
    </row>
    <row r="1269" spans="1:8" ht="12.75" customHeight="1" x14ac:dyDescent="0.2">
      <c r="A1269" s="34">
        <v>43379</v>
      </c>
      <c r="B1269" s="869" t="s">
        <v>4561</v>
      </c>
      <c r="C1269" s="869" t="s">
        <v>4562</v>
      </c>
      <c r="D1269" s="334">
        <v>1.9722222222222221E-2</v>
      </c>
      <c r="E1269" s="80" t="s">
        <v>5883</v>
      </c>
      <c r="F1269" s="80" t="s">
        <v>10759</v>
      </c>
      <c r="G1269" s="82">
        <v>0.54169999999999996</v>
      </c>
      <c r="H1269" s="334">
        <f t="shared" si="37"/>
        <v>-2.6620370370370253E-4</v>
      </c>
    </row>
    <row r="1270" spans="1:8" ht="12.75" customHeight="1" x14ac:dyDescent="0.2">
      <c r="A1270" s="34">
        <v>43372</v>
      </c>
      <c r="B1270" s="532" t="s">
        <v>4561</v>
      </c>
      <c r="C1270" s="532" t="s">
        <v>4562</v>
      </c>
      <c r="D1270" s="1">
        <v>1.9456018518518518E-2</v>
      </c>
      <c r="E1270" s="80" t="s">
        <v>5453</v>
      </c>
      <c r="F1270" s="80" t="s">
        <v>10725</v>
      </c>
      <c r="G1270" s="82">
        <v>0.54909999999999992</v>
      </c>
      <c r="H1270" s="334">
        <f t="shared" si="37"/>
        <v>1.0300925925925929E-3</v>
      </c>
    </row>
    <row r="1271" spans="1:8" ht="12.75" customHeight="1" x14ac:dyDescent="0.2">
      <c r="A1271" s="34">
        <v>43365</v>
      </c>
      <c r="B1271" s="556" t="s">
        <v>4561</v>
      </c>
      <c r="C1271" s="556" t="s">
        <v>4562</v>
      </c>
      <c r="D1271" s="1">
        <v>2.0486111111111111E-2</v>
      </c>
      <c r="E1271" s="80" t="s">
        <v>4901</v>
      </c>
      <c r="F1271" s="80" t="s">
        <v>10701</v>
      </c>
      <c r="G1271" s="82">
        <v>0.52149999999999996</v>
      </c>
      <c r="H1271" s="334">
        <f t="shared" si="37"/>
        <v>-7.8703703703703748E-4</v>
      </c>
    </row>
    <row r="1272" spans="1:8" ht="12.75" customHeight="1" x14ac:dyDescent="0.2">
      <c r="A1272" s="523">
        <v>43351</v>
      </c>
      <c r="B1272" s="532" t="s">
        <v>4561</v>
      </c>
      <c r="C1272" s="531" t="s">
        <v>4562</v>
      </c>
      <c r="D1272" s="1">
        <v>1.9699074074074074E-2</v>
      </c>
      <c r="E1272" s="80" t="s">
        <v>129</v>
      </c>
      <c r="F1272" s="80" t="s">
        <v>781</v>
      </c>
      <c r="G1272" s="82">
        <v>0.54200000000000004</v>
      </c>
      <c r="H1272" s="334">
        <f t="shared" si="37"/>
        <v>-2.5462962962962896E-4</v>
      </c>
    </row>
    <row r="1273" spans="1:8" ht="12.75" customHeight="1" x14ac:dyDescent="0.2">
      <c r="A1273" s="523">
        <v>43344</v>
      </c>
      <c r="B1273" s="552" t="s">
        <v>4561</v>
      </c>
      <c r="C1273" s="552" t="s">
        <v>4562</v>
      </c>
      <c r="D1273" s="1">
        <v>1.9444444444444445E-2</v>
      </c>
      <c r="E1273" t="s">
        <v>5883</v>
      </c>
      <c r="F1273" s="2" t="s">
        <v>10568</v>
      </c>
      <c r="G1273" s="82">
        <v>0.5494</v>
      </c>
      <c r="H1273" s="334">
        <f t="shared" si="37"/>
        <v>-4.745370370370372E-4</v>
      </c>
    </row>
    <row r="1274" spans="1:8" ht="12.75" customHeight="1" x14ac:dyDescent="0.2">
      <c r="A1274" s="523">
        <v>43337</v>
      </c>
      <c r="B1274" s="1044" t="s">
        <v>4561</v>
      </c>
      <c r="C1274" s="1044" t="s">
        <v>4562</v>
      </c>
      <c r="D1274" s="1">
        <v>1.8969907407407408E-2</v>
      </c>
      <c r="E1274" s="80" t="s">
        <v>1003</v>
      </c>
      <c r="F1274" s="80" t="s">
        <v>10489</v>
      </c>
      <c r="G1274" s="82">
        <v>0.56310000000000004</v>
      </c>
      <c r="H1274" s="334">
        <f t="shared" si="37"/>
        <v>5.0925925925926138E-4</v>
      </c>
    </row>
    <row r="1275" spans="1:8" ht="12.75" customHeight="1" x14ac:dyDescent="0.2">
      <c r="A1275" s="523">
        <v>43323</v>
      </c>
      <c r="B1275" s="585" t="s">
        <v>4561</v>
      </c>
      <c r="C1275" s="585" t="s">
        <v>4562</v>
      </c>
      <c r="D1275" s="1">
        <v>1.9479166666666669E-2</v>
      </c>
      <c r="E1275" t="s">
        <v>10192</v>
      </c>
      <c r="F1275" t="s">
        <v>10402</v>
      </c>
      <c r="G1275" s="82">
        <v>0.5484</v>
      </c>
      <c r="H1275" s="334">
        <f t="shared" si="37"/>
        <v>2.4305555555555192E-4</v>
      </c>
    </row>
    <row r="1276" spans="1:8" ht="12.75" customHeight="1" x14ac:dyDescent="0.2">
      <c r="A1276" s="523">
        <v>43316</v>
      </c>
      <c r="B1276" s="1029" t="s">
        <v>4561</v>
      </c>
      <c r="C1276" s="1030" t="s">
        <v>4562</v>
      </c>
      <c r="D1276" s="136">
        <v>1.9722222222222221E-2</v>
      </c>
      <c r="E1276" s="80" t="s">
        <v>9307</v>
      </c>
      <c r="F1276" s="69" t="s">
        <v>10387</v>
      </c>
      <c r="G1276" s="82">
        <v>0.54169999999999996</v>
      </c>
      <c r="H1276" s="334">
        <f t="shared" si="37"/>
        <v>1.3888888888888978E-4</v>
      </c>
    </row>
    <row r="1277" spans="1:8" ht="12.75" customHeight="1" x14ac:dyDescent="0.2">
      <c r="A1277" s="523">
        <v>43309</v>
      </c>
      <c r="B1277" s="879" t="s">
        <v>4561</v>
      </c>
      <c r="C1277" s="879" t="s">
        <v>4562</v>
      </c>
      <c r="D1277" s="1">
        <v>1.9861111111111111E-2</v>
      </c>
      <c r="E1277" s="80" t="s">
        <v>5883</v>
      </c>
      <c r="F1277" s="80" t="s">
        <v>10334</v>
      </c>
      <c r="G1277" s="82">
        <v>0.53790000000000004</v>
      </c>
      <c r="H1277" s="334">
        <f t="shared" si="37"/>
        <v>-1.1805555555555562E-3</v>
      </c>
    </row>
    <row r="1278" spans="1:8" ht="12.75" customHeight="1" x14ac:dyDescent="0.2">
      <c r="A1278" s="523">
        <v>43302</v>
      </c>
      <c r="B1278" s="985" t="s">
        <v>4561</v>
      </c>
      <c r="C1278" s="985" t="s">
        <v>4562</v>
      </c>
      <c r="D1278" s="1">
        <v>1.8680555555555554E-2</v>
      </c>
      <c r="E1278" s="80" t="s">
        <v>10286</v>
      </c>
      <c r="F1278" s="80" t="s">
        <v>10314</v>
      </c>
      <c r="G1278" s="82">
        <v>0.57189999999999996</v>
      </c>
      <c r="H1278" s="334">
        <f t="shared" si="37"/>
        <v>-5.9027777777777637E-4</v>
      </c>
    </row>
    <row r="1279" spans="1:8" ht="12.75" customHeight="1" x14ac:dyDescent="0.2">
      <c r="A1279" s="523">
        <v>43295</v>
      </c>
      <c r="B1279" s="601" t="s">
        <v>4561</v>
      </c>
      <c r="C1279" s="601" t="s">
        <v>4562</v>
      </c>
      <c r="D1279" s="1">
        <v>1.8090277777777778E-2</v>
      </c>
      <c r="E1279" s="80" t="s">
        <v>4498</v>
      </c>
      <c r="F1279" s="80" t="s">
        <v>10260</v>
      </c>
      <c r="G1279" s="82">
        <v>0.59050000000000002</v>
      </c>
      <c r="H1279" s="334">
        <f t="shared" si="37"/>
        <v>1.1574074074074056E-3</v>
      </c>
    </row>
    <row r="1280" spans="1:8" ht="12.75" customHeight="1" x14ac:dyDescent="0.2">
      <c r="A1280" s="523">
        <v>43288</v>
      </c>
      <c r="B1280" s="1029" t="s">
        <v>4561</v>
      </c>
      <c r="C1280" s="1029" t="s">
        <v>4562</v>
      </c>
      <c r="D1280" s="1">
        <v>1.9247685185185184E-2</v>
      </c>
      <c r="E1280" s="80" t="s">
        <v>3442</v>
      </c>
      <c r="F1280" s="80" t="s">
        <v>10210</v>
      </c>
      <c r="G1280" s="82">
        <v>0.55500000000000005</v>
      </c>
      <c r="H1280" s="334">
        <f t="shared" si="37"/>
        <v>1.226851851851854E-3</v>
      </c>
    </row>
    <row r="1281" spans="1:11" ht="12.75" customHeight="1" x14ac:dyDescent="0.2">
      <c r="A1281" s="523">
        <v>43281</v>
      </c>
      <c r="B1281" s="556" t="s">
        <v>4561</v>
      </c>
      <c r="C1281" s="556" t="s">
        <v>4562</v>
      </c>
      <c r="D1281" s="1">
        <v>2.0474537037037038E-2</v>
      </c>
      <c r="E1281" s="80" t="s">
        <v>8248</v>
      </c>
      <c r="F1281" s="80" t="s">
        <v>10177</v>
      </c>
      <c r="G1281" s="82">
        <v>0.52180000000000004</v>
      </c>
      <c r="H1281" s="334">
        <f t="shared" si="37"/>
        <v>-1.0995370370370378E-3</v>
      </c>
    </row>
    <row r="1282" spans="1:11" ht="12.75" customHeight="1" x14ac:dyDescent="0.2">
      <c r="A1282" s="34">
        <v>43274</v>
      </c>
      <c r="B1282" s="1071" t="s">
        <v>4561</v>
      </c>
      <c r="C1282" s="1071" t="s">
        <v>4562</v>
      </c>
      <c r="D1282" s="1">
        <v>1.9375E-2</v>
      </c>
      <c r="E1282" s="80" t="s">
        <v>5883</v>
      </c>
      <c r="F1282" s="80" t="s">
        <v>10139</v>
      </c>
      <c r="G1282" s="82">
        <v>0.5514</v>
      </c>
      <c r="H1282" s="334">
        <f t="shared" si="37"/>
        <v>5.0925925925925791E-4</v>
      </c>
      <c r="I1282" s="82"/>
      <c r="J1282" s="82"/>
      <c r="K1282" s="82"/>
    </row>
    <row r="1283" spans="1:11" ht="12.75" customHeight="1" x14ac:dyDescent="0.2">
      <c r="A1283" s="523">
        <v>43267</v>
      </c>
      <c r="B1283" s="1058" t="s">
        <v>4561</v>
      </c>
      <c r="C1283" s="1059" t="s">
        <v>4562</v>
      </c>
      <c r="D1283" s="1">
        <v>1.9884259259259258E-2</v>
      </c>
      <c r="E1283" s="80" t="s">
        <v>5456</v>
      </c>
      <c r="F1283" s="69" t="s">
        <v>9941</v>
      </c>
      <c r="G1283" s="82">
        <v>0.5373</v>
      </c>
      <c r="H1283" s="334">
        <f t="shared" si="37"/>
        <v>-1.5046296296296301E-3</v>
      </c>
      <c r="I1283" s="80"/>
    </row>
    <row r="1284" spans="1:11" ht="12.75" customHeight="1" x14ac:dyDescent="0.2">
      <c r="A1284" s="523">
        <v>43260</v>
      </c>
      <c r="B1284" s="532" t="s">
        <v>4561</v>
      </c>
      <c r="C1284" s="843" t="s">
        <v>4562</v>
      </c>
      <c r="D1284" s="1">
        <v>1.8379629629629628E-2</v>
      </c>
      <c r="E1284" s="80" t="s">
        <v>5885</v>
      </c>
      <c r="F1284" s="69" t="s">
        <v>9914</v>
      </c>
      <c r="G1284" s="82">
        <v>0.58120000000000005</v>
      </c>
      <c r="H1284" s="334">
        <f t="shared" si="37"/>
        <v>1.157407407407704E-5</v>
      </c>
      <c r="I1284" s="80"/>
    </row>
    <row r="1285" spans="1:11" ht="12.75" customHeight="1" x14ac:dyDescent="0.2">
      <c r="A1285" s="523">
        <v>43253</v>
      </c>
      <c r="B1285" s="901" t="s">
        <v>4561</v>
      </c>
      <c r="C1285" s="902" t="s">
        <v>4562</v>
      </c>
      <c r="D1285" s="1">
        <v>1.8391203703703705E-2</v>
      </c>
      <c r="E1285" s="80" t="s">
        <v>129</v>
      </c>
      <c r="F1285" s="69" t="s">
        <v>9854</v>
      </c>
      <c r="G1285" s="82">
        <v>0.28089999999999998</v>
      </c>
      <c r="H1285" s="334">
        <f t="shared" si="37"/>
        <v>1.9791666666666638E-3</v>
      </c>
      <c r="I1285" s="80"/>
    </row>
    <row r="1286" spans="1:11" ht="12.75" customHeight="1" x14ac:dyDescent="0.2">
      <c r="A1286" s="523">
        <v>43246</v>
      </c>
      <c r="B1286" s="601" t="s">
        <v>4561</v>
      </c>
      <c r="C1286" s="958" t="s">
        <v>4562</v>
      </c>
      <c r="D1286" s="1">
        <v>2.0370370370370369E-2</v>
      </c>
      <c r="E1286" s="80" t="s">
        <v>1982</v>
      </c>
      <c r="F1286" s="69" t="s">
        <v>9855</v>
      </c>
      <c r="G1286" s="571">
        <v>0.52439999999999998</v>
      </c>
      <c r="H1286" s="334">
        <f t="shared" si="37"/>
        <v>-1.6782407407407371E-3</v>
      </c>
      <c r="I1286" s="80"/>
    </row>
    <row r="1287" spans="1:11" ht="12.75" customHeight="1" x14ac:dyDescent="0.2">
      <c r="A1287" s="523">
        <v>43239</v>
      </c>
      <c r="B1287" s="80" t="s">
        <v>4561</v>
      </c>
      <c r="C1287" s="334" t="s">
        <v>4562</v>
      </c>
      <c r="D1287" s="1">
        <v>1.8692129629629631E-2</v>
      </c>
      <c r="E1287" s="80" t="s">
        <v>129</v>
      </c>
      <c r="F1287" s="69" t="s">
        <v>9830</v>
      </c>
      <c r="G1287" s="82">
        <v>0.57150000000000001</v>
      </c>
      <c r="H1287" s="334">
        <f t="shared" si="37"/>
        <v>1.041666666666656E-4</v>
      </c>
      <c r="I1287" s="80"/>
    </row>
    <row r="1288" spans="1:11" ht="12.75" customHeight="1" x14ac:dyDescent="0.2">
      <c r="A1288" s="523">
        <v>43232</v>
      </c>
      <c r="B1288" s="1051" t="s">
        <v>4561</v>
      </c>
      <c r="C1288" s="1052" t="s">
        <v>4562</v>
      </c>
      <c r="D1288" s="1">
        <v>1.8796296296296297E-2</v>
      </c>
      <c r="E1288" s="80" t="s">
        <v>9307</v>
      </c>
      <c r="F1288" s="69" t="s">
        <v>9746</v>
      </c>
      <c r="G1288" s="82">
        <v>0.56830000000000003</v>
      </c>
      <c r="H1288" s="334">
        <f t="shared" si="37"/>
        <v>2.0486111111111087E-3</v>
      </c>
      <c r="I1288" s="80"/>
    </row>
    <row r="1289" spans="1:11" ht="12.75" customHeight="1" x14ac:dyDescent="0.2">
      <c r="A1289" s="523">
        <v>43225</v>
      </c>
      <c r="B1289" s="1044" t="s">
        <v>4561</v>
      </c>
      <c r="C1289" s="1045" t="s">
        <v>4562</v>
      </c>
      <c r="D1289" s="1">
        <v>2.0844907407407406E-2</v>
      </c>
      <c r="E1289" s="80" t="s">
        <v>8248</v>
      </c>
      <c r="F1289" s="69" t="s">
        <v>9721</v>
      </c>
      <c r="G1289" s="82">
        <v>0.51249999999999996</v>
      </c>
      <c r="H1289" s="334">
        <f t="shared" si="37"/>
        <v>-1.8518518518518476E-3</v>
      </c>
      <c r="I1289" s="80"/>
    </row>
    <row r="1290" spans="1:11" x14ac:dyDescent="0.2">
      <c r="A1290" s="523">
        <v>43218</v>
      </c>
      <c r="B1290" s="568" t="s">
        <v>4561</v>
      </c>
      <c r="C1290" s="861" t="s">
        <v>4562</v>
      </c>
      <c r="D1290" s="1">
        <v>1.8993055555555558E-2</v>
      </c>
      <c r="E1290" s="80" t="s">
        <v>5883</v>
      </c>
      <c r="F1290" s="69" t="s">
        <v>4031</v>
      </c>
      <c r="G1290" s="82">
        <v>0.5625</v>
      </c>
      <c r="H1290" s="334" t="e">
        <f t="shared" si="37"/>
        <v>#VALUE!</v>
      </c>
      <c r="I1290" s="80"/>
    </row>
    <row r="1291" spans="1:11" x14ac:dyDescent="0.2">
      <c r="A1291" s="33">
        <v>43211</v>
      </c>
      <c r="B1291" s="1038" t="s">
        <v>4561</v>
      </c>
      <c r="C1291" s="1039" t="s">
        <v>4562</v>
      </c>
      <c r="D1291" s="80" t="s">
        <v>787</v>
      </c>
      <c r="E1291" s="80" t="s">
        <v>5883</v>
      </c>
      <c r="F1291" s="69" t="s">
        <v>4061</v>
      </c>
      <c r="G1291" s="82"/>
      <c r="H1291" s="334" t="e">
        <f t="shared" si="37"/>
        <v>#VALUE!</v>
      </c>
      <c r="I1291" s="80"/>
    </row>
    <row r="1292" spans="1:11" x14ac:dyDescent="0.2">
      <c r="A1292" s="523">
        <v>43204</v>
      </c>
      <c r="B1292" s="80" t="s">
        <v>4561</v>
      </c>
      <c r="C1292" s="334" t="s">
        <v>4562</v>
      </c>
      <c r="D1292" s="1">
        <v>1.8993055555555558E-2</v>
      </c>
      <c r="E1292" s="80" t="s">
        <v>129</v>
      </c>
      <c r="F1292" s="69" t="s">
        <v>9604</v>
      </c>
      <c r="G1292" s="82">
        <v>0.5625</v>
      </c>
      <c r="H1292" s="334">
        <f t="shared" ref="H1292:H1312" si="38">D1293-D1292</f>
        <v>9.6064814814814797E-4</v>
      </c>
      <c r="I1292" s="80"/>
    </row>
    <row r="1293" spans="1:11" x14ac:dyDescent="0.2">
      <c r="A1293" s="523">
        <v>43197</v>
      </c>
      <c r="B1293" s="930" t="s">
        <v>4561</v>
      </c>
      <c r="C1293" s="931" t="s">
        <v>4562</v>
      </c>
      <c r="D1293" s="1">
        <v>1.9953703703703706E-2</v>
      </c>
      <c r="E1293" s="80" t="s">
        <v>9307</v>
      </c>
      <c r="F1293" s="69" t="s">
        <v>9570</v>
      </c>
      <c r="G1293" s="82">
        <v>0.53539999999999999</v>
      </c>
      <c r="H1293" s="334">
        <f t="shared" si="38"/>
        <v>7.1759259259258912E-4</v>
      </c>
      <c r="I1293" s="80"/>
    </row>
    <row r="1294" spans="1:11" x14ac:dyDescent="0.2">
      <c r="A1294" s="523">
        <v>43190</v>
      </c>
      <c r="B1294" s="1029" t="s">
        <v>4561</v>
      </c>
      <c r="C1294" s="1030" t="s">
        <v>4562</v>
      </c>
      <c r="D1294" s="1">
        <v>2.0671296296296295E-2</v>
      </c>
      <c r="E1294" s="80" t="s">
        <v>5885</v>
      </c>
      <c r="F1294" s="573" t="s">
        <v>9517</v>
      </c>
      <c r="G1294" s="82">
        <v>0.51680000000000004</v>
      </c>
      <c r="H1294" s="334">
        <f t="shared" si="38"/>
        <v>-1.1689814814814792E-3</v>
      </c>
      <c r="I1294" s="80"/>
    </row>
    <row r="1295" spans="1:11" x14ac:dyDescent="0.2">
      <c r="A1295" s="523">
        <v>43183</v>
      </c>
      <c r="B1295" s="1019" t="s">
        <v>4561</v>
      </c>
      <c r="C1295" s="1020" t="s">
        <v>4562</v>
      </c>
      <c r="D1295" s="1">
        <v>1.9502314814814816E-2</v>
      </c>
      <c r="E1295" s="80" t="s">
        <v>5057</v>
      </c>
      <c r="F1295" s="69" t="s">
        <v>9472</v>
      </c>
      <c r="G1295" s="82">
        <v>0.54779999999999995</v>
      </c>
      <c r="H1295" s="334">
        <f t="shared" si="38"/>
        <v>-4.0509259259259578E-4</v>
      </c>
      <c r="I1295" s="80"/>
    </row>
    <row r="1296" spans="1:11" x14ac:dyDescent="0.2">
      <c r="A1296" s="523">
        <v>43176</v>
      </c>
      <c r="B1296" s="532" t="s">
        <v>4561</v>
      </c>
      <c r="C1296" s="843" t="s">
        <v>4562</v>
      </c>
      <c r="D1296" s="1">
        <v>1.909722222222222E-2</v>
      </c>
      <c r="E1296" s="80" t="s">
        <v>5544</v>
      </c>
      <c r="F1296" s="69" t="s">
        <v>1055</v>
      </c>
      <c r="G1296" s="82">
        <v>0.55940000000000001</v>
      </c>
      <c r="H1296" s="334">
        <f t="shared" si="38"/>
        <v>7.407407407407432E-4</v>
      </c>
      <c r="I1296" s="80"/>
    </row>
    <row r="1297" spans="1:19" x14ac:dyDescent="0.2">
      <c r="A1297" s="523">
        <v>43169</v>
      </c>
      <c r="B1297" s="862" t="s">
        <v>4561</v>
      </c>
      <c r="C1297" s="863" t="s">
        <v>4562</v>
      </c>
      <c r="D1297" s="1">
        <v>1.9837962962962963E-2</v>
      </c>
      <c r="E1297" s="80" t="s">
        <v>129</v>
      </c>
      <c r="F1297" s="69" t="s">
        <v>2120</v>
      </c>
      <c r="G1297" s="82">
        <v>0.53849999999999998</v>
      </c>
      <c r="H1297" s="334">
        <f t="shared" si="38"/>
        <v>-8.2175925925925819E-4</v>
      </c>
      <c r="I1297" s="80"/>
    </row>
    <row r="1298" spans="1:19" x14ac:dyDescent="0.2">
      <c r="A1298" s="523">
        <v>43155</v>
      </c>
      <c r="B1298" s="940" t="s">
        <v>4561</v>
      </c>
      <c r="C1298" s="941" t="s">
        <v>4562</v>
      </c>
      <c r="D1298" s="1">
        <v>1.9016203703703705E-2</v>
      </c>
      <c r="E1298" s="80" t="s">
        <v>129</v>
      </c>
      <c r="F1298" s="69" t="s">
        <v>9333</v>
      </c>
      <c r="G1298" s="82">
        <v>0.56179999999999997</v>
      </c>
      <c r="H1298" s="334">
        <f t="shared" si="38"/>
        <v>7.7546296296296044E-4</v>
      </c>
      <c r="I1298" s="80"/>
    </row>
    <row r="1299" spans="1:19" x14ac:dyDescent="0.2">
      <c r="A1299" s="523">
        <v>43148</v>
      </c>
      <c r="B1299" s="568" t="s">
        <v>4561</v>
      </c>
      <c r="C1299" s="861" t="s">
        <v>4562</v>
      </c>
      <c r="D1299" s="1">
        <v>1.9791666666666666E-2</v>
      </c>
      <c r="E1299" s="80" t="s">
        <v>5883</v>
      </c>
      <c r="F1299" s="69" t="s">
        <v>1600</v>
      </c>
      <c r="G1299" s="82">
        <v>0.53979999999999995</v>
      </c>
      <c r="H1299" s="334">
        <f t="shared" si="38"/>
        <v>-5.7870370370367852E-5</v>
      </c>
      <c r="I1299" s="80"/>
    </row>
    <row r="1300" spans="1:19" x14ac:dyDescent="0.2">
      <c r="A1300" s="523">
        <v>43141</v>
      </c>
      <c r="B1300" s="987" t="s">
        <v>4561</v>
      </c>
      <c r="C1300" s="988" t="s">
        <v>4562</v>
      </c>
      <c r="D1300" s="1">
        <v>1.9733796296296298E-2</v>
      </c>
      <c r="E1300" s="80" t="s">
        <v>129</v>
      </c>
      <c r="F1300" s="69" t="s">
        <v>3148</v>
      </c>
      <c r="G1300" s="82">
        <v>0.5413</v>
      </c>
      <c r="H1300" s="334">
        <f t="shared" si="38"/>
        <v>-2.5462962962962896E-4</v>
      </c>
      <c r="I1300" s="80"/>
    </row>
    <row r="1301" spans="1:19" x14ac:dyDescent="0.2">
      <c r="A1301" s="523">
        <v>43134</v>
      </c>
      <c r="B1301" s="985" t="s">
        <v>4561</v>
      </c>
      <c r="C1301" s="986" t="s">
        <v>4562</v>
      </c>
      <c r="D1301" s="334">
        <v>1.9479166666666669E-2</v>
      </c>
      <c r="E1301" s="80" t="s">
        <v>4210</v>
      </c>
      <c r="F1301" s="69" t="s">
        <v>471</v>
      </c>
      <c r="G1301" s="82">
        <v>0.5484</v>
      </c>
      <c r="H1301" s="334">
        <f t="shared" si="38"/>
        <v>1.5393518518518508E-3</v>
      </c>
      <c r="I1301" s="80"/>
    </row>
    <row r="1302" spans="1:19" x14ac:dyDescent="0.2">
      <c r="A1302" s="523">
        <v>43127</v>
      </c>
      <c r="B1302" s="862" t="s">
        <v>4561</v>
      </c>
      <c r="C1302" s="863" t="s">
        <v>4562</v>
      </c>
      <c r="D1302" s="1">
        <v>2.101851851851852E-2</v>
      </c>
      <c r="E1302" s="80" t="s">
        <v>9155</v>
      </c>
      <c r="F1302" s="69" t="s">
        <v>9183</v>
      </c>
      <c r="G1302" s="82">
        <v>0.50829999999999997</v>
      </c>
      <c r="H1302" s="334">
        <f t="shared" si="38"/>
        <v>1.74537037037037E-2</v>
      </c>
      <c r="I1302" s="80" t="s">
        <v>9148</v>
      </c>
      <c r="P1302" t="s">
        <v>9149</v>
      </c>
      <c r="S1302" t="s">
        <v>9150</v>
      </c>
    </row>
    <row r="1303" spans="1:19" x14ac:dyDescent="0.2">
      <c r="A1303" s="523">
        <v>43113</v>
      </c>
      <c r="B1303" s="972" t="s">
        <v>4561</v>
      </c>
      <c r="C1303" s="973" t="s">
        <v>4562</v>
      </c>
      <c r="D1303" s="1">
        <v>3.847222222222222E-2</v>
      </c>
      <c r="E1303" s="80" t="s">
        <v>5883</v>
      </c>
      <c r="F1303" s="69" t="s">
        <v>9119</v>
      </c>
      <c r="G1303" s="82">
        <v>0.2777</v>
      </c>
      <c r="H1303" s="334">
        <f t="shared" si="38"/>
        <v>-1.9722222222222221E-2</v>
      </c>
      <c r="I1303" s="80"/>
    </row>
    <row r="1304" spans="1:19" x14ac:dyDescent="0.2">
      <c r="A1304" s="523">
        <v>43106</v>
      </c>
      <c r="B1304" s="869" t="s">
        <v>4561</v>
      </c>
      <c r="C1304" s="903" t="s">
        <v>4562</v>
      </c>
      <c r="D1304" s="1">
        <v>1.8749999999999999E-2</v>
      </c>
      <c r="E1304" s="80" t="s">
        <v>129</v>
      </c>
      <c r="F1304" s="69" t="s">
        <v>9118</v>
      </c>
      <c r="G1304" s="82">
        <v>0.56669999999999998</v>
      </c>
      <c r="H1304" s="334">
        <f t="shared" si="38"/>
        <v>-1.2731481481481621E-4</v>
      </c>
      <c r="I1304" s="80"/>
    </row>
    <row r="1305" spans="1:19" x14ac:dyDescent="0.2">
      <c r="A1305" s="523">
        <v>43101</v>
      </c>
      <c r="B1305" s="556" t="s">
        <v>4561</v>
      </c>
      <c r="C1305" s="950" t="s">
        <v>4562</v>
      </c>
      <c r="D1305" s="1">
        <v>1.8622685185185183E-2</v>
      </c>
      <c r="E1305" s="80" t="s">
        <v>5885</v>
      </c>
      <c r="F1305" s="69" t="s">
        <v>9028</v>
      </c>
      <c r="G1305" s="82">
        <v>0.57050000000000001</v>
      </c>
      <c r="H1305" s="334">
        <f t="shared" si="38"/>
        <v>3.4722222222222446E-4</v>
      </c>
      <c r="I1305" s="80"/>
    </row>
    <row r="1306" spans="1:19" x14ac:dyDescent="0.2">
      <c r="A1306" s="523">
        <v>43101</v>
      </c>
      <c r="B1306" s="556" t="s">
        <v>4561</v>
      </c>
      <c r="C1306" s="950" t="s">
        <v>4562</v>
      </c>
      <c r="D1306" s="1">
        <v>1.8969907407407408E-2</v>
      </c>
      <c r="E1306" s="80" t="s">
        <v>129</v>
      </c>
      <c r="F1306" s="69" t="s">
        <v>9029</v>
      </c>
      <c r="G1306" s="82">
        <v>0.56010000000000004</v>
      </c>
      <c r="H1306" s="334">
        <f t="shared" si="38"/>
        <v>6.0185185185184994E-4</v>
      </c>
      <c r="I1306" s="80"/>
    </row>
    <row r="1307" spans="1:19" x14ac:dyDescent="0.2">
      <c r="A1307" s="523">
        <v>43393</v>
      </c>
      <c r="B1307" s="862" t="s">
        <v>9079</v>
      </c>
      <c r="C1307" s="862" t="s">
        <v>4562</v>
      </c>
      <c r="D1307" s="1">
        <v>1.9571759259259257E-2</v>
      </c>
      <c r="E1307" s="80" t="s">
        <v>5883</v>
      </c>
      <c r="F1307" s="80" t="s">
        <v>5830</v>
      </c>
      <c r="G1307" s="82">
        <v>0.54579999999999995</v>
      </c>
      <c r="H1307" s="334">
        <f t="shared" si="38"/>
        <v>7.9861111111111105E-3</v>
      </c>
    </row>
    <row r="1308" spans="1:19" x14ac:dyDescent="0.2">
      <c r="A1308" s="523">
        <v>43120</v>
      </c>
      <c r="B1308" s="601" t="s">
        <v>9079</v>
      </c>
      <c r="C1308" s="958" t="s">
        <v>4562</v>
      </c>
      <c r="D1308" s="1">
        <v>2.7557870370370368E-2</v>
      </c>
      <c r="E1308" s="80" t="s">
        <v>4210</v>
      </c>
      <c r="F1308" s="69" t="s">
        <v>4211</v>
      </c>
      <c r="G1308" s="82">
        <v>0.38769999999999999</v>
      </c>
      <c r="H1308" s="334">
        <f t="shared" si="38"/>
        <v>-4.826388888888887E-3</v>
      </c>
      <c r="I1308" s="80"/>
    </row>
    <row r="1309" spans="1:19" x14ac:dyDescent="0.2">
      <c r="A1309" s="523">
        <v>43253</v>
      </c>
      <c r="B1309" s="901" t="s">
        <v>9678</v>
      </c>
      <c r="C1309" s="902" t="s">
        <v>9661</v>
      </c>
      <c r="D1309" s="1">
        <v>2.2731481481481481E-2</v>
      </c>
      <c r="E1309" s="80" t="s">
        <v>5883</v>
      </c>
      <c r="F1309" s="69" t="s">
        <v>9879</v>
      </c>
      <c r="G1309" s="82">
        <v>0.51829999999999998</v>
      </c>
      <c r="H1309" s="334">
        <f t="shared" si="38"/>
        <v>9.0277777777777665E-4</v>
      </c>
      <c r="I1309" s="80"/>
    </row>
    <row r="1310" spans="1:19" x14ac:dyDescent="0.2">
      <c r="A1310" s="523">
        <v>43218</v>
      </c>
      <c r="B1310" s="568" t="s">
        <v>9678</v>
      </c>
      <c r="C1310" s="861" t="s">
        <v>9661</v>
      </c>
      <c r="D1310" s="1">
        <v>2.3634259259259258E-2</v>
      </c>
      <c r="E1310" s="80" t="s">
        <v>5883</v>
      </c>
      <c r="F1310" s="69" t="s">
        <v>9663</v>
      </c>
      <c r="G1310" s="82">
        <v>0.4985</v>
      </c>
      <c r="H1310" s="334">
        <f t="shared" si="38"/>
        <v>-1.1261574074074071E-2</v>
      </c>
      <c r="I1310" s="80"/>
    </row>
    <row r="1311" spans="1:19" x14ac:dyDescent="0.2">
      <c r="A1311" s="523">
        <v>43435</v>
      </c>
      <c r="B1311" s="1164" t="s">
        <v>10839</v>
      </c>
      <c r="C1311" s="1164" t="s">
        <v>10840</v>
      </c>
      <c r="D1311" s="1">
        <v>1.2372685185185186E-2</v>
      </c>
      <c r="E1311" s="80" t="s">
        <v>11158</v>
      </c>
      <c r="F1311" s="80" t="s">
        <v>6428</v>
      </c>
      <c r="G1311" s="82">
        <v>0.72970000000000002</v>
      </c>
      <c r="H1311" s="334">
        <f t="shared" si="38"/>
        <v>-4.1666666666666935E-4</v>
      </c>
      <c r="I1311" t="s">
        <v>11178</v>
      </c>
    </row>
    <row r="1312" spans="1:19" x14ac:dyDescent="0.2">
      <c r="A1312" s="523">
        <v>43393</v>
      </c>
      <c r="B1312" s="862" t="s">
        <v>10839</v>
      </c>
      <c r="C1312" s="862" t="s">
        <v>10840</v>
      </c>
      <c r="D1312" s="1">
        <v>1.1956018518518517E-2</v>
      </c>
      <c r="E1312" s="80" t="s">
        <v>4004</v>
      </c>
      <c r="F1312" s="80" t="s">
        <v>10841</v>
      </c>
      <c r="G1312" s="82">
        <v>0.75509999999999999</v>
      </c>
      <c r="H1312" s="334">
        <f t="shared" si="38"/>
        <v>9.6875000000000034E-3</v>
      </c>
    </row>
    <row r="1313" spans="1:9" x14ac:dyDescent="0.2">
      <c r="A1313" s="523">
        <v>43459</v>
      </c>
      <c r="B1313" s="80" t="s">
        <v>10186</v>
      </c>
      <c r="C1313" s="80" t="s">
        <v>10187</v>
      </c>
      <c r="D1313" s="1">
        <v>2.164351851851852E-2</v>
      </c>
      <c r="E1313" s="80" t="s">
        <v>1401</v>
      </c>
      <c r="F1313" s="80" t="s">
        <v>11385</v>
      </c>
      <c r="G1313" s="82">
        <v>0.52510000000000001</v>
      </c>
      <c r="H1313" s="80"/>
    </row>
    <row r="1314" spans="1:9" x14ac:dyDescent="0.2">
      <c r="A1314" s="523">
        <v>43337</v>
      </c>
      <c r="B1314" s="1044" t="s">
        <v>10186</v>
      </c>
      <c r="C1314" s="1044" t="s">
        <v>10187</v>
      </c>
      <c r="D1314" s="1">
        <v>2.359953703703704E-2</v>
      </c>
      <c r="E1314" s="80" t="s">
        <v>5834</v>
      </c>
      <c r="F1314" s="80" t="s">
        <v>10509</v>
      </c>
      <c r="G1314" s="82">
        <v>0.47670000000000001</v>
      </c>
      <c r="H1314" s="334">
        <f t="shared" ref="H1314:H1345" si="39">D1315-D1314</f>
        <v>-6.0185185185185341E-4</v>
      </c>
    </row>
    <row r="1315" spans="1:9" x14ac:dyDescent="0.2">
      <c r="A1315" s="523">
        <v>43281</v>
      </c>
      <c r="B1315" t="s">
        <v>10186</v>
      </c>
      <c r="C1315" t="s">
        <v>10187</v>
      </c>
      <c r="D1315" s="1">
        <v>2.2997685185185187E-2</v>
      </c>
      <c r="E1315" t="s">
        <v>1964</v>
      </c>
      <c r="F1315" s="80" t="s">
        <v>10221</v>
      </c>
      <c r="G1315" s="82">
        <v>0.48920000000000002</v>
      </c>
      <c r="H1315" s="334">
        <f t="shared" si="39"/>
        <v>-6.4583333333333368E-3</v>
      </c>
    </row>
    <row r="1316" spans="1:9" x14ac:dyDescent="0.2">
      <c r="A1316" s="523">
        <v>43463</v>
      </c>
      <c r="B1316" s="862" t="s">
        <v>2349</v>
      </c>
      <c r="C1316" s="862" t="s">
        <v>2350</v>
      </c>
      <c r="D1316" s="1">
        <v>1.653935185185185E-2</v>
      </c>
      <c r="E1316" s="80" t="s">
        <v>5198</v>
      </c>
      <c r="F1316" s="80" t="s">
        <v>11407</v>
      </c>
      <c r="G1316" s="82">
        <v>0.70399999999999996</v>
      </c>
      <c r="H1316" s="334">
        <f t="shared" si="39"/>
        <v>1.2731481481481621E-4</v>
      </c>
    </row>
    <row r="1317" spans="1:9" x14ac:dyDescent="0.2">
      <c r="A1317" s="523">
        <v>43456</v>
      </c>
      <c r="B1317" s="556" t="s">
        <v>2349</v>
      </c>
      <c r="C1317" s="556" t="s">
        <v>2350</v>
      </c>
      <c r="D1317" s="1">
        <v>1.6666666666666666E-2</v>
      </c>
      <c r="E1317" s="80" t="s">
        <v>5198</v>
      </c>
      <c r="F1317" s="80" t="s">
        <v>11363</v>
      </c>
      <c r="G1317" s="82">
        <v>0.6986</v>
      </c>
      <c r="H1317" s="334">
        <f t="shared" si="39"/>
        <v>-3.4722222222222099E-4</v>
      </c>
    </row>
    <row r="1318" spans="1:9" x14ac:dyDescent="0.2">
      <c r="A1318" s="523">
        <v>43449</v>
      </c>
      <c r="B1318" s="1029" t="s">
        <v>2349</v>
      </c>
      <c r="C1318" s="1029" t="s">
        <v>2350</v>
      </c>
      <c r="D1318" s="1">
        <v>1.6319444444444445E-2</v>
      </c>
      <c r="E1318" s="80" t="s">
        <v>5198</v>
      </c>
      <c r="F1318" s="80" t="s">
        <v>11287</v>
      </c>
      <c r="G1318" s="82">
        <v>0.71350000000000002</v>
      </c>
      <c r="H1318" s="334">
        <f t="shared" si="39"/>
        <v>1.157407407407357E-5</v>
      </c>
    </row>
    <row r="1319" spans="1:9" x14ac:dyDescent="0.2">
      <c r="A1319" s="523">
        <v>43421</v>
      </c>
      <c r="B1319" s="906" t="s">
        <v>2349</v>
      </c>
      <c r="C1319" s="906" t="s">
        <v>2350</v>
      </c>
      <c r="D1319" s="1">
        <v>1.6331018518518519E-2</v>
      </c>
      <c r="E1319" s="80" t="s">
        <v>5948</v>
      </c>
      <c r="F1319" s="80" t="s">
        <v>11052</v>
      </c>
      <c r="G1319" s="82">
        <v>0.71299999999999997</v>
      </c>
      <c r="H1319" s="334">
        <f t="shared" si="39"/>
        <v>-3.4722222222224181E-5</v>
      </c>
    </row>
    <row r="1320" spans="1:9" x14ac:dyDescent="0.2">
      <c r="A1320" s="523">
        <v>43407</v>
      </c>
      <c r="B1320" s="901" t="s">
        <v>2349</v>
      </c>
      <c r="C1320" s="901" t="s">
        <v>2350</v>
      </c>
      <c r="D1320" s="1">
        <v>1.6296296296296295E-2</v>
      </c>
      <c r="E1320" s="80" t="s">
        <v>1982</v>
      </c>
      <c r="F1320" s="80" t="s">
        <v>10981</v>
      </c>
      <c r="G1320" s="82">
        <v>0.71450000000000002</v>
      </c>
      <c r="H1320" s="334">
        <f t="shared" si="39"/>
        <v>-4.9768518518518434E-4</v>
      </c>
    </row>
    <row r="1321" spans="1:9" x14ac:dyDescent="0.2">
      <c r="A1321" s="34">
        <v>43379</v>
      </c>
      <c r="B1321" s="869" t="s">
        <v>2349</v>
      </c>
      <c r="C1321" s="869" t="s">
        <v>2350</v>
      </c>
      <c r="D1321" s="1">
        <v>1.579861111111111E-2</v>
      </c>
      <c r="E1321" s="80" t="s">
        <v>840</v>
      </c>
      <c r="F1321" s="80" t="s">
        <v>10765</v>
      </c>
      <c r="G1321" s="82">
        <v>0.73699999999999999</v>
      </c>
      <c r="H1321" s="334">
        <f t="shared" si="39"/>
        <v>2.8935185185185314E-4</v>
      </c>
      <c r="I1321" s="80" t="s">
        <v>10766</v>
      </c>
    </row>
    <row r="1322" spans="1:9" x14ac:dyDescent="0.2">
      <c r="A1322" s="523">
        <v>43302</v>
      </c>
      <c r="B1322" s="985" t="s">
        <v>2349</v>
      </c>
      <c r="C1322" s="985" t="s">
        <v>2350</v>
      </c>
      <c r="D1322" s="1">
        <v>1.6087962962962964E-2</v>
      </c>
      <c r="E1322" s="80" t="s">
        <v>7944</v>
      </c>
      <c r="F1322" s="80" t="s">
        <v>10307</v>
      </c>
      <c r="G1322" s="82">
        <v>0.72370000000000001</v>
      </c>
      <c r="H1322" s="334">
        <f t="shared" si="39"/>
        <v>3.2407407407407385E-4</v>
      </c>
      <c r="I1322" s="80" t="s">
        <v>10317</v>
      </c>
    </row>
    <row r="1323" spans="1:9" x14ac:dyDescent="0.2">
      <c r="A1323" s="523">
        <v>43267</v>
      </c>
      <c r="B1323" s="1058" t="s">
        <v>2349</v>
      </c>
      <c r="C1323" s="1059" t="s">
        <v>2350</v>
      </c>
      <c r="D1323" s="1">
        <v>1.6412037037037037E-2</v>
      </c>
      <c r="E1323" s="80" t="s">
        <v>5198</v>
      </c>
      <c r="F1323" s="69" t="s">
        <v>2741</v>
      </c>
      <c r="G1323" s="82">
        <v>0.70940000000000003</v>
      </c>
      <c r="H1323" s="334">
        <f t="shared" si="39"/>
        <v>-1.0185185185185176E-3</v>
      </c>
      <c r="I1323" s="80"/>
    </row>
    <row r="1324" spans="1:9" x14ac:dyDescent="0.2">
      <c r="A1324" s="523">
        <v>43239</v>
      </c>
      <c r="B1324" s="80" t="s">
        <v>2349</v>
      </c>
      <c r="C1324" s="334" t="s">
        <v>2350</v>
      </c>
      <c r="D1324" s="1">
        <v>1.539351851851852E-2</v>
      </c>
      <c r="E1324" s="80" t="s">
        <v>5198</v>
      </c>
      <c r="F1324" s="69" t="s">
        <v>9822</v>
      </c>
      <c r="G1324" s="82">
        <v>0.74739999999999995</v>
      </c>
      <c r="H1324" s="334">
        <f t="shared" si="39"/>
        <v>4.1666666666666415E-4</v>
      </c>
      <c r="I1324" s="80"/>
    </row>
    <row r="1325" spans="1:9" x14ac:dyDescent="0.2">
      <c r="A1325" s="523">
        <v>43225</v>
      </c>
      <c r="B1325" s="1044" t="s">
        <v>2349</v>
      </c>
      <c r="C1325" s="1045" t="s">
        <v>2350</v>
      </c>
      <c r="D1325" s="1">
        <v>1.5810185185185184E-2</v>
      </c>
      <c r="E1325" s="80" t="s">
        <v>5198</v>
      </c>
      <c r="F1325" s="69" t="s">
        <v>9729</v>
      </c>
      <c r="G1325" s="82">
        <v>0.72770000000000001</v>
      </c>
      <c r="H1325" s="334">
        <f t="shared" si="39"/>
        <v>2.1990740740740825E-4</v>
      </c>
      <c r="I1325" s="80"/>
    </row>
    <row r="1326" spans="1:9" x14ac:dyDescent="0.2">
      <c r="A1326" s="523">
        <v>43218</v>
      </c>
      <c r="B1326" s="568" t="s">
        <v>2349</v>
      </c>
      <c r="C1326" s="861" t="s">
        <v>2350</v>
      </c>
      <c r="D1326" s="1">
        <v>1.6030092592592592E-2</v>
      </c>
      <c r="E1326" s="80" t="s">
        <v>5198</v>
      </c>
      <c r="F1326" s="69" t="s">
        <v>9671</v>
      </c>
      <c r="G1326" s="82">
        <v>0.7177</v>
      </c>
      <c r="H1326" s="334">
        <f t="shared" si="39"/>
        <v>-3.1250000000000028E-4</v>
      </c>
      <c r="I1326" s="80"/>
    </row>
    <row r="1327" spans="1:9" x14ac:dyDescent="0.2">
      <c r="A1327" s="523">
        <v>43211</v>
      </c>
      <c r="B1327" s="1038" t="s">
        <v>2349</v>
      </c>
      <c r="C1327" s="1039" t="s">
        <v>2350</v>
      </c>
      <c r="D1327" s="1">
        <v>1.5717592592592592E-2</v>
      </c>
      <c r="E1327" s="80" t="s">
        <v>5198</v>
      </c>
      <c r="F1327" s="69" t="s">
        <v>9626</v>
      </c>
      <c r="G1327" s="82">
        <v>0.73199999999999998</v>
      </c>
      <c r="H1327" s="334">
        <f t="shared" si="39"/>
        <v>1.4583333333333323E-3</v>
      </c>
      <c r="I1327" s="80"/>
    </row>
    <row r="1328" spans="1:9" x14ac:dyDescent="0.2">
      <c r="A1328" s="523">
        <v>43197</v>
      </c>
      <c r="B1328" s="930" t="s">
        <v>2349</v>
      </c>
      <c r="C1328" s="931" t="s">
        <v>2350</v>
      </c>
      <c r="D1328" s="1">
        <v>1.7175925925925924E-2</v>
      </c>
      <c r="E1328" s="80" t="s">
        <v>9307</v>
      </c>
      <c r="F1328" s="69" t="s">
        <v>4895</v>
      </c>
      <c r="G1328" s="82">
        <v>0.66979999999999995</v>
      </c>
      <c r="H1328" s="334">
        <f t="shared" si="39"/>
        <v>-8.2175925925925819E-4</v>
      </c>
      <c r="I1328" s="80"/>
    </row>
    <row r="1329" spans="1:9" x14ac:dyDescent="0.2">
      <c r="A1329" s="523">
        <v>43183</v>
      </c>
      <c r="B1329" s="1019" t="s">
        <v>2349</v>
      </c>
      <c r="C1329" s="1020" t="s">
        <v>2350</v>
      </c>
      <c r="D1329" s="1">
        <v>1.6354166666666666E-2</v>
      </c>
      <c r="E1329" s="80" t="s">
        <v>5198</v>
      </c>
      <c r="F1329" s="69" t="s">
        <v>9499</v>
      </c>
      <c r="G1329" s="82">
        <v>0.70350000000000001</v>
      </c>
      <c r="H1329" s="334">
        <f t="shared" si="39"/>
        <v>3.5879629629629456E-4</v>
      </c>
      <c r="I1329" s="80"/>
    </row>
    <row r="1330" spans="1:9" x14ac:dyDescent="0.2">
      <c r="A1330" s="523">
        <v>43176</v>
      </c>
      <c r="B1330" s="532" t="s">
        <v>2349</v>
      </c>
      <c r="C1330" s="843" t="s">
        <v>2350</v>
      </c>
      <c r="D1330" s="1">
        <v>1.6712962962962961E-2</v>
      </c>
      <c r="E1330" s="80" t="s">
        <v>5198</v>
      </c>
      <c r="F1330" s="69" t="s">
        <v>9454</v>
      </c>
      <c r="G1330" s="82">
        <v>0.68840000000000001</v>
      </c>
      <c r="H1330" s="334">
        <f t="shared" si="39"/>
        <v>1.0162037037037039E-2</v>
      </c>
      <c r="I1330" s="80"/>
    </row>
    <row r="1331" spans="1:9" x14ac:dyDescent="0.2">
      <c r="A1331" s="523">
        <v>43463</v>
      </c>
      <c r="B1331" s="862" t="s">
        <v>1794</v>
      </c>
      <c r="C1331" s="862" t="s">
        <v>1795</v>
      </c>
      <c r="D1331" s="1">
        <v>2.6875E-2</v>
      </c>
      <c r="E1331" s="80" t="s">
        <v>5095</v>
      </c>
      <c r="F1331" s="80" t="s">
        <v>11397</v>
      </c>
      <c r="G1331" s="82">
        <v>0.48149999999999998</v>
      </c>
      <c r="H1331" s="334">
        <f t="shared" si="39"/>
        <v>-5.5555555555555913E-4</v>
      </c>
    </row>
    <row r="1332" spans="1:9" x14ac:dyDescent="0.2">
      <c r="A1332" s="523">
        <v>43456</v>
      </c>
      <c r="B1332" s="556" t="s">
        <v>1794</v>
      </c>
      <c r="C1332" s="556" t="s">
        <v>1795</v>
      </c>
      <c r="D1332" s="1">
        <v>2.631944444444444E-2</v>
      </c>
      <c r="E1332" s="80" t="s">
        <v>2818</v>
      </c>
      <c r="F1332" s="80" t="s">
        <v>11352</v>
      </c>
      <c r="G1332" s="82">
        <v>0.49159999999999998</v>
      </c>
      <c r="H1332" s="334">
        <f t="shared" si="39"/>
        <v>2.3032407407407446E-3</v>
      </c>
    </row>
    <row r="1333" spans="1:9" x14ac:dyDescent="0.2">
      <c r="A1333" s="523">
        <v>43449</v>
      </c>
      <c r="B1333" s="1029" t="s">
        <v>1794</v>
      </c>
      <c r="C1333" s="1029" t="s">
        <v>1795</v>
      </c>
      <c r="D1333" s="1">
        <v>2.8622685185185185E-2</v>
      </c>
      <c r="E1333" s="80" t="s">
        <v>5544</v>
      </c>
      <c r="F1333" s="80" t="s">
        <v>11311</v>
      </c>
      <c r="G1333" s="82">
        <v>0.4521</v>
      </c>
      <c r="H1333" s="334">
        <f t="shared" si="39"/>
        <v>4.9074074074074055E-3</v>
      </c>
    </row>
    <row r="1334" spans="1:9" x14ac:dyDescent="0.2">
      <c r="A1334" s="523">
        <v>43442</v>
      </c>
      <c r="B1334" s="972" t="s">
        <v>1794</v>
      </c>
      <c r="C1334" s="972" t="s">
        <v>1795</v>
      </c>
      <c r="D1334" s="1">
        <v>3.3530092592592591E-2</v>
      </c>
      <c r="E1334" s="80" t="s">
        <v>5544</v>
      </c>
      <c r="F1334" s="80" t="s">
        <v>11237</v>
      </c>
      <c r="G1334" s="82">
        <v>0.38590000000000002</v>
      </c>
      <c r="H1334" s="334">
        <f t="shared" si="39"/>
        <v>-9.6759259259259246E-3</v>
      </c>
    </row>
    <row r="1335" spans="1:9" x14ac:dyDescent="0.2">
      <c r="A1335" s="523">
        <v>43435</v>
      </c>
      <c r="B1335" s="1164" t="s">
        <v>1794</v>
      </c>
      <c r="C1335" s="1164" t="s">
        <v>1795</v>
      </c>
      <c r="D1335" s="1">
        <v>2.3854166666666666E-2</v>
      </c>
      <c r="E1335" s="80" t="s">
        <v>11158</v>
      </c>
      <c r="F1335" s="80" t="s">
        <v>11157</v>
      </c>
      <c r="G1335" s="82">
        <v>0.54249999999999998</v>
      </c>
      <c r="H1335" s="334">
        <f t="shared" si="39"/>
        <v>5.3240740740740852E-4</v>
      </c>
    </row>
    <row r="1336" spans="1:9" x14ac:dyDescent="0.2">
      <c r="A1336" s="523">
        <v>43428</v>
      </c>
      <c r="B1336" s="1038" t="s">
        <v>1794</v>
      </c>
      <c r="C1336" s="1038" t="s">
        <v>1795</v>
      </c>
      <c r="D1336" s="1">
        <v>2.4386574074074074E-2</v>
      </c>
      <c r="E1336" s="80" t="s">
        <v>5544</v>
      </c>
      <c r="F1336" s="80" t="s">
        <v>11083</v>
      </c>
      <c r="G1336" s="82">
        <v>0.53059999999999996</v>
      </c>
      <c r="H1336" s="334">
        <f t="shared" si="39"/>
        <v>1.6203703703704039E-4</v>
      </c>
    </row>
    <row r="1337" spans="1:9" x14ac:dyDescent="0.2">
      <c r="A1337" s="523">
        <v>43421</v>
      </c>
      <c r="B1337" s="906" t="s">
        <v>1794</v>
      </c>
      <c r="C1337" s="906" t="s">
        <v>1795</v>
      </c>
      <c r="D1337" s="1">
        <v>2.4548611111111115E-2</v>
      </c>
      <c r="E1337" s="80" t="s">
        <v>861</v>
      </c>
      <c r="F1337" s="80" t="s">
        <v>11024</v>
      </c>
      <c r="G1337" s="82">
        <v>0.52710000000000001</v>
      </c>
      <c r="H1337" s="334">
        <f t="shared" si="39"/>
        <v>1.2847222222222184E-3</v>
      </c>
    </row>
    <row r="1338" spans="1:9" x14ac:dyDescent="0.2">
      <c r="A1338" s="523">
        <v>43414</v>
      </c>
      <c r="B1338" s="862" t="s">
        <v>1794</v>
      </c>
      <c r="C1338" s="862" t="s">
        <v>1795</v>
      </c>
      <c r="D1338" s="1">
        <v>2.5833333333333333E-2</v>
      </c>
      <c r="E1338" s="80" t="s">
        <v>559</v>
      </c>
      <c r="F1338" s="80" t="s">
        <v>11007</v>
      </c>
      <c r="G1338" s="82">
        <v>0.50090000000000001</v>
      </c>
      <c r="H1338" s="334">
        <f t="shared" si="39"/>
        <v>-1.4930555555555565E-3</v>
      </c>
    </row>
    <row r="1339" spans="1:9" x14ac:dyDescent="0.2">
      <c r="A1339" s="523">
        <v>43400</v>
      </c>
      <c r="B1339" s="556" t="s">
        <v>1794</v>
      </c>
      <c r="C1339" s="556" t="s">
        <v>1795</v>
      </c>
      <c r="D1339" s="1">
        <v>2.4340277777777777E-2</v>
      </c>
      <c r="E1339" s="80" t="s">
        <v>5544</v>
      </c>
      <c r="F1339" s="80" t="s">
        <v>10889</v>
      </c>
      <c r="G1339" s="82">
        <v>0.53210000000000002</v>
      </c>
      <c r="H1339" s="334">
        <f t="shared" si="39"/>
        <v>-5.6712962962962576E-4</v>
      </c>
    </row>
    <row r="1340" spans="1:9" x14ac:dyDescent="0.2">
      <c r="A1340" s="523">
        <v>43393</v>
      </c>
      <c r="B1340" s="862" t="s">
        <v>1794</v>
      </c>
      <c r="C1340" s="862" t="s">
        <v>1795</v>
      </c>
      <c r="D1340" s="1">
        <v>2.3773148148148151E-2</v>
      </c>
      <c r="E1340" s="80" t="s">
        <v>4004</v>
      </c>
      <c r="F1340" s="80" t="s">
        <v>10849</v>
      </c>
      <c r="G1340" s="82">
        <v>0.54430000000000001</v>
      </c>
      <c r="H1340" s="334">
        <f t="shared" si="39"/>
        <v>9.8379629629629164E-4</v>
      </c>
    </row>
    <row r="1341" spans="1:9" x14ac:dyDescent="0.2">
      <c r="A1341" s="523">
        <v>43386</v>
      </c>
      <c r="B1341" s="532" t="s">
        <v>1794</v>
      </c>
      <c r="C1341" s="532" t="s">
        <v>1795</v>
      </c>
      <c r="D1341" s="1">
        <v>2.4756944444444443E-2</v>
      </c>
      <c r="E1341" s="80" t="s">
        <v>9620</v>
      </c>
      <c r="F1341" s="80" t="s">
        <v>10808</v>
      </c>
      <c r="G1341" s="82">
        <v>0.52270000000000005</v>
      </c>
      <c r="H1341" s="334">
        <f t="shared" si="39"/>
        <v>-5.4398148148147862E-4</v>
      </c>
    </row>
    <row r="1342" spans="1:9" x14ac:dyDescent="0.2">
      <c r="A1342" s="34">
        <v>43379</v>
      </c>
      <c r="B1342" s="869" t="s">
        <v>1794</v>
      </c>
      <c r="C1342" s="869" t="s">
        <v>1795</v>
      </c>
      <c r="D1342" s="1">
        <v>2.4212962962962964E-2</v>
      </c>
      <c r="E1342" s="80" t="s">
        <v>5544</v>
      </c>
      <c r="F1342" s="80" t="s">
        <v>10748</v>
      </c>
      <c r="G1342" s="82">
        <v>0.53439999999999999</v>
      </c>
      <c r="H1342" s="334">
        <f t="shared" si="39"/>
        <v>2.777777777777761E-4</v>
      </c>
    </row>
    <row r="1343" spans="1:9" x14ac:dyDescent="0.2">
      <c r="A1343" s="523">
        <v>43358</v>
      </c>
      <c r="B1343" s="1127" t="s">
        <v>1794</v>
      </c>
      <c r="C1343" s="1127" t="s">
        <v>1795</v>
      </c>
      <c r="D1343" s="1">
        <v>2.449074074074074E-2</v>
      </c>
      <c r="E1343" t="s">
        <v>10622</v>
      </c>
      <c r="F1343" t="s">
        <v>2938</v>
      </c>
      <c r="G1343" s="82">
        <v>0.52839999999999998</v>
      </c>
      <c r="H1343" s="334">
        <f t="shared" si="39"/>
        <v>-2.777777777777761E-4</v>
      </c>
    </row>
    <row r="1344" spans="1:9" x14ac:dyDescent="0.2">
      <c r="A1344" s="523">
        <v>43351</v>
      </c>
      <c r="B1344" s="531" t="s">
        <v>1794</v>
      </c>
      <c r="C1344" s="531" t="s">
        <v>1795</v>
      </c>
      <c r="D1344" s="1">
        <v>2.4212962962962964E-2</v>
      </c>
      <c r="E1344" t="s">
        <v>5544</v>
      </c>
      <c r="F1344" s="80" t="s">
        <v>10596</v>
      </c>
      <c r="G1344" s="82">
        <v>0.53439999999999999</v>
      </c>
      <c r="H1344" s="334">
        <f t="shared" si="39"/>
        <v>9.8379629629629164E-4</v>
      </c>
    </row>
    <row r="1345" spans="1:9" x14ac:dyDescent="0.2">
      <c r="A1345" s="523">
        <v>43344</v>
      </c>
      <c r="B1345" s="552" t="s">
        <v>1794</v>
      </c>
      <c r="C1345" s="552" t="s">
        <v>1795</v>
      </c>
      <c r="D1345" s="1">
        <v>2.5196759259259256E-2</v>
      </c>
      <c r="E1345" t="s">
        <v>5883</v>
      </c>
      <c r="F1345" s="80" t="s">
        <v>10621</v>
      </c>
      <c r="G1345" s="82">
        <v>0.51359999999999995</v>
      </c>
      <c r="H1345" s="334">
        <f t="shared" si="39"/>
        <v>9.9537037037037562E-4</v>
      </c>
    </row>
    <row r="1346" spans="1:9" x14ac:dyDescent="0.2">
      <c r="A1346" s="523">
        <v>43337</v>
      </c>
      <c r="B1346" s="1044" t="s">
        <v>1794</v>
      </c>
      <c r="C1346" s="1044" t="s">
        <v>1795</v>
      </c>
      <c r="D1346" s="1">
        <v>2.6192129629629631E-2</v>
      </c>
      <c r="E1346" s="80" t="s">
        <v>5230</v>
      </c>
      <c r="F1346" s="80" t="s">
        <v>10663</v>
      </c>
      <c r="G1346" s="571">
        <v>0.49399999999999999</v>
      </c>
      <c r="H1346" s="334">
        <f t="shared" ref="H1346:H1377" si="40">D1347-D1346</f>
        <v>-1.4351851851851886E-3</v>
      </c>
    </row>
    <row r="1347" spans="1:9" x14ac:dyDescent="0.2">
      <c r="A1347" s="523">
        <v>43330</v>
      </c>
      <c r="B1347" s="1099" t="s">
        <v>1794</v>
      </c>
      <c r="C1347" s="1099" t="s">
        <v>1795</v>
      </c>
      <c r="D1347" s="1">
        <v>2.4756944444444443E-2</v>
      </c>
      <c r="E1347" s="80" t="s">
        <v>998</v>
      </c>
      <c r="F1347" s="80" t="s">
        <v>10448</v>
      </c>
      <c r="G1347" s="82">
        <v>0.52270000000000005</v>
      </c>
      <c r="H1347" s="334">
        <f t="shared" si="40"/>
        <v>4.6296296296297751E-5</v>
      </c>
    </row>
    <row r="1348" spans="1:9" x14ac:dyDescent="0.2">
      <c r="A1348" s="523">
        <v>43316</v>
      </c>
      <c r="B1348" s="1077" t="s">
        <v>1794</v>
      </c>
      <c r="C1348" s="1077" t="s">
        <v>1795</v>
      </c>
      <c r="D1348" s="136">
        <v>2.480324074074074E-2</v>
      </c>
      <c r="E1348" t="s">
        <v>5544</v>
      </c>
      <c r="F1348" t="s">
        <v>10373</v>
      </c>
      <c r="G1348" s="82">
        <v>0.52170000000000005</v>
      </c>
      <c r="H1348" s="334">
        <f t="shared" si="40"/>
        <v>1.8749999999999982E-3</v>
      </c>
    </row>
    <row r="1349" spans="1:9" x14ac:dyDescent="0.2">
      <c r="A1349" s="523">
        <v>43309</v>
      </c>
      <c r="B1349" s="879" t="s">
        <v>1794</v>
      </c>
      <c r="C1349" s="879" t="s">
        <v>1795</v>
      </c>
      <c r="D1349" s="1">
        <v>2.6678240740740738E-2</v>
      </c>
      <c r="E1349" s="80" t="s">
        <v>10272</v>
      </c>
      <c r="F1349" s="80" t="s">
        <v>10330</v>
      </c>
      <c r="G1349" s="82">
        <v>0.48499999999999999</v>
      </c>
      <c r="H1349" s="334">
        <f t="shared" si="40"/>
        <v>-1.6898148148148107E-3</v>
      </c>
    </row>
    <row r="1350" spans="1:9" x14ac:dyDescent="0.2">
      <c r="A1350" s="523">
        <v>43302</v>
      </c>
      <c r="B1350" s="985" t="s">
        <v>1794</v>
      </c>
      <c r="C1350" s="985" t="s">
        <v>1795</v>
      </c>
      <c r="D1350" s="1">
        <v>2.4988425925925928E-2</v>
      </c>
      <c r="E1350" s="80" t="s">
        <v>5544</v>
      </c>
      <c r="F1350" s="80" t="s">
        <v>10279</v>
      </c>
      <c r="G1350" s="82">
        <v>0.51780000000000004</v>
      </c>
      <c r="H1350" s="334">
        <f t="shared" si="40"/>
        <v>1.3425925925925897E-3</v>
      </c>
    </row>
    <row r="1351" spans="1:9" x14ac:dyDescent="0.2">
      <c r="A1351" s="523">
        <v>43295</v>
      </c>
      <c r="B1351" s="601" t="s">
        <v>1794</v>
      </c>
      <c r="C1351" s="601" t="s">
        <v>1795</v>
      </c>
      <c r="D1351" s="1">
        <v>2.6331018518518517E-2</v>
      </c>
      <c r="E1351" s="80" t="s">
        <v>9738</v>
      </c>
      <c r="F1351" s="80" t="s">
        <v>10261</v>
      </c>
      <c r="G1351" s="82">
        <v>0.4914</v>
      </c>
      <c r="H1351" s="334">
        <f t="shared" si="40"/>
        <v>-7.2916666666666616E-4</v>
      </c>
    </row>
    <row r="1352" spans="1:9" x14ac:dyDescent="0.2">
      <c r="A1352" s="523">
        <v>43288</v>
      </c>
      <c r="B1352" s="1077" t="s">
        <v>1794</v>
      </c>
      <c r="C1352" s="1077" t="s">
        <v>1795</v>
      </c>
      <c r="D1352" s="1">
        <v>2.5601851851851851E-2</v>
      </c>
      <c r="E1352" t="s">
        <v>5885</v>
      </c>
      <c r="F1352" s="80" t="s">
        <v>10219</v>
      </c>
      <c r="G1352" s="82">
        <v>0.50539999999999996</v>
      </c>
      <c r="H1352" s="334">
        <f t="shared" si="40"/>
        <v>-2.3148148148147141E-5</v>
      </c>
    </row>
    <row r="1353" spans="1:9" x14ac:dyDescent="0.2">
      <c r="A1353" s="523">
        <v>43281</v>
      </c>
      <c r="B1353" s="552" t="s">
        <v>1794</v>
      </c>
      <c r="C1353" s="552" t="s">
        <v>1795</v>
      </c>
      <c r="D1353" s="1">
        <v>2.5578703703703704E-2</v>
      </c>
      <c r="E1353" s="80" t="s">
        <v>5544</v>
      </c>
      <c r="F1353" s="80" t="s">
        <v>10154</v>
      </c>
      <c r="G1353" s="82">
        <v>0.50590000000000002</v>
      </c>
      <c r="H1353" s="334">
        <f t="shared" si="40"/>
        <v>2.1875000000000019E-3</v>
      </c>
    </row>
    <row r="1354" spans="1:9" x14ac:dyDescent="0.2">
      <c r="A1354" s="34">
        <v>43274</v>
      </c>
      <c r="B1354" s="940" t="s">
        <v>1794</v>
      </c>
      <c r="C1354" s="941" t="s">
        <v>1795</v>
      </c>
      <c r="D1354" s="1">
        <v>2.7766203703703706E-2</v>
      </c>
      <c r="E1354" t="s">
        <v>8248</v>
      </c>
      <c r="F1354" s="80" t="s">
        <v>10104</v>
      </c>
      <c r="G1354" s="82">
        <v>0.46600000000000003</v>
      </c>
      <c r="H1354" s="334">
        <f t="shared" si="40"/>
        <v>-1.3310185185185196E-3</v>
      </c>
    </row>
    <row r="1355" spans="1:9" x14ac:dyDescent="0.2">
      <c r="A1355" s="523">
        <v>43267</v>
      </c>
      <c r="B1355" s="1058" t="s">
        <v>1794</v>
      </c>
      <c r="C1355" s="1059" t="s">
        <v>1795</v>
      </c>
      <c r="D1355" s="1">
        <v>2.6435185185185187E-2</v>
      </c>
      <c r="E1355" s="80" t="s">
        <v>4556</v>
      </c>
      <c r="F1355" s="69" t="s">
        <v>9935</v>
      </c>
      <c r="G1355" s="82">
        <v>0.48949999999999999</v>
      </c>
      <c r="H1355" s="334">
        <f t="shared" si="40"/>
        <v>-1.0069444444444457E-3</v>
      </c>
      <c r="I1355" s="80"/>
    </row>
    <row r="1356" spans="1:9" x14ac:dyDescent="0.2">
      <c r="A1356" s="523">
        <v>43260</v>
      </c>
      <c r="B1356" s="532" t="s">
        <v>1794</v>
      </c>
      <c r="C1356" s="843" t="s">
        <v>1795</v>
      </c>
      <c r="D1356" s="1">
        <v>2.5428240740740741E-2</v>
      </c>
      <c r="E1356" s="80" t="s">
        <v>5544</v>
      </c>
      <c r="F1356" s="69" t="s">
        <v>9900</v>
      </c>
      <c r="G1356" s="82">
        <v>0.50890000000000002</v>
      </c>
      <c r="H1356" s="334">
        <f t="shared" si="40"/>
        <v>4.8611111111111424E-4</v>
      </c>
      <c r="I1356" s="80"/>
    </row>
    <row r="1357" spans="1:9" x14ac:dyDescent="0.2">
      <c r="A1357" s="523">
        <v>43253</v>
      </c>
      <c r="B1357" s="901" t="s">
        <v>1794</v>
      </c>
      <c r="C1357" s="902" t="s">
        <v>1795</v>
      </c>
      <c r="D1357" s="1">
        <v>2.5914351851851855E-2</v>
      </c>
      <c r="E1357" s="80" t="s">
        <v>9861</v>
      </c>
      <c r="F1357" s="69" t="s">
        <v>9874</v>
      </c>
      <c r="G1357" s="82">
        <v>0.49930000000000002</v>
      </c>
      <c r="H1357" s="334">
        <f t="shared" si="40"/>
        <v>-1.0763888888888906E-3</v>
      </c>
      <c r="I1357" s="80"/>
    </row>
    <row r="1358" spans="1:9" x14ac:dyDescent="0.2">
      <c r="A1358" s="523">
        <v>43239</v>
      </c>
      <c r="B1358" s="80" t="s">
        <v>1794</v>
      </c>
      <c r="C1358" s="334" t="s">
        <v>1795</v>
      </c>
      <c r="D1358" s="114">
        <v>2.4837962962962964E-2</v>
      </c>
      <c r="E1358" s="80" t="s">
        <v>5544</v>
      </c>
      <c r="F1358" s="69" t="s">
        <v>9815</v>
      </c>
      <c r="G1358" s="82">
        <v>0.5212</v>
      </c>
      <c r="H1358" s="334">
        <f t="shared" si="40"/>
        <v>9.8379629629629164E-4</v>
      </c>
      <c r="I1358" s="80"/>
    </row>
    <row r="1359" spans="1:9" x14ac:dyDescent="0.2">
      <c r="A1359" s="523">
        <v>43232</v>
      </c>
      <c r="B1359" s="1051" t="s">
        <v>1794</v>
      </c>
      <c r="C1359" s="1052" t="s">
        <v>1795</v>
      </c>
      <c r="D1359" s="1">
        <v>2.5821759259259256E-2</v>
      </c>
      <c r="E1359" s="80" t="s">
        <v>9307</v>
      </c>
      <c r="F1359" s="69" t="s">
        <v>2629</v>
      </c>
      <c r="G1359" s="82">
        <v>0.50109999999999999</v>
      </c>
      <c r="H1359" s="334">
        <f t="shared" si="40"/>
        <v>-3.0092592592591977E-4</v>
      </c>
      <c r="I1359" s="80"/>
    </row>
    <row r="1360" spans="1:9" x14ac:dyDescent="0.2">
      <c r="A1360" s="523">
        <v>43225</v>
      </c>
      <c r="B1360" s="1044" t="s">
        <v>1794</v>
      </c>
      <c r="C1360" s="1045" t="s">
        <v>1795</v>
      </c>
      <c r="D1360" s="1">
        <v>2.5520833333333336E-2</v>
      </c>
      <c r="E1360" s="80" t="s">
        <v>5544</v>
      </c>
      <c r="F1360" s="69" t="s">
        <v>9705</v>
      </c>
      <c r="G1360" s="82">
        <v>0.50700000000000001</v>
      </c>
      <c r="H1360" s="334">
        <f t="shared" si="40"/>
        <v>4.3981481481481302E-4</v>
      </c>
      <c r="I1360" s="80"/>
    </row>
    <row r="1361" spans="1:12" x14ac:dyDescent="0.2">
      <c r="A1361" s="523">
        <v>43218</v>
      </c>
      <c r="B1361" s="568" t="s">
        <v>1794</v>
      </c>
      <c r="C1361" s="861" t="s">
        <v>1795</v>
      </c>
      <c r="D1361" s="1">
        <v>2.5960648148148149E-2</v>
      </c>
      <c r="E1361" s="80" t="s">
        <v>9620</v>
      </c>
      <c r="F1361" s="69" t="s">
        <v>9658</v>
      </c>
      <c r="G1361" s="82">
        <v>0.49840000000000001</v>
      </c>
      <c r="H1361" s="334">
        <f t="shared" si="40"/>
        <v>2.0833333333332774E-4</v>
      </c>
      <c r="I1361" s="80" t="s">
        <v>9659</v>
      </c>
      <c r="L1361" s="80" t="s">
        <v>9685</v>
      </c>
    </row>
    <row r="1362" spans="1:12" x14ac:dyDescent="0.2">
      <c r="A1362" s="523">
        <v>43204</v>
      </c>
      <c r="B1362" s="80" t="s">
        <v>1794</v>
      </c>
      <c r="C1362" s="334" t="s">
        <v>1795</v>
      </c>
      <c r="D1362" s="1">
        <v>2.6168981481481477E-2</v>
      </c>
      <c r="E1362" s="80" t="s">
        <v>9407</v>
      </c>
      <c r="F1362" s="69" t="s">
        <v>9597</v>
      </c>
      <c r="G1362" s="82">
        <v>0.4945</v>
      </c>
      <c r="H1362" s="334">
        <f t="shared" si="40"/>
        <v>-4.1666666666666241E-4</v>
      </c>
      <c r="I1362" s="80"/>
    </row>
    <row r="1363" spans="1:12" x14ac:dyDescent="0.2">
      <c r="A1363" s="523">
        <v>43197</v>
      </c>
      <c r="B1363" s="930" t="s">
        <v>1794</v>
      </c>
      <c r="C1363" s="931" t="s">
        <v>1795</v>
      </c>
      <c r="D1363" s="1">
        <v>2.5752314814814815E-2</v>
      </c>
      <c r="E1363" s="80" t="s">
        <v>8015</v>
      </c>
      <c r="F1363" s="69" t="s">
        <v>9557</v>
      </c>
      <c r="G1363" s="82">
        <v>0.50249999999999995</v>
      </c>
      <c r="H1363" s="334">
        <f t="shared" si="40"/>
        <v>-1.3541666666666702E-3</v>
      </c>
      <c r="I1363" s="80"/>
    </row>
    <row r="1364" spans="1:12" x14ac:dyDescent="0.2">
      <c r="A1364" s="523">
        <v>43190</v>
      </c>
      <c r="B1364" s="1029" t="s">
        <v>1794</v>
      </c>
      <c r="C1364" s="1030" t="s">
        <v>1795</v>
      </c>
      <c r="D1364" s="1">
        <v>2.4398148148148145E-2</v>
      </c>
      <c r="E1364" s="80" t="s">
        <v>9304</v>
      </c>
      <c r="F1364" s="69" t="s">
        <v>9514</v>
      </c>
      <c r="G1364" s="82">
        <v>0.52229999999999999</v>
      </c>
      <c r="H1364" s="334">
        <f t="shared" si="40"/>
        <v>1.9212962962962959E-3</v>
      </c>
      <c r="I1364" s="80"/>
    </row>
    <row r="1365" spans="1:12" x14ac:dyDescent="0.2">
      <c r="A1365" s="523">
        <v>43183</v>
      </c>
      <c r="B1365" s="940" t="s">
        <v>1794</v>
      </c>
      <c r="C1365" s="941" t="s">
        <v>1795</v>
      </c>
      <c r="D1365" s="1">
        <v>2.631944444444444E-2</v>
      </c>
      <c r="E1365" s="80" t="s">
        <v>9307</v>
      </c>
      <c r="F1365" s="69" t="s">
        <v>9511</v>
      </c>
      <c r="G1365" s="82">
        <v>0.48420000000000002</v>
      </c>
      <c r="H1365" s="334">
        <f t="shared" si="40"/>
        <v>-6.1342592592592352E-4</v>
      </c>
      <c r="I1365" s="80"/>
    </row>
    <row r="1366" spans="1:12" x14ac:dyDescent="0.2">
      <c r="A1366" s="523">
        <v>43176</v>
      </c>
      <c r="B1366" s="532" t="s">
        <v>1794</v>
      </c>
      <c r="C1366" s="843" t="s">
        <v>1795</v>
      </c>
      <c r="D1366" s="1">
        <v>2.5706018518518517E-2</v>
      </c>
      <c r="E1366" s="80" t="s">
        <v>5544</v>
      </c>
      <c r="F1366" s="69" t="s">
        <v>9444</v>
      </c>
      <c r="G1366" s="82">
        <v>0.49569999999999997</v>
      </c>
      <c r="H1366" s="334">
        <f t="shared" si="40"/>
        <v>8.7962962962962951E-4</v>
      </c>
      <c r="I1366" s="80"/>
    </row>
    <row r="1367" spans="1:12" x14ac:dyDescent="0.2">
      <c r="A1367" s="523">
        <v>43169</v>
      </c>
      <c r="B1367" s="862" t="s">
        <v>1794</v>
      </c>
      <c r="C1367" s="863" t="s">
        <v>1795</v>
      </c>
      <c r="D1367" s="1">
        <v>2.6585648148148146E-2</v>
      </c>
      <c r="E1367" s="80" t="s">
        <v>1822</v>
      </c>
      <c r="F1367" s="69" t="s">
        <v>9430</v>
      </c>
      <c r="G1367" s="82">
        <v>0.4793</v>
      </c>
      <c r="H1367" s="334">
        <f t="shared" si="40"/>
        <v>4.1666666666666588E-4</v>
      </c>
      <c r="I1367" s="80"/>
    </row>
    <row r="1368" spans="1:12" x14ac:dyDescent="0.2">
      <c r="A1368" s="523">
        <v>43162</v>
      </c>
      <c r="B1368" s="879" t="s">
        <v>1794</v>
      </c>
      <c r="C1368" s="880" t="s">
        <v>1795</v>
      </c>
      <c r="D1368" s="1">
        <v>2.7002314814814812E-2</v>
      </c>
      <c r="E1368" s="80" t="s">
        <v>5456</v>
      </c>
      <c r="F1368" s="69" t="s">
        <v>9391</v>
      </c>
      <c r="G1368" s="82">
        <v>0.47189999999999999</v>
      </c>
      <c r="H1368" s="334">
        <f t="shared" si="40"/>
        <v>-7.4074074074073626E-4</v>
      </c>
      <c r="I1368" s="80"/>
    </row>
    <row r="1369" spans="1:12" x14ac:dyDescent="0.2">
      <c r="A1369" s="523">
        <v>43155</v>
      </c>
      <c r="B1369" s="940" t="s">
        <v>1794</v>
      </c>
      <c r="C1369" s="941" t="s">
        <v>1795</v>
      </c>
      <c r="D1369" s="1">
        <v>2.6261574074074076E-2</v>
      </c>
      <c r="E1369" s="80" t="s">
        <v>4244</v>
      </c>
      <c r="F1369" s="69" t="s">
        <v>9336</v>
      </c>
      <c r="G1369" s="82">
        <v>0.48520000000000002</v>
      </c>
      <c r="H1369" s="334">
        <f t="shared" si="40"/>
        <v>-6.4814814814815117E-4</v>
      </c>
      <c r="I1369" s="80"/>
    </row>
    <row r="1370" spans="1:12" x14ac:dyDescent="0.2">
      <c r="A1370" s="523">
        <v>43148</v>
      </c>
      <c r="B1370" s="568" t="s">
        <v>1794</v>
      </c>
      <c r="C1370" s="861" t="s">
        <v>1795</v>
      </c>
      <c r="D1370" s="1">
        <v>2.5613425925925925E-2</v>
      </c>
      <c r="E1370" s="80" t="s">
        <v>5544</v>
      </c>
      <c r="F1370" s="69" t="s">
        <v>396</v>
      </c>
      <c r="G1370" s="82">
        <v>0.4975</v>
      </c>
      <c r="H1370" s="334">
        <f t="shared" si="40"/>
        <v>2.5462962962963243E-4</v>
      </c>
      <c r="I1370" s="80"/>
    </row>
    <row r="1371" spans="1:12" x14ac:dyDescent="0.2">
      <c r="A1371" s="523">
        <v>43141</v>
      </c>
      <c r="B1371" s="940" t="s">
        <v>1794</v>
      </c>
      <c r="C1371" s="941" t="s">
        <v>1795</v>
      </c>
      <c r="D1371" s="1">
        <v>2.5868055555555557E-2</v>
      </c>
      <c r="E1371" s="80" t="s">
        <v>203</v>
      </c>
      <c r="F1371" s="69" t="s">
        <v>9228</v>
      </c>
      <c r="G1371" s="82">
        <v>0.49259999999999998</v>
      </c>
      <c r="H1371" s="334">
        <f t="shared" si="40"/>
        <v>-6.3657407407407413E-4</v>
      </c>
      <c r="I1371" s="80"/>
    </row>
    <row r="1372" spans="1:12" x14ac:dyDescent="0.2">
      <c r="A1372" s="523">
        <v>43134</v>
      </c>
      <c r="B1372" s="985" t="s">
        <v>1794</v>
      </c>
      <c r="C1372" s="986" t="s">
        <v>1795</v>
      </c>
      <c r="D1372" s="1">
        <v>2.5231481481481483E-2</v>
      </c>
      <c r="E1372" s="80" t="s">
        <v>449</v>
      </c>
      <c r="F1372" s="69" t="s">
        <v>9201</v>
      </c>
      <c r="G1372" s="82">
        <v>0.505</v>
      </c>
      <c r="H1372" s="334">
        <f t="shared" si="40"/>
        <v>-1.1574074074074264E-4</v>
      </c>
      <c r="I1372" s="80"/>
    </row>
    <row r="1373" spans="1:12" x14ac:dyDescent="0.2">
      <c r="A1373" s="523">
        <v>43127</v>
      </c>
      <c r="B1373" s="862" t="s">
        <v>1794</v>
      </c>
      <c r="C1373" s="863" t="s">
        <v>1795</v>
      </c>
      <c r="D1373" s="1">
        <v>2.5115740740740741E-2</v>
      </c>
      <c r="E1373" s="80" t="s">
        <v>5544</v>
      </c>
      <c r="F1373" s="69" t="s">
        <v>9180</v>
      </c>
      <c r="G1373" s="82">
        <v>0.50739999999999996</v>
      </c>
      <c r="H1373" s="334">
        <f t="shared" si="40"/>
        <v>5.7870370370367852E-5</v>
      </c>
      <c r="I1373" s="80"/>
    </row>
    <row r="1374" spans="1:12" x14ac:dyDescent="0.2">
      <c r="A1374" s="523">
        <v>43120</v>
      </c>
      <c r="B1374" s="601" t="s">
        <v>1794</v>
      </c>
      <c r="C1374" s="958" t="s">
        <v>1795</v>
      </c>
      <c r="D1374" s="334">
        <v>2.5173611111111108E-2</v>
      </c>
      <c r="E1374" s="80" t="s">
        <v>1401</v>
      </c>
      <c r="F1374" s="69" t="s">
        <v>9095</v>
      </c>
      <c r="G1374" s="82">
        <v>0.50619999999999998</v>
      </c>
      <c r="H1374" s="334">
        <f t="shared" si="40"/>
        <v>1.2962962962963023E-3</v>
      </c>
      <c r="I1374" s="80"/>
    </row>
    <row r="1375" spans="1:12" x14ac:dyDescent="0.2">
      <c r="A1375" s="523">
        <v>43101</v>
      </c>
      <c r="B1375" s="556" t="s">
        <v>1794</v>
      </c>
      <c r="C1375" s="950" t="s">
        <v>1795</v>
      </c>
      <c r="D1375" s="1">
        <v>2.6469907407407411E-2</v>
      </c>
      <c r="E1375" s="80" t="s">
        <v>5453</v>
      </c>
      <c r="F1375" s="69" t="s">
        <v>521</v>
      </c>
      <c r="G1375" s="82">
        <v>0.48139999999999999</v>
      </c>
      <c r="H1375" s="334" t="e">
        <f t="shared" si="40"/>
        <v>#VALUE!</v>
      </c>
      <c r="I1375" s="80"/>
    </row>
    <row r="1376" spans="1:12" x14ac:dyDescent="0.2">
      <c r="A1376" s="523">
        <v>43344</v>
      </c>
      <c r="B1376" s="1127" t="s">
        <v>431</v>
      </c>
      <c r="C1376" s="1127" t="s">
        <v>433</v>
      </c>
      <c r="D1376" s="1" t="s">
        <v>787</v>
      </c>
      <c r="E1376" t="s">
        <v>5095</v>
      </c>
      <c r="F1376" t="s">
        <v>10631</v>
      </c>
      <c r="G1376" s="82"/>
      <c r="H1376" s="334" t="e">
        <f t="shared" si="40"/>
        <v>#VALUE!</v>
      </c>
    </row>
    <row r="1377" spans="1:9" x14ac:dyDescent="0.2">
      <c r="A1377" s="523">
        <v>43253</v>
      </c>
      <c r="B1377" s="901" t="s">
        <v>431</v>
      </c>
      <c r="C1377" s="902" t="s">
        <v>433</v>
      </c>
      <c r="D1377" s="1">
        <v>2.5694444444444447E-2</v>
      </c>
      <c r="E1377" s="80" t="s">
        <v>5095</v>
      </c>
      <c r="F1377" s="69" t="s">
        <v>9866</v>
      </c>
      <c r="G1377" s="82">
        <v>0.44500000000000001</v>
      </c>
      <c r="H1377" s="334">
        <f t="shared" si="40"/>
        <v>-5.4050925925925968E-3</v>
      </c>
      <c r="I1377" s="80"/>
    </row>
    <row r="1378" spans="1:9" x14ac:dyDescent="0.2">
      <c r="A1378" s="523">
        <v>43246</v>
      </c>
      <c r="B1378" s="601" t="s">
        <v>431</v>
      </c>
      <c r="C1378" s="958" t="s">
        <v>433</v>
      </c>
      <c r="D1378" s="1">
        <v>2.028935185185185E-2</v>
      </c>
      <c r="E1378" s="80" t="s">
        <v>5883</v>
      </c>
      <c r="F1378" s="69"/>
      <c r="G1378" s="82">
        <v>0.56359999999999999</v>
      </c>
      <c r="H1378" s="334">
        <f t="shared" ref="H1378:H1409" si="41">D1379-D1378</f>
        <v>-5.0925925925925791E-4</v>
      </c>
      <c r="I1378" s="80"/>
    </row>
    <row r="1379" spans="1:9" x14ac:dyDescent="0.2">
      <c r="A1379" s="523">
        <v>43239</v>
      </c>
      <c r="B1379" s="80" t="s">
        <v>431</v>
      </c>
      <c r="C1379" s="334" t="s">
        <v>433</v>
      </c>
      <c r="D1379" s="1">
        <v>1.9780092592592592E-2</v>
      </c>
      <c r="E1379" s="80" t="s">
        <v>5453</v>
      </c>
      <c r="F1379" s="69" t="s">
        <v>9832</v>
      </c>
      <c r="G1379" s="82">
        <v>0.57809999999999995</v>
      </c>
      <c r="H1379" s="334">
        <f t="shared" si="41"/>
        <v>4.0509259259259231E-4</v>
      </c>
      <c r="I1379" s="80"/>
    </row>
    <row r="1380" spans="1:9" x14ac:dyDescent="0.2">
      <c r="A1380" s="523">
        <v>43232</v>
      </c>
      <c r="B1380" s="1051" t="s">
        <v>431</v>
      </c>
      <c r="C1380" s="1052" t="s">
        <v>433</v>
      </c>
      <c r="D1380" s="1">
        <v>2.0185185185185184E-2</v>
      </c>
      <c r="E1380" s="80" t="s">
        <v>9307</v>
      </c>
      <c r="F1380" s="69" t="s">
        <v>4762</v>
      </c>
      <c r="G1380" s="82">
        <v>0.5665</v>
      </c>
      <c r="H1380" s="334">
        <f t="shared" si="41"/>
        <v>5.3240740740740505E-4</v>
      </c>
      <c r="I1380" s="80"/>
    </row>
    <row r="1381" spans="1:9" x14ac:dyDescent="0.2">
      <c r="A1381" s="523">
        <v>43225</v>
      </c>
      <c r="B1381" s="1044" t="s">
        <v>431</v>
      </c>
      <c r="C1381" s="1045" t="s">
        <v>433</v>
      </c>
      <c r="D1381" s="1">
        <v>2.071759259259259E-2</v>
      </c>
      <c r="E1381" s="80" t="s">
        <v>5095</v>
      </c>
      <c r="F1381" s="69" t="s">
        <v>1259</v>
      </c>
      <c r="G1381" s="82">
        <v>0.55200000000000005</v>
      </c>
      <c r="H1381" s="334">
        <f t="shared" si="41"/>
        <v>3.6689814814814849E-3</v>
      </c>
      <c r="I1381" s="80"/>
    </row>
    <row r="1382" spans="1:9" x14ac:dyDescent="0.2">
      <c r="A1382" s="523">
        <v>43218</v>
      </c>
      <c r="B1382" s="568" t="s">
        <v>431</v>
      </c>
      <c r="C1382" s="861" t="s">
        <v>433</v>
      </c>
      <c r="D1382" s="1">
        <v>2.4386574074074074E-2</v>
      </c>
      <c r="E1382" s="80" t="s">
        <v>5095</v>
      </c>
      <c r="F1382" s="69" t="s">
        <v>1972</v>
      </c>
      <c r="G1382" s="82">
        <v>0.46889999999999998</v>
      </c>
      <c r="H1382" s="334">
        <f t="shared" si="41"/>
        <v>-2.8935185185185175E-3</v>
      </c>
      <c r="I1382" s="80"/>
    </row>
    <row r="1383" spans="1:9" x14ac:dyDescent="0.2">
      <c r="A1383" s="523">
        <v>43211</v>
      </c>
      <c r="B1383" s="1038" t="s">
        <v>431</v>
      </c>
      <c r="C1383" s="1039" t="s">
        <v>433</v>
      </c>
      <c r="D1383" s="1">
        <v>2.1493055555555557E-2</v>
      </c>
      <c r="E1383" s="80" t="s">
        <v>5095</v>
      </c>
      <c r="F1383" s="69" t="s">
        <v>9639</v>
      </c>
      <c r="G1383" s="82">
        <v>0.53200000000000003</v>
      </c>
      <c r="H1383" s="334">
        <f t="shared" si="41"/>
        <v>6.1342592592592352E-4</v>
      </c>
      <c r="I1383" s="80"/>
    </row>
    <row r="1384" spans="1:9" x14ac:dyDescent="0.2">
      <c r="A1384" s="523">
        <v>43204</v>
      </c>
      <c r="B1384" s="80" t="s">
        <v>431</v>
      </c>
      <c r="C1384" s="334" t="s">
        <v>433</v>
      </c>
      <c r="D1384" s="1">
        <v>2.210648148148148E-2</v>
      </c>
      <c r="E1384" s="80" t="s">
        <v>9307</v>
      </c>
      <c r="F1384" s="69" t="s">
        <v>9570</v>
      </c>
      <c r="G1384" s="82">
        <v>0.51729999999999998</v>
      </c>
      <c r="H1384" s="334">
        <f t="shared" si="41"/>
        <v>-8.3333333333333176E-4</v>
      </c>
      <c r="I1384" s="80"/>
    </row>
    <row r="1385" spans="1:9" x14ac:dyDescent="0.2">
      <c r="A1385" s="523">
        <v>43197</v>
      </c>
      <c r="B1385" s="930" t="s">
        <v>431</v>
      </c>
      <c r="C1385" s="931" t="s">
        <v>433</v>
      </c>
      <c r="D1385" s="1">
        <v>2.1273148148148149E-2</v>
      </c>
      <c r="E1385" s="80" t="s">
        <v>5095</v>
      </c>
      <c r="F1385" s="69" t="s">
        <v>9561</v>
      </c>
      <c r="G1385" s="82">
        <v>0.53749999999999998</v>
      </c>
      <c r="H1385" s="334">
        <f t="shared" si="41"/>
        <v>1.5046296296296335E-4</v>
      </c>
      <c r="I1385" s="80"/>
    </row>
    <row r="1386" spans="1:9" x14ac:dyDescent="0.2">
      <c r="A1386" s="523">
        <v>43190</v>
      </c>
      <c r="B1386" s="1029" t="s">
        <v>431</v>
      </c>
      <c r="C1386" s="1030" t="s">
        <v>433</v>
      </c>
      <c r="D1386" s="1">
        <v>2.1423611111111112E-2</v>
      </c>
      <c r="E1386" s="80" t="s">
        <v>5095</v>
      </c>
      <c r="F1386" s="69" t="s">
        <v>9520</v>
      </c>
      <c r="G1386" s="82">
        <v>0.52890000000000004</v>
      </c>
      <c r="H1386" s="334">
        <f t="shared" si="41"/>
        <v>-1.5046296296296335E-4</v>
      </c>
      <c r="I1386" s="80"/>
    </row>
    <row r="1387" spans="1:9" x14ac:dyDescent="0.2">
      <c r="A1387" s="523">
        <v>43183</v>
      </c>
      <c r="B1387" s="1019" t="s">
        <v>431</v>
      </c>
      <c r="C1387" s="1020" t="s">
        <v>433</v>
      </c>
      <c r="D1387" s="1">
        <v>2.1273148148148149E-2</v>
      </c>
      <c r="E1387" s="80" t="s">
        <v>5095</v>
      </c>
      <c r="F1387" s="69" t="s">
        <v>9487</v>
      </c>
      <c r="G1387" s="82">
        <v>0.53259999999999996</v>
      </c>
      <c r="H1387" s="334">
        <f t="shared" si="41"/>
        <v>2.7893518518518519E-3</v>
      </c>
      <c r="I1387" s="80"/>
    </row>
    <row r="1388" spans="1:9" x14ac:dyDescent="0.2">
      <c r="A1388" s="523">
        <v>43176</v>
      </c>
      <c r="B1388" s="532" t="s">
        <v>431</v>
      </c>
      <c r="C1388" s="843" t="s">
        <v>433</v>
      </c>
      <c r="D1388" s="1">
        <v>2.4062500000000001E-2</v>
      </c>
      <c r="E1388" s="80" t="s">
        <v>5544</v>
      </c>
      <c r="F1388" s="69" t="s">
        <v>396</v>
      </c>
      <c r="G1388" s="82">
        <v>0.47089999999999999</v>
      </c>
      <c r="H1388" s="334">
        <f t="shared" si="41"/>
        <v>-2.1412037037037042E-3</v>
      </c>
      <c r="I1388" s="80"/>
    </row>
    <row r="1389" spans="1:9" x14ac:dyDescent="0.2">
      <c r="A1389" s="523">
        <v>43169</v>
      </c>
      <c r="B1389" s="862" t="s">
        <v>431</v>
      </c>
      <c r="C1389" s="863" t="s">
        <v>433</v>
      </c>
      <c r="D1389" s="1">
        <v>2.1921296296296296E-2</v>
      </c>
      <c r="E1389" s="80" t="s">
        <v>2147</v>
      </c>
      <c r="F1389" s="69" t="s">
        <v>9417</v>
      </c>
      <c r="G1389" s="82">
        <v>0.51690000000000003</v>
      </c>
      <c r="H1389" s="334">
        <f t="shared" si="41"/>
        <v>2.1990740740740755E-3</v>
      </c>
      <c r="I1389" s="80"/>
    </row>
    <row r="1390" spans="1:9" x14ac:dyDescent="0.2">
      <c r="A1390" s="523">
        <v>43162</v>
      </c>
      <c r="B1390" s="879" t="s">
        <v>431</v>
      </c>
      <c r="C1390" s="880" t="s">
        <v>433</v>
      </c>
      <c r="D1390" s="1">
        <v>2.4120370370370372E-2</v>
      </c>
      <c r="E1390" s="80" t="s">
        <v>998</v>
      </c>
      <c r="F1390" s="69" t="s">
        <v>9384</v>
      </c>
      <c r="G1390" s="82">
        <v>0.4698</v>
      </c>
      <c r="H1390" s="334">
        <f t="shared" si="41"/>
        <v>-2.8472222222222232E-3</v>
      </c>
      <c r="I1390" s="80"/>
    </row>
    <row r="1391" spans="1:9" x14ac:dyDescent="0.2">
      <c r="A1391" s="523">
        <v>43155</v>
      </c>
      <c r="B1391" s="940" t="s">
        <v>431</v>
      </c>
      <c r="C1391" s="941" t="s">
        <v>433</v>
      </c>
      <c r="D1391" s="1">
        <v>2.1273148148148149E-2</v>
      </c>
      <c r="E1391" s="80" t="s">
        <v>5198</v>
      </c>
      <c r="F1391" s="69" t="s">
        <v>9335</v>
      </c>
      <c r="G1391" s="82">
        <v>0.53259999999999996</v>
      </c>
      <c r="H1391" s="334">
        <f t="shared" si="41"/>
        <v>5.2083333333333148E-4</v>
      </c>
      <c r="I1391" s="80"/>
    </row>
    <row r="1392" spans="1:9" x14ac:dyDescent="0.2">
      <c r="A1392" s="523">
        <v>43148</v>
      </c>
      <c r="B1392" s="568" t="s">
        <v>431</v>
      </c>
      <c r="C1392" s="861" t="s">
        <v>433</v>
      </c>
      <c r="D1392" s="1">
        <v>2.179398148148148E-2</v>
      </c>
      <c r="E1392" s="80" t="s">
        <v>1214</v>
      </c>
      <c r="F1392" s="69" t="s">
        <v>9292</v>
      </c>
      <c r="G1392" s="82">
        <v>0.51719999999999999</v>
      </c>
      <c r="H1392" s="334" t="e">
        <f t="shared" si="41"/>
        <v>#VALUE!</v>
      </c>
      <c r="I1392" s="80"/>
    </row>
    <row r="1393" spans="1:9" x14ac:dyDescent="0.2">
      <c r="A1393" s="523">
        <v>43134</v>
      </c>
      <c r="B1393" s="985" t="s">
        <v>431</v>
      </c>
      <c r="C1393" s="986" t="s">
        <v>433</v>
      </c>
      <c r="D1393" s="334" t="s">
        <v>787</v>
      </c>
      <c r="E1393" s="80" t="s">
        <v>5095</v>
      </c>
      <c r="F1393" s="69" t="s">
        <v>9185</v>
      </c>
      <c r="G1393" s="82"/>
      <c r="H1393" s="334" t="e">
        <f t="shared" si="41"/>
        <v>#VALUE!</v>
      </c>
      <c r="I1393" s="80"/>
    </row>
    <row r="1394" spans="1:9" x14ac:dyDescent="0.2">
      <c r="A1394" s="523">
        <v>43463</v>
      </c>
      <c r="B1394" s="862" t="s">
        <v>11398</v>
      </c>
      <c r="C1394" s="862" t="s">
        <v>433</v>
      </c>
      <c r="D1394" s="1">
        <v>4.1631944444444451E-2</v>
      </c>
      <c r="E1394" s="80" t="s">
        <v>5095</v>
      </c>
      <c r="F1394" s="80" t="s">
        <v>11399</v>
      </c>
      <c r="G1394" s="82">
        <v>0.2747</v>
      </c>
      <c r="H1394" s="334">
        <f t="shared" si="41"/>
        <v>-2.5405092592592601E-2</v>
      </c>
    </row>
    <row r="1395" spans="1:9" x14ac:dyDescent="0.2">
      <c r="A1395" s="523">
        <v>43435</v>
      </c>
      <c r="B1395" s="1164" t="s">
        <v>48</v>
      </c>
      <c r="C1395" s="1164" t="s">
        <v>1240</v>
      </c>
      <c r="D1395" s="1">
        <v>1.622685185185185E-2</v>
      </c>
      <c r="E1395" s="80" t="s">
        <v>10983</v>
      </c>
      <c r="F1395" s="80" t="s">
        <v>11182</v>
      </c>
      <c r="G1395" s="82">
        <v>0.57989999999999997</v>
      </c>
      <c r="H1395" s="334">
        <f t="shared" si="41"/>
        <v>-5.7870370370367852E-5</v>
      </c>
    </row>
    <row r="1396" spans="1:9" x14ac:dyDescent="0.2">
      <c r="A1396" s="523">
        <v>43309</v>
      </c>
      <c r="B1396" s="879" t="s">
        <v>48</v>
      </c>
      <c r="C1396" s="879" t="s">
        <v>1240</v>
      </c>
      <c r="D1396" s="1">
        <v>1.6168981481481482E-2</v>
      </c>
      <c r="E1396" s="80" t="s">
        <v>10272</v>
      </c>
      <c r="F1396" s="80" t="s">
        <v>10333</v>
      </c>
      <c r="G1396" s="82">
        <v>0.58199999999999996</v>
      </c>
      <c r="H1396" s="334" t="e">
        <f t="shared" si="41"/>
        <v>#VALUE!</v>
      </c>
    </row>
    <row r="1397" spans="1:9" x14ac:dyDescent="0.2">
      <c r="A1397" s="523">
        <v>43442</v>
      </c>
      <c r="B1397" s="972" t="s">
        <v>9377</v>
      </c>
      <c r="C1397" s="972" t="s">
        <v>9378</v>
      </c>
      <c r="D1397" s="1" t="s">
        <v>787</v>
      </c>
      <c r="E1397" s="80" t="s">
        <v>5883</v>
      </c>
      <c r="F1397" s="80" t="s">
        <v>4185</v>
      </c>
      <c r="G1397" s="82"/>
      <c r="H1397" s="334" t="e">
        <f t="shared" si="41"/>
        <v>#VALUE!</v>
      </c>
    </row>
    <row r="1398" spans="1:9" x14ac:dyDescent="0.2">
      <c r="A1398" s="523">
        <v>43435</v>
      </c>
      <c r="B1398" s="1164" t="s">
        <v>9377</v>
      </c>
      <c r="C1398" s="1164" t="s">
        <v>9378</v>
      </c>
      <c r="D1398" s="1">
        <v>3.6435185185185189E-2</v>
      </c>
      <c r="E1398" s="80" t="s">
        <v>10983</v>
      </c>
      <c r="F1398" s="80" t="s">
        <v>11165</v>
      </c>
      <c r="G1398" s="82">
        <v>0.34499999999999997</v>
      </c>
      <c r="H1398" s="334" t="e">
        <f t="shared" si="41"/>
        <v>#VALUE!</v>
      </c>
    </row>
    <row r="1399" spans="1:9" x14ac:dyDescent="0.2">
      <c r="A1399" s="523">
        <v>43428</v>
      </c>
      <c r="B1399" s="1038" t="s">
        <v>9377</v>
      </c>
      <c r="C1399" s="1038" t="s">
        <v>9378</v>
      </c>
      <c r="D1399" s="1" t="s">
        <v>787</v>
      </c>
      <c r="E1399" s="80" t="s">
        <v>5883</v>
      </c>
      <c r="F1399" s="80" t="s">
        <v>2052</v>
      </c>
      <c r="G1399" s="82"/>
      <c r="H1399" s="334" t="e">
        <f t="shared" si="41"/>
        <v>#VALUE!</v>
      </c>
    </row>
    <row r="1400" spans="1:9" x14ac:dyDescent="0.2">
      <c r="A1400" s="523">
        <v>43421</v>
      </c>
      <c r="B1400" s="906" t="s">
        <v>9377</v>
      </c>
      <c r="C1400" s="906" t="s">
        <v>9378</v>
      </c>
      <c r="D1400" s="334" t="s">
        <v>787</v>
      </c>
      <c r="E1400" s="80" t="s">
        <v>5883</v>
      </c>
      <c r="F1400" s="80" t="s">
        <v>4185</v>
      </c>
      <c r="G1400" s="82"/>
      <c r="H1400" s="334" t="e">
        <f t="shared" si="41"/>
        <v>#VALUE!</v>
      </c>
    </row>
    <row r="1401" spans="1:9" x14ac:dyDescent="0.2">
      <c r="A1401" s="523">
        <v>43414</v>
      </c>
      <c r="B1401" s="862" t="s">
        <v>9377</v>
      </c>
      <c r="C1401" s="862" t="s">
        <v>9378</v>
      </c>
      <c r="D1401" s="334" t="s">
        <v>787</v>
      </c>
      <c r="E1401" s="80" t="s">
        <v>5883</v>
      </c>
      <c r="F1401" s="80" t="s">
        <v>4854</v>
      </c>
      <c r="G1401" s="82"/>
      <c r="H1401" s="334" t="e">
        <f t="shared" si="41"/>
        <v>#VALUE!</v>
      </c>
    </row>
    <row r="1402" spans="1:9" x14ac:dyDescent="0.2">
      <c r="A1402" s="34">
        <v>43379</v>
      </c>
      <c r="B1402" s="869" t="s">
        <v>9377</v>
      </c>
      <c r="C1402" s="869" t="s">
        <v>9378</v>
      </c>
      <c r="D1402" s="334" t="s">
        <v>787</v>
      </c>
      <c r="E1402" s="80" t="s">
        <v>5883</v>
      </c>
      <c r="F1402" s="80" t="s">
        <v>4061</v>
      </c>
      <c r="G1402" s="82"/>
      <c r="H1402" s="334" t="e">
        <f t="shared" si="41"/>
        <v>#VALUE!</v>
      </c>
    </row>
    <row r="1403" spans="1:9" x14ac:dyDescent="0.2">
      <c r="A1403" s="34">
        <v>43365</v>
      </c>
      <c r="B1403" s="556" t="s">
        <v>9377</v>
      </c>
      <c r="C1403" s="556" t="s">
        <v>9378</v>
      </c>
      <c r="D1403" s="1">
        <v>2.8749999999999998E-2</v>
      </c>
      <c r="E1403" s="80" t="s">
        <v>5883</v>
      </c>
      <c r="F1403" s="80" t="s">
        <v>10690</v>
      </c>
      <c r="G1403" s="82">
        <v>0.43719999999999998</v>
      </c>
      <c r="H1403" s="334">
        <f t="shared" si="41"/>
        <v>-4.120370370370368E-3</v>
      </c>
    </row>
    <row r="1404" spans="1:9" x14ac:dyDescent="0.2">
      <c r="A1404" s="523">
        <v>43344</v>
      </c>
      <c r="B1404" s="552" t="s">
        <v>9377</v>
      </c>
      <c r="C1404" s="552" t="s">
        <v>9378</v>
      </c>
      <c r="D1404" s="1">
        <v>2.462962962962963E-2</v>
      </c>
      <c r="E1404" t="s">
        <v>5883</v>
      </c>
      <c r="F1404" s="80" t="s">
        <v>10571</v>
      </c>
      <c r="G1404" s="82">
        <v>0.51029999999999998</v>
      </c>
      <c r="H1404" s="334">
        <f t="shared" si="41"/>
        <v>1.0995370370370343E-3</v>
      </c>
    </row>
    <row r="1405" spans="1:9" x14ac:dyDescent="0.2">
      <c r="A1405" s="523">
        <v>43337</v>
      </c>
      <c r="B1405" s="1044" t="s">
        <v>9377</v>
      </c>
      <c r="C1405" s="1044" t="s">
        <v>9378</v>
      </c>
      <c r="D1405" s="1">
        <v>2.5729166666666664E-2</v>
      </c>
      <c r="E1405" s="80" t="s">
        <v>1003</v>
      </c>
      <c r="F1405" s="80" t="s">
        <v>10506</v>
      </c>
      <c r="G1405" s="82">
        <v>0.48849999999999999</v>
      </c>
      <c r="H1405" s="334" t="e">
        <f t="shared" si="41"/>
        <v>#VALUE!</v>
      </c>
    </row>
    <row r="1406" spans="1:9" x14ac:dyDescent="0.2">
      <c r="A1406" s="523">
        <v>43330</v>
      </c>
      <c r="B1406" s="1099" t="s">
        <v>9377</v>
      </c>
      <c r="C1406" s="1101" t="s">
        <v>9378</v>
      </c>
      <c r="D1406" s="80" t="s">
        <v>787</v>
      </c>
      <c r="E1406" s="80" t="s">
        <v>5883</v>
      </c>
      <c r="F1406" s="69" t="s">
        <v>4185</v>
      </c>
      <c r="G1406" s="69"/>
      <c r="H1406" s="334" t="e">
        <f t="shared" si="41"/>
        <v>#VALUE!</v>
      </c>
    </row>
    <row r="1407" spans="1:9" x14ac:dyDescent="0.2">
      <c r="A1407" s="523">
        <v>43316</v>
      </c>
      <c r="B1407" s="1029" t="s">
        <v>9377</v>
      </c>
      <c r="C1407" s="1030" t="s">
        <v>9378</v>
      </c>
      <c r="D1407" s="136">
        <v>2.6481481481481481E-2</v>
      </c>
      <c r="E1407" s="80" t="s">
        <v>1982</v>
      </c>
      <c r="F1407" s="69" t="s">
        <v>10393</v>
      </c>
      <c r="G1407" s="82">
        <v>0.47470000000000001</v>
      </c>
      <c r="H1407" s="334">
        <f t="shared" si="41"/>
        <v>-7.2916666666666616E-4</v>
      </c>
    </row>
    <row r="1408" spans="1:9" x14ac:dyDescent="0.2">
      <c r="A1408" s="523">
        <v>43309</v>
      </c>
      <c r="B1408" s="879" t="s">
        <v>9377</v>
      </c>
      <c r="C1408" s="879" t="s">
        <v>9378</v>
      </c>
      <c r="D1408" s="1">
        <v>2.5752314814814815E-2</v>
      </c>
      <c r="E1408" s="80" t="s">
        <v>5883</v>
      </c>
      <c r="F1408" s="80" t="s">
        <v>10335</v>
      </c>
      <c r="G1408" s="82">
        <v>0.48809999999999998</v>
      </c>
      <c r="H1408" s="334" t="e">
        <f t="shared" si="41"/>
        <v>#VALUE!</v>
      </c>
    </row>
    <row r="1409" spans="1:9" x14ac:dyDescent="0.2">
      <c r="A1409" s="523">
        <v>43302</v>
      </c>
      <c r="B1409" s="985" t="s">
        <v>9377</v>
      </c>
      <c r="C1409" s="985" t="s">
        <v>9378</v>
      </c>
      <c r="D1409" s="334" t="s">
        <v>787</v>
      </c>
      <c r="E1409" s="80" t="s">
        <v>5883</v>
      </c>
      <c r="F1409" s="80" t="s">
        <v>4185</v>
      </c>
      <c r="H1409" s="334" t="e">
        <f t="shared" si="41"/>
        <v>#VALUE!</v>
      </c>
    </row>
    <row r="1410" spans="1:9" x14ac:dyDescent="0.2">
      <c r="A1410" s="523">
        <v>43295</v>
      </c>
      <c r="B1410" s="601" t="s">
        <v>9377</v>
      </c>
      <c r="C1410" s="601" t="s">
        <v>9378</v>
      </c>
      <c r="D1410" s="1">
        <v>2.6203703703703705E-2</v>
      </c>
      <c r="E1410" s="80" t="s">
        <v>5883</v>
      </c>
      <c r="F1410" s="80" t="s">
        <v>9119</v>
      </c>
      <c r="G1410" s="82">
        <v>0.47970000000000002</v>
      </c>
      <c r="H1410" s="334">
        <f t="shared" ref="H1410:H1424" si="42">D1411-D1410</f>
        <v>1.1342592592592585E-3</v>
      </c>
    </row>
    <row r="1411" spans="1:9" x14ac:dyDescent="0.2">
      <c r="A1411" s="523">
        <v>43288</v>
      </c>
      <c r="B1411" s="1029" t="s">
        <v>9377</v>
      </c>
      <c r="C1411" s="1029" t="s">
        <v>9378</v>
      </c>
      <c r="D1411" s="1">
        <v>2.7337962962962963E-2</v>
      </c>
      <c r="E1411" s="80" t="s">
        <v>5883</v>
      </c>
      <c r="F1411" s="80" t="s">
        <v>10218</v>
      </c>
      <c r="G1411" s="82">
        <v>0.45979999999999999</v>
      </c>
      <c r="H1411" s="334">
        <f t="shared" si="42"/>
        <v>1.0706018518518514E-2</v>
      </c>
    </row>
    <row r="1412" spans="1:9" x14ac:dyDescent="0.2">
      <c r="A1412" s="523">
        <v>43281</v>
      </c>
      <c r="B1412" s="556" t="s">
        <v>9377</v>
      </c>
      <c r="C1412" s="556" t="s">
        <v>9378</v>
      </c>
      <c r="D1412" s="1">
        <v>3.8043981481481477E-2</v>
      </c>
      <c r="E1412" s="80" t="s">
        <v>8248</v>
      </c>
      <c r="F1412" s="80" t="s">
        <v>10172</v>
      </c>
      <c r="G1412" s="82">
        <v>0.33040000000000003</v>
      </c>
      <c r="H1412" s="334">
        <f t="shared" si="42"/>
        <v>-8.3680555555555522E-3</v>
      </c>
    </row>
    <row r="1413" spans="1:9" x14ac:dyDescent="0.2">
      <c r="A1413" s="34">
        <v>43274</v>
      </c>
      <c r="B1413" s="1071" t="s">
        <v>9377</v>
      </c>
      <c r="C1413" s="1071" t="s">
        <v>9378</v>
      </c>
      <c r="D1413" s="1">
        <v>2.9675925925925925E-2</v>
      </c>
      <c r="E1413" s="80" t="s">
        <v>5883</v>
      </c>
      <c r="F1413" s="80" t="s">
        <v>10138</v>
      </c>
      <c r="G1413" s="82">
        <v>0.42359999999999998</v>
      </c>
      <c r="H1413" s="334">
        <f t="shared" si="42"/>
        <v>-1.6435185185185164E-3</v>
      </c>
    </row>
    <row r="1414" spans="1:9" x14ac:dyDescent="0.2">
      <c r="A1414" s="523">
        <v>43267</v>
      </c>
      <c r="B1414" s="1058" t="s">
        <v>9377</v>
      </c>
      <c r="C1414" s="1059" t="s">
        <v>9378</v>
      </c>
      <c r="D1414" s="1">
        <v>2.8032407407407409E-2</v>
      </c>
      <c r="E1414" s="80" t="s">
        <v>5456</v>
      </c>
      <c r="F1414" s="69" t="s">
        <v>9953</v>
      </c>
      <c r="G1414" s="82">
        <v>0.44840000000000002</v>
      </c>
      <c r="H1414" s="334">
        <f t="shared" si="42"/>
        <v>-1.6550925925925934E-3</v>
      </c>
      <c r="I1414" s="80"/>
    </row>
    <row r="1415" spans="1:9" x14ac:dyDescent="0.2">
      <c r="A1415" s="523">
        <v>43260</v>
      </c>
      <c r="B1415" s="532" t="s">
        <v>9377</v>
      </c>
      <c r="C1415" s="843" t="s">
        <v>9378</v>
      </c>
      <c r="D1415" s="1">
        <v>2.6377314814814815E-2</v>
      </c>
      <c r="E1415" s="80" t="s">
        <v>5883</v>
      </c>
      <c r="F1415" s="69" t="s">
        <v>9911</v>
      </c>
      <c r="G1415" s="82">
        <v>0.47649999999999998</v>
      </c>
      <c r="H1415" s="334">
        <f t="shared" si="42"/>
        <v>-1.307870370370369E-3</v>
      </c>
      <c r="I1415" s="80"/>
    </row>
    <row r="1416" spans="1:9" x14ac:dyDescent="0.2">
      <c r="A1416" s="523">
        <v>43253</v>
      </c>
      <c r="B1416" s="901" t="s">
        <v>9377</v>
      </c>
      <c r="C1416" s="902" t="s">
        <v>9378</v>
      </c>
      <c r="D1416" s="1">
        <v>2.5069444444444446E-2</v>
      </c>
      <c r="E1416" s="80" t="s">
        <v>1982</v>
      </c>
      <c r="F1416" s="69" t="s">
        <v>9870</v>
      </c>
      <c r="G1416" s="82">
        <v>0.50139999999999996</v>
      </c>
      <c r="H1416" s="334">
        <f t="shared" si="42"/>
        <v>1.0995370370370308E-3</v>
      </c>
      <c r="I1416" s="80"/>
    </row>
    <row r="1417" spans="1:9" x14ac:dyDescent="0.2">
      <c r="A1417" s="523">
        <v>43246</v>
      </c>
      <c r="B1417" s="601" t="s">
        <v>9377</v>
      </c>
      <c r="C1417" s="958" t="s">
        <v>9378</v>
      </c>
      <c r="D1417" s="1">
        <v>2.6168981481481477E-2</v>
      </c>
      <c r="E1417" s="80" t="s">
        <v>1982</v>
      </c>
      <c r="F1417" s="69"/>
      <c r="G1417" s="82">
        <v>0.4803</v>
      </c>
      <c r="H1417" s="334" t="e">
        <f t="shared" si="42"/>
        <v>#VALUE!</v>
      </c>
      <c r="I1417" s="80"/>
    </row>
    <row r="1418" spans="1:9" x14ac:dyDescent="0.2">
      <c r="A1418" s="523">
        <v>43239</v>
      </c>
      <c r="B1418" s="80" t="s">
        <v>9377</v>
      </c>
      <c r="C1418" s="334" t="s">
        <v>9378</v>
      </c>
      <c r="D1418" s="334" t="s">
        <v>787</v>
      </c>
      <c r="E1418" s="80" t="s">
        <v>5883</v>
      </c>
      <c r="F1418" s="69" t="s">
        <v>4185</v>
      </c>
      <c r="G1418" s="82"/>
      <c r="H1418" s="334" t="e">
        <f t="shared" si="42"/>
        <v>#VALUE!</v>
      </c>
      <c r="I1418" s="80"/>
    </row>
    <row r="1419" spans="1:9" x14ac:dyDescent="0.2">
      <c r="A1419" s="523">
        <v>43232</v>
      </c>
      <c r="B1419" s="1051" t="s">
        <v>9377</v>
      </c>
      <c r="C1419" s="1052" t="s">
        <v>9378</v>
      </c>
      <c r="D1419" s="1">
        <v>2.5046296296296299E-2</v>
      </c>
      <c r="E1419" s="80" t="s">
        <v>5883</v>
      </c>
      <c r="F1419" s="69" t="s">
        <v>9764</v>
      </c>
      <c r="G1419" s="82">
        <v>0.50180000000000002</v>
      </c>
      <c r="H1419" s="334" t="e">
        <f t="shared" si="42"/>
        <v>#VALUE!</v>
      </c>
      <c r="I1419" s="80"/>
    </row>
    <row r="1420" spans="1:9" x14ac:dyDescent="0.2">
      <c r="A1420" s="523">
        <v>43218</v>
      </c>
      <c r="B1420" s="568" t="s">
        <v>9377</v>
      </c>
      <c r="C1420" s="861" t="s">
        <v>9378</v>
      </c>
      <c r="D1420" s="334" t="s">
        <v>787</v>
      </c>
      <c r="E1420" s="80" t="s">
        <v>5883</v>
      </c>
      <c r="F1420" s="69" t="s">
        <v>9675</v>
      </c>
      <c r="G1420" s="82"/>
      <c r="H1420" s="334" t="e">
        <f t="shared" si="42"/>
        <v>#VALUE!</v>
      </c>
      <c r="I1420" s="80"/>
    </row>
    <row r="1421" spans="1:9" x14ac:dyDescent="0.2">
      <c r="A1421" s="523">
        <v>43204</v>
      </c>
      <c r="B1421" s="80" t="s">
        <v>9377</v>
      </c>
      <c r="C1421" s="334" t="s">
        <v>9378</v>
      </c>
      <c r="D1421" s="35">
        <v>4.3761574074074078E-2</v>
      </c>
      <c r="E1421" s="80" t="s">
        <v>5883</v>
      </c>
      <c r="F1421" s="69" t="s">
        <v>9169</v>
      </c>
      <c r="G1421" s="82">
        <v>0.28720000000000001</v>
      </c>
      <c r="H1421" s="334" t="e">
        <f t="shared" si="42"/>
        <v>#VALUE!</v>
      </c>
      <c r="I1421" s="80"/>
    </row>
    <row r="1422" spans="1:9" x14ac:dyDescent="0.2">
      <c r="A1422" s="523">
        <v>43190</v>
      </c>
      <c r="B1422" s="1029" t="s">
        <v>9377</v>
      </c>
      <c r="C1422" s="1030" t="s">
        <v>9378</v>
      </c>
      <c r="D1422" s="334" t="s">
        <v>787</v>
      </c>
      <c r="E1422" s="80" t="s">
        <v>5883</v>
      </c>
      <c r="F1422" s="69" t="s">
        <v>4854</v>
      </c>
      <c r="G1422" s="82"/>
      <c r="H1422" s="334" t="e">
        <f t="shared" si="42"/>
        <v>#VALUE!</v>
      </c>
      <c r="I1422" s="80"/>
    </row>
    <row r="1423" spans="1:9" x14ac:dyDescent="0.2">
      <c r="A1423" s="523">
        <v>43183</v>
      </c>
      <c r="B1423" s="1019" t="s">
        <v>9377</v>
      </c>
      <c r="C1423" s="1020" t="s">
        <v>9378</v>
      </c>
      <c r="D1423" s="1">
        <v>2.34375E-2</v>
      </c>
      <c r="E1423" s="80" t="s">
        <v>129</v>
      </c>
      <c r="F1423" s="69" t="s">
        <v>9498</v>
      </c>
      <c r="G1423" s="82">
        <v>0.52939999999999998</v>
      </c>
      <c r="H1423" s="334">
        <f t="shared" si="42"/>
        <v>-5.3240740740740852E-4</v>
      </c>
      <c r="I1423" s="80"/>
    </row>
    <row r="1424" spans="1:9" x14ac:dyDescent="0.2">
      <c r="A1424" s="523">
        <v>43463</v>
      </c>
      <c r="B1424" s="862" t="s">
        <v>5788</v>
      </c>
      <c r="C1424" s="862" t="s">
        <v>5789</v>
      </c>
      <c r="D1424" s="1">
        <v>2.2905092592592591E-2</v>
      </c>
      <c r="E1424" s="80" t="s">
        <v>2464</v>
      </c>
      <c r="F1424" s="80" t="s">
        <v>11402</v>
      </c>
      <c r="G1424" s="82">
        <v>0.63370000000000004</v>
      </c>
      <c r="H1424" s="334">
        <f t="shared" si="42"/>
        <v>2.6504629629629621E-3</v>
      </c>
    </row>
    <row r="1425" spans="1:8" x14ac:dyDescent="0.2">
      <c r="A1425" s="523">
        <v>43459</v>
      </c>
      <c r="B1425" s="80" t="s">
        <v>5788</v>
      </c>
      <c r="C1425" s="80" t="s">
        <v>5789</v>
      </c>
      <c r="D1425" s="1">
        <v>2.5555555555555554E-2</v>
      </c>
      <c r="E1425" s="80" t="s">
        <v>2732</v>
      </c>
      <c r="F1425" s="80" t="s">
        <v>11372</v>
      </c>
      <c r="G1425" s="82">
        <v>0.56789999999999996</v>
      </c>
      <c r="H1425" s="80"/>
    </row>
    <row r="1426" spans="1:8" x14ac:dyDescent="0.2">
      <c r="A1426" s="523">
        <v>43456</v>
      </c>
      <c r="B1426" s="556" t="s">
        <v>5788</v>
      </c>
      <c r="C1426" s="556" t="s">
        <v>5789</v>
      </c>
      <c r="D1426" s="1">
        <v>2.3391203703703702E-2</v>
      </c>
      <c r="E1426" s="80" t="s">
        <v>2464</v>
      </c>
      <c r="F1426" s="80" t="s">
        <v>11348</v>
      </c>
      <c r="G1426" s="82">
        <v>0.62050000000000005</v>
      </c>
      <c r="H1426" s="334">
        <f t="shared" ref="H1426:H1457" si="43">D1427-D1426</f>
        <v>1.1631944444444441E-2</v>
      </c>
    </row>
    <row r="1427" spans="1:8" x14ac:dyDescent="0.2">
      <c r="A1427" s="523">
        <v>43449</v>
      </c>
      <c r="B1427" s="1029" t="s">
        <v>5788</v>
      </c>
      <c r="C1427" s="1029" t="s">
        <v>5789</v>
      </c>
      <c r="D1427" s="1">
        <v>3.5023148148148144E-2</v>
      </c>
      <c r="E1427" s="80" t="s">
        <v>11026</v>
      </c>
      <c r="F1427" s="80" t="s">
        <v>11281</v>
      </c>
      <c r="G1427" s="82">
        <v>0.41439999999999999</v>
      </c>
      <c r="H1427" s="334">
        <f t="shared" si="43"/>
        <v>-6.0648148148148076E-3</v>
      </c>
    </row>
    <row r="1428" spans="1:8" x14ac:dyDescent="0.2">
      <c r="A1428" s="523">
        <v>43442</v>
      </c>
      <c r="B1428" s="972" t="s">
        <v>5788</v>
      </c>
      <c r="C1428" s="972" t="s">
        <v>5789</v>
      </c>
      <c r="D1428" s="1">
        <v>2.8958333333333336E-2</v>
      </c>
      <c r="E1428" s="80" t="s">
        <v>11254</v>
      </c>
      <c r="F1428" s="80" t="s">
        <v>11253</v>
      </c>
      <c r="G1428" s="82">
        <v>0.40429999999999999</v>
      </c>
      <c r="H1428" s="334">
        <f t="shared" si="43"/>
        <v>-6.5162037037037046E-3</v>
      </c>
    </row>
    <row r="1429" spans="1:8" x14ac:dyDescent="0.2">
      <c r="A1429" s="523">
        <v>43435</v>
      </c>
      <c r="B1429" s="1164" t="s">
        <v>5788</v>
      </c>
      <c r="C1429" s="1164" t="s">
        <v>5789</v>
      </c>
      <c r="D1429" s="1">
        <v>2.2442129629629631E-2</v>
      </c>
      <c r="E1429" s="80" t="s">
        <v>2464</v>
      </c>
      <c r="F1429" s="80" t="s">
        <v>11167</v>
      </c>
      <c r="G1429" s="82">
        <v>0.64670000000000005</v>
      </c>
      <c r="H1429" s="334">
        <f t="shared" si="43"/>
        <v>4.0509259259259231E-4</v>
      </c>
    </row>
    <row r="1430" spans="1:8" x14ac:dyDescent="0.2">
      <c r="A1430" s="523">
        <v>43421</v>
      </c>
      <c r="B1430" s="906" t="s">
        <v>5788</v>
      </c>
      <c r="C1430" s="906" t="s">
        <v>5789</v>
      </c>
      <c r="D1430" s="1">
        <v>2.2847222222222224E-2</v>
      </c>
      <c r="E1430" s="80" t="s">
        <v>11026</v>
      </c>
      <c r="F1430" s="80" t="s">
        <v>11050</v>
      </c>
      <c r="G1430" s="82">
        <v>0.63529999999999998</v>
      </c>
      <c r="H1430" s="334">
        <f t="shared" si="43"/>
        <v>6.8402777777777785E-3</v>
      </c>
    </row>
    <row r="1431" spans="1:8" x14ac:dyDescent="0.2">
      <c r="A1431" s="523">
        <v>43414</v>
      </c>
      <c r="B1431" s="862" t="s">
        <v>5788</v>
      </c>
      <c r="C1431" s="862" t="s">
        <v>5789</v>
      </c>
      <c r="D1431" s="1">
        <v>2.9687500000000002E-2</v>
      </c>
      <c r="E1431" s="80" t="s">
        <v>2464</v>
      </c>
      <c r="F1431" s="80" t="s">
        <v>10989</v>
      </c>
      <c r="G1431" s="82">
        <v>0.4889</v>
      </c>
      <c r="H1431" s="334">
        <f t="shared" si="43"/>
        <v>-7.6157407407407424E-3</v>
      </c>
    </row>
    <row r="1432" spans="1:8" x14ac:dyDescent="0.2">
      <c r="A1432" s="523">
        <v>43407</v>
      </c>
      <c r="B1432" s="901" t="s">
        <v>5788</v>
      </c>
      <c r="C1432" s="901" t="s">
        <v>5789</v>
      </c>
      <c r="D1432" s="1">
        <v>2.207175925925926E-2</v>
      </c>
      <c r="E1432" s="80" t="s">
        <v>10957</v>
      </c>
      <c r="F1432" s="80" t="s">
        <v>10958</v>
      </c>
      <c r="G1432" s="82">
        <v>0.65759999999999996</v>
      </c>
      <c r="H1432" s="334">
        <f t="shared" si="43"/>
        <v>2.986111111111113E-3</v>
      </c>
    </row>
    <row r="1433" spans="1:8" x14ac:dyDescent="0.2">
      <c r="A1433" s="523">
        <v>43400</v>
      </c>
      <c r="B1433" s="556" t="s">
        <v>5788</v>
      </c>
      <c r="C1433" s="556" t="s">
        <v>5789</v>
      </c>
      <c r="D1433" s="1">
        <v>2.5057870370370373E-2</v>
      </c>
      <c r="E1433" s="80" t="s">
        <v>2464</v>
      </c>
      <c r="F1433" s="80" t="s">
        <v>10899</v>
      </c>
      <c r="G1433" s="82">
        <v>0.57920000000000005</v>
      </c>
      <c r="H1433" s="334">
        <f t="shared" si="43"/>
        <v>-5.7870370370370627E-4</v>
      </c>
    </row>
    <row r="1434" spans="1:8" x14ac:dyDescent="0.2">
      <c r="A1434" s="523">
        <v>43393</v>
      </c>
      <c r="B1434" s="862" t="s">
        <v>5788</v>
      </c>
      <c r="C1434" s="862" t="s">
        <v>5789</v>
      </c>
      <c r="D1434" s="1">
        <v>2.4479166666666666E-2</v>
      </c>
      <c r="E1434" s="80" t="s">
        <v>10851</v>
      </c>
      <c r="F1434" s="80" t="s">
        <v>10852</v>
      </c>
      <c r="G1434" s="82">
        <v>0.59289999999999998</v>
      </c>
      <c r="H1434" s="334" t="e">
        <f t="shared" si="43"/>
        <v>#VALUE!</v>
      </c>
    </row>
    <row r="1435" spans="1:8" x14ac:dyDescent="0.2">
      <c r="A1435" s="34">
        <v>43379</v>
      </c>
      <c r="B1435" s="80" t="s">
        <v>5788</v>
      </c>
      <c r="C1435" s="80" t="s">
        <v>5789</v>
      </c>
      <c r="D1435" s="334" t="s">
        <v>787</v>
      </c>
      <c r="E1435" s="80" t="s">
        <v>2464</v>
      </c>
      <c r="F1435" s="80" t="s">
        <v>4061</v>
      </c>
      <c r="G1435" s="80"/>
      <c r="H1435" s="334" t="e">
        <f t="shared" si="43"/>
        <v>#VALUE!</v>
      </c>
    </row>
    <row r="1436" spans="1:8" x14ac:dyDescent="0.2">
      <c r="A1436" s="34">
        <v>43372</v>
      </c>
      <c r="B1436" s="532" t="s">
        <v>5788</v>
      </c>
      <c r="C1436" s="532" t="s">
        <v>5789</v>
      </c>
      <c r="D1436" s="1">
        <v>2.1585648148148145E-2</v>
      </c>
      <c r="E1436" s="80" t="s">
        <v>2464</v>
      </c>
      <c r="F1436" s="80" t="s">
        <v>10726</v>
      </c>
      <c r="G1436" s="82">
        <v>0.6724</v>
      </c>
      <c r="H1436" s="334" t="e">
        <f t="shared" si="43"/>
        <v>#VALUE!</v>
      </c>
    </row>
    <row r="1437" spans="1:8" x14ac:dyDescent="0.2">
      <c r="A1437" s="34">
        <v>43365</v>
      </c>
      <c r="B1437" s="80" t="s">
        <v>5788</v>
      </c>
      <c r="C1437" s="80" t="s">
        <v>5789</v>
      </c>
      <c r="D1437" s="1" t="s">
        <v>787</v>
      </c>
      <c r="E1437" t="s">
        <v>10624</v>
      </c>
      <c r="F1437" s="80" t="s">
        <v>4061</v>
      </c>
      <c r="G1437" s="82"/>
      <c r="H1437" s="334" t="e">
        <f t="shared" si="43"/>
        <v>#VALUE!</v>
      </c>
    </row>
    <row r="1438" spans="1:8" x14ac:dyDescent="0.2">
      <c r="A1438" s="523">
        <v>43351</v>
      </c>
      <c r="B1438" s="531" t="s">
        <v>5788</v>
      </c>
      <c r="C1438" s="531" t="s">
        <v>5789</v>
      </c>
      <c r="D1438" s="1">
        <v>2.2523148148148143E-2</v>
      </c>
      <c r="E1438" t="s">
        <v>10624</v>
      </c>
      <c r="F1438" s="80" t="s">
        <v>10625</v>
      </c>
      <c r="G1438" s="82">
        <v>0.64439999999999997</v>
      </c>
      <c r="H1438" s="334">
        <f t="shared" si="43"/>
        <v>-3.3564814814814395E-4</v>
      </c>
    </row>
    <row r="1439" spans="1:8" x14ac:dyDescent="0.2">
      <c r="A1439" s="523">
        <v>43344</v>
      </c>
      <c r="B1439" s="552" t="s">
        <v>5788</v>
      </c>
      <c r="C1439" s="552" t="s">
        <v>5789</v>
      </c>
      <c r="D1439" s="1">
        <v>2.2187499999999999E-2</v>
      </c>
      <c r="E1439" t="s">
        <v>2464</v>
      </c>
      <c r="F1439" t="s">
        <v>10540</v>
      </c>
      <c r="G1439" s="82">
        <v>0.65410000000000001</v>
      </c>
      <c r="H1439" s="334">
        <f t="shared" si="43"/>
        <v>-2.8935185185184967E-4</v>
      </c>
    </row>
    <row r="1440" spans="1:8" x14ac:dyDescent="0.2">
      <c r="A1440" s="523">
        <v>43337</v>
      </c>
      <c r="B1440" s="1044" t="s">
        <v>5788</v>
      </c>
      <c r="C1440" s="1044" t="s">
        <v>5789</v>
      </c>
      <c r="D1440" s="1">
        <v>2.1898148148148149E-2</v>
      </c>
      <c r="E1440" s="80" t="s">
        <v>10500</v>
      </c>
      <c r="F1440" s="80" t="s">
        <v>471</v>
      </c>
      <c r="G1440" s="82">
        <v>0.66169999999999995</v>
      </c>
      <c r="H1440" s="334">
        <f t="shared" si="43"/>
        <v>5.5555555555555913E-4</v>
      </c>
    </row>
    <row r="1441" spans="1:10" x14ac:dyDescent="0.2">
      <c r="A1441" s="523">
        <v>43330</v>
      </c>
      <c r="B1441" s="1099" t="s">
        <v>5788</v>
      </c>
      <c r="C1441" s="1099" t="s">
        <v>5789</v>
      </c>
      <c r="D1441" s="1">
        <v>2.2453703703703708E-2</v>
      </c>
      <c r="E1441" s="624" t="s">
        <v>2464</v>
      </c>
      <c r="F1441" s="80" t="s">
        <v>10460</v>
      </c>
      <c r="G1441" s="82">
        <v>0.64639999999999997</v>
      </c>
      <c r="H1441" s="334">
        <f t="shared" si="43"/>
        <v>-6.9444444444448361E-5</v>
      </c>
      <c r="I1441" s="80" t="s">
        <v>10461</v>
      </c>
    </row>
    <row r="1442" spans="1:10" x14ac:dyDescent="0.2">
      <c r="A1442" s="523">
        <v>43323</v>
      </c>
      <c r="B1442" s="568" t="s">
        <v>5788</v>
      </c>
      <c r="C1442" s="585" t="s">
        <v>5789</v>
      </c>
      <c r="D1442" s="1">
        <v>2.238425925925926E-2</v>
      </c>
      <c r="E1442" s="80" t="s">
        <v>2464</v>
      </c>
      <c r="F1442" s="80" t="s">
        <v>10421</v>
      </c>
      <c r="G1442" s="82">
        <v>0.64839999999999998</v>
      </c>
      <c r="H1442" s="334">
        <f t="shared" si="43"/>
        <v>7.3842592592592571E-3</v>
      </c>
    </row>
    <row r="1443" spans="1:10" x14ac:dyDescent="0.2">
      <c r="A1443" s="523">
        <v>43309</v>
      </c>
      <c r="B1443" s="879" t="s">
        <v>5788</v>
      </c>
      <c r="C1443" s="879" t="s">
        <v>5789</v>
      </c>
      <c r="D1443" s="1">
        <v>2.9768518518518517E-2</v>
      </c>
      <c r="E1443" s="80" t="s">
        <v>2464</v>
      </c>
      <c r="F1443" s="80" t="s">
        <v>10347</v>
      </c>
      <c r="G1443" s="82">
        <v>0.48020000000000002</v>
      </c>
      <c r="H1443" s="334">
        <f t="shared" si="43"/>
        <v>-8.0092592592592576E-3</v>
      </c>
    </row>
    <row r="1444" spans="1:10" x14ac:dyDescent="0.2">
      <c r="A1444" s="523">
        <v>43302</v>
      </c>
      <c r="B1444" s="985" t="s">
        <v>5788</v>
      </c>
      <c r="C1444" s="985" t="s">
        <v>5789</v>
      </c>
      <c r="D1444" s="1">
        <v>2.1759259259259259E-2</v>
      </c>
      <c r="E1444" s="80" t="s">
        <v>3595</v>
      </c>
      <c r="F1444" s="80" t="s">
        <v>10294</v>
      </c>
      <c r="G1444" s="82">
        <v>0.65689999999999993</v>
      </c>
      <c r="H1444" s="334">
        <f t="shared" si="43"/>
        <v>1.0763888888888871E-3</v>
      </c>
      <c r="I1444" s="80" t="s">
        <v>10293</v>
      </c>
    </row>
    <row r="1445" spans="1:10" x14ac:dyDescent="0.2">
      <c r="A1445" s="523">
        <v>43295</v>
      </c>
      <c r="B1445" s="601" t="s">
        <v>5788</v>
      </c>
      <c r="C1445" s="601" t="s">
        <v>5789</v>
      </c>
      <c r="D1445" s="1">
        <v>2.2835648148148147E-2</v>
      </c>
      <c r="E1445" s="80" t="s">
        <v>2464</v>
      </c>
      <c r="F1445" s="80" t="s">
        <v>10244</v>
      </c>
      <c r="G1445" s="82">
        <v>0.626</v>
      </c>
      <c r="H1445" s="334">
        <f t="shared" si="43"/>
        <v>3.6226851851851871E-3</v>
      </c>
    </row>
    <row r="1446" spans="1:10" x14ac:dyDescent="0.2">
      <c r="A1446" s="523">
        <v>43288</v>
      </c>
      <c r="B1446" s="1077" t="s">
        <v>5788</v>
      </c>
      <c r="C1446" s="1077" t="s">
        <v>5789</v>
      </c>
      <c r="D1446" s="1">
        <v>2.6458333333333334E-2</v>
      </c>
      <c r="E1446" t="s">
        <v>10195</v>
      </c>
      <c r="F1446" t="s">
        <v>10198</v>
      </c>
      <c r="G1446" s="82">
        <v>0.54020000000000001</v>
      </c>
      <c r="H1446" s="334">
        <f t="shared" si="43"/>
        <v>-2.9976851851851866E-3</v>
      </c>
    </row>
    <row r="1447" spans="1:10" x14ac:dyDescent="0.2">
      <c r="A1447" s="34">
        <v>43274</v>
      </c>
      <c r="B1447" s="1071" t="s">
        <v>5788</v>
      </c>
      <c r="C1447" s="1071" t="s">
        <v>5789</v>
      </c>
      <c r="D1447" s="1">
        <v>2.3460648148148147E-2</v>
      </c>
      <c r="E1447" s="80" t="s">
        <v>10132</v>
      </c>
      <c r="F1447" s="80" t="s">
        <v>10126</v>
      </c>
      <c r="G1447" s="82">
        <v>0.60929999999999995</v>
      </c>
      <c r="H1447" s="334">
        <f t="shared" si="43"/>
        <v>-1.8287037037037039E-3</v>
      </c>
      <c r="I1447" s="80" t="s">
        <v>10127</v>
      </c>
    </row>
    <row r="1448" spans="1:10" x14ac:dyDescent="0.2">
      <c r="A1448" s="523">
        <v>43246</v>
      </c>
      <c r="B1448" s="601" t="s">
        <v>5788</v>
      </c>
      <c r="C1448" s="958" t="s">
        <v>5789</v>
      </c>
      <c r="D1448" s="1">
        <v>2.1631944444444443E-2</v>
      </c>
      <c r="E1448" s="80" t="s">
        <v>3595</v>
      </c>
      <c r="F1448" s="69" t="s">
        <v>2629</v>
      </c>
      <c r="G1448" s="82">
        <v>0.66080000000000005</v>
      </c>
      <c r="H1448" s="334">
        <f t="shared" si="43"/>
        <v>2.7430555555555611E-3</v>
      </c>
      <c r="I1448" s="80"/>
    </row>
    <row r="1449" spans="1:10" x14ac:dyDescent="0.2">
      <c r="A1449" s="523">
        <v>43239</v>
      </c>
      <c r="B1449" s="80" t="s">
        <v>5788</v>
      </c>
      <c r="C1449" s="334" t="s">
        <v>5789</v>
      </c>
      <c r="D1449" s="334">
        <v>2.4375000000000004E-2</v>
      </c>
      <c r="E1449" s="80" t="s">
        <v>2464</v>
      </c>
      <c r="F1449" s="69" t="s">
        <v>9843</v>
      </c>
      <c r="G1449" s="82">
        <v>0.52639999999999998</v>
      </c>
      <c r="H1449" s="334">
        <f t="shared" si="43"/>
        <v>-2.2569444444444468E-3</v>
      </c>
      <c r="I1449" s="80"/>
    </row>
    <row r="1450" spans="1:10" x14ac:dyDescent="0.2">
      <c r="A1450" s="523">
        <v>43232</v>
      </c>
      <c r="B1450" s="1051" t="s">
        <v>5788</v>
      </c>
      <c r="C1450" s="1052" t="s">
        <v>5789</v>
      </c>
      <c r="D1450" s="1">
        <v>2.2118055555555557E-2</v>
      </c>
      <c r="E1450" s="80" t="s">
        <v>3595</v>
      </c>
      <c r="F1450" s="69" t="s">
        <v>9780</v>
      </c>
      <c r="G1450" s="82">
        <v>0.64629999999999999</v>
      </c>
      <c r="H1450" s="334">
        <f t="shared" si="43"/>
        <v>1.0300925925925929E-3</v>
      </c>
      <c r="I1450" s="80"/>
    </row>
    <row r="1451" spans="1:10" x14ac:dyDescent="0.2">
      <c r="A1451" s="523">
        <v>43225</v>
      </c>
      <c r="B1451" s="1044" t="s">
        <v>5788</v>
      </c>
      <c r="C1451" s="1045" t="s">
        <v>5789</v>
      </c>
      <c r="D1451" s="1">
        <v>2.314814814814815E-2</v>
      </c>
      <c r="E1451" s="80" t="s">
        <v>2464</v>
      </c>
      <c r="F1451" s="69" t="s">
        <v>3987</v>
      </c>
      <c r="G1451" s="82">
        <v>0.61750000000000005</v>
      </c>
      <c r="H1451" s="334">
        <f t="shared" si="43"/>
        <v>-6.4930555555555575E-3</v>
      </c>
      <c r="I1451" s="80"/>
    </row>
    <row r="1452" spans="1:10" x14ac:dyDescent="0.2">
      <c r="A1452" s="523">
        <v>43218</v>
      </c>
      <c r="B1452" s="568" t="s">
        <v>5788</v>
      </c>
      <c r="C1452" s="861" t="s">
        <v>5789</v>
      </c>
      <c r="D1452" s="1">
        <v>1.6655092592592593E-2</v>
      </c>
      <c r="E1452" s="80" t="s">
        <v>9673</v>
      </c>
      <c r="F1452" s="69" t="s">
        <v>9674</v>
      </c>
      <c r="G1452" s="82">
        <v>0.60570000000000002</v>
      </c>
      <c r="H1452" s="334">
        <f t="shared" si="43"/>
        <v>1.9629629629629632E-2</v>
      </c>
      <c r="I1452" s="80"/>
    </row>
    <row r="1453" spans="1:10" x14ac:dyDescent="0.2">
      <c r="A1453" s="523">
        <v>43204</v>
      </c>
      <c r="B1453" s="80" t="s">
        <v>5788</v>
      </c>
      <c r="C1453" s="334" t="s">
        <v>5789</v>
      </c>
      <c r="D1453" s="1">
        <v>3.6284722222222225E-2</v>
      </c>
      <c r="E1453" s="80" t="s">
        <v>2464</v>
      </c>
      <c r="F1453" s="69" t="s">
        <v>9607</v>
      </c>
      <c r="G1453" s="82">
        <v>0.39389999999999997</v>
      </c>
      <c r="H1453" s="334">
        <f t="shared" si="43"/>
        <v>-1.2523148148148151E-2</v>
      </c>
      <c r="I1453" s="80"/>
    </row>
    <row r="1454" spans="1:10" x14ac:dyDescent="0.2">
      <c r="A1454" s="523">
        <v>43176</v>
      </c>
      <c r="B1454" s="532" t="s">
        <v>5788</v>
      </c>
      <c r="C1454" s="843" t="s">
        <v>5789</v>
      </c>
      <c r="D1454" s="1">
        <v>2.3761574074074074E-2</v>
      </c>
      <c r="E1454" s="80" t="s">
        <v>2464</v>
      </c>
      <c r="F1454" s="69" t="s">
        <v>9447</v>
      </c>
      <c r="G1454" s="82">
        <v>0.60160000000000002</v>
      </c>
      <c r="H1454" s="334">
        <f t="shared" si="43"/>
        <v>5.2546296296296265E-3</v>
      </c>
      <c r="I1454" s="80"/>
    </row>
    <row r="1455" spans="1:10" x14ac:dyDescent="0.2">
      <c r="A1455" s="523">
        <v>43169</v>
      </c>
      <c r="B1455" s="862" t="s">
        <v>5788</v>
      </c>
      <c r="C1455" s="863" t="s">
        <v>5789</v>
      </c>
      <c r="D1455" s="1">
        <v>2.90162037037037E-2</v>
      </c>
      <c r="E1455" s="80" t="s">
        <v>2464</v>
      </c>
      <c r="F1455" s="69" t="s">
        <v>9424</v>
      </c>
      <c r="G1455" s="82">
        <v>0.49259999999999998</v>
      </c>
      <c r="H1455" s="334">
        <f t="shared" si="43"/>
        <v>-5.0347222222222217E-3</v>
      </c>
      <c r="I1455" s="80"/>
      <c r="J1455" t="s">
        <v>9431</v>
      </c>
    </row>
    <row r="1456" spans="1:10" x14ac:dyDescent="0.2">
      <c r="A1456" s="523">
        <v>43155</v>
      </c>
      <c r="B1456" s="940" t="s">
        <v>5788</v>
      </c>
      <c r="C1456" s="941" t="s">
        <v>5789</v>
      </c>
      <c r="D1456" s="1">
        <v>2.3981481481481479E-2</v>
      </c>
      <c r="E1456" s="80" t="s">
        <v>2464</v>
      </c>
      <c r="F1456" s="69" t="s">
        <v>9337</v>
      </c>
      <c r="G1456" s="82">
        <v>0.59599999999999997</v>
      </c>
      <c r="H1456" s="334">
        <f t="shared" si="43"/>
        <v>-1.2037037037037034E-3</v>
      </c>
      <c r="I1456" s="80"/>
    </row>
    <row r="1457" spans="1:9" x14ac:dyDescent="0.2">
      <c r="A1457" s="523">
        <v>43148</v>
      </c>
      <c r="B1457" s="568" t="s">
        <v>5788</v>
      </c>
      <c r="C1457" s="861" t="s">
        <v>5789</v>
      </c>
      <c r="D1457" s="1">
        <v>2.2777777777777775E-2</v>
      </c>
      <c r="E1457" s="80" t="s">
        <v>2464</v>
      </c>
      <c r="F1457" s="69" t="s">
        <v>9279</v>
      </c>
      <c r="G1457" s="82">
        <v>0.62749999999999995</v>
      </c>
      <c r="H1457" s="334">
        <f t="shared" si="43"/>
        <v>2.314814814815408E-5</v>
      </c>
      <c r="I1457" s="80"/>
    </row>
    <row r="1458" spans="1:9" x14ac:dyDescent="0.2">
      <c r="A1458" s="523">
        <v>43134</v>
      </c>
      <c r="B1458" s="985" t="s">
        <v>5788</v>
      </c>
      <c r="C1458" s="986" t="s">
        <v>5789</v>
      </c>
      <c r="D1458" s="1">
        <v>2.2800925925925929E-2</v>
      </c>
      <c r="E1458" s="80" t="s">
        <v>2464</v>
      </c>
      <c r="F1458" s="69" t="s">
        <v>9205</v>
      </c>
      <c r="G1458" s="82">
        <v>0.62690000000000001</v>
      </c>
      <c r="H1458" s="334">
        <f t="shared" ref="H1458:H1487" si="44">D1459-D1458</f>
        <v>1.4166666666666664E-2</v>
      </c>
      <c r="I1458" s="80"/>
    </row>
    <row r="1459" spans="1:9" x14ac:dyDescent="0.2">
      <c r="A1459" s="523">
        <v>43127</v>
      </c>
      <c r="B1459" s="862" t="s">
        <v>5788</v>
      </c>
      <c r="C1459" s="863" t="s">
        <v>5789</v>
      </c>
      <c r="D1459" s="1">
        <v>3.6967592592592594E-2</v>
      </c>
      <c r="E1459" s="80" t="s">
        <v>2464</v>
      </c>
      <c r="F1459" s="69" t="s">
        <v>4885</v>
      </c>
      <c r="G1459" s="82">
        <v>0.38669999999999999</v>
      </c>
      <c r="H1459" s="334">
        <f t="shared" si="44"/>
        <v>7.4074074074073626E-4</v>
      </c>
      <c r="I1459" s="80"/>
    </row>
    <row r="1460" spans="1:9" x14ac:dyDescent="0.2">
      <c r="A1460" s="523">
        <v>43120</v>
      </c>
      <c r="B1460" s="601" t="s">
        <v>5788</v>
      </c>
      <c r="C1460" s="958" t="s">
        <v>5789</v>
      </c>
      <c r="D1460" s="1">
        <v>3.770833333333333E-2</v>
      </c>
      <c r="E1460" s="80" t="s">
        <v>2464</v>
      </c>
      <c r="F1460" s="69" t="s">
        <v>9080</v>
      </c>
      <c r="G1460" s="82">
        <v>0.3795</v>
      </c>
      <c r="H1460" s="334">
        <f t="shared" si="44"/>
        <v>-1.5219907407407404E-2</v>
      </c>
      <c r="I1460" s="80"/>
    </row>
    <row r="1461" spans="1:9" x14ac:dyDescent="0.2">
      <c r="A1461" s="523">
        <v>43101</v>
      </c>
      <c r="B1461" s="556" t="s">
        <v>5788</v>
      </c>
      <c r="C1461" s="950" t="s">
        <v>5789</v>
      </c>
      <c r="D1461" s="1">
        <v>2.2488425925925926E-2</v>
      </c>
      <c r="E1461" s="80" t="s">
        <v>2464</v>
      </c>
      <c r="F1461" s="69" t="s">
        <v>9037</v>
      </c>
      <c r="G1461" s="82">
        <v>0.63560000000000005</v>
      </c>
      <c r="H1461" s="334">
        <f t="shared" si="44"/>
        <v>1.9675925925925764E-4</v>
      </c>
      <c r="I1461" s="80" t="s">
        <v>9036</v>
      </c>
    </row>
    <row r="1462" spans="1:9" x14ac:dyDescent="0.2">
      <c r="A1462" s="523">
        <v>43113</v>
      </c>
      <c r="B1462" s="972" t="s">
        <v>9064</v>
      </c>
      <c r="C1462" s="973" t="s">
        <v>5789</v>
      </c>
      <c r="D1462" s="1">
        <v>2.2685185185185183E-2</v>
      </c>
      <c r="E1462" s="80" t="s">
        <v>2464</v>
      </c>
      <c r="F1462" s="69" t="s">
        <v>9068</v>
      </c>
      <c r="G1462" s="82">
        <v>0.63009999999999999</v>
      </c>
      <c r="H1462" s="334">
        <f t="shared" si="44"/>
        <v>2.6620370370370253E-4</v>
      </c>
      <c r="I1462" s="80"/>
    </row>
    <row r="1463" spans="1:9" x14ac:dyDescent="0.2">
      <c r="A1463" s="523">
        <v>43106</v>
      </c>
      <c r="B1463" s="869" t="s">
        <v>9064</v>
      </c>
      <c r="C1463" s="903" t="s">
        <v>5789</v>
      </c>
      <c r="D1463" s="1">
        <v>2.2951388888888886E-2</v>
      </c>
      <c r="E1463" s="80" t="s">
        <v>9065</v>
      </c>
      <c r="F1463" s="69"/>
      <c r="G1463" s="82">
        <v>0.62280000000000002</v>
      </c>
      <c r="H1463" s="334">
        <f t="shared" si="44"/>
        <v>4.3634259259259303E-3</v>
      </c>
      <c r="I1463" s="80"/>
    </row>
    <row r="1464" spans="1:9" x14ac:dyDescent="0.2">
      <c r="A1464" s="523">
        <v>43309</v>
      </c>
      <c r="B1464" s="879" t="s">
        <v>3837</v>
      </c>
      <c r="C1464" s="879" t="s">
        <v>10332</v>
      </c>
      <c r="D1464" s="1">
        <v>2.7314814814814816E-2</v>
      </c>
      <c r="E1464" s="80" t="s">
        <v>10272</v>
      </c>
      <c r="F1464" s="80" t="s">
        <v>8236</v>
      </c>
      <c r="G1464" s="82">
        <v>0.38429999999999997</v>
      </c>
      <c r="H1464" s="334">
        <f t="shared" si="44"/>
        <v>-1.6990740740740744E-2</v>
      </c>
    </row>
    <row r="1465" spans="1:9" x14ac:dyDescent="0.2">
      <c r="A1465" s="523">
        <v>43351</v>
      </c>
      <c r="B1465" s="531" t="s">
        <v>3837</v>
      </c>
      <c r="C1465" s="531" t="s">
        <v>1788</v>
      </c>
      <c r="D1465" s="1">
        <v>1.0324074074074074E-2</v>
      </c>
      <c r="E1465" t="s">
        <v>5544</v>
      </c>
      <c r="F1465" t="s">
        <v>10579</v>
      </c>
      <c r="G1465" s="82">
        <v>0.88680000000000003</v>
      </c>
      <c r="H1465" s="334">
        <f t="shared" si="44"/>
        <v>7.152777777777777E-3</v>
      </c>
    </row>
    <row r="1466" spans="1:9" x14ac:dyDescent="0.2">
      <c r="A1466" s="523">
        <v>43232</v>
      </c>
      <c r="B1466" s="1051" t="s">
        <v>4578</v>
      </c>
      <c r="C1466" s="1052" t="s">
        <v>4579</v>
      </c>
      <c r="D1466" s="1">
        <v>1.7476851851851851E-2</v>
      </c>
      <c r="E1466" s="80" t="s">
        <v>5544</v>
      </c>
      <c r="F1466" s="69" t="s">
        <v>9554</v>
      </c>
      <c r="G1466" s="82">
        <v>0.6079</v>
      </c>
      <c r="H1466" s="334">
        <f t="shared" si="44"/>
        <v>6.8287037037037049E-3</v>
      </c>
      <c r="I1466" s="80"/>
    </row>
    <row r="1467" spans="1:9" x14ac:dyDescent="0.2">
      <c r="A1467" s="523">
        <v>43463</v>
      </c>
      <c r="B1467" s="862" t="s">
        <v>9794</v>
      </c>
      <c r="C1467" s="862" t="s">
        <v>9795</v>
      </c>
      <c r="D1467" s="1">
        <v>2.4305555555555556E-2</v>
      </c>
      <c r="E1467" s="80" t="s">
        <v>11408</v>
      </c>
      <c r="F1467" s="80" t="s">
        <v>11422</v>
      </c>
      <c r="G1467" s="82">
        <v>0.49759999999999999</v>
      </c>
      <c r="H1467" s="334">
        <f t="shared" si="44"/>
        <v>2.9050925925925911E-3</v>
      </c>
    </row>
    <row r="1468" spans="1:9" x14ac:dyDescent="0.2">
      <c r="A1468" s="523">
        <v>43449</v>
      </c>
      <c r="B1468" s="1029" t="s">
        <v>9794</v>
      </c>
      <c r="C1468" s="1029" t="s">
        <v>9795</v>
      </c>
      <c r="D1468" s="1">
        <v>2.7210648148148147E-2</v>
      </c>
      <c r="E1468" s="80" t="s">
        <v>2818</v>
      </c>
      <c r="F1468" s="80" t="s">
        <v>11288</v>
      </c>
      <c r="G1468" s="82">
        <v>0.44450000000000001</v>
      </c>
      <c r="H1468" s="334">
        <f t="shared" si="44"/>
        <v>-6.0763888888888881E-3</v>
      </c>
    </row>
    <row r="1469" spans="1:9" x14ac:dyDescent="0.2">
      <c r="A1469" s="523">
        <v>43442</v>
      </c>
      <c r="B1469" s="972" t="s">
        <v>9794</v>
      </c>
      <c r="C1469" s="972" t="s">
        <v>9795</v>
      </c>
      <c r="D1469" s="1">
        <v>2.1134259259259259E-2</v>
      </c>
      <c r="E1469" s="80" t="s">
        <v>1122</v>
      </c>
      <c r="F1469" s="80" t="s">
        <v>11260</v>
      </c>
      <c r="G1469" s="82">
        <v>0.5615</v>
      </c>
      <c r="H1469" s="334">
        <f t="shared" si="44"/>
        <v>-6.9444444444444198E-4</v>
      </c>
    </row>
    <row r="1470" spans="1:9" x14ac:dyDescent="0.2">
      <c r="A1470" s="523">
        <v>43428</v>
      </c>
      <c r="B1470" s="1038" t="s">
        <v>9794</v>
      </c>
      <c r="C1470" s="1038" t="s">
        <v>9795</v>
      </c>
      <c r="D1470" s="1">
        <v>2.0439814814814817E-2</v>
      </c>
      <c r="E1470" s="80" t="s">
        <v>2818</v>
      </c>
      <c r="F1470" s="80" t="s">
        <v>11122</v>
      </c>
      <c r="G1470" s="82">
        <v>0.58379999999999999</v>
      </c>
      <c r="H1470" s="334">
        <f t="shared" si="44"/>
        <v>7.0601851851851555E-4</v>
      </c>
    </row>
    <row r="1471" spans="1:9" x14ac:dyDescent="0.2">
      <c r="A1471" s="523">
        <v>43414</v>
      </c>
      <c r="B1471" s="862" t="s">
        <v>9794</v>
      </c>
      <c r="C1471" s="862" t="s">
        <v>9795</v>
      </c>
      <c r="D1471" s="1">
        <v>2.1145833333333332E-2</v>
      </c>
      <c r="E1471" s="80" t="s">
        <v>2818</v>
      </c>
      <c r="F1471" s="80" t="s">
        <v>11002</v>
      </c>
      <c r="G1471" s="82">
        <v>0.56430000000000002</v>
      </c>
      <c r="H1471" s="334">
        <f t="shared" si="44"/>
        <v>-2.3148148148148182E-4</v>
      </c>
    </row>
    <row r="1472" spans="1:9" x14ac:dyDescent="0.2">
      <c r="A1472" s="523">
        <v>43274</v>
      </c>
      <c r="B1472" s="556" t="s">
        <v>9794</v>
      </c>
      <c r="C1472" s="556" t="s">
        <v>9795</v>
      </c>
      <c r="D1472" s="1">
        <v>2.0914351851851851E-2</v>
      </c>
      <c r="E1472" s="80" t="s">
        <v>2818</v>
      </c>
      <c r="F1472" s="80" t="s">
        <v>10173</v>
      </c>
      <c r="G1472" s="82">
        <v>0.5706</v>
      </c>
      <c r="H1472" s="334" t="e">
        <f t="shared" si="44"/>
        <v>#VALUE!</v>
      </c>
    </row>
    <row r="1473" spans="1:9" x14ac:dyDescent="0.2">
      <c r="A1473" s="523">
        <v>43456</v>
      </c>
      <c r="B1473" s="556" t="s">
        <v>503</v>
      </c>
      <c r="C1473" s="556" t="s">
        <v>504</v>
      </c>
      <c r="D1473" s="334" t="s">
        <v>787</v>
      </c>
      <c r="E1473" s="80" t="s">
        <v>5198</v>
      </c>
      <c r="F1473" s="80"/>
      <c r="G1473" s="82"/>
      <c r="H1473" s="334" t="e">
        <f t="shared" si="44"/>
        <v>#VALUE!</v>
      </c>
    </row>
    <row r="1474" spans="1:9" x14ac:dyDescent="0.2">
      <c r="A1474" s="34">
        <v>43372</v>
      </c>
      <c r="B1474" s="532" t="s">
        <v>503</v>
      </c>
      <c r="C1474" s="532" t="s">
        <v>504</v>
      </c>
      <c r="D1474" s="624" t="s">
        <v>787</v>
      </c>
      <c r="E1474" s="80" t="s">
        <v>5198</v>
      </c>
      <c r="F1474" s="80" t="s">
        <v>4061</v>
      </c>
      <c r="H1474" s="334" t="e">
        <f t="shared" si="44"/>
        <v>#VALUE!</v>
      </c>
    </row>
    <row r="1475" spans="1:9" x14ac:dyDescent="0.2">
      <c r="A1475" s="523">
        <v>43344</v>
      </c>
      <c r="B1475" s="552" t="s">
        <v>503</v>
      </c>
      <c r="C1475" s="552" t="s">
        <v>504</v>
      </c>
      <c r="D1475" s="80" t="s">
        <v>787</v>
      </c>
      <c r="E1475" s="80" t="s">
        <v>5198</v>
      </c>
      <c r="F1475" s="80" t="s">
        <v>4061</v>
      </c>
      <c r="G1475" s="82"/>
      <c r="H1475" s="334" t="e">
        <f t="shared" si="44"/>
        <v>#VALUE!</v>
      </c>
    </row>
    <row r="1476" spans="1:9" x14ac:dyDescent="0.2">
      <c r="A1476" s="523">
        <v>43316</v>
      </c>
      <c r="B1476" s="1029" t="s">
        <v>503</v>
      </c>
      <c r="C1476" s="1030" t="s">
        <v>504</v>
      </c>
      <c r="D1476" s="136" t="s">
        <v>787</v>
      </c>
      <c r="E1476" s="80" t="s">
        <v>5198</v>
      </c>
      <c r="F1476" s="69" t="s">
        <v>4061</v>
      </c>
      <c r="G1476" s="82"/>
      <c r="H1476" s="334" t="e">
        <f t="shared" si="44"/>
        <v>#VALUE!</v>
      </c>
    </row>
    <row r="1477" spans="1:9" x14ac:dyDescent="0.2">
      <c r="A1477" s="33">
        <v>43309</v>
      </c>
      <c r="B1477" s="879" t="s">
        <v>503</v>
      </c>
      <c r="C1477" s="879" t="s">
        <v>504</v>
      </c>
      <c r="D1477" s="80" t="s">
        <v>787</v>
      </c>
      <c r="E1477" s="80" t="s">
        <v>5198</v>
      </c>
      <c r="F1477" s="80" t="s">
        <v>4061</v>
      </c>
      <c r="H1477" s="334" t="e">
        <f t="shared" si="44"/>
        <v>#VALUE!</v>
      </c>
    </row>
    <row r="1478" spans="1:9" x14ac:dyDescent="0.2">
      <c r="A1478" s="523">
        <v>43281</v>
      </c>
      <c r="B1478" s="556" t="s">
        <v>503</v>
      </c>
      <c r="C1478" s="950" t="s">
        <v>504</v>
      </c>
      <c r="D1478" s="334" t="s">
        <v>787</v>
      </c>
      <c r="E1478" s="80" t="s">
        <v>5198</v>
      </c>
      <c r="F1478" s="69" t="s">
        <v>4061</v>
      </c>
      <c r="G1478" s="82"/>
      <c r="H1478" s="334" t="e">
        <f t="shared" si="44"/>
        <v>#VALUE!</v>
      </c>
    </row>
    <row r="1479" spans="1:9" x14ac:dyDescent="0.2">
      <c r="A1479" s="523">
        <v>43253</v>
      </c>
      <c r="B1479" s="901" t="s">
        <v>503</v>
      </c>
      <c r="C1479" s="902" t="s">
        <v>504</v>
      </c>
      <c r="D1479" s="334" t="s">
        <v>787</v>
      </c>
      <c r="E1479" s="80" t="s">
        <v>5198</v>
      </c>
      <c r="F1479" s="69" t="s">
        <v>4061</v>
      </c>
      <c r="G1479" s="82"/>
      <c r="H1479" s="334" t="e">
        <f t="shared" si="44"/>
        <v>#VALUE!</v>
      </c>
      <c r="I1479" s="80"/>
    </row>
    <row r="1480" spans="1:9" x14ac:dyDescent="0.2">
      <c r="A1480" s="523">
        <v>43190</v>
      </c>
      <c r="B1480" s="1029" t="s">
        <v>503</v>
      </c>
      <c r="C1480" s="1030" t="s">
        <v>504</v>
      </c>
      <c r="D1480" s="1" t="s">
        <v>787</v>
      </c>
      <c r="E1480" s="80" t="s">
        <v>5198</v>
      </c>
      <c r="F1480" s="69" t="s">
        <v>4061</v>
      </c>
      <c r="G1480" s="82"/>
      <c r="H1480" s="334" t="e">
        <f t="shared" si="44"/>
        <v>#VALUE!</v>
      </c>
      <c r="I1480" s="80"/>
    </row>
    <row r="1481" spans="1:9" x14ac:dyDescent="0.2">
      <c r="A1481" s="523">
        <v>43176</v>
      </c>
      <c r="B1481" s="532" t="s">
        <v>503</v>
      </c>
      <c r="C1481" s="843" t="s">
        <v>504</v>
      </c>
      <c r="D1481" s="1" t="s">
        <v>787</v>
      </c>
      <c r="E1481" s="80" t="s">
        <v>5198</v>
      </c>
      <c r="F1481" s="69" t="s">
        <v>4061</v>
      </c>
      <c r="G1481" s="82"/>
      <c r="H1481" s="334" t="e">
        <f t="shared" si="44"/>
        <v>#VALUE!</v>
      </c>
      <c r="I1481" s="80"/>
    </row>
    <row r="1482" spans="1:9" x14ac:dyDescent="0.2">
      <c r="A1482" s="523">
        <v>43456</v>
      </c>
      <c r="B1482" s="556" t="s">
        <v>2304</v>
      </c>
      <c r="C1482" s="556" t="s">
        <v>3961</v>
      </c>
      <c r="D1482" s="1">
        <v>2.0787037037037038E-2</v>
      </c>
      <c r="E1482" s="80" t="s">
        <v>209</v>
      </c>
      <c r="F1482" s="80" t="s">
        <v>11345</v>
      </c>
      <c r="G1482" s="82">
        <v>0.62139999999999995</v>
      </c>
      <c r="H1482" s="334">
        <f t="shared" si="44"/>
        <v>2.66203703703706E-4</v>
      </c>
    </row>
    <row r="1483" spans="1:9" x14ac:dyDescent="0.2">
      <c r="A1483" s="523">
        <v>43407</v>
      </c>
      <c r="B1483" s="901" t="s">
        <v>2304</v>
      </c>
      <c r="C1483" s="901" t="s">
        <v>3961</v>
      </c>
      <c r="D1483" s="1">
        <v>2.1053240740740744E-2</v>
      </c>
      <c r="E1483" s="80" t="s">
        <v>10977</v>
      </c>
      <c r="F1483" s="80" t="s">
        <v>10962</v>
      </c>
      <c r="G1483" s="82">
        <v>0.61350000000000005</v>
      </c>
      <c r="H1483" s="334">
        <f t="shared" si="44"/>
        <v>6.0185185185184648E-4</v>
      </c>
    </row>
    <row r="1484" spans="1:9" x14ac:dyDescent="0.2">
      <c r="A1484" s="523">
        <v>43337</v>
      </c>
      <c r="B1484" s="1044" t="s">
        <v>2304</v>
      </c>
      <c r="C1484" s="1044" t="s">
        <v>3961</v>
      </c>
      <c r="D1484" s="1">
        <v>2.165509259259259E-2</v>
      </c>
      <c r="E1484" s="80" t="s">
        <v>203</v>
      </c>
      <c r="F1484" s="80" t="s">
        <v>10493</v>
      </c>
      <c r="G1484" s="82">
        <v>0.58850000000000002</v>
      </c>
      <c r="H1484" s="334">
        <f t="shared" si="44"/>
        <v>-1.2731481481480927E-4</v>
      </c>
    </row>
    <row r="1485" spans="1:9" x14ac:dyDescent="0.2">
      <c r="A1485" s="523">
        <v>43295</v>
      </c>
      <c r="B1485" s="601" t="s">
        <v>2304</v>
      </c>
      <c r="C1485" s="601" t="s">
        <v>3961</v>
      </c>
      <c r="D1485" s="1">
        <v>2.1527777777777781E-2</v>
      </c>
      <c r="E1485" s="80" t="s">
        <v>8897</v>
      </c>
      <c r="F1485" s="80" t="s">
        <v>10238</v>
      </c>
      <c r="G1485" s="82">
        <v>0.59189999999999998</v>
      </c>
      <c r="H1485" s="334">
        <f t="shared" si="44"/>
        <v>4.6296296296294281E-5</v>
      </c>
    </row>
    <row r="1486" spans="1:9" x14ac:dyDescent="0.2">
      <c r="A1486" s="523">
        <v>43281</v>
      </c>
      <c r="B1486" s="552" t="s">
        <v>2304</v>
      </c>
      <c r="C1486" s="552" t="s">
        <v>3961</v>
      </c>
      <c r="D1486" s="1">
        <v>2.1574074074074075E-2</v>
      </c>
      <c r="E1486" s="80" t="s">
        <v>5544</v>
      </c>
      <c r="F1486" s="80" t="s">
        <v>10155</v>
      </c>
      <c r="G1486" s="82">
        <v>0.5907</v>
      </c>
      <c r="H1486" s="334">
        <f t="shared" si="44"/>
        <v>2.8009259259259289E-3</v>
      </c>
    </row>
    <row r="1487" spans="1:9" x14ac:dyDescent="0.2">
      <c r="A1487" s="523">
        <v>43190</v>
      </c>
      <c r="B1487" s="930" t="s">
        <v>2304</v>
      </c>
      <c r="C1487" s="931" t="s">
        <v>3961</v>
      </c>
      <c r="D1487" s="1">
        <v>2.4375000000000004E-2</v>
      </c>
      <c r="E1487" s="80" t="s">
        <v>8855</v>
      </c>
      <c r="F1487" s="69" t="s">
        <v>9536</v>
      </c>
      <c r="G1487" s="82">
        <v>0.52280000000000004</v>
      </c>
      <c r="H1487" s="334">
        <f t="shared" si="44"/>
        <v>-7.3263888888888927E-3</v>
      </c>
      <c r="I1487" s="80"/>
    </row>
    <row r="1488" spans="1:9" x14ac:dyDescent="0.2">
      <c r="A1488" s="523">
        <v>43459</v>
      </c>
      <c r="B1488" s="80" t="s">
        <v>4977</v>
      </c>
      <c r="C1488" s="80" t="s">
        <v>3961</v>
      </c>
      <c r="D1488" s="1">
        <v>1.7048611111111112E-2</v>
      </c>
      <c r="E1488" s="80" t="s">
        <v>6393</v>
      </c>
      <c r="F1488" s="80" t="s">
        <v>8122</v>
      </c>
      <c r="G1488" s="82">
        <v>0.60289999999999999</v>
      </c>
      <c r="H1488" s="80"/>
    </row>
    <row r="1489" spans="1:10" x14ac:dyDescent="0.2">
      <c r="A1489" s="523">
        <v>43456</v>
      </c>
      <c r="B1489" s="556" t="s">
        <v>4977</v>
      </c>
      <c r="C1489" s="556" t="s">
        <v>3961</v>
      </c>
      <c r="D1489" s="1">
        <v>1.3842592592592594E-2</v>
      </c>
      <c r="E1489" s="80" t="s">
        <v>209</v>
      </c>
      <c r="F1489" s="80" t="s">
        <v>11344</v>
      </c>
      <c r="G1489" s="82">
        <v>0.74250000000000005</v>
      </c>
      <c r="H1489" s="334">
        <f>D1490-D1489</f>
        <v>-6.59722222222223E-4</v>
      </c>
    </row>
    <row r="1490" spans="1:10" x14ac:dyDescent="0.2">
      <c r="A1490" s="523">
        <v>43351</v>
      </c>
      <c r="B1490" s="532" t="s">
        <v>4977</v>
      </c>
      <c r="C1490" s="532" t="s">
        <v>3961</v>
      </c>
      <c r="D1490" s="1">
        <v>1.3182870370370371E-2</v>
      </c>
      <c r="E1490" s="80" t="s">
        <v>715</v>
      </c>
      <c r="F1490" s="80" t="s">
        <v>10611</v>
      </c>
      <c r="G1490" s="82">
        <v>0.77959999999999996</v>
      </c>
      <c r="H1490" s="334">
        <f>D1491-D1490</f>
        <v>1.1203703703703704E-2</v>
      </c>
      <c r="J1490" t="s">
        <v>10620</v>
      </c>
    </row>
    <row r="1491" spans="1:10" x14ac:dyDescent="0.2">
      <c r="A1491" s="523">
        <v>43190</v>
      </c>
      <c r="B1491" s="1029" t="s">
        <v>4977</v>
      </c>
      <c r="C1491" s="1030" t="s">
        <v>3961</v>
      </c>
      <c r="D1491" s="1">
        <v>2.4386574074074074E-2</v>
      </c>
      <c r="E1491" s="80" t="s">
        <v>8855</v>
      </c>
      <c r="F1491" s="69" t="s">
        <v>3077</v>
      </c>
      <c r="G1491" s="82">
        <v>0.42149999999999999</v>
      </c>
      <c r="H1491" s="334">
        <f>D1492-D1491</f>
        <v>-7.3379629629629628E-3</v>
      </c>
      <c r="I1491" s="80"/>
    </row>
    <row r="1492" spans="1:10" x14ac:dyDescent="0.2">
      <c r="A1492" s="523">
        <v>43459</v>
      </c>
      <c r="B1492" s="80" t="s">
        <v>3960</v>
      </c>
      <c r="C1492" s="80" t="s">
        <v>3961</v>
      </c>
      <c r="D1492" s="1">
        <v>1.7048611111111112E-2</v>
      </c>
      <c r="E1492" s="80" t="s">
        <v>6393</v>
      </c>
      <c r="F1492" s="80" t="s">
        <v>10638</v>
      </c>
      <c r="G1492" s="82">
        <v>0.63680000000000003</v>
      </c>
      <c r="H1492" s="80"/>
    </row>
    <row r="1493" spans="1:10" x14ac:dyDescent="0.2">
      <c r="A1493" s="523">
        <v>43456</v>
      </c>
      <c r="B1493" s="556" t="s">
        <v>3960</v>
      </c>
      <c r="C1493" s="556" t="s">
        <v>3961</v>
      </c>
      <c r="D1493" s="1">
        <v>1.4699074074074074E-2</v>
      </c>
      <c r="E1493" s="80" t="s">
        <v>209</v>
      </c>
      <c r="F1493" s="80" t="s">
        <v>11343</v>
      </c>
      <c r="G1493" s="82">
        <v>0.73860000000000003</v>
      </c>
      <c r="H1493" s="334">
        <f t="shared" ref="H1493:H1524" si="45">D1494-D1493</f>
        <v>2.3148148148148182E-4</v>
      </c>
    </row>
    <row r="1494" spans="1:10" x14ac:dyDescent="0.2">
      <c r="A1494" s="523">
        <v>43428</v>
      </c>
      <c r="B1494" s="1038" t="s">
        <v>3960</v>
      </c>
      <c r="C1494" s="1038" t="s">
        <v>3961</v>
      </c>
      <c r="D1494" s="1">
        <v>1.4930555555555556E-2</v>
      </c>
      <c r="E1494" s="80" t="s">
        <v>4176</v>
      </c>
      <c r="F1494" s="80" t="s">
        <v>11127</v>
      </c>
      <c r="G1494" s="82">
        <v>0.72709999999999997</v>
      </c>
      <c r="H1494" s="334">
        <f t="shared" si="45"/>
        <v>-3.4722222222224181E-5</v>
      </c>
      <c r="I1494" t="s">
        <v>11103</v>
      </c>
    </row>
    <row r="1495" spans="1:10" x14ac:dyDescent="0.2">
      <c r="A1495" s="523">
        <v>43407</v>
      </c>
      <c r="B1495" s="901" t="s">
        <v>3960</v>
      </c>
      <c r="C1495" s="901" t="s">
        <v>3961</v>
      </c>
      <c r="D1495" s="1">
        <v>1.4895833333333332E-2</v>
      </c>
      <c r="E1495" s="80" t="s">
        <v>10977</v>
      </c>
      <c r="F1495" s="80" t="s">
        <v>10963</v>
      </c>
      <c r="G1495" s="82">
        <v>0.7288</v>
      </c>
      <c r="H1495" s="334">
        <f t="shared" si="45"/>
        <v>-3.0092592592592671E-4</v>
      </c>
    </row>
    <row r="1496" spans="1:10" x14ac:dyDescent="0.2">
      <c r="A1496" s="523">
        <v>43351</v>
      </c>
      <c r="B1496" s="532" t="s">
        <v>3960</v>
      </c>
      <c r="C1496" s="532" t="s">
        <v>3961</v>
      </c>
      <c r="D1496" s="1">
        <v>1.4594907407407405E-2</v>
      </c>
      <c r="E1496" s="80" t="s">
        <v>2593</v>
      </c>
      <c r="F1496" s="80" t="s">
        <v>10610</v>
      </c>
      <c r="G1496" s="82">
        <v>0.74390000000000001</v>
      </c>
      <c r="H1496" s="334">
        <f t="shared" si="45"/>
        <v>7.071759259259262E-3</v>
      </c>
    </row>
    <row r="1497" spans="1:10" x14ac:dyDescent="0.2">
      <c r="A1497" s="523">
        <v>43337</v>
      </c>
      <c r="B1497" s="1044" t="s">
        <v>3960</v>
      </c>
      <c r="C1497" s="1044" t="s">
        <v>3961</v>
      </c>
      <c r="D1497" s="1">
        <v>2.1666666666666667E-2</v>
      </c>
      <c r="E1497" s="80" t="s">
        <v>203</v>
      </c>
      <c r="F1497" s="80" t="s">
        <v>10492</v>
      </c>
      <c r="G1497" s="82">
        <v>0.50109999999999999</v>
      </c>
      <c r="H1497" s="334">
        <f t="shared" si="45"/>
        <v>-7.1064814814814845E-3</v>
      </c>
    </row>
    <row r="1498" spans="1:10" x14ac:dyDescent="0.2">
      <c r="A1498" s="523">
        <v>43295</v>
      </c>
      <c r="B1498" s="601" t="s">
        <v>3960</v>
      </c>
      <c r="C1498" s="601" t="s">
        <v>3961</v>
      </c>
      <c r="D1498" s="1">
        <v>1.4560185185185183E-2</v>
      </c>
      <c r="E1498" s="80" t="s">
        <v>8897</v>
      </c>
      <c r="F1498" s="80" t="s">
        <v>10255</v>
      </c>
      <c r="G1498" s="82">
        <v>0.73929999999999996</v>
      </c>
      <c r="H1498" s="334">
        <f t="shared" si="45"/>
        <v>1.1574074074074264E-4</v>
      </c>
    </row>
    <row r="1499" spans="1:10" x14ac:dyDescent="0.2">
      <c r="A1499" s="523">
        <v>43281</v>
      </c>
      <c r="B1499" s="552" t="s">
        <v>3960</v>
      </c>
      <c r="C1499" s="552" t="s">
        <v>3961</v>
      </c>
      <c r="D1499" s="1">
        <v>1.4675925925925926E-2</v>
      </c>
      <c r="E1499" s="80" t="s">
        <v>5544</v>
      </c>
      <c r="F1499" s="80" t="s">
        <v>10152</v>
      </c>
      <c r="G1499" s="82">
        <v>0.73240000000000005</v>
      </c>
      <c r="H1499" s="334">
        <f t="shared" si="45"/>
        <v>-2.1990740740740651E-4</v>
      </c>
    </row>
    <row r="1500" spans="1:10" x14ac:dyDescent="0.2">
      <c r="A1500" s="523">
        <v>43260</v>
      </c>
      <c r="B1500" s="532" t="s">
        <v>3960</v>
      </c>
      <c r="C1500" s="843" t="s">
        <v>3961</v>
      </c>
      <c r="D1500" s="1">
        <v>1.4456018518518519E-2</v>
      </c>
      <c r="E1500" s="80" t="s">
        <v>6393</v>
      </c>
      <c r="F1500" s="69" t="s">
        <v>2629</v>
      </c>
      <c r="G1500" s="82">
        <v>0.74460000000000004</v>
      </c>
      <c r="H1500" s="334">
        <f t="shared" si="45"/>
        <v>1.2731481481481274E-4</v>
      </c>
      <c r="I1500" s="80"/>
    </row>
    <row r="1501" spans="1:10" x14ac:dyDescent="0.2">
      <c r="A1501" s="523">
        <v>43253</v>
      </c>
      <c r="B1501" s="901" t="s">
        <v>3960</v>
      </c>
      <c r="C1501" s="902" t="s">
        <v>3961</v>
      </c>
      <c r="D1501" s="1">
        <v>1.4583333333333332E-2</v>
      </c>
      <c r="E1501" s="80" t="s">
        <v>3323</v>
      </c>
      <c r="F1501" s="69" t="s">
        <v>9876</v>
      </c>
      <c r="G1501" s="82">
        <v>0.73809999999999998</v>
      </c>
      <c r="H1501" s="334">
        <f t="shared" si="45"/>
        <v>5.3240740740740852E-4</v>
      </c>
      <c r="I1501" s="80"/>
    </row>
    <row r="1502" spans="1:10" x14ac:dyDescent="0.2">
      <c r="A1502" s="523">
        <v>43225</v>
      </c>
      <c r="B1502" s="1044" t="s">
        <v>3960</v>
      </c>
      <c r="C1502" s="1045" t="s">
        <v>3961</v>
      </c>
      <c r="D1502" s="1">
        <v>1.511574074074074E-2</v>
      </c>
      <c r="E1502" s="80" t="s">
        <v>5337</v>
      </c>
      <c r="F1502" s="69" t="s">
        <v>9718</v>
      </c>
      <c r="G1502" s="82">
        <v>0.71209999999999996</v>
      </c>
      <c r="H1502" s="334">
        <f t="shared" si="45"/>
        <v>-3.2407407407407211E-4</v>
      </c>
      <c r="I1502" s="80"/>
    </row>
    <row r="1503" spans="1:10" x14ac:dyDescent="0.2">
      <c r="A1503" s="523">
        <v>43211</v>
      </c>
      <c r="B1503" s="1038" t="s">
        <v>3960</v>
      </c>
      <c r="C1503" s="1039" t="s">
        <v>3961</v>
      </c>
      <c r="D1503" s="1">
        <v>1.4791666666666668E-2</v>
      </c>
      <c r="E1503" s="80" t="s">
        <v>1020</v>
      </c>
      <c r="F1503" s="69" t="s">
        <v>9637</v>
      </c>
      <c r="G1503" s="82">
        <v>0.72770000000000001</v>
      </c>
      <c r="H1503" s="334">
        <f t="shared" si="45"/>
        <v>-3.2407407407407558E-4</v>
      </c>
      <c r="I1503" s="80"/>
    </row>
    <row r="1504" spans="1:10" x14ac:dyDescent="0.2">
      <c r="A1504" s="523">
        <v>43197</v>
      </c>
      <c r="B1504" s="930" t="s">
        <v>3960</v>
      </c>
      <c r="C1504" s="931" t="s">
        <v>3961</v>
      </c>
      <c r="D1504" s="1">
        <v>1.4467592592592593E-2</v>
      </c>
      <c r="E1504" s="80" t="s">
        <v>2593</v>
      </c>
      <c r="F1504" s="69" t="s">
        <v>9567</v>
      </c>
      <c r="G1504" s="82">
        <v>0.74399999999999999</v>
      </c>
      <c r="H1504" s="334">
        <f t="shared" si="45"/>
        <v>1.8865740740740735E-3</v>
      </c>
      <c r="I1504" s="80"/>
    </row>
    <row r="1505" spans="1:9" x14ac:dyDescent="0.2">
      <c r="A1505" s="523">
        <v>43190</v>
      </c>
      <c r="B1505" s="1029" t="s">
        <v>3960</v>
      </c>
      <c r="C1505" s="1030" t="s">
        <v>3961</v>
      </c>
      <c r="D1505" s="1">
        <v>1.6354166666666666E-2</v>
      </c>
      <c r="E1505" s="80" t="s">
        <v>8855</v>
      </c>
      <c r="F1505" s="69" t="s">
        <v>9531</v>
      </c>
      <c r="G1505" s="82">
        <v>0.65820000000000001</v>
      </c>
      <c r="H1505" s="334">
        <f t="shared" si="45"/>
        <v>-1.9097222222222206E-3</v>
      </c>
      <c r="I1505" s="80"/>
    </row>
    <row r="1506" spans="1:9" x14ac:dyDescent="0.2">
      <c r="A1506" s="523">
        <v>43183</v>
      </c>
      <c r="B1506" s="1019" t="s">
        <v>3960</v>
      </c>
      <c r="C1506" s="1020" t="s">
        <v>3961</v>
      </c>
      <c r="D1506" s="1">
        <v>1.4444444444444446E-2</v>
      </c>
      <c r="E1506" s="80" t="s">
        <v>2593</v>
      </c>
      <c r="F1506" s="69" t="s">
        <v>9491</v>
      </c>
      <c r="G1506" s="82">
        <v>0.74519999999999997</v>
      </c>
      <c r="H1506" s="334">
        <f t="shared" si="45"/>
        <v>7.7546296296296391E-4</v>
      </c>
      <c r="I1506" s="80"/>
    </row>
    <row r="1507" spans="1:9" x14ac:dyDescent="0.2">
      <c r="A1507" s="523">
        <v>43120</v>
      </c>
      <c r="B1507" s="601" t="s">
        <v>3960</v>
      </c>
      <c r="C1507" s="958" t="s">
        <v>3961</v>
      </c>
      <c r="D1507" s="1">
        <v>1.5219907407407409E-2</v>
      </c>
      <c r="E1507" s="80" t="s">
        <v>861</v>
      </c>
      <c r="F1507" s="69" t="s">
        <v>9084</v>
      </c>
      <c r="G1507" s="82">
        <v>0.70720000000000005</v>
      </c>
      <c r="H1507" s="334">
        <f t="shared" si="45"/>
        <v>7.2916666666666442E-4</v>
      </c>
      <c r="I1507" s="80"/>
    </row>
    <row r="1508" spans="1:9" x14ac:dyDescent="0.2">
      <c r="A1508" s="523">
        <v>43113</v>
      </c>
      <c r="B1508" s="972" t="s">
        <v>3960</v>
      </c>
      <c r="C1508" s="973" t="s">
        <v>3961</v>
      </c>
      <c r="D1508" s="1">
        <v>1.5949074074074074E-2</v>
      </c>
      <c r="E1508" s="80" t="s">
        <v>9055</v>
      </c>
      <c r="F1508" s="69" t="s">
        <v>9062</v>
      </c>
      <c r="G1508" s="82">
        <v>0.67490000000000006</v>
      </c>
      <c r="H1508" s="334">
        <f t="shared" si="45"/>
        <v>-8.5648148148148064E-4</v>
      </c>
      <c r="I1508" s="80" t="s">
        <v>9077</v>
      </c>
    </row>
    <row r="1509" spans="1:9" x14ac:dyDescent="0.2">
      <c r="A1509" s="523">
        <v>43106</v>
      </c>
      <c r="B1509" s="869" t="s">
        <v>3960</v>
      </c>
      <c r="C1509" s="903" t="s">
        <v>3961</v>
      </c>
      <c r="D1509" s="1">
        <v>1.5092592592592593E-2</v>
      </c>
      <c r="E1509" s="80" t="s">
        <v>2995</v>
      </c>
      <c r="F1509" s="69" t="s">
        <v>2629</v>
      </c>
      <c r="G1509" s="82">
        <v>0.71319999999999995</v>
      </c>
      <c r="H1509" s="334">
        <f t="shared" si="45"/>
        <v>-2.1990740740740825E-4</v>
      </c>
      <c r="I1509" s="80"/>
    </row>
    <row r="1510" spans="1:9" x14ac:dyDescent="0.2">
      <c r="A1510" s="523">
        <v>43101</v>
      </c>
      <c r="B1510" s="556" t="s">
        <v>3960</v>
      </c>
      <c r="C1510" s="950" t="s">
        <v>3961</v>
      </c>
      <c r="D1510" s="1">
        <v>1.4872685185185185E-2</v>
      </c>
      <c r="E1510" s="80" t="s">
        <v>420</v>
      </c>
      <c r="F1510" s="69" t="s">
        <v>9039</v>
      </c>
      <c r="G1510" s="82">
        <v>0.72370000000000001</v>
      </c>
      <c r="H1510" s="334">
        <f t="shared" si="45"/>
        <v>1.6203703703703519E-4</v>
      </c>
      <c r="I1510" s="80" t="s">
        <v>2653</v>
      </c>
    </row>
    <row r="1511" spans="1:9" x14ac:dyDescent="0.2">
      <c r="A1511" s="523">
        <v>43101</v>
      </c>
      <c r="B1511" s="556" t="s">
        <v>3960</v>
      </c>
      <c r="C1511" s="950" t="s">
        <v>3961</v>
      </c>
      <c r="D1511" s="1">
        <v>1.503472222222222E-2</v>
      </c>
      <c r="E1511" s="80" t="s">
        <v>1780</v>
      </c>
      <c r="F1511" s="69" t="s">
        <v>9038</v>
      </c>
      <c r="G1511" s="82">
        <v>0.71589999999999998</v>
      </c>
      <c r="H1511" s="334">
        <f t="shared" si="45"/>
        <v>1.5046296296296509E-4</v>
      </c>
      <c r="I1511" s="80" t="s">
        <v>139</v>
      </c>
    </row>
    <row r="1512" spans="1:9" x14ac:dyDescent="0.2">
      <c r="A1512" s="523">
        <v>43288</v>
      </c>
      <c r="B1512" s="1077" t="s">
        <v>1847</v>
      </c>
      <c r="C1512" s="1077" t="s">
        <v>3961</v>
      </c>
      <c r="D1512" s="1">
        <v>1.5185185185185185E-2</v>
      </c>
      <c r="E1512" t="s">
        <v>5055</v>
      </c>
      <c r="F1512" t="s">
        <v>10202</v>
      </c>
      <c r="G1512" s="82">
        <v>0.70879999999999999</v>
      </c>
      <c r="H1512" s="334" t="e">
        <f t="shared" si="45"/>
        <v>#VALUE!</v>
      </c>
    </row>
    <row r="1513" spans="1:9" x14ac:dyDescent="0.2">
      <c r="A1513" s="523">
        <v>43113</v>
      </c>
      <c r="B1513" s="972" t="s">
        <v>1308</v>
      </c>
      <c r="C1513" s="973" t="s">
        <v>1506</v>
      </c>
      <c r="D1513" s="334" t="s">
        <v>787</v>
      </c>
      <c r="E1513" s="80" t="s">
        <v>6019</v>
      </c>
      <c r="F1513" s="69" t="s">
        <v>4185</v>
      </c>
      <c r="G1513" s="82"/>
      <c r="H1513" s="334" t="e">
        <f t="shared" si="45"/>
        <v>#VALUE!</v>
      </c>
      <c r="I1513" s="80"/>
    </row>
    <row r="1514" spans="1:9" x14ac:dyDescent="0.2">
      <c r="A1514" s="523">
        <v>43435</v>
      </c>
      <c r="B1514" s="1164" t="s">
        <v>2416</v>
      </c>
      <c r="C1514" s="1164" t="s">
        <v>2417</v>
      </c>
      <c r="D1514" s="1">
        <v>2.2673611111111113E-2</v>
      </c>
      <c r="E1514" s="80" t="s">
        <v>1827</v>
      </c>
      <c r="F1514" s="80" t="s">
        <v>11175</v>
      </c>
      <c r="G1514" s="82">
        <v>0.60509999999999997</v>
      </c>
      <c r="H1514" s="334">
        <f t="shared" si="45"/>
        <v>-9.3750000000000083E-4</v>
      </c>
    </row>
    <row r="1515" spans="1:9" x14ac:dyDescent="0.2">
      <c r="A1515" s="523">
        <v>43428</v>
      </c>
      <c r="B1515" s="1038" t="s">
        <v>2416</v>
      </c>
      <c r="C1515" s="1038" t="s">
        <v>2417</v>
      </c>
      <c r="D1515" s="1">
        <v>2.1736111111111112E-2</v>
      </c>
      <c r="E1515" s="80" t="s">
        <v>11115</v>
      </c>
      <c r="F1515" s="80" t="s">
        <v>11116</v>
      </c>
      <c r="G1515" s="82">
        <v>0.63790000000000002</v>
      </c>
      <c r="H1515" s="334">
        <f t="shared" si="45"/>
        <v>3.1250000000000028E-4</v>
      </c>
    </row>
    <row r="1516" spans="1:9" x14ac:dyDescent="0.2">
      <c r="A1516" s="523">
        <v>43421</v>
      </c>
      <c r="B1516" s="906" t="s">
        <v>2416</v>
      </c>
      <c r="C1516" s="906" t="s">
        <v>2417</v>
      </c>
      <c r="D1516" s="1">
        <v>2.2048611111111113E-2</v>
      </c>
      <c r="E1516" s="80" t="s">
        <v>4727</v>
      </c>
      <c r="F1516" s="80" t="s">
        <v>11054</v>
      </c>
      <c r="G1516" s="82">
        <v>0.62890000000000001</v>
      </c>
      <c r="H1516" s="334">
        <f t="shared" si="45"/>
        <v>3.7037037037036813E-4</v>
      </c>
    </row>
    <row r="1517" spans="1:9" x14ac:dyDescent="0.2">
      <c r="A1517" s="523">
        <v>43414</v>
      </c>
      <c r="B1517" s="862" t="s">
        <v>2416</v>
      </c>
      <c r="C1517" s="862" t="s">
        <v>2417</v>
      </c>
      <c r="D1517" s="1">
        <v>2.2418981481481481E-2</v>
      </c>
      <c r="E1517" s="80" t="s">
        <v>4176</v>
      </c>
      <c r="F1517" s="80" t="s">
        <v>10998</v>
      </c>
      <c r="G1517" s="82">
        <v>0.61850000000000005</v>
      </c>
      <c r="H1517" s="334">
        <f t="shared" si="45"/>
        <v>-2.3148148148147141E-5</v>
      </c>
    </row>
    <row r="1518" spans="1:9" x14ac:dyDescent="0.2">
      <c r="A1518" s="523">
        <v>43407</v>
      </c>
      <c r="B1518" s="901" t="s">
        <v>2416</v>
      </c>
      <c r="C1518" s="901" t="s">
        <v>2417</v>
      </c>
      <c r="D1518" s="1">
        <v>2.2395833333333334E-2</v>
      </c>
      <c r="E1518" s="80" t="s">
        <v>4727</v>
      </c>
      <c r="F1518" s="80" t="s">
        <v>5780</v>
      </c>
      <c r="G1518" s="82">
        <v>0.61909999999999998</v>
      </c>
      <c r="H1518" s="334">
        <f t="shared" si="45"/>
        <v>-1.0185185185185158E-3</v>
      </c>
    </row>
    <row r="1519" spans="1:9" x14ac:dyDescent="0.2">
      <c r="A1519" s="523">
        <v>43400</v>
      </c>
      <c r="B1519" s="556" t="s">
        <v>2416</v>
      </c>
      <c r="C1519" s="556" t="s">
        <v>2417</v>
      </c>
      <c r="D1519" s="1">
        <v>2.1377314814814818E-2</v>
      </c>
      <c r="E1519" s="80" t="s">
        <v>1810</v>
      </c>
      <c r="F1519" s="80" t="s">
        <v>10912</v>
      </c>
      <c r="G1519" s="82">
        <v>0.64859999999999995</v>
      </c>
      <c r="H1519" s="334">
        <f t="shared" si="45"/>
        <v>-8.1018518518518462E-5</v>
      </c>
    </row>
    <row r="1520" spans="1:9" x14ac:dyDescent="0.2">
      <c r="A1520" s="523">
        <v>43393</v>
      </c>
      <c r="B1520" s="862" t="s">
        <v>2416</v>
      </c>
      <c r="C1520" s="862" t="s">
        <v>2417</v>
      </c>
      <c r="D1520" s="1">
        <v>2.1296296296296299E-2</v>
      </c>
      <c r="E1520" s="80" t="s">
        <v>4176</v>
      </c>
      <c r="F1520" s="80" t="s">
        <v>10856</v>
      </c>
      <c r="G1520" s="82">
        <v>0.65110000000000001</v>
      </c>
      <c r="H1520" s="334">
        <f t="shared" si="45"/>
        <v>6.8287037037036494E-4</v>
      </c>
    </row>
    <row r="1521" spans="1:9" x14ac:dyDescent="0.2">
      <c r="A1521" s="523">
        <v>43386</v>
      </c>
      <c r="B1521" s="532" t="s">
        <v>2416</v>
      </c>
      <c r="C1521" s="532" t="s">
        <v>2417</v>
      </c>
      <c r="D1521" s="1">
        <v>2.1979166666666664E-2</v>
      </c>
      <c r="E1521" s="80" t="s">
        <v>4727</v>
      </c>
      <c r="F1521" s="80" t="s">
        <v>10820</v>
      </c>
      <c r="G1521" s="82">
        <v>0.63090000000000002</v>
      </c>
      <c r="H1521" s="334">
        <f t="shared" si="45"/>
        <v>-1.8518518518518406E-4</v>
      </c>
    </row>
    <row r="1522" spans="1:9" x14ac:dyDescent="0.2">
      <c r="A1522" s="34">
        <v>43379</v>
      </c>
      <c r="B1522" s="869" t="s">
        <v>2416</v>
      </c>
      <c r="C1522" s="869" t="s">
        <v>2417</v>
      </c>
      <c r="D1522" s="1">
        <v>2.179398148148148E-2</v>
      </c>
      <c r="E1522" s="80" t="s">
        <v>4176</v>
      </c>
      <c r="F1522" s="80" t="s">
        <v>10762</v>
      </c>
      <c r="G1522" s="82">
        <v>0.63619999999999999</v>
      </c>
      <c r="H1522" s="334">
        <f t="shared" si="45"/>
        <v>1.8518518518518406E-4</v>
      </c>
    </row>
    <row r="1523" spans="1:9" x14ac:dyDescent="0.2">
      <c r="A1523" s="34">
        <v>43372</v>
      </c>
      <c r="B1523" s="532" t="s">
        <v>2416</v>
      </c>
      <c r="C1523" s="532" t="s">
        <v>2417</v>
      </c>
      <c r="D1523" s="1">
        <v>2.1979166666666664E-2</v>
      </c>
      <c r="E1523" s="80" t="s">
        <v>8407</v>
      </c>
      <c r="F1523" s="80" t="s">
        <v>10679</v>
      </c>
      <c r="G1523" s="82">
        <v>0.63090000000000002</v>
      </c>
      <c r="H1523" s="334">
        <f t="shared" si="45"/>
        <v>-5.6712962962962923E-4</v>
      </c>
    </row>
    <row r="1524" spans="1:9" x14ac:dyDescent="0.2">
      <c r="A1524" s="34">
        <v>43365</v>
      </c>
      <c r="B1524" s="556" t="s">
        <v>2416</v>
      </c>
      <c r="C1524" s="556" t="s">
        <v>2417</v>
      </c>
      <c r="D1524" s="1">
        <v>2.1412037037037035E-2</v>
      </c>
      <c r="E1524" s="80" t="s">
        <v>4176</v>
      </c>
      <c r="F1524" s="80" t="s">
        <v>10678</v>
      </c>
      <c r="G1524" s="82">
        <v>0.64759999999999995</v>
      </c>
      <c r="H1524" s="334">
        <f t="shared" si="45"/>
        <v>-1.5046296296295988E-4</v>
      </c>
    </row>
    <row r="1525" spans="1:9" x14ac:dyDescent="0.2">
      <c r="A1525" s="523">
        <v>43358</v>
      </c>
      <c r="B1525" s="1127" t="s">
        <v>2416</v>
      </c>
      <c r="C1525" s="1127" t="s">
        <v>2417</v>
      </c>
      <c r="D1525" s="1">
        <v>2.1261574074074075E-2</v>
      </c>
      <c r="E1525" t="s">
        <v>2818</v>
      </c>
      <c r="F1525" t="s">
        <v>10648</v>
      </c>
      <c r="G1525" s="82">
        <v>0.6522</v>
      </c>
      <c r="H1525" s="334">
        <f t="shared" ref="H1525:H1551" si="46">D1526-D1525</f>
        <v>1.1226851851851849E-3</v>
      </c>
    </row>
    <row r="1526" spans="1:9" x14ac:dyDescent="0.2">
      <c r="A1526" s="523">
        <v>43351</v>
      </c>
      <c r="B1526" s="532" t="s">
        <v>2416</v>
      </c>
      <c r="C1526" s="531" t="s">
        <v>2417</v>
      </c>
      <c r="D1526" s="1">
        <v>2.238425925925926E-2</v>
      </c>
      <c r="E1526" s="80" t="s">
        <v>4727</v>
      </c>
      <c r="F1526" s="80" t="s">
        <v>10593</v>
      </c>
      <c r="G1526" s="82">
        <v>0.61939999999999995</v>
      </c>
      <c r="H1526" s="334">
        <f t="shared" si="46"/>
        <v>1.2731481481481274E-4</v>
      </c>
    </row>
    <row r="1527" spans="1:9" x14ac:dyDescent="0.2">
      <c r="A1527" s="523">
        <v>43344</v>
      </c>
      <c r="B1527" s="552" t="s">
        <v>2416</v>
      </c>
      <c r="C1527" s="552" t="s">
        <v>2417</v>
      </c>
      <c r="D1527" s="1">
        <v>2.2511574074074073E-2</v>
      </c>
      <c r="E1527" t="s">
        <v>2992</v>
      </c>
      <c r="F1527" t="s">
        <v>10530</v>
      </c>
      <c r="G1527" s="82">
        <v>0.6159</v>
      </c>
      <c r="H1527" s="334">
        <f t="shared" si="46"/>
        <v>-9.606481481481445E-4</v>
      </c>
      <c r="I1527" t="s">
        <v>10532</v>
      </c>
    </row>
    <row r="1528" spans="1:9" x14ac:dyDescent="0.2">
      <c r="A1528" s="523">
        <v>43337</v>
      </c>
      <c r="B1528" s="1044" t="s">
        <v>2416</v>
      </c>
      <c r="C1528" s="1044" t="s">
        <v>2417</v>
      </c>
      <c r="D1528" s="1">
        <v>2.1550925925925928E-2</v>
      </c>
      <c r="E1528" s="80" t="s">
        <v>4727</v>
      </c>
      <c r="F1528" s="80" t="s">
        <v>10503</v>
      </c>
      <c r="G1528" s="82">
        <v>0.64339999999999997</v>
      </c>
      <c r="H1528" s="334">
        <f t="shared" si="46"/>
        <v>-1.2731481481481621E-4</v>
      </c>
    </row>
    <row r="1529" spans="1:9" x14ac:dyDescent="0.2">
      <c r="A1529" s="523">
        <v>43330</v>
      </c>
      <c r="B1529" s="1099" t="s">
        <v>2416</v>
      </c>
      <c r="C1529" s="1099" t="s">
        <v>2417</v>
      </c>
      <c r="D1529" s="1">
        <v>2.1423611111111112E-2</v>
      </c>
      <c r="E1529" s="80" t="s">
        <v>10464</v>
      </c>
      <c r="F1529" s="80" t="s">
        <v>10466</v>
      </c>
      <c r="G1529" s="82">
        <v>0.6472</v>
      </c>
      <c r="H1529" s="334">
        <f t="shared" si="46"/>
        <v>9.2592592592592032E-5</v>
      </c>
    </row>
    <row r="1530" spans="1:9" x14ac:dyDescent="0.2">
      <c r="A1530" s="523">
        <v>43323</v>
      </c>
      <c r="B1530" s="585" t="s">
        <v>2416</v>
      </c>
      <c r="C1530" s="585" t="s">
        <v>2417</v>
      </c>
      <c r="D1530" s="1">
        <v>2.1516203703703704E-2</v>
      </c>
      <c r="E1530" t="s">
        <v>4727</v>
      </c>
      <c r="F1530" t="s">
        <v>10405</v>
      </c>
      <c r="G1530" s="82">
        <v>0.64439999999999997</v>
      </c>
      <c r="H1530" s="334" t="e">
        <f t="shared" si="46"/>
        <v>#VALUE!</v>
      </c>
    </row>
    <row r="1531" spans="1:9" x14ac:dyDescent="0.2">
      <c r="A1531" s="33">
        <v>43316</v>
      </c>
      <c r="B1531" s="1029" t="s">
        <v>2416</v>
      </c>
      <c r="C1531" s="1030" t="s">
        <v>2417</v>
      </c>
      <c r="D1531" s="207" t="s">
        <v>787</v>
      </c>
      <c r="E1531" s="80" t="s">
        <v>4727</v>
      </c>
      <c r="F1531" s="69" t="s">
        <v>4061</v>
      </c>
      <c r="H1531" s="334" t="e">
        <f t="shared" si="46"/>
        <v>#VALUE!</v>
      </c>
    </row>
    <row r="1532" spans="1:9" x14ac:dyDescent="0.2">
      <c r="A1532" s="523">
        <v>43309</v>
      </c>
      <c r="B1532" s="879" t="s">
        <v>2416</v>
      </c>
      <c r="C1532" s="879" t="s">
        <v>2417</v>
      </c>
      <c r="D1532" s="1">
        <v>2.2199074074074076E-2</v>
      </c>
      <c r="E1532" s="80" t="s">
        <v>4727</v>
      </c>
      <c r="F1532" s="80" t="s">
        <v>10339</v>
      </c>
      <c r="G1532" s="82">
        <v>0.62460000000000004</v>
      </c>
      <c r="H1532" s="334">
        <f t="shared" si="46"/>
        <v>-5.7870370370371321E-5</v>
      </c>
    </row>
    <row r="1533" spans="1:9" x14ac:dyDescent="0.2">
      <c r="A1533" s="523">
        <v>43302</v>
      </c>
      <c r="B1533" s="985" t="s">
        <v>2416</v>
      </c>
      <c r="C1533" s="985" t="s">
        <v>2417</v>
      </c>
      <c r="D1533" s="1">
        <v>2.2141203703703705E-2</v>
      </c>
      <c r="E1533" s="80" t="s">
        <v>2674</v>
      </c>
      <c r="F1533" s="80" t="s">
        <v>10316</v>
      </c>
      <c r="G1533" s="82">
        <v>0.62619999999999998</v>
      </c>
      <c r="H1533" s="334">
        <f t="shared" si="46"/>
        <v>8.4490740740740533E-4</v>
      </c>
    </row>
    <row r="1534" spans="1:9" x14ac:dyDescent="0.2">
      <c r="A1534" s="523">
        <v>43295</v>
      </c>
      <c r="B1534" s="601" t="s">
        <v>2416</v>
      </c>
      <c r="C1534" s="601" t="s">
        <v>2417</v>
      </c>
      <c r="D1534" s="1">
        <v>2.298611111111111E-2</v>
      </c>
      <c r="E1534" s="80" t="s">
        <v>8254</v>
      </c>
      <c r="F1534" s="80" t="s">
        <v>10257</v>
      </c>
      <c r="G1534" s="82">
        <v>0.60319999999999996</v>
      </c>
      <c r="H1534" s="334">
        <f t="shared" si="46"/>
        <v>-5.7870370370371321E-5</v>
      </c>
    </row>
    <row r="1535" spans="1:9" x14ac:dyDescent="0.2">
      <c r="A1535" s="523">
        <v>43288</v>
      </c>
      <c r="B1535" s="1029" t="s">
        <v>2416</v>
      </c>
      <c r="C1535" s="1029" t="s">
        <v>2417</v>
      </c>
      <c r="D1535" s="1">
        <v>2.2928240740740739E-2</v>
      </c>
      <c r="E1535" s="80" t="s">
        <v>4176</v>
      </c>
      <c r="F1535" s="80" t="s">
        <v>10216</v>
      </c>
      <c r="G1535" s="82">
        <v>0.58989999999999998</v>
      </c>
      <c r="H1535" s="334">
        <f t="shared" si="46"/>
        <v>1.840277777777781E-3</v>
      </c>
    </row>
    <row r="1536" spans="1:9" x14ac:dyDescent="0.2">
      <c r="A1536" s="34">
        <v>43274</v>
      </c>
      <c r="B1536" s="1071" t="s">
        <v>2416</v>
      </c>
      <c r="C1536" s="1071" t="s">
        <v>2417</v>
      </c>
      <c r="D1536" s="334">
        <v>2.476851851851852E-2</v>
      </c>
      <c r="E1536" t="s">
        <v>8248</v>
      </c>
      <c r="F1536" s="80" t="s">
        <v>10102</v>
      </c>
      <c r="G1536" s="82">
        <v>0.55979999999999996</v>
      </c>
      <c r="H1536" s="334">
        <f t="shared" si="46"/>
        <v>-2.7662037037037013E-3</v>
      </c>
    </row>
    <row r="1537" spans="1:9" x14ac:dyDescent="0.2">
      <c r="A1537" s="523">
        <v>43267</v>
      </c>
      <c r="B1537" s="1058" t="s">
        <v>2416</v>
      </c>
      <c r="C1537" s="1059" t="s">
        <v>2417</v>
      </c>
      <c r="D1537" s="1">
        <v>2.2002314814814818E-2</v>
      </c>
      <c r="E1537" s="80" t="s">
        <v>5095</v>
      </c>
      <c r="F1537" s="69" t="s">
        <v>9951</v>
      </c>
      <c r="G1537" s="82">
        <v>0.63019999999999998</v>
      </c>
      <c r="H1537" s="334">
        <f t="shared" si="46"/>
        <v>-6.0185185185185341E-4</v>
      </c>
      <c r="I1537" s="80"/>
    </row>
    <row r="1538" spans="1:9" x14ac:dyDescent="0.2">
      <c r="A1538" s="523">
        <v>43260</v>
      </c>
      <c r="B1538" s="532" t="s">
        <v>2416</v>
      </c>
      <c r="C1538" s="843" t="s">
        <v>2417</v>
      </c>
      <c r="D1538" s="1">
        <v>2.1400462962962965E-2</v>
      </c>
      <c r="E1538" s="80" t="s">
        <v>4727</v>
      </c>
      <c r="F1538" s="69" t="s">
        <v>9908</v>
      </c>
      <c r="G1538" s="82">
        <v>0.64790000000000003</v>
      </c>
      <c r="H1538" s="334">
        <f t="shared" si="46"/>
        <v>4.861111111111073E-4</v>
      </c>
      <c r="I1538" s="80"/>
    </row>
    <row r="1539" spans="1:9" x14ac:dyDescent="0.2">
      <c r="A1539" s="523">
        <v>43253</v>
      </c>
      <c r="B1539" s="901" t="s">
        <v>2416</v>
      </c>
      <c r="C1539" s="902" t="s">
        <v>2417</v>
      </c>
      <c r="D1539" s="1">
        <v>2.1886574074074072E-2</v>
      </c>
      <c r="E1539" s="80" t="s">
        <v>4727</v>
      </c>
      <c r="F1539" s="69" t="s">
        <v>5474</v>
      </c>
      <c r="G1539" s="82">
        <v>0.63549999999999995</v>
      </c>
      <c r="H1539" s="334">
        <f t="shared" si="46"/>
        <v>-1.5046296296295988E-4</v>
      </c>
      <c r="I1539" s="80"/>
    </row>
    <row r="1540" spans="1:9" x14ac:dyDescent="0.2">
      <c r="A1540" s="523">
        <v>43246</v>
      </c>
      <c r="B1540" s="601" t="s">
        <v>2416</v>
      </c>
      <c r="C1540" s="958" t="s">
        <v>2417</v>
      </c>
      <c r="D1540" s="1">
        <v>2.1736111111111112E-2</v>
      </c>
      <c r="E1540" s="80" t="s">
        <v>4727</v>
      </c>
      <c r="F1540" s="69"/>
      <c r="G1540" s="82">
        <v>0.63790000000000002</v>
      </c>
      <c r="H1540" s="334">
        <f t="shared" si="46"/>
        <v>-8.6805555555555594E-4</v>
      </c>
      <c r="I1540" s="80"/>
    </row>
    <row r="1541" spans="1:9" x14ac:dyDescent="0.2">
      <c r="A1541" s="523">
        <v>43232</v>
      </c>
      <c r="B1541" s="1051" t="s">
        <v>2416</v>
      </c>
      <c r="C1541" s="1052" t="s">
        <v>2417</v>
      </c>
      <c r="D1541" s="1">
        <v>2.0868055555555556E-2</v>
      </c>
      <c r="E1541" s="80" t="s">
        <v>5653</v>
      </c>
      <c r="F1541" s="69" t="s">
        <v>9757</v>
      </c>
      <c r="G1541" s="82">
        <v>0.66439999999999999</v>
      </c>
      <c r="H1541" s="334">
        <f t="shared" si="46"/>
        <v>3.7847222222222206E-3</v>
      </c>
      <c r="I1541" s="80"/>
    </row>
    <row r="1542" spans="1:9" x14ac:dyDescent="0.2">
      <c r="A1542" s="523">
        <v>43225</v>
      </c>
      <c r="B1542" s="1044" t="s">
        <v>2416</v>
      </c>
      <c r="C1542" s="1045" t="s">
        <v>2417</v>
      </c>
      <c r="D1542" s="1">
        <v>2.4652777777777777E-2</v>
      </c>
      <c r="E1542" s="80" t="s">
        <v>5959</v>
      </c>
      <c r="F1542" s="69" t="s">
        <v>9727</v>
      </c>
      <c r="G1542" s="82">
        <v>0.56240000000000001</v>
      </c>
      <c r="H1542" s="334">
        <f t="shared" si="46"/>
        <v>-3.0439814814814808E-3</v>
      </c>
      <c r="I1542" s="80"/>
    </row>
    <row r="1543" spans="1:9" x14ac:dyDescent="0.2">
      <c r="A1543" s="523">
        <v>43218</v>
      </c>
      <c r="B1543" s="568" t="s">
        <v>2416</v>
      </c>
      <c r="C1543" s="861" t="s">
        <v>2417</v>
      </c>
      <c r="D1543" s="1">
        <v>2.1608796296296296E-2</v>
      </c>
      <c r="E1543" s="80" t="s">
        <v>4727</v>
      </c>
      <c r="F1543" s="69" t="s">
        <v>9666</v>
      </c>
      <c r="G1543" s="82">
        <v>0.64170000000000005</v>
      </c>
      <c r="H1543" s="334">
        <f t="shared" si="46"/>
        <v>-1.8518518518518406E-4</v>
      </c>
      <c r="I1543" s="80"/>
    </row>
    <row r="1544" spans="1:9" x14ac:dyDescent="0.2">
      <c r="A1544" s="523">
        <v>43211</v>
      </c>
      <c r="B1544" s="1038" t="s">
        <v>2416</v>
      </c>
      <c r="C1544" s="1039" t="s">
        <v>2417</v>
      </c>
      <c r="D1544" s="1">
        <v>2.1423611111111112E-2</v>
      </c>
      <c r="E1544" s="80" t="s">
        <v>1401</v>
      </c>
      <c r="F1544" s="69" t="s">
        <v>9625</v>
      </c>
      <c r="G1544" s="82">
        <v>0.63800000000000001</v>
      </c>
      <c r="H1544" s="334">
        <f t="shared" si="46"/>
        <v>-3.0092592592592671E-4</v>
      </c>
      <c r="I1544" s="80"/>
    </row>
    <row r="1545" spans="1:9" x14ac:dyDescent="0.2">
      <c r="A1545" s="523">
        <v>43197</v>
      </c>
      <c r="B1545" s="930" t="s">
        <v>2416</v>
      </c>
      <c r="C1545" s="931" t="s">
        <v>2417</v>
      </c>
      <c r="D1545" s="1">
        <v>2.1122685185185185E-2</v>
      </c>
      <c r="E1545" s="80" t="s">
        <v>4727</v>
      </c>
      <c r="F1545" s="69" t="s">
        <v>9551</v>
      </c>
      <c r="G1545" s="82">
        <v>0.64710000000000001</v>
      </c>
      <c r="H1545" s="334">
        <f t="shared" si="46"/>
        <v>1.5046296296296335E-4</v>
      </c>
      <c r="I1545" s="80"/>
    </row>
    <row r="1546" spans="1:9" x14ac:dyDescent="0.2">
      <c r="A1546" s="523">
        <v>43183</v>
      </c>
      <c r="B1546" s="1019" t="s">
        <v>2416</v>
      </c>
      <c r="C1546" s="1020" t="s">
        <v>2417</v>
      </c>
      <c r="D1546" s="1">
        <v>2.1273148148148149E-2</v>
      </c>
      <c r="E1546" s="80" t="s">
        <v>4727</v>
      </c>
      <c r="F1546" s="69" t="s">
        <v>5622</v>
      </c>
      <c r="G1546" s="82">
        <v>0.64249999999999996</v>
      </c>
      <c r="H1546" s="334" t="e">
        <f t="shared" si="46"/>
        <v>#VALUE!</v>
      </c>
      <c r="I1546" s="80"/>
    </row>
    <row r="1547" spans="1:9" x14ac:dyDescent="0.2">
      <c r="A1547" s="523">
        <v>43169</v>
      </c>
      <c r="B1547" s="862" t="s">
        <v>2416</v>
      </c>
      <c r="C1547" s="863" t="s">
        <v>2417</v>
      </c>
      <c r="D1547" s="334" t="s">
        <v>787</v>
      </c>
      <c r="E1547" s="80" t="s">
        <v>4727</v>
      </c>
      <c r="F1547" s="69" t="s">
        <v>5508</v>
      </c>
      <c r="G1547" s="82"/>
      <c r="H1547" s="334" t="e">
        <f t="shared" si="46"/>
        <v>#VALUE!</v>
      </c>
      <c r="I1547" s="80"/>
    </row>
    <row r="1548" spans="1:9" x14ac:dyDescent="0.2">
      <c r="A1548" s="523">
        <v>43162</v>
      </c>
      <c r="B1548" s="879" t="s">
        <v>2416</v>
      </c>
      <c r="C1548" s="880" t="s">
        <v>2417</v>
      </c>
      <c r="D1548" s="1">
        <v>2.3321759259259261E-2</v>
      </c>
      <c r="E1548" s="80" t="s">
        <v>4727</v>
      </c>
      <c r="F1548" s="69" t="s">
        <v>9398</v>
      </c>
      <c r="G1548" s="82">
        <v>0.58609999999999995</v>
      </c>
      <c r="H1548" s="334">
        <f t="shared" si="46"/>
        <v>-2.4305555555555573E-3</v>
      </c>
      <c r="I1548" s="80"/>
    </row>
    <row r="1549" spans="1:9" x14ac:dyDescent="0.2">
      <c r="A1549" s="523">
        <v>43155</v>
      </c>
      <c r="B1549" s="940" t="s">
        <v>2416</v>
      </c>
      <c r="C1549" s="941" t="s">
        <v>2417</v>
      </c>
      <c r="D1549" s="1">
        <v>2.0891203703703703E-2</v>
      </c>
      <c r="E1549" s="80" t="s">
        <v>4727</v>
      </c>
      <c r="F1549" s="69" t="s">
        <v>9322</v>
      </c>
      <c r="G1549" s="82">
        <v>0.65429999999999999</v>
      </c>
      <c r="H1549" s="334">
        <f t="shared" si="46"/>
        <v>3.9351851851851874E-4</v>
      </c>
      <c r="I1549" s="80"/>
    </row>
    <row r="1550" spans="1:9" x14ac:dyDescent="0.2">
      <c r="A1550" s="523">
        <v>43134</v>
      </c>
      <c r="B1550" s="985" t="s">
        <v>2416</v>
      </c>
      <c r="C1550" s="986" t="s">
        <v>2417</v>
      </c>
      <c r="D1550" s="1">
        <v>2.1284722222222222E-2</v>
      </c>
      <c r="E1550" s="80" t="s">
        <v>4727</v>
      </c>
      <c r="F1550" s="69" t="s">
        <v>9197</v>
      </c>
      <c r="G1550" s="82">
        <v>0.64219999999999999</v>
      </c>
      <c r="H1550" s="334">
        <f t="shared" si="46"/>
        <v>-3.4722222222220711E-5</v>
      </c>
      <c r="I1550" s="80"/>
    </row>
    <row r="1551" spans="1:9" x14ac:dyDescent="0.2">
      <c r="A1551" s="523">
        <v>43127</v>
      </c>
      <c r="B1551" s="862" t="s">
        <v>2416</v>
      </c>
      <c r="C1551" s="863" t="s">
        <v>2417</v>
      </c>
      <c r="D1551" s="1">
        <v>2.1250000000000002E-2</v>
      </c>
      <c r="E1551" s="80" t="s">
        <v>4727</v>
      </c>
      <c r="F1551" s="69" t="s">
        <v>9175</v>
      </c>
      <c r="G1551" s="82">
        <v>0.64319999999999999</v>
      </c>
      <c r="H1551" s="334">
        <f t="shared" si="46"/>
        <v>-6.2500000000000056E-4</v>
      </c>
      <c r="I1551" s="80"/>
    </row>
    <row r="1552" spans="1:9" x14ac:dyDescent="0.2">
      <c r="A1552" s="523">
        <v>43120</v>
      </c>
      <c r="B1552" s="601" t="s">
        <v>2416</v>
      </c>
      <c r="C1552" s="958" t="s">
        <v>2417</v>
      </c>
      <c r="D1552" s="1">
        <v>2.0625000000000001E-2</v>
      </c>
      <c r="E1552" s="80" t="s">
        <v>1401</v>
      </c>
      <c r="F1552" s="69" t="s">
        <v>9091</v>
      </c>
      <c r="G1552" s="82">
        <v>0.66269999999999996</v>
      </c>
      <c r="H1552" s="334">
        <f>D1554-D1552</f>
        <v>-1.1574074074074056E-3</v>
      </c>
      <c r="I1552" s="80"/>
    </row>
    <row r="1553" spans="1:8" x14ac:dyDescent="0.2">
      <c r="A1553" s="523">
        <v>43459</v>
      </c>
      <c r="B1553" s="80" t="s">
        <v>866</v>
      </c>
      <c r="C1553" s="80" t="s">
        <v>2417</v>
      </c>
      <c r="D1553" s="1">
        <v>1.8310185185185186E-2</v>
      </c>
      <c r="E1553" s="80" t="s">
        <v>2635</v>
      </c>
      <c r="F1553" s="80" t="s">
        <v>11389</v>
      </c>
      <c r="G1553" s="82">
        <v>0.63019999999999998</v>
      </c>
      <c r="H1553" s="624"/>
    </row>
    <row r="1554" spans="1:8" x14ac:dyDescent="0.2">
      <c r="A1554" s="523">
        <v>43456</v>
      </c>
      <c r="B1554" s="556" t="s">
        <v>866</v>
      </c>
      <c r="C1554" s="556" t="s">
        <v>2417</v>
      </c>
      <c r="D1554" s="1">
        <v>1.9467592592592595E-2</v>
      </c>
      <c r="E1554" s="80" t="s">
        <v>4727</v>
      </c>
      <c r="F1554" s="80" t="s">
        <v>11360</v>
      </c>
      <c r="G1554" s="82">
        <v>0.5927</v>
      </c>
      <c r="H1554" s="334">
        <f t="shared" ref="H1554:H1598" si="47">D1555-D1554</f>
        <v>-6.0185185185185341E-4</v>
      </c>
    </row>
    <row r="1555" spans="1:8" x14ac:dyDescent="0.2">
      <c r="A1555" s="523">
        <v>43449</v>
      </c>
      <c r="B1555" s="1029" t="s">
        <v>866</v>
      </c>
      <c r="C1555" s="1029" t="s">
        <v>2417</v>
      </c>
      <c r="D1555" s="1">
        <v>1.8865740740740742E-2</v>
      </c>
      <c r="E1555" s="80" t="s">
        <v>4727</v>
      </c>
      <c r="F1555" s="80" t="s">
        <v>11286</v>
      </c>
      <c r="G1555" s="82">
        <v>0.61170000000000002</v>
      </c>
      <c r="H1555" s="334">
        <f t="shared" si="47"/>
        <v>-1.6203703703703692E-4</v>
      </c>
    </row>
    <row r="1556" spans="1:8" x14ac:dyDescent="0.2">
      <c r="A1556" s="523">
        <v>43442</v>
      </c>
      <c r="B1556" s="972" t="s">
        <v>866</v>
      </c>
      <c r="C1556" s="972" t="s">
        <v>2417</v>
      </c>
      <c r="D1556" s="1">
        <v>1.8703703703703705E-2</v>
      </c>
      <c r="E1556" s="80" t="s">
        <v>4727</v>
      </c>
      <c r="F1556" s="80" t="s">
        <v>11257</v>
      </c>
      <c r="G1556" s="82">
        <v>0.61699999999999999</v>
      </c>
      <c r="H1556" s="334">
        <f t="shared" si="47"/>
        <v>3.9814814814814782E-3</v>
      </c>
    </row>
    <row r="1557" spans="1:8" x14ac:dyDescent="0.2">
      <c r="A1557" s="523">
        <v>43435</v>
      </c>
      <c r="B1557" s="1164" t="s">
        <v>866</v>
      </c>
      <c r="C1557" s="1164" t="s">
        <v>2417</v>
      </c>
      <c r="D1557" s="1">
        <v>2.2685185185185183E-2</v>
      </c>
      <c r="E1557" s="80" t="s">
        <v>1827</v>
      </c>
      <c r="F1557" s="80" t="s">
        <v>11176</v>
      </c>
      <c r="G1557" s="82">
        <v>0.49730000000000002</v>
      </c>
      <c r="H1557" s="334">
        <f t="shared" si="47"/>
        <v>-9.1435185185184675E-4</v>
      </c>
    </row>
    <row r="1558" spans="1:8" x14ac:dyDescent="0.2">
      <c r="A1558" s="523">
        <v>43428</v>
      </c>
      <c r="B1558" s="1038" t="s">
        <v>866</v>
      </c>
      <c r="C1558" s="1038" t="s">
        <v>2417</v>
      </c>
      <c r="D1558" s="1">
        <v>2.1770833333333336E-2</v>
      </c>
      <c r="E1558" s="80" t="s">
        <v>11115</v>
      </c>
      <c r="F1558" s="80" t="s">
        <v>11117</v>
      </c>
      <c r="G1558" s="82">
        <v>0.53</v>
      </c>
      <c r="H1558" s="334">
        <f t="shared" si="47"/>
        <v>2.893518518518462E-4</v>
      </c>
    </row>
    <row r="1559" spans="1:8" x14ac:dyDescent="0.2">
      <c r="A1559" s="523">
        <v>43421</v>
      </c>
      <c r="B1559" s="906" t="s">
        <v>866</v>
      </c>
      <c r="C1559" s="906" t="s">
        <v>2417</v>
      </c>
      <c r="D1559" s="1">
        <v>2.2060185185185183E-2</v>
      </c>
      <c r="E1559" s="80" t="s">
        <v>4727</v>
      </c>
      <c r="F1559" s="80" t="s">
        <v>11055</v>
      </c>
      <c r="G1559" s="82">
        <v>0.52310000000000001</v>
      </c>
      <c r="H1559" s="334">
        <f t="shared" si="47"/>
        <v>4.5138888888889006E-4</v>
      </c>
    </row>
    <row r="1560" spans="1:8" x14ac:dyDescent="0.2">
      <c r="A1560" s="523">
        <v>43414</v>
      </c>
      <c r="B1560" s="862" t="s">
        <v>866</v>
      </c>
      <c r="C1560" s="862" t="s">
        <v>2417</v>
      </c>
      <c r="D1560" s="1">
        <v>2.2511574074074073E-2</v>
      </c>
      <c r="E1560" s="80" t="s">
        <v>4176</v>
      </c>
      <c r="F1560" s="80" t="s">
        <v>10999</v>
      </c>
      <c r="G1560" s="82">
        <v>0.51259999999999994</v>
      </c>
      <c r="H1560" s="334">
        <f t="shared" si="47"/>
        <v>-1.041666666666656E-4</v>
      </c>
    </row>
    <row r="1561" spans="1:8" x14ac:dyDescent="0.2">
      <c r="A1561" s="523">
        <v>43407</v>
      </c>
      <c r="B1561" s="901" t="s">
        <v>866</v>
      </c>
      <c r="C1561" s="901" t="s">
        <v>2417</v>
      </c>
      <c r="D1561" s="1">
        <v>2.2407407407407407E-2</v>
      </c>
      <c r="E1561" s="80" t="s">
        <v>4727</v>
      </c>
      <c r="F1561" s="80" t="s">
        <v>2689</v>
      </c>
      <c r="G1561" s="82">
        <v>0.51500000000000001</v>
      </c>
      <c r="H1561" s="334">
        <f t="shared" si="47"/>
        <v>-1.0300925925925894E-3</v>
      </c>
    </row>
    <row r="1562" spans="1:8" x14ac:dyDescent="0.2">
      <c r="A1562" s="523">
        <v>43400</v>
      </c>
      <c r="B1562" s="556" t="s">
        <v>866</v>
      </c>
      <c r="C1562" s="556" t="s">
        <v>2417</v>
      </c>
      <c r="D1562" s="1">
        <v>2.1377314814814818E-2</v>
      </c>
      <c r="E1562" s="80" t="s">
        <v>1810</v>
      </c>
      <c r="F1562" s="80" t="s">
        <v>10912</v>
      </c>
      <c r="G1562" s="82">
        <v>0.53979999999999995</v>
      </c>
      <c r="H1562" s="334">
        <f t="shared" si="47"/>
        <v>-8.1018518518518462E-5</v>
      </c>
    </row>
    <row r="1563" spans="1:8" x14ac:dyDescent="0.2">
      <c r="A1563" s="523">
        <v>43393</v>
      </c>
      <c r="B1563" s="862" t="s">
        <v>866</v>
      </c>
      <c r="C1563" s="862" t="s">
        <v>2417</v>
      </c>
      <c r="D1563" s="1">
        <v>2.1296296296296299E-2</v>
      </c>
      <c r="E1563" s="80" t="s">
        <v>4176</v>
      </c>
      <c r="F1563" s="80" t="s">
        <v>10857</v>
      </c>
      <c r="G1563" s="82">
        <v>0.54179999999999995</v>
      </c>
      <c r="H1563" s="334" t="e">
        <f t="shared" si="47"/>
        <v>#VALUE!</v>
      </c>
    </row>
    <row r="1564" spans="1:8" x14ac:dyDescent="0.2">
      <c r="A1564" s="523">
        <v>43386</v>
      </c>
      <c r="B1564" s="532" t="s">
        <v>866</v>
      </c>
      <c r="C1564" s="532" t="s">
        <v>2417</v>
      </c>
      <c r="D1564" s="1" t="s">
        <v>787</v>
      </c>
      <c r="E1564" s="80" t="s">
        <v>4727</v>
      </c>
      <c r="F1564" s="80" t="s">
        <v>1549</v>
      </c>
      <c r="G1564" s="82"/>
      <c r="H1564" s="334" t="e">
        <f t="shared" si="47"/>
        <v>#VALUE!</v>
      </c>
    </row>
    <row r="1565" spans="1:8" x14ac:dyDescent="0.2">
      <c r="A1565" s="34">
        <v>43379</v>
      </c>
      <c r="B1565" s="869" t="s">
        <v>866</v>
      </c>
      <c r="C1565" s="869" t="s">
        <v>2417</v>
      </c>
      <c r="D1565" s="1">
        <v>2.1805555555555554E-2</v>
      </c>
      <c r="E1565" s="80" t="s">
        <v>4176</v>
      </c>
      <c r="F1565" s="80" t="s">
        <v>10763</v>
      </c>
      <c r="G1565" s="82">
        <v>0.5292</v>
      </c>
      <c r="H1565" s="334">
        <f t="shared" si="47"/>
        <v>1.7361111111111049E-4</v>
      </c>
    </row>
    <row r="1566" spans="1:8" x14ac:dyDescent="0.2">
      <c r="A1566" s="34">
        <v>43372</v>
      </c>
      <c r="B1566" s="532" t="s">
        <v>866</v>
      </c>
      <c r="C1566" s="532" t="s">
        <v>2417</v>
      </c>
      <c r="D1566" s="1">
        <v>2.1979166666666664E-2</v>
      </c>
      <c r="E1566" s="80" t="s">
        <v>8407</v>
      </c>
      <c r="F1566" s="80" t="s">
        <v>10681</v>
      </c>
      <c r="G1566" s="82">
        <v>0.52500000000000002</v>
      </c>
      <c r="H1566" s="334">
        <f t="shared" si="47"/>
        <v>-5.5555555555555219E-4</v>
      </c>
    </row>
    <row r="1567" spans="1:8" x14ac:dyDescent="0.2">
      <c r="A1567" s="34">
        <v>43365</v>
      </c>
      <c r="B1567" s="556" t="s">
        <v>866</v>
      </c>
      <c r="C1567" s="556" t="s">
        <v>2417</v>
      </c>
      <c r="D1567" s="1">
        <v>2.1423611111111112E-2</v>
      </c>
      <c r="E1567" s="80" t="s">
        <v>4176</v>
      </c>
      <c r="F1567" s="80" t="s">
        <v>10680</v>
      </c>
      <c r="G1567" s="82">
        <v>0.53859999999999997</v>
      </c>
      <c r="H1567" s="334">
        <f t="shared" si="47"/>
        <v>-1.3888888888888978E-4</v>
      </c>
    </row>
    <row r="1568" spans="1:8" x14ac:dyDescent="0.2">
      <c r="A1568" s="523">
        <v>43358</v>
      </c>
      <c r="B1568" s="1127" t="s">
        <v>866</v>
      </c>
      <c r="C1568" s="1127" t="s">
        <v>2417</v>
      </c>
      <c r="D1568" s="1">
        <v>2.1284722222222222E-2</v>
      </c>
      <c r="E1568" t="s">
        <v>2818</v>
      </c>
      <c r="F1568" t="s">
        <v>10648</v>
      </c>
      <c r="G1568" s="82">
        <v>0.54210000000000003</v>
      </c>
      <c r="H1568" s="334">
        <f t="shared" si="47"/>
        <v>1.0995370370370378E-3</v>
      </c>
    </row>
    <row r="1569" spans="1:9" x14ac:dyDescent="0.2">
      <c r="A1569" s="523">
        <v>43351</v>
      </c>
      <c r="B1569" s="532" t="s">
        <v>866</v>
      </c>
      <c r="C1569" s="531" t="s">
        <v>2417</v>
      </c>
      <c r="D1569" s="1">
        <v>2.238425925925926E-2</v>
      </c>
      <c r="E1569" s="80" t="s">
        <v>4727</v>
      </c>
      <c r="F1569" s="80" t="s">
        <v>10594</v>
      </c>
      <c r="G1569" s="82">
        <v>0.51549999999999996</v>
      </c>
      <c r="H1569" s="334">
        <f t="shared" si="47"/>
        <v>1.3888888888888284E-4</v>
      </c>
    </row>
    <row r="1570" spans="1:9" x14ac:dyDescent="0.2">
      <c r="A1570" s="523">
        <v>43344</v>
      </c>
      <c r="B1570" s="552" t="s">
        <v>866</v>
      </c>
      <c r="C1570" s="552" t="s">
        <v>2417</v>
      </c>
      <c r="D1570" s="1">
        <v>2.2523148148148143E-2</v>
      </c>
      <c r="E1570" t="s">
        <v>2992</v>
      </c>
      <c r="F1570" t="s">
        <v>10531</v>
      </c>
      <c r="G1570" s="82">
        <v>0.51229999999999998</v>
      </c>
      <c r="H1570" s="334">
        <f t="shared" si="47"/>
        <v>-9.722222222222146E-4</v>
      </c>
      <c r="I1570" t="s">
        <v>10533</v>
      </c>
    </row>
    <row r="1571" spans="1:9" x14ac:dyDescent="0.2">
      <c r="A1571" s="523">
        <v>43337</v>
      </c>
      <c r="B1571" s="1044" t="s">
        <v>866</v>
      </c>
      <c r="C1571" s="1044" t="s">
        <v>2417</v>
      </c>
      <c r="D1571" s="1">
        <v>2.1550925925925928E-2</v>
      </c>
      <c r="E1571" s="80" t="s">
        <v>4727</v>
      </c>
      <c r="F1571" s="80" t="s">
        <v>10504</v>
      </c>
      <c r="G1571" s="82">
        <v>0.53520000000000001</v>
      </c>
      <c r="H1571" s="334">
        <f t="shared" si="47"/>
        <v>-1.2731481481481621E-4</v>
      </c>
    </row>
    <row r="1572" spans="1:9" x14ac:dyDescent="0.2">
      <c r="A1572" s="523">
        <v>43330</v>
      </c>
      <c r="B1572" s="1099" t="s">
        <v>866</v>
      </c>
      <c r="C1572" s="1099" t="s">
        <v>2417</v>
      </c>
      <c r="D1572" s="1">
        <v>2.1423611111111112E-2</v>
      </c>
      <c r="E1572" s="80" t="s">
        <v>10464</v>
      </c>
      <c r="F1572" s="80" t="s">
        <v>10467</v>
      </c>
      <c r="G1572" s="82">
        <v>0.53859999999999997</v>
      </c>
      <c r="H1572" s="334" t="e">
        <f t="shared" si="47"/>
        <v>#VALUE!</v>
      </c>
    </row>
    <row r="1573" spans="1:9" x14ac:dyDescent="0.2">
      <c r="A1573" s="33">
        <v>43316</v>
      </c>
      <c r="B1573" s="1029" t="s">
        <v>866</v>
      </c>
      <c r="C1573" s="1030" t="s">
        <v>2417</v>
      </c>
      <c r="D1573" s="207" t="s">
        <v>787</v>
      </c>
      <c r="E1573" s="80" t="s">
        <v>4727</v>
      </c>
      <c r="F1573" s="69" t="s">
        <v>4061</v>
      </c>
      <c r="H1573" s="334" t="e">
        <f t="shared" si="47"/>
        <v>#VALUE!</v>
      </c>
    </row>
    <row r="1574" spans="1:9" x14ac:dyDescent="0.2">
      <c r="A1574" s="523">
        <v>43302</v>
      </c>
      <c r="B1574" s="985" t="s">
        <v>866</v>
      </c>
      <c r="C1574" s="985" t="s">
        <v>2417</v>
      </c>
      <c r="D1574" s="1">
        <v>2.2141203703703705E-2</v>
      </c>
      <c r="E1574" s="80" t="s">
        <v>2674</v>
      </c>
      <c r="F1574" s="80" t="s">
        <v>10316</v>
      </c>
      <c r="G1574" s="82">
        <v>0.5212</v>
      </c>
      <c r="H1574" s="334">
        <f t="shared" si="47"/>
        <v>8.5648148148148237E-4</v>
      </c>
    </row>
    <row r="1575" spans="1:9" x14ac:dyDescent="0.2">
      <c r="A1575" s="523">
        <v>43295</v>
      </c>
      <c r="B1575" s="601" t="s">
        <v>866</v>
      </c>
      <c r="C1575" s="601" t="s">
        <v>2417</v>
      </c>
      <c r="D1575" s="1">
        <v>2.2997685185185187E-2</v>
      </c>
      <c r="E1575" s="80" t="s">
        <v>8254</v>
      </c>
      <c r="F1575" s="80" t="s">
        <v>10257</v>
      </c>
      <c r="G1575" s="82">
        <v>0.50180000000000002</v>
      </c>
      <c r="H1575" s="334">
        <f t="shared" si="47"/>
        <v>5.2083333333333148E-4</v>
      </c>
    </row>
    <row r="1576" spans="1:9" x14ac:dyDescent="0.2">
      <c r="A1576" s="523">
        <v>43288</v>
      </c>
      <c r="B1576" s="1029" t="s">
        <v>866</v>
      </c>
      <c r="C1576" s="1029" t="s">
        <v>2417</v>
      </c>
      <c r="D1576" s="1">
        <v>2.3518518518518518E-2</v>
      </c>
      <c r="E1576" t="s">
        <v>4176</v>
      </c>
      <c r="F1576" t="s">
        <v>10217</v>
      </c>
      <c r="G1576" s="82">
        <v>0.49059999999999998</v>
      </c>
      <c r="H1576" s="334">
        <f t="shared" si="47"/>
        <v>-5.7754629629629614E-3</v>
      </c>
    </row>
    <row r="1577" spans="1:9" x14ac:dyDescent="0.2">
      <c r="A1577" s="523">
        <v>43281</v>
      </c>
      <c r="B1577" s="556" t="s">
        <v>866</v>
      </c>
      <c r="C1577" s="556" t="s">
        <v>2417</v>
      </c>
      <c r="D1577" s="1">
        <v>1.7743055555555557E-2</v>
      </c>
      <c r="E1577" s="80" t="s">
        <v>4727</v>
      </c>
      <c r="F1577" s="80" t="s">
        <v>10170</v>
      </c>
      <c r="G1577" s="82">
        <v>0.65039999999999998</v>
      </c>
      <c r="H1577" s="334">
        <f t="shared" si="47"/>
        <v>7.0254629629629625E-3</v>
      </c>
    </row>
    <row r="1578" spans="1:9" x14ac:dyDescent="0.2">
      <c r="A1578" s="34">
        <v>43274</v>
      </c>
      <c r="B1578" s="1071" t="s">
        <v>866</v>
      </c>
      <c r="C1578" s="1071" t="s">
        <v>2417</v>
      </c>
      <c r="D1578" s="334">
        <v>2.476851851851852E-2</v>
      </c>
      <c r="E1578" t="s">
        <v>8248</v>
      </c>
      <c r="F1578" s="80" t="s">
        <v>10103</v>
      </c>
      <c r="G1578" s="82">
        <v>0.46589999999999998</v>
      </c>
      <c r="H1578" s="334">
        <f t="shared" si="47"/>
        <v>-2.6967592592592599E-3</v>
      </c>
    </row>
    <row r="1579" spans="1:9" x14ac:dyDescent="0.2">
      <c r="A1579" s="523">
        <v>43267</v>
      </c>
      <c r="B1579" s="1058" t="s">
        <v>866</v>
      </c>
      <c r="C1579" s="1059" t="s">
        <v>2417</v>
      </c>
      <c r="D1579" s="1">
        <v>2.207175925925926E-2</v>
      </c>
      <c r="E1579" s="80" t="s">
        <v>5095</v>
      </c>
      <c r="F1579" s="69" t="s">
        <v>9952</v>
      </c>
      <c r="G1579" s="82">
        <v>0.52280000000000004</v>
      </c>
      <c r="H1579" s="334">
        <f t="shared" si="47"/>
        <v>-6.5972222222222474E-4</v>
      </c>
      <c r="I1579" s="80"/>
    </row>
    <row r="1580" spans="1:9" x14ac:dyDescent="0.2">
      <c r="A1580" s="523">
        <v>43260</v>
      </c>
      <c r="B1580" s="532" t="s">
        <v>866</v>
      </c>
      <c r="C1580" s="843" t="s">
        <v>2417</v>
      </c>
      <c r="D1580" s="1">
        <v>2.1412037037037035E-2</v>
      </c>
      <c r="E1580" s="80" t="s">
        <v>4727</v>
      </c>
      <c r="F1580" s="69" t="s">
        <v>9909</v>
      </c>
      <c r="G1580" s="82">
        <v>0.53890000000000005</v>
      </c>
      <c r="H1580" s="334">
        <f t="shared" si="47"/>
        <v>4.745370370370372E-4</v>
      </c>
      <c r="I1580" s="80"/>
    </row>
    <row r="1581" spans="1:9" x14ac:dyDescent="0.2">
      <c r="A1581" s="523">
        <v>43253</v>
      </c>
      <c r="B1581" s="901" t="s">
        <v>866</v>
      </c>
      <c r="C1581" s="902" t="s">
        <v>2417</v>
      </c>
      <c r="D1581" s="1">
        <v>2.1886574074074072E-2</v>
      </c>
      <c r="E1581" s="80" t="s">
        <v>4727</v>
      </c>
      <c r="F1581" s="69" t="s">
        <v>4184</v>
      </c>
      <c r="G1581" s="82">
        <v>0.5272</v>
      </c>
      <c r="H1581" s="334">
        <f t="shared" si="47"/>
        <v>-1.3888888888888631E-4</v>
      </c>
      <c r="I1581" s="80"/>
    </row>
    <row r="1582" spans="1:9" x14ac:dyDescent="0.2">
      <c r="A1582" s="523">
        <v>43246</v>
      </c>
      <c r="B1582" s="601" t="s">
        <v>866</v>
      </c>
      <c r="C1582" s="958" t="s">
        <v>2417</v>
      </c>
      <c r="D1582" s="1">
        <v>2.1747685185185186E-2</v>
      </c>
      <c r="E1582" s="80" t="s">
        <v>4727</v>
      </c>
      <c r="F1582" s="69"/>
      <c r="G1582" s="82">
        <v>0.53059999999999996</v>
      </c>
      <c r="H1582" s="334">
        <f t="shared" si="47"/>
        <v>-8.6805555555555941E-4</v>
      </c>
      <c r="I1582" s="80"/>
    </row>
    <row r="1583" spans="1:9" x14ac:dyDescent="0.2">
      <c r="A1583" s="523">
        <v>43232</v>
      </c>
      <c r="B1583" s="1051" t="s">
        <v>866</v>
      </c>
      <c r="C1583" s="1052" t="s">
        <v>2417</v>
      </c>
      <c r="D1583" s="1">
        <v>2.0879629629629626E-2</v>
      </c>
      <c r="E1583" s="80" t="s">
        <v>5653</v>
      </c>
      <c r="F1583" s="69" t="s">
        <v>9758</v>
      </c>
      <c r="G1583" s="82">
        <v>0.55269999999999997</v>
      </c>
      <c r="H1583" s="334">
        <f t="shared" si="47"/>
        <v>3.7731481481481505E-3</v>
      </c>
      <c r="I1583" s="80"/>
    </row>
    <row r="1584" spans="1:9" x14ac:dyDescent="0.2">
      <c r="A1584" s="523">
        <v>43225</v>
      </c>
      <c r="B1584" s="1044" t="s">
        <v>866</v>
      </c>
      <c r="C1584" s="1045" t="s">
        <v>2417</v>
      </c>
      <c r="D1584" s="1">
        <v>2.4652777777777777E-2</v>
      </c>
      <c r="E1584" s="80" t="s">
        <v>5959</v>
      </c>
      <c r="F1584" s="69" t="s">
        <v>9727</v>
      </c>
      <c r="G1584" s="82">
        <v>0.46810000000000002</v>
      </c>
      <c r="H1584" s="334">
        <f t="shared" si="47"/>
        <v>-3.0324074074074073E-3</v>
      </c>
      <c r="I1584" s="80"/>
    </row>
    <row r="1585" spans="1:9" x14ac:dyDescent="0.2">
      <c r="A1585" s="523">
        <v>43218</v>
      </c>
      <c r="B1585" s="568" t="s">
        <v>866</v>
      </c>
      <c r="C1585" s="861" t="s">
        <v>2417</v>
      </c>
      <c r="D1585" s="1">
        <v>2.162037037037037E-2</v>
      </c>
      <c r="E1585" s="80" t="s">
        <v>4727</v>
      </c>
      <c r="F1585" s="69" t="s">
        <v>9667</v>
      </c>
      <c r="G1585" s="82">
        <v>0.53369999999999995</v>
      </c>
      <c r="H1585" s="334">
        <f t="shared" si="47"/>
        <v>-1.9675925925925764E-4</v>
      </c>
      <c r="I1585" s="80"/>
    </row>
    <row r="1586" spans="1:9" x14ac:dyDescent="0.2">
      <c r="A1586" s="523">
        <v>43211</v>
      </c>
      <c r="B1586" s="1038" t="s">
        <v>866</v>
      </c>
      <c r="C1586" s="1039" t="s">
        <v>2417</v>
      </c>
      <c r="D1586" s="1">
        <v>2.1423611111111112E-2</v>
      </c>
      <c r="E1586" s="80" t="s">
        <v>1401</v>
      </c>
      <c r="F1586" s="69" t="s">
        <v>9625</v>
      </c>
      <c r="G1586" s="82">
        <v>0.53859999999999997</v>
      </c>
      <c r="H1586" s="334">
        <f t="shared" si="47"/>
        <v>-2.8935185185185314E-4</v>
      </c>
      <c r="I1586" s="80"/>
    </row>
    <row r="1587" spans="1:9" x14ac:dyDescent="0.2">
      <c r="A1587" s="523">
        <v>43197</v>
      </c>
      <c r="B1587" s="930" t="s">
        <v>866</v>
      </c>
      <c r="C1587" s="931" t="s">
        <v>2417</v>
      </c>
      <c r="D1587" s="1">
        <v>2.1134259259259259E-2</v>
      </c>
      <c r="E1587" s="80" t="s">
        <v>4727</v>
      </c>
      <c r="F1587" s="69" t="s">
        <v>9552</v>
      </c>
      <c r="G1587" s="82">
        <v>0.54600000000000004</v>
      </c>
      <c r="H1587" s="334">
        <f t="shared" si="47"/>
        <v>-2.9050925925925911E-3</v>
      </c>
      <c r="I1587" s="80"/>
    </row>
    <row r="1588" spans="1:9" x14ac:dyDescent="0.2">
      <c r="A1588" s="523">
        <v>43183</v>
      </c>
      <c r="B1588" s="1019" t="s">
        <v>866</v>
      </c>
      <c r="C1588" s="1020" t="s">
        <v>2417</v>
      </c>
      <c r="D1588" s="1">
        <v>1.8229166666666668E-2</v>
      </c>
      <c r="E1588" s="80" t="s">
        <v>4176</v>
      </c>
      <c r="F1588" s="69" t="s">
        <v>9510</v>
      </c>
      <c r="G1588" s="82">
        <v>0.63300000000000001</v>
      </c>
      <c r="H1588" s="334">
        <f t="shared" si="47"/>
        <v>-1.3888888888888978E-4</v>
      </c>
      <c r="I1588" s="80"/>
    </row>
    <row r="1589" spans="1:9" x14ac:dyDescent="0.2">
      <c r="A1589" s="523">
        <v>43176</v>
      </c>
      <c r="B1589" s="532" t="s">
        <v>866</v>
      </c>
      <c r="C1589" s="843" t="s">
        <v>2417</v>
      </c>
      <c r="D1589" s="1">
        <v>1.8090277777777778E-2</v>
      </c>
      <c r="E1589" s="80" t="s">
        <v>5544</v>
      </c>
      <c r="F1589" s="69" t="s">
        <v>4762</v>
      </c>
      <c r="G1589" s="82">
        <v>0.63790000000000002</v>
      </c>
      <c r="H1589" s="334" t="e">
        <f t="shared" si="47"/>
        <v>#VALUE!</v>
      </c>
      <c r="I1589" s="80"/>
    </row>
    <row r="1590" spans="1:9" x14ac:dyDescent="0.2">
      <c r="A1590" s="523">
        <v>43169</v>
      </c>
      <c r="B1590" s="862" t="s">
        <v>866</v>
      </c>
      <c r="C1590" s="863" t="s">
        <v>2417</v>
      </c>
      <c r="D1590" s="334" t="s">
        <v>787</v>
      </c>
      <c r="E1590" s="80" t="s">
        <v>4727</v>
      </c>
      <c r="F1590" s="69" t="s">
        <v>1522</v>
      </c>
      <c r="G1590" s="82"/>
      <c r="H1590" s="334" t="e">
        <f t="shared" si="47"/>
        <v>#VALUE!</v>
      </c>
      <c r="I1590" s="80"/>
    </row>
    <row r="1591" spans="1:9" x14ac:dyDescent="0.2">
      <c r="A1591" s="523">
        <v>43162</v>
      </c>
      <c r="B1591" s="879" t="s">
        <v>866</v>
      </c>
      <c r="C1591" s="880" t="s">
        <v>2417</v>
      </c>
      <c r="D1591" s="1">
        <v>2.3333333333333334E-2</v>
      </c>
      <c r="E1591" s="80" t="s">
        <v>4727</v>
      </c>
      <c r="F1591" s="69" t="s">
        <v>9399</v>
      </c>
      <c r="G1591" s="82">
        <v>0.4945</v>
      </c>
      <c r="H1591" s="334">
        <f t="shared" si="47"/>
        <v>-2.4421296296296309E-3</v>
      </c>
      <c r="I1591" s="80"/>
    </row>
    <row r="1592" spans="1:9" x14ac:dyDescent="0.2">
      <c r="A1592" s="523">
        <v>43155</v>
      </c>
      <c r="B1592" s="940" t="s">
        <v>866</v>
      </c>
      <c r="C1592" s="941" t="s">
        <v>2417</v>
      </c>
      <c r="D1592" s="1">
        <v>2.0891203703703703E-2</v>
      </c>
      <c r="E1592" s="80" t="s">
        <v>4727</v>
      </c>
      <c r="F1592" s="69" t="s">
        <v>9323</v>
      </c>
      <c r="G1592" s="82">
        <v>0.5524</v>
      </c>
      <c r="H1592" s="334">
        <f t="shared" si="47"/>
        <v>3.6921296296296285E-3</v>
      </c>
      <c r="I1592" s="80"/>
    </row>
    <row r="1593" spans="1:9" x14ac:dyDescent="0.2">
      <c r="A1593" s="523">
        <v>43148</v>
      </c>
      <c r="B1593" s="568" t="s">
        <v>866</v>
      </c>
      <c r="C1593" s="861" t="s">
        <v>2417</v>
      </c>
      <c r="D1593" s="1">
        <v>2.4583333333333332E-2</v>
      </c>
      <c r="E1593" s="80" t="s">
        <v>4727</v>
      </c>
      <c r="F1593" s="69" t="s">
        <v>9294</v>
      </c>
      <c r="G1593" s="82">
        <v>0.6542</v>
      </c>
      <c r="H1593" s="334">
        <f t="shared" si="47"/>
        <v>-5.7407407407407407E-3</v>
      </c>
      <c r="I1593" s="80"/>
    </row>
    <row r="1594" spans="1:9" x14ac:dyDescent="0.2">
      <c r="A1594" s="523">
        <v>43141</v>
      </c>
      <c r="B1594" s="987" t="s">
        <v>866</v>
      </c>
      <c r="C1594" s="988" t="s">
        <v>2417</v>
      </c>
      <c r="D1594" s="1">
        <v>1.8842592592592591E-2</v>
      </c>
      <c r="E1594" s="80" t="s">
        <v>8116</v>
      </c>
      <c r="F1594" s="69" t="s">
        <v>9232</v>
      </c>
      <c r="G1594" s="82">
        <v>0.6069</v>
      </c>
      <c r="H1594" s="334">
        <f t="shared" si="47"/>
        <v>2.4537037037037079E-3</v>
      </c>
      <c r="I1594" s="80"/>
    </row>
    <row r="1595" spans="1:9" x14ac:dyDescent="0.2">
      <c r="A1595" s="523">
        <v>43134</v>
      </c>
      <c r="B1595" s="985" t="s">
        <v>866</v>
      </c>
      <c r="C1595" s="986" t="s">
        <v>2417</v>
      </c>
      <c r="D1595" s="1">
        <v>2.1296296296296299E-2</v>
      </c>
      <c r="E1595" s="80" t="s">
        <v>4727</v>
      </c>
      <c r="F1595" s="69" t="s">
        <v>9198</v>
      </c>
      <c r="G1595" s="82">
        <v>0.53700000000000003</v>
      </c>
      <c r="H1595" s="334">
        <f t="shared" si="47"/>
        <v>-3.4722222222224181E-5</v>
      </c>
      <c r="I1595" s="80"/>
    </row>
    <row r="1596" spans="1:9" x14ac:dyDescent="0.2">
      <c r="A1596" s="523">
        <v>43127</v>
      </c>
      <c r="B1596" s="862" t="s">
        <v>866</v>
      </c>
      <c r="C1596" s="863" t="s">
        <v>2417</v>
      </c>
      <c r="D1596" s="1">
        <v>2.1261574074074075E-2</v>
      </c>
      <c r="E1596" s="80" t="s">
        <v>4727</v>
      </c>
      <c r="F1596" s="69" t="s">
        <v>9176</v>
      </c>
      <c r="G1596" s="82">
        <v>0.53779999999999994</v>
      </c>
      <c r="H1596" s="334">
        <f t="shared" si="47"/>
        <v>-6.1342592592592698E-4</v>
      </c>
      <c r="I1596" s="80"/>
    </row>
    <row r="1597" spans="1:9" x14ac:dyDescent="0.2">
      <c r="A1597" s="523">
        <v>43120</v>
      </c>
      <c r="B1597" s="601" t="s">
        <v>866</v>
      </c>
      <c r="C1597" s="958" t="s">
        <v>2417</v>
      </c>
      <c r="D1597" s="1">
        <v>2.0648148148148148E-2</v>
      </c>
      <c r="E1597" s="80" t="s">
        <v>1401</v>
      </c>
      <c r="F1597" s="69" t="s">
        <v>9092</v>
      </c>
      <c r="G1597" s="82">
        <v>0.55379999999999996</v>
      </c>
      <c r="H1597" s="334">
        <f t="shared" si="47"/>
        <v>-1.2615740740740747E-3</v>
      </c>
      <c r="I1597" s="80"/>
    </row>
    <row r="1598" spans="1:9" x14ac:dyDescent="0.2">
      <c r="A1598" s="33">
        <v>43101</v>
      </c>
      <c r="B1598" s="556" t="s">
        <v>866</v>
      </c>
      <c r="C1598" s="950" t="s">
        <v>2417</v>
      </c>
      <c r="D1598" s="1">
        <v>1.9386574074074073E-2</v>
      </c>
      <c r="E1598" s="80" t="s">
        <v>4727</v>
      </c>
      <c r="F1598" s="69" t="s">
        <v>9046</v>
      </c>
      <c r="G1598" s="82">
        <v>0.58989999999999998</v>
      </c>
      <c r="H1598" s="334">
        <f t="shared" si="47"/>
        <v>-5.0694444444444424E-3</v>
      </c>
      <c r="I1598" s="80"/>
    </row>
    <row r="1599" spans="1:9" x14ac:dyDescent="0.2">
      <c r="A1599" s="523">
        <v>43463</v>
      </c>
      <c r="B1599" s="80" t="s">
        <v>4893</v>
      </c>
      <c r="C1599" s="80" t="s">
        <v>4894</v>
      </c>
      <c r="D1599" s="1">
        <v>1.4317129629629631E-2</v>
      </c>
      <c r="E1599" s="80" t="s">
        <v>248</v>
      </c>
      <c r="F1599" s="80" t="s">
        <v>11506</v>
      </c>
      <c r="G1599" s="82">
        <v>0.75829999999999997</v>
      </c>
      <c r="H1599" s="334"/>
      <c r="I1599" s="80"/>
    </row>
    <row r="1600" spans="1:9" x14ac:dyDescent="0.2">
      <c r="A1600" s="523">
        <v>43459</v>
      </c>
      <c r="B1600" s="80" t="s">
        <v>4893</v>
      </c>
      <c r="C1600" s="80" t="s">
        <v>4894</v>
      </c>
      <c r="D1600" s="1">
        <v>1.5833333333333335E-2</v>
      </c>
      <c r="E1600" s="80" t="s">
        <v>2593</v>
      </c>
      <c r="F1600" s="80" t="s">
        <v>11382</v>
      </c>
      <c r="G1600" s="82">
        <v>0.68569999999999998</v>
      </c>
      <c r="H1600" s="80"/>
    </row>
    <row r="1601" spans="1:15" x14ac:dyDescent="0.2">
      <c r="A1601" s="523">
        <v>43407</v>
      </c>
      <c r="B1601" s="901" t="s">
        <v>4893</v>
      </c>
      <c r="C1601" s="901" t="s">
        <v>4894</v>
      </c>
      <c r="D1601" s="1">
        <v>1.877314814814815E-2</v>
      </c>
      <c r="E1601" s="80" t="s">
        <v>5456</v>
      </c>
      <c r="F1601" s="80" t="s">
        <v>10967</v>
      </c>
      <c r="G1601" s="82">
        <v>0.57830000000000004</v>
      </c>
      <c r="H1601" s="334">
        <f t="shared" ref="H1601:H1614" si="48">D1602-D1601</f>
        <v>-1.585648148148152E-3</v>
      </c>
    </row>
    <row r="1602" spans="1:15" x14ac:dyDescent="0.2">
      <c r="A1602" s="34">
        <v>43379</v>
      </c>
      <c r="B1602" s="869" t="s">
        <v>4893</v>
      </c>
      <c r="C1602" s="869" t="s">
        <v>4894</v>
      </c>
      <c r="D1602" s="1">
        <v>1.7187499999999998E-2</v>
      </c>
      <c r="E1602" s="80" t="s">
        <v>5456</v>
      </c>
      <c r="F1602" s="80" t="s">
        <v>10764</v>
      </c>
      <c r="G1602" s="82">
        <v>0.63160000000000005</v>
      </c>
      <c r="H1602" s="334">
        <f t="shared" si="48"/>
        <v>1.0185185185185193E-3</v>
      </c>
    </row>
    <row r="1603" spans="1:15" x14ac:dyDescent="0.2">
      <c r="A1603" s="523">
        <v>43337</v>
      </c>
      <c r="B1603" s="1044" t="s">
        <v>4893</v>
      </c>
      <c r="C1603" s="1044" t="s">
        <v>4894</v>
      </c>
      <c r="D1603" s="1">
        <v>1.8206018518518517E-2</v>
      </c>
      <c r="E1603" s="80" t="s">
        <v>4530</v>
      </c>
      <c r="F1603" s="80" t="s">
        <v>10505</v>
      </c>
      <c r="G1603" s="82">
        <v>0.59630000000000005</v>
      </c>
      <c r="H1603" s="334">
        <f t="shared" si="48"/>
        <v>-2.4421296296296309E-3</v>
      </c>
    </row>
    <row r="1604" spans="1:15" x14ac:dyDescent="0.2">
      <c r="A1604" s="34">
        <v>43274</v>
      </c>
      <c r="B1604" s="1071" t="s">
        <v>4893</v>
      </c>
      <c r="C1604" s="1071" t="s">
        <v>4894</v>
      </c>
      <c r="D1604" s="1">
        <v>1.5763888888888886E-2</v>
      </c>
      <c r="E1604" s="80" t="s">
        <v>475</v>
      </c>
      <c r="F1604" s="80" t="s">
        <v>10108</v>
      </c>
      <c r="G1604" s="82">
        <v>0.68869999999999998</v>
      </c>
      <c r="H1604" s="334">
        <f t="shared" si="48"/>
        <v>8.3333333333333384E-3</v>
      </c>
      <c r="I1604" s="80" t="s">
        <v>10109</v>
      </c>
    </row>
    <row r="1605" spans="1:15" x14ac:dyDescent="0.2">
      <c r="A1605" s="523">
        <v>43246</v>
      </c>
      <c r="B1605" s="601" t="s">
        <v>4893</v>
      </c>
      <c r="C1605" s="958" t="s">
        <v>4894</v>
      </c>
      <c r="D1605" s="1">
        <v>2.4097222222222225E-2</v>
      </c>
      <c r="E1605" s="80" t="s">
        <v>2637</v>
      </c>
      <c r="F1605" s="69" t="s">
        <v>9858</v>
      </c>
      <c r="G1605" s="82">
        <v>0.45050000000000001</v>
      </c>
      <c r="H1605" s="334">
        <f t="shared" si="48"/>
        <v>-9.1087962962962989E-3</v>
      </c>
      <c r="I1605" s="80"/>
    </row>
    <row r="1606" spans="1:15" x14ac:dyDescent="0.2">
      <c r="A1606" s="523">
        <v>43239</v>
      </c>
      <c r="B1606" s="80" t="s">
        <v>4893</v>
      </c>
      <c r="C1606" s="334" t="s">
        <v>4894</v>
      </c>
      <c r="D1606" s="1">
        <v>1.4988425925925926E-2</v>
      </c>
      <c r="E1606" s="80" t="s">
        <v>5453</v>
      </c>
      <c r="F1606" s="69" t="s">
        <v>9819</v>
      </c>
      <c r="G1606" s="82">
        <v>0.72430000000000005</v>
      </c>
      <c r="H1606" s="334">
        <f t="shared" si="48"/>
        <v>9.2592592592590298E-5</v>
      </c>
      <c r="I1606" s="80"/>
    </row>
    <row r="1607" spans="1:15" x14ac:dyDescent="0.2">
      <c r="A1607" s="523">
        <v>43232</v>
      </c>
      <c r="B1607" s="1051" t="s">
        <v>4893</v>
      </c>
      <c r="C1607" s="1052" t="s">
        <v>4894</v>
      </c>
      <c r="D1607" s="1">
        <v>1.5081018518518516E-2</v>
      </c>
      <c r="E1607" s="80" t="s">
        <v>129</v>
      </c>
      <c r="F1607" s="97" t="s">
        <v>9759</v>
      </c>
      <c r="G1607" s="82">
        <v>0.71989999999999998</v>
      </c>
      <c r="H1607" s="334">
        <f t="shared" si="48"/>
        <v>1.539351851851856E-3</v>
      </c>
      <c r="I1607" s="80"/>
    </row>
    <row r="1608" spans="1:15" x14ac:dyDescent="0.2">
      <c r="A1608" s="523">
        <v>43218</v>
      </c>
      <c r="B1608" s="568" t="s">
        <v>4893</v>
      </c>
      <c r="C1608" s="861" t="s">
        <v>4894</v>
      </c>
      <c r="D1608" s="1">
        <v>1.6620370370370372E-2</v>
      </c>
      <c r="E1608" s="80" t="s">
        <v>5959</v>
      </c>
      <c r="F1608" s="69" t="s">
        <v>9668</v>
      </c>
      <c r="G1608" s="82">
        <v>0.6532</v>
      </c>
      <c r="H1608" s="334">
        <f t="shared" si="48"/>
        <v>1.1342592592592585E-3</v>
      </c>
      <c r="I1608" s="80" t="s">
        <v>9669</v>
      </c>
    </row>
    <row r="1609" spans="1:15" x14ac:dyDescent="0.2">
      <c r="A1609" s="523">
        <v>43176</v>
      </c>
      <c r="B1609" s="532" t="s">
        <v>4893</v>
      </c>
      <c r="C1609" s="843" t="s">
        <v>4894</v>
      </c>
      <c r="D1609" s="1">
        <v>1.7754629629629631E-2</v>
      </c>
      <c r="E1609" s="80" t="s">
        <v>5544</v>
      </c>
      <c r="F1609" s="69" t="s">
        <v>3190</v>
      </c>
      <c r="G1609" s="82">
        <v>0.60629999999999995</v>
      </c>
      <c r="H1609" s="334">
        <f t="shared" si="48"/>
        <v>-2.4189814814814838E-3</v>
      </c>
      <c r="I1609" s="80"/>
    </row>
    <row r="1610" spans="1:15" x14ac:dyDescent="0.2">
      <c r="A1610" s="523">
        <v>43169</v>
      </c>
      <c r="B1610" s="862" t="s">
        <v>4893</v>
      </c>
      <c r="C1610" s="863" t="s">
        <v>4894</v>
      </c>
      <c r="D1610" s="1">
        <v>1.5335648148148147E-2</v>
      </c>
      <c r="E1610" s="80" t="s">
        <v>129</v>
      </c>
      <c r="F1610" s="69" t="s">
        <v>9420</v>
      </c>
      <c r="G1610" s="82">
        <v>0.70189999999999997</v>
      </c>
      <c r="H1610" s="334">
        <f t="shared" si="48"/>
        <v>1.1689814814814826E-3</v>
      </c>
      <c r="I1610" s="80" t="s">
        <v>9432</v>
      </c>
      <c r="O1610" t="s">
        <v>9433</v>
      </c>
    </row>
    <row r="1611" spans="1:15" x14ac:dyDescent="0.2">
      <c r="A1611" s="523">
        <v>43141</v>
      </c>
      <c r="B1611" s="987" t="s">
        <v>4893</v>
      </c>
      <c r="C1611" s="988" t="s">
        <v>4894</v>
      </c>
      <c r="D1611" s="1">
        <v>1.650462962962963E-2</v>
      </c>
      <c r="E1611" s="80" t="s">
        <v>129</v>
      </c>
      <c r="F1611" s="69" t="s">
        <v>5919</v>
      </c>
      <c r="G1611" s="82">
        <v>0.6522</v>
      </c>
      <c r="H1611" s="334">
        <f t="shared" si="48"/>
        <v>1.8865740740740752E-3</v>
      </c>
      <c r="I1611" s="80"/>
    </row>
    <row r="1612" spans="1:15" x14ac:dyDescent="0.2">
      <c r="A1612" s="523">
        <v>43127</v>
      </c>
      <c r="B1612" s="862" t="s">
        <v>4893</v>
      </c>
      <c r="C1612" s="863" t="s">
        <v>4894</v>
      </c>
      <c r="D1612" s="1">
        <v>1.8391203703703705E-2</v>
      </c>
      <c r="E1612" s="80" t="s">
        <v>129</v>
      </c>
      <c r="F1612" s="69" t="s">
        <v>9177</v>
      </c>
      <c r="G1612" s="82">
        <v>0.58530000000000004</v>
      </c>
      <c r="H1612" s="334">
        <f t="shared" si="48"/>
        <v>-3.3101851851851886E-3</v>
      </c>
      <c r="I1612" s="80"/>
    </row>
    <row r="1613" spans="1:15" x14ac:dyDescent="0.2">
      <c r="A1613" s="33">
        <v>43101</v>
      </c>
      <c r="B1613" s="556" t="s">
        <v>4893</v>
      </c>
      <c r="C1613" s="950" t="s">
        <v>4894</v>
      </c>
      <c r="D1613" s="1">
        <v>1.5081018518518516E-2</v>
      </c>
      <c r="E1613" s="80" t="s">
        <v>5885</v>
      </c>
      <c r="F1613" s="69" t="s">
        <v>9047</v>
      </c>
      <c r="G1613" s="82">
        <v>0.7137</v>
      </c>
      <c r="H1613" s="334">
        <f t="shared" si="48"/>
        <v>-8.1018518518518115E-4</v>
      </c>
      <c r="I1613" s="80"/>
    </row>
    <row r="1614" spans="1:15" x14ac:dyDescent="0.2">
      <c r="A1614" s="523">
        <v>43463</v>
      </c>
      <c r="B1614" s="862" t="s">
        <v>3543</v>
      </c>
      <c r="C1614" s="862" t="s">
        <v>6122</v>
      </c>
      <c r="D1614" s="1">
        <v>1.4270833333333335E-2</v>
      </c>
      <c r="E1614" s="80" t="s">
        <v>5883</v>
      </c>
      <c r="F1614" s="80" t="s">
        <v>11429</v>
      </c>
      <c r="G1614" s="82">
        <v>0.62770000000000004</v>
      </c>
      <c r="H1614" s="334">
        <f t="shared" si="48"/>
        <v>-4.745370370370372E-4</v>
      </c>
    </row>
    <row r="1615" spans="1:15" x14ac:dyDescent="0.2">
      <c r="A1615" s="523">
        <v>43459</v>
      </c>
      <c r="B1615" s="80" t="s">
        <v>3543</v>
      </c>
      <c r="C1615" s="80" t="s">
        <v>6122</v>
      </c>
      <c r="D1615" s="1">
        <v>1.3796296296296298E-2</v>
      </c>
      <c r="E1615" s="80" t="s">
        <v>129</v>
      </c>
      <c r="F1615" s="80" t="s">
        <v>11386</v>
      </c>
      <c r="G1615" s="82">
        <v>0.64929999999999999</v>
      </c>
      <c r="H1615" s="80"/>
    </row>
    <row r="1616" spans="1:15" x14ac:dyDescent="0.2">
      <c r="A1616" s="523">
        <v>43442</v>
      </c>
      <c r="B1616" s="972" t="s">
        <v>3543</v>
      </c>
      <c r="C1616" s="972" t="s">
        <v>6122</v>
      </c>
      <c r="D1616" s="1">
        <v>1.4513888888888889E-2</v>
      </c>
      <c r="E1616" s="80" t="s">
        <v>129</v>
      </c>
      <c r="F1616" s="80" t="s">
        <v>11243</v>
      </c>
      <c r="G1616" s="82">
        <v>0.61719999999999997</v>
      </c>
      <c r="H1616" s="334">
        <f t="shared" ref="H1616:H1632" si="49">D1617-D1616</f>
        <v>-2.3148148148148008E-4</v>
      </c>
    </row>
    <row r="1617" spans="1:9" x14ac:dyDescent="0.2">
      <c r="A1617" s="523">
        <v>43414</v>
      </c>
      <c r="B1617" s="862" t="s">
        <v>3543</v>
      </c>
      <c r="C1617" s="862" t="s">
        <v>6122</v>
      </c>
      <c r="D1617" s="1">
        <v>1.4282407407407409E-2</v>
      </c>
      <c r="E1617" s="80" t="s">
        <v>5883</v>
      </c>
      <c r="F1617" s="80" t="s">
        <v>10986</v>
      </c>
      <c r="G1617" s="82">
        <v>0.62719999999999998</v>
      </c>
      <c r="H1617" s="334">
        <f t="shared" si="49"/>
        <v>1.157407407407357E-5</v>
      </c>
    </row>
    <row r="1618" spans="1:9" x14ac:dyDescent="0.2">
      <c r="A1618" s="523">
        <v>43407</v>
      </c>
      <c r="B1618" s="901" t="s">
        <v>3543</v>
      </c>
      <c r="C1618" s="901" t="s">
        <v>6122</v>
      </c>
      <c r="D1618" s="1">
        <v>1.4293981481481482E-2</v>
      </c>
      <c r="E1618" s="80" t="s">
        <v>5883</v>
      </c>
      <c r="F1618" s="80" t="s">
        <v>10945</v>
      </c>
      <c r="G1618" s="82">
        <v>0.62670000000000003</v>
      </c>
      <c r="H1618" s="334">
        <f t="shared" si="49"/>
        <v>1.851851851851858E-4</v>
      </c>
    </row>
    <row r="1619" spans="1:9" x14ac:dyDescent="0.2">
      <c r="A1619" s="523">
        <v>43400</v>
      </c>
      <c r="B1619" s="901" t="s">
        <v>3543</v>
      </c>
      <c r="C1619" s="901" t="s">
        <v>6122</v>
      </c>
      <c r="D1619" s="1">
        <v>1.4479166666666668E-2</v>
      </c>
      <c r="E1619" s="80" t="s">
        <v>5883</v>
      </c>
      <c r="F1619" s="80" t="s">
        <v>10944</v>
      </c>
      <c r="G1619" s="82">
        <v>0.61870000000000003</v>
      </c>
      <c r="H1619" s="334">
        <f t="shared" si="49"/>
        <v>1.0416666666666387E-4</v>
      </c>
    </row>
    <row r="1620" spans="1:9" x14ac:dyDescent="0.2">
      <c r="A1620" s="523">
        <v>43183</v>
      </c>
      <c r="B1620" s="1019" t="s">
        <v>3543</v>
      </c>
      <c r="C1620" s="1020" t="s">
        <v>6122</v>
      </c>
      <c r="D1620" s="1">
        <v>1.4583333333333332E-2</v>
      </c>
      <c r="E1620" s="80" t="s">
        <v>3072</v>
      </c>
      <c r="F1620" s="69" t="s">
        <v>9473</v>
      </c>
      <c r="G1620" s="82">
        <v>0.61429999999999996</v>
      </c>
      <c r="H1620" s="334">
        <f t="shared" si="49"/>
        <v>1.7476851851851872E-3</v>
      </c>
      <c r="I1620" s="80"/>
    </row>
    <row r="1621" spans="1:9" x14ac:dyDescent="0.2">
      <c r="A1621" s="523">
        <v>43134</v>
      </c>
      <c r="B1621" s="985" t="s">
        <v>3543</v>
      </c>
      <c r="C1621" s="986" t="s">
        <v>6122</v>
      </c>
      <c r="D1621" s="1">
        <v>1.6331018518518519E-2</v>
      </c>
      <c r="E1621" s="80" t="s">
        <v>129</v>
      </c>
      <c r="F1621" s="69" t="s">
        <v>9191</v>
      </c>
      <c r="G1621" s="82">
        <v>0.55249999999999999</v>
      </c>
      <c r="H1621" s="334">
        <f t="shared" si="49"/>
        <v>-2.1990740740740738E-3</v>
      </c>
      <c r="I1621" s="80"/>
    </row>
    <row r="1622" spans="1:9" x14ac:dyDescent="0.2">
      <c r="A1622" s="523">
        <v>43127</v>
      </c>
      <c r="B1622" s="862" t="s">
        <v>3543</v>
      </c>
      <c r="C1622" s="863" t="s">
        <v>6122</v>
      </c>
      <c r="D1622" s="1">
        <v>1.4131944444444445E-2</v>
      </c>
      <c r="E1622" s="80" t="s">
        <v>129</v>
      </c>
      <c r="F1622" s="69" t="s">
        <v>9170</v>
      </c>
      <c r="G1622" s="82">
        <v>0.63390000000000002</v>
      </c>
      <c r="H1622" s="334" t="e">
        <f t="shared" si="49"/>
        <v>#VALUE!</v>
      </c>
      <c r="I1622" s="80"/>
    </row>
    <row r="1623" spans="1:9" x14ac:dyDescent="0.2">
      <c r="A1623" s="523">
        <v>43463</v>
      </c>
      <c r="B1623" s="862" t="s">
        <v>5744</v>
      </c>
      <c r="C1623" s="862" t="s">
        <v>1730</v>
      </c>
      <c r="D1623" s="1" t="s">
        <v>787</v>
      </c>
      <c r="E1623" s="80" t="s">
        <v>5883</v>
      </c>
      <c r="F1623" s="80" t="s">
        <v>4854</v>
      </c>
      <c r="G1623" s="82"/>
      <c r="H1623" s="334" t="e">
        <f t="shared" si="49"/>
        <v>#VALUE!</v>
      </c>
    </row>
    <row r="1624" spans="1:9" x14ac:dyDescent="0.2">
      <c r="A1624" s="523">
        <v>43463</v>
      </c>
      <c r="B1624" s="862" t="s">
        <v>3535</v>
      </c>
      <c r="C1624" s="862" t="s">
        <v>1730</v>
      </c>
      <c r="D1624" s="1">
        <v>1.5787037037037037E-2</v>
      </c>
      <c r="E1624" s="80" t="s">
        <v>5883</v>
      </c>
      <c r="F1624" s="80" t="s">
        <v>11412</v>
      </c>
      <c r="G1624" s="82">
        <v>0.69350000000000001</v>
      </c>
      <c r="H1624" s="334">
        <f t="shared" si="49"/>
        <v>-2.2106481481481473E-3</v>
      </c>
    </row>
    <row r="1625" spans="1:9" x14ac:dyDescent="0.2">
      <c r="A1625" s="34">
        <v>43274</v>
      </c>
      <c r="B1625" s="1071" t="s">
        <v>3535</v>
      </c>
      <c r="C1625" s="1071" t="s">
        <v>1730</v>
      </c>
      <c r="D1625" s="1">
        <v>1.357638888888889E-2</v>
      </c>
      <c r="E1625" s="80" t="s">
        <v>9307</v>
      </c>
      <c r="F1625" s="80" t="s">
        <v>10125</v>
      </c>
      <c r="G1625" s="82">
        <v>0.79969999999999997</v>
      </c>
      <c r="H1625" s="334">
        <f t="shared" si="49"/>
        <v>8.3333333333333176E-4</v>
      </c>
    </row>
    <row r="1626" spans="1:9" x14ac:dyDescent="0.2">
      <c r="A1626" s="523">
        <v>43211</v>
      </c>
      <c r="B1626" s="1038" t="s">
        <v>3535</v>
      </c>
      <c r="C1626" s="1039" t="s">
        <v>1730</v>
      </c>
      <c r="D1626" s="1">
        <v>1.4409722222222221E-2</v>
      </c>
      <c r="E1626" s="80" t="s">
        <v>5883</v>
      </c>
      <c r="F1626" s="69" t="s">
        <v>4762</v>
      </c>
      <c r="G1626" s="82">
        <v>0.75339999999999996</v>
      </c>
      <c r="H1626" s="334">
        <f t="shared" si="49"/>
        <v>8.1712962962962963E-3</v>
      </c>
      <c r="I1626" s="80"/>
    </row>
    <row r="1627" spans="1:9" x14ac:dyDescent="0.2">
      <c r="A1627" s="523">
        <v>43351</v>
      </c>
      <c r="B1627" s="532" t="s">
        <v>439</v>
      </c>
      <c r="C1627" s="532" t="s">
        <v>440</v>
      </c>
      <c r="D1627" s="1">
        <v>2.2581018518518518E-2</v>
      </c>
      <c r="E1627" s="80" t="s">
        <v>9307</v>
      </c>
      <c r="F1627" s="80" t="s">
        <v>10609</v>
      </c>
      <c r="G1627" s="82">
        <v>0.60529999999999995</v>
      </c>
      <c r="H1627" s="334">
        <f t="shared" si="49"/>
        <v>-1.5393518518518508E-3</v>
      </c>
    </row>
    <row r="1628" spans="1:9" x14ac:dyDescent="0.2">
      <c r="A1628" s="523">
        <v>43323</v>
      </c>
      <c r="B1628" s="568" t="s">
        <v>439</v>
      </c>
      <c r="C1628" s="568" t="s">
        <v>440</v>
      </c>
      <c r="D1628" s="1">
        <v>2.1041666666666667E-2</v>
      </c>
      <c r="E1628" s="80" t="s">
        <v>9307</v>
      </c>
      <c r="F1628" s="80" t="s">
        <v>10424</v>
      </c>
      <c r="G1628" s="82">
        <v>0.64959999999999996</v>
      </c>
      <c r="H1628" s="334">
        <f t="shared" si="49"/>
        <v>8.1018518518518462E-5</v>
      </c>
    </row>
    <row r="1629" spans="1:9" x14ac:dyDescent="0.2">
      <c r="A1629" s="523">
        <v>43302</v>
      </c>
      <c r="B1629" s="985" t="s">
        <v>439</v>
      </c>
      <c r="C1629" s="985" t="s">
        <v>440</v>
      </c>
      <c r="D1629" s="1">
        <v>2.1122685185185185E-2</v>
      </c>
      <c r="E1629" s="80" t="s">
        <v>9307</v>
      </c>
      <c r="F1629" s="80" t="s">
        <v>10306</v>
      </c>
      <c r="G1629" s="82">
        <v>0.64710000000000001</v>
      </c>
      <c r="H1629" s="334">
        <f t="shared" si="49"/>
        <v>3.0555555555555544E-3</v>
      </c>
    </row>
    <row r="1630" spans="1:9" x14ac:dyDescent="0.2">
      <c r="A1630" s="523">
        <v>43281</v>
      </c>
      <c r="B1630" s="556" t="s">
        <v>439</v>
      </c>
      <c r="C1630" s="556" t="s">
        <v>440</v>
      </c>
      <c r="D1630" s="1">
        <v>2.417824074074074E-2</v>
      </c>
      <c r="E1630" s="80" t="s">
        <v>5947</v>
      </c>
      <c r="F1630" s="80" t="s">
        <v>10175</v>
      </c>
      <c r="G1630" s="82">
        <v>0.56530000000000002</v>
      </c>
      <c r="H1630" s="334">
        <f t="shared" si="49"/>
        <v>-2.8703703703703703E-3</v>
      </c>
    </row>
    <row r="1631" spans="1:9" x14ac:dyDescent="0.2">
      <c r="A1631" s="523">
        <v>43232</v>
      </c>
      <c r="B1631" s="1051" t="s">
        <v>439</v>
      </c>
      <c r="C1631" s="1052" t="s">
        <v>440</v>
      </c>
      <c r="D1631" s="1">
        <v>2.1307870370370369E-2</v>
      </c>
      <c r="E1631" s="80" t="s">
        <v>9307</v>
      </c>
      <c r="F1631" s="69" t="s">
        <v>9783</v>
      </c>
      <c r="G1631" s="82">
        <v>0.64149999999999996</v>
      </c>
      <c r="H1631" s="334">
        <f t="shared" si="49"/>
        <v>2.5231481481481494E-3</v>
      </c>
      <c r="I1631" s="80"/>
    </row>
    <row r="1632" spans="1:9" x14ac:dyDescent="0.2">
      <c r="A1632" s="523">
        <v>43463</v>
      </c>
      <c r="B1632" s="862" t="s">
        <v>4259</v>
      </c>
      <c r="C1632" s="862" t="s">
        <v>440</v>
      </c>
      <c r="D1632" s="1">
        <v>2.3831018518518519E-2</v>
      </c>
      <c r="E1632" s="80" t="s">
        <v>5095</v>
      </c>
      <c r="F1632" s="80" t="s">
        <v>11400</v>
      </c>
      <c r="G1632" s="82">
        <v>0.51380000000000003</v>
      </c>
      <c r="H1632" s="334">
        <f t="shared" si="49"/>
        <v>6.3657407407407413E-4</v>
      </c>
    </row>
    <row r="1633" spans="1:19" x14ac:dyDescent="0.2">
      <c r="A1633" s="523">
        <v>43459</v>
      </c>
      <c r="B1633" s="80" t="s">
        <v>4259</v>
      </c>
      <c r="C1633" s="80" t="s">
        <v>440</v>
      </c>
      <c r="D1633" s="1">
        <v>2.4467592592592593E-2</v>
      </c>
      <c r="E1633" s="80" t="s">
        <v>3528</v>
      </c>
      <c r="F1633" s="80" t="s">
        <v>11383</v>
      </c>
      <c r="G1633" s="82">
        <v>0.50049999999999994</v>
      </c>
      <c r="H1633" s="80"/>
    </row>
    <row r="1634" spans="1:19" x14ac:dyDescent="0.2">
      <c r="A1634" s="523">
        <v>43421</v>
      </c>
      <c r="B1634" s="906" t="s">
        <v>4259</v>
      </c>
      <c r="C1634" s="906" t="s">
        <v>440</v>
      </c>
      <c r="D1634" s="1">
        <v>2.4074074074074071E-2</v>
      </c>
      <c r="E1634" s="80" t="s">
        <v>5095</v>
      </c>
      <c r="F1634" s="80" t="s">
        <v>11056</v>
      </c>
      <c r="G1634" s="82">
        <v>0.50870000000000004</v>
      </c>
      <c r="H1634" s="334">
        <f t="shared" ref="H1634:H1656" si="50">D1635-D1634</f>
        <v>2.4305555555555573E-3</v>
      </c>
    </row>
    <row r="1635" spans="1:19" x14ac:dyDescent="0.2">
      <c r="A1635" s="523">
        <v>43407</v>
      </c>
      <c r="B1635" s="901" t="s">
        <v>4259</v>
      </c>
      <c r="C1635" s="901" t="s">
        <v>440</v>
      </c>
      <c r="D1635" s="1">
        <v>2.6504629629629628E-2</v>
      </c>
      <c r="E1635" s="80" t="s">
        <v>9578</v>
      </c>
      <c r="F1635" s="80" t="s">
        <v>10968</v>
      </c>
      <c r="G1635" s="82">
        <v>0.46200000000000002</v>
      </c>
      <c r="H1635" s="334">
        <f t="shared" si="50"/>
        <v>-2.5231481481481494E-3</v>
      </c>
    </row>
    <row r="1636" spans="1:19" x14ac:dyDescent="0.2">
      <c r="A1636" s="34">
        <v>43372</v>
      </c>
      <c r="B1636" s="532" t="s">
        <v>4259</v>
      </c>
      <c r="C1636" s="532" t="s">
        <v>440</v>
      </c>
      <c r="D1636" s="1">
        <v>2.3981481481481479E-2</v>
      </c>
      <c r="E1636" s="80" t="s">
        <v>5095</v>
      </c>
      <c r="F1636" s="80" t="s">
        <v>10682</v>
      </c>
      <c r="G1636" s="82">
        <v>0.50429999999999997</v>
      </c>
      <c r="H1636" s="334">
        <f t="shared" si="50"/>
        <v>-5.7870370370369587E-4</v>
      </c>
    </row>
    <row r="1637" spans="1:19" x14ac:dyDescent="0.2">
      <c r="A1637" s="523">
        <v>43316</v>
      </c>
      <c r="B1637" s="1029" t="s">
        <v>4259</v>
      </c>
      <c r="C1637" s="1030" t="s">
        <v>440</v>
      </c>
      <c r="D1637" s="136">
        <v>2.3402777777777783E-2</v>
      </c>
      <c r="E1637" s="80" t="s">
        <v>4500</v>
      </c>
      <c r="F1637" s="69" t="s">
        <v>10390</v>
      </c>
      <c r="G1637" s="82">
        <v>0.51580000000000004</v>
      </c>
      <c r="H1637" s="334">
        <f t="shared" si="50"/>
        <v>-4.629629629630122E-5</v>
      </c>
    </row>
    <row r="1638" spans="1:19" x14ac:dyDescent="0.2">
      <c r="A1638" s="34">
        <v>43274</v>
      </c>
      <c r="B1638" s="1071" t="s">
        <v>4259</v>
      </c>
      <c r="C1638" s="1071" t="s">
        <v>440</v>
      </c>
      <c r="D1638" s="1">
        <v>2.3356481481481482E-2</v>
      </c>
      <c r="E1638" s="80" t="s">
        <v>3072</v>
      </c>
      <c r="F1638" s="80" t="s">
        <v>10110</v>
      </c>
      <c r="G1638" s="82">
        <v>0.51780000000000004</v>
      </c>
      <c r="H1638" s="334">
        <f t="shared" si="50"/>
        <v>4.0856481481481507E-3</v>
      </c>
    </row>
    <row r="1639" spans="1:19" x14ac:dyDescent="0.2">
      <c r="A1639" s="523">
        <v>43246</v>
      </c>
      <c r="B1639" s="601" t="s">
        <v>4259</v>
      </c>
      <c r="C1639" s="958" t="s">
        <v>440</v>
      </c>
      <c r="D1639" s="1">
        <v>2.7442129629629632E-2</v>
      </c>
      <c r="E1639" s="80" t="s">
        <v>891</v>
      </c>
      <c r="F1639" s="69"/>
      <c r="G1639" s="82">
        <v>0.44069999999999998</v>
      </c>
      <c r="H1639" s="334">
        <f t="shared" si="50"/>
        <v>-2.9166666666666646E-3</v>
      </c>
      <c r="I1639" s="80"/>
    </row>
    <row r="1640" spans="1:19" x14ac:dyDescent="0.2">
      <c r="A1640" s="523">
        <v>43232</v>
      </c>
      <c r="B1640" s="1051" t="s">
        <v>4259</v>
      </c>
      <c r="C1640" s="1052" t="s">
        <v>440</v>
      </c>
      <c r="D1640" s="1">
        <v>2.4525462962962968E-2</v>
      </c>
      <c r="E1640" s="80" t="s">
        <v>9307</v>
      </c>
      <c r="F1640" s="69" t="s">
        <v>9784</v>
      </c>
      <c r="G1640" s="82">
        <v>0.49320000000000003</v>
      </c>
      <c r="H1640" s="334">
        <f t="shared" si="50"/>
        <v>-5.7870370370374791E-5</v>
      </c>
      <c r="I1640" s="80"/>
    </row>
    <row r="1641" spans="1:19" x14ac:dyDescent="0.2">
      <c r="A1641" s="523">
        <v>43225</v>
      </c>
      <c r="B1641" s="1044" t="s">
        <v>4259</v>
      </c>
      <c r="C1641" s="1045" t="s">
        <v>440</v>
      </c>
      <c r="D1641" s="1">
        <v>2.4467592592592593E-2</v>
      </c>
      <c r="E1641" s="80" t="s">
        <v>5095</v>
      </c>
      <c r="F1641" s="69" t="s">
        <v>9728</v>
      </c>
      <c r="G1641" s="82">
        <v>0.49430000000000002</v>
      </c>
      <c r="H1641" s="334">
        <f t="shared" si="50"/>
        <v>-8.3333333333333523E-4</v>
      </c>
      <c r="I1641" s="80"/>
    </row>
    <row r="1642" spans="1:19" x14ac:dyDescent="0.2">
      <c r="A1642" s="523">
        <v>43190</v>
      </c>
      <c r="B1642" s="1029" t="s">
        <v>4259</v>
      </c>
      <c r="C1642" s="1030" t="s">
        <v>440</v>
      </c>
      <c r="D1642" s="1">
        <v>2.3634259259259258E-2</v>
      </c>
      <c r="E1642" s="80" t="s">
        <v>3528</v>
      </c>
      <c r="F1642" s="69" t="s">
        <v>9530</v>
      </c>
      <c r="G1642" s="82">
        <v>0.51180000000000003</v>
      </c>
      <c r="H1642" s="334">
        <f t="shared" si="50"/>
        <v>1.4699074074074059E-3</v>
      </c>
      <c r="I1642" s="80"/>
    </row>
    <row r="1643" spans="1:19" x14ac:dyDescent="0.2">
      <c r="A1643" s="523">
        <v>43162</v>
      </c>
      <c r="B1643" s="879" t="s">
        <v>4259</v>
      </c>
      <c r="C1643" s="880" t="s">
        <v>440</v>
      </c>
      <c r="D1643" s="1">
        <v>2.5104166666666664E-2</v>
      </c>
      <c r="E1643" s="80" t="s">
        <v>3072</v>
      </c>
      <c r="F1643" s="69" t="s">
        <v>9400</v>
      </c>
      <c r="G1643" s="82">
        <v>0.48180000000000001</v>
      </c>
      <c r="H1643" s="334">
        <f t="shared" si="50"/>
        <v>-9.6296296296296251E-3</v>
      </c>
      <c r="I1643" s="80"/>
    </row>
    <row r="1644" spans="1:19" x14ac:dyDescent="0.2">
      <c r="A1644" s="523">
        <v>43309</v>
      </c>
      <c r="B1644" s="879" t="s">
        <v>3898</v>
      </c>
      <c r="C1644" s="879" t="s">
        <v>3899</v>
      </c>
      <c r="D1644" s="1">
        <v>1.5474537037037038E-2</v>
      </c>
      <c r="E1644" s="80" t="s">
        <v>5186</v>
      </c>
      <c r="F1644" s="80" t="s">
        <v>10342</v>
      </c>
      <c r="G1644" s="82">
        <v>0.6956</v>
      </c>
      <c r="H1644" s="334">
        <f t="shared" si="50"/>
        <v>1.2731481481481274E-4</v>
      </c>
    </row>
    <row r="1645" spans="1:19" x14ac:dyDescent="0.2">
      <c r="A1645" s="523">
        <v>43197</v>
      </c>
      <c r="B1645" s="930" t="s">
        <v>3898</v>
      </c>
      <c r="C1645" s="931" t="s">
        <v>3899</v>
      </c>
      <c r="D1645" s="1">
        <v>1.5601851851851851E-2</v>
      </c>
      <c r="E1645" s="80" t="s">
        <v>5186</v>
      </c>
      <c r="F1645" s="69" t="s">
        <v>9548</v>
      </c>
      <c r="G1645" s="82">
        <v>0.68400000000000005</v>
      </c>
      <c r="H1645" s="334">
        <f t="shared" si="50"/>
        <v>-5.4398148148148209E-4</v>
      </c>
      <c r="I1645" s="80" t="s">
        <v>9554</v>
      </c>
    </row>
    <row r="1646" spans="1:19" x14ac:dyDescent="0.2">
      <c r="A1646" s="523">
        <v>43253</v>
      </c>
      <c r="B1646" s="901" t="s">
        <v>9863</v>
      </c>
      <c r="C1646" s="902" t="s">
        <v>9865</v>
      </c>
      <c r="D1646" s="1">
        <v>1.5057870370370369E-2</v>
      </c>
      <c r="E1646" s="80" t="s">
        <v>8251</v>
      </c>
      <c r="F1646" s="69" t="s">
        <v>9864</v>
      </c>
      <c r="G1646" s="82">
        <v>0.70950000000000002</v>
      </c>
      <c r="H1646" s="334">
        <f t="shared" si="50"/>
        <v>-1.9675925925925937E-4</v>
      </c>
      <c r="I1646" s="80" t="s">
        <v>9890</v>
      </c>
      <c r="S1646" s="80" t="s">
        <v>3698</v>
      </c>
    </row>
    <row r="1647" spans="1:19" x14ac:dyDescent="0.2">
      <c r="A1647" s="523">
        <v>43456</v>
      </c>
      <c r="B1647" s="556" t="s">
        <v>10900</v>
      </c>
      <c r="C1647" s="556" t="s">
        <v>10860</v>
      </c>
      <c r="D1647" s="1">
        <v>1.486111111111111E-2</v>
      </c>
      <c r="E1647" s="80" t="s">
        <v>9307</v>
      </c>
      <c r="F1647" s="80" t="s">
        <v>11350</v>
      </c>
      <c r="G1647" s="82">
        <v>0.64200000000000002</v>
      </c>
      <c r="H1647" s="334">
        <f t="shared" si="50"/>
        <v>3.3680555555555582E-3</v>
      </c>
    </row>
    <row r="1648" spans="1:19" x14ac:dyDescent="0.2">
      <c r="A1648" s="523">
        <v>43449</v>
      </c>
      <c r="B1648" s="1029" t="s">
        <v>10900</v>
      </c>
      <c r="C1648" s="1029" t="s">
        <v>10860</v>
      </c>
      <c r="D1648" s="1">
        <v>1.8229166666666668E-2</v>
      </c>
      <c r="E1648" s="80" t="s">
        <v>10983</v>
      </c>
      <c r="F1648" s="80" t="s">
        <v>11278</v>
      </c>
      <c r="G1648" s="82">
        <v>0.52380000000000004</v>
      </c>
      <c r="H1648" s="334">
        <f t="shared" si="50"/>
        <v>-3.3564814814814829E-3</v>
      </c>
    </row>
    <row r="1649" spans="1:11" x14ac:dyDescent="0.2">
      <c r="A1649" s="523">
        <v>43442</v>
      </c>
      <c r="B1649" s="972" t="s">
        <v>10900</v>
      </c>
      <c r="C1649" s="972" t="s">
        <v>10860</v>
      </c>
      <c r="D1649" s="1">
        <v>1.4872685185185185E-2</v>
      </c>
      <c r="E1649" s="80" t="s">
        <v>9307</v>
      </c>
      <c r="F1649" s="80" t="s">
        <v>11251</v>
      </c>
      <c r="G1649" s="82">
        <v>0.64200000000000002</v>
      </c>
      <c r="H1649" s="334">
        <f t="shared" si="50"/>
        <v>2.3032407407407394E-3</v>
      </c>
      <c r="I1649" t="s">
        <v>10901</v>
      </c>
    </row>
    <row r="1650" spans="1:11" x14ac:dyDescent="0.2">
      <c r="A1650" s="523">
        <v>43414</v>
      </c>
      <c r="B1650" s="862" t="s">
        <v>10900</v>
      </c>
      <c r="C1650" s="862" t="s">
        <v>10860</v>
      </c>
      <c r="D1650" s="1">
        <v>1.7175925925925924E-2</v>
      </c>
      <c r="E1650" s="80" t="s">
        <v>9307</v>
      </c>
      <c r="F1650" s="80" t="s">
        <v>3244</v>
      </c>
      <c r="G1650" s="82">
        <v>0.55589999999999995</v>
      </c>
      <c r="H1650" s="334">
        <f t="shared" si="50"/>
        <v>-2.5115740740740723E-3</v>
      </c>
    </row>
    <row r="1651" spans="1:11" x14ac:dyDescent="0.2">
      <c r="A1651" s="523">
        <v>43407</v>
      </c>
      <c r="B1651" s="901" t="s">
        <v>10900</v>
      </c>
      <c r="C1651" s="901" t="s">
        <v>10860</v>
      </c>
      <c r="D1651" s="1">
        <v>1.4664351851851852E-2</v>
      </c>
      <c r="E1651" s="80" t="s">
        <v>9307</v>
      </c>
      <c r="F1651" s="80" t="s">
        <v>10960</v>
      </c>
      <c r="G1651" s="82">
        <v>0.65110000000000001</v>
      </c>
      <c r="H1651" s="334">
        <f t="shared" si="50"/>
        <v>-1.0416666666666907E-4</v>
      </c>
    </row>
    <row r="1652" spans="1:11" x14ac:dyDescent="0.2">
      <c r="A1652" s="523">
        <v>43400</v>
      </c>
      <c r="B1652" s="556" t="s">
        <v>10900</v>
      </c>
      <c r="C1652" s="556" t="s">
        <v>10860</v>
      </c>
      <c r="D1652" s="1">
        <v>1.4560185185185183E-2</v>
      </c>
      <c r="E1652" s="80" t="s">
        <v>9307</v>
      </c>
      <c r="F1652" s="80" t="s">
        <v>10905</v>
      </c>
      <c r="G1652" s="82">
        <v>0.65580000000000005</v>
      </c>
      <c r="H1652" s="334">
        <f t="shared" si="50"/>
        <v>4.9768518518518608E-4</v>
      </c>
      <c r="I1652" s="80" t="s">
        <v>10901</v>
      </c>
      <c r="K1652" s="80" t="s">
        <v>10902</v>
      </c>
    </row>
    <row r="1653" spans="1:11" x14ac:dyDescent="0.2">
      <c r="A1653" s="523">
        <v>43190</v>
      </c>
      <c r="B1653" s="930" t="s">
        <v>9537</v>
      </c>
      <c r="C1653" s="931" t="s">
        <v>9575</v>
      </c>
      <c r="D1653" s="1">
        <v>1.5057870370370369E-2</v>
      </c>
      <c r="E1653" s="80" t="s">
        <v>8855</v>
      </c>
      <c r="F1653" s="69" t="s">
        <v>9538</v>
      </c>
      <c r="G1653" s="82">
        <v>0.72019999999999995</v>
      </c>
      <c r="H1653" s="334">
        <f t="shared" si="50"/>
        <v>4.1666666666666675E-3</v>
      </c>
      <c r="I1653" s="80"/>
    </row>
    <row r="1654" spans="1:11" x14ac:dyDescent="0.2">
      <c r="A1654" s="523">
        <v>43449</v>
      </c>
      <c r="B1654" s="1029" t="s">
        <v>2706</v>
      </c>
      <c r="C1654" s="1029" t="s">
        <v>2707</v>
      </c>
      <c r="D1654" s="1">
        <v>1.9224537037037037E-2</v>
      </c>
      <c r="E1654" s="80" t="s">
        <v>5885</v>
      </c>
      <c r="F1654" s="80" t="s">
        <v>11292</v>
      </c>
      <c r="G1654" s="82">
        <v>0.54610000000000003</v>
      </c>
      <c r="H1654" s="334">
        <f t="shared" si="50"/>
        <v>2.4421296296296309E-3</v>
      </c>
    </row>
    <row r="1655" spans="1:11" x14ac:dyDescent="0.2">
      <c r="A1655" s="523">
        <v>43295</v>
      </c>
      <c r="B1655" s="601" t="s">
        <v>2706</v>
      </c>
      <c r="C1655" s="601" t="s">
        <v>2707</v>
      </c>
      <c r="D1655" s="1">
        <v>2.1666666666666667E-2</v>
      </c>
      <c r="E1655" s="80" t="s">
        <v>5885</v>
      </c>
      <c r="F1655" s="80" t="s">
        <v>10228</v>
      </c>
      <c r="G1655" s="82">
        <v>0.48449999999999999</v>
      </c>
      <c r="H1655" s="334">
        <f t="shared" si="50"/>
        <v>1.932870370370373E-3</v>
      </c>
    </row>
    <row r="1656" spans="1:11" ht="12" customHeight="1" x14ac:dyDescent="0.2">
      <c r="A1656" s="523">
        <v>43225</v>
      </c>
      <c r="B1656" s="1044" t="s">
        <v>2706</v>
      </c>
      <c r="C1656" s="1045" t="s">
        <v>2707</v>
      </c>
      <c r="D1656" s="1">
        <v>2.359953703703704E-2</v>
      </c>
      <c r="E1656" s="80" t="s">
        <v>5885</v>
      </c>
      <c r="F1656" s="69" t="s">
        <v>9710</v>
      </c>
      <c r="G1656" s="82">
        <v>0.44090000000000001</v>
      </c>
      <c r="H1656" s="334" t="e">
        <f t="shared" si="50"/>
        <v>#VALUE!</v>
      </c>
      <c r="I1656" s="80"/>
    </row>
    <row r="1657" spans="1:11" ht="12" customHeight="1" x14ac:dyDescent="0.2">
      <c r="A1657" s="34">
        <v>43197</v>
      </c>
      <c r="B1657" t="s">
        <v>9810</v>
      </c>
      <c r="C1657" s="1" t="s">
        <v>9811</v>
      </c>
      <c r="D1657" t="s">
        <v>787</v>
      </c>
      <c r="E1657" s="80" t="s">
        <v>9307</v>
      </c>
      <c r="F1657" s="41"/>
      <c r="H1657" s="334"/>
    </row>
    <row r="1658" spans="1:11" ht="12" customHeight="1" x14ac:dyDescent="0.2">
      <c r="A1658" s="523">
        <v>43155</v>
      </c>
      <c r="B1658" s="940" t="s">
        <v>9330</v>
      </c>
      <c r="C1658" s="941" t="s">
        <v>5543</v>
      </c>
      <c r="D1658" s="1">
        <v>1.90625E-2</v>
      </c>
      <c r="E1658" s="80" t="s">
        <v>6393</v>
      </c>
      <c r="F1658" s="69" t="s">
        <v>9331</v>
      </c>
      <c r="G1658" s="82">
        <v>0.55069999999999997</v>
      </c>
      <c r="H1658" s="334">
        <f>D1659-D1658</f>
        <v>-1.0995370370370378E-3</v>
      </c>
      <c r="I1658" s="80"/>
    </row>
    <row r="1659" spans="1:11" ht="12" customHeight="1" x14ac:dyDescent="0.2">
      <c r="A1659" s="523">
        <v>43190</v>
      </c>
      <c r="B1659" s="1029" t="s">
        <v>3962</v>
      </c>
      <c r="C1659" s="1030" t="s">
        <v>5543</v>
      </c>
      <c r="D1659" s="1">
        <v>1.7962962962962962E-2</v>
      </c>
      <c r="E1659" s="80" t="s">
        <v>5948</v>
      </c>
      <c r="F1659" s="69" t="s">
        <v>9522</v>
      </c>
      <c r="G1659" s="82">
        <v>0.60950000000000004</v>
      </c>
      <c r="H1659" s="334">
        <f>D1660-D1659</f>
        <v>-6.9444444444444198E-4</v>
      </c>
      <c r="I1659" s="80"/>
    </row>
    <row r="1660" spans="1:11" ht="12" customHeight="1" x14ac:dyDescent="0.2">
      <c r="A1660" s="523">
        <v>43162</v>
      </c>
      <c r="B1660" s="879" t="s">
        <v>3962</v>
      </c>
      <c r="C1660" s="880" t="s">
        <v>5543</v>
      </c>
      <c r="D1660" s="1">
        <v>1.726851851851852E-2</v>
      </c>
      <c r="E1660" s="80" t="s">
        <v>3072</v>
      </c>
      <c r="F1660" s="69" t="s">
        <v>9387</v>
      </c>
      <c r="G1660" s="82">
        <v>0.63400000000000001</v>
      </c>
      <c r="H1660" s="334">
        <f>D1661-D1660</f>
        <v>-2.66203703703706E-4</v>
      </c>
      <c r="I1660" s="80"/>
    </row>
    <row r="1661" spans="1:11" ht="12" customHeight="1" x14ac:dyDescent="0.2">
      <c r="A1661" s="523">
        <v>43148</v>
      </c>
      <c r="B1661" s="568" t="s">
        <v>3962</v>
      </c>
      <c r="C1661" s="861" t="s">
        <v>5543</v>
      </c>
      <c r="D1661" s="1">
        <v>1.7002314814814814E-2</v>
      </c>
      <c r="E1661" s="80" t="s">
        <v>6393</v>
      </c>
      <c r="F1661" s="69" t="s">
        <v>9288</v>
      </c>
      <c r="G1661" s="82">
        <v>0.64400000000000002</v>
      </c>
      <c r="H1661" s="334"/>
      <c r="I1661" s="80"/>
    </row>
    <row r="1662" spans="1:11" ht="12" customHeight="1" x14ac:dyDescent="0.2">
      <c r="A1662" s="523">
        <v>43459</v>
      </c>
      <c r="B1662" s="80" t="s">
        <v>866</v>
      </c>
      <c r="C1662" s="80" t="s">
        <v>5543</v>
      </c>
      <c r="D1662" s="1">
        <v>1.7060185185185185E-2</v>
      </c>
      <c r="E1662" s="80" t="s">
        <v>6393</v>
      </c>
      <c r="F1662" s="80" t="s">
        <v>11373</v>
      </c>
      <c r="G1662" s="82">
        <v>0.61529999999999996</v>
      </c>
      <c r="H1662" s="80"/>
    </row>
    <row r="1663" spans="1:11" ht="12" customHeight="1" x14ac:dyDescent="0.2">
      <c r="A1663" s="523">
        <v>43358</v>
      </c>
      <c r="B1663" s="1127" t="s">
        <v>866</v>
      </c>
      <c r="C1663" s="1127" t="s">
        <v>5543</v>
      </c>
      <c r="D1663" s="1">
        <v>1.3657407407407408E-2</v>
      </c>
      <c r="E1663" t="s">
        <v>6393</v>
      </c>
      <c r="F1663" s="80" t="s">
        <v>10637</v>
      </c>
      <c r="G1663" s="82">
        <v>0.76859999999999995</v>
      </c>
      <c r="H1663" s="334">
        <f>D1664-D1663</f>
        <v>7.0023148148148136E-3</v>
      </c>
    </row>
    <row r="1664" spans="1:11" ht="12" customHeight="1" x14ac:dyDescent="0.2">
      <c r="A1664" s="523">
        <v>43267</v>
      </c>
      <c r="B1664" s="1058" t="s">
        <v>866</v>
      </c>
      <c r="C1664" s="1059" t="s">
        <v>5543</v>
      </c>
      <c r="D1664" s="1">
        <v>2.0659722222222222E-2</v>
      </c>
      <c r="E1664" s="80" t="s">
        <v>2593</v>
      </c>
      <c r="F1664" s="69" t="s">
        <v>4960</v>
      </c>
      <c r="G1664" s="82">
        <v>0.76539999999999997</v>
      </c>
      <c r="H1664" s="334">
        <f>D1665-D1664</f>
        <v>-6.5046296296296293E-3</v>
      </c>
      <c r="I1664" s="80"/>
    </row>
    <row r="1665" spans="1:9" ht="12" customHeight="1" x14ac:dyDescent="0.2">
      <c r="A1665" s="523">
        <v>43190</v>
      </c>
      <c r="B1665" s="1029" t="s">
        <v>866</v>
      </c>
      <c r="C1665" s="1030" t="s">
        <v>5543</v>
      </c>
      <c r="D1665" s="1">
        <v>1.4155092592592592E-2</v>
      </c>
      <c r="E1665" s="80" t="s">
        <v>5948</v>
      </c>
      <c r="F1665" s="69" t="s">
        <v>9541</v>
      </c>
      <c r="G1665" s="82">
        <v>0.73509999999999998</v>
      </c>
      <c r="H1665" s="334">
        <f>D1666-D1665</f>
        <v>3.8888888888888914E-3</v>
      </c>
      <c r="I1665" s="80"/>
    </row>
    <row r="1666" spans="1:9" ht="12" customHeight="1" x14ac:dyDescent="0.2">
      <c r="A1666" s="523">
        <v>43148</v>
      </c>
      <c r="B1666" s="568" t="s">
        <v>866</v>
      </c>
      <c r="C1666" s="861" t="s">
        <v>5543</v>
      </c>
      <c r="D1666" s="1">
        <v>1.8043981481481484E-2</v>
      </c>
      <c r="E1666" s="80" t="s">
        <v>6393</v>
      </c>
      <c r="F1666" s="69" t="s">
        <v>9288</v>
      </c>
      <c r="G1666" s="82">
        <v>0.57669999999999999</v>
      </c>
      <c r="H1666" s="334"/>
      <c r="I1666" s="80"/>
    </row>
    <row r="1667" spans="1:9" ht="12" customHeight="1" x14ac:dyDescent="0.2">
      <c r="A1667" s="523">
        <v>43386</v>
      </c>
      <c r="B1667" s="532" t="s">
        <v>2703</v>
      </c>
      <c r="C1667" s="532" t="s">
        <v>5543</v>
      </c>
      <c r="D1667" s="1" t="s">
        <v>787</v>
      </c>
      <c r="E1667" s="80" t="s">
        <v>1401</v>
      </c>
      <c r="F1667" s="80"/>
      <c r="G1667" s="82"/>
      <c r="H1667" s="334" t="e">
        <f>D1668-D1667</f>
        <v>#VALUE!</v>
      </c>
    </row>
    <row r="1668" spans="1:9" ht="12" customHeight="1" x14ac:dyDescent="0.2">
      <c r="A1668" s="523">
        <v>43351</v>
      </c>
      <c r="B1668" s="531" t="s">
        <v>2703</v>
      </c>
      <c r="C1668" s="531" t="s">
        <v>5543</v>
      </c>
      <c r="D1668" s="1">
        <v>2.1724537037037039E-2</v>
      </c>
      <c r="E1668" t="s">
        <v>1401</v>
      </c>
      <c r="F1668" t="s">
        <v>2660</v>
      </c>
      <c r="G1668" s="82">
        <v>0.56369999999999998</v>
      </c>
      <c r="H1668" s="334">
        <f>D1669-D1668</f>
        <v>5.3240740740740158E-4</v>
      </c>
    </row>
    <row r="1669" spans="1:9" ht="12" customHeight="1" x14ac:dyDescent="0.2">
      <c r="A1669" s="33">
        <v>43337</v>
      </c>
      <c r="B1669" s="1044" t="s">
        <v>2703</v>
      </c>
      <c r="C1669" s="1045" t="s">
        <v>5543</v>
      </c>
      <c r="D1669" s="334">
        <v>2.225694444444444E-2</v>
      </c>
      <c r="E1669" s="80" t="s">
        <v>1401</v>
      </c>
      <c r="F1669" s="69" t="s">
        <v>10507</v>
      </c>
      <c r="G1669" s="82">
        <v>0.55020000000000002</v>
      </c>
      <c r="H1669" s="334">
        <f>D1670-D1669</f>
        <v>4.0509259259259578E-4</v>
      </c>
    </row>
    <row r="1670" spans="1:9" ht="12" customHeight="1" x14ac:dyDescent="0.2">
      <c r="A1670" s="523">
        <v>43316</v>
      </c>
      <c r="B1670" s="80" t="s">
        <v>2703</v>
      </c>
      <c r="C1670" s="334" t="s">
        <v>5543</v>
      </c>
      <c r="D1670" s="136">
        <v>2.2662037037037036E-2</v>
      </c>
      <c r="E1670" s="80" t="s">
        <v>1401</v>
      </c>
      <c r="F1670" s="69" t="s">
        <v>10398</v>
      </c>
      <c r="G1670" s="82">
        <v>0.5403</v>
      </c>
      <c r="H1670" s="334"/>
    </row>
    <row r="1671" spans="1:9" ht="12" customHeight="1" x14ac:dyDescent="0.2">
      <c r="A1671" s="523">
        <v>43232</v>
      </c>
      <c r="B1671" s="1051" t="s">
        <v>9774</v>
      </c>
      <c r="C1671" s="1052" t="s">
        <v>5543</v>
      </c>
      <c r="D1671" s="1">
        <v>2.1226851851851854E-2</v>
      </c>
      <c r="E1671" s="80" t="s">
        <v>5544</v>
      </c>
      <c r="F1671" s="69" t="s">
        <v>9775</v>
      </c>
      <c r="G1671" s="82">
        <v>0.57689999999999997</v>
      </c>
      <c r="H1671" s="334">
        <f>D1672-D1671</f>
        <v>-6.2962962962962981E-3</v>
      </c>
      <c r="I1671" s="80"/>
    </row>
    <row r="1672" spans="1:9" ht="12" customHeight="1" x14ac:dyDescent="0.2">
      <c r="A1672" s="523">
        <v>43190</v>
      </c>
      <c r="B1672" s="1029" t="s">
        <v>5542</v>
      </c>
      <c r="C1672" s="1030" t="s">
        <v>5543</v>
      </c>
      <c r="D1672" s="1">
        <v>1.4930555555555556E-2</v>
      </c>
      <c r="E1672" s="80" t="s">
        <v>5948</v>
      </c>
      <c r="F1672" s="69" t="s">
        <v>9521</v>
      </c>
      <c r="G1672" s="82">
        <v>0.73329999999999995</v>
      </c>
      <c r="H1672" s="334"/>
      <c r="I1672" s="80"/>
    </row>
    <row r="1673" spans="1:9" ht="12" customHeight="1" x14ac:dyDescent="0.2">
      <c r="A1673" s="523">
        <v>43148</v>
      </c>
      <c r="B1673" s="568" t="s">
        <v>5542</v>
      </c>
      <c r="C1673" s="861" t="s">
        <v>5543</v>
      </c>
      <c r="D1673" s="1">
        <v>1.4120370370370368E-2</v>
      </c>
      <c r="E1673" s="80" t="s">
        <v>6393</v>
      </c>
      <c r="F1673" s="69" t="s">
        <v>9287</v>
      </c>
      <c r="G1673" s="82">
        <v>0.77539999999999998</v>
      </c>
      <c r="H1673" s="334"/>
      <c r="I1673" s="80"/>
    </row>
    <row r="1674" spans="1:9" ht="12" customHeight="1" x14ac:dyDescent="0.2">
      <c r="A1674" s="523">
        <v>43463</v>
      </c>
      <c r="B1674" s="862" t="s">
        <v>1794</v>
      </c>
      <c r="C1674" s="862" t="s">
        <v>5543</v>
      </c>
      <c r="D1674" s="1">
        <v>1.7210648148148149E-2</v>
      </c>
      <c r="E1674" s="80" t="s">
        <v>1401</v>
      </c>
      <c r="F1674" s="80" t="s">
        <v>11401</v>
      </c>
      <c r="G1674" s="82">
        <v>0.62</v>
      </c>
      <c r="H1674" s="334">
        <f t="shared" ref="H1674:H1708" si="51">D1675-D1674</f>
        <v>6.8287037037036841E-4</v>
      </c>
    </row>
    <row r="1675" spans="1:9" ht="12" customHeight="1" x14ac:dyDescent="0.2">
      <c r="A1675" s="523">
        <v>43449</v>
      </c>
      <c r="B1675" s="1029" t="s">
        <v>1794</v>
      </c>
      <c r="C1675" s="1029" t="s">
        <v>5543</v>
      </c>
      <c r="D1675" s="1">
        <v>1.7893518518518517E-2</v>
      </c>
      <c r="E1675" s="80" t="s">
        <v>1401</v>
      </c>
      <c r="F1675" s="80" t="s">
        <v>11298</v>
      </c>
      <c r="G1675" s="82">
        <v>0.59640000000000004</v>
      </c>
      <c r="H1675" s="334">
        <f t="shared" si="51"/>
        <v>-2.0833333333333467E-4</v>
      </c>
    </row>
    <row r="1676" spans="1:9" ht="12" customHeight="1" x14ac:dyDescent="0.2">
      <c r="A1676" s="523">
        <v>43442</v>
      </c>
      <c r="B1676" s="972" t="s">
        <v>1794</v>
      </c>
      <c r="C1676" s="972" t="s">
        <v>5543</v>
      </c>
      <c r="D1676" s="1">
        <v>1.7685185185185182E-2</v>
      </c>
      <c r="E1676" s="80" t="s">
        <v>1401</v>
      </c>
      <c r="F1676" s="80" t="s">
        <v>11249</v>
      </c>
      <c r="G1676" s="82">
        <v>0.60340000000000005</v>
      </c>
      <c r="H1676" s="334">
        <f t="shared" si="51"/>
        <v>-2.0833333333333121E-4</v>
      </c>
    </row>
    <row r="1677" spans="1:9" ht="12" customHeight="1" x14ac:dyDescent="0.2">
      <c r="A1677" s="523">
        <v>43435</v>
      </c>
      <c r="B1677" s="1164" t="s">
        <v>1794</v>
      </c>
      <c r="C1677" s="1164" t="s">
        <v>5543</v>
      </c>
      <c r="D1677" s="1">
        <v>1.7476851851851851E-2</v>
      </c>
      <c r="E1677" s="80" t="s">
        <v>11158</v>
      </c>
      <c r="F1677" s="80" t="s">
        <v>11159</v>
      </c>
      <c r="G1677" s="82">
        <v>0.61060000000000003</v>
      </c>
      <c r="H1677" s="334">
        <f t="shared" si="51"/>
        <v>-2.5462962962962896E-4</v>
      </c>
    </row>
    <row r="1678" spans="1:9" ht="12" customHeight="1" x14ac:dyDescent="0.2">
      <c r="A1678" s="523">
        <v>43428</v>
      </c>
      <c r="B1678" s="1038" t="s">
        <v>1794</v>
      </c>
      <c r="C1678" s="1038" t="s">
        <v>5543</v>
      </c>
      <c r="D1678" s="1">
        <v>1.7222222222222222E-2</v>
      </c>
      <c r="E1678" s="80" t="s">
        <v>1401</v>
      </c>
      <c r="F1678" s="80" t="s">
        <v>11101</v>
      </c>
      <c r="G1678" s="82">
        <v>0.61960000000000004</v>
      </c>
      <c r="H1678" s="334">
        <f t="shared" si="51"/>
        <v>9.2592592592592032E-5</v>
      </c>
    </row>
    <row r="1679" spans="1:9" ht="12" customHeight="1" x14ac:dyDescent="0.2">
      <c r="A1679" s="523">
        <v>43421</v>
      </c>
      <c r="B1679" s="906" t="s">
        <v>1794</v>
      </c>
      <c r="C1679" s="906" t="s">
        <v>5543</v>
      </c>
      <c r="D1679" s="1">
        <v>1.7314814814814814E-2</v>
      </c>
      <c r="E1679" s="80" t="s">
        <v>1401</v>
      </c>
      <c r="F1679" s="80" t="s">
        <v>11047</v>
      </c>
      <c r="G1679" s="82">
        <v>0.61629999999999996</v>
      </c>
      <c r="H1679" s="334">
        <f t="shared" si="51"/>
        <v>2.0833333333333467E-4</v>
      </c>
    </row>
    <row r="1680" spans="1:9" ht="12" customHeight="1" x14ac:dyDescent="0.2">
      <c r="A1680" s="523">
        <v>43414</v>
      </c>
      <c r="B1680" s="862" t="s">
        <v>1794</v>
      </c>
      <c r="C1680" s="862" t="s">
        <v>5543</v>
      </c>
      <c r="D1680" s="1">
        <v>1.7523148148148149E-2</v>
      </c>
      <c r="E1680" s="80" t="s">
        <v>1401</v>
      </c>
      <c r="F1680" s="80" t="s">
        <v>10992</v>
      </c>
      <c r="G1680" s="82">
        <v>0.60780000000000001</v>
      </c>
      <c r="H1680" s="334" t="e">
        <f t="shared" si="51"/>
        <v>#VALUE!</v>
      </c>
    </row>
    <row r="1681" spans="1:9" ht="12" customHeight="1" x14ac:dyDescent="0.2">
      <c r="A1681" s="33">
        <v>43393</v>
      </c>
      <c r="B1681" s="862" t="s">
        <v>1794</v>
      </c>
      <c r="C1681" s="862" t="s">
        <v>5543</v>
      </c>
      <c r="D1681" s="80" t="s">
        <v>787</v>
      </c>
      <c r="E1681" s="80" t="s">
        <v>1401</v>
      </c>
      <c r="H1681" s="334" t="e">
        <f t="shared" si="51"/>
        <v>#VALUE!</v>
      </c>
    </row>
    <row r="1682" spans="1:9" ht="12" customHeight="1" x14ac:dyDescent="0.2">
      <c r="A1682" s="523">
        <v>43386</v>
      </c>
      <c r="B1682" s="532" t="s">
        <v>1794</v>
      </c>
      <c r="C1682" s="532" t="s">
        <v>5543</v>
      </c>
      <c r="D1682" s="1">
        <v>1.7407407407407406E-2</v>
      </c>
      <c r="E1682" s="80" t="s">
        <v>1401</v>
      </c>
      <c r="F1682" s="80" t="s">
        <v>10816</v>
      </c>
      <c r="G1682" s="82">
        <v>0.61299999999999999</v>
      </c>
      <c r="H1682" s="334">
        <f t="shared" si="51"/>
        <v>-3.0092592592592324E-4</v>
      </c>
    </row>
    <row r="1683" spans="1:9" ht="12" customHeight="1" x14ac:dyDescent="0.2">
      <c r="A1683" s="34">
        <v>43365</v>
      </c>
      <c r="B1683" s="556" t="s">
        <v>1794</v>
      </c>
      <c r="C1683" s="556" t="s">
        <v>5543</v>
      </c>
      <c r="D1683" s="1">
        <v>1.7106481481481483E-2</v>
      </c>
      <c r="E1683" s="80" t="s">
        <v>1401</v>
      </c>
      <c r="F1683" s="80" t="s">
        <v>10711</v>
      </c>
      <c r="G1683" s="82">
        <v>0.62380000000000002</v>
      </c>
      <c r="H1683" s="334">
        <f t="shared" si="51"/>
        <v>1.2187499999999997E-2</v>
      </c>
    </row>
    <row r="1684" spans="1:9" ht="12" customHeight="1" x14ac:dyDescent="0.2">
      <c r="A1684" s="523">
        <v>43351</v>
      </c>
      <c r="B1684" s="531" t="s">
        <v>1794</v>
      </c>
      <c r="C1684" s="531" t="s">
        <v>5543</v>
      </c>
      <c r="D1684" s="1">
        <v>2.929398148148148E-2</v>
      </c>
      <c r="E1684" t="s">
        <v>1401</v>
      </c>
      <c r="F1684" s="80" t="s">
        <v>10613</v>
      </c>
      <c r="G1684" s="82">
        <v>0.36430000000000001</v>
      </c>
      <c r="H1684" s="334" t="e">
        <f t="shared" si="51"/>
        <v>#VALUE!</v>
      </c>
    </row>
    <row r="1685" spans="1:9" ht="12" customHeight="1" x14ac:dyDescent="0.2">
      <c r="A1685" s="523">
        <v>43344</v>
      </c>
      <c r="B1685" s="552" t="s">
        <v>1794</v>
      </c>
      <c r="C1685" s="552" t="s">
        <v>5543</v>
      </c>
      <c r="D1685" s="1" t="s">
        <v>787</v>
      </c>
      <c r="E1685" t="s">
        <v>5883</v>
      </c>
      <c r="F1685" t="s">
        <v>4061</v>
      </c>
      <c r="G1685" s="82"/>
      <c r="H1685" s="334" t="e">
        <f t="shared" si="51"/>
        <v>#VALUE!</v>
      </c>
    </row>
    <row r="1686" spans="1:9" ht="12" customHeight="1" x14ac:dyDescent="0.2">
      <c r="A1686" s="523">
        <v>43337</v>
      </c>
      <c r="B1686" s="1044" t="s">
        <v>1794</v>
      </c>
      <c r="C1686" s="1044" t="s">
        <v>5543</v>
      </c>
      <c r="D1686" s="1">
        <v>1.8136574074074072E-2</v>
      </c>
      <c r="E1686" s="80" t="s">
        <v>1401</v>
      </c>
      <c r="F1686" s="80" t="s">
        <v>10498</v>
      </c>
      <c r="G1686" s="82">
        <v>0.58840000000000003</v>
      </c>
      <c r="H1686" s="334">
        <f t="shared" si="51"/>
        <v>-3.5879629629629456E-4</v>
      </c>
    </row>
    <row r="1687" spans="1:9" ht="12" customHeight="1" x14ac:dyDescent="0.2">
      <c r="A1687" s="523">
        <v>43316</v>
      </c>
      <c r="B1687" s="1029" t="s">
        <v>1794</v>
      </c>
      <c r="C1687" s="1030" t="s">
        <v>5543</v>
      </c>
      <c r="D1687" s="136">
        <v>1.7777777777777778E-2</v>
      </c>
      <c r="E1687" s="80" t="s">
        <v>1401</v>
      </c>
      <c r="F1687" s="69" t="s">
        <v>10385</v>
      </c>
      <c r="G1687" s="82">
        <v>0.60029999999999994</v>
      </c>
      <c r="H1687" s="334">
        <f t="shared" si="51"/>
        <v>-5.5555555555555566E-4</v>
      </c>
    </row>
    <row r="1688" spans="1:9" ht="12" customHeight="1" x14ac:dyDescent="0.2">
      <c r="A1688" s="523">
        <v>43302</v>
      </c>
      <c r="B1688" s="985" t="s">
        <v>1794</v>
      </c>
      <c r="C1688" s="985" t="s">
        <v>5543</v>
      </c>
      <c r="D1688" s="1">
        <v>1.7222222222222222E-2</v>
      </c>
      <c r="E1688" s="80" t="s">
        <v>1401</v>
      </c>
      <c r="F1688" s="80" t="s">
        <v>10301</v>
      </c>
      <c r="G1688" s="82">
        <v>0.61960000000000004</v>
      </c>
      <c r="H1688" s="334">
        <f t="shared" si="51"/>
        <v>7.523148148148133E-4</v>
      </c>
    </row>
    <row r="1689" spans="1:9" ht="12" customHeight="1" x14ac:dyDescent="0.2">
      <c r="A1689" s="523">
        <v>43295</v>
      </c>
      <c r="B1689" s="601" t="s">
        <v>1794</v>
      </c>
      <c r="C1689" s="601" t="s">
        <v>5543</v>
      </c>
      <c r="D1689" s="1">
        <v>1.7974537037037035E-2</v>
      </c>
      <c r="E1689" s="80" t="s">
        <v>1401</v>
      </c>
      <c r="F1689" s="80" t="s">
        <v>10243</v>
      </c>
      <c r="G1689" s="82">
        <v>0.59370000000000001</v>
      </c>
      <c r="H1689" s="334">
        <f t="shared" si="51"/>
        <v>4.6296296296297751E-5</v>
      </c>
    </row>
    <row r="1690" spans="1:9" ht="12" customHeight="1" x14ac:dyDescent="0.2">
      <c r="A1690" s="523">
        <v>43281</v>
      </c>
      <c r="B1690" s="552" t="s">
        <v>1794</v>
      </c>
      <c r="C1690" s="552" t="s">
        <v>5543</v>
      </c>
      <c r="D1690" s="1">
        <v>1.8020833333333333E-2</v>
      </c>
      <c r="E1690" s="80" t="s">
        <v>1401</v>
      </c>
      <c r="F1690" s="80" t="s">
        <v>10162</v>
      </c>
      <c r="G1690" s="82">
        <v>0.59219999999999995</v>
      </c>
      <c r="H1690" s="334">
        <f t="shared" si="51"/>
        <v>2.6620370370370253E-4</v>
      </c>
    </row>
    <row r="1691" spans="1:9" ht="12" customHeight="1" x14ac:dyDescent="0.2">
      <c r="A1691" s="34">
        <v>43274</v>
      </c>
      <c r="B1691" s="1071" t="s">
        <v>1794</v>
      </c>
      <c r="C1691" s="1071" t="s">
        <v>5543</v>
      </c>
      <c r="D1691" s="1">
        <v>1.8287037037037036E-2</v>
      </c>
      <c r="E1691" t="s">
        <v>8248</v>
      </c>
      <c r="F1691" s="80" t="s">
        <v>10101</v>
      </c>
      <c r="G1691" s="82">
        <v>0.58350000000000002</v>
      </c>
      <c r="H1691" s="334">
        <f t="shared" si="51"/>
        <v>-1.0300925925925894E-3</v>
      </c>
    </row>
    <row r="1692" spans="1:9" ht="12" customHeight="1" x14ac:dyDescent="0.2">
      <c r="A1692" s="523">
        <v>43267</v>
      </c>
      <c r="B1692" s="1058" t="s">
        <v>1794</v>
      </c>
      <c r="C1692" s="1059" t="s">
        <v>5543</v>
      </c>
      <c r="D1692" s="1">
        <v>1.7256944444444446E-2</v>
      </c>
      <c r="E1692" s="80" t="s">
        <v>1401</v>
      </c>
      <c r="F1692" s="69" t="s">
        <v>9956</v>
      </c>
      <c r="G1692" s="82">
        <v>0.61839999999999995</v>
      </c>
      <c r="H1692" s="334">
        <f t="shared" si="51"/>
        <v>-5.7870370370374791E-5</v>
      </c>
      <c r="I1692" s="80"/>
    </row>
    <row r="1693" spans="1:9" ht="12" customHeight="1" x14ac:dyDescent="0.2">
      <c r="A1693" s="523">
        <v>43260</v>
      </c>
      <c r="B1693" s="532" t="s">
        <v>1794</v>
      </c>
      <c r="C1693" s="843" t="s">
        <v>5543</v>
      </c>
      <c r="D1693" s="1">
        <v>1.7199074074074071E-2</v>
      </c>
      <c r="E1693" s="80" t="s">
        <v>5544</v>
      </c>
      <c r="F1693" s="69" t="s">
        <v>854</v>
      </c>
      <c r="G1693" s="82">
        <v>0.62050000000000005</v>
      </c>
      <c r="H1693" s="334">
        <f t="shared" si="51"/>
        <v>3.1250000000000028E-4</v>
      </c>
      <c r="I1693" s="80"/>
    </row>
    <row r="1694" spans="1:9" ht="12" customHeight="1" x14ac:dyDescent="0.2">
      <c r="A1694" s="523">
        <v>43253</v>
      </c>
      <c r="B1694" s="901" t="s">
        <v>1794</v>
      </c>
      <c r="C1694" s="902" t="s">
        <v>5543</v>
      </c>
      <c r="D1694" s="1">
        <v>1.7511574074074072E-2</v>
      </c>
      <c r="E1694" s="80" t="s">
        <v>1401</v>
      </c>
      <c r="F1694" s="69" t="s">
        <v>5516</v>
      </c>
      <c r="G1694" s="82">
        <v>0.60940000000000005</v>
      </c>
      <c r="H1694" s="334">
        <f t="shared" si="51"/>
        <v>-1.3888888888888631E-4</v>
      </c>
      <c r="I1694" s="80"/>
    </row>
    <row r="1695" spans="1:9" ht="12" customHeight="1" x14ac:dyDescent="0.2">
      <c r="A1695" s="523">
        <v>43246</v>
      </c>
      <c r="B1695" s="601" t="s">
        <v>1794</v>
      </c>
      <c r="C1695" s="958" t="s">
        <v>5543</v>
      </c>
      <c r="D1695" s="1">
        <v>1.7372685185185185E-2</v>
      </c>
      <c r="E1695" s="80" t="s">
        <v>1401</v>
      </c>
      <c r="F1695" s="69" t="s">
        <v>9856</v>
      </c>
      <c r="G1695" s="82">
        <v>0.61429999999999996</v>
      </c>
      <c r="H1695" s="334">
        <f t="shared" si="51"/>
        <v>2.6620370370370253E-4</v>
      </c>
      <c r="I1695" s="80"/>
    </row>
    <row r="1696" spans="1:9" ht="12" customHeight="1" x14ac:dyDescent="0.2">
      <c r="A1696" s="523">
        <v>43239</v>
      </c>
      <c r="B1696" s="80" t="s">
        <v>1794</v>
      </c>
      <c r="C1696" s="334" t="s">
        <v>5543</v>
      </c>
      <c r="D1696" s="1">
        <v>1.7638888888888888E-2</v>
      </c>
      <c r="E1696" s="80" t="s">
        <v>5544</v>
      </c>
      <c r="F1696" s="69" t="s">
        <v>9826</v>
      </c>
      <c r="G1696" s="82">
        <v>0.60499999999999998</v>
      </c>
      <c r="H1696" s="334">
        <f t="shared" si="51"/>
        <v>-9.2592592592592032E-5</v>
      </c>
      <c r="I1696" s="80"/>
    </row>
    <row r="1697" spans="1:10" ht="12" customHeight="1" x14ac:dyDescent="0.2">
      <c r="A1697" s="523">
        <v>43232</v>
      </c>
      <c r="B1697" s="1051" t="s">
        <v>1794</v>
      </c>
      <c r="C1697" s="1052" t="s">
        <v>5543</v>
      </c>
      <c r="D1697" s="1">
        <v>1.7546296296296296E-2</v>
      </c>
      <c r="E1697" s="80" t="s">
        <v>5544</v>
      </c>
      <c r="F1697" s="69" t="s">
        <v>9773</v>
      </c>
      <c r="G1697" s="82">
        <v>0.60819999999999996</v>
      </c>
      <c r="H1697" s="334">
        <f t="shared" si="51"/>
        <v>-1.1574074074073917E-4</v>
      </c>
      <c r="I1697" s="80"/>
    </row>
    <row r="1698" spans="1:10" ht="12" customHeight="1" x14ac:dyDescent="0.2">
      <c r="A1698" s="523">
        <v>43225</v>
      </c>
      <c r="B1698" s="1044" t="s">
        <v>1794</v>
      </c>
      <c r="C1698" s="1045" t="s">
        <v>5543</v>
      </c>
      <c r="D1698" s="1">
        <v>1.7430555555555557E-2</v>
      </c>
      <c r="E1698" s="80" t="s">
        <v>1401</v>
      </c>
      <c r="F1698" s="69" t="s">
        <v>7929</v>
      </c>
      <c r="G1698" s="82">
        <v>0.61199999999999999</v>
      </c>
      <c r="H1698" s="334">
        <f t="shared" si="51"/>
        <v>4.1666666666666588E-4</v>
      </c>
      <c r="I1698" s="80"/>
    </row>
    <row r="1699" spans="1:10" ht="12" customHeight="1" x14ac:dyDescent="0.2">
      <c r="A1699" s="523">
        <v>43218</v>
      </c>
      <c r="B1699" s="568" t="s">
        <v>1794</v>
      </c>
      <c r="C1699" s="861" t="s">
        <v>5543</v>
      </c>
      <c r="D1699" s="1">
        <v>1.7847222222222223E-2</v>
      </c>
      <c r="E1699" s="80" t="s">
        <v>1401</v>
      </c>
      <c r="F1699" s="69" t="s">
        <v>9679</v>
      </c>
      <c r="G1699" s="82">
        <v>0.59789999999999999</v>
      </c>
      <c r="H1699" s="334">
        <f t="shared" si="51"/>
        <v>-4.6296296296297751E-5</v>
      </c>
      <c r="I1699" s="80"/>
    </row>
    <row r="1700" spans="1:10" ht="12" customHeight="1" x14ac:dyDescent="0.2">
      <c r="A1700" s="523">
        <v>43211</v>
      </c>
      <c r="B1700" s="1038" t="s">
        <v>1794</v>
      </c>
      <c r="C1700" s="1039" t="s">
        <v>5543</v>
      </c>
      <c r="D1700" s="1">
        <v>1.7800925925925925E-2</v>
      </c>
      <c r="E1700" s="80" t="s">
        <v>1401</v>
      </c>
      <c r="F1700" s="69" t="s">
        <v>9645</v>
      </c>
      <c r="G1700" s="82">
        <v>0.59950000000000003</v>
      </c>
      <c r="H1700" s="334">
        <f t="shared" si="51"/>
        <v>1.8518518518518406E-4</v>
      </c>
      <c r="I1700" s="80"/>
    </row>
    <row r="1701" spans="1:10" ht="12" customHeight="1" x14ac:dyDescent="0.2">
      <c r="A1701" s="523">
        <v>43204</v>
      </c>
      <c r="B1701" s="80" t="s">
        <v>1794</v>
      </c>
      <c r="C1701" s="334" t="s">
        <v>5543</v>
      </c>
      <c r="D1701" s="1">
        <v>1.7986111111111109E-2</v>
      </c>
      <c r="E1701" s="80" t="s">
        <v>1401</v>
      </c>
      <c r="F1701" s="69" t="s">
        <v>9605</v>
      </c>
      <c r="G1701" s="82">
        <v>0.59330000000000005</v>
      </c>
      <c r="H1701" s="334">
        <f t="shared" si="51"/>
        <v>-3.4722222222220711E-5</v>
      </c>
      <c r="I1701" s="80"/>
    </row>
    <row r="1702" spans="1:10" ht="12" customHeight="1" x14ac:dyDescent="0.2">
      <c r="A1702" s="523">
        <v>43197</v>
      </c>
      <c r="B1702" s="930" t="s">
        <v>1794</v>
      </c>
      <c r="C1702" s="931" t="s">
        <v>5543</v>
      </c>
      <c r="D1702" s="1">
        <v>1.7951388888888888E-2</v>
      </c>
      <c r="E1702" s="80" t="s">
        <v>1401</v>
      </c>
      <c r="F1702" s="69" t="s">
        <v>9564</v>
      </c>
      <c r="G1702" s="82">
        <v>0.59450000000000003</v>
      </c>
      <c r="H1702" s="334">
        <f t="shared" si="51"/>
        <v>5.0925925925925791E-4</v>
      </c>
      <c r="I1702" s="80"/>
    </row>
    <row r="1703" spans="1:10" ht="12" customHeight="1" x14ac:dyDescent="0.2">
      <c r="A1703" s="523">
        <v>43176</v>
      </c>
      <c r="B1703" s="532" t="s">
        <v>1794</v>
      </c>
      <c r="C1703" s="843" t="s">
        <v>5543</v>
      </c>
      <c r="D1703" s="1">
        <v>1.8460648148148146E-2</v>
      </c>
      <c r="E1703" s="80" t="s">
        <v>5544</v>
      </c>
      <c r="F1703" s="69" t="s">
        <v>9445</v>
      </c>
      <c r="G1703" s="82">
        <v>0.57809999999999995</v>
      </c>
      <c r="H1703" s="334">
        <f t="shared" si="51"/>
        <v>-4.6296296296296016E-4</v>
      </c>
      <c r="I1703" s="80" t="s">
        <v>9446</v>
      </c>
    </row>
    <row r="1704" spans="1:10" ht="12" customHeight="1" x14ac:dyDescent="0.2">
      <c r="A1704" s="523">
        <v>43169</v>
      </c>
      <c r="B1704" s="862" t="s">
        <v>1794</v>
      </c>
      <c r="C1704" s="863" t="s">
        <v>5543</v>
      </c>
      <c r="D1704" s="1">
        <v>1.7997685185185186E-2</v>
      </c>
      <c r="E1704" s="80" t="s">
        <v>1401</v>
      </c>
      <c r="F1704" s="69" t="s">
        <v>9421</v>
      </c>
      <c r="G1704" s="82">
        <v>0.59289999999999998</v>
      </c>
      <c r="H1704" s="334">
        <f t="shared" si="51"/>
        <v>1.0995370370370343E-3</v>
      </c>
      <c r="I1704" s="80"/>
    </row>
    <row r="1705" spans="1:10" ht="12" customHeight="1" x14ac:dyDescent="0.2">
      <c r="A1705" s="523">
        <v>43162</v>
      </c>
      <c r="B1705" s="879" t="s">
        <v>1794</v>
      </c>
      <c r="C1705" s="880" t="s">
        <v>5543</v>
      </c>
      <c r="D1705" s="1">
        <v>1.909722222222222E-2</v>
      </c>
      <c r="E1705" s="80" t="s">
        <v>5456</v>
      </c>
      <c r="F1705" s="69" t="s">
        <v>9388</v>
      </c>
      <c r="G1705" s="82">
        <v>0.55389999999999995</v>
      </c>
      <c r="H1705" s="334">
        <f t="shared" si="51"/>
        <v>-9.9537037037036868E-4</v>
      </c>
      <c r="I1705" s="80"/>
    </row>
    <row r="1706" spans="1:10" ht="12" customHeight="1" x14ac:dyDescent="0.2">
      <c r="A1706" s="523">
        <v>43155</v>
      </c>
      <c r="B1706" s="940" t="s">
        <v>1794</v>
      </c>
      <c r="C1706" s="941" t="s">
        <v>5543</v>
      </c>
      <c r="D1706" s="1">
        <v>1.8101851851851852E-2</v>
      </c>
      <c r="E1706" s="80" t="s">
        <v>1401</v>
      </c>
      <c r="F1706" s="69" t="s">
        <v>9334</v>
      </c>
      <c r="G1706" s="82">
        <v>0.58440000000000003</v>
      </c>
      <c r="H1706" s="334">
        <f t="shared" si="51"/>
        <v>4.0509259259259231E-3</v>
      </c>
      <c r="I1706" s="80"/>
    </row>
    <row r="1707" spans="1:10" ht="12" customHeight="1" x14ac:dyDescent="0.2">
      <c r="A1707" s="523">
        <v>43127</v>
      </c>
      <c r="B1707" s="862" t="s">
        <v>1794</v>
      </c>
      <c r="C1707" s="863" t="s">
        <v>5543</v>
      </c>
      <c r="D1707" s="1">
        <v>2.2152777777777775E-2</v>
      </c>
      <c r="E1707" s="80" t="s">
        <v>1401</v>
      </c>
      <c r="F1707" s="69" t="s">
        <v>9173</v>
      </c>
      <c r="G1707" s="82">
        <v>0.48230000000000001</v>
      </c>
      <c r="H1707" s="334">
        <f t="shared" si="51"/>
        <v>-2.8356481481481462E-3</v>
      </c>
      <c r="I1707" s="80"/>
    </row>
    <row r="1708" spans="1:10" ht="12" customHeight="1" x14ac:dyDescent="0.2">
      <c r="A1708" s="523">
        <v>43141</v>
      </c>
      <c r="B1708" s="987" t="s">
        <v>5433</v>
      </c>
      <c r="C1708" s="988" t="s">
        <v>5543</v>
      </c>
      <c r="D1708" s="1">
        <v>1.9317129629629629E-2</v>
      </c>
      <c r="E1708" s="80" t="s">
        <v>1401</v>
      </c>
      <c r="F1708" s="69" t="s">
        <v>5920</v>
      </c>
      <c r="G1708" s="82">
        <v>0.54759999999999998</v>
      </c>
      <c r="H1708" s="334">
        <f t="shared" si="51"/>
        <v>3.4837962962963008E-3</v>
      </c>
      <c r="I1708" s="80"/>
    </row>
    <row r="1709" spans="1:10" ht="12" customHeight="1" x14ac:dyDescent="0.2">
      <c r="A1709" s="523">
        <v>43274</v>
      </c>
      <c r="B1709" t="s">
        <v>10141</v>
      </c>
      <c r="C1709" t="s">
        <v>10142</v>
      </c>
      <c r="D1709" s="1">
        <v>2.2800925925925929E-2</v>
      </c>
      <c r="E1709" t="s">
        <v>8248</v>
      </c>
      <c r="F1709" t="s">
        <v>10143</v>
      </c>
      <c r="G1709" s="82">
        <v>1.0755999999999999</v>
      </c>
      <c r="H1709" s="334"/>
    </row>
    <row r="1710" spans="1:10" ht="12" customHeight="1" x14ac:dyDescent="0.2">
      <c r="A1710" s="523">
        <v>43323</v>
      </c>
      <c r="B1710" s="585" t="s">
        <v>9656</v>
      </c>
      <c r="C1710" s="585" t="s">
        <v>9657</v>
      </c>
      <c r="D1710" s="1">
        <v>2.0925925925925928E-2</v>
      </c>
      <c r="E1710" t="s">
        <v>10406</v>
      </c>
      <c r="F1710" t="s">
        <v>10407</v>
      </c>
      <c r="G1710" s="82">
        <v>0.49120000000000003</v>
      </c>
      <c r="H1710" s="334">
        <f>D1711-D1710</f>
        <v>-1.6203703703703727E-3</v>
      </c>
      <c r="J1710" s="80" t="s">
        <v>10427</v>
      </c>
    </row>
    <row r="1711" spans="1:10" ht="12" customHeight="1" x14ac:dyDescent="0.2">
      <c r="A1711" s="34">
        <v>43274</v>
      </c>
      <c r="B1711" s="1071" t="s">
        <v>9656</v>
      </c>
      <c r="C1711" s="1071" t="s">
        <v>9657</v>
      </c>
      <c r="D1711" s="1">
        <v>1.9305555555555555E-2</v>
      </c>
      <c r="E1711" s="80" t="s">
        <v>10113</v>
      </c>
      <c r="F1711" s="80" t="s">
        <v>10112</v>
      </c>
      <c r="G1711" s="82">
        <v>0.53239999999999998</v>
      </c>
      <c r="H1711" s="334">
        <f>D1712-D1711</f>
        <v>1.2500000000000011E-3</v>
      </c>
      <c r="I1711" s="80" t="s">
        <v>10117</v>
      </c>
    </row>
    <row r="1712" spans="1:10" ht="12" customHeight="1" x14ac:dyDescent="0.2">
      <c r="A1712" s="523">
        <v>43225</v>
      </c>
      <c r="B1712" s="1044" t="s">
        <v>9656</v>
      </c>
      <c r="C1712" s="1045" t="s">
        <v>9657</v>
      </c>
      <c r="D1712" s="1">
        <v>2.0555555555555556E-2</v>
      </c>
      <c r="E1712" s="80" t="s">
        <v>1003</v>
      </c>
      <c r="F1712" s="69" t="s">
        <v>9716</v>
      </c>
      <c r="G1712" s="82">
        <v>0.5</v>
      </c>
      <c r="H1712" s="334"/>
      <c r="I1712" s="80"/>
    </row>
    <row r="1713" spans="1:9" ht="12" customHeight="1" x14ac:dyDescent="0.2">
      <c r="A1713" s="523">
        <v>43176</v>
      </c>
      <c r="B1713" s="532" t="s">
        <v>3687</v>
      </c>
      <c r="C1713" s="843" t="s">
        <v>3688</v>
      </c>
      <c r="D1713" s="1">
        <v>1.6793981481481483E-2</v>
      </c>
      <c r="E1713" s="80" t="s">
        <v>5544</v>
      </c>
      <c r="F1713" s="69" t="s">
        <v>9442</v>
      </c>
      <c r="G1713" s="82">
        <v>0.75880000000000003</v>
      </c>
      <c r="H1713" s="334">
        <f t="shared" ref="H1713:H1730" si="52">D1714-D1713</f>
        <v>1.8981481481481488E-3</v>
      </c>
      <c r="I1713" s="80"/>
    </row>
    <row r="1714" spans="1:9" ht="12" customHeight="1" x14ac:dyDescent="0.2">
      <c r="A1714" s="523">
        <v>43148</v>
      </c>
      <c r="B1714" s="568" t="s">
        <v>3687</v>
      </c>
      <c r="C1714" s="861" t="s">
        <v>3688</v>
      </c>
      <c r="D1714" s="1">
        <v>1.8692129629629631E-2</v>
      </c>
      <c r="E1714" s="80" t="s">
        <v>9134</v>
      </c>
      <c r="F1714" s="69" t="s">
        <v>9297</v>
      </c>
      <c r="G1714" s="82">
        <v>0.68169999999999997</v>
      </c>
      <c r="H1714" s="334">
        <f t="shared" si="52"/>
        <v>-6.0185185185185341E-4</v>
      </c>
      <c r="I1714" s="80"/>
    </row>
    <row r="1715" spans="1:9" ht="12" customHeight="1" x14ac:dyDescent="0.2">
      <c r="A1715" s="523">
        <v>43449</v>
      </c>
      <c r="B1715" s="1029" t="s">
        <v>3535</v>
      </c>
      <c r="C1715" s="1029" t="s">
        <v>1026</v>
      </c>
      <c r="D1715" s="1">
        <v>1.8090277777777778E-2</v>
      </c>
      <c r="E1715" s="80" t="s">
        <v>10655</v>
      </c>
      <c r="F1715" s="80" t="s">
        <v>11317</v>
      </c>
      <c r="G1715" s="82">
        <v>0.58989999999999998</v>
      </c>
      <c r="H1715" s="334">
        <f t="shared" si="52"/>
        <v>0.13846064814814815</v>
      </c>
    </row>
    <row r="1716" spans="1:9" ht="12" customHeight="1" x14ac:dyDescent="0.2">
      <c r="A1716" s="523">
        <v>43428</v>
      </c>
      <c r="B1716" s="1038" t="s">
        <v>3535</v>
      </c>
      <c r="C1716" s="1038" t="s">
        <v>1026</v>
      </c>
      <c r="D1716" s="1">
        <v>0.15655092592592593</v>
      </c>
      <c r="E1716" s="80" t="s">
        <v>9760</v>
      </c>
      <c r="F1716" s="80" t="s">
        <v>11121</v>
      </c>
      <c r="G1716" s="82">
        <v>0.60419999999999996</v>
      </c>
      <c r="H1716" s="334">
        <f t="shared" si="52"/>
        <v>-0.13935185185185187</v>
      </c>
    </row>
    <row r="1717" spans="1:9" ht="12" customHeight="1" x14ac:dyDescent="0.2">
      <c r="A1717" s="523">
        <v>43421</v>
      </c>
      <c r="B1717" s="906" t="s">
        <v>3535</v>
      </c>
      <c r="C1717" s="906" t="s">
        <v>1026</v>
      </c>
      <c r="D1717" s="1">
        <v>1.7199074074074071E-2</v>
      </c>
      <c r="E1717" s="80" t="s">
        <v>9760</v>
      </c>
      <c r="F1717" s="80" t="s">
        <v>11058</v>
      </c>
      <c r="G1717" s="82">
        <v>0.62050000000000005</v>
      </c>
      <c r="H1717" s="334">
        <f t="shared" si="52"/>
        <v>4.0509259259259578E-4</v>
      </c>
    </row>
    <row r="1718" spans="1:9" ht="12" customHeight="1" x14ac:dyDescent="0.2">
      <c r="A1718" s="523">
        <v>43400</v>
      </c>
      <c r="B1718" s="556" t="s">
        <v>3535</v>
      </c>
      <c r="C1718" s="556" t="s">
        <v>1026</v>
      </c>
      <c r="D1718" s="1">
        <v>1.7604166666666667E-2</v>
      </c>
      <c r="E1718" s="80" t="s">
        <v>9760</v>
      </c>
      <c r="F1718" s="80" t="s">
        <v>10914</v>
      </c>
      <c r="G1718" s="82">
        <v>0.60619999999999996</v>
      </c>
      <c r="H1718" s="334">
        <f t="shared" si="52"/>
        <v>-6.0185185185185341E-4</v>
      </c>
    </row>
    <row r="1719" spans="1:9" ht="12" customHeight="1" x14ac:dyDescent="0.2">
      <c r="A1719" s="34">
        <v>43372</v>
      </c>
      <c r="B1719" s="532" t="s">
        <v>3535</v>
      </c>
      <c r="C1719" s="532" t="s">
        <v>1026</v>
      </c>
      <c r="D1719" s="1">
        <v>1.7002314814814814E-2</v>
      </c>
      <c r="E1719" s="80" t="s">
        <v>9760</v>
      </c>
      <c r="F1719" s="80" t="s">
        <v>10686</v>
      </c>
      <c r="G1719" s="82">
        <v>0.62760000000000005</v>
      </c>
      <c r="H1719" s="334">
        <f t="shared" si="52"/>
        <v>-4.9768518518518434E-4</v>
      </c>
    </row>
    <row r="1720" spans="1:9" ht="12" customHeight="1" x14ac:dyDescent="0.2">
      <c r="A1720" s="34">
        <v>43365</v>
      </c>
      <c r="B1720" s="556" t="s">
        <v>3535</v>
      </c>
      <c r="C1720" s="556" t="s">
        <v>1026</v>
      </c>
      <c r="D1720" s="1">
        <v>1.650462962962963E-2</v>
      </c>
      <c r="E1720" s="80" t="s">
        <v>9760</v>
      </c>
      <c r="F1720" s="80" t="s">
        <v>10685</v>
      </c>
      <c r="G1720" s="82">
        <v>0.64659999999999995</v>
      </c>
      <c r="H1720" s="334">
        <f t="shared" si="52"/>
        <v>4.5138888888889006E-4</v>
      </c>
    </row>
    <row r="1721" spans="1:9" ht="12" customHeight="1" x14ac:dyDescent="0.2">
      <c r="A1721" s="523">
        <v>43358</v>
      </c>
      <c r="B1721" s="1127" t="s">
        <v>3535</v>
      </c>
      <c r="C1721" s="1129" t="s">
        <v>1026</v>
      </c>
      <c r="D1721" s="1">
        <v>1.695601851851852E-2</v>
      </c>
      <c r="E1721" t="s">
        <v>4137</v>
      </c>
      <c r="F1721" t="s">
        <v>10650</v>
      </c>
      <c r="G1721" s="82">
        <v>0.62939999999999996</v>
      </c>
      <c r="H1721" s="334">
        <f t="shared" si="52"/>
        <v>-4.2824074074074292E-4</v>
      </c>
    </row>
    <row r="1722" spans="1:9" ht="12" customHeight="1" x14ac:dyDescent="0.2">
      <c r="A1722" s="523">
        <v>43344</v>
      </c>
      <c r="B1722" s="552" t="s">
        <v>3535</v>
      </c>
      <c r="C1722" s="552" t="s">
        <v>1026</v>
      </c>
      <c r="D1722" s="1">
        <v>1.6527777777777777E-2</v>
      </c>
      <c r="E1722" s="80" t="s">
        <v>9760</v>
      </c>
      <c r="F1722" s="80" t="s">
        <v>10550</v>
      </c>
      <c r="G1722" s="82">
        <v>0.64570000000000005</v>
      </c>
      <c r="H1722" s="334">
        <f t="shared" si="52"/>
        <v>6.9444444444444892E-5</v>
      </c>
    </row>
    <row r="1723" spans="1:9" ht="12" customHeight="1" x14ac:dyDescent="0.2">
      <c r="A1723" s="523">
        <v>43337</v>
      </c>
      <c r="B1723" s="1044" t="s">
        <v>3535</v>
      </c>
      <c r="C1723" s="1044" t="s">
        <v>1026</v>
      </c>
      <c r="D1723" s="1">
        <v>1.6597222222222222E-2</v>
      </c>
      <c r="E1723" s="80" t="s">
        <v>9760</v>
      </c>
      <c r="F1723" s="80" t="s">
        <v>471</v>
      </c>
      <c r="G1723" s="82">
        <v>0.64300000000000002</v>
      </c>
      <c r="H1723" s="334">
        <f t="shared" si="52"/>
        <v>2.5462962962962896E-4</v>
      </c>
    </row>
    <row r="1724" spans="1:9" ht="12" customHeight="1" x14ac:dyDescent="0.2">
      <c r="A1724" s="523">
        <v>43330</v>
      </c>
      <c r="B1724" s="1099" t="s">
        <v>3535</v>
      </c>
      <c r="C1724" s="1099" t="s">
        <v>1026</v>
      </c>
      <c r="D1724" s="1">
        <v>1.6851851851851851E-2</v>
      </c>
      <c r="E1724" s="80" t="s">
        <v>9760</v>
      </c>
      <c r="F1724" s="80" t="s">
        <v>10454</v>
      </c>
      <c r="G1724" s="82">
        <v>0.63319999999999999</v>
      </c>
      <c r="H1724" s="334">
        <f t="shared" si="52"/>
        <v>-5.7870370370367852E-5</v>
      </c>
    </row>
    <row r="1725" spans="1:9" ht="12" customHeight="1" x14ac:dyDescent="0.2">
      <c r="A1725" s="523">
        <v>43316</v>
      </c>
      <c r="B1725" s="1029" t="s">
        <v>3535</v>
      </c>
      <c r="C1725" s="1030" t="s">
        <v>1026</v>
      </c>
      <c r="D1725" s="136">
        <v>1.6793981481481483E-2</v>
      </c>
      <c r="E1725" s="80" t="s">
        <v>9760</v>
      </c>
      <c r="F1725" s="69" t="s">
        <v>10392</v>
      </c>
      <c r="G1725" s="82">
        <v>0.63539999999999996</v>
      </c>
      <c r="H1725" s="334">
        <f t="shared" si="52"/>
        <v>2.5150462962962961E-2</v>
      </c>
    </row>
    <row r="1726" spans="1:9" ht="12" customHeight="1" x14ac:dyDescent="0.2">
      <c r="A1726" s="523">
        <v>43288</v>
      </c>
      <c r="B1726" s="1029" t="s">
        <v>3535</v>
      </c>
      <c r="C1726" s="1029" t="s">
        <v>1026</v>
      </c>
      <c r="D1726" s="35">
        <v>4.1944444444444444E-2</v>
      </c>
      <c r="E1726" t="s">
        <v>9760</v>
      </c>
      <c r="F1726" s="80" t="s">
        <v>8160</v>
      </c>
      <c r="G1726" s="82">
        <v>0.25440000000000002</v>
      </c>
      <c r="H1726" s="334">
        <f t="shared" si="52"/>
        <v>-2.5196759259259259E-2</v>
      </c>
    </row>
    <row r="1727" spans="1:9" ht="12" customHeight="1" x14ac:dyDescent="0.2">
      <c r="A1727" s="523">
        <v>43260</v>
      </c>
      <c r="B1727" s="532" t="s">
        <v>3535</v>
      </c>
      <c r="C1727" s="843" t="s">
        <v>1026</v>
      </c>
      <c r="D1727" s="1">
        <v>1.6747685185185185E-2</v>
      </c>
      <c r="E1727" s="80" t="s">
        <v>9760</v>
      </c>
      <c r="F1727" s="69" t="s">
        <v>1236</v>
      </c>
      <c r="G1727" s="82">
        <v>0.63719999999999999</v>
      </c>
      <c r="H1727" s="334">
        <f t="shared" si="52"/>
        <v>2.6620370370370253E-4</v>
      </c>
      <c r="I1727" s="80"/>
    </row>
    <row r="1728" spans="1:9" ht="12" customHeight="1" x14ac:dyDescent="0.2">
      <c r="A1728" s="523">
        <v>43246</v>
      </c>
      <c r="B1728" s="601" t="s">
        <v>3535</v>
      </c>
      <c r="C1728" s="958" t="s">
        <v>1026</v>
      </c>
      <c r="D1728" s="1">
        <v>1.7013888888888887E-2</v>
      </c>
      <c r="E1728" s="80" t="s">
        <v>9760</v>
      </c>
      <c r="F1728" s="69" t="s">
        <v>9854</v>
      </c>
      <c r="G1728" s="82">
        <v>0.62719999999999998</v>
      </c>
      <c r="H1728" s="334">
        <f t="shared" si="52"/>
        <v>-1.3888888888888631E-4</v>
      </c>
      <c r="I1728" s="80"/>
    </row>
    <row r="1729" spans="1:9" ht="12" customHeight="1" x14ac:dyDescent="0.2">
      <c r="A1729" s="523">
        <v>43239</v>
      </c>
      <c r="B1729" s="80" t="s">
        <v>3535</v>
      </c>
      <c r="C1729" s="334" t="s">
        <v>1026</v>
      </c>
      <c r="D1729" s="1">
        <v>1.6875000000000001E-2</v>
      </c>
      <c r="E1729" s="80" t="s">
        <v>9760</v>
      </c>
      <c r="F1729" s="69" t="s">
        <v>9820</v>
      </c>
      <c r="G1729" s="82">
        <v>0.62690000000000001</v>
      </c>
      <c r="H1729" s="334">
        <f t="shared" si="52"/>
        <v>3.4722222222222099E-4</v>
      </c>
      <c r="I1729" s="80"/>
    </row>
    <row r="1730" spans="1:9" ht="12.75" customHeight="1" x14ac:dyDescent="0.2">
      <c r="A1730" s="523">
        <v>43232</v>
      </c>
      <c r="B1730" s="1051" t="s">
        <v>3535</v>
      </c>
      <c r="C1730" s="1052" t="s">
        <v>1026</v>
      </c>
      <c r="D1730" s="1">
        <v>1.7222222222222222E-2</v>
      </c>
      <c r="E1730" s="80" t="s">
        <v>9760</v>
      </c>
      <c r="F1730" s="69" t="s">
        <v>9761</v>
      </c>
      <c r="G1730" s="82">
        <v>0.61419999999999997</v>
      </c>
      <c r="H1730" s="334">
        <f t="shared" si="52"/>
        <v>-1.1689814814814826E-3</v>
      </c>
      <c r="I1730" s="80" t="s">
        <v>9781</v>
      </c>
    </row>
    <row r="1731" spans="1:9" ht="12.75" customHeight="1" x14ac:dyDescent="0.2">
      <c r="A1731" s="523">
        <v>43204</v>
      </c>
      <c r="B1731" s="80" t="s">
        <v>3535</v>
      </c>
      <c r="C1731" s="334" t="s">
        <v>1026</v>
      </c>
      <c r="D1731" s="1">
        <v>1.6053240740740739E-2</v>
      </c>
      <c r="E1731" s="80" t="s">
        <v>3806</v>
      </c>
      <c r="F1731" s="69" t="s">
        <v>9594</v>
      </c>
      <c r="G1731" s="82">
        <v>0.65900000000000003</v>
      </c>
      <c r="H1731" s="334"/>
      <c r="I1731" s="80"/>
    </row>
    <row r="1732" spans="1:9" ht="12.75" customHeight="1" x14ac:dyDescent="0.2">
      <c r="A1732" s="523">
        <v>43449</v>
      </c>
      <c r="B1732" s="1029" t="s">
        <v>9701</v>
      </c>
      <c r="C1732" s="1029" t="s">
        <v>9702</v>
      </c>
      <c r="D1732" s="1">
        <v>1.4641203703703703E-2</v>
      </c>
      <c r="E1732" s="80" t="s">
        <v>5198</v>
      </c>
      <c r="F1732" s="80" t="s">
        <v>11284</v>
      </c>
      <c r="G1732" s="82">
        <v>0.82609999999999995</v>
      </c>
      <c r="H1732" s="334">
        <f t="shared" ref="H1732:H1749" si="53">D1733-D1732</f>
        <v>2.4305555555555539E-4</v>
      </c>
    </row>
    <row r="1733" spans="1:9" ht="12.75" customHeight="1" x14ac:dyDescent="0.2">
      <c r="A1733" s="523">
        <v>43435</v>
      </c>
      <c r="B1733" s="1164" t="s">
        <v>9701</v>
      </c>
      <c r="C1733" s="1164" t="s">
        <v>9702</v>
      </c>
      <c r="D1733" s="1">
        <v>1.4884259259259259E-2</v>
      </c>
      <c r="E1733" s="80" t="s">
        <v>5198</v>
      </c>
      <c r="F1733" s="80" t="s">
        <v>11174</v>
      </c>
      <c r="G1733" s="82">
        <v>0.81259999999999999</v>
      </c>
      <c r="H1733" s="334">
        <f t="shared" si="53"/>
        <v>-2.5462962962962896E-4</v>
      </c>
    </row>
    <row r="1734" spans="1:9" ht="12.75" customHeight="1" x14ac:dyDescent="0.2">
      <c r="A1734" s="523">
        <v>43428</v>
      </c>
      <c r="B1734" s="1038" t="s">
        <v>9701</v>
      </c>
      <c r="C1734" s="1038" t="s">
        <v>9702</v>
      </c>
      <c r="D1734" s="1">
        <v>1.462962962962963E-2</v>
      </c>
      <c r="E1734" s="80" t="s">
        <v>10983</v>
      </c>
      <c r="F1734" s="80" t="s">
        <v>11089</v>
      </c>
      <c r="G1734" s="82">
        <v>0.82669999999999999</v>
      </c>
      <c r="H1734" s="334">
        <f t="shared" si="53"/>
        <v>4.3981481481481302E-4</v>
      </c>
      <c r="I1734" s="2" t="s">
        <v>4882</v>
      </c>
    </row>
    <row r="1735" spans="1:9" ht="12.75" customHeight="1" x14ac:dyDescent="0.2">
      <c r="A1735" s="523">
        <v>43407</v>
      </c>
      <c r="B1735" s="901" t="s">
        <v>9701</v>
      </c>
      <c r="C1735" s="901" t="s">
        <v>9702</v>
      </c>
      <c r="D1735" s="1">
        <v>1.5069444444444443E-2</v>
      </c>
      <c r="E1735" s="80" t="s">
        <v>1982</v>
      </c>
      <c r="F1735" s="80" t="s">
        <v>10971</v>
      </c>
      <c r="G1735" s="82">
        <v>0.80259999999999998</v>
      </c>
      <c r="H1735" s="334">
        <f t="shared" si="53"/>
        <v>-5.4398148148147862E-4</v>
      </c>
    </row>
    <row r="1736" spans="1:9" ht="12.75" customHeight="1" x14ac:dyDescent="0.2">
      <c r="A1736" s="523">
        <v>43400</v>
      </c>
      <c r="B1736" s="556" t="s">
        <v>9701</v>
      </c>
      <c r="C1736" s="556" t="s">
        <v>9702</v>
      </c>
      <c r="D1736" s="1">
        <v>1.4525462962962964E-2</v>
      </c>
      <c r="E1736" s="80" t="s">
        <v>5198</v>
      </c>
      <c r="F1736" s="80" t="s">
        <v>10913</v>
      </c>
      <c r="G1736" s="82">
        <v>0.8327</v>
      </c>
      <c r="H1736" s="334">
        <f t="shared" si="53"/>
        <v>6.9444444444444545E-4</v>
      </c>
    </row>
    <row r="1737" spans="1:9" ht="12.75" customHeight="1" x14ac:dyDescent="0.2">
      <c r="A1737" s="34">
        <v>43365</v>
      </c>
      <c r="B1737" s="556" t="s">
        <v>9701</v>
      </c>
      <c r="C1737" s="556" t="s">
        <v>9702</v>
      </c>
      <c r="D1737" s="1">
        <v>1.5219907407407409E-2</v>
      </c>
      <c r="E1737" s="80" t="s">
        <v>1982</v>
      </c>
      <c r="F1737" s="80" t="s">
        <v>10693</v>
      </c>
      <c r="G1737" s="82">
        <v>0.78400000000000003</v>
      </c>
      <c r="H1737" s="334">
        <f t="shared" si="53"/>
        <v>2.1990740740740651E-4</v>
      </c>
    </row>
    <row r="1738" spans="1:9" ht="12.75" customHeight="1" x14ac:dyDescent="0.2">
      <c r="A1738" s="523">
        <v>43351</v>
      </c>
      <c r="B1738" s="531" t="s">
        <v>9701</v>
      </c>
      <c r="C1738" s="531" t="s">
        <v>9702</v>
      </c>
      <c r="D1738" s="1">
        <v>1.5439814814814816E-2</v>
      </c>
      <c r="E1738" s="80" t="s">
        <v>1982</v>
      </c>
      <c r="F1738" s="80" t="s">
        <v>10588</v>
      </c>
      <c r="G1738" s="82">
        <v>0.77290000000000003</v>
      </c>
      <c r="H1738" s="334">
        <f t="shared" si="53"/>
        <v>1.9675925925925764E-4</v>
      </c>
    </row>
    <row r="1739" spans="1:9" ht="12.75" customHeight="1" x14ac:dyDescent="0.2">
      <c r="A1739" s="523">
        <v>43344</v>
      </c>
      <c r="B1739" s="552" t="s">
        <v>9701</v>
      </c>
      <c r="C1739" s="552" t="s">
        <v>9702</v>
      </c>
      <c r="D1739" s="1">
        <v>1.5636574074074074E-2</v>
      </c>
      <c r="E1739" s="80" t="s">
        <v>1982</v>
      </c>
      <c r="F1739" s="80" t="s">
        <v>10553</v>
      </c>
      <c r="G1739" s="82">
        <v>0.7631</v>
      </c>
      <c r="H1739" s="334">
        <f t="shared" si="53"/>
        <v>-1.1805555555555545E-3</v>
      </c>
    </row>
    <row r="1740" spans="1:9" ht="12.75" customHeight="1" x14ac:dyDescent="0.2">
      <c r="A1740" s="523">
        <v>43323</v>
      </c>
      <c r="B1740" s="585" t="s">
        <v>9701</v>
      </c>
      <c r="C1740" s="585" t="s">
        <v>9702</v>
      </c>
      <c r="D1740" s="1">
        <v>1.4456018518518519E-2</v>
      </c>
      <c r="E1740" t="s">
        <v>5198</v>
      </c>
      <c r="F1740" t="s">
        <v>10403</v>
      </c>
      <c r="G1740" s="82">
        <v>0.82550000000000001</v>
      </c>
      <c r="H1740" s="334">
        <f t="shared" si="53"/>
        <v>9.2592592592592032E-5</v>
      </c>
    </row>
    <row r="1741" spans="1:9" ht="12.75" customHeight="1" x14ac:dyDescent="0.2">
      <c r="A1741" s="523">
        <v>43316</v>
      </c>
      <c r="B1741" s="1029" t="s">
        <v>9701</v>
      </c>
      <c r="C1741" s="1030" t="s">
        <v>9702</v>
      </c>
      <c r="D1741" s="136">
        <v>1.4548611111111111E-2</v>
      </c>
      <c r="E1741" s="80" t="s">
        <v>5198</v>
      </c>
      <c r="F1741" s="69" t="s">
        <v>10388</v>
      </c>
      <c r="G1741" s="82">
        <v>0.82020000000000004</v>
      </c>
      <c r="H1741" s="334">
        <f t="shared" si="53"/>
        <v>1.5046296296296335E-4</v>
      </c>
    </row>
    <row r="1742" spans="1:9" ht="12.75" customHeight="1" x14ac:dyDescent="0.2">
      <c r="A1742" s="523">
        <v>43309</v>
      </c>
      <c r="B1742" s="879" t="s">
        <v>9701</v>
      </c>
      <c r="C1742" s="879" t="s">
        <v>9702</v>
      </c>
      <c r="D1742" s="1">
        <v>1.4699074074074074E-2</v>
      </c>
      <c r="E1742" s="80" t="s">
        <v>10100</v>
      </c>
      <c r="F1742" s="80" t="s">
        <v>10337</v>
      </c>
      <c r="G1742" s="82">
        <v>0.81179999999999997</v>
      </c>
      <c r="H1742" s="334">
        <f t="shared" si="53"/>
        <v>-1.9675925925925937E-4</v>
      </c>
      <c r="I1742" s="80" t="s">
        <v>10336</v>
      </c>
    </row>
    <row r="1743" spans="1:9" ht="12.75" customHeight="1" x14ac:dyDescent="0.2">
      <c r="A1743" s="523">
        <v>43281</v>
      </c>
      <c r="B1743" s="556" t="s">
        <v>9701</v>
      </c>
      <c r="C1743" s="556" t="s">
        <v>9702</v>
      </c>
      <c r="D1743" s="1">
        <v>1.4502314814814815E-2</v>
      </c>
      <c r="E1743" s="80" t="s">
        <v>5198</v>
      </c>
      <c r="F1743" s="80" t="s">
        <v>10166</v>
      </c>
      <c r="G1743" s="82">
        <v>0.82279999999999998</v>
      </c>
      <c r="H1743" s="334">
        <f t="shared" si="53"/>
        <v>1.1574074074074091E-4</v>
      </c>
    </row>
    <row r="1744" spans="1:9" ht="12.75" customHeight="1" x14ac:dyDescent="0.2">
      <c r="A1744" s="523">
        <v>43267</v>
      </c>
      <c r="B1744" s="1058" t="s">
        <v>9701</v>
      </c>
      <c r="C1744" s="1059" t="s">
        <v>9702</v>
      </c>
      <c r="D1744" s="1">
        <v>1.4618055555555556E-2</v>
      </c>
      <c r="E1744" s="80" t="s">
        <v>5198</v>
      </c>
      <c r="F1744" s="69" t="s">
        <v>9954</v>
      </c>
      <c r="G1744" s="82">
        <v>0.81630000000000003</v>
      </c>
      <c r="H1744" s="334">
        <f t="shared" si="53"/>
        <v>2.0833333333333294E-4</v>
      </c>
      <c r="I1744" s="80"/>
    </row>
    <row r="1745" spans="1:12" ht="12.75" customHeight="1" x14ac:dyDescent="0.2">
      <c r="A1745" s="523">
        <v>43253</v>
      </c>
      <c r="B1745" s="901" t="s">
        <v>9701</v>
      </c>
      <c r="C1745" s="902" t="s">
        <v>9702</v>
      </c>
      <c r="D1745" s="1">
        <v>1.4826388888888889E-2</v>
      </c>
      <c r="E1745" s="80" t="s">
        <v>5198</v>
      </c>
      <c r="F1745" s="97" t="s">
        <v>3423</v>
      </c>
      <c r="G1745" s="82">
        <v>0.80479999999999996</v>
      </c>
      <c r="H1745" s="334">
        <f t="shared" si="53"/>
        <v>-4.6296296296294281E-5</v>
      </c>
      <c r="I1745" s="80" t="s">
        <v>9891</v>
      </c>
    </row>
    <row r="1746" spans="1:12" ht="12.75" customHeight="1" x14ac:dyDescent="0.2">
      <c r="A1746" s="523">
        <v>43246</v>
      </c>
      <c r="B1746" s="601" t="s">
        <v>9701</v>
      </c>
      <c r="C1746" s="958" t="s">
        <v>9702</v>
      </c>
      <c r="D1746" s="1">
        <v>1.4780092592592595E-2</v>
      </c>
      <c r="E1746" s="80" t="s">
        <v>5198</v>
      </c>
      <c r="F1746" s="69" t="s">
        <v>1485</v>
      </c>
      <c r="G1746" s="82">
        <v>0.80740000000000001</v>
      </c>
      <c r="H1746" s="334">
        <f t="shared" si="53"/>
        <v>6.9444444444441422E-5</v>
      </c>
      <c r="I1746" s="80"/>
    </row>
    <row r="1747" spans="1:12" ht="12.75" customHeight="1" x14ac:dyDescent="0.2">
      <c r="A1747" s="523">
        <v>43239</v>
      </c>
      <c r="B1747" s="80" t="s">
        <v>9701</v>
      </c>
      <c r="C1747" s="334" t="s">
        <v>9702</v>
      </c>
      <c r="D1747" s="1">
        <v>1.4849537037037036E-2</v>
      </c>
      <c r="E1747" s="80" t="s">
        <v>5198</v>
      </c>
      <c r="F1747" s="69" t="s">
        <v>3190</v>
      </c>
      <c r="G1747" s="82">
        <v>0.80359999999999998</v>
      </c>
      <c r="H1747" s="334">
        <f t="shared" si="53"/>
        <v>1.6203703703703866E-4</v>
      </c>
      <c r="I1747" s="80"/>
    </row>
    <row r="1748" spans="1:12" ht="12.75" customHeight="1" x14ac:dyDescent="0.2">
      <c r="A1748" s="523">
        <v>43232</v>
      </c>
      <c r="B1748" s="1051" t="s">
        <v>9701</v>
      </c>
      <c r="C1748" s="1052" t="s">
        <v>9702</v>
      </c>
      <c r="D1748" s="1">
        <v>1.5011574074074075E-2</v>
      </c>
      <c r="E1748" s="80" t="s">
        <v>5198</v>
      </c>
      <c r="F1748" s="69" t="s">
        <v>9752</v>
      </c>
      <c r="G1748" s="82">
        <v>0.79490000000000005</v>
      </c>
      <c r="H1748" s="334">
        <f t="shared" si="53"/>
        <v>1.6203703703703692E-4</v>
      </c>
      <c r="I1748" s="80"/>
    </row>
    <row r="1749" spans="1:12" ht="12.75" customHeight="1" x14ac:dyDescent="0.2">
      <c r="A1749" s="523">
        <v>43225</v>
      </c>
      <c r="B1749" s="1044" t="s">
        <v>9701</v>
      </c>
      <c r="C1749" s="1045" t="s">
        <v>9702</v>
      </c>
      <c r="D1749" s="1">
        <v>1.5173611111111112E-2</v>
      </c>
      <c r="E1749" s="80" t="s">
        <v>5198</v>
      </c>
      <c r="F1749" s="69" t="s">
        <v>9725</v>
      </c>
      <c r="G1749" s="82">
        <v>0.78639999999999999</v>
      </c>
      <c r="H1749" s="334">
        <f t="shared" si="53"/>
        <v>-2.3148148148148875E-5</v>
      </c>
      <c r="I1749" s="80"/>
    </row>
    <row r="1750" spans="1:12" ht="12.75" customHeight="1" x14ac:dyDescent="0.2">
      <c r="A1750" s="523">
        <v>43211</v>
      </c>
      <c r="B1750" s="80" t="s">
        <v>9701</v>
      </c>
      <c r="C1750" s="334" t="s">
        <v>9702</v>
      </c>
      <c r="D1750" s="1">
        <v>1.5150462962962963E-2</v>
      </c>
      <c r="E1750" s="80" t="s">
        <v>5198</v>
      </c>
      <c r="F1750" s="69" t="s">
        <v>9703</v>
      </c>
      <c r="G1750" s="82">
        <v>0.78760000000000008</v>
      </c>
      <c r="H1750" s="334"/>
    </row>
    <row r="1751" spans="1:12" ht="12.75" customHeight="1" x14ac:dyDescent="0.2">
      <c r="A1751" s="33">
        <v>43337</v>
      </c>
      <c r="B1751" s="1044" t="s">
        <v>4789</v>
      </c>
      <c r="C1751" s="1045" t="s">
        <v>4788</v>
      </c>
      <c r="D1751" s="334">
        <v>2.0439814814814817E-2</v>
      </c>
      <c r="E1751" s="80" t="s">
        <v>8407</v>
      </c>
      <c r="F1751" s="69" t="s">
        <v>10508</v>
      </c>
      <c r="G1751" s="82">
        <v>0.55610000000000004</v>
      </c>
      <c r="H1751" s="334">
        <f>D1752-D1751</f>
        <v>-1.3541666666666702E-3</v>
      </c>
    </row>
    <row r="1752" spans="1:12" ht="12.75" customHeight="1" x14ac:dyDescent="0.2">
      <c r="A1752" s="523">
        <v>43239</v>
      </c>
      <c r="B1752" s="80" t="s">
        <v>4789</v>
      </c>
      <c r="C1752" s="334" t="s">
        <v>4788</v>
      </c>
      <c r="D1752" s="1">
        <v>1.9085648148148147E-2</v>
      </c>
      <c r="E1752" s="80" t="s">
        <v>8407</v>
      </c>
      <c r="F1752" s="69" t="s">
        <v>9835</v>
      </c>
      <c r="G1752" s="82">
        <v>0.59550000000000003</v>
      </c>
      <c r="H1752" s="334"/>
      <c r="I1752" s="80"/>
    </row>
    <row r="1753" spans="1:12" ht="12.75" customHeight="1" x14ac:dyDescent="0.2">
      <c r="A1753" s="523">
        <v>43120</v>
      </c>
      <c r="B1753" s="601" t="s">
        <v>5542</v>
      </c>
      <c r="C1753" s="958" t="s">
        <v>4788</v>
      </c>
      <c r="D1753" s="1">
        <v>2.6504629629629628E-2</v>
      </c>
      <c r="E1753" s="80" t="s">
        <v>803</v>
      </c>
      <c r="F1753" s="69" t="s">
        <v>9081</v>
      </c>
      <c r="G1753" s="82">
        <v>0.39910000000000001</v>
      </c>
      <c r="H1753" s="334">
        <f t="shared" ref="H1753:H1762" si="54">D1754-D1753</f>
        <v>-5.4050925925925898E-3</v>
      </c>
      <c r="I1753" s="80" t="s">
        <v>9082</v>
      </c>
    </row>
    <row r="1754" spans="1:12" ht="12.75" customHeight="1" x14ac:dyDescent="0.2">
      <c r="A1754" s="523">
        <v>43177</v>
      </c>
      <c r="B1754" s="80" t="s">
        <v>3541</v>
      </c>
      <c r="C1754" s="334" t="s">
        <v>1574</v>
      </c>
      <c r="D1754" s="1">
        <v>2.1099537037037038E-2</v>
      </c>
      <c r="E1754" s="80" t="s">
        <v>1214</v>
      </c>
      <c r="F1754" s="69" t="s">
        <v>11132</v>
      </c>
      <c r="G1754" s="82">
        <v>0.55179999999999996</v>
      </c>
      <c r="H1754" s="334">
        <f t="shared" si="54"/>
        <v>-4.2245370370370371E-3</v>
      </c>
      <c r="I1754" s="80"/>
    </row>
    <row r="1755" spans="1:12" ht="12.75" customHeight="1" x14ac:dyDescent="0.2">
      <c r="A1755" s="523">
        <v>43428</v>
      </c>
      <c r="B1755" s="1038" t="s">
        <v>481</v>
      </c>
      <c r="C1755" s="1038" t="s">
        <v>1574</v>
      </c>
      <c r="D1755" s="1">
        <v>1.6875000000000001E-2</v>
      </c>
      <c r="E1755" s="80" t="s">
        <v>8144</v>
      </c>
      <c r="F1755" s="80" t="s">
        <v>11104</v>
      </c>
      <c r="G1755" s="82">
        <v>0.61660000000000004</v>
      </c>
      <c r="H1755" s="334">
        <f t="shared" si="54"/>
        <v>-2.372685185185186E-3</v>
      </c>
      <c r="I1755" t="s">
        <v>11105</v>
      </c>
      <c r="L1755" t="s">
        <v>11106</v>
      </c>
    </row>
    <row r="1756" spans="1:12" ht="12.75" customHeight="1" x14ac:dyDescent="0.2">
      <c r="A1756" s="523">
        <v>43190</v>
      </c>
      <c r="B1756" s="1029" t="s">
        <v>922</v>
      </c>
      <c r="C1756" s="1030" t="s">
        <v>5833</v>
      </c>
      <c r="D1756" s="1">
        <v>1.4502314814814815E-2</v>
      </c>
      <c r="E1756" s="80" t="s">
        <v>5885</v>
      </c>
      <c r="F1756" s="69" t="s">
        <v>3001</v>
      </c>
      <c r="G1756" s="82">
        <v>0.72970000000000002</v>
      </c>
      <c r="H1756" s="334">
        <f t="shared" si="54"/>
        <v>-7.1759259259259085E-4</v>
      </c>
      <c r="I1756" s="80"/>
    </row>
    <row r="1757" spans="1:12" ht="12.75" customHeight="1" x14ac:dyDescent="0.2">
      <c r="A1757" s="523">
        <v>43183</v>
      </c>
      <c r="B1757" s="1019" t="s">
        <v>922</v>
      </c>
      <c r="C1757" s="1020" t="s">
        <v>5833</v>
      </c>
      <c r="D1757" s="1">
        <v>1.3784722222222224E-2</v>
      </c>
      <c r="E1757" s="80" t="s">
        <v>9497</v>
      </c>
      <c r="F1757" s="69" t="s">
        <v>9414</v>
      </c>
      <c r="G1757" s="82">
        <v>0.76149999999999995</v>
      </c>
      <c r="H1757" s="334">
        <f t="shared" si="54"/>
        <v>1.2962962962962919E-3</v>
      </c>
      <c r="I1757" s="80"/>
    </row>
    <row r="1758" spans="1:12" ht="12.75" customHeight="1" x14ac:dyDescent="0.2">
      <c r="A1758" s="523">
        <v>43176</v>
      </c>
      <c r="B1758" s="532" t="s">
        <v>922</v>
      </c>
      <c r="C1758" s="843" t="s">
        <v>5833</v>
      </c>
      <c r="D1758" s="1">
        <v>1.5081018518518516E-2</v>
      </c>
      <c r="E1758" s="80" t="s">
        <v>5453</v>
      </c>
      <c r="F1758" s="69" t="s">
        <v>9453</v>
      </c>
      <c r="G1758" s="82">
        <v>0.69610000000000005</v>
      </c>
      <c r="H1758" s="334">
        <f t="shared" si="54"/>
        <v>-1.2037037037037016E-3</v>
      </c>
      <c r="I1758" s="80"/>
    </row>
    <row r="1759" spans="1:12" ht="12.75" customHeight="1" x14ac:dyDescent="0.2">
      <c r="A1759" s="523">
        <v>43169</v>
      </c>
      <c r="B1759" s="862" t="s">
        <v>922</v>
      </c>
      <c r="C1759" s="863" t="s">
        <v>5833</v>
      </c>
      <c r="D1759" s="1">
        <v>1.3877314814814815E-2</v>
      </c>
      <c r="E1759" s="80" t="s">
        <v>5885</v>
      </c>
      <c r="F1759" s="69" t="s">
        <v>9428</v>
      </c>
      <c r="G1759" s="82">
        <v>0.75649999999999995</v>
      </c>
      <c r="H1759" s="334">
        <f t="shared" si="54"/>
        <v>6.1342592592592698E-4</v>
      </c>
      <c r="I1759" s="80"/>
    </row>
    <row r="1760" spans="1:12" ht="12.75" customHeight="1" x14ac:dyDescent="0.2">
      <c r="A1760" s="523">
        <v>43162</v>
      </c>
      <c r="B1760" s="879" t="s">
        <v>922</v>
      </c>
      <c r="C1760" s="880" t="s">
        <v>5833</v>
      </c>
      <c r="D1760" s="1">
        <v>1.4490740740740742E-2</v>
      </c>
      <c r="E1760" s="80" t="s">
        <v>5885</v>
      </c>
      <c r="F1760" s="69" t="s">
        <v>9402</v>
      </c>
      <c r="G1760" s="82">
        <v>0.72440000000000004</v>
      </c>
      <c r="H1760" s="334">
        <f t="shared" si="54"/>
        <v>-6.3657407407407586E-4</v>
      </c>
      <c r="I1760" s="80"/>
    </row>
    <row r="1761" spans="1:10" ht="12.75" customHeight="1" x14ac:dyDescent="0.2">
      <c r="A1761" s="523">
        <v>43155</v>
      </c>
      <c r="B1761" s="940" t="s">
        <v>922</v>
      </c>
      <c r="C1761" s="941" t="s">
        <v>5833</v>
      </c>
      <c r="D1761" s="1">
        <v>1.3854166666666666E-2</v>
      </c>
      <c r="E1761" s="80" t="s">
        <v>5885</v>
      </c>
      <c r="F1761" s="69" t="s">
        <v>9324</v>
      </c>
      <c r="G1761" s="82">
        <v>0.751</v>
      </c>
      <c r="H1761" s="334">
        <f t="shared" si="54"/>
        <v>-3.4722222222220711E-5</v>
      </c>
      <c r="I1761" s="80"/>
    </row>
    <row r="1762" spans="1:10" ht="12.75" customHeight="1" x14ac:dyDescent="0.2">
      <c r="A1762" s="523">
        <v>43148</v>
      </c>
      <c r="B1762" s="568" t="s">
        <v>922</v>
      </c>
      <c r="C1762" s="861" t="s">
        <v>5833</v>
      </c>
      <c r="D1762" s="1">
        <v>1.3819444444444445E-2</v>
      </c>
      <c r="E1762" s="80" t="s">
        <v>5885</v>
      </c>
      <c r="F1762" s="69" t="s">
        <v>9296</v>
      </c>
      <c r="G1762" s="82">
        <v>0.75290000000000001</v>
      </c>
      <c r="H1762" s="334">
        <f t="shared" si="54"/>
        <v>9.2592592592592032E-5</v>
      </c>
      <c r="I1762" s="80"/>
    </row>
    <row r="1763" spans="1:10" ht="12.75" customHeight="1" x14ac:dyDescent="0.2">
      <c r="A1763" s="523">
        <v>43141</v>
      </c>
      <c r="B1763" s="987" t="s">
        <v>922</v>
      </c>
      <c r="C1763" s="988" t="s">
        <v>5833</v>
      </c>
      <c r="D1763" s="1">
        <v>1.3912037037037037E-2</v>
      </c>
      <c r="E1763" s="80" t="s">
        <v>5885</v>
      </c>
      <c r="F1763" s="69" t="s">
        <v>9254</v>
      </c>
      <c r="G1763" s="82">
        <v>0.74790000000000001</v>
      </c>
      <c r="H1763" s="334"/>
      <c r="I1763" s="80"/>
      <c r="J1763" t="s">
        <v>9255</v>
      </c>
    </row>
    <row r="1764" spans="1:10" ht="12.75" customHeight="1" x14ac:dyDescent="0.2">
      <c r="A1764" s="523">
        <v>43428</v>
      </c>
      <c r="B1764" s="1038" t="s">
        <v>4015</v>
      </c>
      <c r="C1764" s="1038" t="s">
        <v>4945</v>
      </c>
      <c r="D1764" s="1">
        <v>1.4293981481481482E-2</v>
      </c>
      <c r="E1764" s="80" t="s">
        <v>10983</v>
      </c>
      <c r="F1764" s="80" t="s">
        <v>11088</v>
      </c>
      <c r="G1764" s="82">
        <v>0.79269999999999996</v>
      </c>
      <c r="H1764" s="334"/>
    </row>
    <row r="1765" spans="1:10" ht="12.75" customHeight="1" x14ac:dyDescent="0.2">
      <c r="A1765" s="523">
        <v>43197</v>
      </c>
      <c r="B1765" s="930" t="s">
        <v>3230</v>
      </c>
      <c r="C1765" s="931" t="s">
        <v>4945</v>
      </c>
      <c r="D1765" s="1">
        <v>1.4710648148148148E-2</v>
      </c>
      <c r="E1765" s="80" t="s">
        <v>9307</v>
      </c>
      <c r="F1765" s="69" t="s">
        <v>9569</v>
      </c>
      <c r="G1765" s="82">
        <v>0.77029999999999998</v>
      </c>
      <c r="H1765" s="334">
        <f t="shared" ref="H1765:H1774" si="55">D1766-D1765</f>
        <v>8.1134259259259284E-3</v>
      </c>
      <c r="I1765" s="80"/>
    </row>
    <row r="1766" spans="1:10" ht="12.75" customHeight="1" x14ac:dyDescent="0.2">
      <c r="A1766" s="523">
        <v>43386</v>
      </c>
      <c r="B1766" s="532" t="s">
        <v>1794</v>
      </c>
      <c r="C1766" s="532" t="s">
        <v>7677</v>
      </c>
      <c r="D1766" s="1">
        <v>2.2824074074074076E-2</v>
      </c>
      <c r="E1766" s="80" t="s">
        <v>6021</v>
      </c>
      <c r="F1766" s="80" t="s">
        <v>10813</v>
      </c>
      <c r="G1766" s="82">
        <v>0.53039999999999998</v>
      </c>
      <c r="H1766" s="334">
        <f t="shared" si="55"/>
        <v>-2.6967592592592599E-3</v>
      </c>
    </row>
    <row r="1767" spans="1:10" ht="12.75" customHeight="1" x14ac:dyDescent="0.2">
      <c r="A1767" s="523">
        <v>43344</v>
      </c>
      <c r="B1767" s="552" t="s">
        <v>1794</v>
      </c>
      <c r="C1767" s="552" t="s">
        <v>7677</v>
      </c>
      <c r="D1767" s="1">
        <v>2.0127314814814817E-2</v>
      </c>
      <c r="E1767" t="s">
        <v>6021</v>
      </c>
      <c r="F1767" t="s">
        <v>10536</v>
      </c>
      <c r="G1767" s="82">
        <v>0.60150000000000003</v>
      </c>
      <c r="H1767" s="334">
        <f t="shared" si="55"/>
        <v>-6.7129629629629831E-4</v>
      </c>
    </row>
    <row r="1768" spans="1:10" x14ac:dyDescent="0.2">
      <c r="A1768" s="523">
        <v>43295</v>
      </c>
      <c r="B1768" s="601" t="s">
        <v>1794</v>
      </c>
      <c r="C1768" s="601" t="s">
        <v>7677</v>
      </c>
      <c r="D1768" s="1">
        <v>1.9456018518518518E-2</v>
      </c>
      <c r="E1768" s="80" t="s">
        <v>6021</v>
      </c>
      <c r="F1768" s="80" t="s">
        <v>2356</v>
      </c>
      <c r="G1768" s="82">
        <v>0.61570000000000003</v>
      </c>
      <c r="H1768" s="334">
        <f t="shared" si="55"/>
        <v>-1.041666666666656E-4</v>
      </c>
    </row>
    <row r="1769" spans="1:10" x14ac:dyDescent="0.2">
      <c r="A1769" s="523">
        <v>43281</v>
      </c>
      <c r="B1769" s="552" t="s">
        <v>1794</v>
      </c>
      <c r="C1769" s="552" t="s">
        <v>7677</v>
      </c>
      <c r="D1769" s="1">
        <v>1.9351851851851853E-2</v>
      </c>
      <c r="E1769" s="80" t="s">
        <v>6021</v>
      </c>
      <c r="F1769" s="80" t="s">
        <v>10159</v>
      </c>
      <c r="G1769" s="82">
        <v>0.61899999999999999</v>
      </c>
      <c r="H1769" s="334">
        <f t="shared" si="55"/>
        <v>-2.3148148148148182E-4</v>
      </c>
    </row>
    <row r="1770" spans="1:10" x14ac:dyDescent="0.2">
      <c r="A1770" s="34">
        <v>43274</v>
      </c>
      <c r="B1770" s="1071" t="s">
        <v>1794</v>
      </c>
      <c r="C1770" s="1071" t="s">
        <v>7677</v>
      </c>
      <c r="D1770" s="1">
        <v>1.9120370370370371E-2</v>
      </c>
      <c r="E1770" s="80" t="s">
        <v>6021</v>
      </c>
      <c r="F1770" s="80" t="s">
        <v>10122</v>
      </c>
      <c r="G1770" s="82">
        <v>0.62649999999999995</v>
      </c>
      <c r="H1770" s="334">
        <f t="shared" si="55"/>
        <v>5.6712962962962923E-4</v>
      </c>
    </row>
    <row r="1771" spans="1:10" x14ac:dyDescent="0.2">
      <c r="A1771" s="523">
        <v>43267</v>
      </c>
      <c r="B1771" s="1058" t="s">
        <v>1794</v>
      </c>
      <c r="C1771" s="1059" t="s">
        <v>7677</v>
      </c>
      <c r="D1771" s="1">
        <v>1.96875E-2</v>
      </c>
      <c r="E1771" s="80" t="s">
        <v>6021</v>
      </c>
      <c r="F1771" s="69" t="s">
        <v>9937</v>
      </c>
      <c r="G1771" s="82">
        <v>0.60850000000000004</v>
      </c>
      <c r="H1771" s="334">
        <f t="shared" si="55"/>
        <v>5.9027777777777637E-4</v>
      </c>
      <c r="I1771" s="80"/>
    </row>
    <row r="1772" spans="1:10" x14ac:dyDescent="0.2">
      <c r="A1772" s="523">
        <v>43253</v>
      </c>
      <c r="B1772" s="901" t="s">
        <v>1794</v>
      </c>
      <c r="C1772" s="902" t="s">
        <v>7677</v>
      </c>
      <c r="D1772" s="1">
        <v>2.0277777777777777E-2</v>
      </c>
      <c r="E1772" s="80" t="s">
        <v>6021</v>
      </c>
      <c r="F1772" s="69" t="s">
        <v>9888</v>
      </c>
      <c r="G1772" s="82">
        <v>0.59079999999999999</v>
      </c>
      <c r="H1772" s="334">
        <f t="shared" si="55"/>
        <v>-6.9444444444441422E-5</v>
      </c>
      <c r="I1772" s="80"/>
    </row>
    <row r="1773" spans="1:10" x14ac:dyDescent="0.2">
      <c r="A1773" s="523">
        <v>43218</v>
      </c>
      <c r="B1773" s="568" t="s">
        <v>1794</v>
      </c>
      <c r="C1773" s="861" t="s">
        <v>7677</v>
      </c>
      <c r="D1773" s="1">
        <v>2.0208333333333335E-2</v>
      </c>
      <c r="E1773" s="80" t="s">
        <v>6021</v>
      </c>
      <c r="F1773" s="69" t="s">
        <v>9681</v>
      </c>
      <c r="G1773" s="82">
        <v>0.59279999999999999</v>
      </c>
      <c r="H1773" s="334">
        <f t="shared" si="55"/>
        <v>2.0277083333333334</v>
      </c>
      <c r="I1773" s="80"/>
    </row>
    <row r="1774" spans="1:10" x14ac:dyDescent="0.2">
      <c r="A1774" s="523">
        <v>43260</v>
      </c>
      <c r="B1774" s="532" t="s">
        <v>864</v>
      </c>
      <c r="C1774" s="843" t="s">
        <v>865</v>
      </c>
      <c r="D1774" s="1">
        <v>2.0479166666666666</v>
      </c>
      <c r="E1774" s="80" t="s">
        <v>9735</v>
      </c>
      <c r="F1774" s="69" t="s">
        <v>9921</v>
      </c>
      <c r="G1774" s="82">
        <v>0.71509999999999996</v>
      </c>
      <c r="H1774" s="334">
        <f t="shared" si="55"/>
        <v>-2.0309490740740741</v>
      </c>
      <c r="I1774" s="80"/>
    </row>
    <row r="1775" spans="1:10" x14ac:dyDescent="0.2">
      <c r="A1775" s="523">
        <v>43253</v>
      </c>
      <c r="B1775" s="901" t="s">
        <v>864</v>
      </c>
      <c r="C1775" s="902" t="s">
        <v>865</v>
      </c>
      <c r="D1775" s="1">
        <v>1.6967592592592593E-2</v>
      </c>
      <c r="E1775" s="80" t="s">
        <v>8248</v>
      </c>
      <c r="F1775" s="69" t="s">
        <v>4960</v>
      </c>
      <c r="G1775" s="82">
        <v>0.66779999999999995</v>
      </c>
      <c r="H1775" s="334"/>
      <c r="I1775" s="80" t="s">
        <v>9880</v>
      </c>
    </row>
    <row r="1776" spans="1:10" x14ac:dyDescent="0.2">
      <c r="A1776" s="523">
        <v>43463</v>
      </c>
      <c r="B1776" s="862" t="s">
        <v>3535</v>
      </c>
      <c r="C1776" s="862" t="s">
        <v>4741</v>
      </c>
      <c r="D1776" s="334" t="s">
        <v>787</v>
      </c>
      <c r="E1776" s="80" t="s">
        <v>9307</v>
      </c>
      <c r="F1776" s="80" t="s">
        <v>5699</v>
      </c>
      <c r="G1776" s="82"/>
      <c r="H1776" s="334"/>
    </row>
    <row r="1777" spans="1:8" x14ac:dyDescent="0.2">
      <c r="A1777" s="523">
        <v>43442</v>
      </c>
      <c r="B1777" s="972" t="s">
        <v>3535</v>
      </c>
      <c r="C1777" s="972" t="s">
        <v>4741</v>
      </c>
      <c r="D1777" s="1">
        <v>1.667824074074074E-2</v>
      </c>
      <c r="E1777" s="80" t="s">
        <v>5456</v>
      </c>
      <c r="F1777" s="80" t="s">
        <v>11258</v>
      </c>
      <c r="G1777" s="82">
        <v>0.62939999999999996</v>
      </c>
      <c r="H1777" s="334">
        <f t="shared" ref="H1777:H1805" si="56">D1778-D1777</f>
        <v>6.5972222222222127E-4</v>
      </c>
    </row>
    <row r="1778" spans="1:8" x14ac:dyDescent="0.2">
      <c r="A1778" s="523">
        <v>43435</v>
      </c>
      <c r="B1778" s="1164" t="s">
        <v>3535</v>
      </c>
      <c r="C1778" s="1164" t="s">
        <v>4741</v>
      </c>
      <c r="D1778" s="1">
        <v>1.7337962962962961E-2</v>
      </c>
      <c r="E1778" s="80" t="s">
        <v>10983</v>
      </c>
      <c r="F1778" s="80" t="s">
        <v>11163</v>
      </c>
      <c r="G1778" s="82">
        <v>0.60550000000000004</v>
      </c>
      <c r="H1778" s="334">
        <f t="shared" si="56"/>
        <v>-6.4814814814814423E-4</v>
      </c>
    </row>
    <row r="1779" spans="1:8" x14ac:dyDescent="0.2">
      <c r="A1779" s="523">
        <v>43428</v>
      </c>
      <c r="B1779" s="1038" t="s">
        <v>3535</v>
      </c>
      <c r="C1779" s="1038" t="s">
        <v>4741</v>
      </c>
      <c r="D1779" s="1">
        <v>1.6689814814814817E-2</v>
      </c>
      <c r="E1779" s="80" t="s">
        <v>10983</v>
      </c>
      <c r="F1779" s="80" t="s">
        <v>11086</v>
      </c>
      <c r="G1779" s="82">
        <v>0.629</v>
      </c>
      <c r="H1779" s="334">
        <f t="shared" si="56"/>
        <v>-2.7777777777777957E-4</v>
      </c>
    </row>
    <row r="1780" spans="1:8" x14ac:dyDescent="0.2">
      <c r="A1780" s="523">
        <v>43421</v>
      </c>
      <c r="B1780" s="906" t="s">
        <v>3535</v>
      </c>
      <c r="C1780" s="906" t="s">
        <v>4741</v>
      </c>
      <c r="D1780" s="1">
        <v>1.6412037037037037E-2</v>
      </c>
      <c r="E1780" s="80" t="s">
        <v>5948</v>
      </c>
      <c r="F1780" s="80" t="s">
        <v>11053</v>
      </c>
      <c r="G1780" s="82">
        <v>0.63959999999999995</v>
      </c>
      <c r="H1780" s="334">
        <f t="shared" si="56"/>
        <v>3.0092592592592324E-4</v>
      </c>
    </row>
    <row r="1781" spans="1:8" x14ac:dyDescent="0.2">
      <c r="A1781" s="523">
        <v>43414</v>
      </c>
      <c r="B1781" s="862" t="s">
        <v>3535</v>
      </c>
      <c r="C1781" s="862" t="s">
        <v>4741</v>
      </c>
      <c r="D1781" s="1">
        <v>1.6712962962962961E-2</v>
      </c>
      <c r="E1781" s="80" t="s">
        <v>5948</v>
      </c>
      <c r="F1781" s="80" t="s">
        <v>11001</v>
      </c>
      <c r="G1781" s="82">
        <v>0.62809999999999999</v>
      </c>
      <c r="H1781" s="334">
        <f t="shared" si="56"/>
        <v>-3.3564814814814742E-4</v>
      </c>
    </row>
    <row r="1782" spans="1:8" x14ac:dyDescent="0.2">
      <c r="A1782" s="523">
        <v>43407</v>
      </c>
      <c r="B1782" s="901" t="s">
        <v>3535</v>
      </c>
      <c r="C1782" s="901" t="s">
        <v>4741</v>
      </c>
      <c r="D1782" s="1">
        <v>1.6377314814814813E-2</v>
      </c>
      <c r="E1782" s="80" t="s">
        <v>5948</v>
      </c>
      <c r="F1782" s="80" t="s">
        <v>10970</v>
      </c>
      <c r="G1782" s="82">
        <v>0.64100000000000001</v>
      </c>
      <c r="H1782" s="334">
        <f t="shared" si="56"/>
        <v>1.967592592592611E-4</v>
      </c>
    </row>
    <row r="1783" spans="1:8" x14ac:dyDescent="0.2">
      <c r="A1783" s="523">
        <v>43400</v>
      </c>
      <c r="B1783" s="556" t="s">
        <v>3535</v>
      </c>
      <c r="C1783" s="556" t="s">
        <v>4741</v>
      </c>
      <c r="D1783" s="1">
        <v>1.6574074074074074E-2</v>
      </c>
      <c r="E1783" s="80" t="s">
        <v>5948</v>
      </c>
      <c r="F1783" s="80" t="s">
        <v>10916</v>
      </c>
      <c r="G1783" s="82">
        <v>0.63339999999999996</v>
      </c>
      <c r="H1783" s="334">
        <f t="shared" si="56"/>
        <v>2.5462962962962896E-4</v>
      </c>
    </row>
    <row r="1784" spans="1:8" x14ac:dyDescent="0.2">
      <c r="A1784" s="523">
        <v>43393</v>
      </c>
      <c r="B1784" s="862" t="s">
        <v>3535</v>
      </c>
      <c r="C1784" s="862" t="s">
        <v>4741</v>
      </c>
      <c r="D1784" s="1">
        <v>1.6828703703703703E-2</v>
      </c>
      <c r="E1784" s="80" t="s">
        <v>5948</v>
      </c>
      <c r="F1784" s="80" t="s">
        <v>10836</v>
      </c>
      <c r="G1784" s="82">
        <v>0.62380000000000002</v>
      </c>
      <c r="H1784" s="334">
        <f t="shared" si="56"/>
        <v>-4.8611111111111077E-4</v>
      </c>
    </row>
    <row r="1785" spans="1:8" x14ac:dyDescent="0.2">
      <c r="A1785" s="34">
        <v>43372</v>
      </c>
      <c r="B1785" s="532" t="s">
        <v>3535</v>
      </c>
      <c r="C1785" s="532" t="s">
        <v>4741</v>
      </c>
      <c r="D1785" s="1">
        <v>1.6342592592592593E-2</v>
      </c>
      <c r="E1785" s="80" t="s">
        <v>5198</v>
      </c>
      <c r="F1785" s="80" t="s">
        <v>10689</v>
      </c>
      <c r="G1785" s="82">
        <v>0.64239999999999997</v>
      </c>
      <c r="H1785" s="334">
        <f t="shared" si="56"/>
        <v>4.8611111111111077E-4</v>
      </c>
    </row>
    <row r="1786" spans="1:8" x14ac:dyDescent="0.2">
      <c r="A1786" s="34">
        <v>43365</v>
      </c>
      <c r="B1786" s="556" t="s">
        <v>3535</v>
      </c>
      <c r="C1786" s="556" t="s">
        <v>4741</v>
      </c>
      <c r="D1786" s="1">
        <v>1.6828703703703703E-2</v>
      </c>
      <c r="E1786" s="80" t="s">
        <v>10687</v>
      </c>
      <c r="F1786" s="80" t="s">
        <v>10688</v>
      </c>
      <c r="G1786" s="82">
        <v>0.62380000000000002</v>
      </c>
      <c r="H1786" s="334">
        <f t="shared" si="56"/>
        <v>-1.9675925925925764E-4</v>
      </c>
    </row>
    <row r="1787" spans="1:8" x14ac:dyDescent="0.2">
      <c r="A1787" s="523">
        <v>43351</v>
      </c>
      <c r="B1787" s="532" t="s">
        <v>3535</v>
      </c>
      <c r="C1787" s="531" t="s">
        <v>4741</v>
      </c>
      <c r="D1787" s="1">
        <v>1.6631944444444446E-2</v>
      </c>
      <c r="E1787" s="80" t="s">
        <v>5948</v>
      </c>
      <c r="F1787" s="80" t="s">
        <v>10591</v>
      </c>
      <c r="G1787" s="82">
        <v>0.63119999999999998</v>
      </c>
      <c r="H1787" s="334">
        <f t="shared" si="56"/>
        <v>8.6805555555555247E-4</v>
      </c>
    </row>
    <row r="1788" spans="1:8" x14ac:dyDescent="0.2">
      <c r="A1788" s="523">
        <v>43344</v>
      </c>
      <c r="B1788" s="552" t="s">
        <v>3535</v>
      </c>
      <c r="C1788" s="552" t="s">
        <v>4741</v>
      </c>
      <c r="D1788" s="1">
        <v>1.7499999999999998E-2</v>
      </c>
      <c r="E1788" s="80" t="s">
        <v>5198</v>
      </c>
      <c r="F1788" s="80" t="s">
        <v>10563</v>
      </c>
      <c r="G1788" s="82">
        <v>0.59989999999999999</v>
      </c>
      <c r="H1788" s="334">
        <f t="shared" si="56"/>
        <v>-1.7245370370370383E-3</v>
      </c>
    </row>
    <row r="1789" spans="1:8" x14ac:dyDescent="0.2">
      <c r="A1789" s="523">
        <v>43309</v>
      </c>
      <c r="B1789" s="879" t="s">
        <v>3535</v>
      </c>
      <c r="C1789" s="879" t="s">
        <v>4741</v>
      </c>
      <c r="D1789" s="1">
        <v>1.577546296296296E-2</v>
      </c>
      <c r="E1789" s="80" t="s">
        <v>2465</v>
      </c>
      <c r="F1789" s="80" t="s">
        <v>10353</v>
      </c>
      <c r="G1789" s="82">
        <v>0.66539999999999999</v>
      </c>
      <c r="H1789" s="334">
        <f t="shared" si="56"/>
        <v>3.2407407407407732E-4</v>
      </c>
    </row>
    <row r="1790" spans="1:8" x14ac:dyDescent="0.2">
      <c r="A1790" s="523">
        <v>43295</v>
      </c>
      <c r="B1790" s="601" t="s">
        <v>3535</v>
      </c>
      <c r="C1790" s="601" t="s">
        <v>4741</v>
      </c>
      <c r="D1790" s="1">
        <v>1.6099537037037037E-2</v>
      </c>
      <c r="E1790" s="80" t="s">
        <v>5947</v>
      </c>
      <c r="F1790" s="80" t="s">
        <v>10241</v>
      </c>
      <c r="G1790" s="82">
        <v>0.65200000000000002</v>
      </c>
      <c r="H1790" s="334">
        <f t="shared" si="56"/>
        <v>-9.0277777777777839E-4</v>
      </c>
    </row>
    <row r="1791" spans="1:8" x14ac:dyDescent="0.2">
      <c r="A1791" s="523">
        <v>43281</v>
      </c>
      <c r="B1791" s="556" t="s">
        <v>3535</v>
      </c>
      <c r="C1791" s="556" t="s">
        <v>4741</v>
      </c>
      <c r="D1791" s="1">
        <v>1.5196759259259259E-2</v>
      </c>
      <c r="E1791" s="80" t="s">
        <v>3528</v>
      </c>
      <c r="F1791" s="80" t="s">
        <v>10171</v>
      </c>
      <c r="G1791" s="82">
        <v>0.69079999999999997</v>
      </c>
      <c r="H1791" s="334">
        <f t="shared" si="56"/>
        <v>2.314814814815061E-5</v>
      </c>
    </row>
    <row r="1792" spans="1:8" x14ac:dyDescent="0.2">
      <c r="A1792" s="34">
        <v>43274</v>
      </c>
      <c r="B1792" s="1071" t="s">
        <v>3535</v>
      </c>
      <c r="C1792" s="1071" t="s">
        <v>4741</v>
      </c>
      <c r="D1792" s="1">
        <v>1.5219907407407409E-2</v>
      </c>
      <c r="E1792" s="80" t="s">
        <v>5544</v>
      </c>
      <c r="F1792" s="80" t="s">
        <v>10106</v>
      </c>
      <c r="G1792" s="82">
        <v>0.68969999999999998</v>
      </c>
      <c r="H1792" s="334">
        <f t="shared" si="56"/>
        <v>9.2592592592590298E-5</v>
      </c>
    </row>
    <row r="1793" spans="1:9" x14ac:dyDescent="0.2">
      <c r="A1793" s="523">
        <v>43267</v>
      </c>
      <c r="B1793" s="1058" t="s">
        <v>3535</v>
      </c>
      <c r="C1793" s="1059" t="s">
        <v>4741</v>
      </c>
      <c r="D1793" s="1">
        <v>1.53125E-2</v>
      </c>
      <c r="E1793" s="80" t="s">
        <v>2431</v>
      </c>
      <c r="F1793" s="69" t="s">
        <v>9948</v>
      </c>
      <c r="G1793" s="82">
        <v>0.68559999999999999</v>
      </c>
      <c r="H1793" s="334">
        <f t="shared" si="56"/>
        <v>-3.0092592592592497E-4</v>
      </c>
      <c r="I1793" s="80"/>
    </row>
    <row r="1794" spans="1:9" x14ac:dyDescent="0.2">
      <c r="A1794" s="523">
        <v>43260</v>
      </c>
      <c r="B1794" s="532" t="s">
        <v>3535</v>
      </c>
      <c r="C1794" s="843" t="s">
        <v>4741</v>
      </c>
      <c r="D1794" s="1">
        <v>1.5011574074074075E-2</v>
      </c>
      <c r="E1794" s="80" t="s">
        <v>5198</v>
      </c>
      <c r="F1794" s="69" t="s">
        <v>9910</v>
      </c>
      <c r="G1794" s="82">
        <v>0.69930000000000003</v>
      </c>
      <c r="H1794" s="334">
        <f t="shared" si="56"/>
        <v>6.4814814814814943E-4</v>
      </c>
      <c r="I1794" s="80"/>
    </row>
    <row r="1795" spans="1:9" x14ac:dyDescent="0.2">
      <c r="A1795" s="523">
        <v>43246</v>
      </c>
      <c r="B1795" s="601" t="s">
        <v>3535</v>
      </c>
      <c r="C1795" s="958" t="s">
        <v>4741</v>
      </c>
      <c r="D1795" s="1">
        <v>1.5659722222222224E-2</v>
      </c>
      <c r="E1795" s="80" t="s">
        <v>5948</v>
      </c>
      <c r="F1795" s="69"/>
      <c r="G1795" s="82">
        <v>0.6704</v>
      </c>
      <c r="H1795" s="334">
        <f t="shared" si="56"/>
        <v>-9.2592592592593767E-5</v>
      </c>
      <c r="I1795" s="80"/>
    </row>
    <row r="1796" spans="1:9" x14ac:dyDescent="0.2">
      <c r="A1796" s="523">
        <v>43239</v>
      </c>
      <c r="B1796" s="80" t="s">
        <v>3535</v>
      </c>
      <c r="C1796" s="334" t="s">
        <v>4741</v>
      </c>
      <c r="D1796" s="1">
        <v>1.556712962962963E-2</v>
      </c>
      <c r="E1796" s="80" t="s">
        <v>9307</v>
      </c>
      <c r="F1796" s="69" t="s">
        <v>9570</v>
      </c>
      <c r="G1796" s="82">
        <v>0.66790000000000005</v>
      </c>
      <c r="H1796" s="334">
        <f t="shared" si="56"/>
        <v>4.629629629629619E-4</v>
      </c>
      <c r="I1796" s="80"/>
    </row>
    <row r="1797" spans="1:9" x14ac:dyDescent="0.2">
      <c r="A1797" s="523">
        <v>43232</v>
      </c>
      <c r="B1797" s="1051" t="s">
        <v>3535</v>
      </c>
      <c r="C1797" s="1052" t="s">
        <v>4741</v>
      </c>
      <c r="D1797" s="1">
        <v>1.6030092592592592E-2</v>
      </c>
      <c r="E1797" s="80" t="s">
        <v>2431</v>
      </c>
      <c r="F1797" s="69" t="s">
        <v>9763</v>
      </c>
      <c r="G1797" s="82">
        <v>0.65490000000000004</v>
      </c>
      <c r="H1797" s="334">
        <f t="shared" si="56"/>
        <v>1.6203703703703692E-4</v>
      </c>
      <c r="I1797" s="80"/>
    </row>
    <row r="1798" spans="1:9" x14ac:dyDescent="0.2">
      <c r="A1798" s="523">
        <v>43218</v>
      </c>
      <c r="B1798" s="568" t="s">
        <v>3535</v>
      </c>
      <c r="C1798" s="861" t="s">
        <v>4741</v>
      </c>
      <c r="D1798" s="1">
        <v>1.6192129629629629E-2</v>
      </c>
      <c r="E1798" s="80" t="s">
        <v>5456</v>
      </c>
      <c r="F1798" s="69" t="s">
        <v>9670</v>
      </c>
      <c r="G1798" s="82">
        <v>0.64829999999999999</v>
      </c>
      <c r="H1798" s="334">
        <f t="shared" si="56"/>
        <v>1.1574074074074091E-3</v>
      </c>
      <c r="I1798" s="80"/>
    </row>
    <row r="1799" spans="1:9" x14ac:dyDescent="0.2">
      <c r="A1799" s="523">
        <v>43211</v>
      </c>
      <c r="B1799" s="1038" t="s">
        <v>3535</v>
      </c>
      <c r="C1799" s="1039" t="s">
        <v>4741</v>
      </c>
      <c r="D1799" s="1">
        <v>1.7349537037037038E-2</v>
      </c>
      <c r="E1799" s="80" t="s">
        <v>9578</v>
      </c>
      <c r="F1799" s="69" t="s">
        <v>9623</v>
      </c>
      <c r="G1799" s="82">
        <v>0.60509999999999997</v>
      </c>
      <c r="H1799" s="334">
        <f t="shared" si="56"/>
        <v>-7.6388888888889034E-4</v>
      </c>
      <c r="I1799" s="80"/>
    </row>
    <row r="1800" spans="1:9" x14ac:dyDescent="0.2">
      <c r="A1800" s="523">
        <v>43204</v>
      </c>
      <c r="B1800" s="80" t="s">
        <v>3535</v>
      </c>
      <c r="C1800" s="334" t="s">
        <v>4741</v>
      </c>
      <c r="D1800" s="1">
        <v>1.6585648148148148E-2</v>
      </c>
      <c r="E1800" s="80" t="s">
        <v>2431</v>
      </c>
      <c r="F1800" s="69" t="s">
        <v>9595</v>
      </c>
      <c r="G1800" s="82">
        <v>0.63290000000000002</v>
      </c>
      <c r="H1800" s="334">
        <f t="shared" si="56"/>
        <v>-5.5555555555555566E-4</v>
      </c>
      <c r="I1800" s="80"/>
    </row>
    <row r="1801" spans="1:9" x14ac:dyDescent="0.2">
      <c r="A1801" s="523">
        <v>43183</v>
      </c>
      <c r="B1801" s="1019" t="s">
        <v>3535</v>
      </c>
      <c r="C1801" s="1020" t="s">
        <v>4741</v>
      </c>
      <c r="D1801" s="1">
        <v>1.6030092592592592E-2</v>
      </c>
      <c r="E1801" s="80" t="s">
        <v>475</v>
      </c>
      <c r="F1801" s="69" t="s">
        <v>9504</v>
      </c>
      <c r="G1801" s="82">
        <v>0.65490000000000004</v>
      </c>
      <c r="H1801" s="334">
        <f t="shared" si="56"/>
        <v>4.5138888888889006E-4</v>
      </c>
      <c r="I1801" s="80"/>
    </row>
    <row r="1802" spans="1:9" x14ac:dyDescent="0.2">
      <c r="A1802" s="523">
        <v>43176</v>
      </c>
      <c r="B1802" s="532" t="s">
        <v>3535</v>
      </c>
      <c r="C1802" s="843" t="s">
        <v>4741</v>
      </c>
      <c r="D1802" s="1">
        <v>1.6481481481481482E-2</v>
      </c>
      <c r="E1802" s="80" t="s">
        <v>2431</v>
      </c>
      <c r="F1802" s="69" t="s">
        <v>9452</v>
      </c>
      <c r="G1802" s="82">
        <v>0.63690000000000002</v>
      </c>
      <c r="H1802" s="334">
        <f t="shared" si="56"/>
        <v>4.745370370370372E-4</v>
      </c>
      <c r="I1802" s="80"/>
    </row>
    <row r="1803" spans="1:9" x14ac:dyDescent="0.2">
      <c r="A1803" s="523">
        <v>43169</v>
      </c>
      <c r="B1803" s="862" t="s">
        <v>3535</v>
      </c>
      <c r="C1803" s="863" t="s">
        <v>4741</v>
      </c>
      <c r="D1803" s="1">
        <v>1.695601851851852E-2</v>
      </c>
      <c r="E1803" s="80" t="s">
        <v>4302</v>
      </c>
      <c r="F1803" s="69" t="s">
        <v>9415</v>
      </c>
      <c r="G1803" s="82">
        <v>0.61909999999999998</v>
      </c>
      <c r="H1803" s="334">
        <f t="shared" si="56"/>
        <v>7.7662037037037057E-3</v>
      </c>
      <c r="I1803" s="80"/>
    </row>
    <row r="1804" spans="1:9" x14ac:dyDescent="0.2">
      <c r="A1804" s="523">
        <v>43162</v>
      </c>
      <c r="B1804" s="879" t="s">
        <v>3535</v>
      </c>
      <c r="C1804" s="880" t="s">
        <v>4741</v>
      </c>
      <c r="D1804" s="1">
        <v>2.4722222222222225E-2</v>
      </c>
      <c r="E1804" s="80" t="s">
        <v>5948</v>
      </c>
      <c r="F1804" s="69" t="s">
        <v>9401</v>
      </c>
      <c r="G1804" s="82">
        <v>0.59050000000000002</v>
      </c>
      <c r="H1804" s="334">
        <f t="shared" si="56"/>
        <v>-7.997685185185191E-3</v>
      </c>
      <c r="I1804" s="80"/>
    </row>
    <row r="1805" spans="1:9" x14ac:dyDescent="0.2">
      <c r="A1805" s="523">
        <v>43148</v>
      </c>
      <c r="B1805" s="568" t="s">
        <v>3535</v>
      </c>
      <c r="C1805" s="861" t="s">
        <v>4741</v>
      </c>
      <c r="D1805" s="1">
        <v>1.6724537037037034E-2</v>
      </c>
      <c r="E1805" s="80" t="s">
        <v>5948</v>
      </c>
      <c r="F1805" s="69" t="s">
        <v>9295</v>
      </c>
      <c r="G1805" s="82">
        <v>0.62209999999999999</v>
      </c>
      <c r="H1805" s="334">
        <f t="shared" si="56"/>
        <v>4.1666666666666935E-4</v>
      </c>
      <c r="I1805" s="80"/>
    </row>
    <row r="1806" spans="1:9" x14ac:dyDescent="0.2">
      <c r="A1806" s="523">
        <v>43141</v>
      </c>
      <c r="B1806" s="987" t="s">
        <v>3535</v>
      </c>
      <c r="C1806" s="988" t="s">
        <v>4741</v>
      </c>
      <c r="D1806" s="1">
        <v>1.7141203703703704E-2</v>
      </c>
      <c r="E1806" s="80" t="s">
        <v>5948</v>
      </c>
      <c r="F1806" s="69" t="s">
        <v>9229</v>
      </c>
      <c r="G1806" s="82">
        <v>0.60699999999999998</v>
      </c>
      <c r="H1806" s="334"/>
      <c r="I1806" s="80" t="s">
        <v>9230</v>
      </c>
    </row>
    <row r="1807" spans="1:9" ht="12" customHeight="1" x14ac:dyDescent="0.2">
      <c r="A1807" s="523">
        <v>43414</v>
      </c>
      <c r="B1807" s="862" t="s">
        <v>3753</v>
      </c>
      <c r="C1807" s="862" t="s">
        <v>3752</v>
      </c>
      <c r="D1807" s="1">
        <v>2.1261574074074075E-2</v>
      </c>
      <c r="E1807" s="80" t="s">
        <v>5883</v>
      </c>
      <c r="F1807" s="80" t="s">
        <v>1237</v>
      </c>
      <c r="G1807" s="82">
        <v>0.64290000000000003</v>
      </c>
      <c r="H1807" s="334">
        <f>D1808-D1807</f>
        <v>-4.9768518518518781E-4</v>
      </c>
    </row>
    <row r="1808" spans="1:9" ht="12" customHeight="1" x14ac:dyDescent="0.2">
      <c r="A1808" s="523">
        <v>43344</v>
      </c>
      <c r="B1808" s="552" t="s">
        <v>3753</v>
      </c>
      <c r="C1808" s="552" t="s">
        <v>3752</v>
      </c>
      <c r="D1808" s="1">
        <v>2.0763888888888887E-2</v>
      </c>
      <c r="E1808" t="s">
        <v>5883</v>
      </c>
      <c r="F1808" s="80" t="s">
        <v>10572</v>
      </c>
      <c r="G1808" s="82">
        <v>0.6583</v>
      </c>
      <c r="H1808" s="334"/>
    </row>
    <row r="1809" spans="1:14" ht="12" customHeight="1" x14ac:dyDescent="0.2">
      <c r="A1809" s="523">
        <v>43309</v>
      </c>
      <c r="B1809" s="879" t="s">
        <v>260</v>
      </c>
      <c r="C1809" s="879" t="s">
        <v>261</v>
      </c>
      <c r="D1809" s="1">
        <v>2.6793981481481485E-2</v>
      </c>
      <c r="E1809" s="80" t="s">
        <v>10357</v>
      </c>
      <c r="F1809" s="80" t="s">
        <v>10359</v>
      </c>
      <c r="G1809" s="82">
        <v>0.5585</v>
      </c>
      <c r="H1809" s="334"/>
    </row>
    <row r="1810" spans="1:14" ht="12" customHeight="1" x14ac:dyDescent="0.2">
      <c r="A1810" s="523">
        <v>43309</v>
      </c>
      <c r="B1810" s="879" t="s">
        <v>3755</v>
      </c>
      <c r="C1810" s="879" t="s">
        <v>261</v>
      </c>
      <c r="D1810" s="1">
        <v>2.568287037037037E-2</v>
      </c>
      <c r="E1810" s="80" t="s">
        <v>10357</v>
      </c>
      <c r="F1810" s="80" t="s">
        <v>10358</v>
      </c>
      <c r="G1810" s="82">
        <v>0.62239999999999995</v>
      </c>
      <c r="H1810" s="334">
        <f>D1811-D1810</f>
        <v>4.1666666666666588E-4</v>
      </c>
    </row>
    <row r="1811" spans="1:14" ht="12" customHeight="1" x14ac:dyDescent="0.2">
      <c r="A1811" s="523">
        <v>43288</v>
      </c>
      <c r="B1811" s="1077" t="s">
        <v>3755</v>
      </c>
      <c r="C1811" s="1077" t="s">
        <v>261</v>
      </c>
      <c r="D1811" s="1">
        <v>2.6099537037037036E-2</v>
      </c>
      <c r="E1811" t="s">
        <v>5885</v>
      </c>
      <c r="F1811" t="s">
        <v>10201</v>
      </c>
      <c r="G1811" s="82">
        <v>0.61240000000000006</v>
      </c>
      <c r="H1811" s="334"/>
    </row>
    <row r="1812" spans="1:14" ht="12" customHeight="1" x14ac:dyDescent="0.2">
      <c r="A1812" s="523">
        <v>43288</v>
      </c>
      <c r="B1812" s="1077" t="s">
        <v>1349</v>
      </c>
      <c r="C1812" s="1077" t="s">
        <v>261</v>
      </c>
      <c r="D1812" s="1">
        <v>2.6076388888888885E-2</v>
      </c>
      <c r="E1812" t="s">
        <v>5885</v>
      </c>
      <c r="F1812" t="s">
        <v>3038</v>
      </c>
      <c r="G1812" s="82">
        <v>0.57389999999999997</v>
      </c>
      <c r="H1812" s="334">
        <f>D1813-D1812</f>
        <v>-9.8842592592592558E-3</v>
      </c>
      <c r="I1812" s="80" t="s">
        <v>10220</v>
      </c>
    </row>
    <row r="1813" spans="1:14" ht="12" customHeight="1" x14ac:dyDescent="0.2">
      <c r="A1813" s="523">
        <v>43463</v>
      </c>
      <c r="B1813" s="862" t="s">
        <v>4747</v>
      </c>
      <c r="C1813" s="862" t="s">
        <v>4748</v>
      </c>
      <c r="D1813" s="1">
        <v>1.6192129629629629E-2</v>
      </c>
      <c r="E1813" s="80" t="s">
        <v>5948</v>
      </c>
      <c r="F1813" s="80" t="s">
        <v>11421</v>
      </c>
      <c r="G1813" s="82">
        <v>0.56899999999999995</v>
      </c>
      <c r="H1813" s="334">
        <f>D1814-D1813</f>
        <v>-1.5972222222222238E-3</v>
      </c>
    </row>
    <row r="1814" spans="1:14" ht="12" customHeight="1" x14ac:dyDescent="0.2">
      <c r="A1814" s="523">
        <v>43141</v>
      </c>
      <c r="B1814" s="987" t="s">
        <v>4747</v>
      </c>
      <c r="C1814" s="988" t="s">
        <v>4748</v>
      </c>
      <c r="D1814" s="1">
        <v>1.4594907407407405E-2</v>
      </c>
      <c r="E1814" s="80" t="s">
        <v>5948</v>
      </c>
      <c r="F1814" s="69" t="s">
        <v>9247</v>
      </c>
      <c r="G1814" s="82">
        <v>0.62729999999999997</v>
      </c>
      <c r="H1814" s="334"/>
      <c r="I1814" s="80"/>
      <c r="J1814" t="s">
        <v>9248</v>
      </c>
      <c r="N1814" t="s">
        <v>9251</v>
      </c>
    </row>
    <row r="1815" spans="1:14" ht="12" customHeight="1" x14ac:dyDescent="0.2">
      <c r="A1815" s="523">
        <v>43459</v>
      </c>
      <c r="B1815" s="80" t="s">
        <v>2703</v>
      </c>
      <c r="C1815" s="80" t="s">
        <v>2704</v>
      </c>
      <c r="D1815" s="1">
        <v>2.1979166666666664E-2</v>
      </c>
      <c r="E1815" s="80" t="s">
        <v>6393</v>
      </c>
      <c r="F1815" s="80" t="s">
        <v>11375</v>
      </c>
      <c r="G1815" s="82">
        <v>0.5645</v>
      </c>
      <c r="H1815" s="80"/>
    </row>
    <row r="1816" spans="1:14" ht="12" customHeight="1" x14ac:dyDescent="0.2">
      <c r="A1816" s="523">
        <v>43449</v>
      </c>
      <c r="B1816" s="1029" t="s">
        <v>2703</v>
      </c>
      <c r="C1816" s="1029" t="s">
        <v>2704</v>
      </c>
      <c r="D1816" s="1">
        <v>2.3287037037037037E-2</v>
      </c>
      <c r="E1816" s="80" t="s">
        <v>6393</v>
      </c>
      <c r="F1816" s="80" t="s">
        <v>11295</v>
      </c>
      <c r="G1816" s="82">
        <v>0.53280000000000005</v>
      </c>
      <c r="H1816" s="334">
        <f t="shared" ref="H1816:H1822" si="57">D1817-D1816</f>
        <v>-2.0717592592592593E-3</v>
      </c>
    </row>
    <row r="1817" spans="1:14" ht="12" customHeight="1" x14ac:dyDescent="0.2">
      <c r="A1817" s="34">
        <v>43365</v>
      </c>
      <c r="B1817" s="556" t="s">
        <v>2703</v>
      </c>
      <c r="C1817" s="556" t="s">
        <v>2704</v>
      </c>
      <c r="D1817" s="1">
        <v>2.1215277777777777E-2</v>
      </c>
      <c r="E1817" s="80" t="s">
        <v>6393</v>
      </c>
      <c r="F1817" s="80" t="s">
        <v>10691</v>
      </c>
      <c r="G1817" s="82">
        <v>0.57850000000000001</v>
      </c>
      <c r="H1817" s="334">
        <f t="shared" si="57"/>
        <v>1.0300925925925929E-3</v>
      </c>
    </row>
    <row r="1818" spans="1:14" ht="12" customHeight="1" x14ac:dyDescent="0.2">
      <c r="A1818" s="523">
        <v>43358</v>
      </c>
      <c r="B1818" s="1127" t="s">
        <v>2703</v>
      </c>
      <c r="C1818" s="1127" t="s">
        <v>2704</v>
      </c>
      <c r="D1818" s="1">
        <v>2.224537037037037E-2</v>
      </c>
      <c r="E1818" t="s">
        <v>6393</v>
      </c>
      <c r="F1818" t="s">
        <v>10638</v>
      </c>
      <c r="G1818" s="82">
        <v>0.55779999999999996</v>
      </c>
      <c r="H1818" s="334">
        <f t="shared" si="57"/>
        <v>-3.3564814814814742E-4</v>
      </c>
    </row>
    <row r="1819" spans="1:14" ht="12" customHeight="1" x14ac:dyDescent="0.2">
      <c r="A1819" s="523">
        <v>43267</v>
      </c>
      <c r="B1819" s="1058" t="s">
        <v>2703</v>
      </c>
      <c r="C1819" s="1059" t="s">
        <v>2704</v>
      </c>
      <c r="D1819" s="1">
        <v>2.1909722222222223E-2</v>
      </c>
      <c r="E1819" s="80" t="s">
        <v>2593</v>
      </c>
      <c r="F1819" s="69" t="s">
        <v>6210</v>
      </c>
      <c r="G1819" s="82">
        <v>0.56630000000000003</v>
      </c>
      <c r="H1819" s="334">
        <f t="shared" si="57"/>
        <v>1.6203703703703692E-4</v>
      </c>
      <c r="I1819" s="80"/>
    </row>
    <row r="1820" spans="1:14" ht="12" customHeight="1" x14ac:dyDescent="0.2">
      <c r="A1820" s="523">
        <v>43218</v>
      </c>
      <c r="B1820" s="568" t="s">
        <v>2703</v>
      </c>
      <c r="C1820" s="861" t="s">
        <v>2704</v>
      </c>
      <c r="D1820" s="1">
        <v>2.207175925925926E-2</v>
      </c>
      <c r="E1820" s="80" t="s">
        <v>6393</v>
      </c>
      <c r="F1820" s="69" t="s">
        <v>9684</v>
      </c>
      <c r="G1820" s="82">
        <v>0.56210000000000004</v>
      </c>
      <c r="H1820" s="334">
        <f t="shared" si="57"/>
        <v>1.412037037037038E-3</v>
      </c>
      <c r="I1820" s="80"/>
    </row>
    <row r="1821" spans="1:14" ht="12" customHeight="1" x14ac:dyDescent="0.2">
      <c r="A1821" s="523">
        <v>43190</v>
      </c>
      <c r="B1821" s="1029" t="s">
        <v>2703</v>
      </c>
      <c r="C1821" s="1030" t="s">
        <v>2704</v>
      </c>
      <c r="D1821" s="1">
        <v>2.3483796296296298E-2</v>
      </c>
      <c r="E1821" s="80" t="s">
        <v>5948</v>
      </c>
      <c r="F1821" s="69" t="s">
        <v>9523</v>
      </c>
      <c r="G1821" s="82">
        <v>0.52829999999999999</v>
      </c>
      <c r="H1821" s="334">
        <f t="shared" si="57"/>
        <v>-1.8865740740740752E-3</v>
      </c>
      <c r="I1821" s="80"/>
    </row>
    <row r="1822" spans="1:14" ht="12" customHeight="1" x14ac:dyDescent="0.2">
      <c r="A1822" s="523">
        <v>43148</v>
      </c>
      <c r="B1822" s="1289" t="s">
        <v>2703</v>
      </c>
      <c r="C1822" s="1290" t="s">
        <v>2704</v>
      </c>
      <c r="D1822" s="54">
        <v>2.1597222222222223E-2</v>
      </c>
      <c r="E1822" s="53" t="s">
        <v>6393</v>
      </c>
      <c r="F1822" s="96" t="s">
        <v>9352</v>
      </c>
      <c r="G1822" s="82">
        <v>0.56999999999999995</v>
      </c>
      <c r="H1822" s="334">
        <f t="shared" si="57"/>
        <v>2.3148148148147835E-4</v>
      </c>
    </row>
    <row r="1823" spans="1:14" ht="12" customHeight="1" x14ac:dyDescent="0.2">
      <c r="A1823" s="523">
        <v>43134</v>
      </c>
      <c r="B1823" s="985" t="s">
        <v>2703</v>
      </c>
      <c r="C1823" s="986" t="s">
        <v>2704</v>
      </c>
      <c r="D1823" s="1">
        <v>2.1828703703703701E-2</v>
      </c>
      <c r="E1823" s="80" t="s">
        <v>6393</v>
      </c>
      <c r="F1823" s="69" t="s">
        <v>9199</v>
      </c>
      <c r="G1823" s="82">
        <v>0.56100000000000005</v>
      </c>
      <c r="H1823" s="334"/>
      <c r="I1823" s="80"/>
    </row>
    <row r="1824" spans="1:14" ht="12" customHeight="1" x14ac:dyDescent="0.2">
      <c r="A1824" s="34">
        <v>43365</v>
      </c>
      <c r="B1824" s="556" t="s">
        <v>4481</v>
      </c>
      <c r="C1824" s="556" t="s">
        <v>4482</v>
      </c>
      <c r="D1824" s="1">
        <v>1.3125E-2</v>
      </c>
      <c r="E1824" s="80" t="s">
        <v>4004</v>
      </c>
      <c r="F1824" s="80" t="s">
        <v>10732</v>
      </c>
      <c r="G1824" s="82">
        <v>0.83420000000000005</v>
      </c>
      <c r="H1824" s="334"/>
    </row>
    <row r="1825" spans="1:10" ht="12" customHeight="1" x14ac:dyDescent="0.2">
      <c r="A1825" s="523">
        <v>43169</v>
      </c>
      <c r="B1825" s="862" t="s">
        <v>5649</v>
      </c>
      <c r="C1825" s="863" t="s">
        <v>8925</v>
      </c>
      <c r="D1825" s="1">
        <v>1.9247685185185184E-2</v>
      </c>
      <c r="E1825" s="80" t="s">
        <v>1822</v>
      </c>
      <c r="F1825" s="69" t="s">
        <v>9425</v>
      </c>
      <c r="G1825" s="82">
        <v>0.5544</v>
      </c>
      <c r="H1825" s="334">
        <f>D1826-D1825</f>
        <v>7.6388888888889034E-4</v>
      </c>
      <c r="I1825" s="80"/>
    </row>
    <row r="1826" spans="1:10" ht="12" customHeight="1" x14ac:dyDescent="0.2">
      <c r="A1826" s="523">
        <v>43162</v>
      </c>
      <c r="B1826" s="879" t="s">
        <v>5649</v>
      </c>
      <c r="C1826" s="880" t="s">
        <v>8925</v>
      </c>
      <c r="D1826" s="1">
        <v>2.0011574074074074E-2</v>
      </c>
      <c r="E1826" s="80" t="s">
        <v>1822</v>
      </c>
      <c r="F1826" s="69" t="s">
        <v>9403</v>
      </c>
      <c r="G1826" s="82">
        <v>0.5333</v>
      </c>
      <c r="H1826" s="334">
        <f>D1827-D1826</f>
        <v>-1.1226851851851849E-3</v>
      </c>
      <c r="I1826" s="80"/>
    </row>
    <row r="1827" spans="1:10" ht="12" customHeight="1" x14ac:dyDescent="0.2">
      <c r="A1827" s="523">
        <v>43141</v>
      </c>
      <c r="B1827" s="987" t="s">
        <v>5649</v>
      </c>
      <c r="C1827" s="988" t="s">
        <v>8925</v>
      </c>
      <c r="D1827" s="1">
        <v>1.8888888888888889E-2</v>
      </c>
      <c r="E1827" s="80" t="s">
        <v>1822</v>
      </c>
      <c r="F1827" s="69" t="s">
        <v>9234</v>
      </c>
      <c r="G1827" s="82">
        <v>0.56499999999999995</v>
      </c>
      <c r="H1827" s="334"/>
      <c r="I1827" s="80"/>
      <c r="J1827" t="s">
        <v>9252</v>
      </c>
    </row>
    <row r="1828" spans="1:10" ht="12" customHeight="1" x14ac:dyDescent="0.2">
      <c r="A1828" s="523">
        <v>43442</v>
      </c>
      <c r="B1828" s="972" t="s">
        <v>726</v>
      </c>
      <c r="C1828" s="972" t="s">
        <v>1289</v>
      </c>
      <c r="D1828" s="1">
        <v>1.6319444444444445E-2</v>
      </c>
      <c r="E1828" s="80" t="s">
        <v>444</v>
      </c>
      <c r="F1828" s="80" t="s">
        <v>11234</v>
      </c>
      <c r="G1828" s="82">
        <v>0.79149999999999998</v>
      </c>
      <c r="H1828" s="334">
        <f t="shared" ref="H1828:H1837" si="58">D1829-D1828</f>
        <v>0</v>
      </c>
      <c r="I1828" t="s">
        <v>11235</v>
      </c>
    </row>
    <row r="1829" spans="1:10" ht="12" customHeight="1" x14ac:dyDescent="0.2">
      <c r="A1829" s="523">
        <v>43414</v>
      </c>
      <c r="B1829" s="862" t="s">
        <v>726</v>
      </c>
      <c r="C1829" s="862" t="s">
        <v>1289</v>
      </c>
      <c r="D1829" s="1">
        <v>1.6319444444444445E-2</v>
      </c>
      <c r="E1829" s="80" t="s">
        <v>444</v>
      </c>
      <c r="F1829" s="80" t="s">
        <v>11006</v>
      </c>
      <c r="G1829" s="82">
        <v>0.79149999999999998</v>
      </c>
      <c r="H1829" s="334">
        <f t="shared" si="58"/>
        <v>2.7777777777777748E-3</v>
      </c>
    </row>
    <row r="1830" spans="1:10" ht="12" customHeight="1" x14ac:dyDescent="0.2">
      <c r="A1830" s="523">
        <v>43400</v>
      </c>
      <c r="B1830" s="556" t="s">
        <v>726</v>
      </c>
      <c r="C1830" s="556" t="s">
        <v>1289</v>
      </c>
      <c r="D1830" s="1">
        <v>1.909722222222222E-2</v>
      </c>
      <c r="E1830" s="80" t="s">
        <v>444</v>
      </c>
      <c r="F1830" s="80" t="s">
        <v>10888</v>
      </c>
      <c r="G1830" s="82">
        <v>0.6764</v>
      </c>
      <c r="H1830" s="334">
        <f t="shared" si="58"/>
        <v>-2.5115740740740723E-3</v>
      </c>
    </row>
    <row r="1831" spans="1:10" ht="12" customHeight="1" x14ac:dyDescent="0.2">
      <c r="A1831" s="523">
        <v>43386</v>
      </c>
      <c r="B1831" s="532" t="s">
        <v>726</v>
      </c>
      <c r="C1831" s="532" t="s">
        <v>1289</v>
      </c>
      <c r="D1831" s="1">
        <v>1.6585648148148148E-2</v>
      </c>
      <c r="E1831" s="80" t="s">
        <v>444</v>
      </c>
      <c r="F1831" s="80" t="s">
        <v>10807</v>
      </c>
      <c r="G1831" s="82">
        <v>0.77880000000000005</v>
      </c>
      <c r="H1831" s="334">
        <f t="shared" si="58"/>
        <v>-3.8194444444444517E-4</v>
      </c>
    </row>
    <row r="1832" spans="1:10" ht="12" customHeight="1" x14ac:dyDescent="0.2">
      <c r="A1832" s="34">
        <v>43365</v>
      </c>
      <c r="B1832" s="556" t="s">
        <v>726</v>
      </c>
      <c r="C1832" s="556" t="s">
        <v>1289</v>
      </c>
      <c r="D1832" s="1">
        <v>1.6203703703703703E-2</v>
      </c>
      <c r="E1832" s="80" t="s">
        <v>444</v>
      </c>
      <c r="F1832" s="80" t="s">
        <v>10741</v>
      </c>
      <c r="G1832" s="82">
        <v>0.79709999999999992</v>
      </c>
      <c r="H1832" s="334">
        <f t="shared" si="58"/>
        <v>-3.3564814814814742E-4</v>
      </c>
    </row>
    <row r="1833" spans="1:10" ht="12" customHeight="1" x14ac:dyDescent="0.2">
      <c r="A1833" s="34">
        <v>43309</v>
      </c>
      <c r="B1833" t="s">
        <v>726</v>
      </c>
      <c r="C1833" t="s">
        <v>1289</v>
      </c>
      <c r="D1833" s="1">
        <v>1.5868055555555555E-2</v>
      </c>
      <c r="E1833" s="80" t="s">
        <v>444</v>
      </c>
      <c r="F1833" s="69" t="s">
        <v>10367</v>
      </c>
      <c r="G1833" s="82">
        <v>0.81400000000000006</v>
      </c>
      <c r="H1833" s="334">
        <f t="shared" si="58"/>
        <v>5.5555555555555566E-4</v>
      </c>
    </row>
    <row r="1834" spans="1:10" ht="12" customHeight="1" x14ac:dyDescent="0.2">
      <c r="A1834" s="34">
        <v>43295</v>
      </c>
      <c r="B1834" t="s">
        <v>726</v>
      </c>
      <c r="C1834" t="s">
        <v>1289</v>
      </c>
      <c r="D1834" s="1">
        <v>1.6423611111111111E-2</v>
      </c>
      <c r="E1834" s="80" t="s">
        <v>2430</v>
      </c>
      <c r="F1834" s="69" t="s">
        <v>10370</v>
      </c>
      <c r="G1834" s="82">
        <v>0.78649999999999998</v>
      </c>
      <c r="H1834" s="334">
        <f t="shared" si="58"/>
        <v>-7.8703703703703748E-4</v>
      </c>
    </row>
    <row r="1835" spans="1:10" ht="12" customHeight="1" x14ac:dyDescent="0.2">
      <c r="A1835" s="34">
        <v>43288</v>
      </c>
      <c r="B1835" t="s">
        <v>726</v>
      </c>
      <c r="C1835" t="s">
        <v>1289</v>
      </c>
      <c r="D1835" s="1">
        <v>1.5636574074074074E-2</v>
      </c>
      <c r="E1835" s="80" t="s">
        <v>4496</v>
      </c>
      <c r="F1835" s="69" t="s">
        <v>10368</v>
      </c>
      <c r="G1835" s="82">
        <v>0.82609999999999995</v>
      </c>
      <c r="H1835" s="334">
        <f t="shared" si="58"/>
        <v>2.0833333333333467E-4</v>
      </c>
      <c r="I1835" s="80" t="s">
        <v>10369</v>
      </c>
    </row>
    <row r="1836" spans="1:10" ht="12" customHeight="1" x14ac:dyDescent="0.2">
      <c r="A1836" s="34">
        <v>43281</v>
      </c>
      <c r="B1836" t="s">
        <v>726</v>
      </c>
      <c r="C1836" t="s">
        <v>1289</v>
      </c>
      <c r="D1836" s="1">
        <v>1.5844907407407408E-2</v>
      </c>
      <c r="E1836" s="80" t="s">
        <v>4146</v>
      </c>
      <c r="F1836" s="69" t="s">
        <v>10371</v>
      </c>
      <c r="G1836" s="82">
        <v>0.81520000000000004</v>
      </c>
      <c r="H1836" s="334">
        <f t="shared" si="58"/>
        <v>-3.1250000000000201E-4</v>
      </c>
    </row>
    <row r="1837" spans="1:10" ht="12" customHeight="1" x14ac:dyDescent="0.2">
      <c r="A1837" s="33">
        <v>43260</v>
      </c>
      <c r="B1837" s="532" t="s">
        <v>726</v>
      </c>
      <c r="C1837" s="843" t="s">
        <v>1289</v>
      </c>
      <c r="D1837" s="1">
        <v>1.5532407407407406E-2</v>
      </c>
      <c r="E1837" s="80" t="s">
        <v>444</v>
      </c>
      <c r="F1837" s="69" t="s">
        <v>9832</v>
      </c>
      <c r="G1837" s="82">
        <v>0.83160000000000001</v>
      </c>
      <c r="H1837" s="334">
        <f t="shared" si="58"/>
        <v>-1.5532407407407406E-2</v>
      </c>
      <c r="I1837" s="80"/>
    </row>
  </sheetData>
  <sortState xmlns:xlrd2="http://schemas.microsoft.com/office/spreadsheetml/2017/richdata2" ref="A1026:Z1029">
    <sortCondition ref="C1026:C1029"/>
    <sortCondition ref="B1026:B1029"/>
    <sortCondition descending="1" ref="A1026:A1029"/>
  </sortState>
  <hyperlinks>
    <hyperlink ref="D119" r:id="rId1" display="0@" xr:uid="{4691D0CF-0D06-41AC-8711-34F11AD4FA4F}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1815"/>
  <sheetViews>
    <sheetView topLeftCell="A1724" workbookViewId="0">
      <selection activeCell="I459" sqref="I459"/>
    </sheetView>
  </sheetViews>
  <sheetFormatPr defaultRowHeight="12.75" x14ac:dyDescent="0.2"/>
  <cols>
    <col min="1" max="1" width="11.85546875" customWidth="1"/>
    <col min="2" max="2" width="11.5703125" customWidth="1"/>
    <col min="3" max="3" width="13.7109375" customWidth="1"/>
    <col min="4" max="4" width="7.85546875" customWidth="1"/>
    <col min="5" max="5" width="15" customWidth="1"/>
    <col min="6" max="6" width="26.7109375" customWidth="1"/>
    <col min="7" max="10" width="4.85546875" customWidth="1"/>
    <col min="11" max="11" width="7" customWidth="1"/>
  </cols>
  <sheetData>
    <row r="1" spans="1:13" ht="13.5" customHeight="1" x14ac:dyDescent="0.2">
      <c r="A1" s="523">
        <v>42952</v>
      </c>
      <c r="B1" s="80" t="s">
        <v>3251</v>
      </c>
      <c r="C1" s="334" t="s">
        <v>3252</v>
      </c>
      <c r="D1" s="1">
        <v>1.7175925925925924E-2</v>
      </c>
      <c r="E1" s="80" t="s">
        <v>5095</v>
      </c>
      <c r="F1" s="69" t="s">
        <v>8304</v>
      </c>
      <c r="I1" s="2"/>
      <c r="K1" s="82">
        <v>0.77359999999999995</v>
      </c>
      <c r="M1" s="80"/>
    </row>
    <row r="2" spans="1:13" ht="13.5" customHeight="1" x14ac:dyDescent="0.2">
      <c r="A2" s="523">
        <v>43001</v>
      </c>
      <c r="B2" s="80" t="s">
        <v>3251</v>
      </c>
      <c r="C2" s="334" t="s">
        <v>3252</v>
      </c>
      <c r="D2" s="1">
        <v>1.7650462962962962E-2</v>
      </c>
      <c r="E2" s="80" t="s">
        <v>2711</v>
      </c>
      <c r="F2" s="69" t="s">
        <v>7767</v>
      </c>
      <c r="I2" s="2"/>
      <c r="K2" s="82">
        <v>0.76329999999999998</v>
      </c>
      <c r="M2" s="80"/>
    </row>
    <row r="3" spans="1:13" ht="13.5" customHeight="1" x14ac:dyDescent="0.2">
      <c r="A3" s="523">
        <v>42736</v>
      </c>
      <c r="B3" s="80" t="s">
        <v>4264</v>
      </c>
      <c r="C3" s="334" t="s">
        <v>5239</v>
      </c>
      <c r="D3" s="1">
        <v>1.5613425925925926E-2</v>
      </c>
      <c r="E3" s="80" t="s">
        <v>2431</v>
      </c>
      <c r="F3" s="69" t="s">
        <v>6231</v>
      </c>
      <c r="I3" s="2"/>
      <c r="K3" s="82">
        <v>0.77459999999999996</v>
      </c>
      <c r="M3" s="45">
        <v>900</v>
      </c>
    </row>
    <row r="4" spans="1:13" ht="13.5" customHeight="1" x14ac:dyDescent="0.2">
      <c r="A4" s="523">
        <v>42840</v>
      </c>
      <c r="B4" s="80" t="s">
        <v>4264</v>
      </c>
      <c r="C4" s="334" t="s">
        <v>5239</v>
      </c>
      <c r="D4" s="1">
        <v>1.5740740740740743E-2</v>
      </c>
      <c r="E4" t="s">
        <v>527</v>
      </c>
      <c r="F4" s="69" t="s">
        <v>7767</v>
      </c>
      <c r="I4" s="2"/>
      <c r="K4" s="82">
        <v>0.76839999999999997</v>
      </c>
      <c r="M4" s="80"/>
    </row>
    <row r="5" spans="1:13" ht="13.5" customHeight="1" x14ac:dyDescent="0.2">
      <c r="A5" s="523">
        <v>42861</v>
      </c>
      <c r="B5" s="80" t="s">
        <v>4264</v>
      </c>
      <c r="C5" s="334" t="s">
        <v>5239</v>
      </c>
      <c r="D5" s="1">
        <v>1.5196759259259259E-2</v>
      </c>
      <c r="E5" s="80" t="s">
        <v>2431</v>
      </c>
      <c r="F5" s="69" t="s">
        <v>1237</v>
      </c>
      <c r="I5" s="2"/>
      <c r="K5" s="82">
        <v>0.79590000000000005</v>
      </c>
    </row>
    <row r="6" spans="1:13" ht="13.5" customHeight="1" x14ac:dyDescent="0.2">
      <c r="A6" s="523">
        <v>42896</v>
      </c>
      <c r="B6" s="80" t="s">
        <v>4264</v>
      </c>
      <c r="C6" s="334" t="s">
        <v>5239</v>
      </c>
      <c r="D6" s="1">
        <v>1.511574074074074E-2</v>
      </c>
      <c r="E6" s="80" t="s">
        <v>2431</v>
      </c>
      <c r="F6" s="69" t="s">
        <v>8036</v>
      </c>
      <c r="I6" s="2"/>
      <c r="K6" s="82">
        <v>0.81010000000000004</v>
      </c>
      <c r="M6" s="80"/>
    </row>
    <row r="7" spans="1:13" ht="13.5" customHeight="1" x14ac:dyDescent="0.2">
      <c r="A7" s="523">
        <v>42917</v>
      </c>
      <c r="B7" s="80" t="s">
        <v>4264</v>
      </c>
      <c r="C7" s="334" t="s">
        <v>5239</v>
      </c>
      <c r="D7" s="1">
        <v>1.5127314814814816E-2</v>
      </c>
      <c r="E7" s="80" t="s">
        <v>2431</v>
      </c>
      <c r="F7" s="69" t="s">
        <v>1485</v>
      </c>
      <c r="I7" s="2"/>
      <c r="K7" s="82">
        <v>0.8095</v>
      </c>
      <c r="M7" s="80"/>
    </row>
    <row r="8" spans="1:13" ht="13.5" customHeight="1" x14ac:dyDescent="0.2">
      <c r="A8" s="523">
        <v>42952</v>
      </c>
      <c r="B8" s="80" t="s">
        <v>4264</v>
      </c>
      <c r="C8" s="334" t="s">
        <v>5239</v>
      </c>
      <c r="D8" s="1">
        <v>1.4965277777777779E-2</v>
      </c>
      <c r="E8" s="80" t="s">
        <v>5095</v>
      </c>
      <c r="F8" s="69" t="s">
        <v>8301</v>
      </c>
      <c r="I8" s="2"/>
      <c r="K8" s="82">
        <v>0.81830000000000003</v>
      </c>
      <c r="M8" s="80"/>
    </row>
    <row r="9" spans="1:13" ht="13.5" customHeight="1" x14ac:dyDescent="0.2">
      <c r="A9" s="523">
        <v>42959</v>
      </c>
      <c r="B9" s="80" t="s">
        <v>4264</v>
      </c>
      <c r="C9" s="334" t="s">
        <v>5239</v>
      </c>
      <c r="D9" s="1">
        <v>1.5162037037037036E-2</v>
      </c>
      <c r="E9" s="80" t="s">
        <v>527</v>
      </c>
      <c r="F9" s="69" t="s">
        <v>2629</v>
      </c>
      <c r="I9" s="2"/>
      <c r="K9" s="82">
        <v>0.80759999999999998</v>
      </c>
      <c r="M9" s="80"/>
    </row>
    <row r="10" spans="1:13" ht="13.5" customHeight="1" x14ac:dyDescent="0.2">
      <c r="A10" s="523">
        <v>42966</v>
      </c>
      <c r="B10" s="80" t="s">
        <v>4264</v>
      </c>
      <c r="C10" s="334" t="s">
        <v>5239</v>
      </c>
      <c r="D10" s="1">
        <v>1.5023148148148148E-2</v>
      </c>
      <c r="E10" s="80" t="s">
        <v>2431</v>
      </c>
      <c r="F10" s="69" t="s">
        <v>8392</v>
      </c>
      <c r="I10" s="2"/>
      <c r="K10" s="82">
        <v>0.81510000000000005</v>
      </c>
      <c r="M10" s="80"/>
    </row>
    <row r="11" spans="1:13" ht="13.5" customHeight="1" x14ac:dyDescent="0.2">
      <c r="A11" s="523">
        <v>42987</v>
      </c>
      <c r="B11" s="80" t="s">
        <v>4264</v>
      </c>
      <c r="C11" s="334" t="s">
        <v>5239</v>
      </c>
      <c r="D11" s="1">
        <v>1.5000000000000001E-2</v>
      </c>
      <c r="E11" s="80" t="s">
        <v>5095</v>
      </c>
      <c r="F11" s="69" t="s">
        <v>8499</v>
      </c>
      <c r="I11" s="2"/>
      <c r="K11" s="82">
        <v>0.81640000000000001</v>
      </c>
      <c r="M11" s="80"/>
    </row>
    <row r="12" spans="1:13" ht="14.25" customHeight="1" x14ac:dyDescent="0.2">
      <c r="A12" s="523">
        <v>42994</v>
      </c>
      <c r="B12" s="80" t="s">
        <v>4264</v>
      </c>
      <c r="C12" s="334" t="s">
        <v>5239</v>
      </c>
      <c r="D12" s="1">
        <v>1.4988425925925926E-2</v>
      </c>
      <c r="E12" s="80" t="s">
        <v>2449</v>
      </c>
      <c r="F12" s="69" t="s">
        <v>8533</v>
      </c>
      <c r="I12" s="2"/>
      <c r="K12" s="82">
        <v>0.81699999999999995</v>
      </c>
      <c r="M12" s="80"/>
    </row>
    <row r="13" spans="1:13" ht="14.25" customHeight="1" x14ac:dyDescent="0.2">
      <c r="A13" s="523">
        <v>43015</v>
      </c>
      <c r="B13" s="80" t="s">
        <v>4264</v>
      </c>
      <c r="C13" s="334" t="s">
        <v>5239</v>
      </c>
      <c r="D13" s="1">
        <v>1.4907407407407406E-2</v>
      </c>
      <c r="E13" s="80" t="s">
        <v>2431</v>
      </c>
      <c r="F13" s="69" t="s">
        <v>8634</v>
      </c>
      <c r="I13" s="2"/>
      <c r="K13" s="82">
        <v>0.82140000000000002</v>
      </c>
      <c r="M13" s="80"/>
    </row>
    <row r="14" spans="1:13" ht="14.25" customHeight="1" x14ac:dyDescent="0.2">
      <c r="A14" s="523">
        <v>43036</v>
      </c>
      <c r="B14" s="80" t="s">
        <v>4264</v>
      </c>
      <c r="C14" s="334" t="s">
        <v>5239</v>
      </c>
      <c r="D14" s="1">
        <v>1.494212962962963E-2</v>
      </c>
      <c r="E14" s="80" t="s">
        <v>2431</v>
      </c>
      <c r="F14" s="69" t="s">
        <v>8754</v>
      </c>
      <c r="I14" s="2"/>
      <c r="K14" s="82">
        <v>0.81950000000000001</v>
      </c>
      <c r="M14" s="80"/>
    </row>
    <row r="15" spans="1:13" ht="14.25" customHeight="1" x14ac:dyDescent="0.2">
      <c r="A15" s="523">
        <v>43057</v>
      </c>
      <c r="B15" s="80" t="s">
        <v>4264</v>
      </c>
      <c r="C15" s="334" t="s">
        <v>5239</v>
      </c>
      <c r="D15" s="1">
        <v>1.4687499999999999E-2</v>
      </c>
      <c r="E15" s="80" t="s">
        <v>5198</v>
      </c>
      <c r="F15" s="69" t="s">
        <v>2629</v>
      </c>
      <c r="I15" s="2"/>
      <c r="K15" s="82">
        <v>0.8337</v>
      </c>
      <c r="M15" s="80"/>
    </row>
    <row r="16" spans="1:13" ht="14.25" customHeight="1" x14ac:dyDescent="0.2">
      <c r="A16" s="523">
        <v>43078</v>
      </c>
      <c r="B16" s="80" t="s">
        <v>4264</v>
      </c>
      <c r="C16" s="334" t="s">
        <v>5239</v>
      </c>
      <c r="D16" s="1">
        <v>1.5057870370370369E-2</v>
      </c>
      <c r="E16" s="80" t="s">
        <v>5947</v>
      </c>
      <c r="F16" s="69" t="s">
        <v>8904</v>
      </c>
      <c r="I16" s="2"/>
      <c r="K16" s="82">
        <v>0.81320000000000003</v>
      </c>
      <c r="M16" s="80" t="s">
        <v>8920</v>
      </c>
    </row>
    <row r="17" spans="1:29" ht="14.25" customHeight="1" x14ac:dyDescent="0.2">
      <c r="A17" s="523">
        <v>42980</v>
      </c>
      <c r="B17" s="80" t="s">
        <v>8457</v>
      </c>
      <c r="C17" s="334" t="s">
        <v>5239</v>
      </c>
      <c r="D17" s="1">
        <v>1.4560185185185183E-2</v>
      </c>
      <c r="E17" s="80" t="s">
        <v>2431</v>
      </c>
      <c r="F17" s="69" t="s">
        <v>2629</v>
      </c>
      <c r="I17" s="2"/>
      <c r="K17" s="82">
        <v>0.84099999999999997</v>
      </c>
      <c r="M17" s="80"/>
    </row>
    <row r="18" spans="1:29" ht="14.25" customHeight="1" x14ac:dyDescent="0.2">
      <c r="A18" s="523">
        <v>42784</v>
      </c>
      <c r="B18" s="80" t="s">
        <v>2984</v>
      </c>
      <c r="C18" s="334" t="s">
        <v>6326</v>
      </c>
      <c r="D18" s="1">
        <v>1.6331018518518519E-2</v>
      </c>
      <c r="E18" t="s">
        <v>5885</v>
      </c>
      <c r="F18" s="69" t="s">
        <v>6432</v>
      </c>
      <c r="I18" s="2"/>
      <c r="K18" s="82">
        <v>0.79090000000000005</v>
      </c>
    </row>
    <row r="19" spans="1:29" ht="14.25" customHeight="1" x14ac:dyDescent="0.2">
      <c r="A19" s="523">
        <v>42903</v>
      </c>
      <c r="B19" s="80" t="s">
        <v>859</v>
      </c>
      <c r="C19" s="334" t="s">
        <v>860</v>
      </c>
      <c r="D19" s="1">
        <v>1.2858796296296297E-2</v>
      </c>
      <c r="E19" s="80" t="s">
        <v>248</v>
      </c>
      <c r="F19" s="69" t="s">
        <v>8060</v>
      </c>
      <c r="I19" s="2"/>
      <c r="K19" s="82">
        <v>0.80920000000000003</v>
      </c>
      <c r="M19" s="80"/>
    </row>
    <row r="20" spans="1:29" ht="14.25" customHeight="1" x14ac:dyDescent="0.2">
      <c r="A20" s="523">
        <v>42973</v>
      </c>
      <c r="B20" s="80" t="s">
        <v>859</v>
      </c>
      <c r="C20" s="334" t="s">
        <v>860</v>
      </c>
      <c r="D20" s="1">
        <v>1.2326388888888888E-2</v>
      </c>
      <c r="E20" s="80" t="s">
        <v>248</v>
      </c>
      <c r="F20" s="69" t="s">
        <v>8422</v>
      </c>
      <c r="I20" s="2"/>
      <c r="K20" s="82">
        <v>0.85160000000000002</v>
      </c>
      <c r="M20" s="80"/>
    </row>
    <row r="21" spans="1:29" ht="14.25" customHeight="1" x14ac:dyDescent="0.2">
      <c r="A21" s="523">
        <v>43036</v>
      </c>
      <c r="B21" s="80" t="s">
        <v>859</v>
      </c>
      <c r="C21" s="334" t="s">
        <v>860</v>
      </c>
      <c r="D21" s="1">
        <v>1.2083333333333333E-2</v>
      </c>
      <c r="E21" s="80" t="s">
        <v>248</v>
      </c>
      <c r="F21" s="69" t="s">
        <v>821</v>
      </c>
      <c r="I21" s="2"/>
      <c r="K21" s="82">
        <v>0.86880000000000002</v>
      </c>
      <c r="M21" s="80" t="s">
        <v>8744</v>
      </c>
    </row>
    <row r="22" spans="1:29" ht="14.25" customHeight="1" x14ac:dyDescent="0.2">
      <c r="A22" s="523">
        <v>42736</v>
      </c>
      <c r="B22" s="80" t="s">
        <v>3011</v>
      </c>
      <c r="C22" s="334" t="s">
        <v>3012</v>
      </c>
      <c r="D22" s="1">
        <v>1.2997685185185183E-2</v>
      </c>
      <c r="E22" s="80" t="s">
        <v>3009</v>
      </c>
      <c r="F22" s="69" t="s">
        <v>6211</v>
      </c>
      <c r="I22" s="2"/>
      <c r="K22" s="82">
        <v>0.78180000000000005</v>
      </c>
      <c r="M22" s="45">
        <v>1030</v>
      </c>
    </row>
    <row r="23" spans="1:29" ht="14.25" customHeight="1" x14ac:dyDescent="0.2">
      <c r="A23" s="33">
        <v>42770</v>
      </c>
      <c r="B23" s="80" t="s">
        <v>3011</v>
      </c>
      <c r="C23" s="334" t="s">
        <v>3012</v>
      </c>
      <c r="D23" s="1">
        <v>1.2824074074074073E-2</v>
      </c>
      <c r="E23" s="80" t="s">
        <v>3009</v>
      </c>
      <c r="F23" s="69" t="s">
        <v>6350</v>
      </c>
      <c r="I23" s="2"/>
      <c r="K23" s="82">
        <v>0.79239999999999999</v>
      </c>
    </row>
    <row r="24" spans="1:29" ht="14.25" customHeight="1" x14ac:dyDescent="0.2">
      <c r="A24" s="523">
        <v>42840</v>
      </c>
      <c r="B24" s="80" t="s">
        <v>3011</v>
      </c>
      <c r="C24" s="334" t="s">
        <v>3012</v>
      </c>
      <c r="D24" s="1">
        <v>1.3078703703703703E-2</v>
      </c>
      <c r="E24" t="s">
        <v>3009</v>
      </c>
      <c r="F24" s="69" t="s">
        <v>7779</v>
      </c>
      <c r="I24" s="2"/>
      <c r="K24" s="82">
        <v>0.77769999999999995</v>
      </c>
    </row>
    <row r="25" spans="1:29" ht="14.25" customHeight="1" x14ac:dyDescent="0.2">
      <c r="A25" s="523">
        <v>42847</v>
      </c>
      <c r="B25" s="80" t="s">
        <v>3011</v>
      </c>
      <c r="C25" s="334" t="s">
        <v>3012</v>
      </c>
      <c r="D25" s="1">
        <v>1.2627314814814815E-2</v>
      </c>
      <c r="E25" s="80" t="s">
        <v>840</v>
      </c>
      <c r="F25" s="69" t="s">
        <v>55</v>
      </c>
      <c r="I25" s="2"/>
      <c r="K25" s="82">
        <v>0.81120000000000003</v>
      </c>
      <c r="M25" s="80" t="s">
        <v>7803</v>
      </c>
      <c r="O25" s="80" t="s">
        <v>7804</v>
      </c>
    </row>
    <row r="26" spans="1:29" ht="14.25" customHeight="1" x14ac:dyDescent="0.2">
      <c r="A26" s="523">
        <v>42868</v>
      </c>
      <c r="B26" s="80" t="s">
        <v>3011</v>
      </c>
      <c r="C26" s="334" t="s">
        <v>3012</v>
      </c>
      <c r="D26" s="1">
        <v>1.2881944444444446E-2</v>
      </c>
      <c r="E26" s="80" t="s">
        <v>3009</v>
      </c>
      <c r="F26" s="69" t="s">
        <v>7893</v>
      </c>
      <c r="I26" s="2"/>
      <c r="K26" s="82">
        <v>0.79510000000000003</v>
      </c>
      <c r="M26" s="80" t="s">
        <v>7892</v>
      </c>
      <c r="AC26" s="80"/>
    </row>
    <row r="27" spans="1:29" ht="14.25" customHeight="1" x14ac:dyDescent="0.2">
      <c r="A27" s="523">
        <v>42931</v>
      </c>
      <c r="B27" s="80" t="s">
        <v>3011</v>
      </c>
      <c r="C27" s="334" t="s">
        <v>3012</v>
      </c>
      <c r="D27" s="1">
        <v>1.2789351851851852E-2</v>
      </c>
      <c r="E27" s="80" t="s">
        <v>3009</v>
      </c>
      <c r="F27" s="69" t="s">
        <v>8206</v>
      </c>
      <c r="I27" s="2"/>
      <c r="K27" s="82">
        <v>0.80089999999999995</v>
      </c>
      <c r="M27" s="80" t="s">
        <v>8205</v>
      </c>
    </row>
    <row r="28" spans="1:29" ht="14.25" customHeight="1" x14ac:dyDescent="0.2">
      <c r="A28" s="523">
        <v>43001</v>
      </c>
      <c r="B28" s="80" t="s">
        <v>3011</v>
      </c>
      <c r="C28" s="334" t="s">
        <v>3012</v>
      </c>
      <c r="D28" s="1">
        <v>1.2534722222222223E-2</v>
      </c>
      <c r="E28" s="80" t="s">
        <v>3009</v>
      </c>
      <c r="F28" s="69" t="s">
        <v>4885</v>
      </c>
      <c r="I28" s="2"/>
      <c r="K28" s="82">
        <v>0.81720000000000004</v>
      </c>
      <c r="M28" s="80" t="s">
        <v>8572</v>
      </c>
    </row>
    <row r="29" spans="1:29" ht="14.25" customHeight="1" x14ac:dyDescent="0.2">
      <c r="A29" s="523">
        <v>43092</v>
      </c>
      <c r="B29" s="80" t="s">
        <v>3011</v>
      </c>
      <c r="C29" s="334" t="s">
        <v>3012</v>
      </c>
      <c r="D29" s="334">
        <v>1.2569444444444446E-2</v>
      </c>
      <c r="E29" s="80" t="s">
        <v>3009</v>
      </c>
      <c r="F29" s="69" t="s">
        <v>8971</v>
      </c>
      <c r="I29" s="2"/>
      <c r="K29" s="82">
        <v>0.81489999999999996</v>
      </c>
      <c r="M29" s="80"/>
    </row>
    <row r="30" spans="1:29" ht="14.25" customHeight="1" x14ac:dyDescent="0.2">
      <c r="A30" s="523">
        <v>43099</v>
      </c>
      <c r="B30" s="80" t="s">
        <v>3011</v>
      </c>
      <c r="C30" s="334" t="s">
        <v>3012</v>
      </c>
      <c r="D30" s="1">
        <v>1.2870370370370372E-2</v>
      </c>
      <c r="E30" s="80" t="s">
        <v>840</v>
      </c>
      <c r="F30" s="69" t="s">
        <v>9001</v>
      </c>
      <c r="I30" s="2"/>
      <c r="K30" s="82">
        <v>0.79590000000000005</v>
      </c>
      <c r="M30" s="80"/>
    </row>
    <row r="31" spans="1:29" ht="14.25" customHeight="1" x14ac:dyDescent="0.2">
      <c r="A31" s="523">
        <v>42861</v>
      </c>
      <c r="B31" s="80" t="s">
        <v>2478</v>
      </c>
      <c r="C31" s="334" t="s">
        <v>2479</v>
      </c>
      <c r="D31" s="1">
        <v>1.3622685185185184E-2</v>
      </c>
      <c r="E31" s="80" t="s">
        <v>3167</v>
      </c>
      <c r="F31" s="69" t="s">
        <v>7845</v>
      </c>
      <c r="I31" s="2"/>
      <c r="K31" s="82">
        <v>0.75790000000000002</v>
      </c>
      <c r="M31" s="80"/>
    </row>
    <row r="32" spans="1:29" ht="14.25" customHeight="1" x14ac:dyDescent="0.2">
      <c r="A32" s="34">
        <v>42924</v>
      </c>
      <c r="B32" s="80" t="s">
        <v>3535</v>
      </c>
      <c r="C32" s="334" t="s">
        <v>3536</v>
      </c>
      <c r="D32" s="1">
        <v>1.2939814814814814E-2</v>
      </c>
      <c r="E32" s="80" t="s">
        <v>1982</v>
      </c>
      <c r="F32" s="69" t="s">
        <v>8163</v>
      </c>
      <c r="I32" s="2"/>
      <c r="K32" s="82">
        <v>0.76449999999999996</v>
      </c>
      <c r="M32" s="80"/>
    </row>
    <row r="33" spans="1:13" ht="14.25" customHeight="1" x14ac:dyDescent="0.2">
      <c r="A33" s="523">
        <v>42931</v>
      </c>
      <c r="B33" s="80" t="s">
        <v>3535</v>
      </c>
      <c r="C33" s="334" t="s">
        <v>3536</v>
      </c>
      <c r="D33" s="1">
        <v>1.2013888888888888E-2</v>
      </c>
      <c r="E33" s="80" t="s">
        <v>5885</v>
      </c>
      <c r="F33" s="69" t="s">
        <v>8188</v>
      </c>
      <c r="I33" s="2"/>
      <c r="K33" s="82">
        <v>0.8256</v>
      </c>
      <c r="M33" s="80"/>
    </row>
    <row r="34" spans="1:13" ht="14.25" customHeight="1" x14ac:dyDescent="0.2">
      <c r="A34" s="523">
        <v>42952</v>
      </c>
      <c r="B34" s="80" t="s">
        <v>3535</v>
      </c>
      <c r="C34" s="334" t="s">
        <v>3536</v>
      </c>
      <c r="D34" s="1">
        <v>1.2430555555555554E-2</v>
      </c>
      <c r="E34" s="80" t="s">
        <v>5095</v>
      </c>
      <c r="F34" s="69" t="s">
        <v>8300</v>
      </c>
      <c r="I34" s="2"/>
      <c r="K34" s="82">
        <v>0.79800000000000004</v>
      </c>
      <c r="M34" s="80"/>
    </row>
    <row r="35" spans="1:13" ht="14.25" customHeight="1" x14ac:dyDescent="0.2">
      <c r="A35" s="523">
        <v>42987</v>
      </c>
      <c r="B35" s="80" t="s">
        <v>3535</v>
      </c>
      <c r="C35" s="334" t="s">
        <v>3536</v>
      </c>
      <c r="D35" s="1">
        <v>1.2337962962962962E-2</v>
      </c>
      <c r="E35" s="80" t="s">
        <v>5885</v>
      </c>
      <c r="F35" s="69" t="s">
        <v>8506</v>
      </c>
      <c r="I35" s="2"/>
      <c r="K35" s="82">
        <v>0.80389999999999995</v>
      </c>
      <c r="M35" s="80"/>
    </row>
    <row r="36" spans="1:13" ht="14.25" customHeight="1" x14ac:dyDescent="0.2">
      <c r="A36" s="523">
        <v>43001</v>
      </c>
      <c r="B36" s="80" t="s">
        <v>3535</v>
      </c>
      <c r="C36" s="334" t="s">
        <v>3536</v>
      </c>
      <c r="D36" s="1">
        <v>1.2199074074074072E-2</v>
      </c>
      <c r="E36" s="80" t="s">
        <v>5885</v>
      </c>
      <c r="F36" s="69" t="s">
        <v>8560</v>
      </c>
      <c r="I36" s="2"/>
      <c r="K36" s="82">
        <v>0.81310000000000004</v>
      </c>
      <c r="M36" s="80"/>
    </row>
    <row r="37" spans="1:13" ht="14.25" customHeight="1" x14ac:dyDescent="0.2">
      <c r="A37" s="523">
        <v>42917</v>
      </c>
      <c r="B37" s="80" t="s">
        <v>3960</v>
      </c>
      <c r="C37" s="334" t="s">
        <v>3961</v>
      </c>
      <c r="D37" s="1">
        <v>1.4212962962962962E-2</v>
      </c>
      <c r="E37" s="80" t="s">
        <v>993</v>
      </c>
      <c r="F37" s="69" t="s">
        <v>1236</v>
      </c>
      <c r="I37" s="2"/>
      <c r="K37" s="82">
        <v>0.75080000000000002</v>
      </c>
      <c r="M37" s="80"/>
    </row>
    <row r="38" spans="1:13" ht="14.25" customHeight="1" x14ac:dyDescent="0.2">
      <c r="A38" s="523">
        <v>42784</v>
      </c>
      <c r="B38" s="80" t="s">
        <v>870</v>
      </c>
      <c r="C38" s="334" t="s">
        <v>871</v>
      </c>
      <c r="D38" s="1">
        <v>1.3900462962962962E-2</v>
      </c>
      <c r="E38" s="80" t="s">
        <v>5453</v>
      </c>
      <c r="F38" s="69" t="s">
        <v>6428</v>
      </c>
      <c r="I38" s="2"/>
      <c r="K38" s="82">
        <v>0.76770000000000005</v>
      </c>
    </row>
    <row r="39" spans="1:13" ht="14.25" customHeight="1" x14ac:dyDescent="0.2">
      <c r="A39" s="523">
        <v>43064</v>
      </c>
      <c r="B39" s="80" t="s">
        <v>870</v>
      </c>
      <c r="C39" s="334" t="s">
        <v>871</v>
      </c>
      <c r="D39" s="1">
        <v>1.4143518518518519E-2</v>
      </c>
      <c r="E39" s="80" t="s">
        <v>5883</v>
      </c>
      <c r="F39" s="69" t="s">
        <v>8836</v>
      </c>
      <c r="I39" s="2"/>
      <c r="K39" s="82">
        <v>0.76100000000000001</v>
      </c>
      <c r="M39" s="80"/>
    </row>
    <row r="40" spans="1:13" ht="14.25" customHeight="1" x14ac:dyDescent="0.2">
      <c r="A40" s="33">
        <v>42805</v>
      </c>
      <c r="B40" s="80" t="s">
        <v>864</v>
      </c>
      <c r="C40" s="334" t="s">
        <v>865</v>
      </c>
      <c r="D40" s="1">
        <v>1.4282407407407409E-2</v>
      </c>
      <c r="E40" s="80" t="s">
        <v>5960</v>
      </c>
      <c r="F40" s="69" t="s">
        <v>4960</v>
      </c>
      <c r="I40" s="2"/>
      <c r="K40" s="82">
        <v>0.78690000000000004</v>
      </c>
      <c r="M40" s="80" t="s">
        <v>7632</v>
      </c>
    </row>
    <row r="41" spans="1:13" ht="14.25" customHeight="1" x14ac:dyDescent="0.2">
      <c r="A41" s="523">
        <v>42819</v>
      </c>
      <c r="B41" s="80" t="s">
        <v>864</v>
      </c>
      <c r="C41" s="334" t="s">
        <v>865</v>
      </c>
      <c r="D41" s="1">
        <v>1.4606481481481482E-2</v>
      </c>
      <c r="E41" s="80" t="s">
        <v>2542</v>
      </c>
      <c r="F41" s="69" t="s">
        <v>7680</v>
      </c>
      <c r="I41" s="2"/>
      <c r="K41" s="82">
        <v>0.76939999999999997</v>
      </c>
      <c r="M41" s="80"/>
    </row>
    <row r="42" spans="1:13" ht="14.25" customHeight="1" x14ac:dyDescent="0.2">
      <c r="A42" s="523">
        <v>42833</v>
      </c>
      <c r="B42" s="80" t="s">
        <v>864</v>
      </c>
      <c r="C42" s="334" t="s">
        <v>865</v>
      </c>
      <c r="D42" s="1">
        <v>1.4351851851851852E-2</v>
      </c>
      <c r="E42" s="80" t="s">
        <v>3072</v>
      </c>
      <c r="F42" s="69" t="s">
        <v>7745</v>
      </c>
      <c r="I42" s="2"/>
      <c r="K42" s="82">
        <v>0.78310000000000002</v>
      </c>
    </row>
    <row r="43" spans="1:13" ht="14.25" customHeight="1" x14ac:dyDescent="0.2">
      <c r="A43" s="523">
        <v>42861</v>
      </c>
      <c r="B43" s="80" t="s">
        <v>864</v>
      </c>
      <c r="C43" s="334" t="s">
        <v>865</v>
      </c>
      <c r="D43" s="1">
        <v>1.4421296296296295E-2</v>
      </c>
      <c r="E43" s="80" t="s">
        <v>2431</v>
      </c>
      <c r="F43" s="69" t="s">
        <v>7842</v>
      </c>
      <c r="I43" s="2"/>
      <c r="K43" s="82">
        <v>0.77929999999999999</v>
      </c>
    </row>
    <row r="46" spans="1:13" ht="12.75" customHeight="1" x14ac:dyDescent="0.2">
      <c r="A46" s="332" t="s">
        <v>6279</v>
      </c>
      <c r="B46" s="2"/>
      <c r="C46" s="32"/>
      <c r="D46" s="1"/>
      <c r="F46" s="69"/>
      <c r="I46" s="2"/>
      <c r="K46" s="82"/>
    </row>
    <row r="47" spans="1:13" ht="13.5" customHeight="1" x14ac:dyDescent="0.2">
      <c r="A47" s="523">
        <v>43078</v>
      </c>
      <c r="B47" s="879" t="s">
        <v>8922</v>
      </c>
      <c r="C47" s="880" t="s">
        <v>8923</v>
      </c>
      <c r="D47" s="1">
        <v>2.0555555555555556E-2</v>
      </c>
      <c r="E47" s="80" t="s">
        <v>5095</v>
      </c>
      <c r="F47" s="69" t="s">
        <v>2345</v>
      </c>
      <c r="I47" s="2"/>
      <c r="K47" s="82">
        <v>0.69540000000000002</v>
      </c>
      <c r="M47" s="80"/>
    </row>
    <row r="48" spans="1:13" ht="13.5" customHeight="1" x14ac:dyDescent="0.2">
      <c r="A48" s="523">
        <v>43001</v>
      </c>
      <c r="B48" s="906" t="s">
        <v>4580</v>
      </c>
      <c r="C48" s="907" t="s">
        <v>4581</v>
      </c>
      <c r="D48" s="1">
        <v>2.1215277777777777E-2</v>
      </c>
      <c r="E48" s="80" t="s">
        <v>5947</v>
      </c>
      <c r="F48" s="69" t="s">
        <v>8561</v>
      </c>
      <c r="I48" s="2"/>
      <c r="K48" s="82">
        <v>0.54879999999999995</v>
      </c>
    </row>
    <row r="49" spans="1:13" ht="13.5" customHeight="1" x14ac:dyDescent="0.2">
      <c r="A49" s="523">
        <v>42987</v>
      </c>
      <c r="B49" s="901" t="s">
        <v>4580</v>
      </c>
      <c r="C49" s="902" t="s">
        <v>4581</v>
      </c>
      <c r="D49" s="1">
        <v>2.0497685185185185E-2</v>
      </c>
      <c r="E49" s="80" t="s">
        <v>5883</v>
      </c>
      <c r="F49" s="69" t="s">
        <v>8495</v>
      </c>
      <c r="I49" s="2"/>
      <c r="K49" s="82">
        <v>0.56799999999999995</v>
      </c>
      <c r="M49" s="80"/>
    </row>
    <row r="50" spans="1:13" ht="13.5" customHeight="1" x14ac:dyDescent="0.2">
      <c r="A50" s="523">
        <v>42959</v>
      </c>
      <c r="B50" s="80" t="s">
        <v>4580</v>
      </c>
      <c r="C50" s="334" t="s">
        <v>4581</v>
      </c>
      <c r="D50" s="1">
        <v>2.146990740740741E-2</v>
      </c>
      <c r="E50" s="80" t="s">
        <v>5947</v>
      </c>
      <c r="F50" s="69" t="s">
        <v>8341</v>
      </c>
      <c r="I50" s="2"/>
      <c r="K50" s="82">
        <v>0.53580000000000005</v>
      </c>
    </row>
    <row r="51" spans="1:13" ht="13.5" customHeight="1" x14ac:dyDescent="0.2">
      <c r="A51" s="523">
        <v>42952</v>
      </c>
      <c r="B51" s="80" t="s">
        <v>4580</v>
      </c>
      <c r="C51" s="334" t="s">
        <v>4581</v>
      </c>
      <c r="D51" s="1">
        <v>1.996527777777778E-2</v>
      </c>
      <c r="E51" s="80" t="s">
        <v>5095</v>
      </c>
      <c r="F51" s="69" t="s">
        <v>8411</v>
      </c>
      <c r="I51" s="2"/>
      <c r="K51" s="82">
        <v>0.57999999999999996</v>
      </c>
      <c r="M51" s="80"/>
    </row>
    <row r="52" spans="1:13" ht="13.5" customHeight="1" x14ac:dyDescent="0.2">
      <c r="A52" s="523">
        <v>42798</v>
      </c>
      <c r="B52" s="80" t="s">
        <v>4580</v>
      </c>
      <c r="C52" s="334" t="s">
        <v>4581</v>
      </c>
      <c r="D52" s="1">
        <v>2.3310185185185187E-2</v>
      </c>
      <c r="E52" s="80" t="s">
        <v>1982</v>
      </c>
      <c r="F52" s="69" t="s">
        <v>7573</v>
      </c>
      <c r="I52" s="2"/>
      <c r="K52" s="82">
        <v>0.49349999999999999</v>
      </c>
      <c r="M52" s="80"/>
    </row>
    <row r="53" spans="1:13" ht="13.5" customHeight="1" x14ac:dyDescent="0.2">
      <c r="A53" s="523">
        <v>43099</v>
      </c>
      <c r="B53" s="601" t="s">
        <v>868</v>
      </c>
      <c r="C53" s="958" t="s">
        <v>869</v>
      </c>
      <c r="D53" s="1">
        <v>2.3912037037037034E-2</v>
      </c>
      <c r="E53" s="80" t="s">
        <v>5544</v>
      </c>
      <c r="F53" s="69" t="s">
        <v>9004</v>
      </c>
      <c r="I53" s="2"/>
      <c r="K53" s="82">
        <v>0.64329999999999998</v>
      </c>
    </row>
    <row r="54" spans="1:13" ht="13.5" customHeight="1" x14ac:dyDescent="0.2">
      <c r="A54" s="965">
        <v>43094</v>
      </c>
      <c r="B54" s="962" t="s">
        <v>868</v>
      </c>
      <c r="C54" s="963" t="s">
        <v>869</v>
      </c>
      <c r="D54" s="1">
        <v>2.3344907407407408E-2</v>
      </c>
      <c r="E54" s="80" t="s">
        <v>5885</v>
      </c>
      <c r="F54" s="69" t="s">
        <v>8978</v>
      </c>
      <c r="I54" s="2"/>
      <c r="K54" s="82">
        <v>0.65239999999999998</v>
      </c>
    </row>
    <row r="55" spans="1:13" ht="13.5" customHeight="1" x14ac:dyDescent="0.2">
      <c r="A55" s="523">
        <v>43092</v>
      </c>
      <c r="B55" s="568" t="s">
        <v>868</v>
      </c>
      <c r="C55" s="861" t="s">
        <v>869</v>
      </c>
      <c r="D55" s="334">
        <v>2.4062500000000001E-2</v>
      </c>
      <c r="E55" s="80" t="s">
        <v>5544</v>
      </c>
      <c r="F55" s="69" t="s">
        <v>8962</v>
      </c>
      <c r="I55" s="2"/>
      <c r="K55" s="82">
        <v>0.63919999999999999</v>
      </c>
    </row>
    <row r="56" spans="1:13" ht="13.5" customHeight="1" x14ac:dyDescent="0.2">
      <c r="A56" s="523">
        <v>43071</v>
      </c>
      <c r="B56" s="556" t="s">
        <v>868</v>
      </c>
      <c r="C56" s="950" t="s">
        <v>869</v>
      </c>
      <c r="D56" s="1">
        <v>2.4733796296296295E-2</v>
      </c>
      <c r="E56" s="80" t="s">
        <v>5544</v>
      </c>
      <c r="F56" s="69" t="s">
        <v>8873</v>
      </c>
      <c r="I56" s="2"/>
      <c r="K56" s="82">
        <v>0.62190000000000001</v>
      </c>
    </row>
    <row r="57" spans="1:13" ht="13.5" customHeight="1" x14ac:dyDescent="0.2">
      <c r="A57" s="523">
        <v>43064</v>
      </c>
      <c r="B57" s="869" t="s">
        <v>868</v>
      </c>
      <c r="C57" s="903" t="s">
        <v>869</v>
      </c>
      <c r="D57" s="1">
        <v>2.3206018518518515E-2</v>
      </c>
      <c r="E57" s="80" t="s">
        <v>5883</v>
      </c>
      <c r="F57" s="69" t="s">
        <v>8829</v>
      </c>
      <c r="I57" s="2"/>
      <c r="K57" s="82">
        <v>0.66279999999999994</v>
      </c>
    </row>
    <row r="58" spans="1:13" ht="13.5" customHeight="1" x14ac:dyDescent="0.2">
      <c r="A58" s="523">
        <v>43057</v>
      </c>
      <c r="B58" s="940" t="s">
        <v>868</v>
      </c>
      <c r="C58" s="941" t="s">
        <v>869</v>
      </c>
      <c r="D58" s="1">
        <v>2.2488425925925926E-2</v>
      </c>
      <c r="E58" s="80" t="s">
        <v>5544</v>
      </c>
      <c r="F58" s="69" t="s">
        <v>8794</v>
      </c>
      <c r="I58" s="2"/>
      <c r="K58" s="82">
        <v>0.68400000000000005</v>
      </c>
    </row>
    <row r="59" spans="1:13" ht="13.5" customHeight="1" x14ac:dyDescent="0.2">
      <c r="A59" s="523">
        <v>43050</v>
      </c>
      <c r="B59" s="532" t="s">
        <v>868</v>
      </c>
      <c r="C59" s="843" t="s">
        <v>869</v>
      </c>
      <c r="D59" s="1">
        <v>2.2199074074074076E-2</v>
      </c>
      <c r="E59" s="80" t="s">
        <v>5544</v>
      </c>
      <c r="F59" s="69" t="s">
        <v>8774</v>
      </c>
      <c r="I59" s="2"/>
      <c r="K59" s="82">
        <v>0.69289999999999996</v>
      </c>
    </row>
    <row r="60" spans="1:13" ht="13.5" customHeight="1" x14ac:dyDescent="0.2">
      <c r="A60" s="523">
        <v>43043</v>
      </c>
      <c r="B60" s="936" t="s">
        <v>868</v>
      </c>
      <c r="C60" s="937" t="s">
        <v>869</v>
      </c>
      <c r="D60" s="1">
        <v>2.3715277777777776E-2</v>
      </c>
      <c r="E60" s="80" t="s">
        <v>5544</v>
      </c>
      <c r="F60" s="69" t="s">
        <v>8757</v>
      </c>
      <c r="I60" s="2"/>
      <c r="K60" s="82">
        <v>0.64859999999999995</v>
      </c>
    </row>
    <row r="61" spans="1:13" ht="13.5" customHeight="1" x14ac:dyDescent="0.2">
      <c r="A61" s="523">
        <v>43036</v>
      </c>
      <c r="B61" s="934" t="s">
        <v>868</v>
      </c>
      <c r="C61" s="935" t="s">
        <v>869</v>
      </c>
      <c r="D61" s="1">
        <v>2.255787037037037E-2</v>
      </c>
      <c r="E61" s="80" t="s">
        <v>5544</v>
      </c>
      <c r="F61" s="69" t="s">
        <v>8737</v>
      </c>
      <c r="I61" s="2"/>
      <c r="K61" s="82">
        <v>0.68189999999999995</v>
      </c>
    </row>
    <row r="62" spans="1:13" ht="13.5" customHeight="1" x14ac:dyDescent="0.2">
      <c r="A62" s="523">
        <v>43029</v>
      </c>
      <c r="B62" s="901" t="s">
        <v>868</v>
      </c>
      <c r="C62" s="902" t="s">
        <v>869</v>
      </c>
      <c r="D62" s="1">
        <v>2.2766203703703702E-2</v>
      </c>
      <c r="E62" s="80" t="s">
        <v>8705</v>
      </c>
      <c r="F62" s="69" t="s">
        <v>8706</v>
      </c>
      <c r="I62" s="2"/>
      <c r="K62" s="82">
        <v>0.67769999999999997</v>
      </c>
    </row>
    <row r="63" spans="1:13" ht="13.5" customHeight="1" x14ac:dyDescent="0.2">
      <c r="A63" s="523">
        <v>43022</v>
      </c>
      <c r="B63" s="930" t="s">
        <v>868</v>
      </c>
      <c r="C63" s="931" t="s">
        <v>869</v>
      </c>
      <c r="D63" s="1">
        <v>2.4467592592592593E-2</v>
      </c>
      <c r="E63" s="80" t="s">
        <v>5544</v>
      </c>
      <c r="F63" s="69" t="s">
        <v>8675</v>
      </c>
      <c r="I63" s="2"/>
      <c r="K63" s="82">
        <v>0.62870000000000004</v>
      </c>
    </row>
    <row r="64" spans="1:13" ht="13.5" customHeight="1" x14ac:dyDescent="0.2">
      <c r="A64" s="523">
        <v>43015</v>
      </c>
      <c r="B64" s="923" t="s">
        <v>868</v>
      </c>
      <c r="C64" s="924" t="s">
        <v>869</v>
      </c>
      <c r="D64" s="1">
        <v>2.3773148148148151E-2</v>
      </c>
      <c r="E64" s="80" t="s">
        <v>5544</v>
      </c>
      <c r="F64" s="69" t="s">
        <v>8622</v>
      </c>
      <c r="I64" s="2"/>
      <c r="K64" s="82">
        <v>0.64700000000000002</v>
      </c>
    </row>
    <row r="65" spans="1:13" ht="13.5" customHeight="1" x14ac:dyDescent="0.2">
      <c r="A65" s="523">
        <v>43008</v>
      </c>
      <c r="B65" s="532" t="s">
        <v>868</v>
      </c>
      <c r="C65" s="843" t="s">
        <v>869</v>
      </c>
      <c r="D65" s="1">
        <v>2.3032407407407404E-2</v>
      </c>
      <c r="E65" s="80" t="s">
        <v>5544</v>
      </c>
      <c r="F65" s="69" t="s">
        <v>8602</v>
      </c>
      <c r="I65" s="2"/>
      <c r="K65" s="82">
        <v>0.66779999999999995</v>
      </c>
    </row>
    <row r="66" spans="1:13" ht="13.5" customHeight="1" x14ac:dyDescent="0.2">
      <c r="A66" s="523">
        <v>43001</v>
      </c>
      <c r="B66" s="906" t="s">
        <v>868</v>
      </c>
      <c r="C66" s="907" t="s">
        <v>869</v>
      </c>
      <c r="D66" s="1">
        <v>2.3796296296296298E-2</v>
      </c>
      <c r="E66" s="80" t="s">
        <v>5544</v>
      </c>
      <c r="F66" s="69" t="s">
        <v>8551</v>
      </c>
      <c r="I66" s="2"/>
      <c r="K66" s="82">
        <v>0.64639999999999997</v>
      </c>
      <c r="M66" s="80"/>
    </row>
    <row r="67" spans="1:13" ht="13.5" customHeight="1" x14ac:dyDescent="0.2">
      <c r="A67" s="523">
        <v>42994</v>
      </c>
      <c r="B67" s="869" t="s">
        <v>868</v>
      </c>
      <c r="C67" s="903" t="s">
        <v>869</v>
      </c>
      <c r="D67" s="1">
        <v>2.508101851851852E-2</v>
      </c>
      <c r="E67" s="80" t="s">
        <v>5544</v>
      </c>
      <c r="F67" s="69" t="s">
        <v>8526</v>
      </c>
      <c r="I67" s="2"/>
      <c r="K67" s="82">
        <v>0.61329999999999996</v>
      </c>
      <c r="M67" s="80"/>
    </row>
    <row r="68" spans="1:13" ht="13.5" customHeight="1" x14ac:dyDescent="0.2">
      <c r="A68" s="523">
        <v>42987</v>
      </c>
      <c r="B68" s="532" t="s">
        <v>868</v>
      </c>
      <c r="C68" s="843" t="s">
        <v>869</v>
      </c>
      <c r="D68" s="1">
        <v>2.7916666666666669E-2</v>
      </c>
      <c r="E68" s="80" t="s">
        <v>5544</v>
      </c>
      <c r="F68" s="69" t="s">
        <v>8503</v>
      </c>
      <c r="I68" s="2"/>
      <c r="K68" s="82">
        <v>0.55100000000000005</v>
      </c>
    </row>
    <row r="69" spans="1:13" ht="13.5" customHeight="1" x14ac:dyDescent="0.2">
      <c r="A69" s="523">
        <v>42980</v>
      </c>
      <c r="B69" s="837" t="s">
        <v>868</v>
      </c>
      <c r="C69" s="842" t="s">
        <v>869</v>
      </c>
      <c r="D69" s="334" t="s">
        <v>787</v>
      </c>
      <c r="E69" s="80" t="s">
        <v>5453</v>
      </c>
      <c r="F69" s="69" t="s">
        <v>5699</v>
      </c>
      <c r="I69" s="2"/>
      <c r="K69" s="82"/>
      <c r="M69" s="80"/>
    </row>
    <row r="70" spans="1:13" ht="13.5" customHeight="1" x14ac:dyDescent="0.2">
      <c r="A70" s="523">
        <v>42973</v>
      </c>
      <c r="B70" s="862" t="s">
        <v>868</v>
      </c>
      <c r="C70" s="863" t="s">
        <v>869</v>
      </c>
      <c r="D70" s="1">
        <v>2.2303240740740738E-2</v>
      </c>
      <c r="E70" s="80" t="s">
        <v>5544</v>
      </c>
      <c r="F70" s="69" t="s">
        <v>8427</v>
      </c>
      <c r="I70" s="2"/>
      <c r="K70" s="82">
        <v>0.68969999999999998</v>
      </c>
    </row>
    <row r="71" spans="1:13" ht="13.5" customHeight="1" x14ac:dyDescent="0.2">
      <c r="A71" s="523">
        <v>42966</v>
      </c>
      <c r="B71" s="879" t="s">
        <v>868</v>
      </c>
      <c r="C71" s="880" t="s">
        <v>869</v>
      </c>
      <c r="D71" s="1">
        <v>2.2129629629629628E-2</v>
      </c>
      <c r="E71" s="80" t="s">
        <v>5544</v>
      </c>
      <c r="F71" s="69" t="s">
        <v>8380</v>
      </c>
      <c r="I71" s="2"/>
      <c r="K71" s="82">
        <v>0.69510000000000005</v>
      </c>
      <c r="M71" s="80"/>
    </row>
    <row r="72" spans="1:13" ht="13.5" customHeight="1" x14ac:dyDescent="0.2">
      <c r="A72" s="523">
        <v>42959</v>
      </c>
      <c r="B72" s="866" t="s">
        <v>868</v>
      </c>
      <c r="C72" s="867" t="s">
        <v>869</v>
      </c>
      <c r="D72" s="1">
        <v>2.3078703703703702E-2</v>
      </c>
      <c r="E72" s="80" t="s">
        <v>5544</v>
      </c>
      <c r="F72" s="69" t="s">
        <v>8343</v>
      </c>
      <c r="I72" s="2"/>
      <c r="K72" s="82">
        <v>0.66649999999999998</v>
      </c>
      <c r="M72" s="80"/>
    </row>
    <row r="73" spans="1:13" ht="13.5" customHeight="1" x14ac:dyDescent="0.2">
      <c r="A73" s="523">
        <v>42952</v>
      </c>
      <c r="B73" s="862" t="s">
        <v>868</v>
      </c>
      <c r="C73" s="863" t="s">
        <v>869</v>
      </c>
      <c r="D73" s="1">
        <v>2.2291666666666668E-2</v>
      </c>
      <c r="E73" s="80" t="s">
        <v>5095</v>
      </c>
      <c r="F73" s="69" t="s">
        <v>8313</v>
      </c>
      <c r="I73" s="2"/>
      <c r="K73" s="82">
        <v>0.69</v>
      </c>
      <c r="M73" s="80" t="s">
        <v>7838</v>
      </c>
    </row>
    <row r="74" spans="1:13" ht="13.5" customHeight="1" x14ac:dyDescent="0.2">
      <c r="A74" s="523">
        <v>42945</v>
      </c>
      <c r="B74" s="568" t="s">
        <v>868</v>
      </c>
      <c r="C74" s="861" t="s">
        <v>869</v>
      </c>
      <c r="D74" s="1">
        <v>2.1365740740740741E-2</v>
      </c>
      <c r="E74" s="80" t="s">
        <v>5544</v>
      </c>
      <c r="F74" s="69" t="s">
        <v>8268</v>
      </c>
      <c r="I74" s="2"/>
      <c r="K74" s="82">
        <v>0.71989999999999998</v>
      </c>
      <c r="M74" s="80"/>
    </row>
    <row r="75" spans="1:13" ht="13.5" customHeight="1" x14ac:dyDescent="0.2">
      <c r="A75" s="523">
        <v>42938</v>
      </c>
      <c r="B75" s="532" t="s">
        <v>868</v>
      </c>
      <c r="C75" s="843" t="s">
        <v>869</v>
      </c>
      <c r="D75" s="1">
        <v>2.1863425925925925E-2</v>
      </c>
      <c r="E75" s="80" t="s">
        <v>5544</v>
      </c>
      <c r="F75" s="69" t="s">
        <v>8235</v>
      </c>
      <c r="I75" s="2"/>
      <c r="K75" s="82">
        <v>0.70350000000000001</v>
      </c>
    </row>
    <row r="76" spans="1:13" ht="13.5" customHeight="1" x14ac:dyDescent="0.2">
      <c r="A76" s="523">
        <v>42931</v>
      </c>
      <c r="B76" s="837" t="s">
        <v>868</v>
      </c>
      <c r="C76" s="842" t="s">
        <v>869</v>
      </c>
      <c r="D76" s="1">
        <v>2.1805555555555554E-2</v>
      </c>
      <c r="E76" s="80" t="s">
        <v>5544</v>
      </c>
      <c r="F76" s="69" t="s">
        <v>8196</v>
      </c>
      <c r="I76" s="2"/>
      <c r="K76" s="82">
        <v>0.70540000000000003</v>
      </c>
    </row>
    <row r="77" spans="1:13" ht="13.5" customHeight="1" x14ac:dyDescent="0.2">
      <c r="A77" s="34">
        <v>42924</v>
      </c>
      <c r="B77" s="80" t="s">
        <v>868</v>
      </c>
      <c r="C77" s="334" t="s">
        <v>869</v>
      </c>
      <c r="D77" s="114">
        <v>2.2291666666666668E-2</v>
      </c>
      <c r="E77" s="80" t="s">
        <v>5544</v>
      </c>
      <c r="F77" s="69" t="s">
        <v>8157</v>
      </c>
      <c r="I77" s="2"/>
      <c r="K77" s="82">
        <v>0.69</v>
      </c>
      <c r="M77" s="80" t="s">
        <v>7971</v>
      </c>
    </row>
    <row r="78" spans="1:13" ht="13.5" customHeight="1" x14ac:dyDescent="0.2">
      <c r="A78" s="523">
        <v>42917</v>
      </c>
      <c r="B78" s="80" t="s">
        <v>868</v>
      </c>
      <c r="C78" s="334" t="s">
        <v>869</v>
      </c>
      <c r="D78" s="1">
        <v>2.1527777777777781E-2</v>
      </c>
      <c r="E78" s="80" t="s">
        <v>5885</v>
      </c>
      <c r="F78" s="69" t="s">
        <v>8112</v>
      </c>
      <c r="I78" s="2"/>
      <c r="K78" s="82">
        <v>0.71450000000000002</v>
      </c>
      <c r="M78" s="80"/>
    </row>
    <row r="79" spans="1:13" ht="13.5" customHeight="1" x14ac:dyDescent="0.2">
      <c r="A79" s="523">
        <v>42910</v>
      </c>
      <c r="B79" s="80" t="s">
        <v>868</v>
      </c>
      <c r="C79" s="334" t="s">
        <v>869</v>
      </c>
      <c r="D79" s="1">
        <v>2.2118055555555557E-2</v>
      </c>
      <c r="E79" s="80" t="s">
        <v>5544</v>
      </c>
      <c r="F79" s="69" t="s">
        <v>8100</v>
      </c>
      <c r="I79" s="2"/>
      <c r="K79" s="82">
        <v>0.69540000000000002</v>
      </c>
      <c r="M79" s="80"/>
    </row>
    <row r="80" spans="1:13" ht="13.5" customHeight="1" x14ac:dyDescent="0.2">
      <c r="A80" s="523">
        <v>42903</v>
      </c>
      <c r="B80" s="80" t="s">
        <v>868</v>
      </c>
      <c r="C80" s="334" t="s">
        <v>869</v>
      </c>
      <c r="D80" s="1">
        <v>2.3761574074074074E-2</v>
      </c>
      <c r="E80" s="80" t="s">
        <v>5544</v>
      </c>
      <c r="F80" s="69" t="s">
        <v>8065</v>
      </c>
      <c r="I80" s="2"/>
      <c r="K80" s="82">
        <v>0.64729999999999999</v>
      </c>
    </row>
    <row r="81" spans="1:13" ht="13.5" customHeight="1" x14ac:dyDescent="0.2">
      <c r="A81" s="523">
        <v>42896</v>
      </c>
      <c r="B81" s="80" t="s">
        <v>868</v>
      </c>
      <c r="C81" s="334" t="s">
        <v>869</v>
      </c>
      <c r="D81" s="1">
        <v>2.2303240740740738E-2</v>
      </c>
      <c r="E81" s="80" t="s">
        <v>5544</v>
      </c>
      <c r="F81" s="69" t="s">
        <v>8027</v>
      </c>
      <c r="I81" s="2"/>
      <c r="K81" s="82">
        <v>0.68969999999999998</v>
      </c>
    </row>
    <row r="82" spans="1:13" ht="13.5" customHeight="1" x14ac:dyDescent="0.2">
      <c r="A82" s="523">
        <v>42889</v>
      </c>
      <c r="B82" s="80" t="s">
        <v>868</v>
      </c>
      <c r="C82" s="334" t="s">
        <v>869</v>
      </c>
      <c r="D82" s="1">
        <v>2.1770833333333336E-2</v>
      </c>
      <c r="E82" t="s">
        <v>5544</v>
      </c>
      <c r="F82" s="69" t="s">
        <v>7970</v>
      </c>
      <c r="I82" s="2"/>
      <c r="K82" s="82">
        <v>0.70650000000000002</v>
      </c>
      <c r="M82" s="80"/>
    </row>
    <row r="83" spans="1:13" ht="13.5" customHeight="1" x14ac:dyDescent="0.2">
      <c r="A83" s="523">
        <v>42882</v>
      </c>
      <c r="B83" s="80" t="s">
        <v>868</v>
      </c>
      <c r="C83" s="334" t="s">
        <v>869</v>
      </c>
      <c r="D83" s="1">
        <v>2.3321759259259261E-2</v>
      </c>
      <c r="E83" s="80" t="s">
        <v>5544</v>
      </c>
      <c r="F83" s="69" t="s">
        <v>7943</v>
      </c>
      <c r="I83" s="2"/>
      <c r="K83" s="82">
        <v>0.65959999999999996</v>
      </c>
      <c r="M83" s="80"/>
    </row>
    <row r="84" spans="1:13" ht="13.5" customHeight="1" x14ac:dyDescent="0.2">
      <c r="A84" s="523">
        <v>42875</v>
      </c>
      <c r="B84" s="80" t="s">
        <v>868</v>
      </c>
      <c r="C84" s="334" t="s">
        <v>869</v>
      </c>
      <c r="D84" s="1">
        <v>2.2685185185185183E-2</v>
      </c>
      <c r="E84" t="s">
        <v>5544</v>
      </c>
      <c r="F84" s="69" t="s">
        <v>7921</v>
      </c>
      <c r="I84" s="2"/>
      <c r="K84" s="82">
        <v>0.67810000000000004</v>
      </c>
    </row>
    <row r="85" spans="1:13" ht="13.5" customHeight="1" x14ac:dyDescent="0.2">
      <c r="A85" s="523">
        <v>42868</v>
      </c>
      <c r="B85" s="80" t="s">
        <v>868</v>
      </c>
      <c r="C85" s="334" t="s">
        <v>869</v>
      </c>
      <c r="D85" s="1">
        <v>2.2291666666666668E-2</v>
      </c>
      <c r="E85" s="80" t="s">
        <v>5544</v>
      </c>
      <c r="F85" s="69" t="s">
        <v>7881</v>
      </c>
      <c r="I85" s="2"/>
      <c r="K85" s="82">
        <v>0.67130000000000001</v>
      </c>
      <c r="M85" s="80"/>
    </row>
    <row r="86" spans="1:13" ht="13.5" customHeight="1" x14ac:dyDescent="0.2">
      <c r="A86" s="523">
        <v>42861</v>
      </c>
      <c r="B86" s="80" t="s">
        <v>868</v>
      </c>
      <c r="C86" s="334" t="s">
        <v>869</v>
      </c>
      <c r="D86" s="1">
        <v>2.1828703703703701E-2</v>
      </c>
      <c r="E86" s="80" t="s">
        <v>5544</v>
      </c>
      <c r="F86" s="69" t="s">
        <v>7837</v>
      </c>
      <c r="I86" s="2"/>
      <c r="K86" s="82">
        <v>0.68559999999999999</v>
      </c>
      <c r="M86" s="80"/>
    </row>
    <row r="87" spans="1:13" ht="13.5" customHeight="1" x14ac:dyDescent="0.2">
      <c r="A87" s="523">
        <v>42854</v>
      </c>
      <c r="B87" s="80" t="s">
        <v>868</v>
      </c>
      <c r="C87" s="334" t="s">
        <v>869</v>
      </c>
      <c r="D87" s="1">
        <v>2.1898148148148149E-2</v>
      </c>
      <c r="E87" s="80" t="s">
        <v>5544</v>
      </c>
      <c r="F87" s="69" t="s">
        <v>7823</v>
      </c>
      <c r="I87" s="2"/>
      <c r="K87" s="82">
        <v>0.68340000000000001</v>
      </c>
    </row>
    <row r="88" spans="1:13" ht="13.5" customHeight="1" x14ac:dyDescent="0.2">
      <c r="A88" s="523">
        <v>42847</v>
      </c>
      <c r="B88" s="80" t="s">
        <v>868</v>
      </c>
      <c r="C88" s="334" t="s">
        <v>869</v>
      </c>
      <c r="D88" s="1">
        <v>2.1979166666666664E-2</v>
      </c>
      <c r="E88" s="80" t="s">
        <v>5456</v>
      </c>
      <c r="F88" s="69" t="s">
        <v>7802</v>
      </c>
      <c r="I88" s="2"/>
      <c r="K88" s="82">
        <v>0.68089999999999995</v>
      </c>
    </row>
    <row r="89" spans="1:13" ht="13.5" customHeight="1" x14ac:dyDescent="0.2">
      <c r="A89" s="523">
        <v>42840</v>
      </c>
      <c r="B89" s="80" t="s">
        <v>868</v>
      </c>
      <c r="C89" s="334" t="s">
        <v>869</v>
      </c>
      <c r="D89" s="1">
        <v>2.2164351851851852E-2</v>
      </c>
      <c r="E89" t="s">
        <v>5544</v>
      </c>
      <c r="F89" s="69" t="s">
        <v>7764</v>
      </c>
      <c r="I89" s="2"/>
      <c r="K89" s="82">
        <v>0.67520000000000002</v>
      </c>
      <c r="M89" s="80"/>
    </row>
    <row r="90" spans="1:13" ht="13.5" customHeight="1" x14ac:dyDescent="0.2">
      <c r="A90" s="523">
        <v>42833</v>
      </c>
      <c r="B90" s="80" t="s">
        <v>868</v>
      </c>
      <c r="C90" s="334" t="s">
        <v>869</v>
      </c>
      <c r="D90" s="1">
        <v>2.1157407407407406E-2</v>
      </c>
      <c r="E90" s="80" t="s">
        <v>5544</v>
      </c>
      <c r="F90" s="69" t="s">
        <v>7738</v>
      </c>
      <c r="I90" s="2"/>
      <c r="K90" s="82">
        <v>0.70730000000000004</v>
      </c>
      <c r="M90" s="80"/>
    </row>
    <row r="91" spans="1:13" ht="13.5" customHeight="1" x14ac:dyDescent="0.2">
      <c r="A91" s="523">
        <v>42826</v>
      </c>
      <c r="B91" s="80" t="s">
        <v>868</v>
      </c>
      <c r="C91" s="334" t="s">
        <v>869</v>
      </c>
      <c r="D91" s="1">
        <v>2.1979166666666664E-2</v>
      </c>
      <c r="E91" s="80" t="s">
        <v>5544</v>
      </c>
      <c r="F91" s="69" t="s">
        <v>7707</v>
      </c>
      <c r="I91" s="2"/>
      <c r="K91" s="82">
        <v>0.68089999999999995</v>
      </c>
      <c r="M91" s="80"/>
    </row>
    <row r="92" spans="1:13" ht="13.5" customHeight="1" x14ac:dyDescent="0.2">
      <c r="A92" s="523">
        <v>42819</v>
      </c>
      <c r="B92" s="80" t="s">
        <v>868</v>
      </c>
      <c r="C92" s="334" t="s">
        <v>869</v>
      </c>
      <c r="D92" s="1">
        <v>2.1550925925925928E-2</v>
      </c>
      <c r="E92" s="80" t="s">
        <v>5544</v>
      </c>
      <c r="F92" s="69" t="s">
        <v>7686</v>
      </c>
      <c r="I92" s="2"/>
      <c r="K92" s="82">
        <v>0.69440000000000002</v>
      </c>
      <c r="M92" s="80"/>
    </row>
    <row r="93" spans="1:13" ht="13.5" customHeight="1" x14ac:dyDescent="0.2">
      <c r="A93" s="523">
        <v>42812</v>
      </c>
      <c r="B93" s="80" t="s">
        <v>868</v>
      </c>
      <c r="C93" s="334" t="s">
        <v>869</v>
      </c>
      <c r="D93" s="334">
        <v>2.3020833333333334E-2</v>
      </c>
      <c r="E93" s="80" t="s">
        <v>5544</v>
      </c>
      <c r="F93" s="69" t="s">
        <v>7643</v>
      </c>
      <c r="I93" s="2"/>
      <c r="K93" s="82">
        <v>0.65010000000000001</v>
      </c>
      <c r="M93" s="80"/>
    </row>
    <row r="94" spans="1:13" ht="13.5" customHeight="1" x14ac:dyDescent="0.2">
      <c r="A94" s="33">
        <v>42805</v>
      </c>
      <c r="B94" s="80" t="s">
        <v>868</v>
      </c>
      <c r="C94" s="334" t="s">
        <v>869</v>
      </c>
      <c r="D94" s="1">
        <v>2.2083333333333333E-2</v>
      </c>
      <c r="E94" t="s">
        <v>5544</v>
      </c>
      <c r="F94" s="69" t="s">
        <v>7615</v>
      </c>
      <c r="I94" s="2"/>
      <c r="K94" s="82">
        <v>0.67769999999999997</v>
      </c>
      <c r="M94" s="80"/>
    </row>
    <row r="95" spans="1:13" ht="13.5" customHeight="1" x14ac:dyDescent="0.2">
      <c r="A95" s="523">
        <v>42798</v>
      </c>
      <c r="B95" t="s">
        <v>868</v>
      </c>
      <c r="C95" s="334" t="s">
        <v>869</v>
      </c>
      <c r="D95" s="1">
        <v>2.1886574074074072E-2</v>
      </c>
      <c r="E95" s="80" t="s">
        <v>5544</v>
      </c>
      <c r="F95" s="69" t="s">
        <v>7586</v>
      </c>
      <c r="I95" s="2"/>
      <c r="K95" s="82">
        <v>0.68379999999999996</v>
      </c>
      <c r="M95" s="80"/>
    </row>
    <row r="96" spans="1:13" ht="13.5" customHeight="1" x14ac:dyDescent="0.2">
      <c r="A96" s="523">
        <v>42791</v>
      </c>
      <c r="B96" s="80" t="s">
        <v>868</v>
      </c>
      <c r="C96" s="334" t="s">
        <v>869</v>
      </c>
      <c r="D96" s="1">
        <v>2.101851851851852E-2</v>
      </c>
      <c r="E96" s="80" t="s">
        <v>5544</v>
      </c>
      <c r="F96" s="69" t="s">
        <v>7555</v>
      </c>
      <c r="I96" s="2"/>
      <c r="K96" s="82">
        <v>0.71199999999999997</v>
      </c>
      <c r="M96" s="80"/>
    </row>
    <row r="97" spans="1:44" ht="13.5" customHeight="1" x14ac:dyDescent="0.2">
      <c r="A97" s="523">
        <v>42784</v>
      </c>
      <c r="B97" s="80" t="s">
        <v>868</v>
      </c>
      <c r="C97" s="334" t="s">
        <v>869</v>
      </c>
      <c r="D97" s="1">
        <v>2.1423611111111112E-2</v>
      </c>
      <c r="E97" s="80" t="s">
        <v>5544</v>
      </c>
      <c r="F97" s="69" t="s">
        <v>6431</v>
      </c>
      <c r="I97" s="2"/>
      <c r="K97" s="82">
        <v>0.69850000000000001</v>
      </c>
      <c r="M97" s="80"/>
    </row>
    <row r="98" spans="1:44" ht="13.5" customHeight="1" x14ac:dyDescent="0.2">
      <c r="A98" s="523">
        <v>42777</v>
      </c>
      <c r="B98" s="80" t="s">
        <v>868</v>
      </c>
      <c r="C98" s="334" t="s">
        <v>869</v>
      </c>
      <c r="D98" s="1">
        <v>2.1701388888888892E-2</v>
      </c>
      <c r="E98" s="80" t="s">
        <v>5544</v>
      </c>
      <c r="F98" s="69" t="s">
        <v>6403</v>
      </c>
      <c r="I98" s="2"/>
      <c r="K98" s="82">
        <v>0.68959999999999999</v>
      </c>
      <c r="M98" s="80"/>
    </row>
    <row r="99" spans="1:44" ht="13.5" customHeight="1" x14ac:dyDescent="0.2">
      <c r="A99" s="33">
        <v>42770</v>
      </c>
      <c r="B99" s="80" t="s">
        <v>868</v>
      </c>
      <c r="C99" s="334" t="s">
        <v>869</v>
      </c>
      <c r="D99" s="1">
        <v>2.2303240740740738E-2</v>
      </c>
      <c r="E99" s="80" t="s">
        <v>5544</v>
      </c>
      <c r="F99" s="69" t="s">
        <v>6338</v>
      </c>
      <c r="I99" s="2"/>
      <c r="K99" s="82">
        <v>0.67100000000000004</v>
      </c>
      <c r="M99" s="80"/>
    </row>
    <row r="100" spans="1:44" ht="13.5" customHeight="1" x14ac:dyDescent="0.2">
      <c r="A100" s="33">
        <v>42763</v>
      </c>
      <c r="B100" s="80" t="s">
        <v>868</v>
      </c>
      <c r="C100" s="334" t="s">
        <v>869</v>
      </c>
      <c r="D100" s="1">
        <v>2.1840277777777778E-2</v>
      </c>
      <c r="E100" s="80" t="s">
        <v>5544</v>
      </c>
      <c r="F100" s="69" t="s">
        <v>6377</v>
      </c>
      <c r="I100" s="2"/>
      <c r="K100" s="82">
        <v>0.68520000000000003</v>
      </c>
      <c r="M100" s="80"/>
    </row>
    <row r="101" spans="1:44" ht="13.5" customHeight="1" x14ac:dyDescent="0.2">
      <c r="A101" s="33">
        <v>42756</v>
      </c>
      <c r="B101" s="80" t="s">
        <v>868</v>
      </c>
      <c r="C101" s="334" t="s">
        <v>869</v>
      </c>
      <c r="D101" s="1">
        <v>2.0844907407407406E-2</v>
      </c>
      <c r="E101" s="80" t="s">
        <v>5544</v>
      </c>
      <c r="F101" s="69" t="s">
        <v>6357</v>
      </c>
      <c r="I101" s="2"/>
      <c r="K101" s="82">
        <v>0.71789999999999998</v>
      </c>
      <c r="M101" s="80"/>
    </row>
    <row r="102" spans="1:44" ht="13.5" customHeight="1" x14ac:dyDescent="0.2">
      <c r="A102" s="523">
        <v>42749</v>
      </c>
      <c r="B102" s="80" t="s">
        <v>868</v>
      </c>
      <c r="C102" s="334" t="s">
        <v>869</v>
      </c>
      <c r="D102" s="1">
        <v>2.119212962962963E-2</v>
      </c>
      <c r="E102" s="80" t="s">
        <v>5544</v>
      </c>
      <c r="F102" s="69" t="s">
        <v>6310</v>
      </c>
      <c r="I102" s="2"/>
      <c r="K102" s="82">
        <v>0.70620000000000005</v>
      </c>
      <c r="M102" s="80"/>
      <c r="AO102" s="942"/>
      <c r="AP102" s="943"/>
      <c r="AQ102" s="944"/>
      <c r="AR102" s="943"/>
    </row>
    <row r="103" spans="1:44" ht="13.5" customHeight="1" x14ac:dyDescent="0.2">
      <c r="A103" s="33">
        <v>42742</v>
      </c>
      <c r="B103" s="80" t="s">
        <v>868</v>
      </c>
      <c r="C103" s="334" t="s">
        <v>869</v>
      </c>
      <c r="D103" s="1">
        <v>2.1770833333333336E-2</v>
      </c>
      <c r="E103" s="80" t="s">
        <v>5544</v>
      </c>
      <c r="F103" s="69" t="s">
        <v>6255</v>
      </c>
      <c r="I103" s="2"/>
      <c r="K103" s="82">
        <v>0.6875</v>
      </c>
      <c r="M103" s="80"/>
    </row>
    <row r="104" spans="1:44" ht="13.5" customHeight="1" x14ac:dyDescent="0.2">
      <c r="A104" s="523">
        <v>43099</v>
      </c>
      <c r="B104" s="601" t="s">
        <v>481</v>
      </c>
      <c r="C104" s="958" t="s">
        <v>4575</v>
      </c>
      <c r="D104" s="1">
        <v>1.832175925925926E-2</v>
      </c>
      <c r="E104" s="80" t="s">
        <v>8897</v>
      </c>
      <c r="F104" s="69" t="s">
        <v>8999</v>
      </c>
      <c r="I104" s="2"/>
      <c r="K104" s="82">
        <v>0.54579999999999995</v>
      </c>
      <c r="M104" t="s">
        <v>8998</v>
      </c>
    </row>
    <row r="105" spans="1:44" ht="13.5" customHeight="1" x14ac:dyDescent="0.2">
      <c r="A105" s="523">
        <v>43036</v>
      </c>
      <c r="B105" s="934" t="s">
        <v>481</v>
      </c>
      <c r="C105" s="935" t="s">
        <v>4575</v>
      </c>
      <c r="D105" s="1">
        <v>1.923611111111111E-2</v>
      </c>
      <c r="E105" s="80" t="s">
        <v>803</v>
      </c>
      <c r="F105" s="69" t="s">
        <v>882</v>
      </c>
      <c r="I105" s="2"/>
      <c r="K105" s="82">
        <v>0.51990000000000003</v>
      </c>
      <c r="M105" s="80"/>
    </row>
    <row r="106" spans="1:44" ht="13.5" customHeight="1" x14ac:dyDescent="0.2">
      <c r="A106" s="523">
        <v>42945</v>
      </c>
      <c r="B106" s="568" t="s">
        <v>1840</v>
      </c>
      <c r="C106" s="861" t="s">
        <v>1841</v>
      </c>
      <c r="D106" s="1">
        <v>1.849537037037037E-2</v>
      </c>
      <c r="E106" s="80" t="s">
        <v>2040</v>
      </c>
      <c r="F106" s="69" t="s">
        <v>8270</v>
      </c>
      <c r="I106" s="2"/>
      <c r="K106" s="82">
        <v>0.55820000000000003</v>
      </c>
      <c r="M106" s="80"/>
    </row>
    <row r="107" spans="1:44" ht="13.5" customHeight="1" x14ac:dyDescent="0.2">
      <c r="A107" s="523">
        <v>42833</v>
      </c>
      <c r="B107" s="53" t="s">
        <v>1840</v>
      </c>
      <c r="C107" s="54" t="s">
        <v>1841</v>
      </c>
      <c r="D107" s="1">
        <v>1.5520833333333333E-2</v>
      </c>
      <c r="E107" s="80" t="s">
        <v>5883</v>
      </c>
      <c r="F107" s="69" t="s">
        <v>7742</v>
      </c>
      <c r="I107" s="2"/>
      <c r="K107" s="82">
        <v>0.6603</v>
      </c>
      <c r="M107" s="80"/>
    </row>
    <row r="108" spans="1:44" ht="13.5" customHeight="1" x14ac:dyDescent="0.2">
      <c r="A108" s="965">
        <v>43094</v>
      </c>
      <c r="B108" s="962" t="s">
        <v>3251</v>
      </c>
      <c r="C108" s="963" t="s">
        <v>3252</v>
      </c>
      <c r="D108" s="1">
        <v>1.8865740740740742E-2</v>
      </c>
      <c r="E108" s="80" t="s">
        <v>4727</v>
      </c>
      <c r="F108" s="69" t="s">
        <v>8984</v>
      </c>
      <c r="I108" s="2"/>
      <c r="K108" s="82">
        <v>0.71409999999999996</v>
      </c>
    </row>
    <row r="109" spans="1:44" ht="13.5" customHeight="1" x14ac:dyDescent="0.2">
      <c r="A109" s="523">
        <v>43092</v>
      </c>
      <c r="B109" s="568" t="s">
        <v>3251</v>
      </c>
      <c r="C109" s="861" t="s">
        <v>3252</v>
      </c>
      <c r="D109" s="1">
        <v>1.8692129629629631E-2</v>
      </c>
      <c r="E109" s="80" t="s">
        <v>4727</v>
      </c>
      <c r="F109" s="69" t="s">
        <v>8976</v>
      </c>
      <c r="I109" s="2"/>
      <c r="K109" s="82">
        <v>0.72070000000000001</v>
      </c>
    </row>
    <row r="110" spans="1:44" ht="13.5" customHeight="1" x14ac:dyDescent="0.2">
      <c r="A110" s="523">
        <v>43071</v>
      </c>
      <c r="B110" s="556" t="s">
        <v>3251</v>
      </c>
      <c r="C110" s="950" t="s">
        <v>3252</v>
      </c>
      <c r="D110" s="1">
        <v>1.7881944444444443E-2</v>
      </c>
      <c r="E110" s="80" t="s">
        <v>5885</v>
      </c>
      <c r="F110" s="69" t="s">
        <v>8868</v>
      </c>
      <c r="I110" s="2"/>
      <c r="K110" s="82">
        <v>0.75339999999999996</v>
      </c>
    </row>
    <row r="111" spans="1:44" ht="13.5" customHeight="1" x14ac:dyDescent="0.2">
      <c r="A111" s="523">
        <v>43064</v>
      </c>
      <c r="B111" s="869" t="s">
        <v>3251</v>
      </c>
      <c r="C111" s="903" t="s">
        <v>3252</v>
      </c>
      <c r="D111" s="1">
        <v>1.8749999999999999E-2</v>
      </c>
      <c r="E111" s="80" t="s">
        <v>4727</v>
      </c>
      <c r="F111" s="69" t="s">
        <v>2086</v>
      </c>
      <c r="I111" s="2"/>
      <c r="K111" s="82">
        <v>0.71850000000000003</v>
      </c>
    </row>
    <row r="112" spans="1:44" ht="13.5" customHeight="1" x14ac:dyDescent="0.2">
      <c r="A112" s="523">
        <v>43057</v>
      </c>
      <c r="B112" s="940" t="s">
        <v>3251</v>
      </c>
      <c r="C112" s="941" t="s">
        <v>3252</v>
      </c>
      <c r="D112" s="1">
        <v>1.8541666666666668E-2</v>
      </c>
      <c r="E112" s="80" t="s">
        <v>4727</v>
      </c>
      <c r="F112" s="97" t="s">
        <v>8804</v>
      </c>
      <c r="G112" s="2"/>
      <c r="I112" s="2"/>
      <c r="K112" s="82">
        <v>0.72660000000000002</v>
      </c>
      <c r="M112" s="865" t="s">
        <v>8927</v>
      </c>
      <c r="N112" s="865"/>
      <c r="O112" s="865"/>
    </row>
    <row r="113" spans="1:15" ht="13.5" customHeight="1" x14ac:dyDescent="0.2">
      <c r="A113" s="523">
        <v>43050</v>
      </c>
      <c r="B113" s="532" t="s">
        <v>3251</v>
      </c>
      <c r="C113" s="843" t="s">
        <v>3252</v>
      </c>
      <c r="D113" s="1">
        <v>1.8206018518518517E-2</v>
      </c>
      <c r="E113" s="80" t="s">
        <v>2593</v>
      </c>
      <c r="F113" s="69" t="s">
        <v>8779</v>
      </c>
      <c r="I113" s="2"/>
      <c r="K113" s="82">
        <v>0.74</v>
      </c>
      <c r="M113" s="80"/>
    </row>
    <row r="114" spans="1:15" ht="13.5" customHeight="1" x14ac:dyDescent="0.2">
      <c r="A114" s="523">
        <v>43043</v>
      </c>
      <c r="B114" s="936" t="s">
        <v>3251</v>
      </c>
      <c r="C114" s="937" t="s">
        <v>3252</v>
      </c>
      <c r="D114" s="1">
        <v>1.8958333333333334E-2</v>
      </c>
      <c r="E114" s="80" t="s">
        <v>4727</v>
      </c>
      <c r="F114" s="69" t="s">
        <v>3190</v>
      </c>
      <c r="I114" s="2"/>
      <c r="K114" s="82">
        <v>0.71060000000000001</v>
      </c>
      <c r="M114" s="80"/>
    </row>
    <row r="115" spans="1:15" ht="13.5" customHeight="1" x14ac:dyDescent="0.2">
      <c r="A115" s="523">
        <v>43008</v>
      </c>
      <c r="B115" s="532" t="s">
        <v>3251</v>
      </c>
      <c r="C115" s="843" t="s">
        <v>3252</v>
      </c>
      <c r="D115" s="1">
        <v>2.164351851851852E-2</v>
      </c>
      <c r="E115" s="80" t="s">
        <v>4727</v>
      </c>
      <c r="F115" s="69" t="s">
        <v>8591</v>
      </c>
      <c r="I115" s="2"/>
      <c r="K115" s="82">
        <v>0.62250000000000005</v>
      </c>
    </row>
    <row r="116" spans="1:15" ht="13.5" customHeight="1" x14ac:dyDescent="0.2">
      <c r="A116" s="523">
        <v>43001</v>
      </c>
      <c r="B116" s="906" t="s">
        <v>3251</v>
      </c>
      <c r="C116" s="907" t="s">
        <v>3252</v>
      </c>
      <c r="D116" s="1">
        <v>1.7650462962962962E-2</v>
      </c>
      <c r="E116" s="80" t="s">
        <v>2711</v>
      </c>
      <c r="F116" s="956" t="s">
        <v>7767</v>
      </c>
      <c r="G116" s="865"/>
      <c r="H116" s="865"/>
      <c r="I116" s="2"/>
      <c r="K116" s="82">
        <v>0.76329999999999998</v>
      </c>
    </row>
    <row r="117" spans="1:15" ht="13.5" customHeight="1" x14ac:dyDescent="0.2">
      <c r="A117" s="33">
        <v>42987</v>
      </c>
      <c r="B117" s="532" t="s">
        <v>3251</v>
      </c>
      <c r="C117" s="843" t="s">
        <v>3252</v>
      </c>
      <c r="D117" s="80" t="s">
        <v>787</v>
      </c>
      <c r="E117" s="80" t="s">
        <v>4727</v>
      </c>
      <c r="F117" s="69" t="s">
        <v>4061</v>
      </c>
      <c r="G117" s="5"/>
      <c r="H117" s="2"/>
      <c r="I117" s="2"/>
      <c r="K117" s="82"/>
      <c r="M117" s="80"/>
    </row>
    <row r="118" spans="1:15" ht="13.5" customHeight="1" x14ac:dyDescent="0.2">
      <c r="A118" s="523">
        <v>42980</v>
      </c>
      <c r="B118" s="837" t="s">
        <v>3251</v>
      </c>
      <c r="C118" s="842" t="s">
        <v>3252</v>
      </c>
      <c r="D118" s="1">
        <v>1.7847222222222223E-2</v>
      </c>
      <c r="E118" s="80" t="s">
        <v>5095</v>
      </c>
      <c r="F118" s="69" t="s">
        <v>8475</v>
      </c>
      <c r="I118" s="2"/>
      <c r="K118" s="82">
        <v>0.75490000000000002</v>
      </c>
      <c r="M118" s="80"/>
    </row>
    <row r="119" spans="1:15" ht="13.5" customHeight="1" x14ac:dyDescent="0.2">
      <c r="A119" s="523">
        <v>42973</v>
      </c>
      <c r="B119" s="862" t="s">
        <v>3251</v>
      </c>
      <c r="C119" s="863" t="s">
        <v>3252</v>
      </c>
      <c r="D119" s="1">
        <v>1.7893518518518517E-2</v>
      </c>
      <c r="E119" s="80" t="s">
        <v>4727</v>
      </c>
      <c r="F119" s="69" t="s">
        <v>4589</v>
      </c>
      <c r="I119" s="2"/>
      <c r="K119" s="82">
        <v>0.75290000000000001</v>
      </c>
    </row>
    <row r="120" spans="1:15" x14ac:dyDescent="0.2">
      <c r="A120" s="523">
        <v>42966</v>
      </c>
      <c r="B120" s="879" t="s">
        <v>3251</v>
      </c>
      <c r="C120" s="880" t="s">
        <v>3252</v>
      </c>
      <c r="D120" s="1">
        <v>1.8229166666666668E-2</v>
      </c>
      <c r="E120" s="80" t="s">
        <v>2825</v>
      </c>
      <c r="F120" s="69" t="s">
        <v>8388</v>
      </c>
      <c r="I120" s="2"/>
      <c r="K120" s="82">
        <v>0.73899999999999999</v>
      </c>
    </row>
    <row r="121" spans="1:15" x14ac:dyDescent="0.2">
      <c r="A121" s="523">
        <v>42959</v>
      </c>
      <c r="B121" s="866" t="s">
        <v>3251</v>
      </c>
      <c r="C121" s="867" t="s">
        <v>3252</v>
      </c>
      <c r="D121" s="1">
        <v>1.7708333333333333E-2</v>
      </c>
      <c r="E121" s="80" t="s">
        <v>993</v>
      </c>
      <c r="F121" s="956" t="s">
        <v>8359</v>
      </c>
      <c r="G121" s="865"/>
      <c r="H121" s="865"/>
      <c r="I121" s="957"/>
      <c r="K121" s="82">
        <v>0.76080000000000003</v>
      </c>
      <c r="M121" s="80" t="s">
        <v>7977</v>
      </c>
    </row>
    <row r="122" spans="1:15" x14ac:dyDescent="0.2">
      <c r="A122" s="523">
        <v>42952</v>
      </c>
      <c r="B122" s="862" t="s">
        <v>3251</v>
      </c>
      <c r="C122" s="863" t="s">
        <v>3252</v>
      </c>
      <c r="D122" s="1">
        <v>1.7175925925925924E-2</v>
      </c>
      <c r="E122" s="80" t="s">
        <v>5095</v>
      </c>
      <c r="F122" s="69" t="s">
        <v>8304</v>
      </c>
      <c r="I122" s="2"/>
      <c r="K122" s="82">
        <v>0.77359999999999995</v>
      </c>
      <c r="M122" s="80"/>
    </row>
    <row r="123" spans="1:15" x14ac:dyDescent="0.2">
      <c r="A123" s="523">
        <v>42945</v>
      </c>
      <c r="B123" s="568" t="s">
        <v>3251</v>
      </c>
      <c r="C123" s="861" t="s">
        <v>3252</v>
      </c>
      <c r="D123" s="1">
        <v>1.9571759259259257E-2</v>
      </c>
      <c r="E123" s="80" t="s">
        <v>5337</v>
      </c>
      <c r="F123" s="69" t="s">
        <v>8269</v>
      </c>
      <c r="I123" s="2"/>
      <c r="K123" s="82">
        <v>0.67889999999999995</v>
      </c>
      <c r="M123" s="80"/>
    </row>
    <row r="124" spans="1:15" x14ac:dyDescent="0.2">
      <c r="A124" s="523">
        <v>42931</v>
      </c>
      <c r="B124" s="837" t="s">
        <v>3251</v>
      </c>
      <c r="C124" s="842" t="s">
        <v>3252</v>
      </c>
      <c r="D124" s="1">
        <v>1.9444444444444445E-2</v>
      </c>
      <c r="E124" s="80" t="s">
        <v>5653</v>
      </c>
      <c r="F124" s="69" t="s">
        <v>8193</v>
      </c>
      <c r="I124" s="2"/>
      <c r="K124" s="82">
        <v>0.68330000000000002</v>
      </c>
    </row>
    <row r="125" spans="1:15" x14ac:dyDescent="0.2">
      <c r="A125" s="34">
        <v>42924</v>
      </c>
      <c r="B125" s="80" t="s">
        <v>3251</v>
      </c>
      <c r="C125" s="334" t="s">
        <v>3252</v>
      </c>
      <c r="D125" s="1">
        <v>1.8912037037037036E-2</v>
      </c>
      <c r="E125" s="80" t="s">
        <v>4936</v>
      </c>
      <c r="F125" s="956" t="s">
        <v>8172</v>
      </c>
      <c r="G125" s="865"/>
      <c r="H125" s="865"/>
      <c r="I125" s="957"/>
      <c r="J125" s="865"/>
      <c r="K125" s="82">
        <v>0.7026</v>
      </c>
    </row>
    <row r="126" spans="1:15" x14ac:dyDescent="0.2">
      <c r="A126" s="523">
        <v>42917</v>
      </c>
      <c r="B126" s="80" t="s">
        <v>3251</v>
      </c>
      <c r="C126" s="334" t="s">
        <v>3252</v>
      </c>
      <c r="D126" s="1">
        <v>1.9629629629629629E-2</v>
      </c>
      <c r="E126" s="80" t="s">
        <v>8116</v>
      </c>
      <c r="F126" s="69" t="s">
        <v>8117</v>
      </c>
      <c r="I126" s="2"/>
      <c r="K126" s="82">
        <v>0.67689999999999995</v>
      </c>
      <c r="M126" s="879" t="s">
        <v>6132</v>
      </c>
      <c r="N126" s="865"/>
      <c r="O126" s="865"/>
    </row>
    <row r="127" spans="1:15" x14ac:dyDescent="0.2">
      <c r="A127" s="523">
        <v>42910</v>
      </c>
      <c r="B127" s="80" t="s">
        <v>3251</v>
      </c>
      <c r="C127" s="334" t="s">
        <v>3252</v>
      </c>
      <c r="D127" s="1">
        <v>1.7824074074074076E-2</v>
      </c>
      <c r="E127" s="80" t="s">
        <v>6393</v>
      </c>
      <c r="F127" s="69" t="s">
        <v>8097</v>
      </c>
      <c r="I127" s="2"/>
      <c r="K127" s="82">
        <v>0.74550000000000005</v>
      </c>
      <c r="M127" s="80"/>
    </row>
    <row r="128" spans="1:15" x14ac:dyDescent="0.2">
      <c r="A128" s="523">
        <v>42903</v>
      </c>
      <c r="B128" s="80" t="s">
        <v>3251</v>
      </c>
      <c r="C128" s="334" t="s">
        <v>3252</v>
      </c>
      <c r="D128" s="1">
        <v>2.071759259259259E-2</v>
      </c>
      <c r="E128" s="80" t="s">
        <v>4727</v>
      </c>
      <c r="F128" s="69" t="s">
        <v>1520</v>
      </c>
      <c r="I128" s="2"/>
      <c r="K128" s="82">
        <v>0.64129999999999998</v>
      </c>
      <c r="M128" s="80"/>
    </row>
    <row r="129" spans="1:13" x14ac:dyDescent="0.2">
      <c r="A129" s="523">
        <v>42896</v>
      </c>
      <c r="B129" s="80" t="s">
        <v>3251</v>
      </c>
      <c r="C129" s="334" t="s">
        <v>3252</v>
      </c>
      <c r="D129" s="1">
        <v>1.7939814814814815E-2</v>
      </c>
      <c r="E129" s="80" t="s">
        <v>4727</v>
      </c>
      <c r="F129" s="69" t="s">
        <v>8034</v>
      </c>
      <c r="I129" s="2"/>
      <c r="K129" s="82">
        <v>0.74060000000000004</v>
      </c>
      <c r="M129" s="80" t="s">
        <v>8305</v>
      </c>
    </row>
    <row r="130" spans="1:13" x14ac:dyDescent="0.2">
      <c r="A130" s="523">
        <v>42889</v>
      </c>
      <c r="B130" s="80" t="s">
        <v>3251</v>
      </c>
      <c r="C130" s="334" t="s">
        <v>3252</v>
      </c>
      <c r="D130" s="1">
        <v>1.7777777777777778E-2</v>
      </c>
      <c r="E130" s="80" t="s">
        <v>5095</v>
      </c>
      <c r="F130" s="69" t="s">
        <v>7976</v>
      </c>
      <c r="I130" s="2"/>
      <c r="K130" s="82">
        <v>0.74739999999999995</v>
      </c>
    </row>
    <row r="131" spans="1:13" x14ac:dyDescent="0.2">
      <c r="A131" s="523">
        <v>42882</v>
      </c>
      <c r="B131" s="80" t="s">
        <v>3251</v>
      </c>
      <c r="C131" s="334" t="s">
        <v>3252</v>
      </c>
      <c r="D131" s="1">
        <v>1.741898148148148E-2</v>
      </c>
      <c r="E131" s="80" t="s">
        <v>5885</v>
      </c>
      <c r="F131" s="69" t="s">
        <v>6172</v>
      </c>
      <c r="I131" s="2"/>
      <c r="K131" s="82">
        <v>0.76280000000000003</v>
      </c>
    </row>
    <row r="132" spans="1:13" x14ac:dyDescent="0.2">
      <c r="A132" s="523">
        <v>42875</v>
      </c>
      <c r="B132" s="80" t="s">
        <v>3251</v>
      </c>
      <c r="C132" s="334" t="s">
        <v>3252</v>
      </c>
      <c r="D132" s="1">
        <v>1.7754629629629631E-2</v>
      </c>
      <c r="E132" s="80" t="s">
        <v>4727</v>
      </c>
      <c r="F132" s="69" t="s">
        <v>7928</v>
      </c>
      <c r="I132" s="2"/>
      <c r="K132" s="82">
        <v>0.74839999999999995</v>
      </c>
      <c r="M132" s="80"/>
    </row>
    <row r="133" spans="1:13" x14ac:dyDescent="0.2">
      <c r="A133" s="523">
        <v>42861</v>
      </c>
      <c r="B133" s="80" t="s">
        <v>3251</v>
      </c>
      <c r="C133" s="334" t="s">
        <v>3252</v>
      </c>
      <c r="D133" s="1">
        <v>3.5497685185185188E-2</v>
      </c>
      <c r="E133" s="80" t="s">
        <v>4727</v>
      </c>
      <c r="F133" s="69" t="s">
        <v>1238</v>
      </c>
      <c r="I133" s="2"/>
      <c r="K133" s="82">
        <v>0.37430000000000002</v>
      </c>
      <c r="M133" s="80"/>
    </row>
    <row r="134" spans="1:13" x14ac:dyDescent="0.2">
      <c r="A134" s="523">
        <v>42847</v>
      </c>
      <c r="B134" s="80" t="s">
        <v>3251</v>
      </c>
      <c r="C134" s="334" t="s">
        <v>3252</v>
      </c>
      <c r="D134" s="1">
        <v>1.7604166666666667E-2</v>
      </c>
      <c r="E134" s="80" t="s">
        <v>5456</v>
      </c>
      <c r="F134" s="956" t="s">
        <v>7807</v>
      </c>
      <c r="G134" s="865"/>
      <c r="H134" s="865"/>
      <c r="I134" s="957"/>
      <c r="K134" s="82">
        <v>0.75480000000000003</v>
      </c>
      <c r="M134" s="80"/>
    </row>
    <row r="135" spans="1:13" x14ac:dyDescent="0.2">
      <c r="A135" s="523">
        <v>42840</v>
      </c>
      <c r="B135" s="80" t="s">
        <v>3251</v>
      </c>
      <c r="C135" s="334" t="s">
        <v>3252</v>
      </c>
      <c r="D135" s="1">
        <v>1.9201388888888889E-2</v>
      </c>
      <c r="E135" s="80" t="s">
        <v>7796</v>
      </c>
      <c r="F135" s="69" t="s">
        <v>7797</v>
      </c>
      <c r="I135" s="2"/>
      <c r="K135" s="82">
        <v>0.69199999999999995</v>
      </c>
      <c r="M135" s="80"/>
    </row>
    <row r="136" spans="1:13" x14ac:dyDescent="0.2">
      <c r="A136" s="523">
        <v>42826</v>
      </c>
      <c r="B136" s="80" t="s">
        <v>3251</v>
      </c>
      <c r="C136" s="334" t="s">
        <v>3252</v>
      </c>
      <c r="D136" s="1">
        <v>1.8703703703703705E-2</v>
      </c>
      <c r="E136" s="80" t="s">
        <v>4727</v>
      </c>
      <c r="F136" s="69" t="s">
        <v>7710</v>
      </c>
      <c r="I136" s="2"/>
      <c r="K136" s="82">
        <v>0.73780000000000001</v>
      </c>
      <c r="M136" s="80"/>
    </row>
    <row r="137" spans="1:13" x14ac:dyDescent="0.2">
      <c r="A137" s="523">
        <v>42819</v>
      </c>
      <c r="B137" s="80" t="s">
        <v>3251</v>
      </c>
      <c r="C137" s="334" t="s">
        <v>3252</v>
      </c>
      <c r="D137" s="1">
        <v>2.0347222222222221E-2</v>
      </c>
      <c r="E137" s="80" t="s">
        <v>1982</v>
      </c>
      <c r="F137" s="69" t="s">
        <v>1243</v>
      </c>
      <c r="I137" s="2"/>
      <c r="K137" s="82">
        <v>0.65300000000000002</v>
      </c>
      <c r="M137" s="80"/>
    </row>
    <row r="138" spans="1:13" x14ac:dyDescent="0.2">
      <c r="A138" s="523">
        <v>42812</v>
      </c>
      <c r="B138" s="80" t="s">
        <v>3251</v>
      </c>
      <c r="C138" s="334" t="s">
        <v>3252</v>
      </c>
      <c r="D138" s="1">
        <v>1.8333333333333333E-2</v>
      </c>
      <c r="E138" s="80" t="s">
        <v>4727</v>
      </c>
      <c r="F138" s="69" t="s">
        <v>5731</v>
      </c>
      <c r="I138" s="2"/>
      <c r="K138" s="82">
        <v>0.72470000000000001</v>
      </c>
      <c r="M138" s="80"/>
    </row>
    <row r="139" spans="1:13" x14ac:dyDescent="0.2">
      <c r="A139" s="33">
        <v>42805</v>
      </c>
      <c r="B139" s="80" t="s">
        <v>3251</v>
      </c>
      <c r="C139" s="334" t="s">
        <v>3252</v>
      </c>
      <c r="D139" s="1">
        <v>1.8032407407407407E-2</v>
      </c>
      <c r="E139" s="80" t="s">
        <v>1401</v>
      </c>
      <c r="F139" s="956" t="s">
        <v>7616</v>
      </c>
      <c r="G139" s="865"/>
      <c r="H139" s="865"/>
      <c r="I139" s="957"/>
      <c r="J139" s="865"/>
      <c r="K139" s="82">
        <v>0.73680000000000001</v>
      </c>
      <c r="M139" s="80"/>
    </row>
    <row r="140" spans="1:13" x14ac:dyDescent="0.2">
      <c r="A140" s="33">
        <v>42770</v>
      </c>
      <c r="B140" s="80" t="s">
        <v>3251</v>
      </c>
      <c r="C140" s="334" t="s">
        <v>3252</v>
      </c>
      <c r="D140" s="1">
        <v>1.8368055555555554E-2</v>
      </c>
      <c r="E140" s="80" t="s">
        <v>4727</v>
      </c>
      <c r="F140" s="69" t="s">
        <v>6331</v>
      </c>
      <c r="I140" s="2"/>
      <c r="K140" s="82">
        <v>0.72340000000000004</v>
      </c>
      <c r="M140" s="80"/>
    </row>
    <row r="141" spans="1:13" x14ac:dyDescent="0.2">
      <c r="A141" s="33">
        <v>42763</v>
      </c>
      <c r="B141" s="80" t="s">
        <v>3251</v>
      </c>
      <c r="C141" s="334" t="s">
        <v>3252</v>
      </c>
      <c r="D141" s="1">
        <v>1.8831018518518518E-2</v>
      </c>
      <c r="E141" s="80" t="s">
        <v>5198</v>
      </c>
      <c r="F141" s="69" t="s">
        <v>6312</v>
      </c>
      <c r="I141" s="2"/>
      <c r="K141" s="82">
        <v>0.7056</v>
      </c>
      <c r="M141" s="80"/>
    </row>
    <row r="142" spans="1:13" x14ac:dyDescent="0.2">
      <c r="A142" s="523">
        <v>43099</v>
      </c>
      <c r="B142" s="601" t="s">
        <v>7908</v>
      </c>
      <c r="C142" s="958" t="s">
        <v>7907</v>
      </c>
      <c r="D142" s="1">
        <v>2.5648148148148146E-2</v>
      </c>
      <c r="E142" s="80" t="s">
        <v>5883</v>
      </c>
      <c r="F142" s="69" t="s">
        <v>5371</v>
      </c>
      <c r="I142" s="2"/>
      <c r="K142" s="82">
        <v>0.5181</v>
      </c>
    </row>
    <row r="143" spans="1:13" x14ac:dyDescent="0.2">
      <c r="A143" s="523">
        <v>43078</v>
      </c>
      <c r="B143" s="879" t="s">
        <v>7908</v>
      </c>
      <c r="C143" s="880" t="s">
        <v>7907</v>
      </c>
      <c r="D143" s="1">
        <v>0.02</v>
      </c>
      <c r="E143" s="80" t="s">
        <v>5948</v>
      </c>
      <c r="F143" s="69" t="s">
        <v>8909</v>
      </c>
      <c r="I143" s="2"/>
      <c r="K143" s="82">
        <v>0.66439999999999999</v>
      </c>
    </row>
    <row r="144" spans="1:13" ht="12.75" customHeight="1" x14ac:dyDescent="0.2">
      <c r="A144" s="523">
        <v>43064</v>
      </c>
      <c r="B144" s="869" t="s">
        <v>7908</v>
      </c>
      <c r="C144" s="903" t="s">
        <v>7907</v>
      </c>
      <c r="D144" s="1">
        <v>1.8368055555555554E-2</v>
      </c>
      <c r="E144" s="80" t="s">
        <v>5883</v>
      </c>
      <c r="F144" s="69" t="s">
        <v>4918</v>
      </c>
      <c r="I144" s="2"/>
      <c r="K144" s="82">
        <v>0.72340000000000004</v>
      </c>
      <c r="M144" s="80"/>
    </row>
    <row r="145" spans="1:13" ht="12.75" customHeight="1" x14ac:dyDescent="0.2">
      <c r="A145" s="523">
        <v>43057</v>
      </c>
      <c r="B145" s="940" t="s">
        <v>7908</v>
      </c>
      <c r="C145" s="941" t="s">
        <v>7907</v>
      </c>
      <c r="D145" s="1">
        <v>1.8599537037037036E-2</v>
      </c>
      <c r="E145" s="80" t="s">
        <v>5883</v>
      </c>
      <c r="F145" s="69" t="s">
        <v>5172</v>
      </c>
      <c r="I145" s="2"/>
      <c r="K145" s="82">
        <v>0.71440000000000003</v>
      </c>
    </row>
    <row r="146" spans="1:13" ht="12.75" customHeight="1" x14ac:dyDescent="0.2">
      <c r="A146" s="523">
        <v>43050</v>
      </c>
      <c r="B146" s="532" t="s">
        <v>7908</v>
      </c>
      <c r="C146" s="843" t="s">
        <v>7907</v>
      </c>
      <c r="D146" s="1">
        <v>1.861111111111111E-2</v>
      </c>
      <c r="E146" s="80" t="s">
        <v>5883</v>
      </c>
      <c r="F146" s="69" t="s">
        <v>8790</v>
      </c>
      <c r="I146" s="2"/>
      <c r="K146" s="82">
        <v>0.71389999999999998</v>
      </c>
    </row>
    <row r="147" spans="1:13" x14ac:dyDescent="0.2">
      <c r="A147" s="523">
        <v>43043</v>
      </c>
      <c r="B147" s="936" t="s">
        <v>7908</v>
      </c>
      <c r="C147" s="937" t="s">
        <v>7907</v>
      </c>
      <c r="D147" s="1">
        <v>1.9398148148148147E-2</v>
      </c>
      <c r="E147" s="80" t="s">
        <v>5883</v>
      </c>
      <c r="F147" s="69" t="s">
        <v>702</v>
      </c>
      <c r="I147" s="2"/>
      <c r="K147" s="82">
        <v>0.68500000000000005</v>
      </c>
      <c r="M147" s="80"/>
    </row>
    <row r="148" spans="1:13" ht="12.75" customHeight="1" x14ac:dyDescent="0.2">
      <c r="A148" s="523">
        <v>43036</v>
      </c>
      <c r="B148" s="934" t="s">
        <v>7908</v>
      </c>
      <c r="C148" s="935" t="s">
        <v>7907</v>
      </c>
      <c r="D148" s="1">
        <v>1.951388888888889E-2</v>
      </c>
      <c r="E148" s="80" t="s">
        <v>5883</v>
      </c>
      <c r="F148" s="69" t="s">
        <v>1029</v>
      </c>
      <c r="I148" s="2"/>
      <c r="K148" s="82">
        <v>0.68089999999999995</v>
      </c>
    </row>
    <row r="149" spans="1:13" ht="13.5" customHeight="1" x14ac:dyDescent="0.2">
      <c r="A149" s="523">
        <v>43029</v>
      </c>
      <c r="B149" s="901" t="s">
        <v>7908</v>
      </c>
      <c r="C149" s="902" t="s">
        <v>7907</v>
      </c>
      <c r="D149" s="1">
        <v>3.7731481481481484E-2</v>
      </c>
      <c r="E149" s="80" t="s">
        <v>5883</v>
      </c>
      <c r="F149" s="69" t="s">
        <v>8160</v>
      </c>
      <c r="I149" s="2"/>
      <c r="K149" s="82">
        <v>0.35210000000000002</v>
      </c>
      <c r="M149" s="80"/>
    </row>
    <row r="150" spans="1:13" ht="13.5" customHeight="1" x14ac:dyDescent="0.2">
      <c r="A150" s="523">
        <v>43022</v>
      </c>
      <c r="B150" s="930" t="s">
        <v>7908</v>
      </c>
      <c r="C150" s="931" t="s">
        <v>7907</v>
      </c>
      <c r="D150" s="1">
        <v>3.7662037037037036E-2</v>
      </c>
      <c r="E150" s="80" t="s">
        <v>5883</v>
      </c>
      <c r="F150" s="69" t="s">
        <v>8160</v>
      </c>
      <c r="I150" s="2"/>
      <c r="K150" s="82">
        <v>0.3528</v>
      </c>
    </row>
    <row r="151" spans="1:13" ht="13.5" customHeight="1" x14ac:dyDescent="0.2">
      <c r="A151" s="523">
        <v>43008</v>
      </c>
      <c r="B151" s="532" t="s">
        <v>7908</v>
      </c>
      <c r="C151" s="843" t="s">
        <v>7907</v>
      </c>
      <c r="D151" s="1">
        <v>1.8229166666666668E-2</v>
      </c>
      <c r="E151" s="80" t="s">
        <v>2596</v>
      </c>
      <c r="F151" s="69" t="s">
        <v>8593</v>
      </c>
      <c r="I151" s="2"/>
      <c r="K151" s="82">
        <v>0.72889999999999999</v>
      </c>
      <c r="M151" s="80"/>
    </row>
    <row r="152" spans="1:13" ht="13.5" customHeight="1" x14ac:dyDescent="0.2">
      <c r="A152" s="523">
        <v>43001</v>
      </c>
      <c r="B152" s="906" t="s">
        <v>7908</v>
      </c>
      <c r="C152" s="907" t="s">
        <v>7907</v>
      </c>
      <c r="D152" s="1">
        <v>1.849537037037037E-2</v>
      </c>
      <c r="E152" s="80" t="s">
        <v>5883</v>
      </c>
      <c r="F152" s="69" t="s">
        <v>2689</v>
      </c>
      <c r="I152" s="2"/>
      <c r="K152" s="82">
        <v>0.71840000000000004</v>
      </c>
      <c r="M152" s="80"/>
    </row>
    <row r="153" spans="1:13" ht="13.5" customHeight="1" x14ac:dyDescent="0.2">
      <c r="A153" s="523">
        <v>42994</v>
      </c>
      <c r="B153" s="869" t="s">
        <v>7908</v>
      </c>
      <c r="C153" s="903" t="s">
        <v>7907</v>
      </c>
      <c r="D153" s="1">
        <v>1.9444444444444445E-2</v>
      </c>
      <c r="E153" s="80" t="s">
        <v>5883</v>
      </c>
      <c r="F153" s="69" t="s">
        <v>2688</v>
      </c>
      <c r="I153" s="2"/>
      <c r="K153" s="82">
        <v>0.68330000000000002</v>
      </c>
      <c r="M153" s="80"/>
    </row>
    <row r="154" spans="1:13" ht="13.5" customHeight="1" x14ac:dyDescent="0.2">
      <c r="A154" s="523">
        <v>42987</v>
      </c>
      <c r="B154" s="532" t="s">
        <v>7908</v>
      </c>
      <c r="C154" s="843" t="s">
        <v>7907</v>
      </c>
      <c r="D154" s="1">
        <v>2.0243055555555552E-2</v>
      </c>
      <c r="E154" s="80" t="s">
        <v>5883</v>
      </c>
      <c r="F154" s="69" t="s">
        <v>253</v>
      </c>
      <c r="I154" s="2"/>
      <c r="K154" s="82">
        <v>0.65639999999999998</v>
      </c>
      <c r="M154" s="80"/>
    </row>
    <row r="155" spans="1:13" ht="13.5" customHeight="1" x14ac:dyDescent="0.2">
      <c r="A155" s="523">
        <v>42980</v>
      </c>
      <c r="B155" s="837" t="s">
        <v>7908</v>
      </c>
      <c r="C155" s="842" t="s">
        <v>7907</v>
      </c>
      <c r="D155" s="1">
        <v>1.8043981481481484E-2</v>
      </c>
      <c r="E155" s="80" t="s">
        <v>5883</v>
      </c>
      <c r="F155" s="69" t="s">
        <v>8469</v>
      </c>
      <c r="I155" s="2"/>
      <c r="K155" s="82">
        <v>0.73640000000000005</v>
      </c>
      <c r="M155" s="80"/>
    </row>
    <row r="156" spans="1:13" ht="13.5" customHeight="1" x14ac:dyDescent="0.2">
      <c r="A156" s="523">
        <v>42973</v>
      </c>
      <c r="B156" s="862" t="s">
        <v>7908</v>
      </c>
      <c r="C156" s="863" t="s">
        <v>7907</v>
      </c>
      <c r="D156" s="1">
        <v>1.9166666666666669E-2</v>
      </c>
      <c r="E156" s="80" t="s">
        <v>5883</v>
      </c>
      <c r="F156" s="69" t="s">
        <v>3828</v>
      </c>
      <c r="I156" s="2"/>
      <c r="K156" s="82">
        <v>0.69320000000000004</v>
      </c>
      <c r="M156" s="80"/>
    </row>
    <row r="157" spans="1:13" ht="13.5" customHeight="1" x14ac:dyDescent="0.2">
      <c r="A157" s="523">
        <v>42959</v>
      </c>
      <c r="B157" s="866" t="s">
        <v>7908</v>
      </c>
      <c r="C157" s="867" t="s">
        <v>7907</v>
      </c>
      <c r="D157" s="1">
        <v>1.8969907407407408E-2</v>
      </c>
      <c r="E157" s="80" t="s">
        <v>5883</v>
      </c>
      <c r="F157" s="69" t="s">
        <v>8353</v>
      </c>
      <c r="I157" s="2"/>
      <c r="K157" s="82">
        <v>0.70040000000000002</v>
      </c>
      <c r="M157" s="80"/>
    </row>
    <row r="158" spans="1:13" ht="13.5" customHeight="1" x14ac:dyDescent="0.2">
      <c r="A158" s="523">
        <v>42945</v>
      </c>
      <c r="B158" s="568" t="s">
        <v>7908</v>
      </c>
      <c r="C158" s="861" t="s">
        <v>7907</v>
      </c>
      <c r="D158" s="1">
        <v>2.1111111111111108E-2</v>
      </c>
      <c r="E158" s="80" t="s">
        <v>5883</v>
      </c>
      <c r="F158" s="69" t="s">
        <v>4959</v>
      </c>
      <c r="I158" s="2"/>
      <c r="K158" s="82">
        <v>0.62939999999999996</v>
      </c>
      <c r="M158" s="80"/>
    </row>
    <row r="159" spans="1:13" ht="13.5" customHeight="1" x14ac:dyDescent="0.2">
      <c r="A159" s="523">
        <v>42938</v>
      </c>
      <c r="B159" s="532" t="s">
        <v>7908</v>
      </c>
      <c r="C159" s="843" t="s">
        <v>7907</v>
      </c>
      <c r="D159" s="80" t="s">
        <v>787</v>
      </c>
      <c r="E159" s="80" t="s">
        <v>5883</v>
      </c>
      <c r="F159" s="69" t="s">
        <v>4061</v>
      </c>
      <c r="I159" s="2"/>
      <c r="K159" s="82"/>
      <c r="M159" s="80"/>
    </row>
    <row r="160" spans="1:13" ht="13.5" customHeight="1" x14ac:dyDescent="0.2">
      <c r="A160" s="523">
        <v>42931</v>
      </c>
      <c r="B160" s="837" t="s">
        <v>7908</v>
      </c>
      <c r="C160" s="842" t="s">
        <v>7907</v>
      </c>
      <c r="D160" s="1">
        <v>2.1157407407407406E-2</v>
      </c>
      <c r="E160" s="80" t="s">
        <v>1982</v>
      </c>
      <c r="F160" s="69" t="s">
        <v>8202</v>
      </c>
      <c r="I160" s="2"/>
      <c r="K160" s="82">
        <v>0.628</v>
      </c>
      <c r="M160" s="80"/>
    </row>
    <row r="161" spans="1:13" ht="13.5" customHeight="1" x14ac:dyDescent="0.2">
      <c r="A161" s="33">
        <v>42917</v>
      </c>
      <c r="B161" s="80" t="s">
        <v>7908</v>
      </c>
      <c r="C161" s="334" t="s">
        <v>7907</v>
      </c>
      <c r="D161" s="80" t="s">
        <v>787</v>
      </c>
      <c r="E161" s="80" t="s">
        <v>5883</v>
      </c>
      <c r="F161" s="69" t="s">
        <v>4061</v>
      </c>
      <c r="G161" s="5"/>
      <c r="H161" s="2"/>
      <c r="I161" s="2"/>
      <c r="K161" s="82"/>
      <c r="M161" s="80"/>
    </row>
    <row r="162" spans="1:13" ht="13.5" customHeight="1" x14ac:dyDescent="0.2">
      <c r="A162" s="523">
        <v>42910</v>
      </c>
      <c r="B162" s="80" t="s">
        <v>7908</v>
      </c>
      <c r="C162" s="334" t="s">
        <v>7907</v>
      </c>
      <c r="D162" s="1">
        <v>2.0381944444444446E-2</v>
      </c>
      <c r="E162" s="80" t="s">
        <v>5198</v>
      </c>
      <c r="F162" s="69" t="s">
        <v>2629</v>
      </c>
      <c r="I162" s="2"/>
      <c r="K162" s="82">
        <v>0.65190000000000003</v>
      </c>
      <c r="M162" s="80"/>
    </row>
    <row r="163" spans="1:13" ht="13.5" customHeight="1" x14ac:dyDescent="0.2">
      <c r="A163" s="523">
        <v>42896</v>
      </c>
      <c r="B163" s="80" t="s">
        <v>7908</v>
      </c>
      <c r="C163" s="334" t="s">
        <v>7907</v>
      </c>
      <c r="D163" s="1">
        <v>2.0462962962962964E-2</v>
      </c>
      <c r="E163" s="80" t="s">
        <v>5883</v>
      </c>
      <c r="F163" s="69" t="s">
        <v>4232</v>
      </c>
      <c r="I163" s="2"/>
      <c r="K163" s="82">
        <v>0.64929999999999999</v>
      </c>
      <c r="M163" s="80"/>
    </row>
    <row r="164" spans="1:13" ht="13.5" customHeight="1" x14ac:dyDescent="0.2">
      <c r="A164" s="523">
        <v>42882</v>
      </c>
      <c r="B164" s="42" t="s">
        <v>7908</v>
      </c>
      <c r="C164" s="334" t="s">
        <v>7907</v>
      </c>
      <c r="D164" s="1">
        <v>2.0196759259259258E-2</v>
      </c>
      <c r="E164" s="80" t="s">
        <v>5883</v>
      </c>
      <c r="F164" s="69" t="s">
        <v>1846</v>
      </c>
      <c r="I164" s="2"/>
      <c r="K164" s="82">
        <v>0.64129999999999998</v>
      </c>
      <c r="M164" s="80"/>
    </row>
    <row r="165" spans="1:13" ht="13.5" customHeight="1" x14ac:dyDescent="0.2">
      <c r="A165" s="523">
        <v>43071</v>
      </c>
      <c r="B165" s="556" t="s">
        <v>7909</v>
      </c>
      <c r="C165" s="950" t="s">
        <v>7907</v>
      </c>
      <c r="D165" s="1">
        <v>1.8854166666666665E-2</v>
      </c>
      <c r="E165" s="80" t="s">
        <v>5883</v>
      </c>
      <c r="F165" s="69" t="s">
        <v>3244</v>
      </c>
      <c r="I165" s="2"/>
      <c r="K165" s="82">
        <v>0.70469999999999999</v>
      </c>
      <c r="M165" s="80"/>
    </row>
    <row r="166" spans="1:13" ht="13.5" customHeight="1" x14ac:dyDescent="0.2">
      <c r="A166" s="523">
        <v>42966</v>
      </c>
      <c r="B166" s="879" t="s">
        <v>7909</v>
      </c>
      <c r="C166" s="880" t="s">
        <v>7907</v>
      </c>
      <c r="D166" s="1">
        <v>1.9247685185185184E-2</v>
      </c>
      <c r="E166" s="80" t="s">
        <v>8383</v>
      </c>
      <c r="F166" s="69" t="s">
        <v>8394</v>
      </c>
      <c r="I166" s="2"/>
      <c r="K166" s="82">
        <v>0.69030000000000002</v>
      </c>
    </row>
    <row r="167" spans="1:13" ht="13.5" customHeight="1" x14ac:dyDescent="0.2">
      <c r="A167" s="34">
        <v>42924</v>
      </c>
      <c r="B167" s="80" t="s">
        <v>7909</v>
      </c>
      <c r="C167" s="334" t="s">
        <v>7907</v>
      </c>
      <c r="D167" s="1">
        <v>1.9618055555555555E-2</v>
      </c>
      <c r="E167" s="80" t="s">
        <v>5883</v>
      </c>
      <c r="F167" s="69" t="s">
        <v>2553</v>
      </c>
      <c r="I167" s="2"/>
      <c r="K167" s="82">
        <v>0.67610000000000003</v>
      </c>
      <c r="M167" s="80"/>
    </row>
    <row r="168" spans="1:13" ht="13.5" customHeight="1" x14ac:dyDescent="0.2">
      <c r="A168" s="523">
        <v>43099</v>
      </c>
      <c r="B168" s="601" t="s">
        <v>260</v>
      </c>
      <c r="C168" s="958" t="s">
        <v>7907</v>
      </c>
      <c r="D168" s="1">
        <v>1.8368055555555554E-2</v>
      </c>
      <c r="E168" s="80" t="s">
        <v>5883</v>
      </c>
      <c r="F168" s="69" t="s">
        <v>1012</v>
      </c>
      <c r="I168" s="2"/>
      <c r="K168" s="82">
        <v>0.61180000000000001</v>
      </c>
    </row>
    <row r="169" spans="1:13" ht="13.5" customHeight="1" x14ac:dyDescent="0.2">
      <c r="A169" s="965">
        <v>43094</v>
      </c>
      <c r="B169" s="962" t="s">
        <v>260</v>
      </c>
      <c r="C169" s="963" t="s">
        <v>7907</v>
      </c>
      <c r="D169" s="1">
        <v>1.7465277777777777E-2</v>
      </c>
      <c r="E169" s="80" t="s">
        <v>5885</v>
      </c>
      <c r="F169" s="69" t="s">
        <v>8985</v>
      </c>
      <c r="I169" s="2"/>
      <c r="K169" s="82">
        <v>0.64349999999999996</v>
      </c>
    </row>
    <row r="170" spans="1:13" ht="13.5" customHeight="1" x14ac:dyDescent="0.2">
      <c r="A170" s="523">
        <v>43092</v>
      </c>
      <c r="B170" s="568" t="s">
        <v>260</v>
      </c>
      <c r="C170" s="861" t="s">
        <v>7907</v>
      </c>
      <c r="D170" s="1">
        <v>1.7187499999999998E-2</v>
      </c>
      <c r="E170" s="80" t="s">
        <v>5883</v>
      </c>
      <c r="F170" s="69" t="s">
        <v>8972</v>
      </c>
      <c r="I170" s="2"/>
      <c r="K170" s="82">
        <v>0.65390000000000004</v>
      </c>
    </row>
    <row r="171" spans="1:13" ht="13.5" customHeight="1" x14ac:dyDescent="0.2">
      <c r="A171" s="523">
        <v>43085</v>
      </c>
      <c r="B171" s="601" t="s">
        <v>260</v>
      </c>
      <c r="C171" s="958" t="s">
        <v>7907</v>
      </c>
      <c r="D171" s="1">
        <v>1.7002314814814814E-2</v>
      </c>
      <c r="E171" s="80" t="s">
        <v>5883</v>
      </c>
      <c r="F171" s="69" t="s">
        <v>521</v>
      </c>
      <c r="I171" s="2"/>
      <c r="K171" s="82">
        <v>0.66100000000000003</v>
      </c>
    </row>
    <row r="172" spans="1:13" ht="13.5" customHeight="1" x14ac:dyDescent="0.2">
      <c r="A172" s="523">
        <v>43078</v>
      </c>
      <c r="B172" s="879" t="s">
        <v>260</v>
      </c>
      <c r="C172" s="880" t="s">
        <v>7907</v>
      </c>
      <c r="D172" s="1">
        <v>1.7893518518518517E-2</v>
      </c>
      <c r="E172" s="80" t="s">
        <v>5948</v>
      </c>
      <c r="F172" s="69" t="s">
        <v>387</v>
      </c>
      <c r="I172" s="2"/>
      <c r="K172" s="82">
        <v>0.62809999999999999</v>
      </c>
      <c r="M172" s="80"/>
    </row>
    <row r="173" spans="1:13" ht="13.5" customHeight="1" x14ac:dyDescent="0.2">
      <c r="A173" s="523">
        <v>43071</v>
      </c>
      <c r="B173" s="556" t="s">
        <v>260</v>
      </c>
      <c r="C173" s="950" t="s">
        <v>7907</v>
      </c>
      <c r="D173" s="1">
        <v>1.6550925925925924E-2</v>
      </c>
      <c r="E173" s="80" t="s">
        <v>5883</v>
      </c>
      <c r="F173" s="69" t="s">
        <v>8865</v>
      </c>
      <c r="I173" s="2"/>
      <c r="K173" s="82">
        <v>0.67900000000000005</v>
      </c>
      <c r="M173" s="80"/>
    </row>
    <row r="174" spans="1:13" ht="13.5" customHeight="1" x14ac:dyDescent="0.2">
      <c r="A174" s="523">
        <v>43064</v>
      </c>
      <c r="B174" s="869" t="s">
        <v>260</v>
      </c>
      <c r="C174" s="903" t="s">
        <v>7907</v>
      </c>
      <c r="D174" s="1">
        <v>1.6412037037037037E-2</v>
      </c>
      <c r="E174" s="80" t="s">
        <v>5883</v>
      </c>
      <c r="F174" s="69" t="s">
        <v>8830</v>
      </c>
      <c r="I174" s="2"/>
      <c r="K174" s="82">
        <v>0.68479999999999996</v>
      </c>
      <c r="M174" s="80"/>
    </row>
    <row r="175" spans="1:13" ht="13.5" customHeight="1" x14ac:dyDescent="0.2">
      <c r="A175" s="523">
        <v>43057</v>
      </c>
      <c r="B175" s="940" t="s">
        <v>260</v>
      </c>
      <c r="C175" s="941" t="s">
        <v>7907</v>
      </c>
      <c r="D175" s="1">
        <v>1.6608796296296299E-2</v>
      </c>
      <c r="E175" s="80" t="s">
        <v>5883</v>
      </c>
      <c r="F175" s="69" t="s">
        <v>1472</v>
      </c>
      <c r="I175" s="2"/>
      <c r="K175" s="82">
        <v>0.67669999999999997</v>
      </c>
    </row>
    <row r="176" spans="1:13" ht="13.5" customHeight="1" x14ac:dyDescent="0.2">
      <c r="A176" s="523">
        <v>43050</v>
      </c>
      <c r="B176" s="532" t="s">
        <v>260</v>
      </c>
      <c r="C176" s="843" t="s">
        <v>7907</v>
      </c>
      <c r="D176" s="1">
        <v>1.6944444444444443E-2</v>
      </c>
      <c r="E176" s="80" t="s">
        <v>5883</v>
      </c>
      <c r="F176" s="69" t="s">
        <v>8789</v>
      </c>
      <c r="I176" s="2"/>
      <c r="K176" s="82">
        <v>0.6633</v>
      </c>
    </row>
    <row r="177" spans="1:13" ht="13.5" customHeight="1" x14ac:dyDescent="0.2">
      <c r="A177" s="523">
        <v>43043</v>
      </c>
      <c r="B177" s="936" t="s">
        <v>260</v>
      </c>
      <c r="C177" s="937" t="s">
        <v>7907</v>
      </c>
      <c r="D177" s="1">
        <v>1.7361111111111112E-2</v>
      </c>
      <c r="E177" s="80" t="s">
        <v>5883</v>
      </c>
      <c r="F177" s="69" t="s">
        <v>702</v>
      </c>
      <c r="I177" s="2"/>
      <c r="K177" s="82">
        <v>0.64729999999999999</v>
      </c>
      <c r="M177" s="80"/>
    </row>
    <row r="178" spans="1:13" ht="13.5" customHeight="1" x14ac:dyDescent="0.2">
      <c r="A178" s="523">
        <v>43036</v>
      </c>
      <c r="B178" s="934" t="s">
        <v>260</v>
      </c>
      <c r="C178" s="935" t="s">
        <v>7907</v>
      </c>
      <c r="D178" s="1">
        <v>1.699074074074074E-2</v>
      </c>
      <c r="E178" s="80" t="s">
        <v>5883</v>
      </c>
      <c r="F178" s="69" t="s">
        <v>8741</v>
      </c>
      <c r="I178" s="2"/>
      <c r="K178" s="82">
        <v>0.66139999999999999</v>
      </c>
      <c r="M178" s="80"/>
    </row>
    <row r="179" spans="1:13" ht="13.5" customHeight="1" x14ac:dyDescent="0.2">
      <c r="A179" s="523">
        <v>43029</v>
      </c>
      <c r="B179" s="901" t="s">
        <v>260</v>
      </c>
      <c r="C179" s="902" t="s">
        <v>7907</v>
      </c>
      <c r="D179" s="334" t="s">
        <v>787</v>
      </c>
      <c r="E179" s="80" t="s">
        <v>5883</v>
      </c>
      <c r="F179" s="69" t="s">
        <v>4854</v>
      </c>
      <c r="I179" s="2"/>
      <c r="K179" s="82"/>
    </row>
    <row r="180" spans="1:13" ht="13.5" customHeight="1" x14ac:dyDescent="0.2">
      <c r="A180" s="523">
        <v>43022</v>
      </c>
      <c r="B180" s="930" t="s">
        <v>260</v>
      </c>
      <c r="C180" s="931" t="s">
        <v>7907</v>
      </c>
      <c r="D180" s="1" t="s">
        <v>787</v>
      </c>
      <c r="E180" s="80" t="s">
        <v>5883</v>
      </c>
      <c r="F180" s="69" t="s">
        <v>4061</v>
      </c>
      <c r="I180" s="2"/>
      <c r="K180" s="82"/>
      <c r="M180" s="80"/>
    </row>
    <row r="181" spans="1:13" ht="13.5" customHeight="1" x14ac:dyDescent="0.2">
      <c r="A181" s="523">
        <v>43015</v>
      </c>
      <c r="B181" s="923" t="s">
        <v>260</v>
      </c>
      <c r="C181" s="924" t="s">
        <v>7907</v>
      </c>
      <c r="D181" s="1">
        <v>1.7314814814814814E-2</v>
      </c>
      <c r="E181" s="80" t="s">
        <v>5883</v>
      </c>
      <c r="F181" s="69" t="s">
        <v>6012</v>
      </c>
      <c r="I181" s="2"/>
      <c r="K181" s="82">
        <v>0.64910000000000001</v>
      </c>
      <c r="M181" s="80"/>
    </row>
    <row r="182" spans="1:13" ht="13.5" customHeight="1" x14ac:dyDescent="0.2">
      <c r="A182" s="523">
        <v>43008</v>
      </c>
      <c r="B182" s="532" t="s">
        <v>260</v>
      </c>
      <c r="C182" s="843" t="s">
        <v>7907</v>
      </c>
      <c r="D182" s="1">
        <v>1.7395833333333336E-2</v>
      </c>
      <c r="E182" s="80" t="s">
        <v>2596</v>
      </c>
      <c r="F182" s="69" t="s">
        <v>8593</v>
      </c>
      <c r="I182" s="2"/>
      <c r="K182" s="82">
        <v>0.64600000000000002</v>
      </c>
      <c r="M182" s="80"/>
    </row>
    <row r="183" spans="1:13" ht="13.5" customHeight="1" x14ac:dyDescent="0.2">
      <c r="A183" s="523">
        <v>43001</v>
      </c>
      <c r="B183" s="906" t="s">
        <v>260</v>
      </c>
      <c r="C183" s="907" t="s">
        <v>7907</v>
      </c>
      <c r="D183" s="1">
        <v>1.7337962962962961E-2</v>
      </c>
      <c r="E183" s="80" t="s">
        <v>5883</v>
      </c>
      <c r="F183" s="69" t="s">
        <v>4958</v>
      </c>
      <c r="I183" s="2"/>
      <c r="K183" s="82">
        <v>0.6482</v>
      </c>
      <c r="M183" s="80"/>
    </row>
    <row r="184" spans="1:13" ht="13.5" customHeight="1" x14ac:dyDescent="0.2">
      <c r="A184" s="523">
        <v>42994</v>
      </c>
      <c r="B184" s="869" t="s">
        <v>260</v>
      </c>
      <c r="C184" s="903" t="s">
        <v>7907</v>
      </c>
      <c r="D184" s="1">
        <v>1.9386574074074073E-2</v>
      </c>
      <c r="E184" s="80" t="s">
        <v>5883</v>
      </c>
      <c r="F184" s="69" t="s">
        <v>8226</v>
      </c>
      <c r="I184" s="2"/>
      <c r="K184" s="82">
        <v>0.57969999999999999</v>
      </c>
      <c r="M184" s="80"/>
    </row>
    <row r="185" spans="1:13" ht="13.5" customHeight="1" x14ac:dyDescent="0.2">
      <c r="A185" s="523">
        <v>42987</v>
      </c>
      <c r="B185" s="532" t="s">
        <v>260</v>
      </c>
      <c r="C185" s="843" t="s">
        <v>7907</v>
      </c>
      <c r="D185" s="1">
        <v>1.9375E-2</v>
      </c>
      <c r="E185" s="80" t="s">
        <v>5883</v>
      </c>
      <c r="F185" s="69" t="s">
        <v>7743</v>
      </c>
      <c r="I185" s="2"/>
      <c r="K185" s="82">
        <v>0.57999999999999996</v>
      </c>
      <c r="M185" s="80"/>
    </row>
    <row r="186" spans="1:13" ht="13.5" customHeight="1" x14ac:dyDescent="0.2">
      <c r="A186" s="523">
        <v>42980</v>
      </c>
      <c r="B186" s="837" t="s">
        <v>260</v>
      </c>
      <c r="C186" s="842" t="s">
        <v>7907</v>
      </c>
      <c r="D186" s="1" t="s">
        <v>787</v>
      </c>
      <c r="E186" s="80" t="s">
        <v>5883</v>
      </c>
      <c r="F186" s="69"/>
      <c r="I186" s="2"/>
      <c r="K186" s="82"/>
      <c r="M186" s="80"/>
    </row>
    <row r="187" spans="1:13" ht="13.5" customHeight="1" x14ac:dyDescent="0.2">
      <c r="A187" s="523">
        <v>42973</v>
      </c>
      <c r="B187" s="862" t="s">
        <v>260</v>
      </c>
      <c r="C187" s="863" t="s">
        <v>7907</v>
      </c>
      <c r="D187" s="334" t="s">
        <v>787</v>
      </c>
      <c r="E187" s="80" t="s">
        <v>5883</v>
      </c>
      <c r="F187" s="69" t="s">
        <v>5508</v>
      </c>
      <c r="I187" s="2"/>
      <c r="K187" s="82"/>
      <c r="M187" s="80"/>
    </row>
    <row r="188" spans="1:13" ht="13.5" customHeight="1" x14ac:dyDescent="0.2">
      <c r="A188" s="523">
        <v>42952</v>
      </c>
      <c r="B188" s="862" t="s">
        <v>260</v>
      </c>
      <c r="C188" s="863" t="s">
        <v>7907</v>
      </c>
      <c r="D188" s="1">
        <v>1.6875000000000001E-2</v>
      </c>
      <c r="E188" s="80" t="s">
        <v>5095</v>
      </c>
      <c r="F188" s="69" t="s">
        <v>8303</v>
      </c>
      <c r="I188" s="2"/>
      <c r="K188" s="82">
        <v>0.66600000000000004</v>
      </c>
      <c r="M188" s="80"/>
    </row>
    <row r="189" spans="1:13" ht="13.5" customHeight="1" x14ac:dyDescent="0.2">
      <c r="A189" s="523">
        <v>42945</v>
      </c>
      <c r="B189" s="568" t="s">
        <v>260</v>
      </c>
      <c r="C189" s="861" t="s">
        <v>7907</v>
      </c>
      <c r="D189" s="1">
        <v>1.7106481481481483E-2</v>
      </c>
      <c r="E189" s="80" t="s">
        <v>5883</v>
      </c>
      <c r="F189" s="69" t="s">
        <v>8273</v>
      </c>
      <c r="I189" s="2"/>
      <c r="K189" s="82">
        <v>0.65700000000000003</v>
      </c>
      <c r="M189" s="80"/>
    </row>
    <row r="190" spans="1:13" ht="13.5" customHeight="1" x14ac:dyDescent="0.2">
      <c r="A190" s="523">
        <v>42938</v>
      </c>
      <c r="B190" s="532" t="s">
        <v>260</v>
      </c>
      <c r="C190" s="843" t="s">
        <v>7907</v>
      </c>
      <c r="D190" s="80" t="s">
        <v>787</v>
      </c>
      <c r="E190" s="80" t="s">
        <v>5883</v>
      </c>
      <c r="F190" s="69" t="s">
        <v>4854</v>
      </c>
      <c r="I190" s="2"/>
      <c r="K190" s="82"/>
      <c r="M190" s="80"/>
    </row>
    <row r="191" spans="1:13" ht="13.5" customHeight="1" x14ac:dyDescent="0.2">
      <c r="A191" s="523">
        <v>42931</v>
      </c>
      <c r="B191" s="837" t="s">
        <v>260</v>
      </c>
      <c r="C191" s="842" t="s">
        <v>7907</v>
      </c>
      <c r="D191" s="1">
        <v>1.8599537037037036E-2</v>
      </c>
      <c r="E191" s="80" t="s">
        <v>1982</v>
      </c>
      <c r="F191" s="69" t="s">
        <v>8203</v>
      </c>
      <c r="I191" s="2"/>
      <c r="K191" s="82">
        <v>0.59860000000000002</v>
      </c>
      <c r="M191" s="80"/>
    </row>
    <row r="192" spans="1:13" ht="13.5" customHeight="1" x14ac:dyDescent="0.2">
      <c r="A192" s="34">
        <v>42924</v>
      </c>
      <c r="B192" s="80" t="s">
        <v>260</v>
      </c>
      <c r="C192" s="334" t="s">
        <v>7907</v>
      </c>
      <c r="D192" s="1">
        <v>1.7870370370370373E-2</v>
      </c>
      <c r="E192" s="80" t="s">
        <v>5883</v>
      </c>
      <c r="F192" s="69" t="s">
        <v>5132</v>
      </c>
      <c r="I192" s="2"/>
      <c r="K192" s="82">
        <v>0.62309999999999999</v>
      </c>
      <c r="M192" s="80"/>
    </row>
    <row r="193" spans="1:13" ht="13.5" customHeight="1" x14ac:dyDescent="0.2">
      <c r="A193" s="33">
        <v>42917</v>
      </c>
      <c r="B193" s="80" t="s">
        <v>260</v>
      </c>
      <c r="C193" s="334" t="s">
        <v>7907</v>
      </c>
      <c r="D193" s="80" t="s">
        <v>787</v>
      </c>
      <c r="E193" s="80" t="s">
        <v>5883</v>
      </c>
      <c r="F193" s="69" t="s">
        <v>4854</v>
      </c>
      <c r="G193" s="5"/>
      <c r="H193" s="2"/>
      <c r="I193" s="2"/>
      <c r="K193" s="82"/>
      <c r="M193" s="80"/>
    </row>
    <row r="194" spans="1:13" ht="13.5" customHeight="1" x14ac:dyDescent="0.2">
      <c r="A194" s="523">
        <v>42910</v>
      </c>
      <c r="B194" s="80" t="s">
        <v>260</v>
      </c>
      <c r="C194" s="334" t="s">
        <v>7907</v>
      </c>
      <c r="D194" s="1">
        <v>1.7037037037037038E-2</v>
      </c>
      <c r="E194" s="80" t="s">
        <v>5198</v>
      </c>
      <c r="F194" s="69" t="s">
        <v>2629</v>
      </c>
      <c r="I194" s="2"/>
      <c r="K194" s="82">
        <v>0.65349999999999997</v>
      </c>
      <c r="M194" s="80"/>
    </row>
    <row r="195" spans="1:13" ht="13.5" customHeight="1" x14ac:dyDescent="0.2">
      <c r="A195" s="523">
        <v>42903</v>
      </c>
      <c r="B195" s="80" t="s">
        <v>260</v>
      </c>
      <c r="C195" s="334" t="s">
        <v>7907</v>
      </c>
      <c r="D195" s="1">
        <v>1.7881944444444443E-2</v>
      </c>
      <c r="E195" s="80" t="s">
        <v>5883</v>
      </c>
      <c r="F195" s="69" t="s">
        <v>4493</v>
      </c>
      <c r="I195" s="2"/>
      <c r="K195" s="82">
        <v>0.62270000000000003</v>
      </c>
      <c r="M195" s="80" t="s">
        <v>8831</v>
      </c>
    </row>
    <row r="196" spans="1:13" ht="13.5" customHeight="1" x14ac:dyDescent="0.2">
      <c r="A196" s="523">
        <v>42896</v>
      </c>
      <c r="B196" s="80" t="s">
        <v>260</v>
      </c>
      <c r="C196" s="334" t="s">
        <v>7907</v>
      </c>
      <c r="D196" s="1">
        <v>1.7488425925925925E-2</v>
      </c>
      <c r="E196" s="80" t="s">
        <v>5883</v>
      </c>
      <c r="F196" s="69" t="s">
        <v>1383</v>
      </c>
      <c r="I196" s="2"/>
      <c r="K196" s="82">
        <v>0.63670000000000004</v>
      </c>
      <c r="M196" s="80"/>
    </row>
    <row r="197" spans="1:13" ht="13.5" customHeight="1" x14ac:dyDescent="0.2">
      <c r="A197" s="523">
        <v>42889</v>
      </c>
      <c r="B197" s="80" t="s">
        <v>260</v>
      </c>
      <c r="C197" s="334" t="s">
        <v>7907</v>
      </c>
      <c r="D197" s="1">
        <v>1.7210648148148149E-2</v>
      </c>
      <c r="E197" s="80" t="s">
        <v>5883</v>
      </c>
      <c r="F197" s="69" t="s">
        <v>7975</v>
      </c>
      <c r="I197" s="2"/>
      <c r="K197" s="82">
        <v>0.64690000000000003</v>
      </c>
      <c r="M197" s="80"/>
    </row>
    <row r="198" spans="1:13" ht="13.5" customHeight="1" x14ac:dyDescent="0.2">
      <c r="A198" s="523">
        <v>42882</v>
      </c>
      <c r="B198" s="42" t="s">
        <v>260</v>
      </c>
      <c r="C198" s="334" t="s">
        <v>7907</v>
      </c>
      <c r="D198" s="1">
        <v>1.7916666666666668E-2</v>
      </c>
      <c r="E198" s="80" t="s">
        <v>5883</v>
      </c>
      <c r="F198" s="69" t="s">
        <v>7801</v>
      </c>
      <c r="I198" s="2"/>
      <c r="K198" s="82">
        <v>0.62139999999999995</v>
      </c>
      <c r="M198" s="80"/>
    </row>
    <row r="199" spans="1:13" ht="12.75" customHeight="1" x14ac:dyDescent="0.2">
      <c r="A199" s="523">
        <v>43094</v>
      </c>
      <c r="B199" s="879" t="s">
        <v>4264</v>
      </c>
      <c r="C199" s="880" t="s">
        <v>5239</v>
      </c>
      <c r="D199" s="1">
        <v>1.5474537037037038E-2</v>
      </c>
      <c r="E199" s="80" t="s">
        <v>2431</v>
      </c>
      <c r="F199" s="69" t="s">
        <v>9016</v>
      </c>
      <c r="I199" s="2"/>
      <c r="K199" s="82">
        <v>0.7913</v>
      </c>
      <c r="M199" s="80"/>
    </row>
    <row r="200" spans="1:13" ht="12.75" customHeight="1" x14ac:dyDescent="0.2">
      <c r="A200" s="523">
        <v>43092</v>
      </c>
      <c r="B200" s="568" t="s">
        <v>4264</v>
      </c>
      <c r="C200" s="861" t="s">
        <v>5239</v>
      </c>
      <c r="D200" s="334">
        <v>1.5416666666666667E-2</v>
      </c>
      <c r="E200" s="80" t="s">
        <v>2431</v>
      </c>
      <c r="F200" s="69" t="s">
        <v>8968</v>
      </c>
      <c r="I200" s="2"/>
      <c r="K200" s="82">
        <v>0.79430000000000001</v>
      </c>
    </row>
    <row r="201" spans="1:13" ht="12.75" customHeight="1" x14ac:dyDescent="0.2">
      <c r="A201" s="523">
        <v>43078</v>
      </c>
      <c r="B201" s="879" t="s">
        <v>4264</v>
      </c>
      <c r="C201" s="880" t="s">
        <v>5239</v>
      </c>
      <c r="D201" s="1">
        <v>1.5057870370370369E-2</v>
      </c>
      <c r="E201" s="80" t="s">
        <v>5947</v>
      </c>
      <c r="F201" s="69" t="s">
        <v>8904</v>
      </c>
      <c r="I201" s="2"/>
      <c r="K201" s="82">
        <v>0.81320000000000003</v>
      </c>
      <c r="M201" s="45">
        <v>900</v>
      </c>
    </row>
    <row r="202" spans="1:13" ht="12.75" customHeight="1" x14ac:dyDescent="0.2">
      <c r="A202" s="523">
        <v>43057</v>
      </c>
      <c r="B202" s="940" t="s">
        <v>4264</v>
      </c>
      <c r="C202" s="941" t="s">
        <v>5239</v>
      </c>
      <c r="D202" s="1">
        <v>1.4687499999999999E-2</v>
      </c>
      <c r="E202" s="80" t="s">
        <v>5198</v>
      </c>
      <c r="F202" s="69" t="s">
        <v>2629</v>
      </c>
      <c r="I202" s="2"/>
      <c r="K202" s="82">
        <v>0.8337</v>
      </c>
      <c r="M202" s="45">
        <v>1000</v>
      </c>
    </row>
    <row r="203" spans="1:13" x14ac:dyDescent="0.2">
      <c r="A203" s="523">
        <v>43050</v>
      </c>
      <c r="B203" s="532" t="s">
        <v>4264</v>
      </c>
      <c r="C203" s="843" t="s">
        <v>5239</v>
      </c>
      <c r="D203" s="1">
        <v>1.5127314814814816E-2</v>
      </c>
      <c r="E203" s="80" t="s">
        <v>2431</v>
      </c>
      <c r="F203" s="69" t="s">
        <v>939</v>
      </c>
      <c r="I203" s="2"/>
      <c r="K203" s="82">
        <v>0.8095</v>
      </c>
    </row>
    <row r="204" spans="1:13" ht="12.75" customHeight="1" x14ac:dyDescent="0.2">
      <c r="A204" s="523">
        <v>43043</v>
      </c>
      <c r="B204" s="936" t="s">
        <v>4264</v>
      </c>
      <c r="C204" s="937" t="s">
        <v>5239</v>
      </c>
      <c r="D204" s="1">
        <v>1.5069444444444443E-2</v>
      </c>
      <c r="E204" s="80" t="s">
        <v>2431</v>
      </c>
      <c r="F204" s="69" t="s">
        <v>1190</v>
      </c>
      <c r="I204" s="2"/>
      <c r="K204" s="82">
        <v>0.81259999999999999</v>
      </c>
    </row>
    <row r="205" spans="1:13" ht="12.75" customHeight="1" x14ac:dyDescent="0.2">
      <c r="A205" s="523">
        <v>43036</v>
      </c>
      <c r="B205" s="80" t="s">
        <v>4264</v>
      </c>
      <c r="C205" s="334" t="s">
        <v>5239</v>
      </c>
      <c r="D205" s="1">
        <v>1.494212962962963E-2</v>
      </c>
      <c r="E205" s="80" t="s">
        <v>2431</v>
      </c>
      <c r="F205" s="69" t="s">
        <v>8753</v>
      </c>
      <c r="I205" s="2"/>
      <c r="K205" s="82">
        <v>0.81950000000000001</v>
      </c>
    </row>
    <row r="206" spans="1:13" x14ac:dyDescent="0.2">
      <c r="A206" s="523">
        <v>43029</v>
      </c>
      <c r="B206" s="901" t="s">
        <v>4264</v>
      </c>
      <c r="C206" s="902" t="s">
        <v>5239</v>
      </c>
      <c r="D206" s="1">
        <v>1.5821759259259261E-2</v>
      </c>
      <c r="E206" s="80" t="s">
        <v>4530</v>
      </c>
      <c r="F206" s="69" t="s">
        <v>4895</v>
      </c>
      <c r="I206" s="2"/>
      <c r="K206" s="82">
        <v>0.77400000000000002</v>
      </c>
      <c r="M206" s="80"/>
    </row>
    <row r="207" spans="1:13" ht="12.75" customHeight="1" x14ac:dyDescent="0.2">
      <c r="A207" s="523">
        <v>43015</v>
      </c>
      <c r="B207" s="923" t="s">
        <v>4264</v>
      </c>
      <c r="C207" s="924" t="s">
        <v>5239</v>
      </c>
      <c r="D207" s="1">
        <v>1.4907407407407406E-2</v>
      </c>
      <c r="E207" s="80" t="s">
        <v>2431</v>
      </c>
      <c r="F207" s="69" t="s">
        <v>8634</v>
      </c>
      <c r="I207" s="2"/>
      <c r="K207" s="82">
        <v>0.82140000000000002</v>
      </c>
    </row>
    <row r="208" spans="1:13" ht="12.75" customHeight="1" x14ac:dyDescent="0.2">
      <c r="A208" s="523">
        <v>42994</v>
      </c>
      <c r="B208" s="869" t="s">
        <v>4264</v>
      </c>
      <c r="C208" s="903" t="s">
        <v>5239</v>
      </c>
      <c r="D208" s="1">
        <v>1.4988425925925926E-2</v>
      </c>
      <c r="E208" s="80" t="s">
        <v>2449</v>
      </c>
      <c r="F208" s="69" t="s">
        <v>8533</v>
      </c>
      <c r="I208" s="2"/>
      <c r="K208" s="82">
        <v>0.81699999999999995</v>
      </c>
      <c r="M208" s="80"/>
    </row>
    <row r="209" spans="1:13" ht="12.75" customHeight="1" x14ac:dyDescent="0.2">
      <c r="A209" s="523">
        <v>42987</v>
      </c>
      <c r="B209" s="532" t="s">
        <v>4264</v>
      </c>
      <c r="C209" s="843" t="s">
        <v>5239</v>
      </c>
      <c r="D209" s="1">
        <v>1.5000000000000001E-2</v>
      </c>
      <c r="E209" s="80" t="s">
        <v>5095</v>
      </c>
      <c r="F209" s="69" t="s">
        <v>8499</v>
      </c>
      <c r="I209" s="2"/>
      <c r="K209" s="82">
        <v>0.81640000000000001</v>
      </c>
      <c r="M209" s="80"/>
    </row>
    <row r="210" spans="1:13" ht="12.75" customHeight="1" x14ac:dyDescent="0.2">
      <c r="A210" s="523">
        <v>42980</v>
      </c>
      <c r="B210" s="532" t="s">
        <v>4264</v>
      </c>
      <c r="C210" s="843" t="s">
        <v>5239</v>
      </c>
      <c r="D210" s="1">
        <v>1.4560185185185183E-2</v>
      </c>
      <c r="E210" s="1" t="s">
        <v>2431</v>
      </c>
      <c r="F210" s="69" t="s">
        <v>12235</v>
      </c>
      <c r="I210" s="2"/>
      <c r="K210" s="82">
        <v>0.84099999999999997</v>
      </c>
      <c r="M210" s="80"/>
    </row>
    <row r="211" spans="1:13" ht="12.75" customHeight="1" x14ac:dyDescent="0.2">
      <c r="A211" s="523">
        <v>42966</v>
      </c>
      <c r="B211" s="879" t="s">
        <v>4264</v>
      </c>
      <c r="C211" s="880" t="s">
        <v>5239</v>
      </c>
      <c r="D211" s="1">
        <v>1.5023148148148148E-2</v>
      </c>
      <c r="E211" s="80" t="s">
        <v>2431</v>
      </c>
      <c r="F211" s="69" t="s">
        <v>8392</v>
      </c>
      <c r="I211" s="2"/>
      <c r="K211" s="82">
        <v>0.81510000000000005</v>
      </c>
    </row>
    <row r="212" spans="1:13" ht="12.75" customHeight="1" x14ac:dyDescent="0.2">
      <c r="A212" s="523">
        <v>42959</v>
      </c>
      <c r="B212" s="866" t="s">
        <v>4264</v>
      </c>
      <c r="C212" s="867" t="s">
        <v>5239</v>
      </c>
      <c r="D212" s="1">
        <v>1.5162037037037036E-2</v>
      </c>
      <c r="E212" s="80" t="s">
        <v>527</v>
      </c>
      <c r="F212" s="69" t="s">
        <v>8351</v>
      </c>
      <c r="I212" s="2"/>
      <c r="K212" s="82">
        <v>0.80759999999999998</v>
      </c>
      <c r="M212" s="80"/>
    </row>
    <row r="213" spans="1:13" ht="12.75" customHeight="1" x14ac:dyDescent="0.2">
      <c r="A213" s="523">
        <v>42952</v>
      </c>
      <c r="B213" s="862" t="s">
        <v>4264</v>
      </c>
      <c r="C213" s="863" t="s">
        <v>5239</v>
      </c>
      <c r="D213" s="1">
        <v>1.4965277777777779E-2</v>
      </c>
      <c r="E213" s="80" t="s">
        <v>5095</v>
      </c>
      <c r="F213" s="69" t="s">
        <v>8301</v>
      </c>
      <c r="I213" s="2"/>
      <c r="K213" s="82">
        <v>0.81830000000000003</v>
      </c>
      <c r="M213" s="80"/>
    </row>
    <row r="214" spans="1:13" x14ac:dyDescent="0.2">
      <c r="A214" s="523">
        <v>42917</v>
      </c>
      <c r="B214" s="80" t="s">
        <v>4264</v>
      </c>
      <c r="C214" s="334" t="s">
        <v>5239</v>
      </c>
      <c r="D214" s="1">
        <v>1.5127314814814816E-2</v>
      </c>
      <c r="E214" s="80" t="s">
        <v>2431</v>
      </c>
      <c r="F214" s="69" t="s">
        <v>1485</v>
      </c>
      <c r="I214" s="2"/>
      <c r="K214" s="82">
        <v>0.8095</v>
      </c>
    </row>
    <row r="215" spans="1:13" x14ac:dyDescent="0.2">
      <c r="A215" s="523">
        <v>42903</v>
      </c>
      <c r="B215" s="80" t="s">
        <v>4264</v>
      </c>
      <c r="C215" s="334" t="s">
        <v>5239</v>
      </c>
      <c r="D215" s="1">
        <v>1.5752314814814813E-2</v>
      </c>
      <c r="E215" s="80" t="s">
        <v>2431</v>
      </c>
      <c r="F215" s="69" t="s">
        <v>3190</v>
      </c>
      <c r="I215" s="2"/>
      <c r="K215" s="82">
        <v>0.77739999999999998</v>
      </c>
      <c r="M215" s="80" t="s">
        <v>8328</v>
      </c>
    </row>
    <row r="216" spans="1:13" x14ac:dyDescent="0.2">
      <c r="A216" s="523">
        <v>42896</v>
      </c>
      <c r="B216" s="80" t="s">
        <v>4264</v>
      </c>
      <c r="C216" s="334" t="s">
        <v>5239</v>
      </c>
      <c r="D216" s="1">
        <v>1.511574074074074E-2</v>
      </c>
      <c r="E216" s="80" t="s">
        <v>2431</v>
      </c>
      <c r="F216" s="69" t="s">
        <v>8032</v>
      </c>
      <c r="I216" s="2"/>
      <c r="K216" s="82">
        <v>0.81010000000000004</v>
      </c>
    </row>
    <row r="217" spans="1:13" x14ac:dyDescent="0.2">
      <c r="A217" s="523">
        <v>42875</v>
      </c>
      <c r="B217" s="80" t="s">
        <v>4264</v>
      </c>
      <c r="C217" s="334" t="s">
        <v>5239</v>
      </c>
      <c r="D217" s="1">
        <v>1.5787037037037037E-2</v>
      </c>
      <c r="E217" s="80" t="s">
        <v>2431</v>
      </c>
      <c r="F217" s="69" t="s">
        <v>5919</v>
      </c>
      <c r="I217" s="2"/>
      <c r="K217" s="82">
        <v>0.7661</v>
      </c>
    </row>
    <row r="218" spans="1:13" x14ac:dyDescent="0.2">
      <c r="A218" s="523">
        <v>42861</v>
      </c>
      <c r="B218" s="80" t="s">
        <v>4264</v>
      </c>
      <c r="C218" s="334" t="s">
        <v>5239</v>
      </c>
      <c r="D218" s="1">
        <v>1.5196759259259259E-2</v>
      </c>
      <c r="E218" s="80" t="s">
        <v>2431</v>
      </c>
      <c r="F218" s="69" t="s">
        <v>1237</v>
      </c>
      <c r="I218" s="2"/>
      <c r="K218" s="82">
        <v>0.79590000000000005</v>
      </c>
      <c r="M218" s="80"/>
    </row>
    <row r="219" spans="1:13" x14ac:dyDescent="0.2">
      <c r="A219" s="523">
        <v>42854</v>
      </c>
      <c r="B219" s="80" t="s">
        <v>4264</v>
      </c>
      <c r="C219" s="334" t="s">
        <v>5239</v>
      </c>
      <c r="D219" s="1">
        <v>1.5474537037037038E-2</v>
      </c>
      <c r="E219" s="80" t="s">
        <v>2431</v>
      </c>
      <c r="F219" s="69" t="s">
        <v>4589</v>
      </c>
      <c r="I219" s="2"/>
      <c r="K219" s="82">
        <v>0.78159999999999996</v>
      </c>
      <c r="M219" s="80"/>
    </row>
    <row r="220" spans="1:13" x14ac:dyDescent="0.2">
      <c r="A220" s="523">
        <v>42840</v>
      </c>
      <c r="B220" s="80" t="s">
        <v>4264</v>
      </c>
      <c r="C220" s="334" t="s">
        <v>5239</v>
      </c>
      <c r="D220" s="1">
        <v>1.5740740740740743E-2</v>
      </c>
      <c r="E220" t="s">
        <v>527</v>
      </c>
      <c r="F220" s="69" t="s">
        <v>7771</v>
      </c>
      <c r="I220" s="2"/>
      <c r="K220" s="82">
        <v>0.76839999999999997</v>
      </c>
      <c r="M220" s="80"/>
    </row>
    <row r="221" spans="1:13" x14ac:dyDescent="0.2">
      <c r="A221" s="523">
        <v>42833</v>
      </c>
      <c r="B221" s="80" t="s">
        <v>4264</v>
      </c>
      <c r="C221" s="334" t="s">
        <v>5239</v>
      </c>
      <c r="D221" s="1">
        <v>1.6087962962962964E-2</v>
      </c>
      <c r="E221" s="80" t="s">
        <v>2431</v>
      </c>
      <c r="F221" s="69" t="s">
        <v>854</v>
      </c>
      <c r="I221" s="2"/>
      <c r="K221" s="82">
        <v>0.75180000000000002</v>
      </c>
      <c r="M221" s="80"/>
    </row>
    <row r="222" spans="1:13" x14ac:dyDescent="0.2">
      <c r="A222" s="33">
        <v>42770</v>
      </c>
      <c r="B222" s="80" t="s">
        <v>4264</v>
      </c>
      <c r="C222" s="334" t="s">
        <v>5239</v>
      </c>
      <c r="D222" s="1">
        <v>1.6111111111111111E-2</v>
      </c>
      <c r="E222" s="80" t="s">
        <v>2431</v>
      </c>
      <c r="F222" s="69" t="s">
        <v>6336</v>
      </c>
      <c r="I222" s="2"/>
      <c r="K222" s="82">
        <v>0.75070000000000003</v>
      </c>
    </row>
    <row r="223" spans="1:13" x14ac:dyDescent="0.2">
      <c r="A223" s="33">
        <v>42763</v>
      </c>
      <c r="B223" s="80" t="s">
        <v>4264</v>
      </c>
      <c r="C223" s="334" t="s">
        <v>5239</v>
      </c>
      <c r="D223" s="35">
        <v>4.1886574074074069E-2</v>
      </c>
      <c r="E223" s="80" t="s">
        <v>5198</v>
      </c>
      <c r="F223" s="69" t="s">
        <v>6323</v>
      </c>
      <c r="I223" s="2"/>
      <c r="K223" s="82">
        <v>0.2888</v>
      </c>
      <c r="M223" s="80"/>
    </row>
    <row r="224" spans="1:13" x14ac:dyDescent="0.2">
      <c r="A224" s="33">
        <v>42742</v>
      </c>
      <c r="B224" s="80" t="s">
        <v>4264</v>
      </c>
      <c r="C224" s="334" t="s">
        <v>5239</v>
      </c>
      <c r="D224" s="1">
        <v>1.5601851851851851E-2</v>
      </c>
      <c r="E224" s="80" t="s">
        <v>5948</v>
      </c>
      <c r="F224" s="69" t="s">
        <v>6272</v>
      </c>
      <c r="I224" s="2"/>
      <c r="K224" s="82">
        <v>0.7752</v>
      </c>
      <c r="M224" s="80"/>
    </row>
    <row r="225" spans="1:13" x14ac:dyDescent="0.2">
      <c r="A225" s="523">
        <v>42736</v>
      </c>
      <c r="B225" s="80" t="s">
        <v>4264</v>
      </c>
      <c r="C225" s="334" t="s">
        <v>5239</v>
      </c>
      <c r="D225" s="1">
        <v>1.5613425925925926E-2</v>
      </c>
      <c r="E225" s="80" t="s">
        <v>2431</v>
      </c>
      <c r="F225" s="69" t="s">
        <v>6231</v>
      </c>
      <c r="I225" s="2"/>
      <c r="K225" s="82">
        <v>0.77459999999999996</v>
      </c>
      <c r="M225" s="80"/>
    </row>
    <row r="226" spans="1:13" x14ac:dyDescent="0.2">
      <c r="A226" s="523">
        <v>42736</v>
      </c>
      <c r="B226" s="80" t="s">
        <v>4264</v>
      </c>
      <c r="C226" s="334" t="s">
        <v>5239</v>
      </c>
      <c r="D226" s="1">
        <v>1.6203703703703703E-2</v>
      </c>
      <c r="E226" s="80" t="s">
        <v>5948</v>
      </c>
      <c r="F226" s="69" t="s">
        <v>6228</v>
      </c>
      <c r="I226" s="2"/>
      <c r="K226" s="82">
        <v>0.74639999999999995</v>
      </c>
      <c r="M226" s="80" t="s">
        <v>8905</v>
      </c>
    </row>
    <row r="227" spans="1:13" x14ac:dyDescent="0.2">
      <c r="A227" s="523">
        <v>42980</v>
      </c>
      <c r="B227" s="837" t="s">
        <v>8457</v>
      </c>
      <c r="C227" s="842" t="s">
        <v>5239</v>
      </c>
      <c r="D227" s="1">
        <v>1.4560185185185183E-2</v>
      </c>
      <c r="E227" s="80" t="s">
        <v>2431</v>
      </c>
      <c r="F227" s="69" t="s">
        <v>2629</v>
      </c>
      <c r="I227" s="2"/>
      <c r="K227" s="82">
        <v>0.84099999999999997</v>
      </c>
      <c r="M227" s="80"/>
    </row>
    <row r="228" spans="1:13" x14ac:dyDescent="0.2">
      <c r="A228" s="523">
        <v>42868</v>
      </c>
      <c r="B228" s="80" t="s">
        <v>922</v>
      </c>
      <c r="C228" s="334" t="s">
        <v>5956</v>
      </c>
      <c r="D228" s="1">
        <v>2.8703703703703703E-2</v>
      </c>
      <c r="E228" s="80" t="s">
        <v>5337</v>
      </c>
      <c r="F228" s="69" t="s">
        <v>7888</v>
      </c>
      <c r="I228" s="2"/>
      <c r="K228" s="82">
        <v>0.50849999999999995</v>
      </c>
    </row>
    <row r="229" spans="1:13" x14ac:dyDescent="0.2">
      <c r="A229" s="523">
        <v>42777</v>
      </c>
      <c r="B229" s="80" t="s">
        <v>922</v>
      </c>
      <c r="C229" s="334" t="s">
        <v>5956</v>
      </c>
      <c r="D229" s="1">
        <v>2.8819444444444443E-2</v>
      </c>
      <c r="E229" s="80" t="s">
        <v>5337</v>
      </c>
      <c r="F229" s="69" t="s">
        <v>1493</v>
      </c>
      <c r="I229" s="2"/>
      <c r="K229" s="82">
        <v>0.49480000000000002</v>
      </c>
      <c r="M229" s="80"/>
    </row>
    <row r="230" spans="1:13" x14ac:dyDescent="0.2">
      <c r="A230" s="33">
        <v>42805</v>
      </c>
      <c r="B230" s="53" t="s">
        <v>834</v>
      </c>
      <c r="C230" s="54" t="s">
        <v>436</v>
      </c>
      <c r="D230" s="1">
        <v>2.5694444444444447E-2</v>
      </c>
      <c r="E230" s="80" t="s">
        <v>4004</v>
      </c>
      <c r="F230" s="69" t="s">
        <v>7636</v>
      </c>
      <c r="I230" s="2"/>
      <c r="K230" s="82">
        <v>0.43780000000000002</v>
      </c>
    </row>
    <row r="231" spans="1:13" x14ac:dyDescent="0.2">
      <c r="A231" s="523">
        <v>42784</v>
      </c>
      <c r="B231" s="53" t="s">
        <v>834</v>
      </c>
      <c r="C231" s="54" t="s">
        <v>436</v>
      </c>
      <c r="D231" s="1">
        <v>2.9398148148148149E-2</v>
      </c>
      <c r="E231" s="80" t="s">
        <v>4004</v>
      </c>
      <c r="F231" s="69" t="s">
        <v>5697</v>
      </c>
      <c r="I231" s="2"/>
      <c r="K231" s="82">
        <v>0.38269999999999998</v>
      </c>
    </row>
    <row r="232" spans="1:13" x14ac:dyDescent="0.2">
      <c r="A232" s="523">
        <v>43099</v>
      </c>
      <c r="B232" s="601" t="s">
        <v>435</v>
      </c>
      <c r="C232" s="958" t="s">
        <v>436</v>
      </c>
      <c r="D232" s="1">
        <v>2.7106481481481481E-2</v>
      </c>
      <c r="E232" s="80" t="s">
        <v>5653</v>
      </c>
      <c r="F232" s="69" t="s">
        <v>9015</v>
      </c>
      <c r="I232" s="2"/>
      <c r="K232" s="82">
        <v>0.48549999999999999</v>
      </c>
    </row>
    <row r="233" spans="1:13" ht="13.5" customHeight="1" x14ac:dyDescent="0.2">
      <c r="A233" s="523">
        <v>43092</v>
      </c>
      <c r="B233" s="568" t="s">
        <v>435</v>
      </c>
      <c r="C233" s="861" t="s">
        <v>436</v>
      </c>
      <c r="D233" s="1">
        <v>2.5752314814814815E-2</v>
      </c>
      <c r="E233" s="80" t="s">
        <v>6393</v>
      </c>
      <c r="F233" s="69" t="s">
        <v>8960</v>
      </c>
      <c r="I233" s="2"/>
      <c r="K233" s="82">
        <v>0.51100000000000001</v>
      </c>
    </row>
    <row r="234" spans="1:13" ht="13.5" customHeight="1" x14ac:dyDescent="0.2">
      <c r="A234" s="523">
        <v>43015</v>
      </c>
      <c r="B234" s="923" t="s">
        <v>435</v>
      </c>
      <c r="C234" s="924" t="s">
        <v>436</v>
      </c>
      <c r="D234" s="1">
        <v>2.2766203703703702E-2</v>
      </c>
      <c r="E234" s="80" t="s">
        <v>5653</v>
      </c>
      <c r="F234" s="69" t="s">
        <v>1029</v>
      </c>
      <c r="I234" s="2"/>
      <c r="K234" s="82">
        <v>0.57799999999999996</v>
      </c>
    </row>
    <row r="235" spans="1:13" ht="12.75" customHeight="1" x14ac:dyDescent="0.2">
      <c r="A235" s="523">
        <v>43008</v>
      </c>
      <c r="B235" s="532" t="s">
        <v>435</v>
      </c>
      <c r="C235" s="843" t="s">
        <v>436</v>
      </c>
      <c r="D235" s="1">
        <v>2.4259259259259258E-2</v>
      </c>
      <c r="E235" s="80" t="s">
        <v>5095</v>
      </c>
      <c r="F235" s="69" t="s">
        <v>8607</v>
      </c>
      <c r="I235" s="2"/>
      <c r="K235" s="82">
        <v>0.54249999999999998</v>
      </c>
    </row>
    <row r="236" spans="1:13" ht="13.5" customHeight="1" x14ac:dyDescent="0.2">
      <c r="A236" s="523">
        <v>43001</v>
      </c>
      <c r="B236" s="906" t="s">
        <v>435</v>
      </c>
      <c r="C236" s="907" t="s">
        <v>436</v>
      </c>
      <c r="D236" s="1">
        <v>2.2465277777777778E-2</v>
      </c>
      <c r="E236" s="80" t="s">
        <v>6393</v>
      </c>
      <c r="F236" s="69" t="s">
        <v>8564</v>
      </c>
      <c r="I236" s="2"/>
      <c r="K236" s="82">
        <v>0.58579999999999999</v>
      </c>
    </row>
    <row r="237" spans="1:13" ht="13.5" customHeight="1" x14ac:dyDescent="0.2">
      <c r="A237" s="523">
        <v>42994</v>
      </c>
      <c r="B237" s="869" t="s">
        <v>435</v>
      </c>
      <c r="C237" s="903" t="s">
        <v>436</v>
      </c>
      <c r="D237" s="1">
        <v>2.2962962962962966E-2</v>
      </c>
      <c r="E237" s="80" t="s">
        <v>5653</v>
      </c>
      <c r="F237" s="69" t="s">
        <v>8536</v>
      </c>
      <c r="I237" s="2"/>
      <c r="K237" s="82">
        <v>0.57310000000000005</v>
      </c>
    </row>
    <row r="238" spans="1:13" ht="13.5" customHeight="1" x14ac:dyDescent="0.2">
      <c r="A238" s="523">
        <v>42987</v>
      </c>
      <c r="B238" s="532" t="s">
        <v>435</v>
      </c>
      <c r="C238" s="843" t="s">
        <v>436</v>
      </c>
      <c r="D238" s="1">
        <v>2.2662037037037036E-2</v>
      </c>
      <c r="E238" s="80" t="s">
        <v>6393</v>
      </c>
      <c r="F238" s="97" t="s">
        <v>8500</v>
      </c>
      <c r="I238" s="2"/>
      <c r="K238" s="82">
        <v>0.58069999999999999</v>
      </c>
    </row>
    <row r="239" spans="1:13" ht="13.5" customHeight="1" x14ac:dyDescent="0.2">
      <c r="A239" s="523">
        <v>42980</v>
      </c>
      <c r="B239" s="837" t="s">
        <v>435</v>
      </c>
      <c r="C239" s="842" t="s">
        <v>436</v>
      </c>
      <c r="D239" s="1">
        <v>2.2928240740740739E-2</v>
      </c>
      <c r="E239" s="80" t="s">
        <v>5653</v>
      </c>
      <c r="F239" s="69" t="s">
        <v>8477</v>
      </c>
      <c r="I239" s="2"/>
      <c r="K239" s="82">
        <v>0.57399999999999995</v>
      </c>
      <c r="M239" s="80"/>
    </row>
    <row r="240" spans="1:13" ht="13.5" customHeight="1" x14ac:dyDescent="0.2">
      <c r="A240" s="523">
        <v>42973</v>
      </c>
      <c r="B240" s="862" t="s">
        <v>435</v>
      </c>
      <c r="C240" s="863" t="s">
        <v>436</v>
      </c>
      <c r="D240" s="1">
        <v>2.2870370370370371E-2</v>
      </c>
      <c r="E240" s="80" t="s">
        <v>6393</v>
      </c>
      <c r="F240" s="69" t="s">
        <v>8425</v>
      </c>
      <c r="I240" s="2"/>
      <c r="K240" s="82">
        <v>0.57540000000000002</v>
      </c>
    </row>
    <row r="241" spans="1:13" ht="13.5" customHeight="1" x14ac:dyDescent="0.2">
      <c r="A241" s="523">
        <v>42966</v>
      </c>
      <c r="B241" s="879" t="s">
        <v>435</v>
      </c>
      <c r="C241" s="880" t="s">
        <v>436</v>
      </c>
      <c r="D241" s="1">
        <v>2.344907407407407E-2</v>
      </c>
      <c r="E241" s="80" t="s">
        <v>5653</v>
      </c>
      <c r="F241" s="69" t="s">
        <v>8403</v>
      </c>
      <c r="I241" s="2"/>
      <c r="K241" s="82">
        <v>0.56120000000000003</v>
      </c>
      <c r="M241" s="80" t="s">
        <v>7749</v>
      </c>
    </row>
    <row r="242" spans="1:13" ht="13.5" customHeight="1" x14ac:dyDescent="0.2">
      <c r="A242" s="523">
        <v>42959</v>
      </c>
      <c r="B242" s="866" t="s">
        <v>435</v>
      </c>
      <c r="C242" s="867" t="s">
        <v>436</v>
      </c>
      <c r="D242" s="1">
        <v>2.3472222222222217E-2</v>
      </c>
      <c r="E242" s="80" t="s">
        <v>6393</v>
      </c>
      <c r="F242" s="69" t="s">
        <v>8357</v>
      </c>
      <c r="I242" s="2"/>
      <c r="K242" s="82">
        <v>0.56069999999999998</v>
      </c>
    </row>
    <row r="243" spans="1:13" ht="13.5" customHeight="1" x14ac:dyDescent="0.2">
      <c r="A243" s="523">
        <v>42938</v>
      </c>
      <c r="B243" s="532" t="s">
        <v>435</v>
      </c>
      <c r="C243" s="843" t="s">
        <v>436</v>
      </c>
      <c r="D243" s="1">
        <v>2.2337962962962962E-2</v>
      </c>
      <c r="E243" s="80" t="s">
        <v>6393</v>
      </c>
      <c r="F243" s="69" t="s">
        <v>8228</v>
      </c>
      <c r="I243" s="2"/>
      <c r="K243" s="82">
        <v>0.58909999999999996</v>
      </c>
      <c r="M243" s="80"/>
    </row>
    <row r="244" spans="1:13" ht="13.5" customHeight="1" x14ac:dyDescent="0.2">
      <c r="A244" s="523">
        <v>42931</v>
      </c>
      <c r="B244" s="837" t="s">
        <v>435</v>
      </c>
      <c r="C244" s="842" t="s">
        <v>436</v>
      </c>
      <c r="D244" s="1">
        <v>2.2094907407407407E-2</v>
      </c>
      <c r="E244" s="80" t="s">
        <v>6393</v>
      </c>
      <c r="F244" s="69" t="s">
        <v>8194</v>
      </c>
      <c r="I244" s="2"/>
      <c r="K244" s="82">
        <v>0.59560000000000002</v>
      </c>
      <c r="M244" s="80"/>
    </row>
    <row r="245" spans="1:13" ht="13.5" customHeight="1" x14ac:dyDescent="0.2">
      <c r="A245" s="34">
        <v>42924</v>
      </c>
      <c r="B245" s="80" t="s">
        <v>435</v>
      </c>
      <c r="C245" s="334" t="s">
        <v>436</v>
      </c>
      <c r="D245" s="1">
        <v>2.3622685185185188E-2</v>
      </c>
      <c r="E245" s="80" t="s">
        <v>5653</v>
      </c>
      <c r="F245" s="69" t="s">
        <v>8173</v>
      </c>
      <c r="I245" s="2"/>
      <c r="K245" s="82">
        <v>0.55710000000000004</v>
      </c>
      <c r="M245" s="80"/>
    </row>
    <row r="246" spans="1:13" ht="13.5" customHeight="1" x14ac:dyDescent="0.2">
      <c r="A246" s="523">
        <v>42917</v>
      </c>
      <c r="B246" s="80" t="s">
        <v>435</v>
      </c>
      <c r="C246" s="334" t="s">
        <v>436</v>
      </c>
      <c r="D246" s="1">
        <v>2.3379629629629629E-2</v>
      </c>
      <c r="E246" s="80" t="s">
        <v>5095</v>
      </c>
      <c r="F246" s="69" t="s">
        <v>8125</v>
      </c>
      <c r="I246" s="2"/>
      <c r="K246" s="82">
        <v>0.56289999999999996</v>
      </c>
    </row>
    <row r="247" spans="1:13" ht="13.5" customHeight="1" x14ac:dyDescent="0.2">
      <c r="A247" s="523">
        <v>42910</v>
      </c>
      <c r="B247" s="80" t="s">
        <v>435</v>
      </c>
      <c r="C247" s="334" t="s">
        <v>436</v>
      </c>
      <c r="D247" s="1">
        <v>2.2870370370370371E-2</v>
      </c>
      <c r="E247" s="80" t="s">
        <v>5653</v>
      </c>
      <c r="F247" s="69" t="s">
        <v>8095</v>
      </c>
      <c r="I247" s="2"/>
      <c r="K247" s="82">
        <v>0.57540000000000002</v>
      </c>
      <c r="M247" s="80"/>
    </row>
    <row r="248" spans="1:13" ht="13.5" customHeight="1" x14ac:dyDescent="0.2">
      <c r="A248" s="523">
        <v>42903</v>
      </c>
      <c r="B248" s="80" t="s">
        <v>435</v>
      </c>
      <c r="C248" s="334" t="s">
        <v>436</v>
      </c>
      <c r="D248" s="1">
        <v>2.3831018518518519E-2</v>
      </c>
      <c r="E248" s="80" t="s">
        <v>6393</v>
      </c>
      <c r="F248" s="69" t="s">
        <v>8064</v>
      </c>
      <c r="I248" s="2"/>
      <c r="K248" s="82">
        <v>0.55220000000000002</v>
      </c>
      <c r="M248" s="80"/>
    </row>
    <row r="249" spans="1:13" ht="13.5" customHeight="1" x14ac:dyDescent="0.2">
      <c r="A249" s="523">
        <v>42896</v>
      </c>
      <c r="B249" s="80" t="s">
        <v>435</v>
      </c>
      <c r="C249" s="334" t="s">
        <v>436</v>
      </c>
      <c r="D249" s="1">
        <v>2.390046296296296E-2</v>
      </c>
      <c r="E249" s="80" t="s">
        <v>6393</v>
      </c>
      <c r="F249" s="69" t="s">
        <v>8025</v>
      </c>
      <c r="I249" s="2"/>
      <c r="K249" s="82">
        <v>0.55059999999999998</v>
      </c>
    </row>
    <row r="250" spans="1:13" ht="13.5" customHeight="1" x14ac:dyDescent="0.2">
      <c r="A250" s="523">
        <v>42882</v>
      </c>
      <c r="B250" s="80" t="s">
        <v>435</v>
      </c>
      <c r="C250" s="334" t="s">
        <v>436</v>
      </c>
      <c r="D250" s="1">
        <v>2.4409722222222222E-2</v>
      </c>
      <c r="E250" s="80" t="s">
        <v>5653</v>
      </c>
      <c r="F250" s="69" t="s">
        <v>7956</v>
      </c>
      <c r="I250" s="2"/>
      <c r="K250" s="82">
        <v>0.53910000000000002</v>
      </c>
    </row>
    <row r="251" spans="1:13" ht="13.5" customHeight="1" x14ac:dyDescent="0.2">
      <c r="A251" s="523">
        <v>42868</v>
      </c>
      <c r="B251" s="80" t="s">
        <v>435</v>
      </c>
      <c r="C251" s="334" t="s">
        <v>436</v>
      </c>
      <c r="D251" s="1">
        <v>2.3715277777777776E-2</v>
      </c>
      <c r="E251" s="80" t="s">
        <v>5653</v>
      </c>
      <c r="F251" s="69" t="s">
        <v>7884</v>
      </c>
      <c r="I251" s="2"/>
      <c r="K251" s="82">
        <v>0.55489999999999995</v>
      </c>
      <c r="M251" s="80"/>
    </row>
    <row r="252" spans="1:13" ht="13.5" customHeight="1" x14ac:dyDescent="0.2">
      <c r="A252" s="523">
        <v>42854</v>
      </c>
      <c r="B252" s="80" t="s">
        <v>435</v>
      </c>
      <c r="C252" s="334" t="s">
        <v>436</v>
      </c>
      <c r="D252" s="1">
        <v>2.2499999999999996E-2</v>
      </c>
      <c r="E252" s="80" t="s">
        <v>6393</v>
      </c>
      <c r="F252" s="69" t="s">
        <v>7822</v>
      </c>
      <c r="I252" s="2"/>
      <c r="K252" s="82">
        <v>0.57509999999999994</v>
      </c>
      <c r="M252" s="80" t="s">
        <v>8195</v>
      </c>
    </row>
    <row r="253" spans="1:13" ht="13.5" customHeight="1" x14ac:dyDescent="0.2">
      <c r="A253" s="523">
        <v>42847</v>
      </c>
      <c r="B253" s="80" t="s">
        <v>435</v>
      </c>
      <c r="C253" s="334" t="s">
        <v>436</v>
      </c>
      <c r="D253" s="1">
        <v>2.2766203703703702E-2</v>
      </c>
      <c r="E253" s="80" t="s">
        <v>5653</v>
      </c>
      <c r="F253" s="69" t="s">
        <v>2949</v>
      </c>
      <c r="I253" s="2"/>
      <c r="K253" s="82">
        <v>0.56840000000000002</v>
      </c>
    </row>
    <row r="254" spans="1:13" ht="13.5" customHeight="1" x14ac:dyDescent="0.2">
      <c r="A254" s="523">
        <v>42840</v>
      </c>
      <c r="B254" s="80" t="s">
        <v>435</v>
      </c>
      <c r="C254" s="334" t="s">
        <v>436</v>
      </c>
      <c r="D254" s="1">
        <v>2.2141203703703705E-2</v>
      </c>
      <c r="E254" t="s">
        <v>4004</v>
      </c>
      <c r="F254" s="69" t="s">
        <v>7775</v>
      </c>
      <c r="I254" s="2"/>
      <c r="K254" s="82">
        <v>0.58440000000000003</v>
      </c>
    </row>
    <row r="255" spans="1:13" ht="13.5" customHeight="1" x14ac:dyDescent="0.2">
      <c r="A255" s="523">
        <v>42833</v>
      </c>
      <c r="B255" s="80" t="s">
        <v>435</v>
      </c>
      <c r="C255" s="334" t="s">
        <v>436</v>
      </c>
      <c r="D255" s="1">
        <v>2.225694444444444E-2</v>
      </c>
      <c r="E255" s="80" t="s">
        <v>5653</v>
      </c>
      <c r="F255" s="69" t="s">
        <v>7748</v>
      </c>
      <c r="I255" s="2"/>
      <c r="K255" s="82">
        <v>0.58140000000000003</v>
      </c>
    </row>
    <row r="256" spans="1:13" ht="13.5" customHeight="1" x14ac:dyDescent="0.2">
      <c r="A256" s="523">
        <v>42826</v>
      </c>
      <c r="B256" s="80" t="s">
        <v>435</v>
      </c>
      <c r="C256" s="334" t="s">
        <v>436</v>
      </c>
      <c r="D256" s="1">
        <v>2.3703703703703703E-2</v>
      </c>
      <c r="E256" s="80" t="s">
        <v>6393</v>
      </c>
      <c r="F256" s="69" t="s">
        <v>4184</v>
      </c>
      <c r="I256" s="2"/>
      <c r="K256" s="82">
        <v>0.54590000000000005</v>
      </c>
      <c r="M256" s="80"/>
    </row>
    <row r="257" spans="1:14" ht="13.5" customHeight="1" x14ac:dyDescent="0.2">
      <c r="A257" s="523">
        <v>42812</v>
      </c>
      <c r="B257" s="80" t="s">
        <v>435</v>
      </c>
      <c r="C257" s="334" t="s">
        <v>436</v>
      </c>
      <c r="D257" s="1">
        <v>2.2627314814814819E-2</v>
      </c>
      <c r="E257" s="80" t="s">
        <v>5653</v>
      </c>
      <c r="F257" s="69" t="s">
        <v>1130</v>
      </c>
      <c r="I257" s="2"/>
      <c r="K257" s="82">
        <v>0.57189999999999996</v>
      </c>
      <c r="M257" s="80"/>
    </row>
    <row r="258" spans="1:14" ht="13.5" customHeight="1" x14ac:dyDescent="0.2">
      <c r="A258" s="33">
        <v>42805</v>
      </c>
      <c r="B258" s="80" t="s">
        <v>435</v>
      </c>
      <c r="C258" s="334" t="s">
        <v>436</v>
      </c>
      <c r="D258" s="1">
        <v>2.2939814814814816E-2</v>
      </c>
      <c r="E258" s="80" t="s">
        <v>5653</v>
      </c>
      <c r="F258" s="69" t="s">
        <v>7625</v>
      </c>
      <c r="I258" s="2"/>
      <c r="K258" s="82">
        <v>0.56410000000000005</v>
      </c>
      <c r="M258" s="80"/>
    </row>
    <row r="259" spans="1:14" ht="13.5" customHeight="1" x14ac:dyDescent="0.2">
      <c r="A259" s="523">
        <v>42798</v>
      </c>
      <c r="B259" t="s">
        <v>435</v>
      </c>
      <c r="C259" s="334" t="s">
        <v>436</v>
      </c>
      <c r="D259" s="1">
        <v>2.2881944444444444E-2</v>
      </c>
      <c r="E259" s="80" t="s">
        <v>1401</v>
      </c>
      <c r="F259" s="69" t="s">
        <v>7588</v>
      </c>
      <c r="I259" s="2"/>
      <c r="K259" s="82">
        <v>0.5655</v>
      </c>
      <c r="M259" s="80"/>
    </row>
    <row r="260" spans="1:14" ht="13.5" customHeight="1" x14ac:dyDescent="0.2">
      <c r="A260" s="523">
        <v>42784</v>
      </c>
      <c r="B260" s="80" t="s">
        <v>435</v>
      </c>
      <c r="C260" s="334" t="s">
        <v>436</v>
      </c>
      <c r="D260" s="1">
        <v>2.3321759259259261E-2</v>
      </c>
      <c r="E260" s="80" t="s">
        <v>5653</v>
      </c>
      <c r="F260" s="69" t="s">
        <v>6430</v>
      </c>
      <c r="I260" s="2"/>
      <c r="K260" s="82">
        <v>0.55479999999999996</v>
      </c>
      <c r="M260" s="80"/>
    </row>
    <row r="261" spans="1:14" ht="13.5" customHeight="1" x14ac:dyDescent="0.2">
      <c r="A261" s="33">
        <v>42763</v>
      </c>
      <c r="B261" s="80" t="s">
        <v>435</v>
      </c>
      <c r="C261" s="334" t="s">
        <v>436</v>
      </c>
      <c r="D261" s="1">
        <v>2.4189814814814817E-2</v>
      </c>
      <c r="E261" s="80" t="s">
        <v>5653</v>
      </c>
      <c r="F261" s="69" t="s">
        <v>6383</v>
      </c>
      <c r="I261" s="2"/>
      <c r="K261" s="82">
        <v>0.53490000000000004</v>
      </c>
      <c r="M261" s="80"/>
    </row>
    <row r="262" spans="1:14" ht="13.5" customHeight="1" x14ac:dyDescent="0.2">
      <c r="A262" s="33">
        <v>42756</v>
      </c>
      <c r="B262" s="80" t="s">
        <v>435</v>
      </c>
      <c r="C262" s="334" t="s">
        <v>436</v>
      </c>
      <c r="D262" s="1">
        <v>2.3506944444444445E-2</v>
      </c>
      <c r="E262" s="80" t="s">
        <v>5653</v>
      </c>
      <c r="F262" s="69" t="s">
        <v>6360</v>
      </c>
      <c r="I262" s="2"/>
      <c r="K262" s="82">
        <v>0.55049999999999999</v>
      </c>
      <c r="M262" s="80"/>
    </row>
    <row r="263" spans="1:14" ht="13.5" customHeight="1" x14ac:dyDescent="0.2">
      <c r="A263" s="523">
        <v>43071</v>
      </c>
      <c r="B263" s="556" t="s">
        <v>8815</v>
      </c>
      <c r="C263" s="950" t="s">
        <v>8816</v>
      </c>
      <c r="D263" s="334" t="s">
        <v>787</v>
      </c>
      <c r="E263" s="80" t="s">
        <v>8859</v>
      </c>
      <c r="F263" s="949" t="s">
        <v>8861</v>
      </c>
      <c r="G263" s="80"/>
      <c r="H263" s="80"/>
      <c r="I263" s="2"/>
      <c r="K263" s="82"/>
      <c r="M263" s="80"/>
    </row>
    <row r="264" spans="1:14" ht="13.5" customHeight="1" x14ac:dyDescent="0.2">
      <c r="A264" s="523">
        <v>43057</v>
      </c>
      <c r="B264" s="940" t="s">
        <v>8815</v>
      </c>
      <c r="C264" s="941" t="s">
        <v>8816</v>
      </c>
      <c r="D264" s="1">
        <v>2.7673611111111111E-2</v>
      </c>
      <c r="E264" s="80" t="s">
        <v>8813</v>
      </c>
      <c r="F264" s="69" t="s">
        <v>8817</v>
      </c>
      <c r="I264" s="2"/>
      <c r="K264" s="82">
        <v>0.41320000000000001</v>
      </c>
      <c r="M264" s="80"/>
    </row>
    <row r="265" spans="1:14" ht="13.5" customHeight="1" x14ac:dyDescent="0.2">
      <c r="A265" s="523">
        <v>43099</v>
      </c>
      <c r="B265" s="601" t="s">
        <v>4963</v>
      </c>
      <c r="C265" s="958" t="s">
        <v>8339</v>
      </c>
      <c r="D265" s="1">
        <v>1.545138888888889E-2</v>
      </c>
      <c r="E265" s="80" t="s">
        <v>527</v>
      </c>
      <c r="F265" s="69" t="s">
        <v>9000</v>
      </c>
      <c r="I265" s="2"/>
      <c r="K265" s="82">
        <v>0.66820000000000002</v>
      </c>
    </row>
    <row r="266" spans="1:14" ht="13.5" customHeight="1" x14ac:dyDescent="0.2">
      <c r="A266" s="523">
        <v>43094</v>
      </c>
      <c r="B266" s="879" t="s">
        <v>4963</v>
      </c>
      <c r="C266" s="880" t="s">
        <v>8339</v>
      </c>
      <c r="D266" s="1">
        <v>1.5555555555555553E-2</v>
      </c>
      <c r="E266" s="80" t="s">
        <v>6018</v>
      </c>
      <c r="F266" s="69" t="s">
        <v>8994</v>
      </c>
      <c r="I266" s="2"/>
      <c r="K266" s="82">
        <v>0.66369999999999996</v>
      </c>
    </row>
    <row r="267" spans="1:14" ht="13.5" customHeight="1" x14ac:dyDescent="0.2">
      <c r="A267" s="523">
        <v>43057</v>
      </c>
      <c r="B267" s="940" t="s">
        <v>4963</v>
      </c>
      <c r="C267" s="941" t="s">
        <v>8339</v>
      </c>
      <c r="D267" s="1">
        <v>1.4965277777777779E-2</v>
      </c>
      <c r="E267" s="80" t="s">
        <v>8813</v>
      </c>
      <c r="F267" s="69" t="s">
        <v>8814</v>
      </c>
      <c r="I267" s="2"/>
      <c r="K267" s="82">
        <v>0.68989999999999996</v>
      </c>
    </row>
    <row r="268" spans="1:14" ht="13.5" customHeight="1" x14ac:dyDescent="0.2">
      <c r="A268" s="523">
        <v>43050</v>
      </c>
      <c r="B268" s="532" t="s">
        <v>4963</v>
      </c>
      <c r="C268" s="843" t="s">
        <v>8339</v>
      </c>
      <c r="D268" s="1">
        <v>1.7476851851851851E-2</v>
      </c>
      <c r="E268" s="80" t="s">
        <v>8373</v>
      </c>
      <c r="F268" s="69" t="s">
        <v>8782</v>
      </c>
      <c r="I268" s="2"/>
      <c r="K268" s="82">
        <v>0.5907</v>
      </c>
      <c r="M268" s="80"/>
    </row>
    <row r="269" spans="1:14" ht="13.5" customHeight="1" x14ac:dyDescent="0.2">
      <c r="A269" s="523">
        <v>43043</v>
      </c>
      <c r="B269" s="936" t="s">
        <v>4963</v>
      </c>
      <c r="C269" s="937" t="s">
        <v>8339</v>
      </c>
      <c r="D269" s="334">
        <v>1.5601851851851851E-2</v>
      </c>
      <c r="E269" s="334" t="s">
        <v>161</v>
      </c>
      <c r="F269" s="69" t="s">
        <v>8764</v>
      </c>
      <c r="G269" s="69"/>
      <c r="J269" s="2"/>
      <c r="K269" s="82">
        <v>0.66170000000000007</v>
      </c>
      <c r="M269" s="80"/>
    </row>
    <row r="270" spans="1:14" ht="13.5" customHeight="1" x14ac:dyDescent="0.2">
      <c r="A270" s="523">
        <v>43036</v>
      </c>
      <c r="B270" s="934" t="s">
        <v>4963</v>
      </c>
      <c r="C270" s="935" t="s">
        <v>8339</v>
      </c>
      <c r="D270" s="1">
        <v>1.5266203703703705E-2</v>
      </c>
      <c r="E270" s="80" t="s">
        <v>3009</v>
      </c>
      <c r="F270" s="69" t="s">
        <v>8746</v>
      </c>
      <c r="I270" s="2"/>
      <c r="K270" s="82">
        <v>0.67630000000000001</v>
      </c>
      <c r="M270" s="80"/>
    </row>
    <row r="271" spans="1:14" ht="13.5" customHeight="1" x14ac:dyDescent="0.2">
      <c r="A271" s="523">
        <v>43015</v>
      </c>
      <c r="B271" s="923" t="s">
        <v>4963</v>
      </c>
      <c r="C271" s="924" t="s">
        <v>8339</v>
      </c>
      <c r="D271" s="1">
        <v>1.7511574074074072E-2</v>
      </c>
      <c r="E271" s="80" t="s">
        <v>4817</v>
      </c>
      <c r="F271" s="69" t="s">
        <v>8619</v>
      </c>
      <c r="I271" s="2"/>
      <c r="K271" s="82">
        <v>0.58960000000000001</v>
      </c>
      <c r="N271" s="80"/>
    </row>
    <row r="272" spans="1:14" ht="13.5" customHeight="1" x14ac:dyDescent="0.2">
      <c r="A272" s="523">
        <v>42994</v>
      </c>
      <c r="B272" s="869" t="s">
        <v>4963</v>
      </c>
      <c r="C272" s="903" t="s">
        <v>8339</v>
      </c>
      <c r="D272" s="1">
        <v>1.6087962962962964E-2</v>
      </c>
      <c r="E272" s="80" t="s">
        <v>4137</v>
      </c>
      <c r="F272" s="69" t="s">
        <v>8528</v>
      </c>
      <c r="I272" s="2"/>
      <c r="K272" s="82">
        <v>0.64170000000000005</v>
      </c>
      <c r="M272" s="80"/>
    </row>
    <row r="273" spans="1:13" ht="13.5" customHeight="1" x14ac:dyDescent="0.2">
      <c r="A273" s="523">
        <v>42959</v>
      </c>
      <c r="B273" s="866" t="s">
        <v>4963</v>
      </c>
      <c r="C273" s="867" t="s">
        <v>8339</v>
      </c>
      <c r="D273" s="1">
        <v>1.6875000000000001E-2</v>
      </c>
      <c r="E273" s="80" t="s">
        <v>2596</v>
      </c>
      <c r="F273" s="69" t="s">
        <v>8350</v>
      </c>
      <c r="I273" s="2"/>
      <c r="K273" s="82">
        <v>0.61180000000000001</v>
      </c>
      <c r="M273" s="80"/>
    </row>
    <row r="274" spans="1:13" ht="13.5" customHeight="1" x14ac:dyDescent="0.2">
      <c r="A274" s="34">
        <v>42742</v>
      </c>
      <c r="B274" s="80" t="s">
        <v>859</v>
      </c>
      <c r="C274" s="334" t="s">
        <v>2619</v>
      </c>
      <c r="D274" s="1">
        <v>1.6249999999999997E-2</v>
      </c>
      <c r="E274" s="80" t="s">
        <v>5883</v>
      </c>
      <c r="F274" s="69" t="s">
        <v>8950</v>
      </c>
      <c r="K274" s="82">
        <v>0.64029999999999998</v>
      </c>
    </row>
    <row r="275" spans="1:13" ht="13.5" customHeight="1" x14ac:dyDescent="0.2">
      <c r="A275" s="523">
        <v>43078</v>
      </c>
      <c r="B275" s="879" t="s">
        <v>3182</v>
      </c>
      <c r="C275" s="880" t="s">
        <v>3183</v>
      </c>
      <c r="D275" s="1">
        <v>1.5138888888888889E-2</v>
      </c>
      <c r="E275" s="80" t="s">
        <v>2818</v>
      </c>
      <c r="F275" s="69" t="s">
        <v>8912</v>
      </c>
      <c r="I275" s="2"/>
      <c r="K275" s="82">
        <v>0.71709999999999996</v>
      </c>
      <c r="M275" s="80"/>
    </row>
    <row r="276" spans="1:13" ht="13.5" customHeight="1" x14ac:dyDescent="0.2">
      <c r="A276" s="523">
        <v>43015</v>
      </c>
      <c r="B276" s="923" t="s">
        <v>8620</v>
      </c>
      <c r="C276" s="924" t="s">
        <v>8621</v>
      </c>
      <c r="D276" s="1">
        <v>1.6412037037037037E-2</v>
      </c>
      <c r="E276" s="80" t="s">
        <v>4817</v>
      </c>
      <c r="F276" s="69" t="s">
        <v>2629</v>
      </c>
      <c r="I276" s="2"/>
      <c r="K276" s="82">
        <v>0.58599999999999997</v>
      </c>
      <c r="M276" s="80"/>
    </row>
    <row r="277" spans="1:13" ht="13.5" customHeight="1" x14ac:dyDescent="0.2">
      <c r="A277" s="523">
        <v>43092</v>
      </c>
      <c r="B277" s="1590" t="s">
        <v>2984</v>
      </c>
      <c r="C277" s="1591" t="s">
        <v>6326</v>
      </c>
      <c r="D277" s="1">
        <v>1.8425925925925925E-2</v>
      </c>
      <c r="E277" s="80" t="s">
        <v>5885</v>
      </c>
      <c r="F277" s="69" t="s">
        <v>8952</v>
      </c>
      <c r="I277" s="2"/>
      <c r="K277" s="82">
        <v>0.71109999999999995</v>
      </c>
      <c r="L277" s="80" t="s">
        <v>13256</v>
      </c>
    </row>
    <row r="278" spans="1:13" ht="13.5" customHeight="1" x14ac:dyDescent="0.2">
      <c r="A278" s="523">
        <v>43050</v>
      </c>
      <c r="B278" s="1592" t="s">
        <v>2984</v>
      </c>
      <c r="C278" s="1593" t="s">
        <v>6326</v>
      </c>
      <c r="D278" s="1">
        <v>1.8067129629629631E-2</v>
      </c>
      <c r="E278" s="80" t="s">
        <v>5885</v>
      </c>
      <c r="F278" s="69" t="s">
        <v>8784</v>
      </c>
      <c r="I278" s="2"/>
      <c r="K278" s="82">
        <v>0.72519999999999996</v>
      </c>
      <c r="L278" s="80" t="s">
        <v>13256</v>
      </c>
    </row>
    <row r="279" spans="1:13" ht="13.5" customHeight="1" x14ac:dyDescent="0.2">
      <c r="A279" s="523">
        <v>43099</v>
      </c>
      <c r="B279" s="1594" t="s">
        <v>7628</v>
      </c>
      <c r="C279" s="1595" t="s">
        <v>6326</v>
      </c>
      <c r="D279" s="1">
        <v>1.8657407407407407E-2</v>
      </c>
      <c r="E279" s="80" t="s">
        <v>5885</v>
      </c>
      <c r="F279" s="69" t="s">
        <v>9010</v>
      </c>
      <c r="I279" s="2"/>
      <c r="K279" s="82">
        <v>0.70220000000000005</v>
      </c>
      <c r="L279" s="80" t="s">
        <v>13256</v>
      </c>
    </row>
    <row r="280" spans="1:13" ht="13.5" customHeight="1" x14ac:dyDescent="0.2">
      <c r="A280" s="523">
        <v>43036</v>
      </c>
      <c r="B280" s="1596" t="s">
        <v>7628</v>
      </c>
      <c r="C280" s="1597" t="s">
        <v>6326</v>
      </c>
      <c r="D280" s="1">
        <v>1.818287037037037E-2</v>
      </c>
      <c r="E280" s="80" t="s">
        <v>5885</v>
      </c>
      <c r="F280" s="69" t="s">
        <v>8739</v>
      </c>
      <c r="I280" s="2"/>
      <c r="K280" s="82">
        <v>0.71079999999999999</v>
      </c>
      <c r="L280" s="80" t="s">
        <v>13256</v>
      </c>
    </row>
    <row r="281" spans="1:13" ht="13.5" customHeight="1" x14ac:dyDescent="0.2">
      <c r="A281" s="523">
        <v>43015</v>
      </c>
      <c r="B281" s="1598" t="s">
        <v>7628</v>
      </c>
      <c r="C281" s="1599" t="s">
        <v>6326</v>
      </c>
      <c r="D281" s="1">
        <v>1.877314814814815E-2</v>
      </c>
      <c r="E281" s="80" t="s">
        <v>7944</v>
      </c>
      <c r="F281" s="922" t="s">
        <v>8632</v>
      </c>
      <c r="I281" s="2"/>
      <c r="K281" s="82">
        <v>0.68799999999999994</v>
      </c>
      <c r="L281" s="80" t="s">
        <v>13256</v>
      </c>
    </row>
    <row r="282" spans="1:13" ht="13.5" customHeight="1" x14ac:dyDescent="0.2">
      <c r="A282" s="523">
        <v>42938</v>
      </c>
      <c r="B282" s="1592" t="s">
        <v>7628</v>
      </c>
      <c r="C282" s="1593" t="s">
        <v>6326</v>
      </c>
      <c r="D282" s="1">
        <v>1.9328703703703702E-2</v>
      </c>
      <c r="E282" s="80" t="s">
        <v>5885</v>
      </c>
      <c r="F282" s="69" t="s">
        <v>8233</v>
      </c>
      <c r="I282" s="2"/>
      <c r="K282" s="82">
        <v>0.66830000000000001</v>
      </c>
      <c r="L282" s="80" t="s">
        <v>13256</v>
      </c>
    </row>
    <row r="283" spans="1:13" ht="13.5" customHeight="1" x14ac:dyDescent="0.2">
      <c r="A283" s="523">
        <v>42931</v>
      </c>
      <c r="B283" s="1600" t="s">
        <v>7628</v>
      </c>
      <c r="C283" s="1601" t="s">
        <v>6326</v>
      </c>
      <c r="D283" s="1">
        <v>1.9444444444444445E-2</v>
      </c>
      <c r="E283" s="80" t="s">
        <v>5885</v>
      </c>
      <c r="F283" s="69" t="s">
        <v>2188</v>
      </c>
      <c r="I283" s="2"/>
      <c r="K283" s="82">
        <v>0.6643</v>
      </c>
      <c r="L283" s="80" t="s">
        <v>13256</v>
      </c>
    </row>
    <row r="284" spans="1:13" ht="13.5" customHeight="1" x14ac:dyDescent="0.2">
      <c r="A284" s="523">
        <v>42903</v>
      </c>
      <c r="B284" s="859" t="s">
        <v>7628</v>
      </c>
      <c r="C284" s="1602" t="s">
        <v>6326</v>
      </c>
      <c r="D284" s="1">
        <v>1.9895833333333331E-2</v>
      </c>
      <c r="E284" t="s">
        <v>5885</v>
      </c>
      <c r="F284" s="69" t="s">
        <v>3244</v>
      </c>
      <c r="I284" s="2"/>
      <c r="K284" s="82">
        <v>0.6492</v>
      </c>
      <c r="L284" s="80" t="s">
        <v>13256</v>
      </c>
    </row>
    <row r="285" spans="1:13" ht="13.5" customHeight="1" x14ac:dyDescent="0.2">
      <c r="A285" s="523">
        <v>42889</v>
      </c>
      <c r="B285" s="859" t="s">
        <v>2984</v>
      </c>
      <c r="C285" s="1602" t="s">
        <v>6326</v>
      </c>
      <c r="D285" s="1">
        <v>1.6898148148148148E-2</v>
      </c>
      <c r="E285" s="80" t="s">
        <v>5885</v>
      </c>
      <c r="F285" s="69" t="s">
        <v>7973</v>
      </c>
      <c r="I285" s="2"/>
      <c r="K285" s="82">
        <v>0.76439999999999997</v>
      </c>
      <c r="L285" s="80" t="s">
        <v>13256</v>
      </c>
    </row>
    <row r="286" spans="1:13" ht="13.5" customHeight="1" x14ac:dyDescent="0.2">
      <c r="A286" s="523">
        <v>42847</v>
      </c>
      <c r="B286" s="859" t="s">
        <v>7628</v>
      </c>
      <c r="C286" s="1602" t="s">
        <v>6326</v>
      </c>
      <c r="D286" s="1">
        <v>2.0370370370370369E-2</v>
      </c>
      <c r="E286" s="80" t="s">
        <v>5885</v>
      </c>
      <c r="F286" s="69" t="s">
        <v>5172</v>
      </c>
      <c r="I286" s="2"/>
      <c r="K286" s="82">
        <v>0.6341</v>
      </c>
      <c r="L286" s="80" t="s">
        <v>13256</v>
      </c>
    </row>
    <row r="287" spans="1:13" ht="13.5" customHeight="1" x14ac:dyDescent="0.2">
      <c r="A287" s="33">
        <v>42805</v>
      </c>
      <c r="B287" s="80" t="s">
        <v>7628</v>
      </c>
      <c r="C287" s="334" t="s">
        <v>6326</v>
      </c>
      <c r="D287" s="1">
        <v>1.951388888888889E-2</v>
      </c>
      <c r="E287" s="80" t="s">
        <v>2147</v>
      </c>
      <c r="F287" s="69" t="s">
        <v>7629</v>
      </c>
      <c r="I287" s="2"/>
      <c r="K287" s="82">
        <v>0.66190000000000004</v>
      </c>
      <c r="M287" s="80"/>
    </row>
    <row r="288" spans="1:13" ht="13.5" customHeight="1" x14ac:dyDescent="0.2">
      <c r="A288" s="523">
        <v>42784</v>
      </c>
      <c r="B288" s="80" t="s">
        <v>2984</v>
      </c>
      <c r="C288" s="334" t="s">
        <v>6326</v>
      </c>
      <c r="D288" s="1">
        <v>1.6331018518518519E-2</v>
      </c>
      <c r="E288" t="s">
        <v>5885</v>
      </c>
      <c r="F288" s="69" t="s">
        <v>6432</v>
      </c>
      <c r="I288" s="2"/>
      <c r="K288" s="82">
        <v>0.79090000000000005</v>
      </c>
    </row>
    <row r="289" spans="1:13" ht="13.5" customHeight="1" x14ac:dyDescent="0.2">
      <c r="A289" s="523">
        <v>42777</v>
      </c>
      <c r="B289" s="80" t="s">
        <v>2984</v>
      </c>
      <c r="C289" s="334" t="s">
        <v>6326</v>
      </c>
      <c r="D289" s="1">
        <v>1.6655092592592593E-2</v>
      </c>
      <c r="E289" t="s">
        <v>5885</v>
      </c>
      <c r="F289" s="69" t="s">
        <v>6407</v>
      </c>
      <c r="I289" s="2"/>
      <c r="K289" s="82">
        <v>0.77549999999999997</v>
      </c>
    </row>
    <row r="290" spans="1:13" ht="13.5" customHeight="1" x14ac:dyDescent="0.2">
      <c r="A290" s="33">
        <v>42770</v>
      </c>
      <c r="B290" s="80" t="s">
        <v>2984</v>
      </c>
      <c r="C290" s="334" t="s">
        <v>6326</v>
      </c>
      <c r="D290" s="1">
        <v>1.7060185185185185E-2</v>
      </c>
      <c r="E290" s="80" t="s">
        <v>5885</v>
      </c>
      <c r="F290" s="69" t="s">
        <v>6327</v>
      </c>
      <c r="I290" s="2"/>
      <c r="K290" s="82">
        <v>0.7571</v>
      </c>
      <c r="M290" s="80"/>
    </row>
    <row r="291" spans="1:13" ht="13.5" customHeight="1" x14ac:dyDescent="0.2">
      <c r="A291" s="33">
        <v>42756</v>
      </c>
      <c r="B291" s="80" t="s">
        <v>2984</v>
      </c>
      <c r="C291" s="334" t="s">
        <v>6326</v>
      </c>
      <c r="D291" s="1">
        <v>1.8217592592592594E-2</v>
      </c>
      <c r="E291" t="s">
        <v>5885</v>
      </c>
      <c r="F291" s="69" t="s">
        <v>6353</v>
      </c>
      <c r="I291" s="2"/>
      <c r="K291" s="82">
        <v>0.70899999999999996</v>
      </c>
      <c r="M291" s="80"/>
    </row>
    <row r="292" spans="1:13" ht="13.5" customHeight="1" x14ac:dyDescent="0.2">
      <c r="A292" s="33">
        <v>43092</v>
      </c>
      <c r="B292" s="568" t="s">
        <v>4269</v>
      </c>
      <c r="C292" s="861" t="s">
        <v>4270</v>
      </c>
      <c r="D292" s="80" t="s">
        <v>787</v>
      </c>
      <c r="E292" s="80" t="s">
        <v>129</v>
      </c>
      <c r="F292" s="69" t="s">
        <v>4185</v>
      </c>
      <c r="G292" s="5"/>
      <c r="H292" s="2"/>
      <c r="I292" s="2"/>
      <c r="K292" s="82"/>
    </row>
    <row r="293" spans="1:13" ht="13.5" customHeight="1" x14ac:dyDescent="0.2">
      <c r="A293" s="523">
        <v>43078</v>
      </c>
      <c r="B293" s="879" t="s">
        <v>4269</v>
      </c>
      <c r="C293" s="880" t="s">
        <v>4270</v>
      </c>
      <c r="D293" s="1">
        <v>1.6053240740740739E-2</v>
      </c>
      <c r="E293" s="80" t="s">
        <v>129</v>
      </c>
      <c r="F293" s="69" t="s">
        <v>5572</v>
      </c>
      <c r="I293" s="2"/>
      <c r="K293" s="82">
        <v>0.5948</v>
      </c>
      <c r="M293" s="45"/>
    </row>
    <row r="294" spans="1:13" ht="13.5" customHeight="1" x14ac:dyDescent="0.2">
      <c r="A294" s="523">
        <v>43071</v>
      </c>
      <c r="B294" s="556" t="s">
        <v>4269</v>
      </c>
      <c r="C294" s="950" t="s">
        <v>4270</v>
      </c>
      <c r="D294" s="1">
        <v>1.5682870370370371E-2</v>
      </c>
      <c r="E294" s="80" t="s">
        <v>129</v>
      </c>
      <c r="F294" s="69" t="s">
        <v>8866</v>
      </c>
      <c r="I294" s="2"/>
      <c r="K294" s="82">
        <v>0.6089</v>
      </c>
    </row>
    <row r="295" spans="1:13" ht="13.5" customHeight="1" x14ac:dyDescent="0.2">
      <c r="A295" s="523">
        <v>43064</v>
      </c>
      <c r="B295" s="869" t="s">
        <v>4269</v>
      </c>
      <c r="C295" s="903" t="s">
        <v>4270</v>
      </c>
      <c r="D295" s="1" t="s">
        <v>787</v>
      </c>
      <c r="E295" s="80" t="s">
        <v>129</v>
      </c>
      <c r="F295" s="69" t="s">
        <v>4185</v>
      </c>
      <c r="I295" s="2"/>
      <c r="K295" s="82"/>
    </row>
    <row r="296" spans="1:13" ht="13.5" customHeight="1" x14ac:dyDescent="0.2">
      <c r="A296" s="523">
        <v>43057</v>
      </c>
      <c r="B296" s="940" t="s">
        <v>4269</v>
      </c>
      <c r="C296" s="941" t="s">
        <v>4270</v>
      </c>
      <c r="D296" s="1">
        <v>1.5578703703703704E-2</v>
      </c>
      <c r="E296" s="80" t="s">
        <v>129</v>
      </c>
      <c r="F296" s="69" t="s">
        <v>4648</v>
      </c>
      <c r="I296" s="2"/>
      <c r="K296" s="82">
        <v>0.6129</v>
      </c>
    </row>
    <row r="297" spans="1:13" ht="13.5" customHeight="1" x14ac:dyDescent="0.2">
      <c r="A297" s="523">
        <v>43050</v>
      </c>
      <c r="B297" s="532" t="s">
        <v>4269</v>
      </c>
      <c r="C297" s="843" t="s">
        <v>4270</v>
      </c>
      <c r="D297" s="1">
        <v>1.5729166666666666E-2</v>
      </c>
      <c r="E297" s="80" t="s">
        <v>129</v>
      </c>
      <c r="F297" s="69" t="s">
        <v>4478</v>
      </c>
      <c r="I297" s="2"/>
      <c r="K297" s="82">
        <v>0.60709999999999997</v>
      </c>
    </row>
    <row r="298" spans="1:13" ht="13.5" customHeight="1" x14ac:dyDescent="0.2">
      <c r="A298" s="523">
        <v>43043</v>
      </c>
      <c r="B298" s="936" t="s">
        <v>4269</v>
      </c>
      <c r="C298" s="937" t="s">
        <v>4270</v>
      </c>
      <c r="D298" s="1">
        <v>1.6006944444444445E-2</v>
      </c>
      <c r="E298" s="80" t="s">
        <v>129</v>
      </c>
      <c r="F298" s="69" t="s">
        <v>1200</v>
      </c>
      <c r="I298" s="2"/>
      <c r="K298" s="82">
        <v>0.59650000000000003</v>
      </c>
    </row>
    <row r="299" spans="1:13" ht="13.5" customHeight="1" x14ac:dyDescent="0.2">
      <c r="A299" s="523">
        <v>43008</v>
      </c>
      <c r="B299" s="532" t="s">
        <v>4269</v>
      </c>
      <c r="C299" s="843" t="s">
        <v>4270</v>
      </c>
      <c r="D299" s="1">
        <v>1.5520833333333333E-2</v>
      </c>
      <c r="E299" s="80" t="s">
        <v>129</v>
      </c>
      <c r="F299" s="69" t="s">
        <v>8597</v>
      </c>
      <c r="I299" s="2"/>
      <c r="K299" s="82">
        <v>0.61519999999999997</v>
      </c>
    </row>
    <row r="300" spans="1:13" ht="13.5" customHeight="1" x14ac:dyDescent="0.2">
      <c r="A300" s="523">
        <v>43001</v>
      </c>
      <c r="B300" s="906" t="s">
        <v>4269</v>
      </c>
      <c r="C300" s="907" t="s">
        <v>4270</v>
      </c>
      <c r="D300" s="334" t="s">
        <v>787</v>
      </c>
      <c r="E300" s="80" t="s">
        <v>129</v>
      </c>
      <c r="F300" s="69" t="s">
        <v>4185</v>
      </c>
      <c r="I300" s="2"/>
      <c r="K300" s="82"/>
    </row>
    <row r="301" spans="1:13" ht="13.5" customHeight="1" x14ac:dyDescent="0.2">
      <c r="A301" s="523">
        <v>42959</v>
      </c>
      <c r="B301" s="866" t="s">
        <v>4269</v>
      </c>
      <c r="C301" s="867" t="s">
        <v>4270</v>
      </c>
      <c r="D301" s="1" t="s">
        <v>787</v>
      </c>
      <c r="E301" s="80" t="s">
        <v>129</v>
      </c>
      <c r="F301" s="69" t="s">
        <v>4185</v>
      </c>
      <c r="I301" s="2"/>
      <c r="K301" s="82"/>
    </row>
    <row r="302" spans="1:13" ht="13.5" customHeight="1" x14ac:dyDescent="0.2">
      <c r="A302" s="523">
        <v>42938</v>
      </c>
      <c r="B302" s="532" t="s">
        <v>4269</v>
      </c>
      <c r="C302" s="843" t="s">
        <v>4270</v>
      </c>
      <c r="D302" s="1">
        <v>1.5416666666666667E-2</v>
      </c>
      <c r="E302" s="80" t="s">
        <v>129</v>
      </c>
      <c r="F302" s="69" t="s">
        <v>5917</v>
      </c>
      <c r="I302" s="2"/>
      <c r="K302" s="82">
        <v>0.6149</v>
      </c>
    </row>
    <row r="303" spans="1:13" ht="13.5" customHeight="1" x14ac:dyDescent="0.2">
      <c r="A303" s="34">
        <v>42924</v>
      </c>
      <c r="B303" s="80" t="s">
        <v>4269</v>
      </c>
      <c r="C303" s="334" t="s">
        <v>4270</v>
      </c>
      <c r="D303" s="334" t="s">
        <v>787</v>
      </c>
      <c r="E303" s="80" t="s">
        <v>129</v>
      </c>
      <c r="F303" s="69"/>
      <c r="I303" s="2"/>
      <c r="K303" s="82"/>
      <c r="M303" s="80"/>
    </row>
    <row r="304" spans="1:13" ht="13.5" customHeight="1" x14ac:dyDescent="0.2">
      <c r="A304" s="523">
        <v>42917</v>
      </c>
      <c r="B304" s="80" t="s">
        <v>4269</v>
      </c>
      <c r="C304" s="334" t="s">
        <v>4270</v>
      </c>
      <c r="D304" s="1">
        <v>1.5428240740740741E-2</v>
      </c>
      <c r="E304" s="80" t="s">
        <v>129</v>
      </c>
      <c r="F304" s="69" t="s">
        <v>8128</v>
      </c>
      <c r="I304" s="2"/>
      <c r="K304" s="82">
        <v>0.61439999999999995</v>
      </c>
    </row>
    <row r="305" spans="1:13" ht="13.5" customHeight="1" x14ac:dyDescent="0.2">
      <c r="A305" s="523">
        <v>42896</v>
      </c>
      <c r="B305" s="80" t="s">
        <v>4269</v>
      </c>
      <c r="C305" s="334" t="s">
        <v>4270</v>
      </c>
      <c r="D305" s="334" t="s">
        <v>787</v>
      </c>
      <c r="E305" s="80" t="s">
        <v>129</v>
      </c>
      <c r="F305" s="69"/>
      <c r="I305" s="2"/>
      <c r="K305" s="82"/>
      <c r="M305" s="80"/>
    </row>
    <row r="306" spans="1:13" ht="13.5" customHeight="1" x14ac:dyDescent="0.2">
      <c r="A306" s="523">
        <v>42882</v>
      </c>
      <c r="B306" s="80" t="s">
        <v>4269</v>
      </c>
      <c r="C306" s="334" t="s">
        <v>4270</v>
      </c>
      <c r="D306" s="1">
        <v>1.6585648148148148E-2</v>
      </c>
      <c r="E306" s="80" t="s">
        <v>129</v>
      </c>
      <c r="F306" s="69" t="s">
        <v>1598</v>
      </c>
      <c r="I306" s="2"/>
      <c r="K306" s="82">
        <v>0.57150000000000001</v>
      </c>
      <c r="M306" s="80"/>
    </row>
    <row r="307" spans="1:13" ht="13.5" customHeight="1" x14ac:dyDescent="0.2">
      <c r="A307" s="523">
        <v>42868</v>
      </c>
      <c r="B307" s="80" t="s">
        <v>4269</v>
      </c>
      <c r="C307" s="334" t="s">
        <v>4270</v>
      </c>
      <c r="D307" s="1">
        <v>1.5196759259259259E-2</v>
      </c>
      <c r="E307" s="80" t="s">
        <v>129</v>
      </c>
      <c r="F307" s="69" t="s">
        <v>7885</v>
      </c>
      <c r="I307" s="2"/>
      <c r="K307" s="82">
        <v>0.62380000000000002</v>
      </c>
      <c r="M307" s="80"/>
    </row>
    <row r="308" spans="1:13" ht="13.5" customHeight="1" x14ac:dyDescent="0.2">
      <c r="A308" s="523">
        <v>42861</v>
      </c>
      <c r="B308" s="80" t="s">
        <v>4269</v>
      </c>
      <c r="C308" s="334" t="s">
        <v>4270</v>
      </c>
      <c r="D308" s="1">
        <v>1.503472222222222E-2</v>
      </c>
      <c r="E308" s="80" t="s">
        <v>129</v>
      </c>
      <c r="F308" s="69" t="s">
        <v>210</v>
      </c>
      <c r="I308" s="2"/>
      <c r="K308" s="82">
        <v>0.63049999999999995</v>
      </c>
      <c r="M308" s="80"/>
    </row>
    <row r="309" spans="1:13" ht="13.5" customHeight="1" x14ac:dyDescent="0.2">
      <c r="A309" s="523">
        <v>42854</v>
      </c>
      <c r="B309" s="80" t="s">
        <v>4269</v>
      </c>
      <c r="C309" s="334" t="s">
        <v>4270</v>
      </c>
      <c r="D309" s="1">
        <v>1.5810185185185184E-2</v>
      </c>
      <c r="E309" s="80" t="s">
        <v>129</v>
      </c>
      <c r="F309" s="69" t="s">
        <v>7827</v>
      </c>
      <c r="I309" s="2"/>
      <c r="K309" s="82">
        <v>0.59960000000000002</v>
      </c>
    </row>
    <row r="310" spans="1:13" ht="13.5" customHeight="1" x14ac:dyDescent="0.2">
      <c r="A310" s="33">
        <v>42847</v>
      </c>
      <c r="B310" s="80" t="s">
        <v>4269</v>
      </c>
      <c r="C310" s="334" t="s">
        <v>4270</v>
      </c>
      <c r="D310" s="80" t="s">
        <v>787</v>
      </c>
      <c r="E310" s="80" t="s">
        <v>129</v>
      </c>
      <c r="F310" s="69" t="s">
        <v>4185</v>
      </c>
      <c r="G310" s="5"/>
      <c r="H310" s="5"/>
      <c r="I310" s="2"/>
      <c r="K310" s="82"/>
      <c r="M310" s="80"/>
    </row>
    <row r="311" spans="1:13" ht="13.5" customHeight="1" x14ac:dyDescent="0.2">
      <c r="A311" s="523">
        <v>42826</v>
      </c>
      <c r="B311" s="80" t="s">
        <v>4269</v>
      </c>
      <c r="C311" s="334" t="s">
        <v>4270</v>
      </c>
      <c r="D311" s="1">
        <v>1.6782407407407409E-2</v>
      </c>
      <c r="E311" s="80" t="s">
        <v>129</v>
      </c>
      <c r="F311" s="69" t="s">
        <v>7701</v>
      </c>
      <c r="I311" s="2"/>
      <c r="K311" s="82">
        <v>0.56479999999999997</v>
      </c>
    </row>
    <row r="312" spans="1:13" ht="13.5" customHeight="1" x14ac:dyDescent="0.2">
      <c r="A312" s="523">
        <v>42812</v>
      </c>
      <c r="B312" s="80" t="s">
        <v>4269</v>
      </c>
      <c r="C312" s="334" t="s">
        <v>4270</v>
      </c>
      <c r="D312" s="1">
        <v>1.5324074074074073E-2</v>
      </c>
      <c r="E312" s="80" t="s">
        <v>129</v>
      </c>
      <c r="F312" s="69" t="s">
        <v>4392</v>
      </c>
      <c r="I312" s="2"/>
      <c r="K312" s="82">
        <v>0.61860000000000004</v>
      </c>
      <c r="M312" s="80"/>
    </row>
    <row r="313" spans="1:13" ht="13.5" customHeight="1" x14ac:dyDescent="0.2">
      <c r="A313" s="33">
        <v>42805</v>
      </c>
      <c r="B313" s="80" t="s">
        <v>4269</v>
      </c>
      <c r="C313" s="334" t="s">
        <v>4270</v>
      </c>
      <c r="D313" s="80" t="s">
        <v>787</v>
      </c>
      <c r="E313" s="80" t="s">
        <v>129</v>
      </c>
      <c r="F313" s="69" t="s">
        <v>4185</v>
      </c>
      <c r="G313" s="80"/>
      <c r="I313" s="2"/>
      <c r="K313" s="82"/>
    </row>
    <row r="314" spans="1:13" ht="13.5" customHeight="1" x14ac:dyDescent="0.2">
      <c r="A314" s="523">
        <v>42798</v>
      </c>
      <c r="B314" s="80" t="s">
        <v>4269</v>
      </c>
      <c r="C314" s="334" t="s">
        <v>4270</v>
      </c>
      <c r="D314" s="1">
        <v>1.7303240740740741E-2</v>
      </c>
      <c r="E314" s="80" t="s">
        <v>129</v>
      </c>
      <c r="F314" s="69" t="s">
        <v>79</v>
      </c>
      <c r="I314" s="2"/>
      <c r="K314" s="82">
        <v>0.54779999999999995</v>
      </c>
    </row>
    <row r="315" spans="1:13" ht="13.5" customHeight="1" x14ac:dyDescent="0.2">
      <c r="A315" s="523">
        <v>42791</v>
      </c>
      <c r="B315" s="80" t="s">
        <v>4269</v>
      </c>
      <c r="C315" s="334" t="s">
        <v>4270</v>
      </c>
      <c r="D315" s="1">
        <v>1.6145833333333335E-2</v>
      </c>
      <c r="E315" s="80" t="s">
        <v>129</v>
      </c>
      <c r="F315" s="69" t="s">
        <v>5371</v>
      </c>
      <c r="I315" s="2"/>
      <c r="K315" s="82">
        <v>0.58709999999999996</v>
      </c>
      <c r="M315" s="80"/>
    </row>
    <row r="316" spans="1:13" ht="13.5" customHeight="1" x14ac:dyDescent="0.2">
      <c r="A316" s="523">
        <v>42777</v>
      </c>
      <c r="B316" s="80" t="s">
        <v>4269</v>
      </c>
      <c r="C316" s="334" t="s">
        <v>4270</v>
      </c>
      <c r="D316" s="1">
        <v>1.636574074074074E-2</v>
      </c>
      <c r="E316" s="80" t="s">
        <v>129</v>
      </c>
      <c r="F316" s="69" t="s">
        <v>2188</v>
      </c>
      <c r="I316" s="2"/>
      <c r="K316" s="82">
        <v>0.57920000000000005</v>
      </c>
      <c r="M316" s="80"/>
    </row>
    <row r="317" spans="1:13" ht="13.5" customHeight="1" x14ac:dyDescent="0.2">
      <c r="A317" s="33">
        <v>42770</v>
      </c>
      <c r="B317" s="80" t="s">
        <v>4269</v>
      </c>
      <c r="C317" s="334" t="s">
        <v>4270</v>
      </c>
      <c r="D317" s="334">
        <v>1.5289351851851851E-2</v>
      </c>
      <c r="E317" s="80" t="s">
        <v>129</v>
      </c>
      <c r="F317" s="69" t="s">
        <v>6329</v>
      </c>
      <c r="I317" s="2"/>
      <c r="K317" s="82">
        <v>0.62</v>
      </c>
      <c r="M317" s="80"/>
    </row>
    <row r="318" spans="1:13" ht="13.5" customHeight="1" x14ac:dyDescent="0.2">
      <c r="A318" s="33">
        <v>42763</v>
      </c>
      <c r="B318" s="80" t="s">
        <v>4269</v>
      </c>
      <c r="C318" s="334" t="s">
        <v>4270</v>
      </c>
      <c r="D318" t="s">
        <v>787</v>
      </c>
      <c r="E318" s="80" t="s">
        <v>129</v>
      </c>
      <c r="F318" s="69" t="s">
        <v>4185</v>
      </c>
      <c r="G318" s="80"/>
      <c r="H318" s="2"/>
      <c r="I318" s="2"/>
      <c r="M318" s="80"/>
    </row>
    <row r="319" spans="1:13" ht="13.5" customHeight="1" x14ac:dyDescent="0.2">
      <c r="A319" s="33">
        <v>42756</v>
      </c>
      <c r="B319" s="80" t="s">
        <v>4269</v>
      </c>
      <c r="C319" s="334" t="s">
        <v>4270</v>
      </c>
      <c r="D319" s="334">
        <v>1.5219907407407409E-2</v>
      </c>
      <c r="E319" s="80" t="s">
        <v>129</v>
      </c>
      <c r="F319" s="69" t="s">
        <v>6365</v>
      </c>
      <c r="I319" s="2"/>
      <c r="K319" s="82">
        <v>0.62280000000000002</v>
      </c>
      <c r="M319" s="80"/>
    </row>
    <row r="320" spans="1:13" ht="13.5" customHeight="1" x14ac:dyDescent="0.2">
      <c r="A320" s="523">
        <v>42749</v>
      </c>
      <c r="B320" s="80" t="s">
        <v>4269</v>
      </c>
      <c r="C320" s="334" t="s">
        <v>4270</v>
      </c>
      <c r="D320" s="1">
        <v>1.5416666666666667E-2</v>
      </c>
      <c r="E320" s="80" t="s">
        <v>129</v>
      </c>
      <c r="F320" s="573" t="s">
        <v>6298</v>
      </c>
      <c r="I320" s="2"/>
      <c r="K320" s="82">
        <v>0.6149</v>
      </c>
      <c r="M320" s="80"/>
    </row>
    <row r="321" spans="1:13" ht="13.5" customHeight="1" x14ac:dyDescent="0.2">
      <c r="A321" s="33">
        <v>42742</v>
      </c>
      <c r="B321" s="80" t="s">
        <v>4269</v>
      </c>
      <c r="C321" s="334" t="s">
        <v>4270</v>
      </c>
      <c r="D321" s="1">
        <v>1.6608796296296299E-2</v>
      </c>
      <c r="E321" s="80" t="s">
        <v>129</v>
      </c>
      <c r="F321" s="69" t="s">
        <v>4266</v>
      </c>
      <c r="I321" s="2"/>
      <c r="K321" s="82">
        <v>0.57069999999999999</v>
      </c>
      <c r="M321" s="80"/>
    </row>
    <row r="322" spans="1:13" ht="13.5" customHeight="1" x14ac:dyDescent="0.2">
      <c r="A322" s="523">
        <v>42736</v>
      </c>
      <c r="B322" s="80" t="s">
        <v>4269</v>
      </c>
      <c r="C322" s="334" t="s">
        <v>4270</v>
      </c>
      <c r="D322" s="334" t="s">
        <v>787</v>
      </c>
      <c r="E322" s="80" t="s">
        <v>129</v>
      </c>
      <c r="F322" s="69" t="s">
        <v>4185</v>
      </c>
      <c r="I322" s="2"/>
      <c r="K322" s="82"/>
      <c r="M322" s="80"/>
    </row>
    <row r="323" spans="1:13" ht="13.5" customHeight="1" x14ac:dyDescent="0.2">
      <c r="A323" s="523">
        <v>42973</v>
      </c>
      <c r="B323" s="862" t="s">
        <v>7919</v>
      </c>
      <c r="C323" s="863" t="s">
        <v>4270</v>
      </c>
      <c r="D323" s="1">
        <v>1.5335648148148147E-2</v>
      </c>
      <c r="E323" s="80" t="s">
        <v>4535</v>
      </c>
      <c r="F323" s="69" t="s">
        <v>4960</v>
      </c>
      <c r="I323" s="2"/>
      <c r="K323" s="82">
        <v>0.61809999999999998</v>
      </c>
    </row>
    <row r="324" spans="1:13" ht="13.5" customHeight="1" x14ac:dyDescent="0.2">
      <c r="A324" s="523">
        <v>42966</v>
      </c>
      <c r="B324" s="879" t="s">
        <v>7919</v>
      </c>
      <c r="C324" s="880" t="s">
        <v>4270</v>
      </c>
      <c r="D324" s="1">
        <v>1.7141203703703704E-2</v>
      </c>
      <c r="E324" s="80" t="s">
        <v>129</v>
      </c>
      <c r="F324" s="69" t="s">
        <v>8404</v>
      </c>
      <c r="I324" s="2"/>
      <c r="K324" s="82">
        <v>0.6018</v>
      </c>
      <c r="M324" s="80"/>
    </row>
    <row r="325" spans="1:13" ht="13.5" customHeight="1" x14ac:dyDescent="0.2">
      <c r="A325" s="523">
        <v>42952</v>
      </c>
      <c r="B325" s="862" t="s">
        <v>8277</v>
      </c>
      <c r="C325" s="863" t="s">
        <v>4270</v>
      </c>
      <c r="D325" s="1">
        <v>1.5416666666666667E-2</v>
      </c>
      <c r="E325" s="80" t="s">
        <v>129</v>
      </c>
      <c r="F325" s="69" t="s">
        <v>8322</v>
      </c>
      <c r="I325" s="2"/>
      <c r="K325" s="82">
        <v>0.6149</v>
      </c>
      <c r="M325" s="80"/>
    </row>
    <row r="326" spans="1:13" ht="13.5" customHeight="1" x14ac:dyDescent="0.2">
      <c r="A326" s="523">
        <v>42945</v>
      </c>
      <c r="B326" s="568" t="s">
        <v>8277</v>
      </c>
      <c r="C326" s="861" t="s">
        <v>4270</v>
      </c>
      <c r="D326" s="1">
        <v>1.525462962962963E-2</v>
      </c>
      <c r="E326" s="80" t="s">
        <v>5885</v>
      </c>
      <c r="F326" s="69" t="s">
        <v>8278</v>
      </c>
      <c r="I326" s="2"/>
      <c r="K326" s="82">
        <v>0.62139999999999995</v>
      </c>
      <c r="M326" s="80"/>
    </row>
    <row r="327" spans="1:13" ht="13.5" customHeight="1" x14ac:dyDescent="0.2">
      <c r="A327" s="523">
        <v>43015</v>
      </c>
      <c r="B327" s="923" t="s">
        <v>8103</v>
      </c>
      <c r="C327" s="924" t="s">
        <v>4270</v>
      </c>
      <c r="D327" s="1">
        <v>1.5266203703703705E-2</v>
      </c>
      <c r="E327" s="80" t="s">
        <v>129</v>
      </c>
      <c r="F327" s="69" t="s">
        <v>8630</v>
      </c>
      <c r="I327" s="2"/>
      <c r="K327" s="82">
        <v>0.62549999999999994</v>
      </c>
    </row>
    <row r="328" spans="1:13" ht="13.5" customHeight="1" x14ac:dyDescent="0.2">
      <c r="A328" s="523">
        <v>42980</v>
      </c>
      <c r="B328" s="837" t="s">
        <v>8103</v>
      </c>
      <c r="C328" s="842" t="s">
        <v>4270</v>
      </c>
      <c r="D328" s="1">
        <v>1.5289351851851851E-2</v>
      </c>
      <c r="E328" s="80" t="s">
        <v>129</v>
      </c>
      <c r="F328" s="69" t="s">
        <v>2187</v>
      </c>
      <c r="I328" s="2"/>
      <c r="K328" s="82">
        <v>0.62</v>
      </c>
      <c r="M328" s="80"/>
    </row>
    <row r="329" spans="1:13" ht="13.5" customHeight="1" x14ac:dyDescent="0.2">
      <c r="A329" s="523">
        <v>42910</v>
      </c>
      <c r="B329" s="80" t="s">
        <v>8103</v>
      </c>
      <c r="C329" s="334" t="s">
        <v>4270</v>
      </c>
      <c r="D329" s="334" t="s">
        <v>787</v>
      </c>
      <c r="E329" s="80" t="s">
        <v>129</v>
      </c>
      <c r="F329" s="69" t="s">
        <v>8104</v>
      </c>
      <c r="I329" s="2"/>
      <c r="K329" s="82"/>
      <c r="M329" s="80"/>
    </row>
    <row r="330" spans="1:13" ht="13.5" customHeight="1" x14ac:dyDescent="0.2">
      <c r="A330" s="523">
        <v>43099</v>
      </c>
      <c r="B330" s="601" t="s">
        <v>726</v>
      </c>
      <c r="C330" s="958" t="s">
        <v>1295</v>
      </c>
      <c r="D330" s="1">
        <v>1.9074074074074073E-2</v>
      </c>
      <c r="E330" s="80" t="s">
        <v>5883</v>
      </c>
      <c r="F330" s="69" t="s">
        <v>2186</v>
      </c>
      <c r="I330" s="2"/>
      <c r="K330" s="82">
        <v>0.59589999999999999</v>
      </c>
    </row>
    <row r="331" spans="1:13" ht="13.5" customHeight="1" x14ac:dyDescent="0.2">
      <c r="A331" s="965">
        <v>43094</v>
      </c>
      <c r="B331" s="962" t="s">
        <v>726</v>
      </c>
      <c r="C331" s="963" t="s">
        <v>1295</v>
      </c>
      <c r="D331" s="1">
        <v>1.7997685185185186E-2</v>
      </c>
      <c r="E331" s="80" t="s">
        <v>5885</v>
      </c>
      <c r="F331" s="69" t="s">
        <v>521</v>
      </c>
      <c r="I331" s="2"/>
      <c r="K331" s="82">
        <v>0.63149999999999995</v>
      </c>
    </row>
    <row r="332" spans="1:13" ht="13.5" customHeight="1" x14ac:dyDescent="0.2">
      <c r="A332" s="523">
        <v>43092</v>
      </c>
      <c r="B332" s="568" t="s">
        <v>726</v>
      </c>
      <c r="C332" s="861" t="s">
        <v>1295</v>
      </c>
      <c r="D332" s="1">
        <v>1.7233796296296296E-2</v>
      </c>
      <c r="E332" s="80" t="s">
        <v>5883</v>
      </c>
      <c r="F332" s="69" t="s">
        <v>8232</v>
      </c>
      <c r="I332" s="2"/>
      <c r="K332" s="82">
        <v>0.65949999999999998</v>
      </c>
    </row>
    <row r="333" spans="1:13" ht="13.5" customHeight="1" x14ac:dyDescent="0.2">
      <c r="A333" s="523">
        <v>43085</v>
      </c>
      <c r="B333" s="601" t="s">
        <v>726</v>
      </c>
      <c r="C333" s="958" t="s">
        <v>1295</v>
      </c>
      <c r="D333" s="1">
        <v>1.7233796296296296E-2</v>
      </c>
      <c r="E333" s="80" t="s">
        <v>2147</v>
      </c>
      <c r="F333" s="69" t="s">
        <v>8939</v>
      </c>
      <c r="I333" s="2"/>
      <c r="K333" s="82">
        <v>0.66849999999999998</v>
      </c>
    </row>
    <row r="334" spans="1:13" ht="13.5" customHeight="1" x14ac:dyDescent="0.2">
      <c r="A334" s="523">
        <v>43078</v>
      </c>
      <c r="B334" s="879" t="s">
        <v>726</v>
      </c>
      <c r="C334" s="880" t="s">
        <v>1295</v>
      </c>
      <c r="D334" s="1">
        <v>1.7824074074074076E-2</v>
      </c>
      <c r="E334" s="80" t="s">
        <v>5883</v>
      </c>
      <c r="F334" s="69" t="s">
        <v>8907</v>
      </c>
      <c r="I334" s="2"/>
      <c r="K334" s="82">
        <v>0.63770000000000004</v>
      </c>
    </row>
    <row r="335" spans="1:13" ht="13.5" customHeight="1" x14ac:dyDescent="0.2">
      <c r="A335" s="523">
        <v>43064</v>
      </c>
      <c r="B335" s="869" t="s">
        <v>726</v>
      </c>
      <c r="C335" s="903" t="s">
        <v>1295</v>
      </c>
      <c r="D335" s="1">
        <v>1.7870370370370373E-2</v>
      </c>
      <c r="E335" s="80" t="s">
        <v>4176</v>
      </c>
      <c r="F335" s="69" t="s">
        <v>8842</v>
      </c>
      <c r="I335" s="2"/>
      <c r="K335" s="82">
        <v>0.63600000000000001</v>
      </c>
    </row>
    <row r="336" spans="1:13" ht="13.5" customHeight="1" x14ac:dyDescent="0.2">
      <c r="A336" s="33">
        <v>43057</v>
      </c>
      <c r="B336" s="940" t="s">
        <v>726</v>
      </c>
      <c r="C336" s="941" t="s">
        <v>1295</v>
      </c>
      <c r="D336" s="80" t="s">
        <v>787</v>
      </c>
      <c r="E336" s="80" t="s">
        <v>3346</v>
      </c>
      <c r="F336" s="69" t="s">
        <v>4185</v>
      </c>
      <c r="G336" s="5"/>
      <c r="I336" s="2"/>
      <c r="K336" s="82"/>
    </row>
    <row r="337" spans="1:13" ht="13.5" customHeight="1" x14ac:dyDescent="0.2">
      <c r="A337" s="523">
        <v>43050</v>
      </c>
      <c r="B337" s="532" t="s">
        <v>726</v>
      </c>
      <c r="C337" s="843" t="s">
        <v>1295</v>
      </c>
      <c r="D337" s="334">
        <v>1.7118055555555556E-2</v>
      </c>
      <c r="E337" s="80" t="s">
        <v>4004</v>
      </c>
      <c r="F337" s="69" t="s">
        <v>8781</v>
      </c>
      <c r="I337" s="2"/>
      <c r="K337" s="82">
        <v>0.66400000000000003</v>
      </c>
    </row>
    <row r="338" spans="1:13" ht="13.5" customHeight="1" x14ac:dyDescent="0.2">
      <c r="A338" s="523">
        <v>43043</v>
      </c>
      <c r="B338" s="936" t="s">
        <v>726</v>
      </c>
      <c r="C338" s="937" t="s">
        <v>1295</v>
      </c>
      <c r="D338" s="1">
        <v>1.7685185185185182E-2</v>
      </c>
      <c r="E338" s="80" t="s">
        <v>762</v>
      </c>
      <c r="F338" s="69" t="s">
        <v>8765</v>
      </c>
      <c r="I338" s="2"/>
      <c r="K338" s="82">
        <v>0.64270000000000005</v>
      </c>
    </row>
    <row r="339" spans="1:13" ht="13.5" customHeight="1" x14ac:dyDescent="0.2">
      <c r="A339" s="523">
        <v>43036</v>
      </c>
      <c r="B339" s="934" t="s">
        <v>726</v>
      </c>
      <c r="C339" s="935" t="s">
        <v>1295</v>
      </c>
      <c r="D339" s="334">
        <v>1.6782407407407409E-2</v>
      </c>
      <c r="E339" s="80" t="s">
        <v>5885</v>
      </c>
      <c r="F339" s="69" t="s">
        <v>8738</v>
      </c>
      <c r="I339" s="2"/>
      <c r="K339" s="82">
        <v>0.67720000000000002</v>
      </c>
    </row>
    <row r="340" spans="1:13" ht="13.5" customHeight="1" x14ac:dyDescent="0.2">
      <c r="A340" s="523">
        <v>43029</v>
      </c>
      <c r="B340" s="901" t="s">
        <v>726</v>
      </c>
      <c r="C340" s="902" t="s">
        <v>1295</v>
      </c>
      <c r="D340" s="1">
        <v>1.9849537037037037E-2</v>
      </c>
      <c r="E340" s="80" t="s">
        <v>1982</v>
      </c>
      <c r="F340" s="69" t="s">
        <v>8716</v>
      </c>
      <c r="I340" s="2"/>
      <c r="K340" s="82">
        <v>0.5726</v>
      </c>
    </row>
    <row r="341" spans="1:13" ht="13.5" customHeight="1" x14ac:dyDescent="0.2">
      <c r="A341" s="523">
        <v>43022</v>
      </c>
      <c r="B341" s="930" t="s">
        <v>726</v>
      </c>
      <c r="C341" s="931" t="s">
        <v>1295</v>
      </c>
      <c r="D341" s="1">
        <v>1.7291666666666667E-2</v>
      </c>
      <c r="E341" s="80" t="s">
        <v>5883</v>
      </c>
      <c r="F341" s="69" t="s">
        <v>8667</v>
      </c>
      <c r="I341" s="2"/>
      <c r="K341" s="82">
        <v>0.6573</v>
      </c>
    </row>
    <row r="342" spans="1:13" ht="13.5" customHeight="1" x14ac:dyDescent="0.2">
      <c r="A342" s="523">
        <v>43015</v>
      </c>
      <c r="B342" s="923" t="s">
        <v>726</v>
      </c>
      <c r="C342" s="924" t="s">
        <v>1295</v>
      </c>
      <c r="D342" s="1">
        <v>1.7187499999999998E-2</v>
      </c>
      <c r="E342" s="80" t="s">
        <v>5883</v>
      </c>
      <c r="F342" s="69" t="s">
        <v>4958</v>
      </c>
      <c r="I342" s="2"/>
      <c r="K342" s="82">
        <v>0.6613</v>
      </c>
      <c r="M342" s="80" t="s">
        <v>7649</v>
      </c>
    </row>
    <row r="343" spans="1:13" ht="13.5" customHeight="1" x14ac:dyDescent="0.2">
      <c r="A343" s="523">
        <v>43008</v>
      </c>
      <c r="B343" s="532" t="s">
        <v>726</v>
      </c>
      <c r="C343" s="843" t="s">
        <v>1295</v>
      </c>
      <c r="D343" s="1">
        <v>1.7337962962962961E-2</v>
      </c>
      <c r="E343" s="80" t="s">
        <v>2596</v>
      </c>
      <c r="F343" s="69" t="s">
        <v>8595</v>
      </c>
      <c r="I343" s="2"/>
      <c r="K343" s="82">
        <v>0.65549999999999997</v>
      </c>
      <c r="M343" s="80"/>
    </row>
    <row r="344" spans="1:13" ht="13.5" customHeight="1" x14ac:dyDescent="0.2">
      <c r="A344" s="523">
        <v>43001</v>
      </c>
      <c r="B344" s="906" t="s">
        <v>726</v>
      </c>
      <c r="C344" s="907" t="s">
        <v>1295</v>
      </c>
      <c r="D344" s="1">
        <v>1.6944444444444443E-2</v>
      </c>
      <c r="E344" s="80" t="s">
        <v>129</v>
      </c>
      <c r="F344" s="69" t="s">
        <v>8559</v>
      </c>
      <c r="I344" s="2"/>
      <c r="K344" s="82">
        <v>0.6694</v>
      </c>
      <c r="M344" s="80"/>
    </row>
    <row r="345" spans="1:13" ht="13.5" customHeight="1" x14ac:dyDescent="0.2">
      <c r="A345" s="523">
        <v>42994</v>
      </c>
      <c r="B345" s="869" t="s">
        <v>726</v>
      </c>
      <c r="C345" s="903" t="s">
        <v>1295</v>
      </c>
      <c r="D345" s="1">
        <v>1.8020833333333333E-2</v>
      </c>
      <c r="E345" s="80" t="s">
        <v>5453</v>
      </c>
      <c r="F345" s="69" t="s">
        <v>2629</v>
      </c>
      <c r="I345" s="2"/>
      <c r="K345" s="82">
        <v>0.63070000000000004</v>
      </c>
    </row>
    <row r="346" spans="1:13" ht="13.5" customHeight="1" x14ac:dyDescent="0.2">
      <c r="A346" s="523">
        <v>42980</v>
      </c>
      <c r="B346" s="837" t="s">
        <v>726</v>
      </c>
      <c r="C346" s="842" t="s">
        <v>1295</v>
      </c>
      <c r="D346" s="1">
        <v>1.7303240740740741E-2</v>
      </c>
      <c r="E346" s="80" t="s">
        <v>5883</v>
      </c>
      <c r="F346" s="69" t="s">
        <v>8273</v>
      </c>
      <c r="I346" s="2"/>
      <c r="K346" s="82">
        <v>0.65690000000000004</v>
      </c>
      <c r="M346" s="80"/>
    </row>
    <row r="347" spans="1:13" ht="13.5" customHeight="1" x14ac:dyDescent="0.2">
      <c r="A347" s="523">
        <v>42973</v>
      </c>
      <c r="B347" s="862" t="s">
        <v>726</v>
      </c>
      <c r="C347" s="863" t="s">
        <v>1295</v>
      </c>
      <c r="D347" s="1">
        <v>1.7789351851851851E-2</v>
      </c>
      <c r="E347" s="80" t="s">
        <v>449</v>
      </c>
      <c r="F347" s="69" t="s">
        <v>8438</v>
      </c>
      <c r="I347" s="2"/>
      <c r="K347" s="82">
        <v>0.63890000000000002</v>
      </c>
      <c r="M347" s="80"/>
    </row>
    <row r="348" spans="1:13" ht="13.5" customHeight="1" x14ac:dyDescent="0.2">
      <c r="A348" s="523">
        <v>42966</v>
      </c>
      <c r="B348" s="879" t="s">
        <v>726</v>
      </c>
      <c r="C348" s="880" t="s">
        <v>1295</v>
      </c>
      <c r="D348" s="1">
        <v>1.7974537037037035E-2</v>
      </c>
      <c r="E348" s="80" t="s">
        <v>998</v>
      </c>
      <c r="F348" s="69" t="s">
        <v>4895</v>
      </c>
      <c r="I348" s="2"/>
      <c r="K348" s="82">
        <v>0.63229999999999997</v>
      </c>
      <c r="M348" s="80"/>
    </row>
    <row r="349" spans="1:13" ht="13.5" customHeight="1" x14ac:dyDescent="0.2">
      <c r="A349" s="523">
        <v>42959</v>
      </c>
      <c r="B349" s="866" t="s">
        <v>726</v>
      </c>
      <c r="C349" s="867" t="s">
        <v>1295</v>
      </c>
      <c r="D349" s="1">
        <v>1.8576388888888889E-2</v>
      </c>
      <c r="E349" s="80" t="s">
        <v>5883</v>
      </c>
      <c r="F349" s="69" t="s">
        <v>7554</v>
      </c>
      <c r="I349" s="2"/>
      <c r="K349" s="82">
        <v>0.61180000000000001</v>
      </c>
      <c r="M349" s="80"/>
    </row>
    <row r="350" spans="1:13" ht="13.5" customHeight="1" x14ac:dyDescent="0.2">
      <c r="A350" s="33">
        <v>42945</v>
      </c>
      <c r="B350" s="568" t="s">
        <v>726</v>
      </c>
      <c r="C350" s="861" t="s">
        <v>1295</v>
      </c>
      <c r="D350" s="80" t="s">
        <v>787</v>
      </c>
      <c r="E350" s="80" t="s">
        <v>5883</v>
      </c>
      <c r="F350" s="69" t="s">
        <v>4185</v>
      </c>
      <c r="G350" s="5"/>
      <c r="H350" s="5"/>
      <c r="I350" s="2"/>
      <c r="K350" s="82"/>
    </row>
    <row r="351" spans="1:13" ht="13.5" customHeight="1" x14ac:dyDescent="0.2">
      <c r="A351" s="34">
        <v>42924</v>
      </c>
      <c r="B351" s="80" t="s">
        <v>726</v>
      </c>
      <c r="C351" s="334" t="s">
        <v>1295</v>
      </c>
      <c r="D351" s="1">
        <v>1.8564814814814815E-2</v>
      </c>
      <c r="E351" s="80" t="s">
        <v>8174</v>
      </c>
      <c r="F351" s="69" t="s">
        <v>8178</v>
      </c>
      <c r="I351" s="2"/>
      <c r="K351" s="82">
        <v>0.61219999999999997</v>
      </c>
      <c r="M351" s="80"/>
    </row>
    <row r="352" spans="1:13" ht="13.5" customHeight="1" x14ac:dyDescent="0.2">
      <c r="A352" s="523">
        <v>42917</v>
      </c>
      <c r="B352" s="80" t="s">
        <v>726</v>
      </c>
      <c r="C352" s="334" t="s">
        <v>1295</v>
      </c>
      <c r="D352" s="1">
        <v>1.9085648148148147E-2</v>
      </c>
      <c r="E352" s="80" t="s">
        <v>5883</v>
      </c>
      <c r="F352" s="69" t="s">
        <v>3792</v>
      </c>
      <c r="I352" s="2"/>
      <c r="K352" s="82">
        <v>0.59550000000000003</v>
      </c>
      <c r="M352" s="80"/>
    </row>
    <row r="353" spans="1:13" ht="13.5" customHeight="1" x14ac:dyDescent="0.2">
      <c r="A353" s="523">
        <v>42910</v>
      </c>
      <c r="B353" s="80" t="s">
        <v>726</v>
      </c>
      <c r="C353" s="334" t="s">
        <v>1295</v>
      </c>
      <c r="D353" s="1">
        <v>2.0902777777777781E-2</v>
      </c>
      <c r="E353" s="80" t="s">
        <v>5883</v>
      </c>
      <c r="F353" s="69" t="s">
        <v>7801</v>
      </c>
      <c r="I353" s="2"/>
      <c r="K353" s="82">
        <v>0.54369999999999996</v>
      </c>
      <c r="M353" s="80"/>
    </row>
    <row r="354" spans="1:13" ht="13.5" customHeight="1" x14ac:dyDescent="0.2">
      <c r="A354" s="523">
        <v>42903</v>
      </c>
      <c r="B354" s="80" t="s">
        <v>726</v>
      </c>
      <c r="C354" s="334" t="s">
        <v>1295</v>
      </c>
      <c r="D354" s="1">
        <v>2.1759259259259259E-2</v>
      </c>
      <c r="E354" s="80" t="s">
        <v>5337</v>
      </c>
      <c r="F354" s="69" t="s">
        <v>8080</v>
      </c>
      <c r="I354" s="2"/>
      <c r="K354" s="82">
        <v>0.52229999999999999</v>
      </c>
    </row>
    <row r="355" spans="1:13" ht="13.5" customHeight="1" x14ac:dyDescent="0.2">
      <c r="A355" s="523">
        <v>42896</v>
      </c>
      <c r="B355" s="80" t="s">
        <v>726</v>
      </c>
      <c r="C355" s="334" t="s">
        <v>1295</v>
      </c>
      <c r="D355" s="1">
        <v>1.96875E-2</v>
      </c>
      <c r="E355" s="80" t="s">
        <v>129</v>
      </c>
      <c r="F355" s="69" t="s">
        <v>8030</v>
      </c>
      <c r="I355" s="2"/>
      <c r="K355" s="82">
        <v>0.57530000000000003</v>
      </c>
    </row>
    <row r="356" spans="1:13" ht="13.5" customHeight="1" x14ac:dyDescent="0.2">
      <c r="A356" s="33">
        <v>42889</v>
      </c>
      <c r="B356" s="80" t="s">
        <v>726</v>
      </c>
      <c r="C356" s="334" t="s">
        <v>1295</v>
      </c>
      <c r="D356" s="80" t="s">
        <v>787</v>
      </c>
      <c r="E356" s="80" t="s">
        <v>5883</v>
      </c>
      <c r="F356" s="69" t="s">
        <v>4185</v>
      </c>
      <c r="G356" s="5"/>
      <c r="H356" s="2"/>
      <c r="I356" s="2"/>
      <c r="K356" s="82"/>
      <c r="M356" s="80"/>
    </row>
    <row r="357" spans="1:13" ht="13.5" customHeight="1" x14ac:dyDescent="0.2">
      <c r="A357" s="523">
        <v>42882</v>
      </c>
      <c r="B357" s="80" t="s">
        <v>726</v>
      </c>
      <c r="C357" s="334" t="s">
        <v>1295</v>
      </c>
      <c r="D357" s="1">
        <v>1.9837962962962963E-2</v>
      </c>
      <c r="E357" s="80" t="s">
        <v>5883</v>
      </c>
      <c r="F357" s="69" t="s">
        <v>7948</v>
      </c>
      <c r="I357" s="2"/>
      <c r="K357" s="82">
        <v>0.57289999999999996</v>
      </c>
      <c r="M357" s="80"/>
    </row>
    <row r="358" spans="1:13" ht="13.5" customHeight="1" x14ac:dyDescent="0.2">
      <c r="A358" s="523">
        <v>42868</v>
      </c>
      <c r="B358" s="80" t="s">
        <v>726</v>
      </c>
      <c r="C358" s="334" t="s">
        <v>1295</v>
      </c>
      <c r="D358" s="1">
        <v>2.0937499999999998E-2</v>
      </c>
      <c r="E358" s="80" t="s">
        <v>5883</v>
      </c>
      <c r="F358" s="69" t="s">
        <v>7839</v>
      </c>
      <c r="I358" s="2"/>
      <c r="K358" s="82">
        <v>0.54279999999999995</v>
      </c>
    </row>
    <row r="359" spans="1:13" ht="13.5" customHeight="1" x14ac:dyDescent="0.2">
      <c r="A359" s="523">
        <v>42861</v>
      </c>
      <c r="B359" s="80" t="s">
        <v>726</v>
      </c>
      <c r="C359" s="334" t="s">
        <v>1295</v>
      </c>
      <c r="D359" s="1">
        <v>1.9884259259259258E-2</v>
      </c>
      <c r="E359" s="80" t="s">
        <v>5883</v>
      </c>
      <c r="F359" s="69" t="s">
        <v>7839</v>
      </c>
      <c r="I359" s="2"/>
      <c r="K359" s="82">
        <v>0.5716</v>
      </c>
    </row>
    <row r="360" spans="1:13" ht="13.5" customHeight="1" x14ac:dyDescent="0.2">
      <c r="A360" s="523">
        <v>42854</v>
      </c>
      <c r="B360" s="80" t="s">
        <v>726</v>
      </c>
      <c r="C360" s="334" t="s">
        <v>1295</v>
      </c>
      <c r="D360" s="1">
        <v>1.7858796296296296E-2</v>
      </c>
      <c r="E360" s="80" t="s">
        <v>2147</v>
      </c>
      <c r="F360" s="69" t="s">
        <v>7820</v>
      </c>
      <c r="I360" s="2"/>
      <c r="K360" s="82">
        <v>0.63639999999999997</v>
      </c>
      <c r="M360" s="80"/>
    </row>
    <row r="361" spans="1:13" ht="13.5" customHeight="1" x14ac:dyDescent="0.2">
      <c r="A361" s="33">
        <v>42847</v>
      </c>
      <c r="B361" s="80" t="s">
        <v>726</v>
      </c>
      <c r="C361" s="334" t="s">
        <v>1295</v>
      </c>
      <c r="D361" s="80" t="s">
        <v>787</v>
      </c>
      <c r="E361" s="80" t="s">
        <v>5883</v>
      </c>
      <c r="F361" s="69" t="s">
        <v>4185</v>
      </c>
      <c r="G361" s="5"/>
      <c r="H361" s="5"/>
      <c r="I361" s="2"/>
      <c r="K361" s="82"/>
      <c r="M361" s="80"/>
    </row>
    <row r="362" spans="1:13" x14ac:dyDescent="0.2">
      <c r="A362" s="523">
        <v>42840</v>
      </c>
      <c r="B362" s="80" t="s">
        <v>726</v>
      </c>
      <c r="C362" s="334" t="s">
        <v>1295</v>
      </c>
      <c r="D362" s="1">
        <v>1.9108796296296294E-2</v>
      </c>
      <c r="E362" t="s">
        <v>5708</v>
      </c>
      <c r="F362" s="69" t="s">
        <v>3826</v>
      </c>
      <c r="I362" s="2"/>
      <c r="K362" s="82">
        <v>0.5948</v>
      </c>
      <c r="M362" s="80"/>
    </row>
    <row r="363" spans="1:13" x14ac:dyDescent="0.2">
      <c r="A363" s="523">
        <v>42833</v>
      </c>
      <c r="B363" s="80" t="s">
        <v>726</v>
      </c>
      <c r="C363" s="334" t="s">
        <v>1295</v>
      </c>
      <c r="D363" s="1">
        <v>2.1689814814814815E-2</v>
      </c>
      <c r="E363" s="80" t="s">
        <v>5883</v>
      </c>
      <c r="F363" s="69" t="s">
        <v>1685</v>
      </c>
      <c r="I363" s="2"/>
      <c r="K363" s="82">
        <v>0.52400000000000002</v>
      </c>
      <c r="M363" s="80"/>
    </row>
    <row r="364" spans="1:13" ht="12.75" customHeight="1" x14ac:dyDescent="0.2">
      <c r="A364" s="523">
        <v>42819</v>
      </c>
      <c r="B364" s="80" t="s">
        <v>726</v>
      </c>
      <c r="C364" s="334" t="s">
        <v>1295</v>
      </c>
      <c r="D364" s="1">
        <v>2.2129629629629628E-2</v>
      </c>
      <c r="E364" s="80" t="s">
        <v>5883</v>
      </c>
      <c r="F364" s="69" t="s">
        <v>6038</v>
      </c>
      <c r="I364" s="2"/>
      <c r="K364" s="82">
        <v>0.51359999999999995</v>
      </c>
      <c r="M364" s="80"/>
    </row>
    <row r="365" spans="1:13" ht="12.75" customHeight="1" x14ac:dyDescent="0.2">
      <c r="A365" s="523">
        <v>42812</v>
      </c>
      <c r="B365" s="80" t="s">
        <v>726</v>
      </c>
      <c r="C365" s="334" t="s">
        <v>1295</v>
      </c>
      <c r="D365" s="1">
        <v>2.1921296296296296E-2</v>
      </c>
      <c r="E365" s="80" t="s">
        <v>5883</v>
      </c>
      <c r="F365" s="69" t="s">
        <v>741</v>
      </c>
      <c r="I365" s="2"/>
      <c r="K365" s="82">
        <v>0.51849999999999996</v>
      </c>
      <c r="M365" s="80"/>
    </row>
    <row r="366" spans="1:13" ht="12.75" customHeight="1" x14ac:dyDescent="0.2">
      <c r="A366" s="33">
        <v>42805</v>
      </c>
      <c r="B366" s="80" t="s">
        <v>726</v>
      </c>
      <c r="C366" s="334" t="s">
        <v>1295</v>
      </c>
      <c r="D366" s="1">
        <v>2.1446759259259259E-2</v>
      </c>
      <c r="E366" s="80" t="s">
        <v>5883</v>
      </c>
      <c r="F366" s="69" t="s">
        <v>3394</v>
      </c>
      <c r="I366" s="2"/>
      <c r="K366" s="82">
        <v>0.53</v>
      </c>
      <c r="M366" s="80"/>
    </row>
    <row r="367" spans="1:13" ht="12.75" customHeight="1" x14ac:dyDescent="0.2">
      <c r="A367" s="33">
        <v>42798</v>
      </c>
      <c r="B367" t="s">
        <v>726</v>
      </c>
      <c r="C367" s="334" t="s">
        <v>1295</v>
      </c>
      <c r="D367" t="s">
        <v>787</v>
      </c>
      <c r="E367" s="80" t="s">
        <v>5883</v>
      </c>
      <c r="F367" s="69" t="s">
        <v>7572</v>
      </c>
      <c r="G367" s="80"/>
      <c r="H367" s="2"/>
      <c r="I367" s="2"/>
      <c r="K367" s="82"/>
      <c r="M367" s="80"/>
    </row>
    <row r="368" spans="1:13" ht="12.75" customHeight="1" x14ac:dyDescent="0.2">
      <c r="A368" s="523">
        <v>42791</v>
      </c>
      <c r="B368" s="80" t="s">
        <v>726</v>
      </c>
      <c r="C368" s="334" t="s">
        <v>1295</v>
      </c>
      <c r="D368" s="1">
        <v>0.02</v>
      </c>
      <c r="E368" s="80" t="s">
        <v>5883</v>
      </c>
      <c r="F368" s="69" t="s">
        <v>4803</v>
      </c>
      <c r="I368" s="2"/>
      <c r="K368" s="82">
        <v>0.56830000000000003</v>
      </c>
      <c r="M368" s="80"/>
    </row>
    <row r="369" spans="1:13" ht="12.75" customHeight="1" x14ac:dyDescent="0.2">
      <c r="A369" s="523">
        <v>42784</v>
      </c>
      <c r="B369" s="80" t="s">
        <v>726</v>
      </c>
      <c r="C369" s="334" t="s">
        <v>1295</v>
      </c>
      <c r="D369" s="1">
        <v>1.8958333333333334E-2</v>
      </c>
      <c r="E369" s="80" t="s">
        <v>4004</v>
      </c>
      <c r="F369" s="69" t="s">
        <v>7551</v>
      </c>
      <c r="I369" s="2"/>
      <c r="K369" s="82">
        <v>0.59340000000000004</v>
      </c>
      <c r="M369" s="80"/>
    </row>
    <row r="370" spans="1:13" ht="12.75" customHeight="1" x14ac:dyDescent="0.2">
      <c r="A370" s="33">
        <v>42770</v>
      </c>
      <c r="B370" s="80" t="s">
        <v>726</v>
      </c>
      <c r="C370" s="334" t="s">
        <v>1295</v>
      </c>
      <c r="D370" s="1">
        <v>1.8692129629629631E-2</v>
      </c>
      <c r="E370" s="80" t="s">
        <v>5883</v>
      </c>
      <c r="F370" s="69" t="s">
        <v>6342</v>
      </c>
      <c r="I370" s="2"/>
      <c r="K370" s="82">
        <v>0.60189999999999999</v>
      </c>
      <c r="M370" s="80"/>
    </row>
    <row r="371" spans="1:13" ht="12.75" customHeight="1" x14ac:dyDescent="0.2">
      <c r="A371" s="33">
        <v>42763</v>
      </c>
      <c r="B371" s="80" t="s">
        <v>726</v>
      </c>
      <c r="C371" s="334" t="s">
        <v>1295</v>
      </c>
      <c r="D371" s="1">
        <v>1.8692129629629631E-2</v>
      </c>
      <c r="E371" s="80" t="s">
        <v>5267</v>
      </c>
      <c r="F371" s="69" t="s">
        <v>6376</v>
      </c>
      <c r="I371" s="2"/>
      <c r="K371" s="82">
        <v>0.60189999999999999</v>
      </c>
      <c r="M371" s="80"/>
    </row>
    <row r="372" spans="1:13" ht="12.75" customHeight="1" x14ac:dyDescent="0.2">
      <c r="A372" s="33">
        <v>42756</v>
      </c>
      <c r="B372" s="80" t="s">
        <v>726</v>
      </c>
      <c r="C372" s="334" t="s">
        <v>1295</v>
      </c>
      <c r="D372" s="1">
        <v>1.8240740740740741E-2</v>
      </c>
      <c r="E372" s="80" t="s">
        <v>998</v>
      </c>
      <c r="F372" s="69" t="s">
        <v>6371</v>
      </c>
      <c r="I372" s="2"/>
      <c r="K372" s="82">
        <v>0.61680000000000001</v>
      </c>
      <c r="M372" s="80"/>
    </row>
    <row r="373" spans="1:13" ht="12.75" customHeight="1" x14ac:dyDescent="0.2">
      <c r="A373" s="523">
        <v>42749</v>
      </c>
      <c r="B373" s="80" t="s">
        <v>726</v>
      </c>
      <c r="C373" s="334" t="s">
        <v>1295</v>
      </c>
      <c r="D373" s="1">
        <v>1.8090277777777778E-2</v>
      </c>
      <c r="E373" s="80" t="s">
        <v>1120</v>
      </c>
      <c r="F373" s="69" t="s">
        <v>6290</v>
      </c>
      <c r="I373" s="2"/>
      <c r="K373" s="82">
        <v>0.62190000000000001</v>
      </c>
      <c r="M373" s="80"/>
    </row>
    <row r="374" spans="1:13" x14ac:dyDescent="0.2">
      <c r="A374" s="33">
        <v>42742</v>
      </c>
      <c r="B374" s="80" t="s">
        <v>726</v>
      </c>
      <c r="C374" s="334" t="s">
        <v>1295</v>
      </c>
      <c r="D374" s="1">
        <v>2.1863425925925925E-2</v>
      </c>
      <c r="E374" s="80" t="s">
        <v>1982</v>
      </c>
      <c r="F374" s="69" t="s">
        <v>6273</v>
      </c>
      <c r="I374" s="2"/>
      <c r="K374" s="82">
        <v>0.51459999999999995</v>
      </c>
      <c r="M374" s="80"/>
    </row>
    <row r="375" spans="1:13" ht="12.75" customHeight="1" x14ac:dyDescent="0.2">
      <c r="A375" s="523">
        <v>42777</v>
      </c>
      <c r="B375" s="80" t="s">
        <v>2754</v>
      </c>
      <c r="C375" s="334" t="s">
        <v>1295</v>
      </c>
      <c r="D375" s="1">
        <v>2.056712962962963E-2</v>
      </c>
      <c r="E375" s="80" t="s">
        <v>5883</v>
      </c>
      <c r="F375" s="69" t="s">
        <v>2043</v>
      </c>
      <c r="I375" s="2"/>
      <c r="K375" s="82">
        <v>0.54700000000000004</v>
      </c>
      <c r="M375" s="45">
        <v>1030</v>
      </c>
    </row>
    <row r="376" spans="1:13" ht="12.75" customHeight="1" x14ac:dyDescent="0.2">
      <c r="A376" s="523">
        <v>42736</v>
      </c>
      <c r="B376" s="80" t="s">
        <v>2754</v>
      </c>
      <c r="C376" s="334" t="s">
        <v>1295</v>
      </c>
      <c r="D376" s="1">
        <v>1.9699074074074074E-2</v>
      </c>
      <c r="E376" s="80" t="s">
        <v>2311</v>
      </c>
      <c r="F376" s="69" t="s">
        <v>6223</v>
      </c>
      <c r="I376" s="2"/>
      <c r="K376" s="82">
        <v>0.57110000000000005</v>
      </c>
    </row>
    <row r="377" spans="1:13" x14ac:dyDescent="0.2">
      <c r="A377" s="523">
        <v>42952</v>
      </c>
      <c r="B377" s="862" t="s">
        <v>8318</v>
      </c>
      <c r="C377" s="863" t="s">
        <v>1295</v>
      </c>
      <c r="D377" s="1">
        <v>1.9606481481481482E-2</v>
      </c>
      <c r="E377" s="80" t="s">
        <v>8009</v>
      </c>
      <c r="F377" s="69" t="s">
        <v>8319</v>
      </c>
      <c r="I377" s="2"/>
      <c r="K377" s="82">
        <v>0.57969999999999999</v>
      </c>
      <c r="M377" s="80"/>
    </row>
    <row r="378" spans="1:13" ht="12.75" customHeight="1" x14ac:dyDescent="0.2">
      <c r="A378" s="523">
        <v>43099</v>
      </c>
      <c r="B378" s="601" t="s">
        <v>3508</v>
      </c>
      <c r="C378" s="958" t="s">
        <v>1295</v>
      </c>
      <c r="D378" s="1">
        <v>1.7986111111111109E-2</v>
      </c>
      <c r="E378" s="80" t="s">
        <v>5883</v>
      </c>
      <c r="F378" s="69" t="s">
        <v>4065</v>
      </c>
      <c r="I378" s="2"/>
      <c r="K378" s="82">
        <v>0.56950000000000001</v>
      </c>
    </row>
    <row r="379" spans="1:13" x14ac:dyDescent="0.2">
      <c r="A379" s="965">
        <v>43094</v>
      </c>
      <c r="B379" s="962" t="s">
        <v>3508</v>
      </c>
      <c r="C379" s="963" t="s">
        <v>1295</v>
      </c>
      <c r="D379" s="1">
        <v>1.6724537037037034E-2</v>
      </c>
      <c r="E379" s="80" t="s">
        <v>5885</v>
      </c>
      <c r="F379" s="69" t="s">
        <v>8977</v>
      </c>
      <c r="I379" s="2"/>
      <c r="K379" s="82">
        <v>0.61250000000000004</v>
      </c>
    </row>
    <row r="380" spans="1:13" x14ac:dyDescent="0.2">
      <c r="A380" s="523">
        <v>43092</v>
      </c>
      <c r="B380" s="568" t="s">
        <v>3508</v>
      </c>
      <c r="C380" s="861" t="s">
        <v>1295</v>
      </c>
      <c r="D380" s="1">
        <v>1.6921296296296299E-2</v>
      </c>
      <c r="E380" s="80" t="s">
        <v>5883</v>
      </c>
      <c r="F380" s="69" t="s">
        <v>8954</v>
      </c>
      <c r="I380" s="2"/>
      <c r="K380" s="82">
        <v>0.60529999999999995</v>
      </c>
    </row>
    <row r="381" spans="1:13" x14ac:dyDescent="0.2">
      <c r="A381" s="523">
        <v>43085</v>
      </c>
      <c r="B381" s="601" t="s">
        <v>3508</v>
      </c>
      <c r="C381" s="958" t="s">
        <v>1295</v>
      </c>
      <c r="D381" s="1">
        <v>1.6446759259259262E-2</v>
      </c>
      <c r="E381" s="80" t="s">
        <v>2147</v>
      </c>
      <c r="F381" s="69" t="s">
        <v>8938</v>
      </c>
      <c r="I381" s="2"/>
      <c r="K381" s="82">
        <v>0.62280000000000002</v>
      </c>
      <c r="M381" s="45">
        <v>1030</v>
      </c>
    </row>
    <row r="382" spans="1:13" x14ac:dyDescent="0.2">
      <c r="A382" s="523">
        <v>43078</v>
      </c>
      <c r="B382" s="879" t="s">
        <v>3508</v>
      </c>
      <c r="C382" s="880" t="s">
        <v>1295</v>
      </c>
      <c r="D382" s="1">
        <v>1.7824074074074076E-2</v>
      </c>
      <c r="E382" s="80" t="s">
        <v>5883</v>
      </c>
      <c r="F382" s="69" t="s">
        <v>8908</v>
      </c>
      <c r="I382" s="2"/>
      <c r="K382" s="82">
        <v>0.57469999999999999</v>
      </c>
    </row>
    <row r="383" spans="1:13" x14ac:dyDescent="0.2">
      <c r="A383" s="523">
        <v>43071</v>
      </c>
      <c r="B383" s="556" t="s">
        <v>3508</v>
      </c>
      <c r="C383" s="950" t="s">
        <v>1295</v>
      </c>
      <c r="D383" s="1" t="s">
        <v>787</v>
      </c>
      <c r="E383" s="80" t="s">
        <v>5883</v>
      </c>
      <c r="F383" s="69"/>
      <c r="I383" s="2"/>
      <c r="K383" s="82"/>
    </row>
    <row r="384" spans="1:13" x14ac:dyDescent="0.2">
      <c r="A384" s="523">
        <v>43064</v>
      </c>
      <c r="B384" s="869" t="s">
        <v>3508</v>
      </c>
      <c r="C384" s="903" t="s">
        <v>1295</v>
      </c>
      <c r="D384" s="1">
        <v>1.7118055555555556E-2</v>
      </c>
      <c r="E384" s="80" t="s">
        <v>4176</v>
      </c>
      <c r="F384" s="69" t="s">
        <v>4960</v>
      </c>
      <c r="I384" s="2"/>
      <c r="K384" s="82">
        <v>0.59840000000000004</v>
      </c>
    </row>
    <row r="385" spans="1:13" x14ac:dyDescent="0.2">
      <c r="A385" s="523">
        <v>43050</v>
      </c>
      <c r="B385" s="532" t="s">
        <v>3508</v>
      </c>
      <c r="C385" s="843" t="s">
        <v>1295</v>
      </c>
      <c r="D385" s="1">
        <v>1.6724537037037034E-2</v>
      </c>
      <c r="E385" s="80" t="s">
        <v>4004</v>
      </c>
      <c r="F385" s="69" t="s">
        <v>8780</v>
      </c>
      <c r="I385" s="2"/>
      <c r="K385" s="82">
        <v>0.61250000000000004</v>
      </c>
    </row>
    <row r="386" spans="1:13" x14ac:dyDescent="0.2">
      <c r="A386" s="523">
        <v>43043</v>
      </c>
      <c r="B386" s="936" t="s">
        <v>3508</v>
      </c>
      <c r="C386" s="937" t="s">
        <v>1295</v>
      </c>
      <c r="D386" s="334" t="s">
        <v>787</v>
      </c>
      <c r="E386" s="80" t="s">
        <v>5883</v>
      </c>
      <c r="F386" s="69" t="s">
        <v>4185</v>
      </c>
      <c r="I386" s="2"/>
      <c r="K386" s="82"/>
    </row>
    <row r="387" spans="1:13" x14ac:dyDescent="0.2">
      <c r="A387" s="523">
        <v>43036</v>
      </c>
      <c r="B387" s="934" t="s">
        <v>3508</v>
      </c>
      <c r="C387" s="935" t="s">
        <v>1295</v>
      </c>
      <c r="D387" s="1">
        <v>1.6168981481481482E-2</v>
      </c>
      <c r="E387" s="80" t="s">
        <v>5885</v>
      </c>
      <c r="F387" s="69" t="s">
        <v>3483</v>
      </c>
      <c r="I387" s="2"/>
      <c r="K387" s="82">
        <v>0.63349999999999995</v>
      </c>
    </row>
    <row r="388" spans="1:13" x14ac:dyDescent="0.2">
      <c r="A388" s="523">
        <v>43029</v>
      </c>
      <c r="B388" s="901" t="s">
        <v>3508</v>
      </c>
      <c r="C388" s="902" t="s">
        <v>1295</v>
      </c>
      <c r="D388" s="1">
        <v>1.8854166666666665E-2</v>
      </c>
      <c r="E388" s="80" t="s">
        <v>1982</v>
      </c>
      <c r="F388" s="69" t="s">
        <v>8715</v>
      </c>
      <c r="I388" s="2"/>
      <c r="K388" s="82">
        <v>0.54330000000000001</v>
      </c>
    </row>
    <row r="389" spans="1:13" x14ac:dyDescent="0.2">
      <c r="A389" s="523">
        <v>43022</v>
      </c>
      <c r="B389" s="930" t="s">
        <v>3508</v>
      </c>
      <c r="C389" s="931" t="s">
        <v>1295</v>
      </c>
      <c r="D389" s="1">
        <v>1.6435185185185188E-2</v>
      </c>
      <c r="E389" s="80" t="s">
        <v>5544</v>
      </c>
      <c r="F389" s="69" t="s">
        <v>8673</v>
      </c>
      <c r="I389" s="2"/>
      <c r="K389" s="82">
        <v>0.62319999999999998</v>
      </c>
    </row>
    <row r="390" spans="1:13" x14ac:dyDescent="0.2">
      <c r="A390" s="523">
        <v>43015</v>
      </c>
      <c r="B390" s="923" t="s">
        <v>3508</v>
      </c>
      <c r="C390" s="924" t="s">
        <v>1295</v>
      </c>
      <c r="D390" s="1">
        <v>1.6284722222222221E-2</v>
      </c>
      <c r="E390" s="80" t="s">
        <v>5883</v>
      </c>
      <c r="F390" s="69" t="s">
        <v>8623</v>
      </c>
      <c r="I390" s="2"/>
      <c r="K390" s="82">
        <v>0.629</v>
      </c>
    </row>
    <row r="391" spans="1:13" x14ac:dyDescent="0.2">
      <c r="A391" s="523">
        <v>43008</v>
      </c>
      <c r="B391" s="532" t="s">
        <v>3508</v>
      </c>
      <c r="C391" s="843" t="s">
        <v>1295</v>
      </c>
      <c r="D391" s="1">
        <v>1.650462962962963E-2</v>
      </c>
      <c r="E391" s="80" t="s">
        <v>2596</v>
      </c>
      <c r="F391" s="69" t="s">
        <v>8594</v>
      </c>
      <c r="I391" s="2"/>
      <c r="K391" s="82">
        <v>0.62060000000000004</v>
      </c>
    </row>
    <row r="392" spans="1:13" x14ac:dyDescent="0.2">
      <c r="A392" s="523">
        <v>42994</v>
      </c>
      <c r="B392" s="869" t="s">
        <v>3508</v>
      </c>
      <c r="C392" s="903" t="s">
        <v>1295</v>
      </c>
      <c r="D392" s="1">
        <v>1.6435185185185188E-2</v>
      </c>
      <c r="E392" s="80" t="s">
        <v>5883</v>
      </c>
      <c r="F392" s="69" t="s">
        <v>750</v>
      </c>
      <c r="I392" s="2"/>
      <c r="K392" s="82">
        <v>0.62319999999999998</v>
      </c>
      <c r="M392" s="80" t="s">
        <v>7649</v>
      </c>
    </row>
    <row r="393" spans="1:13" x14ac:dyDescent="0.2">
      <c r="A393" s="33">
        <v>42980</v>
      </c>
      <c r="B393" s="837" t="s">
        <v>3508</v>
      </c>
      <c r="C393" s="842" t="s">
        <v>1295</v>
      </c>
      <c r="D393" s="80" t="s">
        <v>8346</v>
      </c>
      <c r="E393" s="80" t="s">
        <v>3346</v>
      </c>
      <c r="F393" s="69" t="s">
        <v>4185</v>
      </c>
      <c r="G393" s="5"/>
      <c r="H393" s="2"/>
      <c r="I393" s="2"/>
      <c r="K393" s="82"/>
      <c r="M393" s="80"/>
    </row>
    <row r="394" spans="1:13" x14ac:dyDescent="0.2">
      <c r="A394" s="523">
        <v>42966</v>
      </c>
      <c r="B394" s="879" t="s">
        <v>3508</v>
      </c>
      <c r="C394" s="880" t="s">
        <v>1295</v>
      </c>
      <c r="D394" s="1">
        <v>1.7106481481481483E-2</v>
      </c>
      <c r="E394" s="80" t="s">
        <v>998</v>
      </c>
      <c r="F394" s="69" t="s">
        <v>8400</v>
      </c>
      <c r="I394" s="2"/>
      <c r="K394" s="82">
        <v>0.5988</v>
      </c>
      <c r="M394" s="80"/>
    </row>
    <row r="395" spans="1:13" x14ac:dyDescent="0.2">
      <c r="A395" s="523">
        <v>42959</v>
      </c>
      <c r="B395" s="866" t="s">
        <v>3508</v>
      </c>
      <c r="C395" s="867" t="s">
        <v>1295</v>
      </c>
      <c r="D395" s="1" t="s">
        <v>787</v>
      </c>
      <c r="E395" s="80" t="s">
        <v>5883</v>
      </c>
      <c r="F395" s="69" t="s">
        <v>4185</v>
      </c>
      <c r="I395" s="2"/>
      <c r="K395" s="82"/>
    </row>
    <row r="396" spans="1:13" ht="13.5" customHeight="1" x14ac:dyDescent="0.2">
      <c r="A396" s="523">
        <v>42952</v>
      </c>
      <c r="B396" s="862" t="s">
        <v>3508</v>
      </c>
      <c r="C396" s="863" t="s">
        <v>1295</v>
      </c>
      <c r="D396" s="1">
        <v>1.7499999999999998E-2</v>
      </c>
      <c r="E396" s="80" t="s">
        <v>8009</v>
      </c>
      <c r="F396" s="69" t="s">
        <v>8319</v>
      </c>
      <c r="I396" s="2"/>
      <c r="K396" s="82">
        <v>0.58530000000000004</v>
      </c>
      <c r="M396" s="80"/>
    </row>
    <row r="397" spans="1:13" ht="13.5" customHeight="1" x14ac:dyDescent="0.2">
      <c r="A397" s="523">
        <v>42945</v>
      </c>
      <c r="B397" s="568" t="s">
        <v>3508</v>
      </c>
      <c r="C397" s="861" t="s">
        <v>1295</v>
      </c>
      <c r="D397" s="1">
        <v>2.0081018518518519E-2</v>
      </c>
      <c r="E397" s="80" t="s">
        <v>5883</v>
      </c>
      <c r="F397" s="69" t="s">
        <v>8274</v>
      </c>
      <c r="I397" s="2"/>
      <c r="K397" s="82">
        <v>0.5101</v>
      </c>
      <c r="M397" s="80"/>
    </row>
    <row r="398" spans="1:13" ht="13.5" customHeight="1" x14ac:dyDescent="0.2">
      <c r="A398" s="34">
        <v>42924</v>
      </c>
      <c r="B398" s="80" t="s">
        <v>3508</v>
      </c>
      <c r="C398" s="334" t="s">
        <v>1295</v>
      </c>
      <c r="D398" s="1">
        <v>1.6759259259259258E-2</v>
      </c>
      <c r="E398" s="80" t="s">
        <v>8174</v>
      </c>
      <c r="F398" s="69" t="s">
        <v>8178</v>
      </c>
      <c r="I398" s="2"/>
      <c r="K398" s="82">
        <v>0.61119999999999997</v>
      </c>
      <c r="M398" s="80"/>
    </row>
    <row r="399" spans="1:13" ht="13.5" customHeight="1" x14ac:dyDescent="0.2">
      <c r="A399" s="523">
        <v>42917</v>
      </c>
      <c r="B399" s="80" t="s">
        <v>3508</v>
      </c>
      <c r="C399" s="334" t="s">
        <v>1295</v>
      </c>
      <c r="D399" s="1">
        <v>1.7245370370370369E-2</v>
      </c>
      <c r="E399" s="80" t="s">
        <v>5883</v>
      </c>
      <c r="F399" s="69" t="s">
        <v>3466</v>
      </c>
      <c r="I399" s="2"/>
      <c r="K399" s="82">
        <v>0.59399999999999997</v>
      </c>
      <c r="M399" s="80"/>
    </row>
    <row r="400" spans="1:13" ht="13.5" customHeight="1" x14ac:dyDescent="0.2">
      <c r="A400" s="33">
        <v>42910</v>
      </c>
      <c r="B400" s="80" t="s">
        <v>3508</v>
      </c>
      <c r="C400" s="334" t="s">
        <v>1295</v>
      </c>
      <c r="D400" s="80" t="s">
        <v>787</v>
      </c>
      <c r="E400" s="80" t="s">
        <v>5883</v>
      </c>
      <c r="F400" s="69" t="s">
        <v>4185</v>
      </c>
      <c r="G400" s="5"/>
      <c r="H400" s="2"/>
      <c r="I400" s="2"/>
      <c r="J400" s="2"/>
      <c r="K400" s="82"/>
    </row>
    <row r="401" spans="1:16" ht="13.5" customHeight="1" x14ac:dyDescent="0.2">
      <c r="A401" s="523">
        <v>42903</v>
      </c>
      <c r="B401" s="80" t="s">
        <v>3508</v>
      </c>
      <c r="C401" s="334" t="s">
        <v>1295</v>
      </c>
      <c r="D401" s="1">
        <v>1.9918981481481482E-2</v>
      </c>
      <c r="E401" s="80" t="s">
        <v>5337</v>
      </c>
      <c r="F401" s="69" t="s">
        <v>8079</v>
      </c>
      <c r="I401" s="2"/>
      <c r="K401" s="82">
        <v>0.51019999999999999</v>
      </c>
      <c r="M401" s="80"/>
    </row>
    <row r="402" spans="1:16" ht="13.5" customHeight="1" x14ac:dyDescent="0.2">
      <c r="A402" s="523">
        <v>42896</v>
      </c>
      <c r="B402" s="80" t="s">
        <v>3508</v>
      </c>
      <c r="C402" s="334" t="s">
        <v>1295</v>
      </c>
      <c r="D402" s="1">
        <v>1.7187499999999998E-2</v>
      </c>
      <c r="E402" s="80" t="s">
        <v>129</v>
      </c>
      <c r="F402" s="69" t="s">
        <v>8029</v>
      </c>
      <c r="I402" s="2"/>
      <c r="K402" s="82">
        <v>0.59119999999999995</v>
      </c>
      <c r="M402" s="80"/>
    </row>
    <row r="403" spans="1:16" ht="13.5" customHeight="1" x14ac:dyDescent="0.2">
      <c r="A403" s="523">
        <v>42889</v>
      </c>
      <c r="B403" s="80" t="s">
        <v>3508</v>
      </c>
      <c r="C403" s="334" t="s">
        <v>1295</v>
      </c>
      <c r="D403" s="334">
        <v>1.6724537037037034E-2</v>
      </c>
      <c r="E403" s="80" t="s">
        <v>5883</v>
      </c>
      <c r="F403" s="69" t="s">
        <v>2410</v>
      </c>
      <c r="I403" s="2"/>
      <c r="K403" s="82">
        <v>0.60760000000000003</v>
      </c>
      <c r="M403" s="80"/>
    </row>
    <row r="404" spans="1:16" ht="13.5" customHeight="1" x14ac:dyDescent="0.2">
      <c r="A404" s="523">
        <v>42882</v>
      </c>
      <c r="B404" s="80" t="s">
        <v>3508</v>
      </c>
      <c r="C404" s="334" t="s">
        <v>1295</v>
      </c>
      <c r="D404" s="1">
        <v>1.726851851851852E-2</v>
      </c>
      <c r="E404" s="80" t="s">
        <v>5883</v>
      </c>
      <c r="F404" s="69" t="s">
        <v>7947</v>
      </c>
      <c r="I404" s="2"/>
      <c r="K404" s="82">
        <v>0.58550000000000002</v>
      </c>
    </row>
    <row r="405" spans="1:16" ht="13.5" customHeight="1" x14ac:dyDescent="0.2">
      <c r="A405" s="523">
        <v>42868</v>
      </c>
      <c r="B405" s="80" t="s">
        <v>3508</v>
      </c>
      <c r="C405" s="334" t="s">
        <v>1295</v>
      </c>
      <c r="D405" s="80" t="s">
        <v>787</v>
      </c>
      <c r="E405" s="80" t="s">
        <v>5883</v>
      </c>
      <c r="F405" s="69" t="s">
        <v>4155</v>
      </c>
      <c r="G405" s="5"/>
      <c r="H405" s="5"/>
      <c r="I405" s="2"/>
      <c r="K405" s="82"/>
    </row>
    <row r="406" spans="1:16" ht="13.5" customHeight="1" x14ac:dyDescent="0.2">
      <c r="A406" s="523">
        <v>42861</v>
      </c>
      <c r="B406" s="80" t="s">
        <v>3508</v>
      </c>
      <c r="C406" s="334" t="s">
        <v>1295</v>
      </c>
      <c r="D406" s="1">
        <v>2.3391203703703702E-2</v>
      </c>
      <c r="E406" s="80" t="s">
        <v>5883</v>
      </c>
      <c r="F406" s="69" t="s">
        <v>4843</v>
      </c>
      <c r="I406" s="2"/>
      <c r="K406" s="82">
        <v>0.43440000000000001</v>
      </c>
      <c r="M406" s="80" t="s">
        <v>8181</v>
      </c>
      <c r="P406" s="80" t="s">
        <v>8182</v>
      </c>
    </row>
    <row r="407" spans="1:16" ht="13.5" customHeight="1" x14ac:dyDescent="0.2">
      <c r="A407" s="523">
        <v>42854</v>
      </c>
      <c r="B407" s="80" t="s">
        <v>3508</v>
      </c>
      <c r="C407" s="334" t="s">
        <v>1295</v>
      </c>
      <c r="D407" s="1">
        <v>1.6273148148148148E-2</v>
      </c>
      <c r="E407" s="80" t="s">
        <v>2147</v>
      </c>
      <c r="F407" s="69" t="s">
        <v>7819</v>
      </c>
      <c r="I407" s="2"/>
      <c r="K407" s="82">
        <v>0.62450000000000006</v>
      </c>
      <c r="M407" s="80"/>
    </row>
    <row r="408" spans="1:16" ht="13.5" customHeight="1" x14ac:dyDescent="0.2">
      <c r="A408" s="523">
        <v>42847</v>
      </c>
      <c r="B408" s="80" t="s">
        <v>3508</v>
      </c>
      <c r="C408" s="334" t="s">
        <v>1295</v>
      </c>
      <c r="D408" s="1">
        <v>1.653935185185185E-2</v>
      </c>
      <c r="E408" s="80" t="s">
        <v>5883</v>
      </c>
      <c r="F408" s="69" t="s">
        <v>1291</v>
      </c>
      <c r="I408" s="2"/>
      <c r="K408" s="82">
        <v>0.61439999999999995</v>
      </c>
      <c r="M408" s="80"/>
    </row>
    <row r="409" spans="1:16" ht="13.5" customHeight="1" x14ac:dyDescent="0.2">
      <c r="A409" s="523">
        <v>42840</v>
      </c>
      <c r="B409" s="80" t="s">
        <v>3508</v>
      </c>
      <c r="C409" s="334" t="s">
        <v>1295</v>
      </c>
      <c r="D409" s="1">
        <v>1.7372685185185185E-2</v>
      </c>
      <c r="E409" t="s">
        <v>5708</v>
      </c>
      <c r="F409" s="69" t="s">
        <v>3826</v>
      </c>
      <c r="I409" s="2"/>
      <c r="K409" s="82">
        <v>0.58489999999999998</v>
      </c>
    </row>
    <row r="410" spans="1:16" ht="13.5" customHeight="1" x14ac:dyDescent="0.2">
      <c r="A410" s="523">
        <v>42833</v>
      </c>
      <c r="B410" s="80" t="s">
        <v>3508</v>
      </c>
      <c r="C410" s="334" t="s">
        <v>1295</v>
      </c>
      <c r="D410" s="1">
        <v>1.7800925925925925E-2</v>
      </c>
      <c r="E410" s="80" t="s">
        <v>5883</v>
      </c>
      <c r="F410" s="69" t="s">
        <v>1688</v>
      </c>
      <c r="I410" s="2"/>
      <c r="K410" s="82">
        <v>0.57089999999999996</v>
      </c>
    </row>
    <row r="411" spans="1:16" ht="13.5" customHeight="1" x14ac:dyDescent="0.2">
      <c r="A411" s="33">
        <v>42819</v>
      </c>
      <c r="B411" t="s">
        <v>3508</v>
      </c>
      <c r="C411" s="334" t="s">
        <v>1295</v>
      </c>
      <c r="D411" t="s">
        <v>787</v>
      </c>
      <c r="E411" s="80" t="s">
        <v>5883</v>
      </c>
      <c r="F411" s="69" t="s">
        <v>4185</v>
      </c>
      <c r="G411" s="5"/>
      <c r="H411" s="2"/>
      <c r="I411" s="2"/>
      <c r="J411" s="2"/>
      <c r="K411" s="82"/>
      <c r="M411" s="80"/>
    </row>
    <row r="412" spans="1:16" ht="13.5" customHeight="1" x14ac:dyDescent="0.2">
      <c r="A412" s="523">
        <v>42812</v>
      </c>
      <c r="B412" s="80" t="s">
        <v>3508</v>
      </c>
      <c r="C412" s="334" t="s">
        <v>1295</v>
      </c>
      <c r="D412" s="1">
        <v>1.8784722222222223E-2</v>
      </c>
      <c r="E412" s="80" t="s">
        <v>5883</v>
      </c>
      <c r="F412" s="69" t="s">
        <v>3651</v>
      </c>
      <c r="I412" s="2"/>
      <c r="K412" s="82">
        <v>0.54100000000000004</v>
      </c>
      <c r="M412" s="80"/>
    </row>
    <row r="413" spans="1:16" ht="13.5" customHeight="1" x14ac:dyDescent="0.2">
      <c r="A413" s="33">
        <v>42805</v>
      </c>
      <c r="B413" s="80" t="s">
        <v>3508</v>
      </c>
      <c r="C413" s="334" t="s">
        <v>1295</v>
      </c>
      <c r="D413" s="1">
        <v>1.638888888888889E-2</v>
      </c>
      <c r="E413" s="80" t="s">
        <v>715</v>
      </c>
      <c r="F413" s="69" t="s">
        <v>7635</v>
      </c>
      <c r="I413" s="2"/>
      <c r="K413" s="82">
        <v>0.62009999999999998</v>
      </c>
      <c r="M413" s="80"/>
    </row>
    <row r="414" spans="1:16" ht="13.5" customHeight="1" x14ac:dyDescent="0.2">
      <c r="A414" s="523">
        <v>42798</v>
      </c>
      <c r="B414" t="s">
        <v>3508</v>
      </c>
      <c r="C414" s="334" t="s">
        <v>1295</v>
      </c>
      <c r="D414" s="1">
        <v>1.8900462962962963E-2</v>
      </c>
      <c r="E414" s="80" t="s">
        <v>5883</v>
      </c>
      <c r="F414" s="69" t="s">
        <v>5614</v>
      </c>
      <c r="I414" s="2"/>
      <c r="K414" s="82">
        <v>0.53769999999999996</v>
      </c>
      <c r="M414" s="80"/>
    </row>
    <row r="415" spans="1:16" ht="13.5" customHeight="1" x14ac:dyDescent="0.2">
      <c r="A415" s="523">
        <v>42791</v>
      </c>
      <c r="B415" s="80" t="s">
        <v>3508</v>
      </c>
      <c r="C415" s="334" t="s">
        <v>1295</v>
      </c>
      <c r="D415" s="1">
        <v>1.7962962962962962E-2</v>
      </c>
      <c r="E415" s="80" t="s">
        <v>5883</v>
      </c>
      <c r="F415" s="69" t="s">
        <v>3908</v>
      </c>
      <c r="I415" s="2"/>
      <c r="K415" s="82">
        <v>0.56569999999999998</v>
      </c>
      <c r="M415" s="80" t="s">
        <v>8674</v>
      </c>
    </row>
    <row r="416" spans="1:16" ht="13.5" customHeight="1" x14ac:dyDescent="0.2">
      <c r="A416" s="523">
        <v>42784</v>
      </c>
      <c r="B416" s="80" t="s">
        <v>3508</v>
      </c>
      <c r="C416" s="334" t="s">
        <v>1295</v>
      </c>
      <c r="D416" s="1">
        <v>1.7222222222222222E-2</v>
      </c>
      <c r="E416" s="80" t="s">
        <v>4004</v>
      </c>
      <c r="F416" s="69" t="s">
        <v>7550</v>
      </c>
      <c r="I416" s="2"/>
      <c r="K416" s="82">
        <v>0.59009999999999996</v>
      </c>
      <c r="M416" s="80" t="s">
        <v>8714</v>
      </c>
    </row>
    <row r="417" spans="1:13" ht="13.5" customHeight="1" x14ac:dyDescent="0.2">
      <c r="A417" s="523">
        <v>42777</v>
      </c>
      <c r="B417" s="80" t="s">
        <v>3508</v>
      </c>
      <c r="C417" s="334" t="s">
        <v>1295</v>
      </c>
      <c r="D417" s="1">
        <v>1.7523148148148149E-2</v>
      </c>
      <c r="E417" s="80" t="s">
        <v>5883</v>
      </c>
      <c r="F417" s="69" t="s">
        <v>2738</v>
      </c>
      <c r="I417" s="2"/>
      <c r="K417" s="82">
        <v>0.57989999999999997</v>
      </c>
      <c r="M417" s="80"/>
    </row>
    <row r="418" spans="1:13" ht="13.5" customHeight="1" x14ac:dyDescent="0.2">
      <c r="A418" s="33">
        <v>42770</v>
      </c>
      <c r="B418" s="80" t="s">
        <v>3508</v>
      </c>
      <c r="C418" s="334" t="s">
        <v>1295</v>
      </c>
      <c r="D418" s="1">
        <v>1.7303240740740741E-2</v>
      </c>
      <c r="E418" s="80" t="s">
        <v>5883</v>
      </c>
      <c r="F418" s="69" t="s">
        <v>6343</v>
      </c>
      <c r="I418" s="2"/>
      <c r="K418" s="82">
        <v>0.58730000000000004</v>
      </c>
      <c r="M418" s="80"/>
    </row>
    <row r="419" spans="1:13" ht="13.5" customHeight="1" x14ac:dyDescent="0.2">
      <c r="A419" s="33">
        <v>42763</v>
      </c>
      <c r="B419" s="80" t="s">
        <v>3508</v>
      </c>
      <c r="C419" s="334" t="s">
        <v>1295</v>
      </c>
      <c r="D419" s="1">
        <v>1.8703703703703705E-2</v>
      </c>
      <c r="E419" s="80" t="s">
        <v>5267</v>
      </c>
      <c r="F419" s="69" t="s">
        <v>6375</v>
      </c>
      <c r="I419" s="2"/>
      <c r="K419" s="82">
        <v>0.54330000000000001</v>
      </c>
      <c r="M419" s="80"/>
    </row>
    <row r="420" spans="1:13" ht="13.5" customHeight="1" x14ac:dyDescent="0.2">
      <c r="A420" s="33">
        <v>42756</v>
      </c>
      <c r="B420" s="80" t="s">
        <v>3508</v>
      </c>
      <c r="C420" s="334" t="s">
        <v>1295</v>
      </c>
      <c r="D420" s="1">
        <v>1.6446759259259262E-2</v>
      </c>
      <c r="E420" s="80" t="s">
        <v>998</v>
      </c>
      <c r="F420" s="69" t="s">
        <v>6356</v>
      </c>
      <c r="I420" s="2"/>
      <c r="K420" s="82">
        <v>0.6179</v>
      </c>
      <c r="M420" s="80"/>
    </row>
    <row r="421" spans="1:13" ht="13.5" customHeight="1" x14ac:dyDescent="0.2">
      <c r="A421" s="523">
        <v>42749</v>
      </c>
      <c r="B421" s="80" t="s">
        <v>3508</v>
      </c>
      <c r="C421" s="334" t="s">
        <v>1295</v>
      </c>
      <c r="D421" s="1">
        <v>1.9930555555555556E-2</v>
      </c>
      <c r="E421" s="80" t="s">
        <v>1120</v>
      </c>
      <c r="F421" s="69" t="s">
        <v>6289</v>
      </c>
      <c r="I421" s="2"/>
      <c r="K421" s="82">
        <v>0.50990000000000002</v>
      </c>
      <c r="M421" s="80"/>
    </row>
    <row r="422" spans="1:13" ht="13.5" customHeight="1" x14ac:dyDescent="0.2">
      <c r="A422" s="33">
        <v>42742</v>
      </c>
      <c r="B422" s="80" t="s">
        <v>3508</v>
      </c>
      <c r="C422" s="334" t="s">
        <v>1295</v>
      </c>
      <c r="D422" s="334" t="s">
        <v>787</v>
      </c>
      <c r="E422" s="80" t="s">
        <v>5883</v>
      </c>
      <c r="F422" s="69" t="s">
        <v>4685</v>
      </c>
      <c r="I422" s="2"/>
      <c r="K422" s="82"/>
      <c r="M422" s="80"/>
    </row>
    <row r="423" spans="1:13" ht="13.5" customHeight="1" x14ac:dyDescent="0.2">
      <c r="A423" s="523">
        <v>42736</v>
      </c>
      <c r="B423" s="80" t="s">
        <v>3508</v>
      </c>
      <c r="C423" s="334" t="s">
        <v>1295</v>
      </c>
      <c r="D423" s="1">
        <v>1.7662037037037035E-2</v>
      </c>
      <c r="E423" s="80" t="s">
        <v>2311</v>
      </c>
      <c r="F423" s="69" t="s">
        <v>6222</v>
      </c>
      <c r="I423" s="2"/>
      <c r="K423" s="82">
        <v>0.57540000000000002</v>
      </c>
      <c r="M423" s="80"/>
    </row>
    <row r="424" spans="1:13" ht="13.5" customHeight="1" x14ac:dyDescent="0.2">
      <c r="A424" s="523">
        <v>43057</v>
      </c>
      <c r="B424" s="940" t="s">
        <v>3999</v>
      </c>
      <c r="C424" s="941" t="s">
        <v>1295</v>
      </c>
      <c r="D424" s="1">
        <v>3.4548611111111113E-2</v>
      </c>
      <c r="E424" s="80" t="s">
        <v>5883</v>
      </c>
      <c r="F424" s="69" t="s">
        <v>8802</v>
      </c>
      <c r="I424" s="2"/>
      <c r="K424" s="82">
        <v>0.29649999999999999</v>
      </c>
      <c r="M424" s="80" t="s">
        <v>4960</v>
      </c>
    </row>
    <row r="425" spans="1:13" ht="13.5" customHeight="1" x14ac:dyDescent="0.2">
      <c r="A425" s="523">
        <v>43001</v>
      </c>
      <c r="B425" s="906" t="s">
        <v>3999</v>
      </c>
      <c r="C425" s="907" t="s">
        <v>1295</v>
      </c>
      <c r="D425" s="334" t="s">
        <v>787</v>
      </c>
      <c r="E425" s="80" t="s">
        <v>129</v>
      </c>
      <c r="F425" s="69" t="s">
        <v>4061</v>
      </c>
      <c r="I425" s="2"/>
      <c r="K425" s="82"/>
      <c r="M425" s="80"/>
    </row>
    <row r="426" spans="1:13" ht="13.5" customHeight="1" x14ac:dyDescent="0.2">
      <c r="A426" s="523">
        <v>42973</v>
      </c>
      <c r="B426" s="862" t="s">
        <v>3999</v>
      </c>
      <c r="C426" s="863" t="s">
        <v>1295</v>
      </c>
      <c r="D426" s="1">
        <v>1.6284722222222221E-2</v>
      </c>
      <c r="E426" s="80" t="s">
        <v>449</v>
      </c>
      <c r="F426" s="69" t="s">
        <v>8429</v>
      </c>
      <c r="I426" s="2"/>
      <c r="K426" s="82">
        <v>0.629</v>
      </c>
      <c r="M426" s="80" t="s">
        <v>8822</v>
      </c>
    </row>
    <row r="427" spans="1:13" ht="13.5" customHeight="1" x14ac:dyDescent="0.2">
      <c r="A427" s="523">
        <v>43099</v>
      </c>
      <c r="B427" s="601" t="s">
        <v>866</v>
      </c>
      <c r="C427" s="958" t="s">
        <v>867</v>
      </c>
      <c r="D427" s="1">
        <v>1.9305555555555555E-2</v>
      </c>
      <c r="E427" s="80" t="s">
        <v>5885</v>
      </c>
      <c r="F427" s="69" t="s">
        <v>9009</v>
      </c>
      <c r="I427" s="2"/>
      <c r="K427" s="82">
        <v>0.6875</v>
      </c>
    </row>
    <row r="428" spans="1:13" ht="13.5" customHeight="1" x14ac:dyDescent="0.2">
      <c r="A428" s="965">
        <v>43094</v>
      </c>
      <c r="B428" s="962" t="s">
        <v>866</v>
      </c>
      <c r="C428" s="963" t="s">
        <v>867</v>
      </c>
      <c r="D428" s="1">
        <v>1.9201388888888889E-2</v>
      </c>
      <c r="E428" s="80" t="s">
        <v>5885</v>
      </c>
      <c r="F428" s="69" t="s">
        <v>741</v>
      </c>
      <c r="I428" s="2"/>
      <c r="K428" s="82">
        <v>0.68540000000000001</v>
      </c>
    </row>
    <row r="429" spans="1:13" ht="13.5" customHeight="1" x14ac:dyDescent="0.2">
      <c r="A429" s="523">
        <v>43085</v>
      </c>
      <c r="B429" s="601" t="s">
        <v>866</v>
      </c>
      <c r="C429" s="958" t="s">
        <v>867</v>
      </c>
      <c r="D429" s="1">
        <v>1.877314814814815E-2</v>
      </c>
      <c r="E429" s="80" t="s">
        <v>5885</v>
      </c>
      <c r="F429" s="69" t="s">
        <v>3394</v>
      </c>
      <c r="I429" s="2"/>
      <c r="K429" s="82">
        <v>0.70099999999999996</v>
      </c>
      <c r="M429" s="45">
        <v>900</v>
      </c>
    </row>
    <row r="430" spans="1:13" ht="13.5" customHeight="1" x14ac:dyDescent="0.2">
      <c r="A430" s="523">
        <v>43078</v>
      </c>
      <c r="B430" s="879" t="s">
        <v>866</v>
      </c>
      <c r="C430" s="880" t="s">
        <v>867</v>
      </c>
      <c r="D430" s="1">
        <v>1.8657407407407407E-2</v>
      </c>
      <c r="E430" s="80" t="s">
        <v>5885</v>
      </c>
      <c r="F430" s="69" t="s">
        <v>4803</v>
      </c>
      <c r="I430" s="2"/>
      <c r="K430" s="82">
        <v>0.70530000000000004</v>
      </c>
    </row>
    <row r="431" spans="1:13" ht="13.5" customHeight="1" x14ac:dyDescent="0.2">
      <c r="A431" s="523">
        <v>43071</v>
      </c>
      <c r="B431" s="556" t="s">
        <v>866</v>
      </c>
      <c r="C431" s="950" t="s">
        <v>867</v>
      </c>
      <c r="D431" s="1">
        <v>1.8645833333333334E-2</v>
      </c>
      <c r="E431" s="80" t="s">
        <v>5885</v>
      </c>
      <c r="F431" s="69" t="s">
        <v>164</v>
      </c>
      <c r="I431" s="2"/>
      <c r="K431" s="82">
        <v>0.70579999999999998</v>
      </c>
    </row>
    <row r="432" spans="1:13" ht="13.5" customHeight="1" x14ac:dyDescent="0.2">
      <c r="A432" s="523">
        <v>43064</v>
      </c>
      <c r="B432" s="869" t="s">
        <v>866</v>
      </c>
      <c r="C432" s="903" t="s">
        <v>867</v>
      </c>
      <c r="D432" s="1">
        <v>1.8680555555555554E-2</v>
      </c>
      <c r="E432" s="80" t="s">
        <v>5885</v>
      </c>
      <c r="F432" s="69" t="s">
        <v>1971</v>
      </c>
      <c r="I432" s="2"/>
      <c r="K432" s="82">
        <v>0.70450000000000002</v>
      </c>
    </row>
    <row r="433" spans="1:13" ht="13.5" customHeight="1" x14ac:dyDescent="0.2">
      <c r="A433" s="523">
        <v>43057</v>
      </c>
      <c r="B433" s="940" t="s">
        <v>866</v>
      </c>
      <c r="C433" s="941" t="s">
        <v>867</v>
      </c>
      <c r="D433" s="1">
        <v>1.8576388888888889E-2</v>
      </c>
      <c r="E433" s="80" t="s">
        <v>5885</v>
      </c>
      <c r="F433" s="69" t="s">
        <v>5338</v>
      </c>
      <c r="I433" s="2"/>
      <c r="K433" s="82">
        <v>0.70840000000000003</v>
      </c>
    </row>
    <row r="434" spans="1:13" ht="13.5" customHeight="1" x14ac:dyDescent="0.2">
      <c r="A434" s="523">
        <v>43050</v>
      </c>
      <c r="B434" s="532" t="s">
        <v>866</v>
      </c>
      <c r="C434" s="843" t="s">
        <v>867</v>
      </c>
      <c r="D434" s="1">
        <v>1.8761574074074073E-2</v>
      </c>
      <c r="E434" s="80" t="s">
        <v>5885</v>
      </c>
      <c r="F434" s="69" t="s">
        <v>7687</v>
      </c>
      <c r="I434" s="2"/>
      <c r="K434" s="82">
        <v>0.70140000000000002</v>
      </c>
    </row>
    <row r="435" spans="1:13" ht="13.5" customHeight="1" x14ac:dyDescent="0.2">
      <c r="A435" s="523">
        <v>43036</v>
      </c>
      <c r="B435" s="934" t="s">
        <v>866</v>
      </c>
      <c r="C435" s="935" t="s">
        <v>867</v>
      </c>
      <c r="D435" s="1">
        <v>1.8657407407407407E-2</v>
      </c>
      <c r="E435" s="80" t="s">
        <v>5885</v>
      </c>
      <c r="F435" s="69" t="s">
        <v>8123</v>
      </c>
      <c r="I435" s="2"/>
      <c r="K435" s="82">
        <v>0.70530000000000004</v>
      </c>
    </row>
    <row r="436" spans="1:13" ht="13.5" customHeight="1" x14ac:dyDescent="0.2">
      <c r="A436" s="523">
        <v>43029</v>
      </c>
      <c r="B436" s="901" t="s">
        <v>866</v>
      </c>
      <c r="C436" s="902" t="s">
        <v>867</v>
      </c>
      <c r="D436" s="1">
        <v>1.8530092592592595E-2</v>
      </c>
      <c r="E436" s="80" t="s">
        <v>5885</v>
      </c>
      <c r="F436" s="69" t="s">
        <v>8711</v>
      </c>
      <c r="I436" s="2"/>
      <c r="K436" s="82">
        <v>0.71020000000000005</v>
      </c>
    </row>
    <row r="437" spans="1:13" ht="13.5" customHeight="1" x14ac:dyDescent="0.2">
      <c r="A437" s="523">
        <v>43008</v>
      </c>
      <c r="B437" s="532" t="s">
        <v>866</v>
      </c>
      <c r="C437" s="843" t="s">
        <v>867</v>
      </c>
      <c r="D437" s="1">
        <v>1.8240740740740741E-2</v>
      </c>
      <c r="E437" s="80" t="s">
        <v>5885</v>
      </c>
      <c r="F437" s="69" t="s">
        <v>8608</v>
      </c>
      <c r="I437" s="2"/>
      <c r="K437" s="82">
        <v>0.72140000000000004</v>
      </c>
      <c r="M437" s="80"/>
    </row>
    <row r="438" spans="1:13" ht="13.5" customHeight="1" x14ac:dyDescent="0.2">
      <c r="A438" s="523">
        <v>43001</v>
      </c>
      <c r="B438" s="906" t="s">
        <v>866</v>
      </c>
      <c r="C438" s="907" t="s">
        <v>867</v>
      </c>
      <c r="D438" s="1">
        <v>1.8240740740740741E-2</v>
      </c>
      <c r="E438" s="80" t="s">
        <v>5885</v>
      </c>
      <c r="F438" s="69" t="s">
        <v>5378</v>
      </c>
      <c r="I438" s="2"/>
      <c r="K438" s="82">
        <v>0.72140000000000004</v>
      </c>
      <c r="M438" s="80" t="s">
        <v>4726</v>
      </c>
    </row>
    <row r="439" spans="1:13" ht="13.5" customHeight="1" x14ac:dyDescent="0.2">
      <c r="A439" s="523">
        <v>42994</v>
      </c>
      <c r="B439" s="869" t="s">
        <v>866</v>
      </c>
      <c r="C439" s="903" t="s">
        <v>867</v>
      </c>
      <c r="D439" s="1">
        <v>1.7986111111111109E-2</v>
      </c>
      <c r="E439" s="80" t="s">
        <v>5885</v>
      </c>
      <c r="F439" s="69" t="s">
        <v>2947</v>
      </c>
      <c r="I439" s="2"/>
      <c r="K439" s="82">
        <v>0.73170000000000002</v>
      </c>
      <c r="M439" s="80"/>
    </row>
    <row r="440" spans="1:13" ht="13.5" customHeight="1" x14ac:dyDescent="0.2">
      <c r="A440" s="523">
        <v>42987</v>
      </c>
      <c r="B440" s="532" t="s">
        <v>866</v>
      </c>
      <c r="C440" s="843" t="s">
        <v>867</v>
      </c>
      <c r="D440" s="1">
        <v>1.8171296296296297E-2</v>
      </c>
      <c r="E440" s="80" t="s">
        <v>5885</v>
      </c>
      <c r="F440" s="69" t="s">
        <v>5417</v>
      </c>
      <c r="I440" s="2"/>
      <c r="K440" s="82">
        <v>0.72419999999999995</v>
      </c>
    </row>
    <row r="441" spans="1:13" ht="13.5" customHeight="1" x14ac:dyDescent="0.2">
      <c r="A441" s="523">
        <v>42980</v>
      </c>
      <c r="B441" s="837" t="s">
        <v>866</v>
      </c>
      <c r="C441" s="842" t="s">
        <v>867</v>
      </c>
      <c r="D441" s="1">
        <v>1.7638888888888888E-2</v>
      </c>
      <c r="E441" s="80" t="s">
        <v>5885</v>
      </c>
      <c r="F441" s="69" t="s">
        <v>8471</v>
      </c>
      <c r="I441" s="2"/>
      <c r="K441" s="82">
        <v>0.74609999999999999</v>
      </c>
      <c r="M441" s="80"/>
    </row>
    <row r="442" spans="1:13" ht="13.5" customHeight="1" x14ac:dyDescent="0.2">
      <c r="A442" s="523">
        <v>42973</v>
      </c>
      <c r="B442" s="862" t="s">
        <v>866</v>
      </c>
      <c r="C442" s="863" t="s">
        <v>867</v>
      </c>
      <c r="D442" s="1">
        <v>1.8032407407407407E-2</v>
      </c>
      <c r="E442" s="80" t="s">
        <v>5885</v>
      </c>
      <c r="F442" s="69" t="s">
        <v>1113</v>
      </c>
      <c r="I442" s="2"/>
      <c r="K442" s="82">
        <v>0.7298</v>
      </c>
      <c r="M442" s="80"/>
    </row>
    <row r="443" spans="1:13" ht="13.5" customHeight="1" x14ac:dyDescent="0.2">
      <c r="A443" s="523">
        <v>42966</v>
      </c>
      <c r="B443" s="879" t="s">
        <v>866</v>
      </c>
      <c r="C443" s="880" t="s">
        <v>867</v>
      </c>
      <c r="D443" s="1">
        <v>1.8379629629629628E-2</v>
      </c>
      <c r="E443" s="80" t="s">
        <v>5885</v>
      </c>
      <c r="F443" s="69" t="s">
        <v>8382</v>
      </c>
      <c r="I443" s="2"/>
      <c r="K443" s="82">
        <v>0.71599999999999997</v>
      </c>
      <c r="M443" s="80"/>
    </row>
    <row r="444" spans="1:13" ht="13.5" customHeight="1" x14ac:dyDescent="0.2">
      <c r="A444" s="523">
        <v>42952</v>
      </c>
      <c r="B444" s="862" t="s">
        <v>866</v>
      </c>
      <c r="C444" s="863" t="s">
        <v>867</v>
      </c>
      <c r="D444" s="1">
        <v>1.8680555555555554E-2</v>
      </c>
      <c r="E444" s="80" t="s">
        <v>5095</v>
      </c>
      <c r="F444" s="69" t="s">
        <v>8308</v>
      </c>
      <c r="I444" s="2"/>
      <c r="K444" s="82">
        <v>0.70450000000000002</v>
      </c>
      <c r="M444" s="80"/>
    </row>
    <row r="445" spans="1:13" ht="13.5" customHeight="1" x14ac:dyDescent="0.2">
      <c r="A445" s="523">
        <v>42945</v>
      </c>
      <c r="B445" s="568" t="s">
        <v>866</v>
      </c>
      <c r="C445" s="861" t="s">
        <v>867</v>
      </c>
      <c r="D445" s="1">
        <v>1.8263888888888889E-2</v>
      </c>
      <c r="E445" s="80" t="s">
        <v>5885</v>
      </c>
      <c r="F445" s="69" t="s">
        <v>5723</v>
      </c>
      <c r="I445" s="2"/>
      <c r="K445" s="82">
        <v>0.72050000000000003</v>
      </c>
    </row>
    <row r="446" spans="1:13" ht="13.5" customHeight="1" x14ac:dyDescent="0.2">
      <c r="A446" s="523">
        <v>42938</v>
      </c>
      <c r="B446" s="532" t="s">
        <v>866</v>
      </c>
      <c r="C446" s="843" t="s">
        <v>867</v>
      </c>
      <c r="D446" s="1">
        <v>1.849537037037037E-2</v>
      </c>
      <c r="E446" s="80" t="s">
        <v>5885</v>
      </c>
      <c r="F446" s="69" t="s">
        <v>2268</v>
      </c>
      <c r="I446" s="2"/>
      <c r="K446" s="82">
        <v>0.71150000000000002</v>
      </c>
    </row>
    <row r="447" spans="1:13" ht="13.5" customHeight="1" x14ac:dyDescent="0.2">
      <c r="A447" s="523">
        <v>42931</v>
      </c>
      <c r="B447" s="837" t="s">
        <v>866</v>
      </c>
      <c r="C447" s="842" t="s">
        <v>867</v>
      </c>
      <c r="D447" s="1">
        <v>1.8240740740740741E-2</v>
      </c>
      <c r="E447" s="80" t="s">
        <v>5885</v>
      </c>
      <c r="F447" s="69" t="s">
        <v>1054</v>
      </c>
      <c r="I447" s="2"/>
      <c r="K447" s="82">
        <v>0.72140000000000004</v>
      </c>
      <c r="M447" s="80"/>
    </row>
    <row r="448" spans="1:13" ht="13.5" customHeight="1" x14ac:dyDescent="0.2">
      <c r="A448" s="34">
        <v>42924</v>
      </c>
      <c r="B448" s="80" t="s">
        <v>866</v>
      </c>
      <c r="C448" s="334" t="s">
        <v>867</v>
      </c>
      <c r="D448" s="1">
        <v>1.9050925925925926E-2</v>
      </c>
      <c r="E448" s="80" t="s">
        <v>5947</v>
      </c>
      <c r="F448" s="69" t="s">
        <v>8170</v>
      </c>
      <c r="I448" s="2"/>
      <c r="K448" s="82">
        <v>0.69079999999999997</v>
      </c>
      <c r="M448" s="80"/>
    </row>
    <row r="449" spans="1:23" ht="13.5" customHeight="1" x14ac:dyDescent="0.2">
      <c r="A449" s="523">
        <v>42903</v>
      </c>
      <c r="B449" s="80" t="s">
        <v>866</v>
      </c>
      <c r="C449" s="334" t="s">
        <v>867</v>
      </c>
      <c r="D449" s="1">
        <v>1.8460648148148146E-2</v>
      </c>
      <c r="E449" s="80" t="s">
        <v>2020</v>
      </c>
      <c r="F449" s="69" t="s">
        <v>8061</v>
      </c>
      <c r="I449" s="2"/>
      <c r="K449" s="82">
        <v>0.70750000000000002</v>
      </c>
      <c r="M449" s="784" t="s">
        <v>8063</v>
      </c>
      <c r="N449" s="784"/>
      <c r="O449" s="784"/>
      <c r="P449" s="784"/>
      <c r="Q449" s="784"/>
      <c r="R449" s="784"/>
      <c r="S449" s="784"/>
    </row>
    <row r="450" spans="1:23" ht="13.5" customHeight="1" x14ac:dyDescent="0.2">
      <c r="A450" s="523">
        <v>42896</v>
      </c>
      <c r="B450" s="80" t="s">
        <v>866</v>
      </c>
      <c r="C450" s="334" t="s">
        <v>867</v>
      </c>
      <c r="D450" s="1">
        <v>1.8298611111111113E-2</v>
      </c>
      <c r="E450" t="s">
        <v>5885</v>
      </c>
      <c r="F450" s="69" t="s">
        <v>4506</v>
      </c>
      <c r="I450" s="2"/>
      <c r="K450" s="82">
        <v>0.71919999999999995</v>
      </c>
      <c r="M450" s="80"/>
    </row>
    <row r="451" spans="1:23" ht="13.5" customHeight="1" x14ac:dyDescent="0.2">
      <c r="A451" s="523">
        <v>42889</v>
      </c>
      <c r="B451" s="80" t="s">
        <v>866</v>
      </c>
      <c r="C451" s="334" t="s">
        <v>867</v>
      </c>
      <c r="D451" s="1">
        <v>1.8391203703703705E-2</v>
      </c>
      <c r="E451" s="80" t="s">
        <v>129</v>
      </c>
      <c r="F451" s="69" t="s">
        <v>7985</v>
      </c>
      <c r="I451" s="2"/>
      <c r="K451" s="82">
        <v>0.71550000000000002</v>
      </c>
      <c r="M451" s="80"/>
    </row>
    <row r="452" spans="1:23" ht="13.5" customHeight="1" x14ac:dyDescent="0.2">
      <c r="A452" s="523">
        <v>42882</v>
      </c>
      <c r="B452" s="80" t="s">
        <v>866</v>
      </c>
      <c r="C452" s="334" t="s">
        <v>867</v>
      </c>
      <c r="D452" s="1">
        <v>1.8472222222222223E-2</v>
      </c>
      <c r="E452" s="80" t="s">
        <v>7944</v>
      </c>
      <c r="F452" s="69" t="s">
        <v>7960</v>
      </c>
      <c r="I452" s="2"/>
      <c r="K452" s="82">
        <v>0.71240000000000003</v>
      </c>
    </row>
    <row r="453" spans="1:23" ht="13.5" customHeight="1" x14ac:dyDescent="0.2">
      <c r="A453" s="523">
        <v>42875</v>
      </c>
      <c r="B453" s="80" t="s">
        <v>866</v>
      </c>
      <c r="C453" s="334" t="s">
        <v>867</v>
      </c>
      <c r="D453" s="1">
        <v>1.8263888888888889E-2</v>
      </c>
      <c r="E453" s="80" t="s">
        <v>5885</v>
      </c>
      <c r="F453" s="69" t="s">
        <v>4932</v>
      </c>
      <c r="I453" s="2"/>
      <c r="K453" s="82">
        <v>0.72050000000000003</v>
      </c>
      <c r="M453" s="80"/>
    </row>
    <row r="454" spans="1:23" ht="13.5" customHeight="1" x14ac:dyDescent="0.2">
      <c r="A454" s="523">
        <v>42868</v>
      </c>
      <c r="B454" s="80" t="s">
        <v>866</v>
      </c>
      <c r="C454" s="334" t="s">
        <v>867</v>
      </c>
      <c r="D454" s="1">
        <v>1.8136574074074072E-2</v>
      </c>
      <c r="E454" s="80" t="s">
        <v>5885</v>
      </c>
      <c r="F454" s="69" t="s">
        <v>7872</v>
      </c>
      <c r="I454" s="2"/>
      <c r="K454" s="82">
        <v>0.72560000000000002</v>
      </c>
      <c r="M454" s="80"/>
    </row>
    <row r="455" spans="1:23" ht="13.5" customHeight="1" x14ac:dyDescent="0.2">
      <c r="A455" s="523">
        <v>42861</v>
      </c>
      <c r="B455" s="80" t="s">
        <v>866</v>
      </c>
      <c r="C455" s="334" t="s">
        <v>867</v>
      </c>
      <c r="D455" s="1">
        <v>1.8402777777777778E-2</v>
      </c>
      <c r="E455" s="80" t="s">
        <v>5885</v>
      </c>
      <c r="F455" s="69" t="s">
        <v>7844</v>
      </c>
      <c r="I455" s="2"/>
      <c r="K455" s="82">
        <v>0.71509999999999996</v>
      </c>
    </row>
    <row r="456" spans="1:23" ht="13.5" customHeight="1" x14ac:dyDescent="0.2">
      <c r="A456" s="523">
        <v>42854</v>
      </c>
      <c r="B456" s="80" t="s">
        <v>866</v>
      </c>
      <c r="C456" s="334" t="s">
        <v>867</v>
      </c>
      <c r="D456" s="1">
        <v>1.8124999999999999E-2</v>
      </c>
      <c r="E456" s="80" t="s">
        <v>5885</v>
      </c>
      <c r="F456" s="69" t="s">
        <v>7816</v>
      </c>
      <c r="I456" s="2"/>
      <c r="K456" s="82">
        <v>0.72609999999999997</v>
      </c>
      <c r="M456" s="80"/>
    </row>
    <row r="457" spans="1:23" ht="13.5" customHeight="1" x14ac:dyDescent="0.2">
      <c r="A457" s="523">
        <v>42847</v>
      </c>
      <c r="B457" s="80" t="s">
        <v>866</v>
      </c>
      <c r="C457" s="334" t="s">
        <v>867</v>
      </c>
      <c r="D457" s="1">
        <v>1.800925925925926E-2</v>
      </c>
      <c r="E457" s="80" t="s">
        <v>5885</v>
      </c>
      <c r="F457" s="69" t="s">
        <v>1265</v>
      </c>
      <c r="I457" s="2"/>
      <c r="K457" s="82">
        <v>0.73070000000000002</v>
      </c>
      <c r="M457" s="80" t="s">
        <v>8472</v>
      </c>
    </row>
    <row r="458" spans="1:23" x14ac:dyDescent="0.2">
      <c r="A458" s="523">
        <v>42840</v>
      </c>
      <c r="B458" s="80" t="s">
        <v>866</v>
      </c>
      <c r="C458" s="334" t="s">
        <v>867</v>
      </c>
      <c r="D458" s="1">
        <v>1.8275462962962962E-2</v>
      </c>
      <c r="E458" t="s">
        <v>5885</v>
      </c>
      <c r="F458" s="69" t="s">
        <v>5171</v>
      </c>
      <c r="I458" s="2"/>
      <c r="K458" s="82">
        <v>0.72009999999999996</v>
      </c>
      <c r="M458" s="80"/>
    </row>
    <row r="459" spans="1:23" x14ac:dyDescent="0.2">
      <c r="A459" s="523">
        <v>42833</v>
      </c>
      <c r="B459" s="80" t="s">
        <v>866</v>
      </c>
      <c r="C459" s="334" t="s">
        <v>867</v>
      </c>
      <c r="D459" s="1">
        <v>1.8425925925925925E-2</v>
      </c>
      <c r="E459" s="80" t="s">
        <v>5198</v>
      </c>
      <c r="F459" s="69" t="s">
        <v>7733</v>
      </c>
      <c r="I459" s="2"/>
      <c r="K459" s="82">
        <v>0.71419999999999995</v>
      </c>
      <c r="M459" s="80"/>
    </row>
    <row r="460" spans="1:23" x14ac:dyDescent="0.2">
      <c r="A460" s="523">
        <v>42819</v>
      </c>
      <c r="B460" s="80" t="s">
        <v>866</v>
      </c>
      <c r="C460" s="334" t="s">
        <v>867</v>
      </c>
      <c r="D460" s="1">
        <v>1.7962962962962962E-2</v>
      </c>
      <c r="E460" s="80" t="s">
        <v>5885</v>
      </c>
      <c r="F460" s="69" t="s">
        <v>7689</v>
      </c>
      <c r="I460" s="2"/>
      <c r="K460" s="82">
        <v>0.73260000000000003</v>
      </c>
      <c r="M460" s="80"/>
    </row>
    <row r="461" spans="1:23" x14ac:dyDescent="0.2">
      <c r="A461" s="523">
        <v>42812</v>
      </c>
      <c r="B461" s="80" t="s">
        <v>866</v>
      </c>
      <c r="C461" s="334" t="s">
        <v>867</v>
      </c>
      <c r="D461" s="1">
        <v>1.8298611111111113E-2</v>
      </c>
      <c r="E461" s="80" t="s">
        <v>5885</v>
      </c>
      <c r="F461" s="69" t="s">
        <v>7651</v>
      </c>
      <c r="I461" s="2"/>
      <c r="K461" s="82">
        <v>0.71919999999999995</v>
      </c>
      <c r="M461" s="80" t="s">
        <v>8617</v>
      </c>
      <c r="W461" s="80" t="s">
        <v>1212</v>
      </c>
    </row>
    <row r="462" spans="1:23" ht="12.75" customHeight="1" x14ac:dyDescent="0.2">
      <c r="A462" s="33">
        <v>42805</v>
      </c>
      <c r="B462" s="80" t="s">
        <v>866</v>
      </c>
      <c r="C462" s="334" t="s">
        <v>867</v>
      </c>
      <c r="D462" s="1">
        <v>1.8402777777777778E-2</v>
      </c>
      <c r="E462" s="80" t="s">
        <v>5885</v>
      </c>
      <c r="F462" s="69" t="s">
        <v>7620</v>
      </c>
      <c r="I462" s="2"/>
      <c r="K462" s="82">
        <v>0.71509999999999996</v>
      </c>
      <c r="M462" s="80"/>
    </row>
    <row r="463" spans="1:23" x14ac:dyDescent="0.2">
      <c r="A463" s="523">
        <v>42798</v>
      </c>
      <c r="B463" t="s">
        <v>866</v>
      </c>
      <c r="C463" s="334" t="s">
        <v>867</v>
      </c>
      <c r="D463" s="1">
        <v>1.8333333333333333E-2</v>
      </c>
      <c r="E463" s="80" t="s">
        <v>5885</v>
      </c>
      <c r="F463" s="69" t="s">
        <v>7591</v>
      </c>
      <c r="I463" s="2"/>
      <c r="K463" s="82">
        <v>0.71779999999999999</v>
      </c>
      <c r="M463" s="80"/>
    </row>
    <row r="464" spans="1:23" x14ac:dyDescent="0.2">
      <c r="A464" s="523">
        <v>42791</v>
      </c>
      <c r="B464" s="80" t="s">
        <v>866</v>
      </c>
      <c r="C464" s="334" t="s">
        <v>867</v>
      </c>
      <c r="D464" s="1">
        <v>1.8425925925925925E-2</v>
      </c>
      <c r="E464" s="80" t="s">
        <v>5885</v>
      </c>
      <c r="F464" s="69" t="s">
        <v>7553</v>
      </c>
      <c r="I464" s="2"/>
      <c r="K464" s="82">
        <v>0.71419999999999995</v>
      </c>
      <c r="M464" s="80"/>
    </row>
    <row r="465" spans="1:13" x14ac:dyDescent="0.2">
      <c r="A465" s="523">
        <v>42784</v>
      </c>
      <c r="B465" s="80" t="s">
        <v>866</v>
      </c>
      <c r="C465" s="334" t="s">
        <v>867</v>
      </c>
      <c r="D465" s="1">
        <v>1.8437499999999999E-2</v>
      </c>
      <c r="E465" t="s">
        <v>5885</v>
      </c>
      <c r="F465" s="69" t="s">
        <v>6433</v>
      </c>
      <c r="I465" s="2"/>
      <c r="K465" s="82">
        <v>0.7137</v>
      </c>
      <c r="M465" s="80"/>
    </row>
    <row r="466" spans="1:13" x14ac:dyDescent="0.2">
      <c r="A466" s="523">
        <v>42777</v>
      </c>
      <c r="B466" s="80" t="s">
        <v>866</v>
      </c>
      <c r="C466" s="334" t="s">
        <v>867</v>
      </c>
      <c r="D466" s="1">
        <v>1.8634259259259257E-2</v>
      </c>
      <c r="E466" t="s">
        <v>5885</v>
      </c>
      <c r="F466" s="69" t="s">
        <v>2777</v>
      </c>
      <c r="I466" s="2"/>
      <c r="K466" s="82">
        <v>0.70620000000000005</v>
      </c>
      <c r="M466" s="80"/>
    </row>
    <row r="467" spans="1:13" x14ac:dyDescent="0.2">
      <c r="A467" s="33">
        <v>42763</v>
      </c>
      <c r="B467" s="80" t="s">
        <v>866</v>
      </c>
      <c r="C467" s="334" t="s">
        <v>867</v>
      </c>
      <c r="D467" s="1">
        <v>4.0775462962962965E-2</v>
      </c>
      <c r="E467" s="80" t="s">
        <v>5198</v>
      </c>
      <c r="F467" s="69" t="s">
        <v>6320</v>
      </c>
      <c r="I467" s="2"/>
      <c r="K467" s="82">
        <v>0.31730000000000003</v>
      </c>
      <c r="M467" s="80"/>
    </row>
    <row r="468" spans="1:13" ht="12.75" customHeight="1" x14ac:dyDescent="0.2">
      <c r="A468" s="33">
        <v>42742</v>
      </c>
      <c r="B468" s="80" t="s">
        <v>866</v>
      </c>
      <c r="C468" s="334" t="s">
        <v>867</v>
      </c>
      <c r="D468" s="1">
        <v>1.8680555555555554E-2</v>
      </c>
      <c r="E468" s="80" t="s">
        <v>5885</v>
      </c>
      <c r="F468" s="69" t="s">
        <v>3148</v>
      </c>
      <c r="I468" s="2"/>
      <c r="K468" s="82">
        <v>0.69269999999999998</v>
      </c>
      <c r="M468" s="80"/>
    </row>
    <row r="469" spans="1:13" ht="12.75" customHeight="1" x14ac:dyDescent="0.2">
      <c r="A469" s="523">
        <v>42736</v>
      </c>
      <c r="B469" s="80" t="s">
        <v>866</v>
      </c>
      <c r="C469" s="334" t="s">
        <v>867</v>
      </c>
      <c r="D469" s="1">
        <v>1.8194444444444444E-2</v>
      </c>
      <c r="E469" s="80" t="s">
        <v>5885</v>
      </c>
      <c r="F469" s="69" t="s">
        <v>6206</v>
      </c>
      <c r="I469" s="2"/>
      <c r="K469" s="82">
        <v>0.71120000000000005</v>
      </c>
      <c r="M469" s="80"/>
    </row>
    <row r="470" spans="1:13" ht="12.75" customHeight="1" x14ac:dyDescent="0.2">
      <c r="A470" s="523">
        <v>42861</v>
      </c>
      <c r="B470" s="80" t="s">
        <v>2478</v>
      </c>
      <c r="C470" s="334" t="s">
        <v>3744</v>
      </c>
      <c r="D470" s="35">
        <v>4.2569444444444444E-2</v>
      </c>
      <c r="E470" t="s">
        <v>6393</v>
      </c>
      <c r="F470" s="69" t="s">
        <v>7835</v>
      </c>
      <c r="I470" s="2"/>
      <c r="K470" s="82">
        <v>0.29120000000000001</v>
      </c>
      <c r="M470" s="80"/>
    </row>
    <row r="471" spans="1:13" x14ac:dyDescent="0.2">
      <c r="A471" s="523">
        <v>43099</v>
      </c>
      <c r="B471" s="601" t="s">
        <v>3837</v>
      </c>
      <c r="C471" s="958" t="s">
        <v>3838</v>
      </c>
      <c r="D471" s="1">
        <v>1.6493055555555556E-2</v>
      </c>
      <c r="E471" s="80" t="s">
        <v>129</v>
      </c>
      <c r="F471" s="69" t="s">
        <v>4656</v>
      </c>
      <c r="I471" s="2"/>
      <c r="K471" s="82">
        <v>0.65259999999999996</v>
      </c>
    </row>
    <row r="472" spans="1:13" ht="12.75" customHeight="1" x14ac:dyDescent="0.2">
      <c r="A472" s="523">
        <v>43092</v>
      </c>
      <c r="B472" s="568" t="s">
        <v>3837</v>
      </c>
      <c r="C472" s="861" t="s">
        <v>3838</v>
      </c>
      <c r="D472" s="334">
        <v>1.6157407407407409E-2</v>
      </c>
      <c r="E472" s="80" t="s">
        <v>129</v>
      </c>
      <c r="F472" s="69" t="s">
        <v>8969</v>
      </c>
      <c r="I472" s="2"/>
      <c r="K472" s="82">
        <v>0.66620000000000001</v>
      </c>
    </row>
    <row r="473" spans="1:13" ht="12.75" customHeight="1" x14ac:dyDescent="0.2">
      <c r="A473" s="523">
        <v>43085</v>
      </c>
      <c r="B473" s="601" t="s">
        <v>3837</v>
      </c>
      <c r="C473" s="958" t="s">
        <v>3838</v>
      </c>
      <c r="D473" s="1">
        <v>1.667824074074074E-2</v>
      </c>
      <c r="E473" s="80" t="s">
        <v>129</v>
      </c>
      <c r="F473" s="69" t="s">
        <v>8941</v>
      </c>
      <c r="I473" s="2"/>
      <c r="K473" s="82">
        <v>0.64539999999999997</v>
      </c>
      <c r="M473" s="45">
        <v>900</v>
      </c>
    </row>
    <row r="474" spans="1:13" ht="12.75" customHeight="1" x14ac:dyDescent="0.2">
      <c r="A474" s="523">
        <v>43071</v>
      </c>
      <c r="B474" s="556" t="s">
        <v>3837</v>
      </c>
      <c r="C474" s="950" t="s">
        <v>3838</v>
      </c>
      <c r="D474" s="1">
        <v>1.6585648148148148E-2</v>
      </c>
      <c r="E474" s="80" t="s">
        <v>129</v>
      </c>
      <c r="F474" s="69" t="s">
        <v>8867</v>
      </c>
      <c r="I474" s="2"/>
      <c r="K474" s="82">
        <v>0.64900000000000002</v>
      </c>
    </row>
    <row r="475" spans="1:13" x14ac:dyDescent="0.2">
      <c r="A475" s="523">
        <v>43057</v>
      </c>
      <c r="B475" s="940" t="s">
        <v>3837</v>
      </c>
      <c r="C475" s="941" t="s">
        <v>3838</v>
      </c>
      <c r="D475" s="1">
        <v>1.6597222222222222E-2</v>
      </c>
      <c r="E475" s="80" t="s">
        <v>129</v>
      </c>
      <c r="F475" s="69" t="s">
        <v>7711</v>
      </c>
      <c r="I475" s="2"/>
      <c r="K475" s="82">
        <v>0.64849999999999997</v>
      </c>
    </row>
    <row r="476" spans="1:13" x14ac:dyDescent="0.2">
      <c r="A476" s="523">
        <v>43050</v>
      </c>
      <c r="B476" s="532" t="s">
        <v>3837</v>
      </c>
      <c r="C476" s="843" t="s">
        <v>3838</v>
      </c>
      <c r="D476" s="1">
        <v>1.6238425925925924E-2</v>
      </c>
      <c r="E476" s="80" t="s">
        <v>129</v>
      </c>
      <c r="F476" s="69" t="s">
        <v>8783</v>
      </c>
      <c r="I476" s="2"/>
      <c r="K476" s="82">
        <v>0.66290000000000004</v>
      </c>
    </row>
    <row r="477" spans="1:13" x14ac:dyDescent="0.2">
      <c r="A477" s="523">
        <v>43043</v>
      </c>
      <c r="B477" s="936" t="s">
        <v>3837</v>
      </c>
      <c r="C477" s="937" t="s">
        <v>3838</v>
      </c>
      <c r="D477" s="1">
        <v>1.5856481481481482E-2</v>
      </c>
      <c r="E477" s="80" t="s">
        <v>129</v>
      </c>
      <c r="F477" s="69" t="s">
        <v>4386</v>
      </c>
      <c r="I477" s="2"/>
      <c r="K477" s="82">
        <v>0.67879999999999996</v>
      </c>
    </row>
    <row r="478" spans="1:13" x14ac:dyDescent="0.2">
      <c r="A478" s="523">
        <v>43036</v>
      </c>
      <c r="B478" s="934" t="s">
        <v>3837</v>
      </c>
      <c r="C478" s="935" t="s">
        <v>3838</v>
      </c>
      <c r="D478" s="1">
        <v>1.5879629629629629E-2</v>
      </c>
      <c r="E478" s="80" t="s">
        <v>129</v>
      </c>
      <c r="F478" s="69" t="s">
        <v>8750</v>
      </c>
      <c r="I478" s="2"/>
      <c r="K478" s="82">
        <v>0.67779999999999996</v>
      </c>
    </row>
    <row r="479" spans="1:13" x14ac:dyDescent="0.2">
      <c r="A479" s="523">
        <v>43029</v>
      </c>
      <c r="B479" s="901" t="s">
        <v>3837</v>
      </c>
      <c r="C479" s="902" t="s">
        <v>3838</v>
      </c>
      <c r="D479" s="1">
        <v>1.6041666666666666E-2</v>
      </c>
      <c r="E479" s="80" t="s">
        <v>129</v>
      </c>
      <c r="F479" s="69" t="s">
        <v>8726</v>
      </c>
      <c r="I479" s="2"/>
      <c r="K479" s="82">
        <v>0.67100000000000004</v>
      </c>
    </row>
    <row r="480" spans="1:13" x14ac:dyDescent="0.2">
      <c r="A480" s="523">
        <v>43022</v>
      </c>
      <c r="B480" s="930" t="s">
        <v>3837</v>
      </c>
      <c r="C480" s="931" t="s">
        <v>3838</v>
      </c>
      <c r="D480" s="1">
        <v>1.6006944444444445E-2</v>
      </c>
      <c r="E480" s="80" t="s">
        <v>129</v>
      </c>
      <c r="F480" s="69" t="s">
        <v>8700</v>
      </c>
      <c r="I480" s="2"/>
      <c r="K480" s="82">
        <v>0.67249999999999999</v>
      </c>
    </row>
    <row r="481" spans="1:20" x14ac:dyDescent="0.2">
      <c r="A481" s="523">
        <v>43015</v>
      </c>
      <c r="B481" s="923" t="s">
        <v>3837</v>
      </c>
      <c r="C481" s="924" t="s">
        <v>3838</v>
      </c>
      <c r="D481" s="1">
        <v>1.6076388888888887E-2</v>
      </c>
      <c r="E481" s="80" t="s">
        <v>129</v>
      </c>
      <c r="F481" s="69" t="s">
        <v>1179</v>
      </c>
      <c r="I481" s="2"/>
      <c r="K481" s="82">
        <v>0.66949999999999998</v>
      </c>
    </row>
    <row r="482" spans="1:20" x14ac:dyDescent="0.2">
      <c r="A482" s="523">
        <v>43008</v>
      </c>
      <c r="B482" s="532" t="s">
        <v>3837</v>
      </c>
      <c r="C482" s="843" t="s">
        <v>3838</v>
      </c>
      <c r="D482" s="1">
        <v>1.5902777777777776E-2</v>
      </c>
      <c r="E482" s="80" t="s">
        <v>1811</v>
      </c>
      <c r="F482" s="69" t="s">
        <v>8598</v>
      </c>
      <c r="I482" s="2"/>
      <c r="K482" s="82">
        <v>0.67689999999999995</v>
      </c>
    </row>
    <row r="483" spans="1:20" x14ac:dyDescent="0.2">
      <c r="A483" s="523">
        <v>43001</v>
      </c>
      <c r="B483" s="906" t="s">
        <v>3837</v>
      </c>
      <c r="C483" s="907" t="s">
        <v>3838</v>
      </c>
      <c r="D483" s="1">
        <v>1.6493055555555556E-2</v>
      </c>
      <c r="E483" s="80" t="s">
        <v>8565</v>
      </c>
      <c r="F483" s="69" t="s">
        <v>8567</v>
      </c>
      <c r="I483" s="2"/>
      <c r="K483" s="82">
        <v>0.65259999999999996</v>
      </c>
    </row>
    <row r="484" spans="1:20" ht="13.5" customHeight="1" x14ac:dyDescent="0.2">
      <c r="A484" s="523">
        <v>42994</v>
      </c>
      <c r="B484" s="869" t="s">
        <v>3837</v>
      </c>
      <c r="C484" s="903" t="s">
        <v>3838</v>
      </c>
      <c r="D484" s="1">
        <v>1.7106481481481483E-2</v>
      </c>
      <c r="E484" s="80" t="s">
        <v>5885</v>
      </c>
      <c r="F484" s="69" t="s">
        <v>8539</v>
      </c>
      <c r="I484" s="2"/>
      <c r="K484" s="82">
        <v>0.62919999999999998</v>
      </c>
      <c r="M484" s="80"/>
    </row>
    <row r="485" spans="1:20" ht="13.5" customHeight="1" x14ac:dyDescent="0.2">
      <c r="A485" s="523">
        <v>42987</v>
      </c>
      <c r="B485" s="532" t="s">
        <v>3837</v>
      </c>
      <c r="C485" s="843" t="s">
        <v>3838</v>
      </c>
      <c r="D485" s="1">
        <v>1.6273148148148148E-2</v>
      </c>
      <c r="E485" s="80" t="s">
        <v>129</v>
      </c>
      <c r="F485" s="69" t="s">
        <v>3326</v>
      </c>
      <c r="I485" s="2"/>
      <c r="K485" s="82">
        <v>0.66149999999999998</v>
      </c>
      <c r="M485" s="80"/>
    </row>
    <row r="486" spans="1:20" ht="13.5" customHeight="1" x14ac:dyDescent="0.2">
      <c r="A486" s="33">
        <v>42980</v>
      </c>
      <c r="B486" s="837" t="s">
        <v>3837</v>
      </c>
      <c r="C486" s="842" t="s">
        <v>3838</v>
      </c>
      <c r="D486" s="80" t="s">
        <v>8346</v>
      </c>
      <c r="E486" s="80" t="s">
        <v>129</v>
      </c>
      <c r="F486" s="69" t="s">
        <v>1522</v>
      </c>
      <c r="G486" s="5"/>
      <c r="H486" s="2"/>
      <c r="I486" s="2"/>
      <c r="K486" s="82"/>
    </row>
    <row r="487" spans="1:20" ht="13.5" customHeight="1" x14ac:dyDescent="0.2">
      <c r="A487" s="523">
        <v>42966</v>
      </c>
      <c r="B487" s="879" t="s">
        <v>3837</v>
      </c>
      <c r="C487" s="880" t="s">
        <v>3838</v>
      </c>
      <c r="D487" s="1">
        <v>1.5995370370370372E-2</v>
      </c>
      <c r="E487" s="80" t="s">
        <v>129</v>
      </c>
      <c r="F487" s="69" t="s">
        <v>8395</v>
      </c>
      <c r="I487" s="2"/>
      <c r="K487" s="82">
        <v>0.67290000000000005</v>
      </c>
    </row>
    <row r="488" spans="1:20" ht="13.5" customHeight="1" x14ac:dyDescent="0.2">
      <c r="A488" s="523">
        <v>42945</v>
      </c>
      <c r="B488" s="568" t="s">
        <v>3837</v>
      </c>
      <c r="C488" s="861" t="s">
        <v>3838</v>
      </c>
      <c r="D488" s="1">
        <v>1.622685185185185E-2</v>
      </c>
      <c r="E488" s="80" t="s">
        <v>129</v>
      </c>
      <c r="F488" s="69" t="s">
        <v>8279</v>
      </c>
      <c r="I488" s="2"/>
      <c r="K488" s="82">
        <v>0.6633</v>
      </c>
      <c r="M488" s="80"/>
    </row>
    <row r="489" spans="1:20" ht="13.5" customHeight="1" x14ac:dyDescent="0.2">
      <c r="A489" s="523">
        <v>42938</v>
      </c>
      <c r="B489" s="532" t="s">
        <v>3837</v>
      </c>
      <c r="C489" s="843" t="s">
        <v>3838</v>
      </c>
      <c r="D489" s="1">
        <v>1.5578703703703704E-2</v>
      </c>
      <c r="E489" s="80" t="s">
        <v>5885</v>
      </c>
      <c r="F489" s="69" t="s">
        <v>8231</v>
      </c>
      <c r="I489" s="2"/>
      <c r="K489" s="82">
        <v>0.69089999999999996</v>
      </c>
      <c r="M489" s="80"/>
    </row>
    <row r="490" spans="1:20" ht="13.5" customHeight="1" x14ac:dyDescent="0.2">
      <c r="A490" s="523">
        <v>42931</v>
      </c>
      <c r="B490" s="837" t="s">
        <v>3837</v>
      </c>
      <c r="C490" s="842" t="s">
        <v>3838</v>
      </c>
      <c r="D490" s="1">
        <v>1.7187499999999998E-2</v>
      </c>
      <c r="E490" s="80" t="s">
        <v>5885</v>
      </c>
      <c r="F490" s="69" t="s">
        <v>6177</v>
      </c>
      <c r="I490" s="2"/>
      <c r="K490" s="82">
        <v>0.62629999999999997</v>
      </c>
      <c r="M490" s="80"/>
    </row>
    <row r="491" spans="1:20" ht="13.5" customHeight="1" x14ac:dyDescent="0.2">
      <c r="A491" s="34">
        <v>42924</v>
      </c>
      <c r="B491" s="80" t="s">
        <v>3837</v>
      </c>
      <c r="C491" s="334" t="s">
        <v>3838</v>
      </c>
      <c r="D491" s="1">
        <v>1.5787037037037037E-2</v>
      </c>
      <c r="E491" s="80" t="s">
        <v>129</v>
      </c>
      <c r="F491" s="69" t="s">
        <v>8183</v>
      </c>
      <c r="I491" s="2"/>
      <c r="K491" s="82">
        <v>0.68179999999999996</v>
      </c>
      <c r="M491" s="80"/>
    </row>
    <row r="492" spans="1:20" ht="13.5" customHeight="1" x14ac:dyDescent="0.2">
      <c r="A492" s="523">
        <v>42917</v>
      </c>
      <c r="B492" s="80" t="s">
        <v>3837</v>
      </c>
      <c r="C492" s="334" t="s">
        <v>3838</v>
      </c>
      <c r="D492" s="1">
        <v>1.5914351851851853E-2</v>
      </c>
      <c r="E492" s="80" t="s">
        <v>129</v>
      </c>
      <c r="F492" s="69" t="s">
        <v>6127</v>
      </c>
      <c r="I492" s="2"/>
      <c r="K492" s="82">
        <v>0.6764</v>
      </c>
      <c r="M492" s="5"/>
      <c r="N492" s="5"/>
      <c r="O492" s="5"/>
      <c r="P492" s="5"/>
      <c r="Q492" s="5"/>
      <c r="R492" s="5"/>
      <c r="S492" s="5"/>
      <c r="T492" s="5"/>
    </row>
    <row r="493" spans="1:20" ht="13.5" customHeight="1" x14ac:dyDescent="0.2">
      <c r="A493" s="523">
        <v>42910</v>
      </c>
      <c r="B493" s="80" t="s">
        <v>3837</v>
      </c>
      <c r="C493" s="334" t="s">
        <v>3838</v>
      </c>
      <c r="D493" s="1">
        <v>1.6099537037037037E-2</v>
      </c>
      <c r="E493" s="80" t="s">
        <v>129</v>
      </c>
      <c r="F493" s="69" t="s">
        <v>1584</v>
      </c>
      <c r="I493" s="2"/>
      <c r="K493" s="82">
        <v>0.66859999999999997</v>
      </c>
    </row>
    <row r="494" spans="1:20" ht="13.5" customHeight="1" x14ac:dyDescent="0.2">
      <c r="A494" s="523">
        <v>42903</v>
      </c>
      <c r="B494" s="80" t="s">
        <v>3837</v>
      </c>
      <c r="C494" s="334" t="s">
        <v>3838</v>
      </c>
      <c r="D494" s="1">
        <v>1.681712962962963E-2</v>
      </c>
      <c r="E494" s="80" t="s">
        <v>129</v>
      </c>
      <c r="F494" s="69" t="s">
        <v>8082</v>
      </c>
      <c r="I494" s="2"/>
      <c r="K494" s="82">
        <v>0.6401</v>
      </c>
      <c r="M494" s="80"/>
    </row>
    <row r="495" spans="1:20" ht="13.5" customHeight="1" x14ac:dyDescent="0.2">
      <c r="A495" s="523">
        <v>42882</v>
      </c>
      <c r="B495" s="80" t="s">
        <v>3837</v>
      </c>
      <c r="C495" s="334" t="s">
        <v>3838</v>
      </c>
      <c r="D495" s="1">
        <v>1.6053240740740739E-2</v>
      </c>
      <c r="E495" s="80" t="s">
        <v>129</v>
      </c>
      <c r="F495" s="69" t="s">
        <v>7961</v>
      </c>
      <c r="I495" s="2"/>
      <c r="K495" s="82">
        <v>0.67049999999999998</v>
      </c>
    </row>
    <row r="496" spans="1:20" ht="13.5" customHeight="1" x14ac:dyDescent="0.2">
      <c r="A496" s="523">
        <v>42875</v>
      </c>
      <c r="B496" s="80" t="s">
        <v>3837</v>
      </c>
      <c r="C496" s="334" t="s">
        <v>3838</v>
      </c>
      <c r="D496" s="1">
        <v>1.5729166666666666E-2</v>
      </c>
      <c r="E496" s="80" t="s">
        <v>5885</v>
      </c>
      <c r="F496" s="69" t="s">
        <v>7925</v>
      </c>
      <c r="I496" s="2"/>
      <c r="K496" s="82">
        <v>0.68430000000000002</v>
      </c>
    </row>
    <row r="497" spans="1:13" ht="13.5" customHeight="1" x14ac:dyDescent="0.2">
      <c r="A497" s="523">
        <v>42868</v>
      </c>
      <c r="B497" s="80" t="s">
        <v>3837</v>
      </c>
      <c r="C497" s="334" t="s">
        <v>3838</v>
      </c>
      <c r="D497" s="1">
        <v>1.5613425925925926E-2</v>
      </c>
      <c r="E497" s="80" t="s">
        <v>129</v>
      </c>
      <c r="F497" s="69" t="s">
        <v>7886</v>
      </c>
      <c r="I497" s="2"/>
      <c r="K497" s="82">
        <v>0.68940000000000001</v>
      </c>
      <c r="M497" s="80"/>
    </row>
    <row r="498" spans="1:13" ht="13.5" customHeight="1" x14ac:dyDescent="0.2">
      <c r="A498" s="523">
        <v>42861</v>
      </c>
      <c r="B498" s="80" t="s">
        <v>3837</v>
      </c>
      <c r="C498" s="334" t="s">
        <v>3838</v>
      </c>
      <c r="D498" s="1">
        <v>1.5428240740740741E-2</v>
      </c>
      <c r="E498" s="80" t="s">
        <v>129</v>
      </c>
      <c r="F498" s="69" t="s">
        <v>1470</v>
      </c>
      <c r="I498" s="2"/>
      <c r="K498" s="82">
        <v>0.69769999999999999</v>
      </c>
      <c r="M498" s="80"/>
    </row>
    <row r="499" spans="1:13" ht="13.5" customHeight="1" x14ac:dyDescent="0.2">
      <c r="A499" s="523">
        <v>42854</v>
      </c>
      <c r="B499" s="80" t="s">
        <v>3837</v>
      </c>
      <c r="C499" s="334" t="s">
        <v>3838</v>
      </c>
      <c r="D499" s="1">
        <v>1.5405092592592593E-2</v>
      </c>
      <c r="E499" s="80" t="s">
        <v>129</v>
      </c>
      <c r="F499" s="69" t="s">
        <v>609</v>
      </c>
      <c r="I499" s="2"/>
      <c r="K499" s="82">
        <v>0.69869999999999999</v>
      </c>
    </row>
    <row r="500" spans="1:13" ht="13.5" customHeight="1" x14ac:dyDescent="0.2">
      <c r="A500" s="523">
        <v>42847</v>
      </c>
      <c r="B500" s="80" t="s">
        <v>3837</v>
      </c>
      <c r="C500" s="334" t="s">
        <v>3838</v>
      </c>
      <c r="D500" s="1">
        <v>1.5381944444444443E-2</v>
      </c>
      <c r="E500" s="80" t="s">
        <v>129</v>
      </c>
      <c r="F500" s="69" t="s">
        <v>4153</v>
      </c>
      <c r="I500" s="2"/>
      <c r="K500" s="82">
        <v>0.69979999999999998</v>
      </c>
      <c r="M500" s="80"/>
    </row>
    <row r="501" spans="1:13" ht="13.5" customHeight="1" x14ac:dyDescent="0.2">
      <c r="A501" s="523">
        <v>42840</v>
      </c>
      <c r="B501" s="80" t="s">
        <v>3837</v>
      </c>
      <c r="C501" s="334" t="s">
        <v>3838</v>
      </c>
      <c r="D501" s="1">
        <v>1.577546296296296E-2</v>
      </c>
      <c r="E501" t="s">
        <v>129</v>
      </c>
      <c r="F501" s="69" t="s">
        <v>7778</v>
      </c>
      <c r="I501" s="2"/>
      <c r="K501" s="82">
        <v>0.68230000000000002</v>
      </c>
    </row>
    <row r="502" spans="1:13" ht="13.5" customHeight="1" x14ac:dyDescent="0.2">
      <c r="A502" s="523">
        <v>42826</v>
      </c>
      <c r="B502" s="80" t="s">
        <v>3837</v>
      </c>
      <c r="C502" s="334" t="s">
        <v>3838</v>
      </c>
      <c r="D502" s="1">
        <v>1.6620370370370372E-2</v>
      </c>
      <c r="E502" s="80" t="s">
        <v>129</v>
      </c>
      <c r="F502" s="69" t="s">
        <v>7715</v>
      </c>
      <c r="I502" s="2"/>
      <c r="K502" s="82">
        <v>0.64759999999999995</v>
      </c>
      <c r="M502" s="80"/>
    </row>
    <row r="503" spans="1:13" ht="13.5" customHeight="1" x14ac:dyDescent="0.2">
      <c r="A503" s="523">
        <v>42819</v>
      </c>
      <c r="B503" t="s">
        <v>3837</v>
      </c>
      <c r="C503" s="334" t="s">
        <v>3838</v>
      </c>
      <c r="D503" s="1">
        <v>1.5416666666666667E-2</v>
      </c>
      <c r="E503" s="80" t="s">
        <v>129</v>
      </c>
      <c r="F503" s="69" t="s">
        <v>1400</v>
      </c>
      <c r="I503" s="2"/>
      <c r="K503" s="82">
        <v>0.69820000000000004</v>
      </c>
      <c r="M503" s="80"/>
    </row>
    <row r="504" spans="1:13" ht="13.5" customHeight="1" x14ac:dyDescent="0.2">
      <c r="A504" s="523">
        <v>42812</v>
      </c>
      <c r="B504" s="80" t="s">
        <v>3837</v>
      </c>
      <c r="C504" s="334" t="s">
        <v>3838</v>
      </c>
      <c r="D504" s="1">
        <v>1.6469907407407405E-2</v>
      </c>
      <c r="E504" s="80" t="s">
        <v>129</v>
      </c>
      <c r="F504" s="69" t="s">
        <v>7640</v>
      </c>
      <c r="I504" s="2"/>
      <c r="K504" s="82">
        <v>0.65349999999999997</v>
      </c>
      <c r="M504" s="80"/>
    </row>
    <row r="505" spans="1:13" ht="13.5" customHeight="1" x14ac:dyDescent="0.2">
      <c r="A505" s="33">
        <v>42805</v>
      </c>
      <c r="B505" s="80" t="s">
        <v>3837</v>
      </c>
      <c r="C505" s="334" t="s">
        <v>3838</v>
      </c>
      <c r="D505" s="1">
        <v>1.5706018518518518E-2</v>
      </c>
      <c r="E505" s="80" t="s">
        <v>129</v>
      </c>
      <c r="F505" s="69" t="s">
        <v>7618</v>
      </c>
      <c r="I505" s="2"/>
      <c r="K505" s="82">
        <v>0.68530000000000002</v>
      </c>
      <c r="M505" s="80"/>
    </row>
    <row r="506" spans="1:13" ht="13.5" customHeight="1" x14ac:dyDescent="0.2">
      <c r="A506" s="523">
        <v>42798</v>
      </c>
      <c r="B506" t="s">
        <v>3837</v>
      </c>
      <c r="C506" s="334" t="s">
        <v>3838</v>
      </c>
      <c r="D506" s="1">
        <v>1.5821759259259261E-2</v>
      </c>
      <c r="E506" s="80" t="s">
        <v>129</v>
      </c>
      <c r="F506" s="69" t="s">
        <v>7592</v>
      </c>
      <c r="I506" s="2"/>
      <c r="K506" s="82">
        <v>0.68030000000000002</v>
      </c>
      <c r="M506" s="80"/>
    </row>
    <row r="507" spans="1:13" ht="13.5" customHeight="1" x14ac:dyDescent="0.2">
      <c r="A507" s="523">
        <v>42791</v>
      </c>
      <c r="B507" s="80" t="s">
        <v>3837</v>
      </c>
      <c r="C507" s="334" t="s">
        <v>3838</v>
      </c>
      <c r="D507" s="1">
        <v>1.5682870370370371E-2</v>
      </c>
      <c r="E507" s="80" t="s">
        <v>129</v>
      </c>
      <c r="F507" s="69" t="s">
        <v>3408</v>
      </c>
      <c r="I507" s="2"/>
      <c r="K507" s="82">
        <v>0.68630000000000002</v>
      </c>
      <c r="M507" s="80"/>
    </row>
    <row r="508" spans="1:13" ht="13.5" customHeight="1" x14ac:dyDescent="0.2">
      <c r="A508" s="523">
        <v>42784</v>
      </c>
      <c r="B508" s="80" t="s">
        <v>3837</v>
      </c>
      <c r="C508" s="334" t="s">
        <v>3838</v>
      </c>
      <c r="D508" s="334" t="s">
        <v>787</v>
      </c>
      <c r="E508" s="80" t="s">
        <v>129</v>
      </c>
      <c r="F508" s="69" t="s">
        <v>4061</v>
      </c>
      <c r="I508" s="2"/>
      <c r="K508" s="82"/>
      <c r="M508" s="80"/>
    </row>
    <row r="509" spans="1:13" ht="13.5" customHeight="1" x14ac:dyDescent="0.2">
      <c r="A509" s="523">
        <v>42777</v>
      </c>
      <c r="B509" s="80" t="s">
        <v>3837</v>
      </c>
      <c r="C509" s="334" t="s">
        <v>3838</v>
      </c>
      <c r="D509" s="1">
        <v>1.5960648148148151E-2</v>
      </c>
      <c r="E509" s="80" t="s">
        <v>129</v>
      </c>
      <c r="F509" s="97" t="s">
        <v>396</v>
      </c>
      <c r="I509" s="2"/>
      <c r="K509" s="82">
        <v>0.6744</v>
      </c>
      <c r="M509" s="80"/>
    </row>
    <row r="510" spans="1:13" ht="13.5" customHeight="1" x14ac:dyDescent="0.2">
      <c r="A510" s="33">
        <v>42770</v>
      </c>
      <c r="B510" s="80" t="s">
        <v>3837</v>
      </c>
      <c r="C510" s="334" t="s">
        <v>3838</v>
      </c>
      <c r="D510" s="1">
        <v>1.5810185185185184E-2</v>
      </c>
      <c r="E510" s="80" t="s">
        <v>129</v>
      </c>
      <c r="F510" s="69" t="s">
        <v>6367</v>
      </c>
      <c r="I510" s="2"/>
      <c r="K510" s="82">
        <v>0.68079999999999996</v>
      </c>
      <c r="M510" s="80"/>
    </row>
    <row r="511" spans="1:13" ht="13.5" customHeight="1" x14ac:dyDescent="0.2">
      <c r="A511" s="33">
        <v>42763</v>
      </c>
      <c r="B511" s="80" t="s">
        <v>3837</v>
      </c>
      <c r="C511" s="334" t="s">
        <v>3838</v>
      </c>
      <c r="D511" s="1">
        <v>1.6053240740740739E-2</v>
      </c>
      <c r="E511" s="80" t="s">
        <v>129</v>
      </c>
      <c r="F511" s="69" t="s">
        <v>6368</v>
      </c>
      <c r="I511" s="2"/>
      <c r="K511" s="82">
        <v>0.67049999999999998</v>
      </c>
      <c r="M511" s="80"/>
    </row>
    <row r="512" spans="1:13" ht="13.5" customHeight="1" x14ac:dyDescent="0.2">
      <c r="A512" s="33">
        <v>42756</v>
      </c>
      <c r="B512" s="80" t="s">
        <v>3837</v>
      </c>
      <c r="C512" s="334" t="s">
        <v>3838</v>
      </c>
      <c r="D512" s="1">
        <v>1.5879629629629629E-2</v>
      </c>
      <c r="E512" s="80" t="s">
        <v>129</v>
      </c>
      <c r="F512" s="69" t="s">
        <v>6369</v>
      </c>
      <c r="I512" s="2"/>
      <c r="K512" s="82">
        <v>0.67779999999999996</v>
      </c>
      <c r="M512" s="80"/>
    </row>
    <row r="513" spans="1:13" ht="13.5" customHeight="1" x14ac:dyDescent="0.2">
      <c r="A513" s="523">
        <v>42749</v>
      </c>
      <c r="B513" s="80" t="s">
        <v>3837</v>
      </c>
      <c r="C513" s="334" t="s">
        <v>3838</v>
      </c>
      <c r="D513" s="1">
        <v>1.6828703703703703E-2</v>
      </c>
      <c r="E513" s="80" t="s">
        <v>129</v>
      </c>
      <c r="F513" s="69" t="s">
        <v>6296</v>
      </c>
      <c r="I513" s="2"/>
      <c r="K513" s="82">
        <v>0.63959999999999995</v>
      </c>
      <c r="M513" s="80"/>
    </row>
    <row r="514" spans="1:13" ht="13.5" customHeight="1" x14ac:dyDescent="0.2">
      <c r="A514" s="33">
        <v>42742</v>
      </c>
      <c r="B514" s="80" t="s">
        <v>3837</v>
      </c>
      <c r="C514" s="334" t="s">
        <v>3838</v>
      </c>
      <c r="D514" s="1">
        <v>1.6643518518518519E-2</v>
      </c>
      <c r="E514" s="80" t="s">
        <v>129</v>
      </c>
      <c r="F514" s="69" t="s">
        <v>521</v>
      </c>
      <c r="I514" s="2"/>
      <c r="K514" s="82">
        <v>0.64119999999999999</v>
      </c>
      <c r="M514" s="80"/>
    </row>
    <row r="515" spans="1:13" x14ac:dyDescent="0.2">
      <c r="A515" s="523">
        <v>42736</v>
      </c>
      <c r="B515" s="80" t="s">
        <v>3837</v>
      </c>
      <c r="C515" s="334" t="s">
        <v>3838</v>
      </c>
      <c r="D515" s="1">
        <v>1.6249999999999997E-2</v>
      </c>
      <c r="E515" s="80" t="s">
        <v>5885</v>
      </c>
      <c r="F515" s="69" t="s">
        <v>6227</v>
      </c>
      <c r="I515" s="2"/>
      <c r="K515" s="82">
        <v>0.65669999999999995</v>
      </c>
      <c r="M515" s="80"/>
    </row>
    <row r="516" spans="1:13" x14ac:dyDescent="0.2">
      <c r="A516" s="523">
        <v>43094</v>
      </c>
      <c r="B516" s="879" t="s">
        <v>4548</v>
      </c>
      <c r="C516" s="880" t="s">
        <v>3838</v>
      </c>
      <c r="D516" s="1">
        <v>1.6747685185185185E-2</v>
      </c>
      <c r="E516" s="80" t="s">
        <v>1811</v>
      </c>
      <c r="F516" s="69" t="s">
        <v>7954</v>
      </c>
      <c r="I516" s="2"/>
      <c r="K516" s="82">
        <v>0.64270000000000005</v>
      </c>
    </row>
    <row r="517" spans="1:13" x14ac:dyDescent="0.2">
      <c r="A517" s="523">
        <v>43064</v>
      </c>
      <c r="B517" s="869" t="s">
        <v>4548</v>
      </c>
      <c r="C517" s="903" t="s">
        <v>3838</v>
      </c>
      <c r="D517" s="1">
        <v>1.6134259259259261E-2</v>
      </c>
      <c r="E517" s="80" t="s">
        <v>129</v>
      </c>
      <c r="F517" s="69" t="s">
        <v>1604</v>
      </c>
      <c r="I517" s="2"/>
      <c r="K517" s="82">
        <v>0.66710000000000003</v>
      </c>
      <c r="M517" s="80"/>
    </row>
    <row r="518" spans="1:13" x14ac:dyDescent="0.2">
      <c r="A518" s="523">
        <v>43099</v>
      </c>
      <c r="B518" s="601" t="s">
        <v>3508</v>
      </c>
      <c r="C518" s="958" t="s">
        <v>3632</v>
      </c>
      <c r="D518" s="1">
        <v>1.6643518518518519E-2</v>
      </c>
      <c r="E518" s="80" t="s">
        <v>5885</v>
      </c>
      <c r="F518" s="69" t="s">
        <v>9011</v>
      </c>
      <c r="I518" s="2"/>
      <c r="K518" s="82">
        <v>0.64119999999999999</v>
      </c>
    </row>
    <row r="519" spans="1:13" x14ac:dyDescent="0.2">
      <c r="A519" s="965">
        <v>43094</v>
      </c>
      <c r="B519" s="962" t="s">
        <v>3508</v>
      </c>
      <c r="C519" s="963" t="s">
        <v>3632</v>
      </c>
      <c r="D519" s="1">
        <v>1.8472222222222223E-2</v>
      </c>
      <c r="E519" s="80" t="s">
        <v>5885</v>
      </c>
      <c r="F519" s="69" t="s">
        <v>609</v>
      </c>
      <c r="I519" s="2"/>
      <c r="K519" s="82">
        <v>0.57769999999999999</v>
      </c>
    </row>
    <row r="520" spans="1:13" x14ac:dyDescent="0.2">
      <c r="A520" s="523">
        <v>43092</v>
      </c>
      <c r="B520" s="568" t="s">
        <v>3508</v>
      </c>
      <c r="C520" s="861" t="s">
        <v>3632</v>
      </c>
      <c r="D520" s="1">
        <v>1.5682870370370371E-2</v>
      </c>
      <c r="E520" s="80" t="s">
        <v>5947</v>
      </c>
      <c r="F520" s="69" t="s">
        <v>8958</v>
      </c>
      <c r="I520" s="2"/>
      <c r="K520" s="82">
        <v>0.6804</v>
      </c>
    </row>
    <row r="521" spans="1:13" x14ac:dyDescent="0.2">
      <c r="A521" s="523">
        <v>43078</v>
      </c>
      <c r="B521" s="879" t="s">
        <v>3508</v>
      </c>
      <c r="C521" s="880" t="s">
        <v>3632</v>
      </c>
      <c r="D521" s="1">
        <v>1.5740740740740743E-2</v>
      </c>
      <c r="E521" s="80" t="s">
        <v>5885</v>
      </c>
      <c r="F521" s="69" t="s">
        <v>1259</v>
      </c>
      <c r="I521" s="2"/>
      <c r="K521" s="82">
        <v>0.67789999999999995</v>
      </c>
      <c r="M521" s="45">
        <v>1000</v>
      </c>
    </row>
    <row r="522" spans="1:13" x14ac:dyDescent="0.2">
      <c r="A522" s="523">
        <v>43071</v>
      </c>
      <c r="B522" s="556" t="s">
        <v>3508</v>
      </c>
      <c r="C522" s="950" t="s">
        <v>3632</v>
      </c>
      <c r="D522" s="1">
        <v>1.8136574074074072E-2</v>
      </c>
      <c r="E522" s="80" t="s">
        <v>5885</v>
      </c>
      <c r="F522" s="69" t="s">
        <v>1972</v>
      </c>
      <c r="I522" s="2"/>
      <c r="K522" s="82">
        <v>0.58840000000000003</v>
      </c>
    </row>
    <row r="523" spans="1:13" x14ac:dyDescent="0.2">
      <c r="A523" s="523">
        <v>43036</v>
      </c>
      <c r="B523" s="934" t="s">
        <v>3508</v>
      </c>
      <c r="C523" s="935" t="s">
        <v>3632</v>
      </c>
      <c r="D523" s="1">
        <v>3.24537037037037E-2</v>
      </c>
      <c r="E523" s="80" t="s">
        <v>5885</v>
      </c>
      <c r="F523" s="69" t="s">
        <v>1091</v>
      </c>
      <c r="I523" s="2"/>
      <c r="K523" s="82">
        <v>0.32879999999999998</v>
      </c>
      <c r="M523" s="80" t="s">
        <v>6370</v>
      </c>
    </row>
    <row r="524" spans="1:13" x14ac:dyDescent="0.2">
      <c r="A524" s="523">
        <v>43029</v>
      </c>
      <c r="B524" s="901" t="s">
        <v>3508</v>
      </c>
      <c r="C524" s="902" t="s">
        <v>3632</v>
      </c>
      <c r="D524" s="1">
        <v>1.5300925925925926E-2</v>
      </c>
      <c r="E524" s="80" t="s">
        <v>8705</v>
      </c>
      <c r="F524" s="69" t="s">
        <v>8708</v>
      </c>
      <c r="I524" s="2"/>
      <c r="K524" s="82">
        <v>0.69740000000000002</v>
      </c>
    </row>
    <row r="525" spans="1:13" x14ac:dyDescent="0.2">
      <c r="A525" s="523">
        <v>42994</v>
      </c>
      <c r="B525" s="869" t="s">
        <v>3508</v>
      </c>
      <c r="C525" s="903" t="s">
        <v>3632</v>
      </c>
      <c r="D525" s="1">
        <v>1.4548611111111111E-2</v>
      </c>
      <c r="E525" s="80" t="s">
        <v>5885</v>
      </c>
      <c r="F525" s="69" t="s">
        <v>8530</v>
      </c>
      <c r="I525" s="2"/>
      <c r="K525" s="82">
        <v>0.73350000000000004</v>
      </c>
    </row>
    <row r="526" spans="1:13" x14ac:dyDescent="0.2">
      <c r="A526" s="523">
        <v>42980</v>
      </c>
      <c r="B526" s="837" t="s">
        <v>3508</v>
      </c>
      <c r="C526" s="842" t="s">
        <v>3632</v>
      </c>
      <c r="D526" s="1">
        <v>1.7106481481481483E-2</v>
      </c>
      <c r="E526" s="80" t="s">
        <v>5885</v>
      </c>
      <c r="F526" s="69" t="s">
        <v>8470</v>
      </c>
      <c r="I526" s="2"/>
      <c r="K526" s="82">
        <v>0.62380000000000002</v>
      </c>
    </row>
    <row r="527" spans="1:13" x14ac:dyDescent="0.2">
      <c r="A527" s="523">
        <v>42966</v>
      </c>
      <c r="B527" s="879" t="s">
        <v>3508</v>
      </c>
      <c r="C527" s="880" t="s">
        <v>3632</v>
      </c>
      <c r="D527" s="1">
        <v>1.6168981481481482E-2</v>
      </c>
      <c r="E527" s="80" t="s">
        <v>161</v>
      </c>
      <c r="F527" s="69" t="s">
        <v>8393</v>
      </c>
      <c r="I527" s="2"/>
      <c r="K527" s="82">
        <v>0.66</v>
      </c>
    </row>
    <row r="528" spans="1:13" x14ac:dyDescent="0.2">
      <c r="A528" s="523">
        <v>42959</v>
      </c>
      <c r="B528" s="866" t="s">
        <v>3508</v>
      </c>
      <c r="C528" s="867" t="s">
        <v>3632</v>
      </c>
      <c r="D528" s="1">
        <v>1.5717592592592592E-2</v>
      </c>
      <c r="E528" s="80" t="s">
        <v>4529</v>
      </c>
      <c r="F528" s="69" t="s">
        <v>4960</v>
      </c>
      <c r="I528" s="2"/>
      <c r="K528" s="82">
        <v>0.67889999999999995</v>
      </c>
    </row>
    <row r="529" spans="1:19" x14ac:dyDescent="0.2">
      <c r="A529" s="523">
        <v>42945</v>
      </c>
      <c r="B529" s="568" t="s">
        <v>3508</v>
      </c>
      <c r="C529" s="861" t="s">
        <v>3632</v>
      </c>
      <c r="D529" s="1">
        <v>1.8842592592592591E-2</v>
      </c>
      <c r="E529" s="80" t="s">
        <v>5885</v>
      </c>
      <c r="F529" s="69" t="s">
        <v>8289</v>
      </c>
      <c r="I529" s="2"/>
      <c r="K529" s="82">
        <v>0.56140000000000001</v>
      </c>
    </row>
    <row r="530" spans="1:19" x14ac:dyDescent="0.2">
      <c r="A530" s="523">
        <v>42938</v>
      </c>
      <c r="B530" s="532" t="s">
        <v>3508</v>
      </c>
      <c r="C530" s="843" t="s">
        <v>3632</v>
      </c>
      <c r="D530" s="1">
        <v>1.6249999999999997E-2</v>
      </c>
      <c r="E530" s="80" t="s">
        <v>5885</v>
      </c>
      <c r="F530" s="69" t="s">
        <v>8232</v>
      </c>
      <c r="I530" s="2"/>
      <c r="K530" s="82">
        <v>0.65100000000000002</v>
      </c>
      <c r="M530" s="80"/>
    </row>
    <row r="531" spans="1:19" ht="12.75" customHeight="1" x14ac:dyDescent="0.2">
      <c r="A531" s="523">
        <v>42931</v>
      </c>
      <c r="B531" s="837" t="s">
        <v>3508</v>
      </c>
      <c r="C531" s="842" t="s">
        <v>3632</v>
      </c>
      <c r="D531" s="1">
        <v>1.4872685185185185E-2</v>
      </c>
      <c r="E531" s="80" t="s">
        <v>5885</v>
      </c>
      <c r="F531" s="69" t="s">
        <v>4756</v>
      </c>
      <c r="I531" s="2"/>
      <c r="K531" s="82">
        <v>0.71130000000000004</v>
      </c>
      <c r="M531" s="80"/>
    </row>
    <row r="532" spans="1:19" ht="12.75" customHeight="1" x14ac:dyDescent="0.2">
      <c r="A532" s="34">
        <v>42924</v>
      </c>
      <c r="B532" s="80" t="s">
        <v>3508</v>
      </c>
      <c r="C532" s="334" t="s">
        <v>3632</v>
      </c>
      <c r="D532" s="1">
        <v>1.6875000000000001E-2</v>
      </c>
      <c r="E532" s="80" t="s">
        <v>1982</v>
      </c>
      <c r="F532" s="69" t="s">
        <v>8166</v>
      </c>
      <c r="I532" s="2"/>
      <c r="K532" s="82">
        <v>0.62690000000000001</v>
      </c>
    </row>
    <row r="533" spans="1:19" x14ac:dyDescent="0.2">
      <c r="A533" s="523">
        <v>42917</v>
      </c>
      <c r="B533" s="80" t="s">
        <v>3508</v>
      </c>
      <c r="C533" s="334" t="s">
        <v>3632</v>
      </c>
      <c r="D533" s="1">
        <v>1.4884259259259259E-2</v>
      </c>
      <c r="E533" s="80" t="s">
        <v>5885</v>
      </c>
      <c r="F533" s="69" t="s">
        <v>8114</v>
      </c>
      <c r="I533" s="2"/>
      <c r="K533" s="82">
        <v>0.7107</v>
      </c>
      <c r="M533" s="80"/>
    </row>
    <row r="534" spans="1:19" x14ac:dyDescent="0.2">
      <c r="A534" s="523">
        <v>42910</v>
      </c>
      <c r="B534" s="80" t="s">
        <v>3508</v>
      </c>
      <c r="C534" s="334" t="s">
        <v>3632</v>
      </c>
      <c r="D534" s="1">
        <v>1.712962962962963E-2</v>
      </c>
      <c r="E534" s="80" t="s">
        <v>5885</v>
      </c>
      <c r="F534" s="69" t="s">
        <v>624</v>
      </c>
      <c r="I534" s="2"/>
      <c r="K534" s="82">
        <v>0.61760000000000004</v>
      </c>
    </row>
    <row r="535" spans="1:19" x14ac:dyDescent="0.2">
      <c r="A535" s="523">
        <v>42903</v>
      </c>
      <c r="B535" s="80" t="s">
        <v>3508</v>
      </c>
      <c r="C535" s="334" t="s">
        <v>3632</v>
      </c>
      <c r="D535" s="1">
        <v>1.8969907407407408E-2</v>
      </c>
      <c r="E535" t="s">
        <v>5885</v>
      </c>
      <c r="F535" s="69" t="s">
        <v>4166</v>
      </c>
      <c r="I535" s="2"/>
      <c r="K535" s="82">
        <v>0.55769999999999997</v>
      </c>
      <c r="M535" s="80" t="s">
        <v>7814</v>
      </c>
    </row>
    <row r="536" spans="1:19" ht="12.75" customHeight="1" x14ac:dyDescent="0.2">
      <c r="A536" s="523">
        <v>42889</v>
      </c>
      <c r="B536" s="80" t="s">
        <v>3508</v>
      </c>
      <c r="C536" s="334" t="s">
        <v>3632</v>
      </c>
      <c r="D536" s="1">
        <v>1.4756944444444446E-2</v>
      </c>
      <c r="E536" s="80" t="s">
        <v>5885</v>
      </c>
      <c r="F536" s="69" t="s">
        <v>7972</v>
      </c>
      <c r="I536" s="2"/>
      <c r="K536" s="82">
        <v>0.71689999999999998</v>
      </c>
      <c r="M536" s="80"/>
    </row>
    <row r="537" spans="1:19" ht="12.75" customHeight="1" x14ac:dyDescent="0.2">
      <c r="A537" s="523">
        <v>42882</v>
      </c>
      <c r="B537" s="80" t="s">
        <v>3508</v>
      </c>
      <c r="C537" s="334" t="s">
        <v>3632</v>
      </c>
      <c r="D537" s="1">
        <v>1.7291666666666667E-2</v>
      </c>
      <c r="E537" s="80" t="s">
        <v>5885</v>
      </c>
      <c r="F537" s="69" t="s">
        <v>7951</v>
      </c>
      <c r="I537" s="2"/>
      <c r="K537" s="82">
        <v>0.61180000000000001</v>
      </c>
      <c r="M537" s="80"/>
    </row>
    <row r="538" spans="1:19" ht="12.75" customHeight="1" x14ac:dyDescent="0.2">
      <c r="A538" s="523">
        <v>42868</v>
      </c>
      <c r="B538" s="80" t="s">
        <v>3508</v>
      </c>
      <c r="C538" s="334" t="s">
        <v>3632</v>
      </c>
      <c r="D538" s="1">
        <v>1.5416666666666667E-2</v>
      </c>
      <c r="E538" s="80" t="s">
        <v>4501</v>
      </c>
      <c r="F538" s="69" t="s">
        <v>7904</v>
      </c>
      <c r="I538" s="2"/>
      <c r="K538" s="82">
        <v>0.68620000000000003</v>
      </c>
      <c r="S538" s="5"/>
    </row>
    <row r="539" spans="1:19" ht="12.75" customHeight="1" x14ac:dyDescent="0.2">
      <c r="A539" s="523">
        <v>42854</v>
      </c>
      <c r="B539" s="80" t="s">
        <v>3508</v>
      </c>
      <c r="C539" s="334" t="s">
        <v>3632</v>
      </c>
      <c r="D539" s="334" t="s">
        <v>7832</v>
      </c>
      <c r="F539" s="69"/>
      <c r="I539" s="2"/>
      <c r="K539" s="82"/>
      <c r="M539" s="80"/>
    </row>
    <row r="540" spans="1:19" ht="12.75" customHeight="1" x14ac:dyDescent="0.2">
      <c r="A540" s="523">
        <v>42847</v>
      </c>
      <c r="B540" s="80" t="s">
        <v>3508</v>
      </c>
      <c r="C540" s="334" t="s">
        <v>3632</v>
      </c>
      <c r="D540" s="1">
        <v>1.653935185185185E-2</v>
      </c>
      <c r="E540" s="80" t="s">
        <v>1982</v>
      </c>
      <c r="F540" s="69" t="s">
        <v>4958</v>
      </c>
      <c r="I540" s="2"/>
      <c r="K540" s="82">
        <v>0.63959999999999995</v>
      </c>
      <c r="M540" s="80"/>
    </row>
    <row r="541" spans="1:19" x14ac:dyDescent="0.2">
      <c r="A541" s="523">
        <v>42840</v>
      </c>
      <c r="B541" s="80" t="s">
        <v>3508</v>
      </c>
      <c r="C541" s="334" t="s">
        <v>3632</v>
      </c>
      <c r="D541" s="1">
        <v>1.5000000000000001E-2</v>
      </c>
      <c r="E541" t="s">
        <v>5885</v>
      </c>
      <c r="F541" s="69" t="s">
        <v>7766</v>
      </c>
      <c r="I541" s="2"/>
      <c r="K541" s="82">
        <v>0.70520000000000005</v>
      </c>
    </row>
    <row r="542" spans="1:19" x14ac:dyDescent="0.2">
      <c r="A542" s="523">
        <v>42833</v>
      </c>
      <c r="B542" s="80" t="s">
        <v>3508</v>
      </c>
      <c r="C542" s="334" t="s">
        <v>3632</v>
      </c>
      <c r="D542" s="1">
        <v>1.6400462962962964E-2</v>
      </c>
      <c r="E542" s="80" t="s">
        <v>5885</v>
      </c>
      <c r="F542" s="69" t="s">
        <v>7743</v>
      </c>
      <c r="I542" s="2"/>
      <c r="K542" s="82">
        <v>0.64500000000000002</v>
      </c>
    </row>
    <row r="543" spans="1:19" x14ac:dyDescent="0.2">
      <c r="A543" s="523">
        <v>42826</v>
      </c>
      <c r="B543" s="80" t="s">
        <v>3508</v>
      </c>
      <c r="C543" s="334" t="s">
        <v>3632</v>
      </c>
      <c r="D543" s="1">
        <v>1.5555555555555553E-2</v>
      </c>
      <c r="E543" s="80" t="s">
        <v>5885</v>
      </c>
      <c r="F543" s="69" t="s">
        <v>2470</v>
      </c>
      <c r="I543" s="2"/>
      <c r="K543" s="82">
        <v>0.68010000000000004</v>
      </c>
      <c r="M543" s="80"/>
    </row>
    <row r="544" spans="1:19" x14ac:dyDescent="0.2">
      <c r="A544" s="523">
        <v>42819</v>
      </c>
      <c r="B544" s="80" t="s">
        <v>3508</v>
      </c>
      <c r="C544" s="334" t="s">
        <v>3632</v>
      </c>
      <c r="D544" s="1">
        <v>1.7847222222222223E-2</v>
      </c>
      <c r="E544" s="80" t="s">
        <v>1982</v>
      </c>
      <c r="F544" s="69" t="s">
        <v>1243</v>
      </c>
      <c r="I544" s="2"/>
      <c r="K544" s="82">
        <v>0.5927</v>
      </c>
      <c r="M544" s="80"/>
    </row>
    <row r="545" spans="1:13" x14ac:dyDescent="0.2">
      <c r="A545" s="523">
        <v>42812</v>
      </c>
      <c r="B545" s="80" t="s">
        <v>3508</v>
      </c>
      <c r="C545" s="334" t="s">
        <v>3632</v>
      </c>
      <c r="D545" s="1">
        <v>1.8807870370370371E-2</v>
      </c>
      <c r="E545" s="80" t="s">
        <v>5885</v>
      </c>
      <c r="F545" s="69" t="s">
        <v>7652</v>
      </c>
      <c r="I545" s="2"/>
      <c r="K545" s="82">
        <v>0.5625</v>
      </c>
    </row>
    <row r="546" spans="1:13" x14ac:dyDescent="0.2">
      <c r="A546" s="33">
        <v>42805</v>
      </c>
      <c r="B546" s="80" t="s">
        <v>3508</v>
      </c>
      <c r="C546" s="334" t="s">
        <v>3632</v>
      </c>
      <c r="D546" s="1">
        <v>1.554398148148148E-2</v>
      </c>
      <c r="E546" s="80" t="s">
        <v>5885</v>
      </c>
      <c r="F546" s="69" t="s">
        <v>7621</v>
      </c>
      <c r="I546" s="2"/>
      <c r="K546" s="82">
        <v>0.68059999999999998</v>
      </c>
      <c r="M546" s="80"/>
    </row>
    <row r="547" spans="1:13" x14ac:dyDescent="0.2">
      <c r="A547" s="523">
        <v>42791</v>
      </c>
      <c r="B547" s="80" t="s">
        <v>3508</v>
      </c>
      <c r="C547" s="334" t="s">
        <v>3632</v>
      </c>
      <c r="D547" s="1">
        <v>1.7118055555555556E-2</v>
      </c>
      <c r="E547" s="80" t="s">
        <v>5885</v>
      </c>
      <c r="F547" s="69" t="s">
        <v>7554</v>
      </c>
      <c r="I547" s="2"/>
      <c r="K547" s="82">
        <v>0.61799999999999999</v>
      </c>
    </row>
    <row r="548" spans="1:13" x14ac:dyDescent="0.2">
      <c r="A548" s="523">
        <v>42784</v>
      </c>
      <c r="B548" s="80" t="s">
        <v>3508</v>
      </c>
      <c r="C548" s="334" t="s">
        <v>3632</v>
      </c>
      <c r="D548" s="1">
        <v>1.6666666666666666E-2</v>
      </c>
      <c r="E548" s="80" t="s">
        <v>5885</v>
      </c>
      <c r="F548" s="69" t="s">
        <v>2354</v>
      </c>
      <c r="I548" s="2"/>
      <c r="K548" s="82">
        <v>0.63700000000000001</v>
      </c>
    </row>
    <row r="549" spans="1:13" x14ac:dyDescent="0.2">
      <c r="A549" s="523">
        <v>42777</v>
      </c>
      <c r="B549" s="80" t="s">
        <v>3508</v>
      </c>
      <c r="C549" s="334" t="s">
        <v>3632</v>
      </c>
      <c r="D549" s="1">
        <v>1.6493055555555556E-2</v>
      </c>
      <c r="E549" t="s">
        <v>5885</v>
      </c>
      <c r="F549" s="69" t="s">
        <v>1383</v>
      </c>
      <c r="I549" s="2"/>
      <c r="K549" s="82">
        <v>0.64139999999999997</v>
      </c>
      <c r="M549" s="80"/>
    </row>
    <row r="550" spans="1:13" x14ac:dyDescent="0.2">
      <c r="A550" s="33">
        <v>42770</v>
      </c>
      <c r="B550" s="80" t="s">
        <v>3508</v>
      </c>
      <c r="C550" s="334" t="s">
        <v>3632</v>
      </c>
      <c r="D550" s="1">
        <v>1.6597222222222222E-2</v>
      </c>
      <c r="E550" s="80" t="s">
        <v>5885</v>
      </c>
      <c r="F550" s="69" t="s">
        <v>6346</v>
      </c>
      <c r="I550" s="2"/>
      <c r="K550" s="82">
        <v>0.63739999999999997</v>
      </c>
      <c r="M550" s="80"/>
    </row>
    <row r="551" spans="1:13" ht="13.5" customHeight="1" x14ac:dyDescent="0.2">
      <c r="A551" s="33">
        <v>42763</v>
      </c>
      <c r="B551" s="80" t="s">
        <v>3508</v>
      </c>
      <c r="C551" s="334" t="s">
        <v>3632</v>
      </c>
      <c r="D551" s="1">
        <v>1.6828703703703703E-2</v>
      </c>
      <c r="E551" s="80" t="s">
        <v>5198</v>
      </c>
      <c r="F551" s="69" t="s">
        <v>6313</v>
      </c>
      <c r="I551" s="2"/>
      <c r="K551" s="82">
        <v>0.62860000000000005</v>
      </c>
      <c r="M551" s="80"/>
    </row>
    <row r="552" spans="1:13" x14ac:dyDescent="0.2">
      <c r="A552" s="33">
        <v>42756</v>
      </c>
      <c r="B552" s="80" t="s">
        <v>3508</v>
      </c>
      <c r="C552" s="334" t="s">
        <v>3632</v>
      </c>
      <c r="D552" s="1">
        <v>1.577546296296296E-2</v>
      </c>
      <c r="E552" s="80" t="s">
        <v>4817</v>
      </c>
      <c r="F552" s="69" t="s">
        <v>6362</v>
      </c>
      <c r="I552" s="2"/>
      <c r="K552" s="82">
        <v>0.67059999999999997</v>
      </c>
      <c r="M552" s="80"/>
    </row>
    <row r="553" spans="1:13" ht="14.25" customHeight="1" x14ac:dyDescent="0.2">
      <c r="A553" s="33">
        <v>42742</v>
      </c>
      <c r="B553" s="80" t="s">
        <v>3508</v>
      </c>
      <c r="C553" s="334" t="s">
        <v>3632</v>
      </c>
      <c r="D553" s="1">
        <v>1.5196759259259259E-2</v>
      </c>
      <c r="E553" s="80" t="s">
        <v>5885</v>
      </c>
      <c r="F553" s="69" t="s">
        <v>102</v>
      </c>
      <c r="I553" s="2"/>
      <c r="K553" s="82">
        <v>0.69610000000000005</v>
      </c>
      <c r="M553" s="80"/>
    </row>
    <row r="554" spans="1:13" ht="14.25" customHeight="1" x14ac:dyDescent="0.2">
      <c r="A554" s="523">
        <v>42736</v>
      </c>
      <c r="B554" s="80" t="s">
        <v>3508</v>
      </c>
      <c r="C554" s="334" t="s">
        <v>3632</v>
      </c>
      <c r="D554" s="1">
        <v>1.53125E-2</v>
      </c>
      <c r="E554" s="80" t="s">
        <v>1003</v>
      </c>
      <c r="F554" s="69" t="s">
        <v>6215</v>
      </c>
      <c r="I554" s="2"/>
      <c r="K554" s="82">
        <v>0.69089999999999996</v>
      </c>
      <c r="M554" s="80"/>
    </row>
    <row r="555" spans="1:13" ht="14.25" customHeight="1" x14ac:dyDescent="0.2">
      <c r="A555" s="523">
        <v>43057</v>
      </c>
      <c r="B555" s="940" t="s">
        <v>3999</v>
      </c>
      <c r="C555" s="941" t="s">
        <v>3632</v>
      </c>
      <c r="D555" s="1">
        <v>1.5046296296296295E-2</v>
      </c>
      <c r="E555" s="80" t="s">
        <v>5885</v>
      </c>
      <c r="F555" s="69" t="s">
        <v>1400</v>
      </c>
      <c r="I555" s="2"/>
      <c r="K555" s="82">
        <v>0.70920000000000005</v>
      </c>
      <c r="M555" s="80"/>
    </row>
    <row r="556" spans="1:13" ht="14.25" customHeight="1" x14ac:dyDescent="0.2">
      <c r="A556" s="523">
        <v>43001</v>
      </c>
      <c r="B556" s="906" t="s">
        <v>3999</v>
      </c>
      <c r="C556" s="907" t="s">
        <v>3632</v>
      </c>
      <c r="D556" s="1">
        <v>1.7013888888888887E-2</v>
      </c>
      <c r="E556" s="80" t="s">
        <v>5885</v>
      </c>
      <c r="F556" s="69" t="s">
        <v>7592</v>
      </c>
      <c r="I556" s="2"/>
      <c r="K556" s="82">
        <v>0.62719999999999998</v>
      </c>
      <c r="M556" s="80"/>
    </row>
    <row r="557" spans="1:13" ht="13.5" customHeight="1" x14ac:dyDescent="0.2">
      <c r="A557" s="523">
        <v>42987</v>
      </c>
      <c r="B557" s="532" t="s">
        <v>3999</v>
      </c>
      <c r="C557" s="843" t="s">
        <v>3632</v>
      </c>
      <c r="D557" s="1">
        <v>1.712962962962963E-2</v>
      </c>
      <c r="E557" s="80" t="s">
        <v>5885</v>
      </c>
      <c r="F557" s="97" t="s">
        <v>396</v>
      </c>
      <c r="G557" s="2"/>
      <c r="I557" s="2"/>
      <c r="K557" s="82">
        <v>0.623</v>
      </c>
      <c r="M557" s="80"/>
    </row>
    <row r="558" spans="1:13" ht="13.5" customHeight="1" x14ac:dyDescent="0.2">
      <c r="A558" s="523">
        <v>42973</v>
      </c>
      <c r="B558" s="862" t="s">
        <v>3999</v>
      </c>
      <c r="C558" s="863" t="s">
        <v>3632</v>
      </c>
      <c r="D558" s="1">
        <v>1.5659722222222224E-2</v>
      </c>
      <c r="E558" s="80" t="s">
        <v>5885</v>
      </c>
      <c r="F558" s="69" t="s">
        <v>1012</v>
      </c>
      <c r="I558" s="2"/>
      <c r="K558" s="82">
        <v>0.68140000000000001</v>
      </c>
      <c r="M558" s="80"/>
    </row>
    <row r="559" spans="1:13" ht="13.5" customHeight="1" x14ac:dyDescent="0.2">
      <c r="A559" s="523">
        <v>43092</v>
      </c>
      <c r="B559" s="568" t="s">
        <v>4259</v>
      </c>
      <c r="C559" s="861" t="s">
        <v>3632</v>
      </c>
      <c r="D559" s="1">
        <v>2.1053240740740744E-2</v>
      </c>
      <c r="E559" s="80" t="s">
        <v>5947</v>
      </c>
      <c r="F559" s="69" t="s">
        <v>8959</v>
      </c>
      <c r="I559" s="2"/>
      <c r="K559" s="82">
        <v>0.59699999999999998</v>
      </c>
    </row>
    <row r="560" spans="1:13" ht="13.5" customHeight="1" x14ac:dyDescent="0.2">
      <c r="A560" s="523">
        <v>43085</v>
      </c>
      <c r="B560" s="601" t="s">
        <v>4259</v>
      </c>
      <c r="C560" s="958" t="s">
        <v>3632</v>
      </c>
      <c r="D560" s="1">
        <v>2.0706018518518519E-2</v>
      </c>
      <c r="E560" s="80" t="s">
        <v>5947</v>
      </c>
      <c r="F560" s="69" t="s">
        <v>8936</v>
      </c>
      <c r="I560" s="2"/>
      <c r="K560" s="82">
        <v>0.60699999999999998</v>
      </c>
      <c r="M560" s="80"/>
    </row>
    <row r="561" spans="1:13" ht="13.5" customHeight="1" x14ac:dyDescent="0.2">
      <c r="A561" s="523">
        <v>43029</v>
      </c>
      <c r="B561" s="932" t="s">
        <v>4259</v>
      </c>
      <c r="C561" s="933" t="s">
        <v>3632</v>
      </c>
      <c r="D561" s="1">
        <v>2.028935185185185E-2</v>
      </c>
      <c r="E561" s="80" t="s">
        <v>8705</v>
      </c>
      <c r="F561" s="69" t="s">
        <v>8709</v>
      </c>
      <c r="I561" s="2"/>
      <c r="K561" s="82">
        <v>0.61150000000000004</v>
      </c>
      <c r="M561" s="80"/>
    </row>
    <row r="562" spans="1:13" ht="13.5" customHeight="1" x14ac:dyDescent="0.2">
      <c r="A562" s="34">
        <v>42924</v>
      </c>
      <c r="B562" s="80" t="s">
        <v>4259</v>
      </c>
      <c r="C562" s="334" t="s">
        <v>3632</v>
      </c>
      <c r="D562" s="1">
        <v>2.3287037037037037E-2</v>
      </c>
      <c r="E562" s="80" t="s">
        <v>1982</v>
      </c>
      <c r="F562" s="69" t="s">
        <v>8167</v>
      </c>
      <c r="I562" s="2"/>
      <c r="K562" s="82">
        <v>0.53280000000000005</v>
      </c>
      <c r="M562" s="80"/>
    </row>
    <row r="563" spans="1:13" ht="13.5" customHeight="1" x14ac:dyDescent="0.2">
      <c r="A563" s="523">
        <v>43057</v>
      </c>
      <c r="B563" s="940" t="s">
        <v>3230</v>
      </c>
      <c r="C563" s="941" t="s">
        <v>8800</v>
      </c>
      <c r="D563" s="1">
        <v>2.1574074074074075E-2</v>
      </c>
      <c r="E563" s="80" t="s">
        <v>5198</v>
      </c>
      <c r="F563" s="69" t="s">
        <v>8801</v>
      </c>
      <c r="I563" s="2"/>
      <c r="K563" s="82">
        <v>0.55530000000000002</v>
      </c>
      <c r="M563" s="80"/>
    </row>
    <row r="564" spans="1:13" ht="13.5" customHeight="1" x14ac:dyDescent="0.2">
      <c r="A564" s="523">
        <v>42784</v>
      </c>
      <c r="B564" s="80" t="s">
        <v>4721</v>
      </c>
      <c r="C564" s="334" t="s">
        <v>4619</v>
      </c>
      <c r="D564" s="1">
        <v>1.556712962962963E-2</v>
      </c>
      <c r="E564" s="80" t="s">
        <v>5885</v>
      </c>
      <c r="F564" s="69" t="s">
        <v>1426</v>
      </c>
      <c r="I564" s="2"/>
      <c r="K564" s="82">
        <v>0.96130000000000004</v>
      </c>
    </row>
    <row r="565" spans="1:13" ht="13.5" customHeight="1" x14ac:dyDescent="0.2">
      <c r="A565" s="523">
        <v>43099</v>
      </c>
      <c r="B565" s="601" t="s">
        <v>4576</v>
      </c>
      <c r="C565" s="958" t="s">
        <v>4577</v>
      </c>
      <c r="D565" s="1">
        <v>1.6377314814814813E-2</v>
      </c>
      <c r="E565" s="80" t="s">
        <v>129</v>
      </c>
      <c r="F565" s="69" t="s">
        <v>9008</v>
      </c>
      <c r="I565" s="2"/>
      <c r="K565" s="82">
        <v>0.60570000000000002</v>
      </c>
    </row>
    <row r="566" spans="1:13" ht="13.5" customHeight="1" x14ac:dyDescent="0.2">
      <c r="A566" s="965">
        <v>43094</v>
      </c>
      <c r="B566" s="962" t="s">
        <v>4576</v>
      </c>
      <c r="C566" s="963" t="s">
        <v>4577</v>
      </c>
      <c r="D566" s="1">
        <v>1.6192129629629629E-2</v>
      </c>
      <c r="E566" s="80" t="s">
        <v>129</v>
      </c>
      <c r="F566" s="69" t="s">
        <v>8980</v>
      </c>
      <c r="I566" s="2"/>
      <c r="K566" s="82">
        <v>0.61260000000000003</v>
      </c>
    </row>
    <row r="567" spans="1:13" ht="13.5" customHeight="1" x14ac:dyDescent="0.2">
      <c r="A567" s="523">
        <v>43092</v>
      </c>
      <c r="B567" s="568" t="s">
        <v>4576</v>
      </c>
      <c r="C567" s="861" t="s">
        <v>4577</v>
      </c>
      <c r="D567" s="334">
        <v>1.6099537037037037E-2</v>
      </c>
      <c r="E567" s="80" t="s">
        <v>5883</v>
      </c>
      <c r="F567" s="69" t="s">
        <v>8973</v>
      </c>
      <c r="I567" s="2"/>
      <c r="K567" s="82">
        <v>0.60909999999999997</v>
      </c>
    </row>
    <row r="568" spans="1:13" ht="13.5" customHeight="1" x14ac:dyDescent="0.2">
      <c r="A568" s="523">
        <v>43085</v>
      </c>
      <c r="B568" s="601" t="s">
        <v>4576</v>
      </c>
      <c r="C568" s="958" t="s">
        <v>4577</v>
      </c>
      <c r="D568" s="1">
        <v>1.6342592592592593E-2</v>
      </c>
      <c r="E568" s="80" t="s">
        <v>5883</v>
      </c>
      <c r="F568" s="69" t="s">
        <v>2208</v>
      </c>
      <c r="I568" s="2"/>
      <c r="K568" s="82">
        <v>0.6069</v>
      </c>
      <c r="M568" s="45">
        <v>1030</v>
      </c>
    </row>
    <row r="569" spans="1:13" ht="13.5" customHeight="1" x14ac:dyDescent="0.2">
      <c r="A569" s="523">
        <v>43078</v>
      </c>
      <c r="B569" s="879" t="s">
        <v>4576</v>
      </c>
      <c r="C569" s="880" t="s">
        <v>4577</v>
      </c>
      <c r="D569" s="1">
        <v>1.5960648148148151E-2</v>
      </c>
      <c r="E569" s="80" t="s">
        <v>5883</v>
      </c>
      <c r="F569" s="69" t="s">
        <v>4026</v>
      </c>
      <c r="I569" s="2"/>
      <c r="K569" s="82">
        <v>0.62150000000000005</v>
      </c>
    </row>
    <row r="570" spans="1:13" ht="13.5" customHeight="1" x14ac:dyDescent="0.2">
      <c r="A570" s="523">
        <v>43071</v>
      </c>
      <c r="B570" s="556" t="s">
        <v>4576</v>
      </c>
      <c r="C570" s="950" t="s">
        <v>4577</v>
      </c>
      <c r="D570" s="1">
        <v>1.6099537037037037E-2</v>
      </c>
      <c r="E570" s="80" t="s">
        <v>5883</v>
      </c>
      <c r="F570" s="69" t="s">
        <v>1055</v>
      </c>
      <c r="I570" s="2"/>
      <c r="K570" s="82">
        <v>0.61609999999999998</v>
      </c>
      <c r="M570" t="s">
        <v>7595</v>
      </c>
    </row>
    <row r="571" spans="1:13" ht="13.5" customHeight="1" x14ac:dyDescent="0.2">
      <c r="A571" s="523">
        <v>43064</v>
      </c>
      <c r="B571" s="869" t="s">
        <v>4576</v>
      </c>
      <c r="C571" s="903" t="s">
        <v>4577</v>
      </c>
      <c r="D571" s="1">
        <v>1.6400462962962964E-2</v>
      </c>
      <c r="E571" s="80" t="s">
        <v>5883</v>
      </c>
      <c r="F571" s="69" t="s">
        <v>2120</v>
      </c>
      <c r="I571" s="2"/>
      <c r="K571" s="82">
        <v>0.63149999999999995</v>
      </c>
    </row>
    <row r="572" spans="1:13" ht="13.5" customHeight="1" x14ac:dyDescent="0.2">
      <c r="A572" s="523">
        <v>43057</v>
      </c>
      <c r="B572" s="940" t="s">
        <v>4576</v>
      </c>
      <c r="C572" s="941" t="s">
        <v>4577</v>
      </c>
      <c r="D572" s="1">
        <v>1.5879629629629629E-2</v>
      </c>
      <c r="E572" s="80" t="s">
        <v>5883</v>
      </c>
      <c r="F572" s="69" t="s">
        <v>2777</v>
      </c>
      <c r="I572" s="2"/>
      <c r="K572" s="82">
        <v>0.62460000000000004</v>
      </c>
      <c r="M572" s="80" t="s">
        <v>7649</v>
      </c>
    </row>
    <row r="573" spans="1:13" ht="13.5" customHeight="1" x14ac:dyDescent="0.2">
      <c r="A573" s="523">
        <v>43043</v>
      </c>
      <c r="B573" s="936" t="s">
        <v>4576</v>
      </c>
      <c r="C573" s="937" t="s">
        <v>4577</v>
      </c>
      <c r="D573" s="1">
        <v>1.636574074074074E-2</v>
      </c>
      <c r="E573" s="80" t="s">
        <v>5883</v>
      </c>
      <c r="F573" s="69" t="s">
        <v>1600</v>
      </c>
      <c r="I573" s="2"/>
      <c r="K573" s="82">
        <v>0.60609999999999997</v>
      </c>
      <c r="M573" s="80"/>
    </row>
    <row r="574" spans="1:13" ht="13.5" customHeight="1" x14ac:dyDescent="0.2">
      <c r="A574" s="523">
        <v>43036</v>
      </c>
      <c r="B574" s="934" t="s">
        <v>4576</v>
      </c>
      <c r="C574" s="935" t="s">
        <v>4577</v>
      </c>
      <c r="D574" s="1">
        <v>1.6481481481481482E-2</v>
      </c>
      <c r="E574" s="80" t="s">
        <v>5883</v>
      </c>
      <c r="F574" s="69" t="s">
        <v>3148</v>
      </c>
      <c r="I574" s="2"/>
      <c r="K574" s="82">
        <v>0.6018</v>
      </c>
    </row>
    <row r="575" spans="1:13" ht="13.5" customHeight="1" x14ac:dyDescent="0.2">
      <c r="A575" s="523">
        <v>43029</v>
      </c>
      <c r="B575" s="901" t="s">
        <v>4576</v>
      </c>
      <c r="C575" s="902" t="s">
        <v>4577</v>
      </c>
      <c r="D575" s="1">
        <v>1.6400462962962964E-2</v>
      </c>
      <c r="E575" s="80" t="s">
        <v>5883</v>
      </c>
      <c r="F575" s="69" t="s">
        <v>1601</v>
      </c>
      <c r="I575" s="2"/>
      <c r="K575" s="82">
        <v>0.6048</v>
      </c>
      <c r="M575" s="80"/>
    </row>
    <row r="576" spans="1:13" ht="13.5" customHeight="1" x14ac:dyDescent="0.2">
      <c r="A576" s="523">
        <v>43022</v>
      </c>
      <c r="B576" s="930" t="s">
        <v>4576</v>
      </c>
      <c r="C576" s="931" t="s">
        <v>4577</v>
      </c>
      <c r="D576" s="1">
        <v>1.6203703703703703E-2</v>
      </c>
      <c r="E576" s="80" t="s">
        <v>5883</v>
      </c>
      <c r="F576" s="69" t="s">
        <v>5169</v>
      </c>
      <c r="I576" s="2"/>
      <c r="K576" s="82">
        <v>0.61209999999999998</v>
      </c>
      <c r="M576" s="80"/>
    </row>
    <row r="577" spans="1:28" ht="13.5" customHeight="1" x14ac:dyDescent="0.2">
      <c r="A577" s="523">
        <v>43015</v>
      </c>
      <c r="B577" s="923" t="s">
        <v>4576</v>
      </c>
      <c r="C577" s="924" t="s">
        <v>4577</v>
      </c>
      <c r="D577" s="1">
        <v>1.7222222222222222E-2</v>
      </c>
      <c r="E577" s="80" t="s">
        <v>5883</v>
      </c>
      <c r="F577" s="69" t="s">
        <v>8624</v>
      </c>
      <c r="I577" s="2"/>
      <c r="K577" s="82">
        <v>0.57589999999999997</v>
      </c>
      <c r="M577" s="80"/>
    </row>
    <row r="578" spans="1:28" ht="13.5" customHeight="1" x14ac:dyDescent="0.2">
      <c r="A578" s="523">
        <v>43008</v>
      </c>
      <c r="B578" s="532" t="s">
        <v>4576</v>
      </c>
      <c r="C578" s="843" t="s">
        <v>4577</v>
      </c>
      <c r="D578" s="1">
        <v>1.7175925925925924E-2</v>
      </c>
      <c r="E578" s="80" t="s">
        <v>5883</v>
      </c>
      <c r="F578" s="69" t="s">
        <v>8609</v>
      </c>
      <c r="I578" s="2"/>
      <c r="K578" s="82">
        <v>0.57750000000000001</v>
      </c>
      <c r="M578" s="80"/>
    </row>
    <row r="579" spans="1:28" ht="13.5" customHeight="1" x14ac:dyDescent="0.2">
      <c r="A579" s="523">
        <v>43001</v>
      </c>
      <c r="B579" s="906" t="s">
        <v>4576</v>
      </c>
      <c r="C579" s="907" t="s">
        <v>4577</v>
      </c>
      <c r="D579" s="1">
        <v>1.7835648148148149E-2</v>
      </c>
      <c r="E579" s="80" t="s">
        <v>5883</v>
      </c>
      <c r="F579" s="69" t="s">
        <v>1646</v>
      </c>
      <c r="I579" s="2"/>
      <c r="K579" s="82">
        <v>0.55610000000000004</v>
      </c>
    </row>
    <row r="580" spans="1:28" ht="13.5" customHeight="1" x14ac:dyDescent="0.2">
      <c r="A580" s="523">
        <v>42994</v>
      </c>
      <c r="B580" s="869" t="s">
        <v>4576</v>
      </c>
      <c r="C580" s="903" t="s">
        <v>4577</v>
      </c>
      <c r="D580" s="1">
        <v>1.6944444444444443E-2</v>
      </c>
      <c r="E580" s="80" t="s">
        <v>5883</v>
      </c>
      <c r="F580" s="69" t="s">
        <v>8531</v>
      </c>
      <c r="I580" s="2"/>
      <c r="K580" s="82">
        <v>0.58540000000000003</v>
      </c>
    </row>
    <row r="581" spans="1:28" ht="13.5" customHeight="1" x14ac:dyDescent="0.2">
      <c r="A581" s="523">
        <v>42987</v>
      </c>
      <c r="B581" s="532" t="s">
        <v>4576</v>
      </c>
      <c r="C581" s="843" t="s">
        <v>4577</v>
      </c>
      <c r="D581" s="1">
        <v>2.0578703703703703E-2</v>
      </c>
      <c r="E581" s="80" t="s">
        <v>5883</v>
      </c>
      <c r="F581" s="69" t="s">
        <v>5056</v>
      </c>
      <c r="I581" s="2"/>
      <c r="K581" s="82">
        <v>0.48199999999999998</v>
      </c>
      <c r="M581" s="80"/>
    </row>
    <row r="582" spans="1:28" ht="13.5" customHeight="1" x14ac:dyDescent="0.2">
      <c r="A582" s="523">
        <v>42966</v>
      </c>
      <c r="B582" s="879" t="s">
        <v>4576</v>
      </c>
      <c r="C582" s="880" t="s">
        <v>4577</v>
      </c>
      <c r="D582" s="1">
        <v>1.6249999999999997E-2</v>
      </c>
      <c r="E582" s="80" t="s">
        <v>5883</v>
      </c>
      <c r="F582" s="69" t="s">
        <v>8397</v>
      </c>
      <c r="I582" s="2"/>
      <c r="K582" s="82">
        <v>0.61040000000000005</v>
      </c>
      <c r="M582" s="80"/>
    </row>
    <row r="583" spans="1:28" ht="13.5" customHeight="1" x14ac:dyDescent="0.2">
      <c r="A583" s="523">
        <v>42959</v>
      </c>
      <c r="B583" s="866" t="s">
        <v>4576</v>
      </c>
      <c r="C583" s="867" t="s">
        <v>4577</v>
      </c>
      <c r="D583" s="1">
        <v>1.7118055555555556E-2</v>
      </c>
      <c r="E583" s="80" t="s">
        <v>5883</v>
      </c>
      <c r="F583" s="69" t="s">
        <v>244</v>
      </c>
      <c r="I583" s="2"/>
      <c r="K583" s="82">
        <v>0.57940000000000003</v>
      </c>
      <c r="M583" s="80" t="s">
        <v>8078</v>
      </c>
    </row>
    <row r="584" spans="1:28" ht="14.25" customHeight="1" x14ac:dyDescent="0.2">
      <c r="A584" s="523">
        <v>42952</v>
      </c>
      <c r="B584" s="862" t="s">
        <v>4576</v>
      </c>
      <c r="C584" s="863" t="s">
        <v>4577</v>
      </c>
      <c r="D584" s="1">
        <v>1.6574074074074074E-2</v>
      </c>
      <c r="E584" s="80" t="s">
        <v>5883</v>
      </c>
      <c r="F584" s="69" t="s">
        <v>8299</v>
      </c>
      <c r="I584" s="2"/>
      <c r="K584" s="82">
        <v>0.59850000000000003</v>
      </c>
    </row>
    <row r="585" spans="1:28" ht="14.25" customHeight="1" x14ac:dyDescent="0.2">
      <c r="A585" s="523">
        <v>42945</v>
      </c>
      <c r="B585" s="568" t="s">
        <v>4576</v>
      </c>
      <c r="C585" s="861" t="s">
        <v>4577</v>
      </c>
      <c r="D585" s="1">
        <v>1.6736111111111111E-2</v>
      </c>
      <c r="E585" s="80" t="s">
        <v>5883</v>
      </c>
      <c r="F585" s="69" t="s">
        <v>5422</v>
      </c>
      <c r="I585" s="2"/>
      <c r="K585" s="82">
        <v>0.5927</v>
      </c>
      <c r="M585" s="80"/>
    </row>
    <row r="586" spans="1:28" ht="14.25" customHeight="1" x14ac:dyDescent="0.2">
      <c r="A586" s="523">
        <v>42931</v>
      </c>
      <c r="B586" s="837" t="s">
        <v>4576</v>
      </c>
      <c r="C586" s="842" t="s">
        <v>4577</v>
      </c>
      <c r="D586" s="1">
        <v>1.6597222222222222E-2</v>
      </c>
      <c r="E586" s="80" t="s">
        <v>5544</v>
      </c>
      <c r="F586" s="69" t="s">
        <v>5013</v>
      </c>
      <c r="I586" s="2"/>
      <c r="K586" s="82">
        <v>0.59760000000000002</v>
      </c>
      <c r="M586" s="80"/>
    </row>
    <row r="587" spans="1:28" ht="14.25" customHeight="1" x14ac:dyDescent="0.2">
      <c r="A587" s="34">
        <v>42924</v>
      </c>
      <c r="B587" s="80" t="s">
        <v>4576</v>
      </c>
      <c r="C587" s="334" t="s">
        <v>4577</v>
      </c>
      <c r="D587" s="1">
        <v>1.8784722222222223E-2</v>
      </c>
      <c r="E587" s="80" t="s">
        <v>5883</v>
      </c>
      <c r="F587" s="69" t="s">
        <v>5339</v>
      </c>
      <c r="I587" s="2"/>
      <c r="K587" s="571">
        <v>0.52800000000000002</v>
      </c>
      <c r="M587" s="80"/>
      <c r="AB587" s="41"/>
    </row>
    <row r="588" spans="1:28" ht="14.25" customHeight="1" x14ac:dyDescent="0.2">
      <c r="A588" s="523">
        <v>42917</v>
      </c>
      <c r="B588" s="80" t="s">
        <v>4576</v>
      </c>
      <c r="C588" s="334" t="s">
        <v>4577</v>
      </c>
      <c r="D588" s="1">
        <v>1.818287037037037E-2</v>
      </c>
      <c r="E588" s="80" t="s">
        <v>5883</v>
      </c>
      <c r="F588" s="69" t="s">
        <v>18</v>
      </c>
      <c r="I588" s="2"/>
      <c r="K588" s="82">
        <v>0.54549999999999998</v>
      </c>
      <c r="M588" s="80"/>
    </row>
    <row r="589" spans="1:28" ht="14.25" customHeight="1" x14ac:dyDescent="0.2">
      <c r="A589" s="523">
        <v>42910</v>
      </c>
      <c r="B589" s="80" t="s">
        <v>4576</v>
      </c>
      <c r="C589" s="334" t="s">
        <v>4577</v>
      </c>
      <c r="D589" s="1">
        <v>1.6435185185185188E-2</v>
      </c>
      <c r="E589" s="80" t="s">
        <v>5883</v>
      </c>
      <c r="F589" s="69" t="s">
        <v>6449</v>
      </c>
      <c r="I589" s="2"/>
      <c r="K589" s="82">
        <v>0.60350000000000004</v>
      </c>
      <c r="M589" s="80"/>
    </row>
    <row r="590" spans="1:28" ht="14.25" customHeight="1" x14ac:dyDescent="0.2">
      <c r="A590" s="523">
        <v>42903</v>
      </c>
      <c r="B590" s="80" t="s">
        <v>4576</v>
      </c>
      <c r="C590" s="334" t="s">
        <v>4577</v>
      </c>
      <c r="D590" s="1">
        <v>1.6643518518518519E-2</v>
      </c>
      <c r="E590" s="80" t="s">
        <v>1401</v>
      </c>
      <c r="F590" s="69" t="s">
        <v>8076</v>
      </c>
      <c r="I590" s="2"/>
      <c r="K590" s="82">
        <v>0.59599999999999997</v>
      </c>
    </row>
    <row r="591" spans="1:28" ht="14.25" customHeight="1" x14ac:dyDescent="0.2">
      <c r="A591" s="523">
        <v>42896</v>
      </c>
      <c r="B591" s="80" t="s">
        <v>4576</v>
      </c>
      <c r="C591" s="334" t="s">
        <v>4577</v>
      </c>
      <c r="D591" s="1">
        <v>1.7291666666666667E-2</v>
      </c>
      <c r="E591" s="80" t="s">
        <v>2147</v>
      </c>
      <c r="F591" s="69" t="s">
        <v>7629</v>
      </c>
      <c r="I591" s="2"/>
      <c r="K591" s="82">
        <v>0.5736</v>
      </c>
    </row>
    <row r="592" spans="1:28" ht="14.25" customHeight="1" x14ac:dyDescent="0.2">
      <c r="A592" s="523">
        <v>42889</v>
      </c>
      <c r="B592" s="80" t="s">
        <v>4576</v>
      </c>
      <c r="C592" s="334" t="s">
        <v>4577</v>
      </c>
      <c r="D592" s="1">
        <v>1.6770833333333332E-2</v>
      </c>
      <c r="E592" s="80" t="s">
        <v>129</v>
      </c>
      <c r="F592" s="69" t="s">
        <v>7984</v>
      </c>
      <c r="I592" s="2"/>
      <c r="K592" s="82">
        <v>0.59140000000000004</v>
      </c>
      <c r="M592" s="80"/>
    </row>
    <row r="593" spans="1:13" ht="14.25" customHeight="1" x14ac:dyDescent="0.2">
      <c r="A593" s="523">
        <v>42882</v>
      </c>
      <c r="B593" s="80" t="s">
        <v>4576</v>
      </c>
      <c r="C593" s="334" t="s">
        <v>4577</v>
      </c>
      <c r="D593" s="1">
        <v>1.6620370370370372E-2</v>
      </c>
      <c r="E593" s="80" t="s">
        <v>129</v>
      </c>
      <c r="F593" s="69" t="s">
        <v>7950</v>
      </c>
      <c r="I593" s="2"/>
      <c r="K593" s="82">
        <v>0.59260000000000002</v>
      </c>
      <c r="M593" s="80"/>
    </row>
    <row r="594" spans="1:13" ht="14.25" customHeight="1" x14ac:dyDescent="0.2">
      <c r="A594" s="523">
        <v>42875</v>
      </c>
      <c r="B594" s="80" t="s">
        <v>4576</v>
      </c>
      <c r="C594" s="334" t="s">
        <v>4577</v>
      </c>
      <c r="D594" s="1">
        <v>1.744212962962963E-2</v>
      </c>
      <c r="E594" s="80" t="s">
        <v>129</v>
      </c>
      <c r="F594" s="69" t="s">
        <v>7924</v>
      </c>
      <c r="I594" s="2"/>
      <c r="K594" s="82">
        <v>0.56469999999999998</v>
      </c>
      <c r="M594" s="80"/>
    </row>
    <row r="595" spans="1:13" ht="14.25" customHeight="1" x14ac:dyDescent="0.2">
      <c r="A595" s="523">
        <v>42868</v>
      </c>
      <c r="B595" s="80" t="s">
        <v>4576</v>
      </c>
      <c r="C595" s="334" t="s">
        <v>4577</v>
      </c>
      <c r="D595" s="334">
        <v>1.6620370370370372E-2</v>
      </c>
      <c r="E595" s="80" t="s">
        <v>5883</v>
      </c>
      <c r="F595" s="69" t="s">
        <v>7894</v>
      </c>
      <c r="I595" s="2"/>
      <c r="K595" s="82">
        <v>0.59260000000000002</v>
      </c>
      <c r="M595" s="80"/>
    </row>
    <row r="596" spans="1:13" ht="14.25" customHeight="1" x14ac:dyDescent="0.2">
      <c r="A596" s="523">
        <v>42861</v>
      </c>
      <c r="B596" s="80" t="s">
        <v>4576</v>
      </c>
      <c r="C596" s="334" t="s">
        <v>4577</v>
      </c>
      <c r="D596" s="1">
        <v>1.8101851851851852E-2</v>
      </c>
      <c r="E596" s="80" t="s">
        <v>5883</v>
      </c>
      <c r="F596" s="69" t="s">
        <v>3003</v>
      </c>
      <c r="I596" s="2"/>
      <c r="K596" s="82">
        <v>0.54410000000000003</v>
      </c>
      <c r="M596" s="80"/>
    </row>
    <row r="597" spans="1:13" ht="14.25" customHeight="1" x14ac:dyDescent="0.2">
      <c r="A597" s="523">
        <v>42854</v>
      </c>
      <c r="B597" s="80" t="s">
        <v>4576</v>
      </c>
      <c r="C597" s="334" t="s">
        <v>4577</v>
      </c>
      <c r="D597" s="1">
        <v>1.6493055555555556E-2</v>
      </c>
      <c r="E597" s="80" t="s">
        <v>5883</v>
      </c>
      <c r="F597" s="69" t="s">
        <v>2547</v>
      </c>
      <c r="I597" s="2"/>
      <c r="K597" s="82">
        <v>0.59719999999999995</v>
      </c>
      <c r="M597" s="80"/>
    </row>
    <row r="598" spans="1:13" ht="14.25" customHeight="1" x14ac:dyDescent="0.2">
      <c r="A598" s="523">
        <v>42847</v>
      </c>
      <c r="B598" s="80" t="s">
        <v>4576</v>
      </c>
      <c r="C598" s="334" t="s">
        <v>4577</v>
      </c>
      <c r="D598" s="1">
        <v>1.699074074074074E-2</v>
      </c>
      <c r="E598" s="80" t="s">
        <v>5883</v>
      </c>
      <c r="F598" s="69" t="s">
        <v>2130</v>
      </c>
      <c r="I598" s="2"/>
      <c r="K598" s="82">
        <v>0.57969999999999999</v>
      </c>
      <c r="M598" s="80"/>
    </row>
    <row r="599" spans="1:13" ht="14.25" customHeight="1" x14ac:dyDescent="0.2">
      <c r="A599" s="523">
        <v>42840</v>
      </c>
      <c r="B599" s="80" t="s">
        <v>4576</v>
      </c>
      <c r="C599" s="334" t="s">
        <v>4577</v>
      </c>
      <c r="D599" s="1">
        <v>1.8032407407407407E-2</v>
      </c>
      <c r="E599" t="s">
        <v>5883</v>
      </c>
      <c r="F599" s="69" t="s">
        <v>940</v>
      </c>
      <c r="I599" s="2"/>
      <c r="K599" s="82">
        <v>0.54620000000000002</v>
      </c>
      <c r="M599" s="80"/>
    </row>
    <row r="600" spans="1:13" ht="14.25" customHeight="1" x14ac:dyDescent="0.2">
      <c r="A600" s="523">
        <v>42833</v>
      </c>
      <c r="B600" s="80" t="s">
        <v>4576</v>
      </c>
      <c r="C600" s="334" t="s">
        <v>4577</v>
      </c>
      <c r="D600" s="1">
        <v>1.8993055555555558E-2</v>
      </c>
      <c r="E600" s="80" t="s">
        <v>5883</v>
      </c>
      <c r="F600" s="69" t="s">
        <v>2335</v>
      </c>
      <c r="I600" s="2"/>
      <c r="K600" s="82">
        <v>0.51859999999999995</v>
      </c>
      <c r="M600" s="80"/>
    </row>
    <row r="601" spans="1:13" ht="14.25" customHeight="1" x14ac:dyDescent="0.2">
      <c r="A601" s="523">
        <v>42812</v>
      </c>
      <c r="B601" s="80" t="s">
        <v>4576</v>
      </c>
      <c r="C601" s="334" t="s">
        <v>4577</v>
      </c>
      <c r="D601" s="1">
        <v>1.9375E-2</v>
      </c>
      <c r="E601" s="80" t="s">
        <v>5883</v>
      </c>
      <c r="F601" s="69" t="s">
        <v>7648</v>
      </c>
      <c r="I601" s="2"/>
      <c r="K601" s="82">
        <v>0.50839999999999996</v>
      </c>
      <c r="M601" s="80"/>
    </row>
    <row r="602" spans="1:13" ht="14.25" customHeight="1" x14ac:dyDescent="0.2">
      <c r="A602" s="33">
        <v>42805</v>
      </c>
      <c r="B602" s="80" t="s">
        <v>4576</v>
      </c>
      <c r="C602" s="334" t="s">
        <v>4577</v>
      </c>
      <c r="D602" s="1">
        <v>2.2592592592592591E-2</v>
      </c>
      <c r="E602" s="80" t="s">
        <v>1982</v>
      </c>
      <c r="F602" s="69" t="s">
        <v>1243</v>
      </c>
      <c r="I602" s="2"/>
      <c r="K602" s="82">
        <v>0.436</v>
      </c>
      <c r="M602" s="80"/>
    </row>
    <row r="603" spans="1:13" ht="14.25" customHeight="1" x14ac:dyDescent="0.2">
      <c r="A603" s="523">
        <v>42798</v>
      </c>
      <c r="B603" t="s">
        <v>4576</v>
      </c>
      <c r="C603" s="334" t="s">
        <v>4577</v>
      </c>
      <c r="D603" s="1">
        <v>2.0173611111111111E-2</v>
      </c>
      <c r="E603" s="80" t="s">
        <v>5883</v>
      </c>
      <c r="F603" s="69" t="s">
        <v>2877</v>
      </c>
      <c r="I603" s="2"/>
      <c r="K603" s="82">
        <v>0.48820000000000002</v>
      </c>
      <c r="M603" s="80"/>
    </row>
    <row r="604" spans="1:13" ht="14.25" customHeight="1" x14ac:dyDescent="0.2">
      <c r="A604" s="33">
        <v>42742</v>
      </c>
      <c r="B604" s="80" t="s">
        <v>4576</v>
      </c>
      <c r="C604" s="334" t="s">
        <v>4577</v>
      </c>
      <c r="D604" s="1">
        <v>1.6562500000000001E-2</v>
      </c>
      <c r="E604" s="80" t="s">
        <v>5883</v>
      </c>
      <c r="F604" s="69" t="s">
        <v>1689</v>
      </c>
      <c r="I604" s="2"/>
      <c r="K604" s="82">
        <v>0.59470000000000001</v>
      </c>
      <c r="M604" s="80"/>
    </row>
    <row r="605" spans="1:13" ht="14.25" customHeight="1" x14ac:dyDescent="0.2">
      <c r="A605" s="523">
        <v>42736</v>
      </c>
      <c r="B605" s="80" t="s">
        <v>4576</v>
      </c>
      <c r="C605" s="334" t="s">
        <v>4577</v>
      </c>
      <c r="D605" s="1">
        <v>2.8969907407407406E-2</v>
      </c>
      <c r="E605" s="80" t="s">
        <v>2593</v>
      </c>
      <c r="F605" s="69" t="s">
        <v>6210</v>
      </c>
      <c r="I605" s="2"/>
      <c r="K605" s="82">
        <v>0.34</v>
      </c>
      <c r="M605" s="80"/>
    </row>
    <row r="606" spans="1:13" ht="14.25" customHeight="1" x14ac:dyDescent="0.2">
      <c r="A606" s="523">
        <v>43057</v>
      </c>
      <c r="B606" s="940" t="s">
        <v>859</v>
      </c>
      <c r="C606" s="941" t="s">
        <v>860</v>
      </c>
      <c r="D606" s="1">
        <v>1.2083333333333333E-2</v>
      </c>
      <c r="E606" s="80" t="s">
        <v>248</v>
      </c>
      <c r="F606" s="69" t="s">
        <v>8807</v>
      </c>
      <c r="I606" s="2"/>
      <c r="K606" s="82">
        <v>0.86880000000000002</v>
      </c>
      <c r="M606" s="80"/>
    </row>
    <row r="607" spans="1:13" ht="14.25" customHeight="1" x14ac:dyDescent="0.2">
      <c r="A607" s="523">
        <v>43036</v>
      </c>
      <c r="B607" s="80" t="s">
        <v>859</v>
      </c>
      <c r="C607" s="334" t="s">
        <v>860</v>
      </c>
      <c r="D607" s="1">
        <v>1.2083333333333333E-2</v>
      </c>
      <c r="E607" s="80" t="s">
        <v>248</v>
      </c>
      <c r="F607" s="69" t="s">
        <v>821</v>
      </c>
      <c r="I607" s="2"/>
      <c r="K607" s="82">
        <v>0.86880000000000002</v>
      </c>
      <c r="M607" s="80"/>
    </row>
    <row r="608" spans="1:13" ht="14.25" customHeight="1" x14ac:dyDescent="0.2">
      <c r="A608" s="523">
        <v>43029</v>
      </c>
      <c r="B608" s="80" t="s">
        <v>859</v>
      </c>
      <c r="C608" s="334" t="s">
        <v>860</v>
      </c>
      <c r="D608" s="1">
        <v>1.2395833333333335E-2</v>
      </c>
      <c r="E608" s="80" t="s">
        <v>248</v>
      </c>
      <c r="F608" s="69" t="s">
        <v>8713</v>
      </c>
      <c r="I608" s="2"/>
      <c r="K608" s="82">
        <v>0.84689999999999999</v>
      </c>
      <c r="M608" s="80"/>
    </row>
    <row r="609" spans="1:13" ht="14.25" customHeight="1" x14ac:dyDescent="0.2">
      <c r="A609" s="523">
        <v>42973</v>
      </c>
      <c r="B609" s="80" t="s">
        <v>859</v>
      </c>
      <c r="C609" s="334" t="s">
        <v>860</v>
      </c>
      <c r="D609" s="1">
        <v>1.2326388888888888E-2</v>
      </c>
      <c r="E609" s="80" t="s">
        <v>248</v>
      </c>
      <c r="F609" s="69" t="s">
        <v>8422</v>
      </c>
      <c r="I609" s="2"/>
      <c r="K609" s="82">
        <v>0.85160000000000002</v>
      </c>
      <c r="M609" s="80" t="s">
        <v>8744</v>
      </c>
    </row>
    <row r="610" spans="1:13" ht="14.25" customHeight="1" x14ac:dyDescent="0.2">
      <c r="A610" s="523">
        <v>42903</v>
      </c>
      <c r="B610" s="80" t="s">
        <v>859</v>
      </c>
      <c r="C610" s="334" t="s">
        <v>860</v>
      </c>
      <c r="D610" s="1">
        <v>1.2858796296296297E-2</v>
      </c>
      <c r="E610" s="80" t="s">
        <v>248</v>
      </c>
      <c r="F610" s="69" t="s">
        <v>8083</v>
      </c>
      <c r="I610" s="2"/>
      <c r="K610" s="82">
        <v>0.80920000000000003</v>
      </c>
      <c r="M610" s="80" t="s">
        <v>8808</v>
      </c>
    </row>
    <row r="611" spans="1:13" ht="14.25" customHeight="1" x14ac:dyDescent="0.2">
      <c r="A611" s="523">
        <v>42819</v>
      </c>
      <c r="B611" s="80" t="s">
        <v>3755</v>
      </c>
      <c r="C611" s="334" t="s">
        <v>3799</v>
      </c>
      <c r="D611" s="1">
        <v>1.7349537037037038E-2</v>
      </c>
      <c r="E611" s="80" t="s">
        <v>4202</v>
      </c>
      <c r="F611" s="69" t="s">
        <v>4895</v>
      </c>
      <c r="I611" s="2"/>
      <c r="K611" s="82">
        <v>0.63580000000000003</v>
      </c>
      <c r="M611" s="45">
        <v>900</v>
      </c>
    </row>
    <row r="612" spans="1:13" ht="14.25" customHeight="1" x14ac:dyDescent="0.2">
      <c r="A612" s="523">
        <v>42812</v>
      </c>
      <c r="B612" s="80" t="s">
        <v>3755</v>
      </c>
      <c r="C612" s="334" t="s">
        <v>3799</v>
      </c>
      <c r="D612" s="1">
        <v>1.9733796296296298E-2</v>
      </c>
      <c r="E612" s="80" t="s">
        <v>3225</v>
      </c>
      <c r="F612" s="69" t="s">
        <v>7642</v>
      </c>
      <c r="I612" s="2"/>
      <c r="K612" s="82">
        <v>0.55889999999999995</v>
      </c>
      <c r="M612" s="45">
        <v>1030</v>
      </c>
    </row>
    <row r="613" spans="1:13" ht="14.25" customHeight="1" x14ac:dyDescent="0.2">
      <c r="A613" s="33">
        <v>42805</v>
      </c>
      <c r="B613" s="80" t="s">
        <v>3755</v>
      </c>
      <c r="C613" s="334" t="s">
        <v>3799</v>
      </c>
      <c r="D613" s="1">
        <v>26.52</v>
      </c>
      <c r="E613" s="80" t="s">
        <v>1299</v>
      </c>
      <c r="F613" s="69" t="s">
        <v>5372</v>
      </c>
      <c r="I613" s="2"/>
      <c r="K613" s="82">
        <v>0.59119999999999995</v>
      </c>
    </row>
    <row r="614" spans="1:13" ht="14.25" customHeight="1" x14ac:dyDescent="0.2">
      <c r="A614" s="523">
        <v>42798</v>
      </c>
      <c r="B614" s="80" t="s">
        <v>3755</v>
      </c>
      <c r="C614" s="334" t="s">
        <v>3799</v>
      </c>
      <c r="D614" s="1">
        <v>1.8460648148148146E-2</v>
      </c>
      <c r="E614" s="80" t="s">
        <v>3856</v>
      </c>
      <c r="F614" s="69" t="s">
        <v>7575</v>
      </c>
      <c r="I614" s="2"/>
      <c r="K614" s="82">
        <v>0.59750000000000003</v>
      </c>
    </row>
    <row r="615" spans="1:13" ht="14.25" customHeight="1" x14ac:dyDescent="0.2">
      <c r="A615" s="523">
        <v>42791</v>
      </c>
      <c r="B615" s="80" t="s">
        <v>3755</v>
      </c>
      <c r="C615" s="334" t="s">
        <v>3799</v>
      </c>
      <c r="D615" s="1">
        <v>1.909722222222222E-2</v>
      </c>
      <c r="E615" s="80" t="s">
        <v>4202</v>
      </c>
      <c r="F615" s="69" t="s">
        <v>7562</v>
      </c>
      <c r="I615" s="2"/>
      <c r="K615" s="82">
        <v>0.5776</v>
      </c>
    </row>
    <row r="616" spans="1:13" ht="14.25" customHeight="1" x14ac:dyDescent="0.2">
      <c r="A616" s="33">
        <v>42770</v>
      </c>
      <c r="B616" s="80" t="s">
        <v>3755</v>
      </c>
      <c r="C616" s="334" t="s">
        <v>3799</v>
      </c>
      <c r="D616" s="1">
        <v>1.8460648148148146E-2</v>
      </c>
      <c r="E616" s="80" t="s">
        <v>3683</v>
      </c>
      <c r="F616" s="69" t="s">
        <v>6330</v>
      </c>
      <c r="I616" s="2"/>
      <c r="K616" s="82">
        <v>0.59750000000000003</v>
      </c>
    </row>
    <row r="617" spans="1:13" ht="14.25" customHeight="1" x14ac:dyDescent="0.2">
      <c r="A617" s="33">
        <v>42763</v>
      </c>
      <c r="B617" s="80" t="s">
        <v>3755</v>
      </c>
      <c r="C617" s="334" t="s">
        <v>3799</v>
      </c>
      <c r="D617" s="1">
        <v>1.8055555555555557E-2</v>
      </c>
      <c r="E617" s="80" t="s">
        <v>4202</v>
      </c>
      <c r="F617" s="97" t="s">
        <v>3709</v>
      </c>
      <c r="I617" s="2"/>
      <c r="K617" s="82">
        <v>0.6109</v>
      </c>
    </row>
    <row r="618" spans="1:13" ht="14.25" customHeight="1" x14ac:dyDescent="0.2">
      <c r="A618" s="33">
        <v>42756</v>
      </c>
      <c r="B618" s="80" t="s">
        <v>3755</v>
      </c>
      <c r="C618" s="334" t="s">
        <v>3799</v>
      </c>
      <c r="D618" s="334">
        <v>1.9074074074074073E-2</v>
      </c>
      <c r="E618" s="80" t="s">
        <v>3225</v>
      </c>
      <c r="F618" s="69" t="s">
        <v>6358</v>
      </c>
      <c r="I618" s="2"/>
      <c r="K618" s="82">
        <v>0.57830000000000004</v>
      </c>
    </row>
    <row r="619" spans="1:13" ht="14.25" customHeight="1" x14ac:dyDescent="0.2">
      <c r="A619" s="523">
        <v>42749</v>
      </c>
      <c r="B619" s="80" t="s">
        <v>3755</v>
      </c>
      <c r="C619" s="334" t="s">
        <v>3799</v>
      </c>
      <c r="D619" s="1">
        <v>2.2465277777777778E-2</v>
      </c>
      <c r="E619" s="80" t="s">
        <v>4201</v>
      </c>
      <c r="F619" s="69" t="s">
        <v>6306</v>
      </c>
      <c r="I619" s="2"/>
      <c r="K619" s="82">
        <v>0.49099999999999999</v>
      </c>
    </row>
    <row r="620" spans="1:13" ht="14.25" customHeight="1" x14ac:dyDescent="0.2">
      <c r="A620" s="33">
        <v>42742</v>
      </c>
      <c r="B620" s="80" t="s">
        <v>3755</v>
      </c>
      <c r="C620" s="334" t="s">
        <v>3799</v>
      </c>
      <c r="D620" s="1">
        <v>1.9606481481481482E-2</v>
      </c>
      <c r="E620" s="80" t="s">
        <v>3225</v>
      </c>
      <c r="F620" s="69" t="s">
        <v>6265</v>
      </c>
      <c r="I620" s="2"/>
      <c r="K620" s="82">
        <v>0.56259999999999999</v>
      </c>
    </row>
    <row r="621" spans="1:13" ht="14.25" customHeight="1" x14ac:dyDescent="0.2">
      <c r="A621" s="523">
        <v>42736</v>
      </c>
      <c r="B621" s="80" t="s">
        <v>3755</v>
      </c>
      <c r="C621" s="334" t="s">
        <v>3799</v>
      </c>
      <c r="D621" s="1">
        <v>1.8506944444444444E-2</v>
      </c>
      <c r="E621" s="80" t="s">
        <v>4202</v>
      </c>
      <c r="F621" s="69"/>
      <c r="I621" s="2"/>
      <c r="K621" s="82">
        <v>0.59599999999999997</v>
      </c>
      <c r="M621" s="80"/>
    </row>
    <row r="622" spans="1:13" ht="14.25" customHeight="1" x14ac:dyDescent="0.2">
      <c r="A622" s="523">
        <v>42736</v>
      </c>
      <c r="B622" s="80" t="s">
        <v>3755</v>
      </c>
      <c r="C622" s="334" t="s">
        <v>3799</v>
      </c>
      <c r="D622" s="1">
        <v>1.9305555555555555E-2</v>
      </c>
      <c r="E622" s="80" t="s">
        <v>6205</v>
      </c>
      <c r="F622" s="69" t="s">
        <v>6234</v>
      </c>
      <c r="I622" s="2"/>
      <c r="K622" s="82">
        <v>0.57130000000000003</v>
      </c>
      <c r="M622" s="80"/>
    </row>
    <row r="623" spans="1:13" ht="14.25" customHeight="1" x14ac:dyDescent="0.2">
      <c r="A623" s="523">
        <v>42819</v>
      </c>
      <c r="B623" s="80" t="s">
        <v>1794</v>
      </c>
      <c r="C623" s="334" t="s">
        <v>3799</v>
      </c>
      <c r="D623" s="1">
        <v>1.5231481481481483E-2</v>
      </c>
      <c r="E623" s="80" t="s">
        <v>4202</v>
      </c>
      <c r="F623" s="69" t="s">
        <v>4960</v>
      </c>
      <c r="I623" s="2"/>
      <c r="K623" s="82">
        <v>0.69450000000000001</v>
      </c>
      <c r="M623" s="45">
        <v>900</v>
      </c>
    </row>
    <row r="624" spans="1:13" ht="14.25" customHeight="1" x14ac:dyDescent="0.2">
      <c r="A624" s="523">
        <v>42812</v>
      </c>
      <c r="B624" s="80" t="s">
        <v>1794</v>
      </c>
      <c r="C624" s="334" t="s">
        <v>3799</v>
      </c>
      <c r="D624" s="1">
        <v>1.6423611111111111E-2</v>
      </c>
      <c r="E624" s="80" t="s">
        <v>3225</v>
      </c>
      <c r="F624" s="69" t="s">
        <v>7641</v>
      </c>
      <c r="I624" s="2"/>
      <c r="K624" s="82">
        <v>0.64410000000000001</v>
      </c>
      <c r="M624" s="45">
        <v>1030</v>
      </c>
    </row>
    <row r="625" spans="1:14" ht="14.25" customHeight="1" x14ac:dyDescent="0.2">
      <c r="A625" s="33">
        <v>42805</v>
      </c>
      <c r="B625" s="80" t="s">
        <v>1794</v>
      </c>
      <c r="C625" s="334" t="s">
        <v>3799</v>
      </c>
      <c r="D625" s="1">
        <v>1.6516203703703703E-2</v>
      </c>
      <c r="E625" s="80" t="s">
        <v>1299</v>
      </c>
      <c r="F625" s="69" t="s">
        <v>1190</v>
      </c>
      <c r="I625" s="2"/>
      <c r="K625" s="82">
        <v>0.64049999999999996</v>
      </c>
    </row>
    <row r="626" spans="1:14" ht="14.25" customHeight="1" x14ac:dyDescent="0.2">
      <c r="A626" s="523">
        <v>42798</v>
      </c>
      <c r="B626" s="80" t="s">
        <v>1794</v>
      </c>
      <c r="C626" s="334" t="s">
        <v>3799</v>
      </c>
      <c r="D626" s="1">
        <v>1.6134259259259261E-2</v>
      </c>
      <c r="E626" s="80" t="s">
        <v>3856</v>
      </c>
      <c r="F626" s="69" t="s">
        <v>7575</v>
      </c>
      <c r="I626" s="2"/>
      <c r="K626" s="82">
        <v>0.65569999999999995</v>
      </c>
    </row>
    <row r="627" spans="1:14" ht="14.25" customHeight="1" x14ac:dyDescent="0.2">
      <c r="A627" s="523">
        <v>42791</v>
      </c>
      <c r="B627" s="80" t="s">
        <v>1794</v>
      </c>
      <c r="C627" s="334" t="s">
        <v>3799</v>
      </c>
      <c r="D627" s="1">
        <v>1.650462962962963E-2</v>
      </c>
      <c r="E627" s="80" t="s">
        <v>4202</v>
      </c>
      <c r="F627" s="69" t="s">
        <v>7561</v>
      </c>
      <c r="I627" s="2"/>
      <c r="K627" s="82">
        <v>0.64100000000000001</v>
      </c>
    </row>
    <row r="628" spans="1:14" ht="14.25" customHeight="1" x14ac:dyDescent="0.2">
      <c r="A628" s="33">
        <v>42770</v>
      </c>
      <c r="B628" s="80" t="s">
        <v>1794</v>
      </c>
      <c r="C628" s="334" t="s">
        <v>3799</v>
      </c>
      <c r="D628" s="1">
        <v>1.5902777777777776E-2</v>
      </c>
      <c r="E628" s="80" t="s">
        <v>3683</v>
      </c>
      <c r="F628" s="69" t="s">
        <v>1236</v>
      </c>
      <c r="I628" s="2"/>
      <c r="K628" s="82">
        <v>0.66520000000000001</v>
      </c>
    </row>
    <row r="629" spans="1:14" ht="14.25" customHeight="1" x14ac:dyDescent="0.2">
      <c r="A629" s="33">
        <v>42763</v>
      </c>
      <c r="B629" s="80" t="s">
        <v>1794</v>
      </c>
      <c r="C629" s="334" t="s">
        <v>3799</v>
      </c>
      <c r="D629" s="1">
        <v>1.554398148148148E-2</v>
      </c>
      <c r="E629" s="80" t="s">
        <v>4202</v>
      </c>
      <c r="F629" s="69" t="s">
        <v>6385</v>
      </c>
      <c r="I629" s="2"/>
      <c r="K629" s="82">
        <v>0.68059999999999998</v>
      </c>
    </row>
    <row r="630" spans="1:14" ht="14.25" customHeight="1" x14ac:dyDescent="0.2">
      <c r="A630" s="33">
        <v>42756</v>
      </c>
      <c r="B630" s="80" t="s">
        <v>1794</v>
      </c>
      <c r="C630" s="334" t="s">
        <v>3799</v>
      </c>
      <c r="D630" s="1">
        <v>1.5671296296296298E-2</v>
      </c>
      <c r="E630" s="80" t="s">
        <v>3225</v>
      </c>
      <c r="F630" s="69" t="s">
        <v>6372</v>
      </c>
      <c r="I630" s="2"/>
      <c r="K630" s="82">
        <v>0.67500000000000004</v>
      </c>
    </row>
    <row r="631" spans="1:14" ht="14.25" customHeight="1" x14ac:dyDescent="0.2">
      <c r="A631" s="523">
        <v>42749</v>
      </c>
      <c r="B631" s="80" t="s">
        <v>1794</v>
      </c>
      <c r="C631" s="334" t="s">
        <v>3799</v>
      </c>
      <c r="D631" s="1">
        <v>1.8981481481481481E-2</v>
      </c>
      <c r="E631" s="80" t="s">
        <v>4201</v>
      </c>
      <c r="F631" s="69" t="s">
        <v>6305</v>
      </c>
      <c r="I631" s="2"/>
      <c r="K631" s="82">
        <v>0.55730000000000002</v>
      </c>
    </row>
    <row r="632" spans="1:14" ht="14.25" customHeight="1" x14ac:dyDescent="0.2">
      <c r="A632" s="33">
        <v>42742</v>
      </c>
      <c r="B632" s="80" t="s">
        <v>1794</v>
      </c>
      <c r="C632" s="334" t="s">
        <v>3799</v>
      </c>
      <c r="D632" s="1">
        <v>1.5995370370370372E-2</v>
      </c>
      <c r="E632" s="80" t="s">
        <v>3225</v>
      </c>
      <c r="F632" s="69" t="s">
        <v>6264</v>
      </c>
      <c r="I632" s="2"/>
      <c r="K632" s="82">
        <v>0.66139999999999999</v>
      </c>
    </row>
    <row r="633" spans="1:14" ht="14.25" customHeight="1" x14ac:dyDescent="0.2">
      <c r="A633" s="523">
        <v>42736</v>
      </c>
      <c r="B633" s="80" t="s">
        <v>1794</v>
      </c>
      <c r="C633" s="334" t="s">
        <v>3799</v>
      </c>
      <c r="D633" s="1">
        <v>1.6284722222222221E-2</v>
      </c>
      <c r="E633" s="80" t="s">
        <v>4202</v>
      </c>
      <c r="F633" s="69" t="s">
        <v>3709</v>
      </c>
      <c r="I633" s="2"/>
      <c r="K633" s="82">
        <v>0.64959999999999996</v>
      </c>
      <c r="M633" s="80"/>
    </row>
    <row r="634" spans="1:14" ht="14.25" customHeight="1" x14ac:dyDescent="0.2">
      <c r="A634" s="523">
        <v>42736</v>
      </c>
      <c r="B634" s="80" t="s">
        <v>1794</v>
      </c>
      <c r="C634" s="334" t="s">
        <v>3799</v>
      </c>
      <c r="D634" s="1">
        <v>1.6354166666666666E-2</v>
      </c>
      <c r="E634" s="80" t="s">
        <v>6205</v>
      </c>
      <c r="F634" s="69" t="s">
        <v>6239</v>
      </c>
      <c r="I634" s="2"/>
      <c r="K634" s="82">
        <v>0.64690000000000003</v>
      </c>
      <c r="M634" s="80" t="s">
        <v>876</v>
      </c>
      <c r="N634" s="80"/>
    </row>
    <row r="635" spans="1:14" ht="14.25" customHeight="1" x14ac:dyDescent="0.2">
      <c r="A635" s="523">
        <v>43099</v>
      </c>
      <c r="B635" s="601" t="s">
        <v>922</v>
      </c>
      <c r="C635" s="958" t="s">
        <v>1530</v>
      </c>
      <c r="D635" s="1">
        <v>2.1307870370370369E-2</v>
      </c>
      <c r="E635" s="80" t="s">
        <v>5883</v>
      </c>
      <c r="F635" s="69" t="s">
        <v>9002</v>
      </c>
      <c r="I635" s="2"/>
      <c r="K635" s="82">
        <v>0.50949999999999995</v>
      </c>
    </row>
    <row r="636" spans="1:14" ht="14.25" customHeight="1" x14ac:dyDescent="0.2">
      <c r="A636" s="965">
        <v>43094</v>
      </c>
      <c r="B636" s="962" t="s">
        <v>922</v>
      </c>
      <c r="C636" s="963" t="s">
        <v>1530</v>
      </c>
      <c r="D636" s="1">
        <v>1.9375E-2</v>
      </c>
      <c r="E636" s="80" t="s">
        <v>5885</v>
      </c>
      <c r="F636" s="69" t="s">
        <v>3431</v>
      </c>
      <c r="I636" s="2"/>
      <c r="K636" s="82">
        <v>0.56030000000000002</v>
      </c>
    </row>
    <row r="637" spans="1:14" ht="14.25" customHeight="1" x14ac:dyDescent="0.2">
      <c r="A637" s="523">
        <v>43092</v>
      </c>
      <c r="B637" s="568" t="s">
        <v>922</v>
      </c>
      <c r="C637" s="861" t="s">
        <v>1530</v>
      </c>
      <c r="D637" s="1">
        <v>1.9259259259259261E-2</v>
      </c>
      <c r="E637" s="80" t="s">
        <v>5883</v>
      </c>
      <c r="F637" s="69" t="s">
        <v>2208</v>
      </c>
      <c r="I637" s="2"/>
      <c r="K637" s="82">
        <v>0.56369999999999998</v>
      </c>
    </row>
    <row r="638" spans="1:14" ht="14.25" customHeight="1" x14ac:dyDescent="0.2">
      <c r="A638" s="523">
        <v>43085</v>
      </c>
      <c r="B638" s="601" t="s">
        <v>922</v>
      </c>
      <c r="C638" s="958" t="s">
        <v>1530</v>
      </c>
      <c r="D638" s="1">
        <v>1.9942129629629629E-2</v>
      </c>
      <c r="E638" s="80" t="s">
        <v>5947</v>
      </c>
      <c r="F638" s="69" t="s">
        <v>7818</v>
      </c>
      <c r="I638" s="2"/>
      <c r="K638" s="82">
        <v>0.5444</v>
      </c>
      <c r="M638" s="45">
        <v>1030</v>
      </c>
    </row>
    <row r="639" spans="1:14" ht="14.25" customHeight="1" x14ac:dyDescent="0.2">
      <c r="A639" s="523">
        <v>43078</v>
      </c>
      <c r="B639" s="879" t="s">
        <v>922</v>
      </c>
      <c r="C639" s="880" t="s">
        <v>1530</v>
      </c>
      <c r="D639" s="1">
        <v>1.9467592592592595E-2</v>
      </c>
      <c r="E639" s="80" t="s">
        <v>5948</v>
      </c>
      <c r="F639" s="69" t="s">
        <v>8913</v>
      </c>
      <c r="I639" s="2"/>
      <c r="K639" s="82">
        <v>0.55769999999999997</v>
      </c>
      <c r="M639" s="45">
        <v>900</v>
      </c>
    </row>
    <row r="640" spans="1:14" ht="14.25" customHeight="1" x14ac:dyDescent="0.2">
      <c r="A640" s="523">
        <v>43071</v>
      </c>
      <c r="B640" s="556" t="s">
        <v>922</v>
      </c>
      <c r="C640" s="950" t="s">
        <v>1530</v>
      </c>
      <c r="D640" s="1">
        <v>1.9386574074074073E-2</v>
      </c>
      <c r="E640" s="80" t="s">
        <v>5883</v>
      </c>
      <c r="F640" s="69" t="s">
        <v>2120</v>
      </c>
      <c r="I640" s="2"/>
      <c r="K640" s="82">
        <v>0.56000000000000005</v>
      </c>
    </row>
    <row r="641" spans="1:13" ht="14.25" customHeight="1" x14ac:dyDescent="0.2">
      <c r="A641" s="523">
        <v>43064</v>
      </c>
      <c r="B641" s="869" t="s">
        <v>922</v>
      </c>
      <c r="C641" s="903" t="s">
        <v>1530</v>
      </c>
      <c r="D641" s="1">
        <v>2.0127314814814817E-2</v>
      </c>
      <c r="E641" s="80" t="s">
        <v>5883</v>
      </c>
      <c r="F641" s="69" t="s">
        <v>8834</v>
      </c>
      <c r="I641" s="2"/>
      <c r="K641" s="82">
        <v>0.53939999999999999</v>
      </c>
    </row>
    <row r="642" spans="1:13" ht="14.25" customHeight="1" x14ac:dyDescent="0.2">
      <c r="A642" s="523">
        <v>43057</v>
      </c>
      <c r="B642" s="940" t="s">
        <v>922</v>
      </c>
      <c r="C642" s="941" t="s">
        <v>1530</v>
      </c>
      <c r="D642" s="1">
        <v>1.9351851851851853E-2</v>
      </c>
      <c r="E642" s="80" t="s">
        <v>5883</v>
      </c>
      <c r="F642" s="69" t="s">
        <v>1600</v>
      </c>
      <c r="I642" s="2"/>
      <c r="K642" s="82">
        <v>0.56100000000000005</v>
      </c>
    </row>
    <row r="643" spans="1:13" ht="14.25" customHeight="1" x14ac:dyDescent="0.2">
      <c r="A643" s="523">
        <v>43050</v>
      </c>
      <c r="B643" s="532" t="s">
        <v>922</v>
      </c>
      <c r="C643" s="843" t="s">
        <v>1530</v>
      </c>
      <c r="D643" s="1">
        <v>2.0185185185185184E-2</v>
      </c>
      <c r="E643" s="80" t="s">
        <v>5883</v>
      </c>
      <c r="F643" s="69" t="s">
        <v>3148</v>
      </c>
      <c r="I643" s="2"/>
      <c r="K643" s="82">
        <v>0.53779999999999994</v>
      </c>
    </row>
    <row r="644" spans="1:13" ht="14.25" customHeight="1" x14ac:dyDescent="0.2">
      <c r="A644" s="523">
        <v>43043</v>
      </c>
      <c r="B644" s="936" t="s">
        <v>922</v>
      </c>
      <c r="C644" s="937" t="s">
        <v>1530</v>
      </c>
      <c r="D644" s="1">
        <v>1.9155092592592592E-2</v>
      </c>
      <c r="E644" s="80" t="s">
        <v>5267</v>
      </c>
      <c r="F644" s="69" t="s">
        <v>8770</v>
      </c>
      <c r="I644" s="2"/>
      <c r="K644" s="82">
        <v>0.56679999999999997</v>
      </c>
    </row>
    <row r="645" spans="1:13" ht="14.25" customHeight="1" x14ac:dyDescent="0.2">
      <c r="A645" s="523">
        <v>43036</v>
      </c>
      <c r="B645" s="934" t="s">
        <v>922</v>
      </c>
      <c r="C645" s="935" t="s">
        <v>1530</v>
      </c>
      <c r="D645" s="334">
        <v>1.9247685185185184E-2</v>
      </c>
      <c r="E645" s="80" t="s">
        <v>5883</v>
      </c>
      <c r="F645" s="69" t="s">
        <v>5169</v>
      </c>
      <c r="I645" s="2"/>
      <c r="K645" s="82">
        <v>0.56399999999999995</v>
      </c>
    </row>
    <row r="646" spans="1:13" ht="14.25" customHeight="1" x14ac:dyDescent="0.2">
      <c r="A646" s="523">
        <v>43029</v>
      </c>
      <c r="B646" s="901" t="s">
        <v>922</v>
      </c>
      <c r="C646" s="902" t="s">
        <v>1530</v>
      </c>
      <c r="D646" s="1">
        <v>1.9085648148148147E-2</v>
      </c>
      <c r="E646" s="80" t="s">
        <v>5883</v>
      </c>
      <c r="F646" s="69" t="s">
        <v>1362</v>
      </c>
      <c r="I646" s="2"/>
      <c r="K646" s="82">
        <v>0.56879999999999997</v>
      </c>
    </row>
    <row r="647" spans="1:13" ht="14.25" customHeight="1" x14ac:dyDescent="0.2">
      <c r="A647" s="523">
        <v>43022</v>
      </c>
      <c r="B647" s="930" t="s">
        <v>922</v>
      </c>
      <c r="C647" s="931" t="s">
        <v>1530</v>
      </c>
      <c r="D647" s="1">
        <v>1.9432870370370371E-2</v>
      </c>
      <c r="E647" s="80" t="s">
        <v>5883</v>
      </c>
      <c r="F647" s="69" t="s">
        <v>3243</v>
      </c>
      <c r="I647" s="2"/>
      <c r="K647" s="82">
        <v>0.55869999999999997</v>
      </c>
    </row>
    <row r="648" spans="1:13" ht="14.25" customHeight="1" x14ac:dyDescent="0.2">
      <c r="A648" s="523">
        <v>43015</v>
      </c>
      <c r="B648" s="923" t="s">
        <v>922</v>
      </c>
      <c r="C648" s="924" t="s">
        <v>1530</v>
      </c>
      <c r="D648" s="1">
        <v>2.0578703703703703E-2</v>
      </c>
      <c r="E648" s="80" t="s">
        <v>5883</v>
      </c>
      <c r="F648" s="69" t="s">
        <v>1646</v>
      </c>
      <c r="I648" s="2"/>
      <c r="K648" s="82">
        <v>0.52759999999999996</v>
      </c>
    </row>
    <row r="649" spans="1:13" ht="14.25" customHeight="1" x14ac:dyDescent="0.2">
      <c r="A649" s="523">
        <v>43008</v>
      </c>
      <c r="B649" s="532" t="s">
        <v>922</v>
      </c>
      <c r="C649" s="843" t="s">
        <v>1530</v>
      </c>
      <c r="D649" s="1">
        <v>1.9803240740740739E-2</v>
      </c>
      <c r="E649" s="80" t="s">
        <v>2596</v>
      </c>
      <c r="F649" s="69" t="s">
        <v>8593</v>
      </c>
      <c r="I649" s="2"/>
      <c r="K649" s="82">
        <v>0.54820000000000002</v>
      </c>
      <c r="M649" s="80" t="s">
        <v>7649</v>
      </c>
    </row>
    <row r="650" spans="1:13" ht="14.25" customHeight="1" x14ac:dyDescent="0.2">
      <c r="A650" s="523">
        <v>43001</v>
      </c>
      <c r="B650" s="906" t="s">
        <v>922</v>
      </c>
      <c r="C650" s="907" t="s">
        <v>1530</v>
      </c>
      <c r="D650" s="1">
        <v>2.4074074074074071E-2</v>
      </c>
      <c r="E650" s="80" t="s">
        <v>5883</v>
      </c>
      <c r="F650" s="69" t="s">
        <v>5056</v>
      </c>
      <c r="I650" s="2"/>
      <c r="K650" s="82">
        <v>0.45100000000000001</v>
      </c>
      <c r="M650" s="80"/>
    </row>
    <row r="651" spans="1:13" ht="14.25" customHeight="1" x14ac:dyDescent="0.2">
      <c r="A651" s="523">
        <v>42994</v>
      </c>
      <c r="B651" s="869" t="s">
        <v>922</v>
      </c>
      <c r="C651" s="903" t="s">
        <v>1530</v>
      </c>
      <c r="D651" s="1">
        <v>2.1122685185185185E-2</v>
      </c>
      <c r="E651" s="80" t="s">
        <v>5883</v>
      </c>
      <c r="F651" s="69" t="s">
        <v>4069</v>
      </c>
      <c r="I651" s="2"/>
      <c r="K651" s="82">
        <v>0.51400000000000001</v>
      </c>
    </row>
    <row r="652" spans="1:13" ht="14.25" customHeight="1" x14ac:dyDescent="0.2">
      <c r="A652" s="523">
        <v>42980</v>
      </c>
      <c r="B652" s="837" t="s">
        <v>922</v>
      </c>
      <c r="C652" s="842" t="s">
        <v>1530</v>
      </c>
      <c r="D652" s="1">
        <v>2.0428240740740743E-2</v>
      </c>
      <c r="E652" s="80" t="s">
        <v>5883</v>
      </c>
      <c r="F652" s="69" t="s">
        <v>244</v>
      </c>
      <c r="I652" s="2"/>
      <c r="K652" s="82">
        <v>0.53139999999999998</v>
      </c>
      <c r="M652" s="80"/>
    </row>
    <row r="653" spans="1:13" ht="14.25" customHeight="1" x14ac:dyDescent="0.2">
      <c r="A653" s="523">
        <v>42973</v>
      </c>
      <c r="B653" s="862" t="s">
        <v>922</v>
      </c>
      <c r="C653" s="863" t="s">
        <v>1530</v>
      </c>
      <c r="D653" s="1">
        <v>1.9340277777777779E-2</v>
      </c>
      <c r="E653" s="80" t="s">
        <v>5883</v>
      </c>
      <c r="F653" s="69" t="s">
        <v>153</v>
      </c>
      <c r="I653" s="2"/>
      <c r="K653" s="82">
        <v>0.56130000000000002</v>
      </c>
    </row>
    <row r="654" spans="1:13" ht="14.25" customHeight="1" x14ac:dyDescent="0.2">
      <c r="A654" s="523">
        <v>42966</v>
      </c>
      <c r="B654" s="879" t="s">
        <v>922</v>
      </c>
      <c r="C654" s="880" t="s">
        <v>1530</v>
      </c>
      <c r="D654" s="1">
        <v>1.9143518518518518E-2</v>
      </c>
      <c r="E654" s="80" t="s">
        <v>8383</v>
      </c>
      <c r="F654" s="69" t="s">
        <v>8384</v>
      </c>
      <c r="I654" s="2"/>
      <c r="K654" s="82">
        <v>0.56710000000000005</v>
      </c>
      <c r="M654" s="80"/>
    </row>
    <row r="655" spans="1:13" ht="14.25" customHeight="1" x14ac:dyDescent="0.2">
      <c r="A655" s="523">
        <v>42959</v>
      </c>
      <c r="B655" s="866" t="s">
        <v>922</v>
      </c>
      <c r="C655" s="867" t="s">
        <v>1530</v>
      </c>
      <c r="D655" s="1">
        <v>1.8912037037037036E-2</v>
      </c>
      <c r="E655" s="80" t="s">
        <v>5883</v>
      </c>
      <c r="F655" s="69" t="s">
        <v>5249</v>
      </c>
      <c r="I655" s="2"/>
      <c r="K655" s="82">
        <v>0.57410000000000005</v>
      </c>
      <c r="M655" s="80"/>
    </row>
    <row r="656" spans="1:13" ht="14.25" customHeight="1" x14ac:dyDescent="0.2">
      <c r="A656" s="523">
        <v>42952</v>
      </c>
      <c r="B656" s="862" t="s">
        <v>922</v>
      </c>
      <c r="C656" s="863" t="s">
        <v>1530</v>
      </c>
      <c r="D656" s="1">
        <v>1.9328703703703702E-2</v>
      </c>
      <c r="E656" s="80" t="s">
        <v>5095</v>
      </c>
      <c r="F656" s="69" t="s">
        <v>8310</v>
      </c>
      <c r="I656" s="2"/>
      <c r="K656" s="82">
        <v>0.56169999999999998</v>
      </c>
      <c r="M656" s="80"/>
    </row>
    <row r="657" spans="1:15" ht="14.25" customHeight="1" x14ac:dyDescent="0.2">
      <c r="A657" s="523">
        <v>42945</v>
      </c>
      <c r="B657" s="568" t="s">
        <v>922</v>
      </c>
      <c r="C657" s="861" t="s">
        <v>1530</v>
      </c>
      <c r="D657" s="1">
        <v>2.2870370370370371E-2</v>
      </c>
      <c r="E657" s="80" t="s">
        <v>5883</v>
      </c>
      <c r="F657" s="69" t="s">
        <v>18</v>
      </c>
      <c r="I657" s="2"/>
      <c r="K657" s="82">
        <v>0.47470000000000001</v>
      </c>
      <c r="M657" s="80"/>
    </row>
    <row r="658" spans="1:15" ht="14.25" customHeight="1" x14ac:dyDescent="0.2">
      <c r="A658" s="523">
        <v>42938</v>
      </c>
      <c r="B658" s="532" t="s">
        <v>922</v>
      </c>
      <c r="C658" s="843" t="s">
        <v>1530</v>
      </c>
      <c r="D658" s="1">
        <v>2.3194444444444445E-2</v>
      </c>
      <c r="E658" s="80" t="s">
        <v>5883</v>
      </c>
      <c r="F658" s="69" t="s">
        <v>6449</v>
      </c>
      <c r="I658" s="2"/>
      <c r="K658" s="82">
        <v>0.46810000000000002</v>
      </c>
    </row>
    <row r="659" spans="1:15" ht="14.25" customHeight="1" x14ac:dyDescent="0.2">
      <c r="A659" s="523">
        <v>42931</v>
      </c>
      <c r="B659" s="837" t="s">
        <v>922</v>
      </c>
      <c r="C659" s="842" t="s">
        <v>1530</v>
      </c>
      <c r="D659" s="1">
        <v>2.0891203703703703E-2</v>
      </c>
      <c r="E659" s="80" t="s">
        <v>1982</v>
      </c>
      <c r="F659" s="69" t="s">
        <v>8192</v>
      </c>
      <c r="I659" s="2"/>
      <c r="K659" s="82">
        <v>0.51970000000000005</v>
      </c>
    </row>
    <row r="660" spans="1:15" ht="14.25" customHeight="1" x14ac:dyDescent="0.2">
      <c r="A660" s="34">
        <v>42924</v>
      </c>
      <c r="B660" s="80" t="s">
        <v>922</v>
      </c>
      <c r="C660" s="334" t="s">
        <v>1530</v>
      </c>
      <c r="D660" s="1">
        <v>2.0300925925925927E-2</v>
      </c>
      <c r="E660" s="80" t="s">
        <v>5883</v>
      </c>
      <c r="F660" s="69" t="s">
        <v>3224</v>
      </c>
      <c r="I660" s="2"/>
      <c r="K660" s="82">
        <v>0.53480000000000005</v>
      </c>
      <c r="M660" s="80"/>
    </row>
    <row r="661" spans="1:15" ht="14.25" customHeight="1" x14ac:dyDescent="0.2">
      <c r="A661" s="523">
        <v>42917</v>
      </c>
      <c r="B661" s="80" t="s">
        <v>922</v>
      </c>
      <c r="C661" s="334" t="s">
        <v>1530</v>
      </c>
      <c r="D661" s="1">
        <v>2.0150462962962964E-2</v>
      </c>
      <c r="E661" s="80" t="s">
        <v>5883</v>
      </c>
      <c r="F661" s="69" t="s">
        <v>107</v>
      </c>
      <c r="I661" s="2"/>
      <c r="K661" s="82">
        <v>0.53879999999999995</v>
      </c>
    </row>
    <row r="662" spans="1:15" ht="14.25" customHeight="1" x14ac:dyDescent="0.2">
      <c r="A662" s="523">
        <v>42910</v>
      </c>
      <c r="B662" s="80" t="s">
        <v>922</v>
      </c>
      <c r="C662" s="334" t="s">
        <v>1530</v>
      </c>
      <c r="D662" s="1">
        <v>2.2199074074074076E-2</v>
      </c>
      <c r="E662" s="80" t="s">
        <v>5883</v>
      </c>
      <c r="F662" s="69" t="s">
        <v>1602</v>
      </c>
      <c r="I662" s="2"/>
      <c r="K662" s="82">
        <v>0.48909999999999998</v>
      </c>
      <c r="M662" s="80"/>
    </row>
    <row r="663" spans="1:15" ht="14.25" customHeight="1" x14ac:dyDescent="0.2">
      <c r="A663" s="523">
        <v>42903</v>
      </c>
      <c r="B663" s="80" t="s">
        <v>922</v>
      </c>
      <c r="C663" s="334" t="s">
        <v>1530</v>
      </c>
      <c r="D663" s="1">
        <v>2.1087962962962961E-2</v>
      </c>
      <c r="E663" s="80" t="s">
        <v>5883</v>
      </c>
      <c r="F663" s="69" t="s">
        <v>673</v>
      </c>
      <c r="I663" s="2"/>
      <c r="K663" s="82">
        <v>0.51480000000000004</v>
      </c>
    </row>
    <row r="664" spans="1:15" ht="14.25" customHeight="1" x14ac:dyDescent="0.2">
      <c r="A664" s="33">
        <v>42896</v>
      </c>
      <c r="B664" s="80" t="s">
        <v>922</v>
      </c>
      <c r="C664" s="334" t="s">
        <v>1530</v>
      </c>
      <c r="D664" s="80" t="s">
        <v>787</v>
      </c>
      <c r="E664" s="80" t="s">
        <v>5883</v>
      </c>
      <c r="F664" s="69" t="s">
        <v>4185</v>
      </c>
      <c r="G664" s="5"/>
      <c r="H664" s="2"/>
      <c r="I664" s="2"/>
    </row>
    <row r="665" spans="1:15" ht="14.25" customHeight="1" x14ac:dyDescent="0.2">
      <c r="A665" s="523">
        <v>42889</v>
      </c>
      <c r="B665" s="80" t="s">
        <v>922</v>
      </c>
      <c r="C665" s="334" t="s">
        <v>1530</v>
      </c>
      <c r="D665" s="1">
        <v>1.9976851851851853E-2</v>
      </c>
      <c r="E665" s="80" t="s">
        <v>5883</v>
      </c>
      <c r="F665" s="69" t="s">
        <v>1630</v>
      </c>
      <c r="I665" s="2"/>
      <c r="K665" s="82">
        <v>0.54349999999999998</v>
      </c>
      <c r="M665" s="80"/>
    </row>
    <row r="666" spans="1:15" ht="14.25" customHeight="1" x14ac:dyDescent="0.2">
      <c r="A666" s="523">
        <v>42882</v>
      </c>
      <c r="B666" s="42" t="s">
        <v>922</v>
      </c>
      <c r="C666" s="334" t="s">
        <v>1530</v>
      </c>
      <c r="D666" s="1">
        <v>2.1516203703703704E-2</v>
      </c>
      <c r="E666" s="80" t="s">
        <v>5883</v>
      </c>
      <c r="F666" s="69" t="s">
        <v>3003</v>
      </c>
      <c r="I666" s="2"/>
      <c r="K666" s="82">
        <v>0.50460000000000005</v>
      </c>
      <c r="M666" s="80"/>
      <c r="O666" s="80" t="s">
        <v>1212</v>
      </c>
    </row>
    <row r="667" spans="1:15" ht="14.25" customHeight="1" x14ac:dyDescent="0.2">
      <c r="A667" s="523">
        <v>42875</v>
      </c>
      <c r="B667" s="80" t="s">
        <v>922</v>
      </c>
      <c r="C667" s="334" t="s">
        <v>1530</v>
      </c>
      <c r="D667" s="1">
        <v>2.0706018518518519E-2</v>
      </c>
      <c r="E667" t="s">
        <v>5821</v>
      </c>
      <c r="F667" s="69" t="s">
        <v>7923</v>
      </c>
      <c r="I667" s="2"/>
      <c r="K667" s="82">
        <v>0.52429999999999999</v>
      </c>
    </row>
    <row r="668" spans="1:15" ht="14.25" customHeight="1" x14ac:dyDescent="0.2">
      <c r="A668" s="523">
        <v>42868</v>
      </c>
      <c r="B668" s="80" t="s">
        <v>922</v>
      </c>
      <c r="C668" s="334" t="s">
        <v>1530</v>
      </c>
      <c r="D668" s="1">
        <v>2.179398148148148E-2</v>
      </c>
      <c r="E668" s="80" t="s">
        <v>5883</v>
      </c>
      <c r="F668" s="69" t="s">
        <v>7895</v>
      </c>
      <c r="I668" s="2"/>
      <c r="K668" s="82">
        <v>0.49809999999999999</v>
      </c>
      <c r="M668" s="80"/>
    </row>
    <row r="669" spans="1:15" ht="14.25" customHeight="1" x14ac:dyDescent="0.2">
      <c r="A669" s="523">
        <v>42861</v>
      </c>
      <c r="B669" s="80" t="s">
        <v>922</v>
      </c>
      <c r="C669" s="334" t="s">
        <v>1530</v>
      </c>
      <c r="D669" s="1">
        <v>2.0277777777777777E-2</v>
      </c>
      <c r="E669" s="80" t="s">
        <v>5883</v>
      </c>
      <c r="F669" s="69" t="s">
        <v>940</v>
      </c>
      <c r="I669" s="2"/>
      <c r="K669" s="82">
        <v>0.53539999999999999</v>
      </c>
      <c r="M669" s="80"/>
    </row>
    <row r="670" spans="1:15" ht="14.25" customHeight="1" x14ac:dyDescent="0.2">
      <c r="A670" s="523">
        <v>42854</v>
      </c>
      <c r="B670" s="80" t="s">
        <v>922</v>
      </c>
      <c r="C670" s="334" t="s">
        <v>1530</v>
      </c>
      <c r="D670" s="1">
        <v>2.2210648148148149E-2</v>
      </c>
      <c r="E670" s="80" t="s">
        <v>5883</v>
      </c>
      <c r="F670" s="69" t="s">
        <v>2335</v>
      </c>
      <c r="I670" s="2"/>
      <c r="K670" s="82">
        <v>0.48880000000000001</v>
      </c>
    </row>
    <row r="671" spans="1:15" ht="14.25" customHeight="1" x14ac:dyDescent="0.2">
      <c r="A671" s="523">
        <v>42847</v>
      </c>
      <c r="B671" s="80" t="s">
        <v>922</v>
      </c>
      <c r="C671" s="334" t="s">
        <v>1530</v>
      </c>
      <c r="D671" s="1">
        <v>2.011574074074074E-2</v>
      </c>
      <c r="E671" s="80" t="s">
        <v>5883</v>
      </c>
      <c r="F671" s="69" t="s">
        <v>4650</v>
      </c>
      <c r="I671" s="2"/>
      <c r="K671" s="82">
        <v>0.53969999999999996</v>
      </c>
    </row>
    <row r="672" spans="1:15" ht="14.25" customHeight="1" x14ac:dyDescent="0.2">
      <c r="A672" s="523">
        <v>42840</v>
      </c>
      <c r="B672" s="80" t="s">
        <v>922</v>
      </c>
      <c r="C672" s="334" t="s">
        <v>1530</v>
      </c>
      <c r="D672" s="1">
        <v>2.0532407407407405E-2</v>
      </c>
      <c r="E672" t="s">
        <v>5883</v>
      </c>
      <c r="F672" s="69" t="s">
        <v>3222</v>
      </c>
      <c r="I672" s="2"/>
      <c r="K672" s="82">
        <v>0.52869999999999995</v>
      </c>
      <c r="M672" s="80"/>
    </row>
    <row r="673" spans="1:44" ht="14.25" customHeight="1" x14ac:dyDescent="0.2">
      <c r="A673" s="523">
        <v>42833</v>
      </c>
      <c r="B673" s="80" t="s">
        <v>922</v>
      </c>
      <c r="C673" s="334" t="s">
        <v>1530</v>
      </c>
      <c r="D673" s="1">
        <v>2.193287037037037E-2</v>
      </c>
      <c r="E673" s="80" t="s">
        <v>5883</v>
      </c>
      <c r="F673" s="69" t="s">
        <v>2877</v>
      </c>
      <c r="I673" s="2"/>
      <c r="K673" s="82">
        <v>0.495</v>
      </c>
      <c r="M673" s="80"/>
    </row>
    <row r="674" spans="1:44" ht="14.25" customHeight="1" x14ac:dyDescent="0.2">
      <c r="A674" s="523">
        <v>42826</v>
      </c>
      <c r="B674" s="80" t="s">
        <v>922</v>
      </c>
      <c r="C674" s="334" t="s">
        <v>1530</v>
      </c>
      <c r="D674" s="1">
        <v>2.1284722222222222E-2</v>
      </c>
      <c r="E674" s="80" t="s">
        <v>6393</v>
      </c>
      <c r="F674" s="69" t="s">
        <v>7698</v>
      </c>
      <c r="I674" s="2"/>
      <c r="K674" s="82">
        <v>0.5101</v>
      </c>
      <c r="M674" s="80"/>
    </row>
    <row r="675" spans="1:44" ht="14.25" customHeight="1" x14ac:dyDescent="0.2">
      <c r="A675" s="523">
        <v>42819</v>
      </c>
      <c r="B675" s="80" t="s">
        <v>922</v>
      </c>
      <c r="C675" s="334" t="s">
        <v>1530</v>
      </c>
      <c r="D675" s="1">
        <v>2.2789351851851852E-2</v>
      </c>
      <c r="E675" s="80" t="s">
        <v>5883</v>
      </c>
      <c r="F675" s="69" t="s">
        <v>130</v>
      </c>
      <c r="I675" s="2"/>
      <c r="K675" s="82">
        <v>0.47639999999999999</v>
      </c>
      <c r="M675" s="80"/>
    </row>
    <row r="676" spans="1:44" ht="14.25" customHeight="1" x14ac:dyDescent="0.2">
      <c r="A676" s="523">
        <v>42812</v>
      </c>
      <c r="B676" s="80" t="s">
        <v>922</v>
      </c>
      <c r="C676" s="334" t="s">
        <v>1530</v>
      </c>
      <c r="D676" s="1">
        <v>2.193287037037037E-2</v>
      </c>
      <c r="E676" s="80" t="s">
        <v>5883</v>
      </c>
      <c r="F676" s="69" t="s">
        <v>2538</v>
      </c>
      <c r="I676" s="2"/>
      <c r="K676" s="82">
        <v>0.495</v>
      </c>
      <c r="M676" s="80"/>
    </row>
    <row r="677" spans="1:44" ht="14.25" customHeight="1" x14ac:dyDescent="0.2">
      <c r="A677" s="33">
        <v>42805</v>
      </c>
      <c r="B677" s="80" t="s">
        <v>922</v>
      </c>
      <c r="C677" s="334" t="s">
        <v>1530</v>
      </c>
      <c r="D677" s="1">
        <v>2.028935185185185E-2</v>
      </c>
      <c r="E677" s="80" t="s">
        <v>5883</v>
      </c>
      <c r="F677" s="69" t="s">
        <v>2173</v>
      </c>
      <c r="I677" s="2"/>
      <c r="K677" s="82">
        <v>0.53510000000000002</v>
      </c>
      <c r="M677" s="80"/>
    </row>
    <row r="678" spans="1:44" ht="14.25" customHeight="1" x14ac:dyDescent="0.2">
      <c r="A678" s="523">
        <v>42798</v>
      </c>
      <c r="B678" t="s">
        <v>922</v>
      </c>
      <c r="C678" s="334" t="s">
        <v>1530</v>
      </c>
      <c r="D678" s="1">
        <v>2.0775462962962964E-2</v>
      </c>
      <c r="E678" s="80" t="s">
        <v>5883</v>
      </c>
      <c r="F678" s="69" t="s">
        <v>4028</v>
      </c>
      <c r="I678" s="2"/>
      <c r="K678" s="82">
        <v>0.52259999999999995</v>
      </c>
      <c r="M678" s="80"/>
    </row>
    <row r="679" spans="1:44" ht="14.25" customHeight="1" x14ac:dyDescent="0.2">
      <c r="A679" s="523">
        <v>42791</v>
      </c>
      <c r="B679" s="80" t="s">
        <v>922</v>
      </c>
      <c r="C679" s="334" t="s">
        <v>1530</v>
      </c>
      <c r="D679" s="1">
        <v>1.9780092592592592E-2</v>
      </c>
      <c r="E679" s="80" t="s">
        <v>5883</v>
      </c>
      <c r="F679" s="69" t="s">
        <v>4476</v>
      </c>
      <c r="I679" s="2"/>
      <c r="K679" s="82">
        <v>0.54890000000000005</v>
      </c>
      <c r="M679" s="80"/>
    </row>
    <row r="680" spans="1:44" ht="14.25" customHeight="1" x14ac:dyDescent="0.2">
      <c r="A680" s="523">
        <v>42784</v>
      </c>
      <c r="B680" s="80" t="s">
        <v>922</v>
      </c>
      <c r="C680" s="334" t="s">
        <v>1530</v>
      </c>
      <c r="D680" s="1">
        <v>1.9479166666666669E-2</v>
      </c>
      <c r="E680" s="80" t="s">
        <v>4004</v>
      </c>
      <c r="F680" s="69" t="s">
        <v>7551</v>
      </c>
      <c r="I680" s="2"/>
      <c r="K680" s="82">
        <v>0.55730000000000002</v>
      </c>
      <c r="M680" s="80"/>
    </row>
    <row r="681" spans="1:44" ht="14.25" customHeight="1" x14ac:dyDescent="0.2">
      <c r="A681" s="523">
        <v>42777</v>
      </c>
      <c r="B681" s="80" t="s">
        <v>922</v>
      </c>
      <c r="C681" s="334" t="s">
        <v>1530</v>
      </c>
      <c r="D681" s="1">
        <v>2.0787037037037038E-2</v>
      </c>
      <c r="E681" s="80" t="s">
        <v>5883</v>
      </c>
      <c r="F681" s="69" t="s">
        <v>1896</v>
      </c>
      <c r="I681" s="2"/>
      <c r="K681" s="82">
        <v>0.52229999999999999</v>
      </c>
      <c r="M681" s="80"/>
    </row>
    <row r="682" spans="1:44" ht="14.25" customHeight="1" x14ac:dyDescent="0.2">
      <c r="A682" s="33">
        <v>42770</v>
      </c>
      <c r="B682" s="80" t="s">
        <v>922</v>
      </c>
      <c r="C682" s="334" t="s">
        <v>1530</v>
      </c>
      <c r="D682" s="1">
        <v>2.2372685185185186E-2</v>
      </c>
      <c r="E682" s="80" t="s">
        <v>5883</v>
      </c>
      <c r="F682" s="69" t="s">
        <v>6341</v>
      </c>
      <c r="I682" s="2"/>
      <c r="K682" s="82">
        <v>0.48530000000000001</v>
      </c>
      <c r="M682" s="80"/>
    </row>
    <row r="683" spans="1:44" ht="14.25" customHeight="1" x14ac:dyDescent="0.2">
      <c r="A683" s="33">
        <v>42763</v>
      </c>
      <c r="B683" s="80" t="s">
        <v>922</v>
      </c>
      <c r="C683" s="334" t="s">
        <v>1530</v>
      </c>
      <c r="D683" s="1">
        <v>1.9432870370370371E-2</v>
      </c>
      <c r="E683" s="80" t="s">
        <v>5883</v>
      </c>
      <c r="F683" s="69" t="s">
        <v>6378</v>
      </c>
      <c r="I683" s="2"/>
      <c r="K683" s="82">
        <v>0.55389999999999995</v>
      </c>
      <c r="M683" s="80"/>
    </row>
    <row r="684" spans="1:44" ht="14.25" customHeight="1" x14ac:dyDescent="0.2">
      <c r="A684" s="33">
        <v>42756</v>
      </c>
      <c r="B684" s="80" t="s">
        <v>922</v>
      </c>
      <c r="C684" s="334" t="s">
        <v>1530</v>
      </c>
      <c r="D684" s="1">
        <v>1.8506944444444444E-2</v>
      </c>
      <c r="E684" t="s">
        <v>5885</v>
      </c>
      <c r="F684" s="69" t="s">
        <v>6351</v>
      </c>
      <c r="I684" s="2"/>
      <c r="K684" s="82">
        <v>0.58160000000000001</v>
      </c>
      <c r="M684" s="80"/>
      <c r="AO684" s="942"/>
      <c r="AP684" s="943"/>
      <c r="AQ684" s="944"/>
      <c r="AR684" s="943"/>
    </row>
    <row r="685" spans="1:44" ht="14.25" customHeight="1" x14ac:dyDescent="0.2">
      <c r="A685" s="523">
        <v>42749</v>
      </c>
      <c r="B685" s="80" t="s">
        <v>922</v>
      </c>
      <c r="C685" s="334" t="s">
        <v>1530</v>
      </c>
      <c r="D685" s="1">
        <v>1.9664351851851853E-2</v>
      </c>
      <c r="E685" s="80" t="s">
        <v>1401</v>
      </c>
      <c r="F685" s="69" t="s">
        <v>6300</v>
      </c>
      <c r="I685" s="2"/>
      <c r="K685" s="82">
        <v>0.5474</v>
      </c>
      <c r="M685" s="80"/>
    </row>
    <row r="686" spans="1:44" ht="14.25" customHeight="1" x14ac:dyDescent="0.2">
      <c r="A686" s="523">
        <v>42736</v>
      </c>
      <c r="B686" s="80" t="s">
        <v>922</v>
      </c>
      <c r="C686" s="334" t="s">
        <v>1530</v>
      </c>
      <c r="D686" s="1">
        <v>1.9594907407407405E-2</v>
      </c>
      <c r="E686" s="80" t="s">
        <v>3072</v>
      </c>
      <c r="F686" s="69" t="s">
        <v>6217</v>
      </c>
      <c r="I686" s="2"/>
      <c r="K686" s="82">
        <v>0.54930000000000001</v>
      </c>
      <c r="M686" s="80"/>
    </row>
    <row r="687" spans="1:44" ht="14.25" customHeight="1" x14ac:dyDescent="0.2">
      <c r="A687" s="523">
        <v>42736</v>
      </c>
      <c r="B687" s="80" t="s">
        <v>922</v>
      </c>
      <c r="C687" s="334" t="s">
        <v>1530</v>
      </c>
      <c r="D687" s="334">
        <v>0.19844907407407406</v>
      </c>
      <c r="E687" s="80" t="s">
        <v>4936</v>
      </c>
      <c r="F687" s="69" t="s">
        <v>2629</v>
      </c>
      <c r="I687" s="2"/>
      <c r="K687" s="82">
        <v>0.53879999999999995</v>
      </c>
      <c r="M687" s="80"/>
    </row>
    <row r="688" spans="1:44" ht="14.25" customHeight="1" x14ac:dyDescent="0.2">
      <c r="A688" s="33">
        <v>42742</v>
      </c>
      <c r="B688" s="80" t="s">
        <v>214</v>
      </c>
      <c r="C688" s="334" t="s">
        <v>1530</v>
      </c>
      <c r="D688" s="1">
        <v>1.9652777777777779E-2</v>
      </c>
      <c r="E688" s="80" t="s">
        <v>5883</v>
      </c>
      <c r="F688" s="69" t="s">
        <v>5572</v>
      </c>
      <c r="I688" s="2"/>
      <c r="K688" s="82">
        <v>0.54769999999999996</v>
      </c>
    </row>
    <row r="689" spans="1:13" x14ac:dyDescent="0.2">
      <c r="A689" s="523">
        <v>42903</v>
      </c>
      <c r="B689" s="80" t="s">
        <v>8069</v>
      </c>
      <c r="C689" s="334" t="s">
        <v>8067</v>
      </c>
      <c r="D689" s="1">
        <v>2.0185185185185184E-2</v>
      </c>
      <c r="E689" s="80" t="s">
        <v>2627</v>
      </c>
      <c r="F689" s="69" t="s">
        <v>2548</v>
      </c>
      <c r="I689" s="2"/>
      <c r="K689" s="82">
        <v>0.52410000000000001</v>
      </c>
      <c r="M689" s="80"/>
    </row>
    <row r="690" spans="1:13" x14ac:dyDescent="0.2">
      <c r="A690" s="523">
        <v>42903</v>
      </c>
      <c r="B690" s="80" t="s">
        <v>8066</v>
      </c>
      <c r="C690" s="334" t="s">
        <v>8067</v>
      </c>
      <c r="D690" s="1">
        <v>1.7361111111111112E-2</v>
      </c>
      <c r="E690" s="80" t="s">
        <v>2627</v>
      </c>
      <c r="F690" s="69" t="s">
        <v>8068</v>
      </c>
      <c r="I690" s="80" t="s">
        <v>8070</v>
      </c>
      <c r="J690" s="80"/>
      <c r="K690" s="82">
        <v>0.6653</v>
      </c>
      <c r="M690" s="80"/>
    </row>
    <row r="691" spans="1:13" x14ac:dyDescent="0.2">
      <c r="A691" s="523">
        <v>43099</v>
      </c>
      <c r="B691" s="601" t="s">
        <v>2478</v>
      </c>
      <c r="C691" s="958" t="s">
        <v>4439</v>
      </c>
      <c r="D691" s="1">
        <v>1.7546296296296296E-2</v>
      </c>
      <c r="E691" s="80" t="s">
        <v>5883</v>
      </c>
      <c r="F691" s="69" t="s">
        <v>4476</v>
      </c>
      <c r="I691" s="2"/>
      <c r="K691" s="82">
        <v>0.59299999999999997</v>
      </c>
    </row>
    <row r="692" spans="1:13" ht="12.75" customHeight="1" x14ac:dyDescent="0.2">
      <c r="A692" s="523">
        <v>43092</v>
      </c>
      <c r="B692" s="568" t="s">
        <v>2478</v>
      </c>
      <c r="C692" s="861" t="s">
        <v>4439</v>
      </c>
      <c r="D692" s="1">
        <v>1.7025462962962961E-2</v>
      </c>
      <c r="E692" s="80" t="s">
        <v>5883</v>
      </c>
      <c r="F692" s="69" t="s">
        <v>1271</v>
      </c>
      <c r="I692" s="2"/>
      <c r="K692" s="82">
        <v>0.61109999999999998</v>
      </c>
    </row>
    <row r="693" spans="1:13" ht="12.75" customHeight="1" x14ac:dyDescent="0.2">
      <c r="A693" s="523">
        <v>43085</v>
      </c>
      <c r="B693" s="601" t="s">
        <v>2478</v>
      </c>
      <c r="C693" s="958" t="s">
        <v>4439</v>
      </c>
      <c r="D693" s="1">
        <v>1.622685185185185E-2</v>
      </c>
      <c r="E693" s="80" t="s">
        <v>5883</v>
      </c>
      <c r="F693" s="69" t="s">
        <v>1896</v>
      </c>
      <c r="I693" s="2"/>
      <c r="K693" s="82">
        <v>0.64119999999999999</v>
      </c>
    </row>
    <row r="694" spans="1:13" ht="12.75" customHeight="1" x14ac:dyDescent="0.2">
      <c r="A694" s="523">
        <v>43078</v>
      </c>
      <c r="B694" s="879" t="s">
        <v>2478</v>
      </c>
      <c r="C694" s="880" t="s">
        <v>4439</v>
      </c>
      <c r="D694" s="1">
        <v>1.5914351851851853E-2</v>
      </c>
      <c r="E694" s="80" t="s">
        <v>5883</v>
      </c>
      <c r="F694" s="69" t="s">
        <v>8906</v>
      </c>
      <c r="I694" s="2"/>
      <c r="K694" s="82">
        <v>0.65380000000000005</v>
      </c>
    </row>
    <row r="695" spans="1:13" ht="12.75" customHeight="1" x14ac:dyDescent="0.2">
      <c r="A695" s="523">
        <v>43078</v>
      </c>
      <c r="B695" s="879" t="s">
        <v>2478</v>
      </c>
      <c r="C695" s="880" t="s">
        <v>4439</v>
      </c>
      <c r="D695" s="1" t="s">
        <v>787</v>
      </c>
      <c r="E695" s="80" t="s">
        <v>5883</v>
      </c>
      <c r="F695" s="69" t="s">
        <v>5201</v>
      </c>
      <c r="I695" s="2"/>
      <c r="K695" s="82"/>
    </row>
    <row r="696" spans="1:13" ht="12.75" customHeight="1" x14ac:dyDescent="0.2">
      <c r="A696" s="523">
        <v>43071</v>
      </c>
      <c r="B696" s="556" t="s">
        <v>2478</v>
      </c>
      <c r="C696" s="950" t="s">
        <v>4439</v>
      </c>
      <c r="D696" s="1">
        <v>1.8865740740740742E-2</v>
      </c>
      <c r="E696" s="80" t="s">
        <v>5883</v>
      </c>
      <c r="F696" s="69" t="s">
        <v>970</v>
      </c>
      <c r="I696" s="2"/>
      <c r="K696" s="82">
        <v>0.55149999999999999</v>
      </c>
    </row>
    <row r="697" spans="1:13" ht="12.75" customHeight="1" x14ac:dyDescent="0.2">
      <c r="A697" s="523">
        <v>43064</v>
      </c>
      <c r="B697" s="869" t="s">
        <v>2478</v>
      </c>
      <c r="C697" s="903" t="s">
        <v>4439</v>
      </c>
      <c r="D697" s="1">
        <v>1.6238425925925924E-2</v>
      </c>
      <c r="E697" s="80" t="s">
        <v>5883</v>
      </c>
      <c r="F697" s="69" t="s">
        <v>8835</v>
      </c>
      <c r="I697" s="2"/>
      <c r="K697" s="82">
        <v>0.64080000000000004</v>
      </c>
    </row>
    <row r="698" spans="1:13" ht="12.75" customHeight="1" x14ac:dyDescent="0.2">
      <c r="A698" s="523">
        <v>43057</v>
      </c>
      <c r="B698" s="940" t="s">
        <v>2478</v>
      </c>
      <c r="C698" s="941" t="s">
        <v>4439</v>
      </c>
      <c r="D698" s="1">
        <v>1.6354166666666666E-2</v>
      </c>
      <c r="E698" s="80" t="s">
        <v>5883</v>
      </c>
      <c r="F698" s="69" t="s">
        <v>2172</v>
      </c>
      <c r="I698" s="2"/>
      <c r="K698" s="82">
        <v>0.63619999999999999</v>
      </c>
      <c r="M698" s="80" t="s">
        <v>7649</v>
      </c>
    </row>
    <row r="699" spans="1:13" ht="12.75" customHeight="1" x14ac:dyDescent="0.2">
      <c r="A699" s="523">
        <v>43050</v>
      </c>
      <c r="B699" s="532" t="s">
        <v>2478</v>
      </c>
      <c r="C699" s="843" t="s">
        <v>4439</v>
      </c>
      <c r="D699" s="1">
        <v>1.6481481481481482E-2</v>
      </c>
      <c r="E699" s="80" t="s">
        <v>5883</v>
      </c>
      <c r="F699" s="69" t="s">
        <v>5572</v>
      </c>
      <c r="I699" s="2"/>
      <c r="K699" s="82">
        <v>0.63129999999999997</v>
      </c>
    </row>
    <row r="700" spans="1:13" ht="12.75" customHeight="1" x14ac:dyDescent="0.2">
      <c r="A700" s="523">
        <v>43036</v>
      </c>
      <c r="B700" s="934" t="s">
        <v>2478</v>
      </c>
      <c r="C700" s="935" t="s">
        <v>4439</v>
      </c>
      <c r="D700" s="1">
        <v>1.650462962962963E-2</v>
      </c>
      <c r="E700" s="80" t="s">
        <v>5883</v>
      </c>
      <c r="F700" s="69" t="s">
        <v>22</v>
      </c>
      <c r="I700" s="2"/>
      <c r="K700" s="82">
        <v>0.63039999999999996</v>
      </c>
      <c r="M700" s="80"/>
    </row>
    <row r="701" spans="1:13" ht="12.75" customHeight="1" x14ac:dyDescent="0.2">
      <c r="A701" s="523">
        <v>43029</v>
      </c>
      <c r="B701" s="901" t="s">
        <v>2478</v>
      </c>
      <c r="C701" s="902" t="s">
        <v>4439</v>
      </c>
      <c r="D701" s="1">
        <v>1.6863425925925928E-2</v>
      </c>
      <c r="E701" s="80" t="s">
        <v>5883</v>
      </c>
      <c r="F701" s="69" t="s">
        <v>4648</v>
      </c>
      <c r="I701" s="2"/>
      <c r="K701" s="82">
        <v>0.61699999999999999</v>
      </c>
    </row>
    <row r="702" spans="1:13" ht="12.75" customHeight="1" x14ac:dyDescent="0.2">
      <c r="A702" s="523">
        <v>43022</v>
      </c>
      <c r="B702" s="930" t="s">
        <v>2478</v>
      </c>
      <c r="C702" s="931" t="s">
        <v>4439</v>
      </c>
      <c r="D702" s="1">
        <v>1.7141203703703704E-2</v>
      </c>
      <c r="E702" s="80" t="s">
        <v>5883</v>
      </c>
      <c r="F702" s="69" t="s">
        <v>2476</v>
      </c>
      <c r="I702" s="2"/>
      <c r="K702" s="82">
        <v>0.60699999999999998</v>
      </c>
      <c r="M702" s="80"/>
    </row>
    <row r="703" spans="1:13" ht="12.75" customHeight="1" x14ac:dyDescent="0.2">
      <c r="A703" s="523">
        <v>43015</v>
      </c>
      <c r="B703" s="923" t="s">
        <v>2478</v>
      </c>
      <c r="C703" s="924" t="s">
        <v>4439</v>
      </c>
      <c r="D703" s="1">
        <v>1.7615740740740741E-2</v>
      </c>
      <c r="E703" s="80" t="s">
        <v>5883</v>
      </c>
      <c r="F703" s="69" t="s">
        <v>1200</v>
      </c>
      <c r="I703" s="2"/>
      <c r="K703" s="82">
        <v>0.5907</v>
      </c>
      <c r="M703" s="80"/>
    </row>
    <row r="704" spans="1:13" ht="12.75" customHeight="1" x14ac:dyDescent="0.2">
      <c r="A704" s="523">
        <v>43001</v>
      </c>
      <c r="B704" s="906" t="s">
        <v>2478</v>
      </c>
      <c r="C704" s="907" t="s">
        <v>4439</v>
      </c>
      <c r="D704" s="1">
        <v>1.6527777777777777E-2</v>
      </c>
      <c r="E704" s="80" t="s">
        <v>5883</v>
      </c>
      <c r="F704" s="69" t="s">
        <v>2055</v>
      </c>
      <c r="I704" s="2"/>
      <c r="K704" s="82">
        <v>0.62960000000000005</v>
      </c>
      <c r="M704" s="80"/>
    </row>
    <row r="705" spans="1:13" ht="12.75" customHeight="1" x14ac:dyDescent="0.2">
      <c r="A705" s="523">
        <v>42980</v>
      </c>
      <c r="B705" s="837" t="s">
        <v>2478</v>
      </c>
      <c r="C705" s="842" t="s">
        <v>4439</v>
      </c>
      <c r="D705" s="1">
        <v>1.6493055555555556E-2</v>
      </c>
      <c r="E705" s="80" t="s">
        <v>5883</v>
      </c>
      <c r="F705" s="69" t="s">
        <v>8467</v>
      </c>
      <c r="I705" s="2"/>
      <c r="K705" s="82">
        <v>0.63090000000000002</v>
      </c>
    </row>
    <row r="706" spans="1:13" ht="12.75" customHeight="1" x14ac:dyDescent="0.2">
      <c r="A706" s="523">
        <v>42973</v>
      </c>
      <c r="B706" s="862" t="s">
        <v>2478</v>
      </c>
      <c r="C706" s="863" t="s">
        <v>4439</v>
      </c>
      <c r="D706" s="1">
        <v>1.6875000000000001E-2</v>
      </c>
      <c r="E706" s="80" t="s">
        <v>5883</v>
      </c>
      <c r="F706" s="69" t="s">
        <v>2187</v>
      </c>
      <c r="I706" s="2"/>
      <c r="K706" s="82">
        <v>0.61660000000000004</v>
      </c>
      <c r="M706" s="80"/>
    </row>
    <row r="707" spans="1:13" ht="12.75" customHeight="1" x14ac:dyDescent="0.2">
      <c r="A707" s="523">
        <v>42966</v>
      </c>
      <c r="B707" s="879" t="s">
        <v>2478</v>
      </c>
      <c r="C707" s="880" t="s">
        <v>4439</v>
      </c>
      <c r="D707" s="1">
        <v>1.6840277777777777E-2</v>
      </c>
      <c r="E707" s="80" t="s">
        <v>5883</v>
      </c>
      <c r="F707" s="69" t="s">
        <v>8398</v>
      </c>
      <c r="I707" s="2"/>
      <c r="K707" s="82">
        <v>0.6179</v>
      </c>
    </row>
    <row r="708" spans="1:13" x14ac:dyDescent="0.2">
      <c r="A708" s="523">
        <v>42959</v>
      </c>
      <c r="B708" s="866" t="s">
        <v>2478</v>
      </c>
      <c r="C708" s="867" t="s">
        <v>4439</v>
      </c>
      <c r="D708" s="1">
        <v>1.6979166666666667E-2</v>
      </c>
      <c r="E708" s="80" t="s">
        <v>5883</v>
      </c>
      <c r="F708" s="69" t="s">
        <v>5693</v>
      </c>
      <c r="I708" s="2"/>
      <c r="K708" s="82">
        <v>0.61280000000000001</v>
      </c>
    </row>
    <row r="709" spans="1:13" x14ac:dyDescent="0.2">
      <c r="A709" s="523">
        <v>42952</v>
      </c>
      <c r="B709" s="862" t="s">
        <v>2478</v>
      </c>
      <c r="C709" s="863" t="s">
        <v>4439</v>
      </c>
      <c r="D709" s="1">
        <v>1.6354166666666666E-2</v>
      </c>
      <c r="E709" s="80" t="s">
        <v>5095</v>
      </c>
      <c r="F709" s="69" t="s">
        <v>8302</v>
      </c>
      <c r="I709" s="2"/>
      <c r="K709" s="82">
        <v>0.63619999999999999</v>
      </c>
      <c r="M709" s="80"/>
    </row>
    <row r="710" spans="1:13" x14ac:dyDescent="0.2">
      <c r="A710" s="523">
        <v>42945</v>
      </c>
      <c r="B710" s="568" t="s">
        <v>2478</v>
      </c>
      <c r="C710" s="861" t="s">
        <v>4439</v>
      </c>
      <c r="D710" s="1">
        <v>1.6319444444444445E-2</v>
      </c>
      <c r="E710" s="80" t="s">
        <v>5883</v>
      </c>
      <c r="F710" s="69" t="s">
        <v>4478</v>
      </c>
      <c r="I710" s="2"/>
      <c r="K710" s="82">
        <v>0.62870000000000004</v>
      </c>
    </row>
    <row r="711" spans="1:13" x14ac:dyDescent="0.2">
      <c r="A711" s="523">
        <v>42938</v>
      </c>
      <c r="B711" s="532" t="s">
        <v>2478</v>
      </c>
      <c r="C711" s="843" t="s">
        <v>4439</v>
      </c>
      <c r="D711" s="1">
        <v>1.6724537037037034E-2</v>
      </c>
      <c r="E711" s="80" t="s">
        <v>5883</v>
      </c>
      <c r="F711" s="69" t="s">
        <v>5917</v>
      </c>
      <c r="I711" s="2"/>
      <c r="K711" s="82">
        <v>0.62209999999999999</v>
      </c>
      <c r="M711" s="80"/>
    </row>
    <row r="712" spans="1:13" x14ac:dyDescent="0.2">
      <c r="A712" s="523">
        <v>42931</v>
      </c>
      <c r="B712" s="837" t="s">
        <v>2478</v>
      </c>
      <c r="C712" s="842" t="s">
        <v>4439</v>
      </c>
      <c r="D712" s="1">
        <v>1.653935185185185E-2</v>
      </c>
      <c r="E712" s="80" t="s">
        <v>5883</v>
      </c>
      <c r="F712" s="69" t="s">
        <v>567</v>
      </c>
      <c r="I712" s="2"/>
      <c r="K712" s="82">
        <v>0.62909999999999999</v>
      </c>
      <c r="M712" s="80"/>
    </row>
    <row r="713" spans="1:13" x14ac:dyDescent="0.2">
      <c r="A713" s="523">
        <v>42917</v>
      </c>
      <c r="B713" s="80" t="s">
        <v>2478</v>
      </c>
      <c r="C713" s="334" t="s">
        <v>4439</v>
      </c>
      <c r="D713" s="1">
        <v>1.6273148148148148E-2</v>
      </c>
      <c r="E713" s="80" t="s">
        <v>5883</v>
      </c>
      <c r="F713" s="69" t="s">
        <v>1598</v>
      </c>
      <c r="I713" s="2"/>
      <c r="K713" s="82">
        <v>0.63939999999999997</v>
      </c>
    </row>
    <row r="714" spans="1:13" x14ac:dyDescent="0.2">
      <c r="A714" s="523">
        <v>42910</v>
      </c>
      <c r="B714" s="80" t="s">
        <v>2478</v>
      </c>
      <c r="C714" s="334" t="s">
        <v>4439</v>
      </c>
      <c r="D714" s="1">
        <v>1.6296296296296295E-2</v>
      </c>
      <c r="E714" s="80" t="s">
        <v>5883</v>
      </c>
      <c r="F714" s="69" t="s">
        <v>2477</v>
      </c>
      <c r="I714" s="2"/>
      <c r="K714" s="82">
        <v>0.63349999999999995</v>
      </c>
    </row>
    <row r="715" spans="1:13" x14ac:dyDescent="0.2">
      <c r="A715" s="523">
        <v>42903</v>
      </c>
      <c r="B715" s="80" t="s">
        <v>2478</v>
      </c>
      <c r="C715" s="334" t="s">
        <v>4439</v>
      </c>
      <c r="D715" s="1">
        <v>1.6701388888888887E-2</v>
      </c>
      <c r="E715" s="80" t="s">
        <v>5883</v>
      </c>
      <c r="F715" s="69" t="s">
        <v>210</v>
      </c>
      <c r="I715" s="2"/>
      <c r="K715" s="82">
        <v>0.61819999999999997</v>
      </c>
      <c r="M715" s="80"/>
    </row>
    <row r="716" spans="1:13" x14ac:dyDescent="0.2">
      <c r="A716" s="523">
        <v>42875</v>
      </c>
      <c r="B716" s="80" t="s">
        <v>2478</v>
      </c>
      <c r="C716" s="334" t="s">
        <v>4439</v>
      </c>
      <c r="D716" s="1">
        <v>1.6122685185185184E-2</v>
      </c>
      <c r="E716" s="80" t="s">
        <v>5883</v>
      </c>
      <c r="F716" s="69" t="s">
        <v>5721</v>
      </c>
      <c r="I716" s="2"/>
      <c r="K716" s="82">
        <v>0.64029999999999998</v>
      </c>
      <c r="M716" s="80"/>
    </row>
    <row r="717" spans="1:13" x14ac:dyDescent="0.2">
      <c r="A717" s="523">
        <v>42868</v>
      </c>
      <c r="B717" s="80" t="s">
        <v>2478</v>
      </c>
      <c r="C717" s="334" t="s">
        <v>4439</v>
      </c>
      <c r="D717" s="334" t="s">
        <v>787</v>
      </c>
      <c r="E717" s="80" t="s">
        <v>5883</v>
      </c>
      <c r="F717" s="69" t="s">
        <v>4854</v>
      </c>
      <c r="I717" s="2"/>
      <c r="K717" s="82"/>
      <c r="M717" s="80"/>
    </row>
    <row r="718" spans="1:13" x14ac:dyDescent="0.2">
      <c r="A718" s="523">
        <v>42861</v>
      </c>
      <c r="B718" s="80" t="s">
        <v>2478</v>
      </c>
      <c r="C718" s="334" t="s">
        <v>4439</v>
      </c>
      <c r="D718" s="1">
        <v>1.5914351851851853E-2</v>
      </c>
      <c r="E718" s="80" t="s">
        <v>5883</v>
      </c>
      <c r="F718" s="69" t="s">
        <v>1606</v>
      </c>
      <c r="I718" s="2"/>
      <c r="K718" s="82">
        <v>0.64870000000000005</v>
      </c>
      <c r="M718" s="80"/>
    </row>
    <row r="719" spans="1:13" x14ac:dyDescent="0.2">
      <c r="A719" s="523">
        <v>42854</v>
      </c>
      <c r="B719" s="80" t="s">
        <v>2478</v>
      </c>
      <c r="C719" s="334" t="s">
        <v>4439</v>
      </c>
      <c r="D719" s="1">
        <v>1.5659722222222224E-2</v>
      </c>
      <c r="E719" s="80" t="s">
        <v>5883</v>
      </c>
      <c r="F719" s="69" t="s">
        <v>4392</v>
      </c>
      <c r="I719" s="2"/>
      <c r="K719" s="82">
        <v>0.6593</v>
      </c>
      <c r="M719" s="80"/>
    </row>
    <row r="720" spans="1:13" x14ac:dyDescent="0.2">
      <c r="A720" s="523">
        <v>42840</v>
      </c>
      <c r="B720" s="80" t="s">
        <v>2478</v>
      </c>
      <c r="C720" s="334" t="s">
        <v>4439</v>
      </c>
      <c r="D720" s="1">
        <v>1.6006944444444445E-2</v>
      </c>
      <c r="E720" t="s">
        <v>5883</v>
      </c>
      <c r="F720" s="69" t="s">
        <v>79</v>
      </c>
      <c r="I720" s="2"/>
      <c r="K720" s="82">
        <v>0.64500000000000002</v>
      </c>
      <c r="M720" s="80"/>
    </row>
    <row r="721" spans="1:27" x14ac:dyDescent="0.2">
      <c r="A721" s="523">
        <v>42833</v>
      </c>
      <c r="B721" s="80" t="s">
        <v>2478</v>
      </c>
      <c r="C721" s="334" t="s">
        <v>4439</v>
      </c>
      <c r="D721" s="1">
        <v>1.6030092592592592E-2</v>
      </c>
      <c r="E721" s="80" t="s">
        <v>5883</v>
      </c>
      <c r="F721" s="69" t="s">
        <v>5371</v>
      </c>
      <c r="I721" s="2"/>
      <c r="K721" s="82">
        <v>0.64400000000000002</v>
      </c>
      <c r="M721" s="80"/>
    </row>
    <row r="722" spans="1:27" x14ac:dyDescent="0.2">
      <c r="A722" s="523">
        <v>42826</v>
      </c>
      <c r="B722" s="80" t="s">
        <v>2478</v>
      </c>
      <c r="C722" s="334" t="s">
        <v>4439</v>
      </c>
      <c r="D722" s="1">
        <v>1.621527777777778E-2</v>
      </c>
      <c r="E722" s="80" t="s">
        <v>5883</v>
      </c>
      <c r="F722" s="69" t="s">
        <v>7700</v>
      </c>
      <c r="I722" s="2"/>
      <c r="K722" s="82">
        <v>0.63670000000000004</v>
      </c>
      <c r="M722" s="80"/>
    </row>
    <row r="723" spans="1:27" x14ac:dyDescent="0.2">
      <c r="A723" s="523">
        <v>42812</v>
      </c>
      <c r="B723" s="80" t="s">
        <v>2478</v>
      </c>
      <c r="C723" s="334" t="s">
        <v>4439</v>
      </c>
      <c r="D723" s="1">
        <v>1.6516203703703703E-2</v>
      </c>
      <c r="E723" s="80" t="s">
        <v>5883</v>
      </c>
      <c r="F723" s="69" t="s">
        <v>3244</v>
      </c>
      <c r="I723" s="2"/>
      <c r="K723" s="82">
        <v>0.62509999999999999</v>
      </c>
      <c r="M723" s="80"/>
    </row>
    <row r="724" spans="1:27" ht="12.75" customHeight="1" x14ac:dyDescent="0.2">
      <c r="A724" s="33">
        <v>42805</v>
      </c>
      <c r="B724" s="80" t="s">
        <v>2478</v>
      </c>
      <c r="C724" s="334" t="s">
        <v>4439</v>
      </c>
      <c r="D724" s="1">
        <v>1.6458333333333332E-2</v>
      </c>
      <c r="E724" s="80" t="s">
        <v>5883</v>
      </c>
      <c r="F724" s="69" t="s">
        <v>4918</v>
      </c>
      <c r="I724" s="2"/>
      <c r="K724" s="82">
        <v>0.62729999999999997</v>
      </c>
      <c r="M724" s="80"/>
    </row>
    <row r="725" spans="1:27" ht="12.75" customHeight="1" x14ac:dyDescent="0.2">
      <c r="A725" s="523">
        <v>42798</v>
      </c>
      <c r="B725" t="s">
        <v>2478</v>
      </c>
      <c r="C725" s="334" t="s">
        <v>4439</v>
      </c>
      <c r="D725" s="1">
        <v>1.7048611111111112E-2</v>
      </c>
      <c r="E725" s="80" t="s">
        <v>5883</v>
      </c>
      <c r="F725" s="69" t="s">
        <v>5172</v>
      </c>
      <c r="I725" s="2"/>
      <c r="K725" s="82">
        <v>0.60560000000000003</v>
      </c>
      <c r="M725" s="80"/>
    </row>
    <row r="726" spans="1:27" ht="12.75" customHeight="1" x14ac:dyDescent="0.2">
      <c r="A726" s="33">
        <v>42770</v>
      </c>
      <c r="B726" s="80" t="s">
        <v>2478</v>
      </c>
      <c r="C726" s="334" t="s">
        <v>4439</v>
      </c>
      <c r="D726" s="1">
        <v>1.7187499999999998E-2</v>
      </c>
      <c r="E726" s="80" t="s">
        <v>5883</v>
      </c>
      <c r="F726" s="69" t="s">
        <v>6344</v>
      </c>
      <c r="I726" s="2"/>
      <c r="K726" s="82">
        <v>0.60070000000000001</v>
      </c>
      <c r="M726" s="80"/>
    </row>
    <row r="727" spans="1:27" ht="12.75" customHeight="1" x14ac:dyDescent="0.2">
      <c r="A727" s="523">
        <v>42749</v>
      </c>
      <c r="B727" s="80" t="s">
        <v>2478</v>
      </c>
      <c r="C727" s="334" t="s">
        <v>4439</v>
      </c>
      <c r="D727" s="1">
        <v>1.7777777777777778E-2</v>
      </c>
      <c r="E727" s="80" t="s">
        <v>129</v>
      </c>
      <c r="F727" s="69" t="s">
        <v>6299</v>
      </c>
      <c r="I727" s="2"/>
      <c r="K727" s="82">
        <v>0.58069999999999999</v>
      </c>
      <c r="M727" s="80"/>
    </row>
    <row r="728" spans="1:27" ht="12.75" customHeight="1" x14ac:dyDescent="0.2">
      <c r="A728" s="33">
        <v>42742</v>
      </c>
      <c r="B728" s="80" t="s">
        <v>2478</v>
      </c>
      <c r="C728" s="334" t="s">
        <v>4439</v>
      </c>
      <c r="D728" s="1">
        <v>1.8738425925925926E-2</v>
      </c>
      <c r="E728" s="80" t="s">
        <v>5883</v>
      </c>
      <c r="F728" s="69" t="s">
        <v>2121</v>
      </c>
      <c r="I728" s="2"/>
      <c r="K728" s="82">
        <v>0.55100000000000005</v>
      </c>
      <c r="M728" s="80"/>
    </row>
    <row r="729" spans="1:27" ht="12.75" customHeight="1" x14ac:dyDescent="0.2">
      <c r="A729" s="523">
        <v>42777</v>
      </c>
      <c r="B729" s="80" t="s">
        <v>2478</v>
      </c>
      <c r="C729" s="334" t="s">
        <v>6401</v>
      </c>
      <c r="D729" s="1">
        <v>1.6782407407407409E-2</v>
      </c>
      <c r="E729" s="80" t="s">
        <v>5883</v>
      </c>
      <c r="F729" s="69" t="s">
        <v>4266</v>
      </c>
      <c r="I729" s="2"/>
      <c r="K729" s="82">
        <v>0.61519999999999997</v>
      </c>
    </row>
    <row r="730" spans="1:27" ht="12.75" customHeight="1" x14ac:dyDescent="0.2">
      <c r="A730" s="523">
        <v>43099</v>
      </c>
      <c r="B730" s="80" t="s">
        <v>1589</v>
      </c>
      <c r="C730" s="334" t="s">
        <v>1590</v>
      </c>
      <c r="D730" s="334" t="s">
        <v>787</v>
      </c>
      <c r="E730" s="80" t="s">
        <v>1719</v>
      </c>
      <c r="F730" s="69" t="s">
        <v>4185</v>
      </c>
      <c r="I730" s="2"/>
      <c r="K730" s="82"/>
    </row>
    <row r="731" spans="1:27" x14ac:dyDescent="0.2">
      <c r="A731" s="523">
        <v>43092</v>
      </c>
      <c r="B731" s="568" t="s">
        <v>1589</v>
      </c>
      <c r="C731" s="861" t="s">
        <v>1590</v>
      </c>
      <c r="D731" s="1">
        <v>2.2372685185185186E-2</v>
      </c>
      <c r="E731" s="80" t="s">
        <v>1719</v>
      </c>
      <c r="F731" s="69" t="s">
        <v>8956</v>
      </c>
      <c r="I731" s="2"/>
      <c r="K731" s="82">
        <v>0.53539999999999999</v>
      </c>
    </row>
    <row r="732" spans="1:27" ht="12.75" customHeight="1" x14ac:dyDescent="0.2">
      <c r="A732" s="523">
        <v>43071</v>
      </c>
      <c r="B732" s="556" t="s">
        <v>1589</v>
      </c>
      <c r="C732" s="950" t="s">
        <v>1590</v>
      </c>
      <c r="D732" s="1">
        <v>1.8761574074074073E-2</v>
      </c>
      <c r="E732" s="80" t="s">
        <v>6393</v>
      </c>
      <c r="F732" s="69" t="s">
        <v>8862</v>
      </c>
      <c r="I732" s="2"/>
      <c r="K732" s="82">
        <v>0.63849999999999996</v>
      </c>
      <c r="M732" s="45">
        <v>900</v>
      </c>
    </row>
    <row r="733" spans="1:27" ht="12.75" customHeight="1" x14ac:dyDescent="0.2">
      <c r="A733" s="523">
        <v>43064</v>
      </c>
      <c r="B733" s="869" t="s">
        <v>1589</v>
      </c>
      <c r="C733" s="903" t="s">
        <v>1590</v>
      </c>
      <c r="D733" s="1" t="s">
        <v>787</v>
      </c>
      <c r="E733" s="80" t="s">
        <v>1719</v>
      </c>
      <c r="F733" s="69" t="s">
        <v>4185</v>
      </c>
      <c r="I733" s="2"/>
      <c r="K733" s="82"/>
    </row>
    <row r="734" spans="1:27" ht="12.75" customHeight="1" x14ac:dyDescent="0.2">
      <c r="A734" s="523">
        <v>43057</v>
      </c>
      <c r="B734" s="940" t="s">
        <v>1589</v>
      </c>
      <c r="C734" s="941" t="s">
        <v>1590</v>
      </c>
      <c r="D734" s="1">
        <v>1.8645833333333334E-2</v>
      </c>
      <c r="E734" s="80" t="s">
        <v>1719</v>
      </c>
      <c r="F734" s="69" t="s">
        <v>1520</v>
      </c>
      <c r="I734" s="2"/>
      <c r="K734" s="82">
        <v>0.64249999999999996</v>
      </c>
      <c r="AA734" s="41"/>
    </row>
    <row r="735" spans="1:27" ht="12.75" customHeight="1" x14ac:dyDescent="0.2">
      <c r="A735" s="523">
        <v>43050</v>
      </c>
      <c r="B735" s="532" t="s">
        <v>1589</v>
      </c>
      <c r="C735" s="843" t="s">
        <v>1590</v>
      </c>
      <c r="D735" s="1" t="s">
        <v>787</v>
      </c>
      <c r="E735" s="80" t="s">
        <v>1719</v>
      </c>
      <c r="F735" s="69" t="s">
        <v>5508</v>
      </c>
      <c r="I735" s="2"/>
      <c r="K735" s="82"/>
    </row>
    <row r="736" spans="1:27" ht="12.75" customHeight="1" x14ac:dyDescent="0.2">
      <c r="A736" s="523">
        <v>43043</v>
      </c>
      <c r="B736" s="936" t="s">
        <v>1589</v>
      </c>
      <c r="C736" s="937" t="s">
        <v>1590</v>
      </c>
      <c r="D736" s="1">
        <v>1.8564814814814815E-2</v>
      </c>
      <c r="E736" s="80" t="s">
        <v>1719</v>
      </c>
      <c r="F736" s="69" t="s">
        <v>4388</v>
      </c>
      <c r="I736" s="2"/>
      <c r="K736" s="82">
        <v>0.64529999999999998</v>
      </c>
    </row>
    <row r="737" spans="1:13" ht="12.75" customHeight="1" x14ac:dyDescent="0.2">
      <c r="A737" s="33">
        <v>43036</v>
      </c>
      <c r="B737" s="934" t="s">
        <v>1589</v>
      </c>
      <c r="C737" s="935" t="s">
        <v>1590</v>
      </c>
      <c r="D737" s="80" t="s">
        <v>787</v>
      </c>
      <c r="E737" s="80" t="s">
        <v>1719</v>
      </c>
      <c r="F737" s="69" t="s">
        <v>5508</v>
      </c>
      <c r="G737" s="5"/>
      <c r="I737" s="2"/>
      <c r="K737" s="82"/>
    </row>
    <row r="738" spans="1:13" x14ac:dyDescent="0.2">
      <c r="A738" s="523">
        <v>43022</v>
      </c>
      <c r="B738" s="930" t="s">
        <v>1589</v>
      </c>
      <c r="C738" s="931" t="s">
        <v>1590</v>
      </c>
      <c r="D738" s="1" t="s">
        <v>787</v>
      </c>
      <c r="E738" s="80" t="s">
        <v>1719</v>
      </c>
      <c r="F738" s="69" t="s">
        <v>4854</v>
      </c>
      <c r="I738" s="2"/>
      <c r="K738" s="82"/>
    </row>
    <row r="739" spans="1:13" x14ac:dyDescent="0.2">
      <c r="A739" s="523">
        <v>43008</v>
      </c>
      <c r="B739" s="532" t="s">
        <v>1589</v>
      </c>
      <c r="C739" s="843" t="s">
        <v>1590</v>
      </c>
      <c r="D739" s="1">
        <v>1.8622685185185183E-2</v>
      </c>
      <c r="E739" s="80" t="s">
        <v>1719</v>
      </c>
      <c r="F739" s="69" t="s">
        <v>3278</v>
      </c>
      <c r="I739" s="2"/>
      <c r="K739" s="82">
        <v>0.64329999999999998</v>
      </c>
    </row>
    <row r="740" spans="1:13" x14ac:dyDescent="0.2">
      <c r="A740" s="523">
        <v>43001</v>
      </c>
      <c r="B740" s="906" t="s">
        <v>1589</v>
      </c>
      <c r="C740" s="907" t="s">
        <v>1590</v>
      </c>
      <c r="D740" s="334" t="s">
        <v>787</v>
      </c>
      <c r="E740" s="80" t="s">
        <v>1719</v>
      </c>
      <c r="F740" s="69" t="s">
        <v>4185</v>
      </c>
      <c r="I740" s="2"/>
      <c r="K740" s="82"/>
    </row>
    <row r="741" spans="1:13" x14ac:dyDescent="0.2">
      <c r="A741" s="523">
        <v>42994</v>
      </c>
      <c r="B741" s="869" t="s">
        <v>1589</v>
      </c>
      <c r="C741" s="903" t="s">
        <v>1590</v>
      </c>
      <c r="D741" s="1">
        <v>1.8229166666666668E-2</v>
      </c>
      <c r="E741" s="80" t="s">
        <v>1719</v>
      </c>
      <c r="F741" s="69" t="s">
        <v>8527</v>
      </c>
      <c r="I741" s="2"/>
      <c r="K741" s="82">
        <v>0.65710000000000002</v>
      </c>
    </row>
    <row r="742" spans="1:13" x14ac:dyDescent="0.2">
      <c r="A742" s="523">
        <v>42980</v>
      </c>
      <c r="B742" s="837" t="s">
        <v>1589</v>
      </c>
      <c r="C742" s="842" t="s">
        <v>1590</v>
      </c>
      <c r="D742" s="1">
        <v>1.8194444444444444E-2</v>
      </c>
      <c r="E742" s="80" t="s">
        <v>6393</v>
      </c>
      <c r="F742" s="69" t="s">
        <v>8444</v>
      </c>
      <c r="I742" s="2"/>
      <c r="K742" s="82">
        <v>0.65839999999999999</v>
      </c>
    </row>
    <row r="743" spans="1:13" x14ac:dyDescent="0.2">
      <c r="A743" s="523">
        <v>42973</v>
      </c>
      <c r="B743" s="862" t="s">
        <v>1589</v>
      </c>
      <c r="C743" s="863" t="s">
        <v>1590</v>
      </c>
      <c r="D743" s="1" t="s">
        <v>787</v>
      </c>
      <c r="E743" s="80" t="s">
        <v>1719</v>
      </c>
      <c r="F743" s="69" t="s">
        <v>4185</v>
      </c>
      <c r="I743" s="2"/>
      <c r="K743" s="82"/>
      <c r="M743" s="80"/>
    </row>
    <row r="744" spans="1:13" x14ac:dyDescent="0.2">
      <c r="A744" s="523">
        <v>42966</v>
      </c>
      <c r="B744" s="879" t="s">
        <v>1589</v>
      </c>
      <c r="C744" s="880" t="s">
        <v>1590</v>
      </c>
      <c r="D744" s="1">
        <v>1.9317129629629629E-2</v>
      </c>
      <c r="E744" s="80" t="s">
        <v>1719</v>
      </c>
      <c r="F744" s="69" t="s">
        <v>8390</v>
      </c>
      <c r="I744" s="2"/>
      <c r="K744" s="82">
        <v>0.62009999999999998</v>
      </c>
    </row>
    <row r="745" spans="1:13" x14ac:dyDescent="0.2">
      <c r="A745" s="523">
        <v>42959</v>
      </c>
      <c r="B745" s="866" t="s">
        <v>1589</v>
      </c>
      <c r="C745" s="867" t="s">
        <v>1590</v>
      </c>
      <c r="D745" s="1">
        <v>1.9328703703703702E-2</v>
      </c>
      <c r="E745" s="80" t="s">
        <v>6393</v>
      </c>
      <c r="F745" s="69" t="s">
        <v>8354</v>
      </c>
      <c r="I745" s="2"/>
      <c r="K745" s="82">
        <v>0.61980000000000002</v>
      </c>
      <c r="M745" s="80"/>
    </row>
    <row r="746" spans="1:13" x14ac:dyDescent="0.2">
      <c r="A746" s="523">
        <v>42945</v>
      </c>
      <c r="B746" s="568" t="s">
        <v>1589</v>
      </c>
      <c r="C746" s="861" t="s">
        <v>1590</v>
      </c>
      <c r="D746" s="334" t="s">
        <v>787</v>
      </c>
      <c r="E746" s="80" t="s">
        <v>1719</v>
      </c>
      <c r="F746" s="69" t="s">
        <v>4185</v>
      </c>
      <c r="I746" s="2"/>
      <c r="K746" s="82"/>
    </row>
    <row r="747" spans="1:13" x14ac:dyDescent="0.2">
      <c r="A747" s="523">
        <v>42938</v>
      </c>
      <c r="B747" s="532" t="s">
        <v>1589</v>
      </c>
      <c r="C747" s="843" t="s">
        <v>1590</v>
      </c>
      <c r="D747" s="1">
        <v>1.7939814814814815E-2</v>
      </c>
      <c r="E747" s="80" t="s">
        <v>6393</v>
      </c>
      <c r="F747" s="69" t="s">
        <v>8227</v>
      </c>
      <c r="I747" s="2"/>
      <c r="K747" s="82">
        <v>0.66769999999999996</v>
      </c>
      <c r="M747" s="80"/>
    </row>
    <row r="748" spans="1:13" x14ac:dyDescent="0.2">
      <c r="A748" s="523">
        <v>42931</v>
      </c>
      <c r="B748" s="80" t="s">
        <v>1589</v>
      </c>
      <c r="C748" s="334" t="s">
        <v>1590</v>
      </c>
      <c r="D748" s="1" t="s">
        <v>787</v>
      </c>
      <c r="E748" s="80" t="s">
        <v>1719</v>
      </c>
      <c r="F748" s="69" t="s">
        <v>4185</v>
      </c>
      <c r="I748" s="2"/>
      <c r="K748" s="82"/>
      <c r="M748" s="80"/>
    </row>
    <row r="749" spans="1:13" ht="14.25" customHeight="1" x14ac:dyDescent="0.2">
      <c r="A749" s="34">
        <v>42924</v>
      </c>
      <c r="B749" s="80" t="s">
        <v>1589</v>
      </c>
      <c r="C749" s="334" t="s">
        <v>1590</v>
      </c>
      <c r="D749" s="1">
        <v>1.8275462962962962E-2</v>
      </c>
      <c r="E749" s="80" t="s">
        <v>1719</v>
      </c>
      <c r="F749" s="69" t="s">
        <v>5993</v>
      </c>
      <c r="I749" s="2"/>
      <c r="K749" s="82">
        <v>0.65549999999999997</v>
      </c>
      <c r="M749" s="80"/>
    </row>
    <row r="750" spans="1:13" ht="14.25" customHeight="1" x14ac:dyDescent="0.2">
      <c r="A750" s="523">
        <v>42917</v>
      </c>
      <c r="B750" s="80" t="s">
        <v>1589</v>
      </c>
      <c r="C750" s="334" t="s">
        <v>1590</v>
      </c>
      <c r="D750" s="1">
        <v>1.8564814814814815E-2</v>
      </c>
      <c r="E750" s="80" t="s">
        <v>6393</v>
      </c>
      <c r="F750" s="69" t="s">
        <v>8122</v>
      </c>
      <c r="I750" s="2"/>
      <c r="K750" s="82">
        <v>0.64529999999999998</v>
      </c>
      <c r="M750" s="80"/>
    </row>
    <row r="751" spans="1:13" ht="14.25" customHeight="1" x14ac:dyDescent="0.2">
      <c r="A751" s="523">
        <v>42910</v>
      </c>
      <c r="B751" s="80" t="s">
        <v>1589</v>
      </c>
      <c r="C751" s="334" t="s">
        <v>1590</v>
      </c>
      <c r="D751" s="334" t="s">
        <v>787</v>
      </c>
      <c r="E751" s="80" t="s">
        <v>1719</v>
      </c>
      <c r="F751" s="69" t="s">
        <v>3710</v>
      </c>
      <c r="I751" s="2"/>
      <c r="K751" s="82"/>
    </row>
    <row r="752" spans="1:13" ht="14.25" customHeight="1" x14ac:dyDescent="0.2">
      <c r="A752" s="523">
        <v>42903</v>
      </c>
      <c r="B752" s="80" t="s">
        <v>1589</v>
      </c>
      <c r="C752" s="334" t="s">
        <v>1590</v>
      </c>
      <c r="D752" s="1">
        <v>1.8460648148148146E-2</v>
      </c>
      <c r="E752" s="80" t="s">
        <v>1719</v>
      </c>
      <c r="F752" s="69" t="s">
        <v>8059</v>
      </c>
      <c r="I752" s="2"/>
      <c r="K752" s="82">
        <v>0.64890000000000003</v>
      </c>
      <c r="M752" s="80"/>
    </row>
    <row r="753" spans="1:16" ht="14.25" customHeight="1" x14ac:dyDescent="0.2">
      <c r="A753" s="523">
        <v>42896</v>
      </c>
      <c r="B753" s="80" t="s">
        <v>1589</v>
      </c>
      <c r="C753" s="334" t="s">
        <v>1590</v>
      </c>
      <c r="D753" s="1">
        <v>1.834490740740741E-2</v>
      </c>
      <c r="E753" s="80" t="s">
        <v>1719</v>
      </c>
      <c r="F753" s="69" t="s">
        <v>8022</v>
      </c>
      <c r="I753" s="2"/>
      <c r="K753" s="82">
        <v>0.65300000000000002</v>
      </c>
      <c r="M753" s="80"/>
    </row>
    <row r="754" spans="1:16" ht="14.25" customHeight="1" x14ac:dyDescent="0.2">
      <c r="A754" s="523">
        <v>42889</v>
      </c>
      <c r="B754" s="80" t="s">
        <v>1589</v>
      </c>
      <c r="C754" s="334" t="s">
        <v>1590</v>
      </c>
      <c r="D754" s="1">
        <v>1.8020833333333333E-2</v>
      </c>
      <c r="E754" s="80" t="s">
        <v>1719</v>
      </c>
      <c r="F754" s="69" t="s">
        <v>7979</v>
      </c>
      <c r="I754" s="2"/>
      <c r="K754" s="82">
        <v>0.66469999999999996</v>
      </c>
      <c r="M754" s="80"/>
    </row>
    <row r="755" spans="1:16" ht="14.25" customHeight="1" x14ac:dyDescent="0.2">
      <c r="A755" s="523">
        <v>42882</v>
      </c>
      <c r="B755" s="80" t="s">
        <v>1589</v>
      </c>
      <c r="C755" s="334" t="s">
        <v>1590</v>
      </c>
      <c r="D755" s="1" t="s">
        <v>7946</v>
      </c>
      <c r="E755" s="80" t="s">
        <v>1719</v>
      </c>
      <c r="F755" s="69" t="s">
        <v>4185</v>
      </c>
      <c r="I755" s="2"/>
      <c r="K755" s="82"/>
    </row>
    <row r="756" spans="1:16" ht="14.25" customHeight="1" x14ac:dyDescent="0.2">
      <c r="A756" s="523">
        <v>42868</v>
      </c>
      <c r="B756" s="80" t="s">
        <v>1589</v>
      </c>
      <c r="C756" s="334" t="s">
        <v>1590</v>
      </c>
      <c r="D756" s="1">
        <v>1.7893518518518517E-2</v>
      </c>
      <c r="E756" s="80" t="s">
        <v>1719</v>
      </c>
      <c r="F756" s="69" t="s">
        <v>7878</v>
      </c>
      <c r="I756" s="2"/>
      <c r="K756" s="82">
        <v>0.66949999999999998</v>
      </c>
    </row>
    <row r="757" spans="1:16" ht="14.25" customHeight="1" x14ac:dyDescent="0.2">
      <c r="A757" s="523">
        <v>42861</v>
      </c>
      <c r="B757" s="80" t="s">
        <v>1589</v>
      </c>
      <c r="C757" s="334" t="s">
        <v>1590</v>
      </c>
      <c r="D757" s="1">
        <v>1.9872685185185184E-2</v>
      </c>
      <c r="E757" s="80" t="s">
        <v>1719</v>
      </c>
      <c r="F757" s="69" t="s">
        <v>2660</v>
      </c>
      <c r="I757" s="2"/>
      <c r="K757" s="82">
        <v>0.64810000000000001</v>
      </c>
      <c r="M757" s="80"/>
    </row>
    <row r="758" spans="1:16" ht="14.25" customHeight="1" x14ac:dyDescent="0.2">
      <c r="A758" s="523">
        <v>42854</v>
      </c>
      <c r="B758" s="80" t="s">
        <v>1589</v>
      </c>
      <c r="C758" s="334" t="s">
        <v>1590</v>
      </c>
      <c r="D758" s="334" t="s">
        <v>787</v>
      </c>
      <c r="E758" s="80" t="s">
        <v>1719</v>
      </c>
      <c r="F758" s="69" t="s">
        <v>4854</v>
      </c>
      <c r="I758" s="2"/>
      <c r="K758" s="82"/>
      <c r="M758" s="80"/>
    </row>
    <row r="759" spans="1:16" ht="14.25" customHeight="1" x14ac:dyDescent="0.2">
      <c r="A759" s="523">
        <v>42847</v>
      </c>
      <c r="B759" s="80" t="s">
        <v>1589</v>
      </c>
      <c r="C759" s="334" t="s">
        <v>1590</v>
      </c>
      <c r="D759" s="334" t="s">
        <v>787</v>
      </c>
      <c r="E759" s="80" t="s">
        <v>1719</v>
      </c>
      <c r="F759" s="69" t="s">
        <v>4185</v>
      </c>
      <c r="I759" s="2"/>
      <c r="K759" s="82"/>
    </row>
    <row r="760" spans="1:16" ht="14.25" customHeight="1" x14ac:dyDescent="0.2">
      <c r="A760" s="523">
        <v>42840</v>
      </c>
      <c r="B760" s="80" t="s">
        <v>1589</v>
      </c>
      <c r="C760" s="334" t="s">
        <v>1590</v>
      </c>
      <c r="D760" s="1">
        <v>1.8576388888888889E-2</v>
      </c>
      <c r="E760" t="s">
        <v>1719</v>
      </c>
      <c r="F760" s="69" t="s">
        <v>7763</v>
      </c>
      <c r="I760" s="2"/>
      <c r="K760" s="82">
        <v>0.64490000000000003</v>
      </c>
      <c r="M760" s="80"/>
    </row>
    <row r="761" spans="1:16" ht="14.25" customHeight="1" x14ac:dyDescent="0.2">
      <c r="A761" s="33">
        <v>42833</v>
      </c>
      <c r="B761" s="80" t="s">
        <v>1589</v>
      </c>
      <c r="C761" s="334" t="s">
        <v>1590</v>
      </c>
      <c r="D761" s="80" t="s">
        <v>787</v>
      </c>
      <c r="E761" s="80" t="s">
        <v>1719</v>
      </c>
      <c r="F761" s="69" t="s">
        <v>4185</v>
      </c>
      <c r="G761" s="5"/>
      <c r="I761" s="2"/>
      <c r="K761" s="82"/>
    </row>
    <row r="762" spans="1:16" ht="14.25" customHeight="1" x14ac:dyDescent="0.2">
      <c r="A762" s="33">
        <v>42826</v>
      </c>
      <c r="B762" s="80" t="s">
        <v>1589</v>
      </c>
      <c r="C762" s="334" t="s">
        <v>1590</v>
      </c>
      <c r="D762" s="80" t="s">
        <v>787</v>
      </c>
      <c r="E762" s="80" t="s">
        <v>1719</v>
      </c>
      <c r="F762" s="69" t="s">
        <v>5508</v>
      </c>
      <c r="G762" s="5"/>
      <c r="H762" s="2"/>
      <c r="I762" s="2"/>
      <c r="K762" s="82"/>
    </row>
    <row r="763" spans="1:16" ht="14.25" customHeight="1" x14ac:dyDescent="0.2">
      <c r="A763" s="523">
        <v>42812</v>
      </c>
      <c r="B763" s="80" t="s">
        <v>1589</v>
      </c>
      <c r="C763" s="334" t="s">
        <v>1590</v>
      </c>
      <c r="D763" s="334">
        <v>1.7731481481481483E-2</v>
      </c>
      <c r="E763" s="80" t="s">
        <v>1719</v>
      </c>
      <c r="F763" s="69" t="s">
        <v>5623</v>
      </c>
      <c r="I763" s="2"/>
      <c r="K763" s="82">
        <v>0.66910000000000003</v>
      </c>
      <c r="M763" s="80"/>
    </row>
    <row r="764" spans="1:16" ht="14.25" customHeight="1" x14ac:dyDescent="0.2">
      <c r="A764" s="33">
        <v>42805</v>
      </c>
      <c r="B764" s="80" t="s">
        <v>1589</v>
      </c>
      <c r="C764" s="334" t="s">
        <v>1590</v>
      </c>
      <c r="D764" s="1">
        <v>1.7974537037037035E-2</v>
      </c>
      <c r="E764" s="80" t="s">
        <v>1719</v>
      </c>
      <c r="F764" s="69" t="s">
        <v>7623</v>
      </c>
      <c r="I764" s="2"/>
      <c r="K764" s="82">
        <v>0.66</v>
      </c>
      <c r="M764" s="80"/>
      <c r="P764" s="80"/>
    </row>
    <row r="765" spans="1:16" ht="14.25" customHeight="1" x14ac:dyDescent="0.2">
      <c r="A765" s="523">
        <v>42798</v>
      </c>
      <c r="B765" s="80" t="s">
        <v>1589</v>
      </c>
      <c r="C765" s="334" t="s">
        <v>1590</v>
      </c>
      <c r="D765" s="334" t="s">
        <v>787</v>
      </c>
      <c r="E765" s="80" t="s">
        <v>1719</v>
      </c>
      <c r="F765" s="69" t="s">
        <v>4185</v>
      </c>
      <c r="I765" s="2"/>
      <c r="K765" s="82"/>
      <c r="M765" s="80"/>
    </row>
    <row r="766" spans="1:16" ht="14.25" customHeight="1" x14ac:dyDescent="0.2">
      <c r="A766" s="523">
        <v>42791</v>
      </c>
      <c r="B766" s="80" t="s">
        <v>1589</v>
      </c>
      <c r="C766" s="334" t="s">
        <v>1590</v>
      </c>
      <c r="D766" s="1">
        <v>1.8472222222222223E-2</v>
      </c>
      <c r="E766" s="80" t="s">
        <v>1719</v>
      </c>
      <c r="F766" s="69" t="s">
        <v>7563</v>
      </c>
      <c r="I766" s="2"/>
      <c r="K766" s="82">
        <v>0.64219999999999999</v>
      </c>
      <c r="M766" s="80"/>
    </row>
    <row r="767" spans="1:16" ht="14.25" customHeight="1" x14ac:dyDescent="0.2">
      <c r="A767" s="523">
        <v>42784</v>
      </c>
      <c r="B767" s="80" t="s">
        <v>1589</v>
      </c>
      <c r="C767" s="334" t="s">
        <v>1590</v>
      </c>
      <c r="D767" s="1">
        <v>1.8101851851851852E-2</v>
      </c>
      <c r="E767" s="80" t="s">
        <v>1719</v>
      </c>
      <c r="F767" s="69" t="s">
        <v>2506</v>
      </c>
      <c r="I767" s="2"/>
      <c r="K767" s="82">
        <v>0.65539999999999998</v>
      </c>
      <c r="M767" s="80"/>
    </row>
    <row r="768" spans="1:16" ht="14.25" customHeight="1" x14ac:dyDescent="0.2">
      <c r="A768" s="523">
        <v>42777</v>
      </c>
      <c r="B768" s="80" t="s">
        <v>1589</v>
      </c>
      <c r="C768" s="334" t="s">
        <v>1590</v>
      </c>
      <c r="D768" s="1">
        <v>1.8298611111111113E-2</v>
      </c>
      <c r="E768" s="80" t="s">
        <v>1719</v>
      </c>
      <c r="F768" s="69" t="s">
        <v>2607</v>
      </c>
      <c r="I768" s="2"/>
      <c r="K768" s="82">
        <v>0.64829999999999999</v>
      </c>
      <c r="M768" s="80" t="s">
        <v>8671</v>
      </c>
    </row>
    <row r="769" spans="1:13" ht="14.25" customHeight="1" x14ac:dyDescent="0.2">
      <c r="A769" s="33">
        <v>42770</v>
      </c>
      <c r="B769" s="80" t="s">
        <v>1589</v>
      </c>
      <c r="C769" s="334" t="s">
        <v>1590</v>
      </c>
      <c r="D769" s="1">
        <v>1.7916666666666668E-2</v>
      </c>
      <c r="E769" s="80" t="s">
        <v>1719</v>
      </c>
      <c r="F769" s="69" t="s">
        <v>343</v>
      </c>
      <c r="I769" s="2"/>
      <c r="K769" s="82">
        <v>0.66210000000000002</v>
      </c>
      <c r="M769" s="80"/>
    </row>
    <row r="770" spans="1:13" ht="14.25" customHeight="1" x14ac:dyDescent="0.2">
      <c r="A770" s="33">
        <v>42763</v>
      </c>
      <c r="B770" s="80" t="s">
        <v>1589</v>
      </c>
      <c r="C770" s="334" t="s">
        <v>1590</v>
      </c>
      <c r="D770" s="1">
        <v>3.0613425925925929E-2</v>
      </c>
      <c r="E770" s="80" t="s">
        <v>1719</v>
      </c>
      <c r="F770" s="69" t="s">
        <v>5747</v>
      </c>
      <c r="I770" s="2"/>
      <c r="K770" s="82">
        <v>0.38750000000000001</v>
      </c>
      <c r="M770" s="80"/>
    </row>
    <row r="771" spans="1:13" ht="14.25" customHeight="1" x14ac:dyDescent="0.2">
      <c r="A771" s="33">
        <v>42756</v>
      </c>
      <c r="B771" s="80" t="s">
        <v>1589</v>
      </c>
      <c r="C771" s="334" t="s">
        <v>1590</v>
      </c>
      <c r="D771" s="1">
        <v>1.7743055555555557E-2</v>
      </c>
      <c r="E771" s="80" t="s">
        <v>1719</v>
      </c>
      <c r="F771" s="69" t="s">
        <v>6355</v>
      </c>
      <c r="I771" s="2"/>
      <c r="K771" s="82">
        <v>0.66859999999999997</v>
      </c>
      <c r="M771" s="80"/>
    </row>
    <row r="772" spans="1:13" ht="14.25" customHeight="1" x14ac:dyDescent="0.2">
      <c r="A772" s="523">
        <v>42749</v>
      </c>
      <c r="B772" s="80" t="s">
        <v>1589</v>
      </c>
      <c r="C772" s="334" t="s">
        <v>1590</v>
      </c>
      <c r="D772" s="1">
        <v>1.7546296296296296E-2</v>
      </c>
      <c r="E772" s="80" t="s">
        <v>1719</v>
      </c>
      <c r="F772" s="69" t="s">
        <v>346</v>
      </c>
      <c r="I772" s="2"/>
      <c r="K772" s="82">
        <v>0.67610000000000003</v>
      </c>
      <c r="M772" s="80"/>
    </row>
    <row r="773" spans="1:13" ht="14.25" customHeight="1" x14ac:dyDescent="0.2">
      <c r="A773" s="33">
        <v>42742</v>
      </c>
      <c r="B773" s="80" t="s">
        <v>1589</v>
      </c>
      <c r="C773" s="334" t="s">
        <v>1590</v>
      </c>
      <c r="D773" s="334" t="s">
        <v>787</v>
      </c>
      <c r="E773" s="80" t="s">
        <v>1719</v>
      </c>
      <c r="F773" s="69" t="s">
        <v>4155</v>
      </c>
      <c r="I773" s="2"/>
      <c r="K773" s="82"/>
      <c r="M773" s="80"/>
    </row>
    <row r="774" spans="1:13" ht="14.25" customHeight="1" x14ac:dyDescent="0.2">
      <c r="A774" s="523">
        <v>42736</v>
      </c>
      <c r="B774" s="80" t="s">
        <v>1589</v>
      </c>
      <c r="C774" s="334" t="s">
        <v>1590</v>
      </c>
      <c r="D774" s="1">
        <v>2.0011574074074074E-2</v>
      </c>
      <c r="E774" s="80" t="s">
        <v>1569</v>
      </c>
      <c r="F774" s="69" t="s">
        <v>6226</v>
      </c>
      <c r="I774" s="2"/>
      <c r="K774" s="82">
        <v>0.59279999999999999</v>
      </c>
      <c r="M774" s="80"/>
    </row>
    <row r="775" spans="1:13" ht="14.25" customHeight="1" x14ac:dyDescent="0.2">
      <c r="A775" s="523">
        <v>43099</v>
      </c>
      <c r="B775" s="80" t="s">
        <v>3542</v>
      </c>
      <c r="C775" s="334" t="s">
        <v>1590</v>
      </c>
      <c r="D775" s="1">
        <v>2.568287037037037E-2</v>
      </c>
      <c r="E775" s="80" t="s">
        <v>1719</v>
      </c>
      <c r="F775" s="69" t="s">
        <v>8995</v>
      </c>
      <c r="I775" s="2"/>
      <c r="K775" s="82">
        <v>0.59219999999999995</v>
      </c>
    </row>
    <row r="776" spans="1:13" ht="14.25" customHeight="1" x14ac:dyDescent="0.2">
      <c r="A776" s="523">
        <v>43092</v>
      </c>
      <c r="B776" s="568" t="s">
        <v>3542</v>
      </c>
      <c r="C776" s="861" t="s">
        <v>1590</v>
      </c>
      <c r="D776" s="334">
        <v>2.5451388888888888E-2</v>
      </c>
      <c r="E776" s="80" t="s">
        <v>1719</v>
      </c>
      <c r="F776" s="69" t="s">
        <v>3278</v>
      </c>
      <c r="I776" s="2"/>
      <c r="K776" s="82">
        <v>0.59750000000000003</v>
      </c>
    </row>
    <row r="777" spans="1:13" ht="14.25" customHeight="1" x14ac:dyDescent="0.2">
      <c r="A777" s="523">
        <v>43085</v>
      </c>
      <c r="B777" s="601" t="s">
        <v>3542</v>
      </c>
      <c r="C777" s="958" t="s">
        <v>1590</v>
      </c>
      <c r="D777" s="1">
        <v>2.5347222222222219E-2</v>
      </c>
      <c r="E777" s="80" t="s">
        <v>1719</v>
      </c>
      <c r="F777" s="69" t="s">
        <v>8940</v>
      </c>
      <c r="I777" s="2"/>
      <c r="K777" s="82">
        <v>0.59040000000000004</v>
      </c>
    </row>
    <row r="778" spans="1:13" ht="14.25" customHeight="1" x14ac:dyDescent="0.2">
      <c r="A778" s="523">
        <v>43078</v>
      </c>
      <c r="B778" s="879" t="s">
        <v>3542</v>
      </c>
      <c r="C778" s="880" t="s">
        <v>1590</v>
      </c>
      <c r="D778" s="1">
        <v>2.5428240740740741E-2</v>
      </c>
      <c r="E778" s="80" t="s">
        <v>1719</v>
      </c>
      <c r="F778" s="69" t="s">
        <v>8917</v>
      </c>
      <c r="I778" s="2"/>
      <c r="K778" s="82">
        <v>0.58850000000000002</v>
      </c>
    </row>
    <row r="779" spans="1:13" ht="14.25" customHeight="1" x14ac:dyDescent="0.2">
      <c r="A779" s="523">
        <v>43071</v>
      </c>
      <c r="B779" s="951" t="s">
        <v>3542</v>
      </c>
      <c r="C779" s="952" t="s">
        <v>1590</v>
      </c>
      <c r="D779" s="1">
        <v>2.461805555555556E-2</v>
      </c>
      <c r="E779" s="80" t="s">
        <v>6393</v>
      </c>
      <c r="F779" s="69" t="s">
        <v>8863</v>
      </c>
      <c r="I779" s="2"/>
      <c r="K779" s="82">
        <v>0.6079</v>
      </c>
    </row>
    <row r="780" spans="1:13" ht="14.25" customHeight="1" x14ac:dyDescent="0.2">
      <c r="A780" s="523">
        <v>43064</v>
      </c>
      <c r="B780" s="869" t="s">
        <v>3542</v>
      </c>
      <c r="C780" s="903" t="s">
        <v>1590</v>
      </c>
      <c r="D780" s="1">
        <v>2.4895833333333336E-2</v>
      </c>
      <c r="E780" s="80" t="s">
        <v>1719</v>
      </c>
      <c r="F780" s="69" t="s">
        <v>8837</v>
      </c>
      <c r="I780" s="2"/>
      <c r="K780" s="82">
        <v>0.60109999999999997</v>
      </c>
    </row>
    <row r="781" spans="1:13" ht="14.25" customHeight="1" x14ac:dyDescent="0.2">
      <c r="A781" s="523">
        <v>43057</v>
      </c>
      <c r="B781" s="940" t="s">
        <v>3542</v>
      </c>
      <c r="C781" s="941" t="s">
        <v>1590</v>
      </c>
      <c r="D781" s="1">
        <v>2.4988425925925928E-2</v>
      </c>
      <c r="E781" s="80" t="s">
        <v>1719</v>
      </c>
      <c r="F781" s="69" t="s">
        <v>5920</v>
      </c>
      <c r="I781" s="2"/>
      <c r="K781" s="571">
        <v>0.59889999999999999</v>
      </c>
    </row>
    <row r="782" spans="1:13" ht="12" customHeight="1" x14ac:dyDescent="0.2">
      <c r="A782" s="523">
        <v>43050</v>
      </c>
      <c r="B782" s="532" t="s">
        <v>3542</v>
      </c>
      <c r="C782" s="843" t="s">
        <v>1590</v>
      </c>
      <c r="D782" s="1" t="s">
        <v>787</v>
      </c>
      <c r="E782" s="80" t="s">
        <v>1719</v>
      </c>
      <c r="F782" s="69" t="s">
        <v>3301</v>
      </c>
      <c r="I782" s="2"/>
      <c r="K782" s="82"/>
    </row>
    <row r="783" spans="1:13" ht="12.75" customHeight="1" x14ac:dyDescent="0.2">
      <c r="A783" s="523">
        <v>43043</v>
      </c>
      <c r="B783" s="938" t="s">
        <v>3542</v>
      </c>
      <c r="C783" s="939" t="s">
        <v>1590</v>
      </c>
      <c r="D783" s="1">
        <v>2.6527777777777779E-2</v>
      </c>
      <c r="E783" s="80" t="s">
        <v>1719</v>
      </c>
      <c r="F783" s="69" t="s">
        <v>5993</v>
      </c>
      <c r="I783" s="2"/>
      <c r="K783" s="82">
        <v>0.56410000000000005</v>
      </c>
      <c r="M783" s="80"/>
    </row>
    <row r="784" spans="1:13" ht="12.75" customHeight="1" x14ac:dyDescent="0.2">
      <c r="A784" s="523">
        <v>43036</v>
      </c>
      <c r="B784" s="934" t="s">
        <v>3542</v>
      </c>
      <c r="C784" s="935" t="s">
        <v>1590</v>
      </c>
      <c r="D784" s="1">
        <v>2.6678240740740738E-2</v>
      </c>
      <c r="E784" s="80" t="s">
        <v>1719</v>
      </c>
      <c r="F784" s="69" t="s">
        <v>8742</v>
      </c>
      <c r="I784" s="2"/>
      <c r="K784" s="82">
        <v>0.56100000000000005</v>
      </c>
      <c r="M784" s="80"/>
    </row>
    <row r="785" spans="1:19" ht="14.25" customHeight="1" x14ac:dyDescent="0.2">
      <c r="A785" s="523">
        <v>43022</v>
      </c>
      <c r="B785" s="930" t="s">
        <v>3542</v>
      </c>
      <c r="C785" s="931" t="s">
        <v>1590</v>
      </c>
      <c r="D785" s="1">
        <v>2.4826388888888887E-2</v>
      </c>
      <c r="E785" s="80" t="s">
        <v>1719</v>
      </c>
      <c r="F785" s="69" t="s">
        <v>8670</v>
      </c>
      <c r="I785" s="2"/>
      <c r="K785" s="82">
        <v>0.6028</v>
      </c>
    </row>
    <row r="786" spans="1:19" ht="14.25" customHeight="1" x14ac:dyDescent="0.2">
      <c r="A786" s="523">
        <v>43015</v>
      </c>
      <c r="B786" s="923" t="s">
        <v>3542</v>
      </c>
      <c r="C786" s="924" t="s">
        <v>1590</v>
      </c>
      <c r="D786" s="1">
        <v>2.5196759259259256E-2</v>
      </c>
      <c r="E786" s="80" t="s">
        <v>1719</v>
      </c>
      <c r="F786" s="69" t="s">
        <v>8022</v>
      </c>
      <c r="I786" s="2"/>
      <c r="K786" s="82">
        <v>0.59389999999999998</v>
      </c>
      <c r="M786" s="80"/>
    </row>
    <row r="787" spans="1:19" ht="14.25" customHeight="1" x14ac:dyDescent="0.2">
      <c r="A787" s="523">
        <v>43008</v>
      </c>
      <c r="B787" s="917" t="s">
        <v>3542</v>
      </c>
      <c r="C787" s="918" t="s">
        <v>1590</v>
      </c>
      <c r="D787" s="1">
        <v>2.5659722222222223E-2</v>
      </c>
      <c r="E787" s="80" t="s">
        <v>1719</v>
      </c>
      <c r="F787" s="69" t="s">
        <v>1102</v>
      </c>
      <c r="I787" s="2"/>
      <c r="K787" s="82">
        <v>0.58320000000000005</v>
      </c>
      <c r="M787" s="6"/>
    </row>
    <row r="788" spans="1:19" ht="14.25" customHeight="1" x14ac:dyDescent="0.2">
      <c r="A788" s="523">
        <v>42994</v>
      </c>
      <c r="B788" s="869" t="s">
        <v>3542</v>
      </c>
      <c r="C788" s="903" t="s">
        <v>1590</v>
      </c>
      <c r="D788" s="1">
        <v>2.6817129629629632E-2</v>
      </c>
      <c r="E788" s="80" t="s">
        <v>1719</v>
      </c>
      <c r="F788" s="69" t="s">
        <v>7878</v>
      </c>
      <c r="I788" s="2"/>
      <c r="K788" s="82">
        <v>0.55800000000000005</v>
      </c>
      <c r="M788" s="80"/>
    </row>
    <row r="789" spans="1:19" ht="14.25" customHeight="1" x14ac:dyDescent="0.2">
      <c r="A789" s="523">
        <v>42987</v>
      </c>
      <c r="B789" s="532" t="s">
        <v>3542</v>
      </c>
      <c r="C789" s="843" t="s">
        <v>1590</v>
      </c>
      <c r="D789" s="1">
        <v>2.525462962962963E-2</v>
      </c>
      <c r="E789" s="80" t="s">
        <v>6393</v>
      </c>
      <c r="F789" s="69" t="s">
        <v>8501</v>
      </c>
      <c r="I789" s="2"/>
      <c r="K789" s="82">
        <v>0.59260000000000002</v>
      </c>
      <c r="M789" s="80"/>
    </row>
    <row r="790" spans="1:19" ht="14.25" customHeight="1" x14ac:dyDescent="0.2">
      <c r="A790" s="523">
        <v>42980</v>
      </c>
      <c r="B790" s="837" t="s">
        <v>3542</v>
      </c>
      <c r="C790" s="842" t="s">
        <v>1590</v>
      </c>
      <c r="D790" s="1">
        <v>2.4976851851851851E-2</v>
      </c>
      <c r="E790" s="80" t="s">
        <v>6393</v>
      </c>
      <c r="F790" s="69" t="s">
        <v>8443</v>
      </c>
      <c r="I790" s="2"/>
      <c r="K790" s="82">
        <v>0.59919999999999995</v>
      </c>
      <c r="M790" s="80"/>
    </row>
    <row r="791" spans="1:19" ht="14.25" customHeight="1" x14ac:dyDescent="0.2">
      <c r="A791" s="523">
        <v>42973</v>
      </c>
      <c r="B791" s="862" t="s">
        <v>3542</v>
      </c>
      <c r="C791" s="863" t="s">
        <v>1590</v>
      </c>
      <c r="D791" s="1">
        <v>2.6898148148148147E-2</v>
      </c>
      <c r="E791" s="80" t="s">
        <v>1719</v>
      </c>
      <c r="F791" s="69" t="s">
        <v>8418</v>
      </c>
      <c r="I791" s="2"/>
      <c r="K791" s="82">
        <v>0.55640000000000001</v>
      </c>
      <c r="M791" s="80"/>
    </row>
    <row r="792" spans="1:19" ht="14.25" customHeight="1" x14ac:dyDescent="0.2">
      <c r="A792" s="523">
        <v>42966</v>
      </c>
      <c r="B792" s="879" t="s">
        <v>3542</v>
      </c>
      <c r="C792" s="880" t="s">
        <v>1590</v>
      </c>
      <c r="D792" s="1">
        <v>2.6331018518518517E-2</v>
      </c>
      <c r="E792" s="80" t="s">
        <v>1719</v>
      </c>
      <c r="F792" s="69" t="s">
        <v>8389</v>
      </c>
      <c r="I792" s="2"/>
      <c r="K792" s="82">
        <v>0.56840000000000002</v>
      </c>
    </row>
    <row r="793" spans="1:19" ht="14.25" customHeight="1" x14ac:dyDescent="0.2">
      <c r="A793" s="523">
        <v>42959</v>
      </c>
      <c r="B793" s="866" t="s">
        <v>3542</v>
      </c>
      <c r="C793" s="867" t="s">
        <v>1590</v>
      </c>
      <c r="D793" s="1">
        <v>2.5509259259259259E-2</v>
      </c>
      <c r="E793" s="80" t="s">
        <v>6393</v>
      </c>
      <c r="F793" s="69" t="s">
        <v>8354</v>
      </c>
      <c r="I793" s="2"/>
      <c r="K793" s="82">
        <v>0.5867</v>
      </c>
      <c r="M793" s="80"/>
    </row>
    <row r="794" spans="1:19" ht="14.25" customHeight="1" x14ac:dyDescent="0.2">
      <c r="A794" s="523">
        <v>42945</v>
      </c>
      <c r="B794" s="568" t="s">
        <v>3542</v>
      </c>
      <c r="C794" s="861" t="s">
        <v>1590</v>
      </c>
      <c r="D794" s="334" t="s">
        <v>787</v>
      </c>
      <c r="E794" s="80" t="s">
        <v>1719</v>
      </c>
      <c r="F794" s="69" t="s">
        <v>4854</v>
      </c>
      <c r="I794" s="2"/>
      <c r="K794" s="82"/>
    </row>
    <row r="795" spans="1:19" ht="14.25" customHeight="1" x14ac:dyDescent="0.2">
      <c r="A795" s="523">
        <v>42938</v>
      </c>
      <c r="B795" s="532" t="s">
        <v>3542</v>
      </c>
      <c r="C795" s="843" t="s">
        <v>1590</v>
      </c>
      <c r="D795" s="1">
        <v>2.5416666666666667E-2</v>
      </c>
      <c r="E795" s="80" t="s">
        <v>6393</v>
      </c>
      <c r="F795" s="69" t="s">
        <v>8229</v>
      </c>
      <c r="I795" s="2"/>
      <c r="K795" s="82">
        <v>0.58879999999999999</v>
      </c>
    </row>
    <row r="796" spans="1:19" ht="14.25" customHeight="1" x14ac:dyDescent="0.2">
      <c r="A796" s="523">
        <v>42931</v>
      </c>
      <c r="B796" s="80" t="s">
        <v>3542</v>
      </c>
      <c r="C796" s="334" t="s">
        <v>1590</v>
      </c>
      <c r="D796" s="1" t="s">
        <v>787</v>
      </c>
      <c r="E796" s="80" t="s">
        <v>1719</v>
      </c>
      <c r="F796" s="69" t="s">
        <v>5508</v>
      </c>
      <c r="I796" s="2"/>
      <c r="K796" s="82"/>
      <c r="M796" s="80"/>
    </row>
    <row r="797" spans="1:19" ht="14.25" customHeight="1" x14ac:dyDescent="0.2">
      <c r="A797" s="523">
        <v>42917</v>
      </c>
      <c r="B797" s="80" t="s">
        <v>3542</v>
      </c>
      <c r="C797" s="334" t="s">
        <v>1590</v>
      </c>
      <c r="D797" s="1">
        <v>2.5937500000000002E-2</v>
      </c>
      <c r="E797" s="80" t="s">
        <v>6393</v>
      </c>
      <c r="F797" s="69" t="s">
        <v>8122</v>
      </c>
      <c r="I797" s="2"/>
      <c r="K797" s="82">
        <v>0.57699999999999996</v>
      </c>
      <c r="S797" s="5"/>
    </row>
    <row r="798" spans="1:19" ht="14.25" customHeight="1" x14ac:dyDescent="0.2">
      <c r="A798" s="523">
        <v>42910</v>
      </c>
      <c r="B798" s="80" t="s">
        <v>3542</v>
      </c>
      <c r="C798" s="334" t="s">
        <v>1590</v>
      </c>
      <c r="D798" s="1">
        <v>3.394675925925926E-2</v>
      </c>
      <c r="E798" s="80" t="s">
        <v>1719</v>
      </c>
      <c r="F798" s="69" t="s">
        <v>8106</v>
      </c>
      <c r="I798" s="2"/>
      <c r="K798" s="82">
        <v>0.44080000000000003</v>
      </c>
      <c r="M798" s="80"/>
    </row>
    <row r="799" spans="1:19" ht="14.25" customHeight="1" x14ac:dyDescent="0.2">
      <c r="A799" s="523">
        <v>42889</v>
      </c>
      <c r="B799" s="80" t="s">
        <v>3542</v>
      </c>
      <c r="C799" s="334" t="s">
        <v>1590</v>
      </c>
      <c r="D799" s="1">
        <v>2.6064814814814815E-2</v>
      </c>
      <c r="E799" s="80" t="s">
        <v>1719</v>
      </c>
      <c r="F799" s="69" t="s">
        <v>7980</v>
      </c>
      <c r="I799" s="2"/>
      <c r="K799" s="82">
        <v>0.57420000000000004</v>
      </c>
    </row>
    <row r="800" spans="1:19" ht="14.25" customHeight="1" x14ac:dyDescent="0.2">
      <c r="A800" s="523">
        <v>42882</v>
      </c>
      <c r="B800" s="80" t="s">
        <v>3542</v>
      </c>
      <c r="C800" s="334" t="s">
        <v>1590</v>
      </c>
      <c r="D800" s="1">
        <v>2.7407407407407408E-2</v>
      </c>
      <c r="E800" s="80" t="s">
        <v>1719</v>
      </c>
      <c r="F800" s="69" t="s">
        <v>2741</v>
      </c>
      <c r="I800" s="2"/>
      <c r="K800" s="82">
        <v>0.54600000000000004</v>
      </c>
    </row>
    <row r="801" spans="1:19" ht="14.25" customHeight="1" x14ac:dyDescent="0.2">
      <c r="A801" s="523">
        <v>42868</v>
      </c>
      <c r="B801" s="80" t="s">
        <v>3542</v>
      </c>
      <c r="C801" s="334" t="s">
        <v>1590</v>
      </c>
      <c r="D801" s="1">
        <v>2.5902777777777775E-2</v>
      </c>
      <c r="E801" s="80" t="s">
        <v>1719</v>
      </c>
      <c r="F801" s="69" t="s">
        <v>7879</v>
      </c>
      <c r="I801" s="2"/>
      <c r="K801" s="82">
        <v>0.57769999999999999</v>
      </c>
      <c r="M801" s="80"/>
    </row>
    <row r="802" spans="1:19" ht="14.25" customHeight="1" x14ac:dyDescent="0.2">
      <c r="A802" s="523">
        <v>42861</v>
      </c>
      <c r="B802" s="80" t="s">
        <v>3542</v>
      </c>
      <c r="C802" s="334" t="s">
        <v>1590</v>
      </c>
      <c r="D802" s="1">
        <v>2.6620370370370374E-2</v>
      </c>
      <c r="E802" s="80" t="s">
        <v>1719</v>
      </c>
      <c r="F802" s="69" t="s">
        <v>4655</v>
      </c>
      <c r="I802" s="2"/>
      <c r="K802" s="82">
        <v>0.56220000000000003</v>
      </c>
      <c r="M802" s="80"/>
      <c r="P802" s="414"/>
      <c r="Q802" s="414"/>
      <c r="R802" s="414"/>
      <c r="S802" s="414"/>
    </row>
    <row r="803" spans="1:19" ht="14.25" customHeight="1" x14ac:dyDescent="0.2">
      <c r="A803" s="523">
        <v>42854</v>
      </c>
      <c r="B803" s="80" t="s">
        <v>3542</v>
      </c>
      <c r="C803" s="334" t="s">
        <v>1590</v>
      </c>
      <c r="D803" s="334" t="s">
        <v>787</v>
      </c>
      <c r="E803" s="80" t="s">
        <v>1719</v>
      </c>
      <c r="F803" s="69" t="s">
        <v>1238</v>
      </c>
      <c r="I803" s="2"/>
      <c r="K803" s="82"/>
      <c r="M803" s="80"/>
    </row>
    <row r="804" spans="1:19" ht="14.25" customHeight="1" x14ac:dyDescent="0.2">
      <c r="A804" s="523">
        <v>42847</v>
      </c>
      <c r="B804" s="80" t="s">
        <v>3542</v>
      </c>
      <c r="C804" s="334" t="s">
        <v>1590</v>
      </c>
      <c r="D804" s="1">
        <v>2.6550925925925926E-2</v>
      </c>
      <c r="E804" s="80" t="s">
        <v>1719</v>
      </c>
      <c r="F804" s="69" t="s">
        <v>7805</v>
      </c>
      <c r="I804" s="2"/>
      <c r="K804" s="82">
        <v>0.56359999999999999</v>
      </c>
      <c r="M804" s="80"/>
    </row>
    <row r="805" spans="1:19" ht="14.25" customHeight="1" x14ac:dyDescent="0.2">
      <c r="A805" s="523">
        <v>42840</v>
      </c>
      <c r="B805" s="80" t="s">
        <v>3542</v>
      </c>
      <c r="C805" s="334" t="s">
        <v>1590</v>
      </c>
      <c r="D805" s="1">
        <v>2.5810185185185183E-2</v>
      </c>
      <c r="E805" t="s">
        <v>1719</v>
      </c>
      <c r="F805" s="69" t="s">
        <v>7762</v>
      </c>
      <c r="I805" s="2"/>
      <c r="K805" s="82">
        <v>0.57979999999999998</v>
      </c>
      <c r="M805" s="80"/>
    </row>
    <row r="806" spans="1:19" ht="14.25" customHeight="1" x14ac:dyDescent="0.2">
      <c r="A806" s="523">
        <v>42833</v>
      </c>
      <c r="B806" s="80" t="s">
        <v>3542</v>
      </c>
      <c r="C806" s="334" t="s">
        <v>1590</v>
      </c>
      <c r="D806" s="334">
        <v>2.7175925925925926E-2</v>
      </c>
      <c r="E806" s="80" t="s">
        <v>1719</v>
      </c>
      <c r="F806" s="69" t="s">
        <v>7737</v>
      </c>
      <c r="G806" s="80"/>
      <c r="H806" s="80"/>
      <c r="I806" s="80"/>
      <c r="J806" s="80"/>
      <c r="K806" s="571">
        <v>0.55069999999999997</v>
      </c>
      <c r="M806" s="80"/>
    </row>
    <row r="807" spans="1:19" ht="14.25" customHeight="1" x14ac:dyDescent="0.2">
      <c r="A807" s="33">
        <v>42826</v>
      </c>
      <c r="B807" t="s">
        <v>3542</v>
      </c>
      <c r="C807" s="334" t="s">
        <v>1590</v>
      </c>
      <c r="D807" t="s">
        <v>787</v>
      </c>
      <c r="E807" s="80" t="s">
        <v>1719</v>
      </c>
      <c r="F807" s="69" t="s">
        <v>1549</v>
      </c>
      <c r="G807" s="5"/>
      <c r="H807" s="2"/>
      <c r="I807" s="2"/>
      <c r="K807" s="82"/>
      <c r="M807" s="80"/>
    </row>
    <row r="808" spans="1:19" ht="14.25" customHeight="1" x14ac:dyDescent="0.2">
      <c r="A808" s="523">
        <v>42819</v>
      </c>
      <c r="B808" s="80" t="s">
        <v>3542</v>
      </c>
      <c r="C808" s="334" t="s">
        <v>1590</v>
      </c>
      <c r="D808" s="334" t="s">
        <v>787</v>
      </c>
      <c r="E808" s="80" t="s">
        <v>1719</v>
      </c>
      <c r="F808" s="69" t="s">
        <v>1549</v>
      </c>
      <c r="I808" s="2"/>
      <c r="K808" s="82"/>
      <c r="M808" s="80"/>
    </row>
    <row r="809" spans="1:19" ht="14.25" customHeight="1" x14ac:dyDescent="0.2">
      <c r="A809" s="523">
        <v>42812</v>
      </c>
      <c r="B809" s="53" t="s">
        <v>3542</v>
      </c>
      <c r="C809" s="54" t="s">
        <v>1590</v>
      </c>
      <c r="D809" s="1">
        <v>3.3761574074074076E-2</v>
      </c>
      <c r="E809" s="80" t="s">
        <v>1719</v>
      </c>
      <c r="F809" s="69" t="s">
        <v>5747</v>
      </c>
      <c r="I809" s="2"/>
      <c r="K809" s="82">
        <v>0.44330000000000003</v>
      </c>
      <c r="M809" s="80"/>
    </row>
    <row r="810" spans="1:19" ht="14.25" customHeight="1" x14ac:dyDescent="0.2">
      <c r="A810" s="33">
        <v>42805</v>
      </c>
      <c r="B810" s="80" t="s">
        <v>3542</v>
      </c>
      <c r="C810" s="334" t="s">
        <v>1590</v>
      </c>
      <c r="D810" s="334" t="s">
        <v>787</v>
      </c>
      <c r="E810" s="80" t="s">
        <v>1719</v>
      </c>
      <c r="F810" s="69" t="s">
        <v>1549</v>
      </c>
      <c r="I810" s="2"/>
      <c r="K810" s="82"/>
      <c r="M810" s="80"/>
    </row>
    <row r="811" spans="1:19" ht="14.25" customHeight="1" x14ac:dyDescent="0.2">
      <c r="A811" s="523">
        <v>42798</v>
      </c>
      <c r="B811" s="80" t="s">
        <v>3542</v>
      </c>
      <c r="C811" s="334" t="s">
        <v>1590</v>
      </c>
      <c r="D811" s="334" t="s">
        <v>787</v>
      </c>
      <c r="E811" s="80" t="s">
        <v>1719</v>
      </c>
      <c r="F811" s="69" t="s">
        <v>5508</v>
      </c>
      <c r="I811" s="2"/>
      <c r="K811" s="82"/>
      <c r="M811" s="80"/>
    </row>
    <row r="812" spans="1:19" ht="14.25" customHeight="1" x14ac:dyDescent="0.2">
      <c r="A812" s="523">
        <v>42777</v>
      </c>
      <c r="B812" s="80" t="s">
        <v>3542</v>
      </c>
      <c r="C812" s="334" t="s">
        <v>1590</v>
      </c>
      <c r="D812" s="334" t="s">
        <v>787</v>
      </c>
      <c r="E812" s="80" t="s">
        <v>1719</v>
      </c>
      <c r="F812" s="69" t="s">
        <v>4854</v>
      </c>
      <c r="I812" s="2"/>
      <c r="K812" s="82"/>
      <c r="M812" s="80"/>
    </row>
    <row r="813" spans="1:19" ht="14.25" customHeight="1" x14ac:dyDescent="0.2">
      <c r="A813" s="33">
        <v>42770</v>
      </c>
      <c r="B813" s="53" t="s">
        <v>3542</v>
      </c>
      <c r="C813" s="54" t="s">
        <v>1590</v>
      </c>
      <c r="D813" s="1">
        <v>2.5868055555555557E-2</v>
      </c>
      <c r="E813" s="80" t="s">
        <v>1719</v>
      </c>
      <c r="F813" s="69" t="s">
        <v>5698</v>
      </c>
      <c r="I813" s="2"/>
      <c r="K813" s="82">
        <v>0.57850000000000001</v>
      </c>
      <c r="M813" s="80"/>
    </row>
    <row r="814" spans="1:19" ht="14.25" customHeight="1" x14ac:dyDescent="0.2">
      <c r="A814" s="523">
        <v>42749</v>
      </c>
      <c r="B814" s="80" t="s">
        <v>3542</v>
      </c>
      <c r="C814" s="334" t="s">
        <v>1590</v>
      </c>
      <c r="D814" s="1">
        <v>2.5648148148148146E-2</v>
      </c>
      <c r="E814" s="80" t="s">
        <v>1719</v>
      </c>
      <c r="F814" s="69" t="s">
        <v>4740</v>
      </c>
      <c r="I814" s="2"/>
      <c r="K814" s="82">
        <v>0.58350000000000002</v>
      </c>
      <c r="M814" s="80"/>
    </row>
    <row r="815" spans="1:19" ht="14.25" customHeight="1" x14ac:dyDescent="0.2">
      <c r="A815" s="33">
        <v>42742</v>
      </c>
      <c r="B815" s="53" t="s">
        <v>3542</v>
      </c>
      <c r="C815" s="54" t="s">
        <v>1590</v>
      </c>
      <c r="D815" s="1">
        <v>2.9062500000000002E-2</v>
      </c>
      <c r="E815" s="80" t="s">
        <v>1719</v>
      </c>
      <c r="F815" s="69" t="s">
        <v>635</v>
      </c>
      <c r="I815" s="2"/>
      <c r="K815" s="82">
        <v>0.51490000000000002</v>
      </c>
      <c r="M815" s="80"/>
    </row>
    <row r="816" spans="1:19" ht="14.25" customHeight="1" x14ac:dyDescent="0.2">
      <c r="A816" s="523">
        <v>43064</v>
      </c>
      <c r="B816" s="869" t="s">
        <v>1796</v>
      </c>
      <c r="C816" s="903" t="s">
        <v>1797</v>
      </c>
      <c r="D816" s="1">
        <v>1.7430555555555557E-2</v>
      </c>
      <c r="E816" s="80" t="s">
        <v>5883</v>
      </c>
      <c r="F816" s="69" t="s">
        <v>2085</v>
      </c>
      <c r="I816" s="2"/>
      <c r="K816" s="82">
        <v>0.63880000000000003</v>
      </c>
    </row>
    <row r="817" spans="1:13" ht="14.25" customHeight="1" x14ac:dyDescent="0.2">
      <c r="A817" s="523">
        <v>43057</v>
      </c>
      <c r="B817" s="940" t="s">
        <v>1796</v>
      </c>
      <c r="C817" s="941" t="s">
        <v>1797</v>
      </c>
      <c r="D817" s="1">
        <v>1.7997685185185186E-2</v>
      </c>
      <c r="E817" s="80" t="s">
        <v>5883</v>
      </c>
      <c r="F817" s="69" t="s">
        <v>5572</v>
      </c>
      <c r="I817" s="2"/>
      <c r="K817" s="82">
        <v>0.61860000000000004</v>
      </c>
    </row>
    <row r="818" spans="1:13" ht="14.25" customHeight="1" x14ac:dyDescent="0.2">
      <c r="A818" s="523">
        <v>43029</v>
      </c>
      <c r="B818" s="901" t="s">
        <v>1796</v>
      </c>
      <c r="C818" s="902" t="s">
        <v>1797</v>
      </c>
      <c r="D818" s="1">
        <v>2.1539351851851851E-2</v>
      </c>
      <c r="E818" s="80" t="s">
        <v>8719</v>
      </c>
      <c r="F818" s="69" t="s">
        <v>8728</v>
      </c>
      <c r="I818" s="2"/>
      <c r="K818" s="82">
        <v>0.51690000000000003</v>
      </c>
    </row>
    <row r="819" spans="1:13" ht="14.25" customHeight="1" x14ac:dyDescent="0.2">
      <c r="A819" s="523">
        <v>43015</v>
      </c>
      <c r="B819" s="923" t="s">
        <v>1796</v>
      </c>
      <c r="C819" s="924" t="s">
        <v>1797</v>
      </c>
      <c r="D819" s="1">
        <v>1.8865740740740742E-2</v>
      </c>
      <c r="E819" s="80" t="s">
        <v>3528</v>
      </c>
      <c r="F819" s="69" t="s">
        <v>8627</v>
      </c>
      <c r="I819" s="2"/>
      <c r="K819" s="82">
        <v>0.59019999999999995</v>
      </c>
    </row>
    <row r="820" spans="1:13" ht="14.25" customHeight="1" x14ac:dyDescent="0.2">
      <c r="A820" s="523">
        <v>43001</v>
      </c>
      <c r="B820" s="906" t="s">
        <v>1796</v>
      </c>
      <c r="C820" s="907" t="s">
        <v>1797</v>
      </c>
      <c r="D820" s="1">
        <v>2.4212962962962964E-2</v>
      </c>
      <c r="E820" s="80" t="s">
        <v>5883</v>
      </c>
      <c r="F820" s="69" t="s">
        <v>1200</v>
      </c>
      <c r="I820" s="2"/>
      <c r="K820" s="82">
        <v>0.45979999999999999</v>
      </c>
      <c r="M820" s="80" t="s">
        <v>7649</v>
      </c>
    </row>
    <row r="821" spans="1:13" ht="14.25" customHeight="1" x14ac:dyDescent="0.2">
      <c r="A821" s="523">
        <v>42987</v>
      </c>
      <c r="B821" s="532" t="s">
        <v>1796</v>
      </c>
      <c r="C821" s="843" t="s">
        <v>1797</v>
      </c>
      <c r="D821" s="1">
        <v>1.8796296296296297E-2</v>
      </c>
      <c r="E821" s="80" t="s">
        <v>2245</v>
      </c>
      <c r="F821" s="69" t="s">
        <v>8224</v>
      </c>
      <c r="I821" s="2"/>
      <c r="K821" s="82">
        <v>0.59240000000000004</v>
      </c>
    </row>
    <row r="822" spans="1:13" ht="14.25" customHeight="1" x14ac:dyDescent="0.2">
      <c r="A822" s="523">
        <v>42980</v>
      </c>
      <c r="B822" s="837" t="s">
        <v>1796</v>
      </c>
      <c r="C822" s="842" t="s">
        <v>1797</v>
      </c>
      <c r="D822" s="1">
        <v>2.8495370370370369E-2</v>
      </c>
      <c r="E822" s="80" t="s">
        <v>5883</v>
      </c>
      <c r="F822" s="69" t="s">
        <v>8468</v>
      </c>
      <c r="I822" s="2"/>
      <c r="K822" s="82">
        <v>0.39069999999999999</v>
      </c>
    </row>
    <row r="823" spans="1:13" ht="14.25" customHeight="1" x14ac:dyDescent="0.2">
      <c r="A823" s="523">
        <v>42973</v>
      </c>
      <c r="B823" s="862" t="s">
        <v>1796</v>
      </c>
      <c r="C823" s="863" t="s">
        <v>1797</v>
      </c>
      <c r="D823" s="334" t="s">
        <v>787</v>
      </c>
      <c r="E823" s="80" t="s">
        <v>5883</v>
      </c>
      <c r="F823" s="69" t="s">
        <v>4000</v>
      </c>
      <c r="I823" s="2"/>
      <c r="K823" s="82"/>
      <c r="M823" s="80"/>
    </row>
    <row r="824" spans="1:13" ht="14.25" customHeight="1" x14ac:dyDescent="0.2">
      <c r="A824" s="523">
        <v>42966</v>
      </c>
      <c r="B824" s="879" t="s">
        <v>1796</v>
      </c>
      <c r="C824" s="880" t="s">
        <v>1797</v>
      </c>
      <c r="D824" s="1">
        <v>1.8796296296296297E-2</v>
      </c>
      <c r="E824" s="80" t="s">
        <v>3072</v>
      </c>
      <c r="F824" s="69" t="s">
        <v>6217</v>
      </c>
      <c r="I824" s="2"/>
      <c r="K824" s="82">
        <v>0.59240000000000004</v>
      </c>
      <c r="M824" s="80"/>
    </row>
    <row r="825" spans="1:13" ht="14.25" customHeight="1" x14ac:dyDescent="0.2">
      <c r="A825" s="523">
        <v>42959</v>
      </c>
      <c r="B825" s="866" t="s">
        <v>1796</v>
      </c>
      <c r="C825" s="867" t="s">
        <v>1797</v>
      </c>
      <c r="D825" s="1" t="s">
        <v>787</v>
      </c>
      <c r="E825" s="80" t="s">
        <v>5883</v>
      </c>
      <c r="F825" s="69" t="s">
        <v>4000</v>
      </c>
      <c r="I825" s="2"/>
      <c r="K825" s="82"/>
      <c r="M825" s="80"/>
    </row>
    <row r="826" spans="1:13" ht="14.25" customHeight="1" x14ac:dyDescent="0.2">
      <c r="A826" s="523">
        <v>42945</v>
      </c>
      <c r="B826" s="568" t="s">
        <v>1796</v>
      </c>
      <c r="C826" s="861" t="s">
        <v>1797</v>
      </c>
      <c r="D826" s="1">
        <v>2.0486111111111111E-2</v>
      </c>
      <c r="E826" s="80" t="s">
        <v>5883</v>
      </c>
      <c r="F826" s="69" t="s">
        <v>8275</v>
      </c>
      <c r="I826" s="2"/>
      <c r="K826" s="82">
        <v>0.54349999999999998</v>
      </c>
      <c r="M826" s="80"/>
    </row>
    <row r="827" spans="1:13" ht="14.25" customHeight="1" x14ac:dyDescent="0.2">
      <c r="A827" s="523">
        <v>42931</v>
      </c>
      <c r="B827" s="837" t="s">
        <v>1796</v>
      </c>
      <c r="C827" s="842" t="s">
        <v>1797</v>
      </c>
      <c r="D827" s="1">
        <v>2.5613425925925925E-2</v>
      </c>
      <c r="E827" s="80" t="s">
        <v>5883</v>
      </c>
      <c r="F827" s="69" t="s">
        <v>8198</v>
      </c>
      <c r="I827" s="2"/>
      <c r="K827" s="82">
        <v>0.43469999999999998</v>
      </c>
      <c r="M827" s="80"/>
    </row>
    <row r="828" spans="1:13" ht="14.25" customHeight="1" x14ac:dyDescent="0.2">
      <c r="A828" s="34">
        <v>42924</v>
      </c>
      <c r="B828" s="80" t="s">
        <v>1796</v>
      </c>
      <c r="C828" s="334" t="s">
        <v>1797</v>
      </c>
      <c r="D828" s="1">
        <v>2.3969907407407409E-2</v>
      </c>
      <c r="E828" s="80" t="s">
        <v>1982</v>
      </c>
      <c r="F828" s="69" t="s">
        <v>8168</v>
      </c>
      <c r="I828" s="2"/>
      <c r="K828" s="82">
        <v>0.46450000000000002</v>
      </c>
      <c r="M828" s="80"/>
    </row>
    <row r="829" spans="1:13" ht="14.25" customHeight="1" x14ac:dyDescent="0.2">
      <c r="A829" s="523">
        <v>42903</v>
      </c>
      <c r="B829" s="80" t="s">
        <v>1796</v>
      </c>
      <c r="C829" s="334" t="s">
        <v>1797</v>
      </c>
      <c r="D829" s="1">
        <v>1.8900462962962963E-2</v>
      </c>
      <c r="E829" s="80" t="s">
        <v>5883</v>
      </c>
      <c r="F829" s="69" t="s">
        <v>8057</v>
      </c>
      <c r="I829" s="2"/>
      <c r="K829" s="82">
        <v>0.58909999999999996</v>
      </c>
      <c r="M829" s="80"/>
    </row>
    <row r="830" spans="1:13" ht="14.25" customHeight="1" x14ac:dyDescent="0.2">
      <c r="A830" s="523">
        <v>42903</v>
      </c>
      <c r="B830" s="80" t="s">
        <v>1796</v>
      </c>
      <c r="C830" s="334" t="s">
        <v>1797</v>
      </c>
      <c r="D830" s="334" t="s">
        <v>787</v>
      </c>
      <c r="E830" s="80" t="s">
        <v>5883</v>
      </c>
      <c r="F830" s="69" t="s">
        <v>4382</v>
      </c>
      <c r="I830" s="2"/>
      <c r="K830" s="82"/>
      <c r="M830" s="80"/>
    </row>
    <row r="831" spans="1:13" ht="14.25" customHeight="1" x14ac:dyDescent="0.2">
      <c r="A831" s="523">
        <v>42889</v>
      </c>
      <c r="B831" s="80" t="s">
        <v>1796</v>
      </c>
      <c r="C831" s="334" t="s">
        <v>1797</v>
      </c>
      <c r="D831" s="1">
        <v>2.0324074074074074E-2</v>
      </c>
      <c r="E831" s="80" t="s">
        <v>5883</v>
      </c>
      <c r="F831" s="69" t="s">
        <v>7974</v>
      </c>
      <c r="I831" s="2"/>
      <c r="K831" s="82">
        <v>0.54779999999999995</v>
      </c>
    </row>
    <row r="832" spans="1:13" ht="14.25" customHeight="1" x14ac:dyDescent="0.2">
      <c r="A832" s="523">
        <v>42854</v>
      </c>
      <c r="B832" s="80" t="s">
        <v>1796</v>
      </c>
      <c r="C832" s="334" t="s">
        <v>1797</v>
      </c>
      <c r="D832" s="1">
        <v>1.8668981481481481E-2</v>
      </c>
      <c r="E832" s="80" t="s">
        <v>3225</v>
      </c>
      <c r="F832" s="69" t="s">
        <v>7825</v>
      </c>
      <c r="I832" s="2"/>
      <c r="K832" s="82">
        <v>0.59640000000000004</v>
      </c>
    </row>
    <row r="833" spans="1:44" ht="14.25" customHeight="1" x14ac:dyDescent="0.2">
      <c r="A833" s="523">
        <v>42847</v>
      </c>
      <c r="B833" s="80" t="s">
        <v>1796</v>
      </c>
      <c r="C833" s="334" t="s">
        <v>1797</v>
      </c>
      <c r="D833" s="1">
        <v>2.6967592592592595E-2</v>
      </c>
      <c r="E833" s="80" t="s">
        <v>5883</v>
      </c>
      <c r="F833" s="69" t="s">
        <v>1598</v>
      </c>
      <c r="I833" s="2"/>
      <c r="K833" s="82">
        <v>0.41289999999999999</v>
      </c>
      <c r="M833" s="80"/>
    </row>
    <row r="834" spans="1:44" ht="14.25" customHeight="1" x14ac:dyDescent="0.2">
      <c r="A834" s="523">
        <v>42840</v>
      </c>
      <c r="B834" s="80" t="s">
        <v>1796</v>
      </c>
      <c r="C834" s="334" t="s">
        <v>1797</v>
      </c>
      <c r="D834" s="1" t="s">
        <v>787</v>
      </c>
      <c r="E834" t="s">
        <v>5883</v>
      </c>
      <c r="F834" s="69" t="s">
        <v>3301</v>
      </c>
      <c r="I834" s="2"/>
      <c r="K834" s="82"/>
      <c r="M834" s="80"/>
    </row>
    <row r="835" spans="1:44" ht="14.25" customHeight="1" x14ac:dyDescent="0.2">
      <c r="A835" s="523">
        <v>42826</v>
      </c>
      <c r="B835" s="80" t="s">
        <v>1796</v>
      </c>
      <c r="C835" s="334" t="s">
        <v>1797</v>
      </c>
      <c r="D835" s="1">
        <v>1.9722222222222221E-2</v>
      </c>
      <c r="E835" s="80" t="s">
        <v>5836</v>
      </c>
      <c r="F835" s="69" t="s">
        <v>7703</v>
      </c>
      <c r="I835" s="2"/>
      <c r="K835" s="82">
        <v>0.56459999999999999</v>
      </c>
      <c r="M835" s="80"/>
    </row>
    <row r="836" spans="1:44" ht="14.25" customHeight="1" x14ac:dyDescent="0.2">
      <c r="A836" s="523">
        <v>42812</v>
      </c>
      <c r="B836" s="80" t="s">
        <v>1796</v>
      </c>
      <c r="C836" s="334" t="s">
        <v>1797</v>
      </c>
      <c r="D836" s="1">
        <v>1.8761574074074073E-2</v>
      </c>
      <c r="E836" s="80" t="s">
        <v>5883</v>
      </c>
      <c r="F836" s="69" t="s">
        <v>7653</v>
      </c>
      <c r="I836" s="2"/>
      <c r="K836" s="82">
        <v>0.59350000000000003</v>
      </c>
      <c r="M836" s="80"/>
    </row>
    <row r="837" spans="1:44" ht="14.25" customHeight="1" x14ac:dyDescent="0.2">
      <c r="A837" s="33">
        <v>42805</v>
      </c>
      <c r="B837" s="80" t="s">
        <v>1796</v>
      </c>
      <c r="C837" s="334" t="s">
        <v>1797</v>
      </c>
      <c r="D837" s="1">
        <v>1.9583333333333331E-2</v>
      </c>
      <c r="E837" s="80" t="s">
        <v>2147</v>
      </c>
      <c r="F837" s="69" t="s">
        <v>7630</v>
      </c>
      <c r="I837" s="2"/>
      <c r="K837" s="82">
        <v>0.56859999999999999</v>
      </c>
      <c r="M837" s="80"/>
    </row>
    <row r="838" spans="1:44" ht="14.25" customHeight="1" x14ac:dyDescent="0.2">
      <c r="A838" s="523">
        <v>42798</v>
      </c>
      <c r="B838" t="s">
        <v>1796</v>
      </c>
      <c r="C838" s="334" t="s">
        <v>1797</v>
      </c>
      <c r="D838" s="1">
        <v>1.9895833333333331E-2</v>
      </c>
      <c r="E838" s="80" t="s">
        <v>5883</v>
      </c>
      <c r="F838" s="69" t="s">
        <v>1606</v>
      </c>
      <c r="I838" s="2"/>
      <c r="K838" s="82">
        <v>0.55959999999999999</v>
      </c>
      <c r="M838" s="80"/>
    </row>
    <row r="839" spans="1:44" ht="14.25" customHeight="1" x14ac:dyDescent="0.2">
      <c r="A839" s="523">
        <v>42784</v>
      </c>
      <c r="B839" s="80" t="s">
        <v>1796</v>
      </c>
      <c r="C839" s="334" t="s">
        <v>1797</v>
      </c>
      <c r="D839" s="1">
        <v>2.0150462962962964E-2</v>
      </c>
      <c r="E839" s="80" t="s">
        <v>5883</v>
      </c>
      <c r="F839" s="69" t="s">
        <v>4392</v>
      </c>
      <c r="I839" s="2"/>
      <c r="K839" s="82">
        <v>0.55259999999999998</v>
      </c>
      <c r="M839" s="80"/>
    </row>
    <row r="840" spans="1:44" ht="14.25" customHeight="1" x14ac:dyDescent="0.2">
      <c r="A840" s="33">
        <v>42770</v>
      </c>
      <c r="B840" s="80" t="s">
        <v>1796</v>
      </c>
      <c r="C840" s="334" t="s">
        <v>1797</v>
      </c>
      <c r="D840" s="1">
        <v>2.3472222222222217E-2</v>
      </c>
      <c r="E840" s="80" t="s">
        <v>5883</v>
      </c>
      <c r="F840" s="69" t="s">
        <v>6340</v>
      </c>
      <c r="I840" s="2"/>
      <c r="K840" s="82">
        <v>0.4844</v>
      </c>
      <c r="M840" s="80"/>
      <c r="AO840" s="942"/>
      <c r="AP840" s="943"/>
      <c r="AQ840" s="944"/>
      <c r="AR840" s="943"/>
    </row>
    <row r="841" spans="1:44" ht="14.25" customHeight="1" x14ac:dyDescent="0.2">
      <c r="A841" s="523">
        <v>43099</v>
      </c>
      <c r="B841" s="601" t="s">
        <v>2845</v>
      </c>
      <c r="C841" s="958" t="s">
        <v>1797</v>
      </c>
      <c r="D841" s="1">
        <v>2.2824074074074076E-2</v>
      </c>
      <c r="E841" s="80" t="s">
        <v>5883</v>
      </c>
      <c r="F841" s="69" t="s">
        <v>4182</v>
      </c>
      <c r="I841" s="2"/>
      <c r="K841" s="82">
        <v>0.48780000000000001</v>
      </c>
    </row>
    <row r="842" spans="1:44" ht="14.25" customHeight="1" x14ac:dyDescent="0.2">
      <c r="A842" s="523">
        <v>43050</v>
      </c>
      <c r="B842" s="532" t="s">
        <v>2845</v>
      </c>
      <c r="C842" s="843" t="s">
        <v>1797</v>
      </c>
      <c r="D842" s="1">
        <v>1.8356481481481481E-2</v>
      </c>
      <c r="E842" s="80" t="s">
        <v>5883</v>
      </c>
      <c r="F842" s="69" t="s">
        <v>8785</v>
      </c>
      <c r="I842" s="2"/>
      <c r="K842" s="82">
        <v>0.60660000000000003</v>
      </c>
      <c r="M842" s="80"/>
    </row>
    <row r="843" spans="1:44" ht="14.25" customHeight="1" x14ac:dyDescent="0.2">
      <c r="A843" s="523">
        <v>43029</v>
      </c>
      <c r="B843" s="901" t="s">
        <v>868</v>
      </c>
      <c r="C843" s="902" t="s">
        <v>2480</v>
      </c>
      <c r="D843" s="1">
        <v>1.9768518518518515E-2</v>
      </c>
      <c r="E843" s="80" t="s">
        <v>1214</v>
      </c>
      <c r="F843" s="69" t="s">
        <v>8717</v>
      </c>
      <c r="I843" s="2"/>
      <c r="K843" s="82">
        <v>0.64459999999999995</v>
      </c>
    </row>
    <row r="844" spans="1:44" ht="14.25" customHeight="1" x14ac:dyDescent="0.2">
      <c r="A844" s="523">
        <v>43022</v>
      </c>
      <c r="B844" s="930" t="s">
        <v>868</v>
      </c>
      <c r="C844" s="931" t="s">
        <v>2480</v>
      </c>
      <c r="D844" s="1">
        <v>1.9467592592592595E-2</v>
      </c>
      <c r="E844" s="80" t="s">
        <v>3167</v>
      </c>
      <c r="F844" s="69" t="s">
        <v>8678</v>
      </c>
      <c r="I844" s="2"/>
      <c r="K844" s="82">
        <v>0.65459999999999996</v>
      </c>
    </row>
    <row r="845" spans="1:44" ht="14.25" customHeight="1" x14ac:dyDescent="0.2">
      <c r="A845" s="523">
        <v>43015</v>
      </c>
      <c r="B845" s="923" t="s">
        <v>868</v>
      </c>
      <c r="C845" s="924" t="s">
        <v>2480</v>
      </c>
      <c r="D845" s="1">
        <v>1.9189814814814816E-2</v>
      </c>
      <c r="E845" s="80" t="s">
        <v>1214</v>
      </c>
      <c r="F845" s="69" t="s">
        <v>8631</v>
      </c>
      <c r="I845" s="2"/>
      <c r="K845" s="82">
        <v>0.66410000000000002</v>
      </c>
    </row>
    <row r="846" spans="1:44" ht="14.25" customHeight="1" x14ac:dyDescent="0.2">
      <c r="A846" s="523">
        <v>43001</v>
      </c>
      <c r="B846" s="906" t="s">
        <v>868</v>
      </c>
      <c r="C846" s="907" t="s">
        <v>2480</v>
      </c>
      <c r="D846" s="334">
        <v>1.9074074074074073E-2</v>
      </c>
      <c r="E846" s="80" t="s">
        <v>1214</v>
      </c>
      <c r="F846" s="69" t="s">
        <v>8558</v>
      </c>
      <c r="I846" s="2"/>
      <c r="K846" s="82">
        <v>0.66810000000000003</v>
      </c>
    </row>
    <row r="847" spans="1:44" ht="14.25" customHeight="1" x14ac:dyDescent="0.2">
      <c r="A847" s="523">
        <v>42994</v>
      </c>
      <c r="B847" s="869" t="s">
        <v>868</v>
      </c>
      <c r="C847" s="903" t="s">
        <v>2480</v>
      </c>
      <c r="D847" s="1">
        <v>1.9189814814814816E-2</v>
      </c>
      <c r="E847" s="80" t="s">
        <v>1214</v>
      </c>
      <c r="F847" s="69" t="s">
        <v>8538</v>
      </c>
      <c r="I847" s="2"/>
      <c r="K847" s="82">
        <v>0.66410000000000002</v>
      </c>
      <c r="M847" s="80"/>
    </row>
    <row r="848" spans="1:44" ht="14.25" customHeight="1" x14ac:dyDescent="0.2">
      <c r="A848" s="523">
        <v>42980</v>
      </c>
      <c r="B848" s="837" t="s">
        <v>868</v>
      </c>
      <c r="C848" s="842" t="s">
        <v>2480</v>
      </c>
      <c r="D848" s="1">
        <v>1.9108796296296294E-2</v>
      </c>
      <c r="E848" s="80" t="s">
        <v>1214</v>
      </c>
      <c r="F848" s="69" t="s">
        <v>8478</v>
      </c>
      <c r="I848" s="2"/>
      <c r="K848" s="82">
        <v>0.65720000000000001</v>
      </c>
      <c r="M848" s="80"/>
    </row>
    <row r="849" spans="1:13" ht="14.25" customHeight="1" x14ac:dyDescent="0.2">
      <c r="A849" s="523">
        <v>42973</v>
      </c>
      <c r="B849" s="862" t="s">
        <v>868</v>
      </c>
      <c r="C849" s="863" t="s">
        <v>2480</v>
      </c>
      <c r="D849" s="1">
        <v>1.9363425925925926E-2</v>
      </c>
      <c r="E849" s="80" t="s">
        <v>3167</v>
      </c>
      <c r="F849" s="69" t="s">
        <v>5613</v>
      </c>
      <c r="I849" s="2"/>
      <c r="K849" s="82">
        <v>0.64849999999999997</v>
      </c>
      <c r="M849" s="80"/>
    </row>
    <row r="850" spans="1:13" x14ac:dyDescent="0.2">
      <c r="A850" s="523">
        <v>42959</v>
      </c>
      <c r="B850" s="866" t="s">
        <v>868</v>
      </c>
      <c r="C850" s="867" t="s">
        <v>2480</v>
      </c>
      <c r="D850" s="1">
        <v>1.9641203703703706E-2</v>
      </c>
      <c r="E850" s="80" t="s">
        <v>1214</v>
      </c>
      <c r="F850" s="69" t="s">
        <v>4932</v>
      </c>
      <c r="I850" s="2"/>
      <c r="K850" s="82">
        <v>0.63939999999999997</v>
      </c>
      <c r="M850" s="80"/>
    </row>
    <row r="851" spans="1:13" x14ac:dyDescent="0.2">
      <c r="A851" s="523">
        <v>42952</v>
      </c>
      <c r="B851" s="862" t="s">
        <v>868</v>
      </c>
      <c r="C851" s="863" t="s">
        <v>2480</v>
      </c>
      <c r="D851" s="1">
        <v>1.9328703703703702E-2</v>
      </c>
      <c r="E851" s="80" t="s">
        <v>3167</v>
      </c>
      <c r="F851" s="69" t="s">
        <v>3823</v>
      </c>
      <c r="I851" s="2"/>
      <c r="K851" s="82">
        <v>0.64970000000000006</v>
      </c>
      <c r="M851" s="80"/>
    </row>
    <row r="852" spans="1:13" x14ac:dyDescent="0.2">
      <c r="A852" s="523">
        <v>42945</v>
      </c>
      <c r="B852" s="568" t="s">
        <v>868</v>
      </c>
      <c r="C852" s="861" t="s">
        <v>2480</v>
      </c>
      <c r="D852" s="1">
        <v>1.9363425925925926E-2</v>
      </c>
      <c r="E852" s="80" t="s">
        <v>1214</v>
      </c>
      <c r="F852" s="69" t="s">
        <v>8286</v>
      </c>
      <c r="I852" s="2"/>
      <c r="K852" s="82">
        <v>0.64849999999999997</v>
      </c>
      <c r="M852" s="80"/>
    </row>
    <row r="853" spans="1:13" x14ac:dyDescent="0.2">
      <c r="A853" s="523">
        <v>42938</v>
      </c>
      <c r="B853" s="532" t="s">
        <v>868</v>
      </c>
      <c r="C853" s="843" t="s">
        <v>2480</v>
      </c>
      <c r="D853" s="1">
        <v>1.8981481481481481E-2</v>
      </c>
      <c r="E853" s="80" t="s">
        <v>1214</v>
      </c>
      <c r="F853" s="69" t="s">
        <v>8239</v>
      </c>
      <c r="I853" s="2"/>
      <c r="K853" s="82">
        <v>0.66159999999999997</v>
      </c>
      <c r="M853" s="80"/>
    </row>
    <row r="854" spans="1:13" x14ac:dyDescent="0.2">
      <c r="A854" s="523">
        <v>42931</v>
      </c>
      <c r="B854" s="837" t="s">
        <v>868</v>
      </c>
      <c r="C854" s="842" t="s">
        <v>2480</v>
      </c>
      <c r="D854" s="1">
        <v>1.8819444444444448E-2</v>
      </c>
      <c r="E854" s="80" t="s">
        <v>1214</v>
      </c>
      <c r="F854" s="69" t="s">
        <v>1265</v>
      </c>
      <c r="I854" s="2"/>
      <c r="K854" s="82">
        <v>0.6673</v>
      </c>
      <c r="M854" s="80"/>
    </row>
    <row r="855" spans="1:13" x14ac:dyDescent="0.2">
      <c r="A855" s="34">
        <v>42924</v>
      </c>
      <c r="B855" s="80" t="s">
        <v>868</v>
      </c>
      <c r="C855" s="334" t="s">
        <v>2480</v>
      </c>
      <c r="D855" s="1">
        <v>1.9166666666666669E-2</v>
      </c>
      <c r="E855" s="80" t="s">
        <v>3167</v>
      </c>
      <c r="F855" s="69" t="s">
        <v>8162</v>
      </c>
      <c r="I855" s="2"/>
      <c r="K855" s="82">
        <v>0.6552</v>
      </c>
    </row>
    <row r="856" spans="1:13" x14ac:dyDescent="0.2">
      <c r="A856" s="523">
        <v>42903</v>
      </c>
      <c r="B856" s="80" t="s">
        <v>868</v>
      </c>
      <c r="C856" s="334" t="s">
        <v>2480</v>
      </c>
      <c r="D856" s="1">
        <v>1.9988425925925927E-2</v>
      </c>
      <c r="E856" s="80" t="s">
        <v>3167</v>
      </c>
      <c r="F856" s="69" t="s">
        <v>4031</v>
      </c>
      <c r="I856" s="2"/>
      <c r="K856" s="82">
        <v>0.62829999999999997</v>
      </c>
      <c r="M856" s="80"/>
    </row>
    <row r="857" spans="1:13" x14ac:dyDescent="0.2">
      <c r="A857" s="523">
        <v>42896</v>
      </c>
      <c r="B857" s="80" t="s">
        <v>868</v>
      </c>
      <c r="C857" s="334" t="s">
        <v>2480</v>
      </c>
      <c r="D857" s="1">
        <v>1.9988425925925927E-2</v>
      </c>
      <c r="E857" s="80" t="s">
        <v>3167</v>
      </c>
      <c r="F857" s="69" t="s">
        <v>4726</v>
      </c>
      <c r="I857" s="2"/>
      <c r="K857" s="82">
        <v>0.62829999999999997</v>
      </c>
      <c r="M857" s="80"/>
    </row>
    <row r="858" spans="1:13" x14ac:dyDescent="0.2">
      <c r="A858" s="523">
        <v>42889</v>
      </c>
      <c r="B858" s="80" t="s">
        <v>868</v>
      </c>
      <c r="C858" s="334" t="s">
        <v>2480</v>
      </c>
      <c r="D858" s="1">
        <v>1.9120370370370371E-2</v>
      </c>
      <c r="E858" s="80" t="s">
        <v>1214</v>
      </c>
      <c r="F858" s="69" t="s">
        <v>7986</v>
      </c>
      <c r="I858" s="2"/>
      <c r="K858" s="82">
        <v>0.65680000000000005</v>
      </c>
    </row>
    <row r="859" spans="1:13" x14ac:dyDescent="0.2">
      <c r="A859" s="523">
        <v>42868</v>
      </c>
      <c r="B859" s="80" t="s">
        <v>868</v>
      </c>
      <c r="C859" s="334" t="s">
        <v>2480</v>
      </c>
      <c r="D859" s="1">
        <v>1.8969907407407408E-2</v>
      </c>
      <c r="E859" s="80" t="s">
        <v>3167</v>
      </c>
      <c r="F859" s="69" t="s">
        <v>7876</v>
      </c>
      <c r="I859" s="2"/>
      <c r="K859" s="82">
        <v>0.66200000000000003</v>
      </c>
      <c r="M859" s="80"/>
    </row>
    <row r="860" spans="1:13" x14ac:dyDescent="0.2">
      <c r="A860" s="523">
        <v>42861</v>
      </c>
      <c r="B860" s="80" t="s">
        <v>868</v>
      </c>
      <c r="C860" s="334" t="s">
        <v>2480</v>
      </c>
      <c r="D860" s="1">
        <v>1.9166666666666669E-2</v>
      </c>
      <c r="E860" s="80" t="s">
        <v>1214</v>
      </c>
      <c r="F860" s="69" t="s">
        <v>7849</v>
      </c>
      <c r="I860" s="2"/>
      <c r="K860" s="82">
        <v>0.6552</v>
      </c>
      <c r="M860" s="80"/>
    </row>
    <row r="861" spans="1:13" x14ac:dyDescent="0.2">
      <c r="A861" s="523">
        <v>42854</v>
      </c>
      <c r="B861" s="80" t="s">
        <v>868</v>
      </c>
      <c r="C861" s="334" t="s">
        <v>2480</v>
      </c>
      <c r="D861" s="1">
        <v>1.9143518518518518E-2</v>
      </c>
      <c r="E861" s="80" t="s">
        <v>1214</v>
      </c>
      <c r="F861" s="69" t="s">
        <v>7828</v>
      </c>
      <c r="I861" s="2"/>
      <c r="K861" s="82">
        <v>0.65600000000000003</v>
      </c>
      <c r="M861" s="80"/>
    </row>
    <row r="862" spans="1:13" x14ac:dyDescent="0.2">
      <c r="A862" s="523">
        <v>42840</v>
      </c>
      <c r="B862" s="80" t="s">
        <v>868</v>
      </c>
      <c r="C862" s="334" t="s">
        <v>2480</v>
      </c>
      <c r="D862" s="1">
        <v>1.9050925925925926E-2</v>
      </c>
      <c r="E862" t="s">
        <v>1214</v>
      </c>
      <c r="F862" s="69" t="s">
        <v>7773</v>
      </c>
      <c r="I862" s="2"/>
      <c r="K862" s="82">
        <v>0.65920000000000001</v>
      </c>
      <c r="M862" s="80"/>
    </row>
    <row r="863" spans="1:13" x14ac:dyDescent="0.2">
      <c r="A863" s="523">
        <v>42791</v>
      </c>
      <c r="B863" s="80" t="s">
        <v>868</v>
      </c>
      <c r="C863" s="334" t="s">
        <v>2480</v>
      </c>
      <c r="D863" s="1">
        <v>1.9502314814814816E-2</v>
      </c>
      <c r="E863" s="80" t="s">
        <v>1214</v>
      </c>
      <c r="F863" s="69" t="s">
        <v>7559</v>
      </c>
      <c r="I863" s="2"/>
      <c r="K863" s="82">
        <v>0.64390000000000003</v>
      </c>
      <c r="M863" s="80"/>
    </row>
    <row r="864" spans="1:13" x14ac:dyDescent="0.2">
      <c r="A864" s="523">
        <v>42777</v>
      </c>
      <c r="B864" s="80" t="s">
        <v>868</v>
      </c>
      <c r="C864" s="334" t="s">
        <v>2480</v>
      </c>
      <c r="D864" s="1">
        <v>1.9259259259259261E-2</v>
      </c>
      <c r="E864" s="80" t="s">
        <v>1214</v>
      </c>
      <c r="F864" s="69" t="s">
        <v>6405</v>
      </c>
      <c r="I864" s="2"/>
      <c r="K864" s="82">
        <v>0.65200000000000002</v>
      </c>
      <c r="M864" s="80"/>
    </row>
    <row r="865" spans="1:28" x14ac:dyDescent="0.2">
      <c r="A865" s="33">
        <v>42742</v>
      </c>
      <c r="B865" s="80" t="s">
        <v>868</v>
      </c>
      <c r="C865" s="334" t="s">
        <v>2480</v>
      </c>
      <c r="D865" s="1">
        <v>1.9189814814814816E-2</v>
      </c>
      <c r="E865" s="80" t="s">
        <v>1214</v>
      </c>
      <c r="F865" s="69" t="s">
        <v>6270</v>
      </c>
      <c r="I865" s="2"/>
      <c r="K865" s="82">
        <v>0.65439999999999998</v>
      </c>
      <c r="M865" s="80"/>
    </row>
    <row r="866" spans="1:28" x14ac:dyDescent="0.2">
      <c r="A866" s="523">
        <v>42910</v>
      </c>
      <c r="B866" s="80" t="s">
        <v>8098</v>
      </c>
      <c r="C866" s="334" t="s">
        <v>8099</v>
      </c>
      <c r="D866" s="1">
        <v>1.9976851851851853E-2</v>
      </c>
      <c r="E866" s="80" t="s">
        <v>5544</v>
      </c>
      <c r="F866" s="69" t="s">
        <v>1113</v>
      </c>
      <c r="I866" s="2"/>
      <c r="K866" s="82">
        <v>0.5232</v>
      </c>
    </row>
    <row r="867" spans="1:28" ht="12.75" customHeight="1" x14ac:dyDescent="0.2">
      <c r="A867" s="523">
        <v>43071</v>
      </c>
      <c r="B867" s="556" t="s">
        <v>5540</v>
      </c>
      <c r="C867" s="950" t="s">
        <v>5541</v>
      </c>
      <c r="D867" s="1">
        <v>1.8159722222222219E-2</v>
      </c>
      <c r="E867" s="80" t="s">
        <v>2627</v>
      </c>
      <c r="F867" s="69" t="s">
        <v>8882</v>
      </c>
      <c r="I867" s="2"/>
      <c r="K867" s="82">
        <v>0.66669999999999996</v>
      </c>
      <c r="M867" s="45">
        <v>1030</v>
      </c>
    </row>
    <row r="868" spans="1:28" ht="12.75" customHeight="1" x14ac:dyDescent="0.2">
      <c r="A868" s="523">
        <v>43064</v>
      </c>
      <c r="B868" s="869" t="s">
        <v>5540</v>
      </c>
      <c r="C868" s="903" t="s">
        <v>5541</v>
      </c>
      <c r="D868" s="1">
        <v>1.8749999999999999E-2</v>
      </c>
      <c r="E868" s="80" t="s">
        <v>2627</v>
      </c>
      <c r="F868" s="69" t="s">
        <v>8850</v>
      </c>
      <c r="I868" s="2"/>
      <c r="K868" s="82">
        <v>0.64570000000000005</v>
      </c>
    </row>
    <row r="869" spans="1:28" ht="12.75" customHeight="1" x14ac:dyDescent="0.2">
      <c r="A869" s="523">
        <v>43050</v>
      </c>
      <c r="B869" s="532" t="s">
        <v>5540</v>
      </c>
      <c r="C869" s="843" t="s">
        <v>5541</v>
      </c>
      <c r="D869" s="1">
        <v>1.9131944444444444E-2</v>
      </c>
      <c r="E869" s="80" t="s">
        <v>2627</v>
      </c>
      <c r="F869" s="69" t="s">
        <v>8777</v>
      </c>
      <c r="I869" s="2"/>
      <c r="K869" s="571">
        <v>0.63280000000000003</v>
      </c>
    </row>
    <row r="870" spans="1:28" ht="12.75" customHeight="1" x14ac:dyDescent="0.2">
      <c r="A870" s="523">
        <v>43036</v>
      </c>
      <c r="B870" s="934" t="s">
        <v>5540</v>
      </c>
      <c r="C870" s="935" t="s">
        <v>5541</v>
      </c>
      <c r="D870" s="1">
        <v>1.9444444444444445E-2</v>
      </c>
      <c r="E870" s="80" t="s">
        <v>2627</v>
      </c>
      <c r="F870" s="69" t="s">
        <v>8749</v>
      </c>
      <c r="I870" s="2"/>
      <c r="K870" s="82">
        <v>0.61609999999999998</v>
      </c>
      <c r="AB870" s="41"/>
    </row>
    <row r="871" spans="1:28" x14ac:dyDescent="0.2">
      <c r="A871" s="523">
        <v>43022</v>
      </c>
      <c r="B871" s="930" t="s">
        <v>5540</v>
      </c>
      <c r="C871" s="931" t="s">
        <v>5541</v>
      </c>
      <c r="D871" s="1">
        <v>1.9108796296296294E-2</v>
      </c>
      <c r="E871" s="80" t="s">
        <v>2627</v>
      </c>
      <c r="F871" s="69" t="s">
        <v>8683</v>
      </c>
      <c r="I871" s="2"/>
      <c r="K871" s="82">
        <v>0.62690000000000001</v>
      </c>
      <c r="M871" s="80"/>
    </row>
    <row r="872" spans="1:28" ht="12.75" customHeight="1" x14ac:dyDescent="0.2">
      <c r="A872" s="523">
        <v>43008</v>
      </c>
      <c r="B872" s="532" t="s">
        <v>5540</v>
      </c>
      <c r="C872" s="843" t="s">
        <v>5541</v>
      </c>
      <c r="D872" s="1">
        <v>1.8831018518518518E-2</v>
      </c>
      <c r="E872" s="80" t="s">
        <v>2627</v>
      </c>
      <c r="F872" s="69" t="s">
        <v>8592</v>
      </c>
      <c r="I872" s="2"/>
      <c r="K872" s="82">
        <v>0.6361</v>
      </c>
      <c r="M872" s="80"/>
    </row>
    <row r="873" spans="1:28" ht="12.75" customHeight="1" x14ac:dyDescent="0.2">
      <c r="A873" s="523">
        <v>42980</v>
      </c>
      <c r="B873" s="837" t="s">
        <v>5540</v>
      </c>
      <c r="C873" s="842" t="s">
        <v>5541</v>
      </c>
      <c r="D873" s="1">
        <v>1.9108796296296294E-2</v>
      </c>
      <c r="E873" s="80" t="s">
        <v>2627</v>
      </c>
      <c r="F873" s="69" t="s">
        <v>8485</v>
      </c>
      <c r="I873" s="2"/>
      <c r="K873" s="82">
        <v>0.62690000000000001</v>
      </c>
      <c r="M873" s="80"/>
    </row>
    <row r="874" spans="1:28" ht="12.75" customHeight="1" x14ac:dyDescent="0.2">
      <c r="A874" s="523">
        <v>42973</v>
      </c>
      <c r="B874" s="862" t="s">
        <v>5540</v>
      </c>
      <c r="C874" s="863" t="s">
        <v>5541</v>
      </c>
      <c r="D874" s="1">
        <v>1.9652777777777779E-2</v>
      </c>
      <c r="E874" s="80" t="s">
        <v>2627</v>
      </c>
      <c r="F874" s="69" t="s">
        <v>8432</v>
      </c>
      <c r="I874" s="2"/>
      <c r="K874" s="82">
        <v>0.60950000000000004</v>
      </c>
    </row>
    <row r="875" spans="1:28" ht="12.75" customHeight="1" x14ac:dyDescent="0.2">
      <c r="A875" s="523">
        <v>42952</v>
      </c>
      <c r="B875" s="862" t="s">
        <v>5540</v>
      </c>
      <c r="C875" s="863" t="s">
        <v>5541</v>
      </c>
      <c r="D875" s="1">
        <v>1.9189814814814816E-2</v>
      </c>
      <c r="E875" s="80" t="s">
        <v>2627</v>
      </c>
      <c r="F875" s="69" t="s">
        <v>8323</v>
      </c>
      <c r="I875" s="2"/>
      <c r="K875" s="82">
        <v>0.62419999999999998</v>
      </c>
      <c r="M875" s="80"/>
    </row>
    <row r="876" spans="1:28" ht="12.75" customHeight="1" x14ac:dyDescent="0.2">
      <c r="A876" s="523">
        <v>42910</v>
      </c>
      <c r="B876" s="80" t="s">
        <v>5540</v>
      </c>
      <c r="C876" s="334" t="s">
        <v>5541</v>
      </c>
      <c r="D876" s="1">
        <v>1.849537037037037E-2</v>
      </c>
      <c r="E876" s="80" t="s">
        <v>2596</v>
      </c>
      <c r="F876" s="69" t="s">
        <v>8089</v>
      </c>
      <c r="I876" s="2"/>
      <c r="K876" s="82">
        <v>0.64770000000000005</v>
      </c>
    </row>
    <row r="877" spans="1:28" ht="12.75" customHeight="1" x14ac:dyDescent="0.2">
      <c r="A877" s="523">
        <v>42903</v>
      </c>
      <c r="B877" s="80" t="s">
        <v>5540</v>
      </c>
      <c r="C877" s="334" t="s">
        <v>5541</v>
      </c>
      <c r="D877" s="1">
        <v>1.8067129629629631E-2</v>
      </c>
      <c r="E877" s="80" t="s">
        <v>2627</v>
      </c>
      <c r="F877" s="69" t="s">
        <v>8072</v>
      </c>
      <c r="I877" s="2"/>
      <c r="K877" s="82">
        <v>0.66300000000000003</v>
      </c>
      <c r="M877" s="80"/>
    </row>
    <row r="878" spans="1:28" x14ac:dyDescent="0.2">
      <c r="A878" s="523">
        <v>42882</v>
      </c>
      <c r="B878" s="80" t="s">
        <v>5540</v>
      </c>
      <c r="C878" s="334" t="s">
        <v>5541</v>
      </c>
      <c r="D878" s="1">
        <v>1.7951388888888888E-2</v>
      </c>
      <c r="E878" s="80" t="s">
        <v>2627</v>
      </c>
      <c r="F878" s="69" t="s">
        <v>7959</v>
      </c>
      <c r="I878" s="2"/>
      <c r="K878" s="82">
        <v>0.6673</v>
      </c>
      <c r="M878" s="80"/>
    </row>
    <row r="879" spans="1:28" ht="12.75" customHeight="1" x14ac:dyDescent="0.2">
      <c r="A879" s="523">
        <v>42868</v>
      </c>
      <c r="B879" s="80" t="s">
        <v>5540</v>
      </c>
      <c r="C879" s="334" t="s">
        <v>5541</v>
      </c>
      <c r="D879" s="1">
        <v>1.7835648148148149E-2</v>
      </c>
      <c r="E879" s="80" t="s">
        <v>2627</v>
      </c>
      <c r="F879" s="69" t="s">
        <v>2629</v>
      </c>
      <c r="I879" s="2"/>
      <c r="K879" s="82">
        <v>0.67159999999999997</v>
      </c>
      <c r="M879" s="80"/>
    </row>
    <row r="880" spans="1:28" ht="12.75" customHeight="1" x14ac:dyDescent="0.2">
      <c r="A880" s="523">
        <v>42861</v>
      </c>
      <c r="B880" s="80" t="s">
        <v>5540</v>
      </c>
      <c r="C880" s="334" t="s">
        <v>5541</v>
      </c>
      <c r="D880" s="1">
        <v>1.8206018518518517E-2</v>
      </c>
      <c r="E880" s="80" t="s">
        <v>2627</v>
      </c>
      <c r="F880" s="69" t="s">
        <v>7846</v>
      </c>
      <c r="I880" s="2"/>
      <c r="K880" s="82">
        <v>0.65800000000000003</v>
      </c>
      <c r="M880" s="80"/>
    </row>
    <row r="881" spans="1:13" ht="12.75" customHeight="1" x14ac:dyDescent="0.2">
      <c r="A881" s="523">
        <v>42847</v>
      </c>
      <c r="B881" s="80" t="s">
        <v>5540</v>
      </c>
      <c r="C881" s="334" t="s">
        <v>5541</v>
      </c>
      <c r="D881" s="1">
        <v>1.8078703703703704E-2</v>
      </c>
      <c r="E881" s="80" t="s">
        <v>2627</v>
      </c>
      <c r="F881" s="69" t="s">
        <v>7808</v>
      </c>
      <c r="G881" s="80"/>
      <c r="I881" s="2"/>
      <c r="K881" s="82">
        <v>0.66259999999999997</v>
      </c>
      <c r="M881" s="80"/>
    </row>
    <row r="882" spans="1:13" ht="12.75" customHeight="1" x14ac:dyDescent="0.2">
      <c r="A882" s="523">
        <v>42840</v>
      </c>
      <c r="B882" s="80" t="s">
        <v>5540</v>
      </c>
      <c r="C882" s="334" t="s">
        <v>5541</v>
      </c>
      <c r="D882" s="1">
        <v>1.861111111111111E-2</v>
      </c>
      <c r="E882" t="s">
        <v>2627</v>
      </c>
      <c r="F882" s="69" t="s">
        <v>7776</v>
      </c>
      <c r="I882" s="2"/>
      <c r="K882" s="82">
        <v>0.64370000000000005</v>
      </c>
      <c r="M882" s="80"/>
    </row>
    <row r="883" spans="1:13" ht="12.75" customHeight="1" x14ac:dyDescent="0.2">
      <c r="A883" s="523">
        <v>42791</v>
      </c>
      <c r="B883" s="80" t="s">
        <v>5540</v>
      </c>
      <c r="C883" s="334" t="s">
        <v>5541</v>
      </c>
      <c r="D883" s="1">
        <v>1.90625E-2</v>
      </c>
      <c r="E883" s="80" t="s">
        <v>2627</v>
      </c>
      <c r="F883" s="69" t="s">
        <v>7566</v>
      </c>
      <c r="I883" s="2"/>
      <c r="K883" s="82">
        <v>0.62839999999999996</v>
      </c>
      <c r="M883" s="80"/>
    </row>
    <row r="884" spans="1:13" ht="12.75" customHeight="1" x14ac:dyDescent="0.2">
      <c r="A884" s="33">
        <v>42756</v>
      </c>
      <c r="B884" s="80" t="s">
        <v>5540</v>
      </c>
      <c r="C884" s="334" t="s">
        <v>5541</v>
      </c>
      <c r="D884" s="334">
        <v>1.8749999999999999E-2</v>
      </c>
      <c r="E884" s="80" t="s">
        <v>2627</v>
      </c>
      <c r="F884" s="69" t="s">
        <v>6363</v>
      </c>
      <c r="I884" s="2"/>
      <c r="K884" s="82">
        <v>0.63890000000000002</v>
      </c>
      <c r="M884" s="80"/>
    </row>
    <row r="885" spans="1:13" ht="12.75" customHeight="1" x14ac:dyDescent="0.2">
      <c r="A885" s="523">
        <v>42736</v>
      </c>
      <c r="B885" s="80" t="s">
        <v>5540</v>
      </c>
      <c r="C885" s="334" t="s">
        <v>5541</v>
      </c>
      <c r="D885" s="1">
        <v>1.9259259259259261E-2</v>
      </c>
      <c r="E885" s="80" t="s">
        <v>2627</v>
      </c>
      <c r="F885" s="69" t="s">
        <v>6237</v>
      </c>
      <c r="I885" s="2"/>
      <c r="K885" s="82">
        <v>0.622</v>
      </c>
      <c r="M885" s="80"/>
    </row>
    <row r="886" spans="1:13" ht="12.75" customHeight="1" x14ac:dyDescent="0.2">
      <c r="A886" s="523">
        <v>43099</v>
      </c>
      <c r="B886" s="601" t="s">
        <v>3543</v>
      </c>
      <c r="C886" s="958" t="s">
        <v>3100</v>
      </c>
      <c r="D886" s="1">
        <v>1.7893518518518517E-2</v>
      </c>
      <c r="E886" s="80" t="s">
        <v>5947</v>
      </c>
      <c r="F886" s="69" t="s">
        <v>9006</v>
      </c>
      <c r="I886" s="2"/>
      <c r="K886" s="82">
        <v>0.58150000000000002</v>
      </c>
    </row>
    <row r="887" spans="1:13" x14ac:dyDescent="0.2">
      <c r="A887" s="523">
        <v>43022</v>
      </c>
      <c r="B887" s="930" t="s">
        <v>3543</v>
      </c>
      <c r="C887" s="931" t="s">
        <v>3100</v>
      </c>
      <c r="D887" s="1">
        <v>1.6006944444444445E-2</v>
      </c>
      <c r="E887" s="80" t="s">
        <v>5947</v>
      </c>
      <c r="F887" s="69" t="s">
        <v>8679</v>
      </c>
      <c r="I887" s="2"/>
      <c r="K887" s="82">
        <v>0.65</v>
      </c>
      <c r="M887" s="80"/>
    </row>
    <row r="888" spans="1:13" x14ac:dyDescent="0.2">
      <c r="A888" s="523">
        <v>43008</v>
      </c>
      <c r="B888" s="532" t="s">
        <v>3543</v>
      </c>
      <c r="C888" s="843" t="s">
        <v>3100</v>
      </c>
      <c r="D888" s="1">
        <v>1.6122685185185184E-2</v>
      </c>
      <c r="E888" s="80" t="s">
        <v>5947</v>
      </c>
      <c r="F888" s="69" t="s">
        <v>8605</v>
      </c>
      <c r="I888" s="2"/>
      <c r="K888" s="82">
        <v>0.64539999999999997</v>
      </c>
      <c r="M888" s="80" t="s">
        <v>8606</v>
      </c>
    </row>
    <row r="889" spans="1:13" x14ac:dyDescent="0.2">
      <c r="A889" s="523">
        <v>43001</v>
      </c>
      <c r="B889" s="906" t="s">
        <v>3543</v>
      </c>
      <c r="C889" s="907" t="s">
        <v>3100</v>
      </c>
      <c r="D889" s="334">
        <v>1.6423611111111111E-2</v>
      </c>
      <c r="E889" s="80" t="s">
        <v>5947</v>
      </c>
      <c r="F889" s="69" t="s">
        <v>8562</v>
      </c>
      <c r="I889" s="2"/>
      <c r="K889" s="82">
        <v>0.63349999999999995</v>
      </c>
      <c r="M889" s="80"/>
    </row>
    <row r="890" spans="1:13" x14ac:dyDescent="0.2">
      <c r="A890" s="523">
        <v>43099</v>
      </c>
      <c r="B890" s="80" t="s">
        <v>5980</v>
      </c>
      <c r="C890" s="334" t="s">
        <v>4818</v>
      </c>
      <c r="D890" s="334" t="s">
        <v>787</v>
      </c>
      <c r="E890" s="80" t="s">
        <v>5656</v>
      </c>
      <c r="F890" s="69" t="s">
        <v>4061</v>
      </c>
      <c r="I890" s="2"/>
      <c r="K890" s="82"/>
    </row>
    <row r="891" spans="1:13" x14ac:dyDescent="0.2">
      <c r="A891" s="523">
        <v>43092</v>
      </c>
      <c r="B891" s="568" t="s">
        <v>5980</v>
      </c>
      <c r="C891" s="861" t="s">
        <v>4818</v>
      </c>
      <c r="D891" s="1">
        <v>2.584490740740741E-2</v>
      </c>
      <c r="E891" s="80" t="s">
        <v>8953</v>
      </c>
      <c r="F891" s="69" t="s">
        <v>8966</v>
      </c>
      <c r="I891" s="2"/>
      <c r="K891" s="82">
        <v>0.5141</v>
      </c>
    </row>
    <row r="892" spans="1:13" x14ac:dyDescent="0.2">
      <c r="A892" s="523">
        <v>43078</v>
      </c>
      <c r="B892" s="879" t="s">
        <v>5980</v>
      </c>
      <c r="C892" s="880" t="s">
        <v>4818</v>
      </c>
      <c r="D892" s="1">
        <v>2.3958333333333331E-2</v>
      </c>
      <c r="E892" s="80" t="s">
        <v>8914</v>
      </c>
      <c r="F892" s="69" t="s">
        <v>8915</v>
      </c>
      <c r="I892" s="2"/>
      <c r="K892" s="82">
        <v>0.55459999999999998</v>
      </c>
      <c r="M892" s="45">
        <v>900</v>
      </c>
    </row>
    <row r="893" spans="1:13" x14ac:dyDescent="0.2">
      <c r="A893" s="523">
        <v>43071</v>
      </c>
      <c r="B893" s="556" t="s">
        <v>5980</v>
      </c>
      <c r="C893" s="950" t="s">
        <v>4818</v>
      </c>
      <c r="D893" s="1">
        <v>2.3993055555555556E-2</v>
      </c>
      <c r="E893" s="80" t="s">
        <v>358</v>
      </c>
      <c r="F893" s="69" t="s">
        <v>8883</v>
      </c>
      <c r="I893" s="2"/>
      <c r="K893" s="82">
        <v>0.55379999999999996</v>
      </c>
      <c r="M893" s="45">
        <v>1030</v>
      </c>
    </row>
    <row r="894" spans="1:13" x14ac:dyDescent="0.2">
      <c r="A894" s="523">
        <v>43064</v>
      </c>
      <c r="B894" s="869" t="s">
        <v>5980</v>
      </c>
      <c r="C894" s="903" t="s">
        <v>4818</v>
      </c>
      <c r="D894" s="1">
        <v>2.4201388888888887E-2</v>
      </c>
      <c r="E894" s="80" t="s">
        <v>5656</v>
      </c>
      <c r="F894" s="69" t="s">
        <v>8841</v>
      </c>
      <c r="I894" s="2"/>
      <c r="K894" s="82">
        <v>0.54900000000000004</v>
      </c>
    </row>
    <row r="895" spans="1:13" x14ac:dyDescent="0.2">
      <c r="A895" s="523">
        <v>43057</v>
      </c>
      <c r="B895" s="940" t="s">
        <v>5980</v>
      </c>
      <c r="C895" s="941" t="s">
        <v>4818</v>
      </c>
      <c r="D895" s="1">
        <v>2.2881944444444444E-2</v>
      </c>
      <c r="E895" s="80" t="s">
        <v>358</v>
      </c>
      <c r="F895" s="69" t="s">
        <v>8812</v>
      </c>
      <c r="I895" s="2"/>
      <c r="K895" s="82">
        <v>0.58069999999999999</v>
      </c>
    </row>
    <row r="896" spans="1:13" x14ac:dyDescent="0.2">
      <c r="A896" s="523">
        <v>43050</v>
      </c>
      <c r="B896" s="532" t="s">
        <v>5980</v>
      </c>
      <c r="C896" s="843" t="s">
        <v>4818</v>
      </c>
      <c r="D896" s="1">
        <v>2.4745370370370372E-2</v>
      </c>
      <c r="E896" s="80" t="s">
        <v>8775</v>
      </c>
      <c r="F896" s="69" t="s">
        <v>8827</v>
      </c>
      <c r="I896" s="2"/>
      <c r="K896" s="82">
        <v>0.53700000000000003</v>
      </c>
    </row>
    <row r="897" spans="1:13" x14ac:dyDescent="0.2">
      <c r="A897" s="523">
        <v>43043</v>
      </c>
      <c r="B897" s="936" t="s">
        <v>5980</v>
      </c>
      <c r="C897" s="937" t="s">
        <v>4818</v>
      </c>
      <c r="D897" s="1">
        <v>2.2326388888888885E-2</v>
      </c>
      <c r="E897" s="80" t="s">
        <v>358</v>
      </c>
      <c r="F897" s="69" t="s">
        <v>8766</v>
      </c>
      <c r="I897" s="2"/>
      <c r="K897" s="82">
        <v>0.59509999999999996</v>
      </c>
    </row>
    <row r="898" spans="1:13" x14ac:dyDescent="0.2">
      <c r="A898" s="523">
        <v>43029</v>
      </c>
      <c r="B898" s="901" t="s">
        <v>5980</v>
      </c>
      <c r="C898" s="902" t="s">
        <v>4818</v>
      </c>
      <c r="D898" s="1">
        <v>2.2025462962962958E-2</v>
      </c>
      <c r="E898" s="80" t="s">
        <v>358</v>
      </c>
      <c r="F898" s="69" t="s">
        <v>8718</v>
      </c>
      <c r="I898" s="2"/>
      <c r="K898" s="82">
        <v>0.60329999999999995</v>
      </c>
      <c r="M898" t="s">
        <v>6411</v>
      </c>
    </row>
    <row r="899" spans="1:13" x14ac:dyDescent="0.2">
      <c r="A899" s="523">
        <v>43022</v>
      </c>
      <c r="B899" s="930" t="s">
        <v>5980</v>
      </c>
      <c r="C899" s="931" t="s">
        <v>4818</v>
      </c>
      <c r="D899" s="334" t="s">
        <v>787</v>
      </c>
      <c r="E899" s="80" t="s">
        <v>2465</v>
      </c>
      <c r="F899" s="69"/>
      <c r="I899" s="2"/>
      <c r="K899" s="82"/>
    </row>
    <row r="900" spans="1:13" x14ac:dyDescent="0.2">
      <c r="A900" s="523">
        <v>43015</v>
      </c>
      <c r="B900" s="923" t="s">
        <v>5980</v>
      </c>
      <c r="C900" s="924" t="s">
        <v>4818</v>
      </c>
      <c r="D900" s="1">
        <v>2.269675925925926E-2</v>
      </c>
      <c r="E900" s="80" t="s">
        <v>5656</v>
      </c>
      <c r="F900" s="69" t="s">
        <v>8628</v>
      </c>
      <c r="I900" s="2"/>
      <c r="K900" s="82">
        <v>0.58540000000000003</v>
      </c>
    </row>
    <row r="901" spans="1:13" x14ac:dyDescent="0.2">
      <c r="A901" s="523">
        <v>43008</v>
      </c>
      <c r="B901" s="532" t="s">
        <v>5980</v>
      </c>
      <c r="C901" s="843" t="s">
        <v>4818</v>
      </c>
      <c r="D901" s="1">
        <v>2.3518518518518518E-2</v>
      </c>
      <c r="E901" s="80" t="s">
        <v>8216</v>
      </c>
      <c r="F901" s="69" t="s">
        <v>8826</v>
      </c>
      <c r="I901" s="2"/>
      <c r="K901" s="82">
        <v>0.56499999999999995</v>
      </c>
    </row>
    <row r="902" spans="1:13" x14ac:dyDescent="0.2">
      <c r="A902" s="523">
        <v>43001</v>
      </c>
      <c r="B902" s="906" t="s">
        <v>5980</v>
      </c>
      <c r="C902" s="907" t="s">
        <v>4818</v>
      </c>
      <c r="D902" s="1">
        <v>2.361111111111111E-2</v>
      </c>
      <c r="E902" s="80" t="s">
        <v>2312</v>
      </c>
      <c r="F902" s="69" t="s">
        <v>8556</v>
      </c>
      <c r="I902" s="2"/>
      <c r="K902" s="82">
        <v>0.56269999999999998</v>
      </c>
    </row>
    <row r="903" spans="1:13" x14ac:dyDescent="0.2">
      <c r="A903" s="523">
        <v>42994</v>
      </c>
      <c r="B903" s="869" t="s">
        <v>5980</v>
      </c>
      <c r="C903" s="903" t="s">
        <v>4818</v>
      </c>
      <c r="D903" s="1">
        <v>2.2962962962962966E-2</v>
      </c>
      <c r="E903" s="80" t="s">
        <v>8537</v>
      </c>
      <c r="F903" s="69" t="s">
        <v>471</v>
      </c>
      <c r="I903" s="2"/>
      <c r="K903" s="82">
        <v>0.5786</v>
      </c>
      <c r="M903" s="80"/>
    </row>
    <row r="904" spans="1:13" x14ac:dyDescent="0.2">
      <c r="A904" s="523">
        <v>42987</v>
      </c>
      <c r="B904" s="532" t="s">
        <v>5980</v>
      </c>
      <c r="C904" s="843" t="s">
        <v>4818</v>
      </c>
      <c r="D904" s="1">
        <v>2.3935185185185184E-2</v>
      </c>
      <c r="E904" s="80" t="s">
        <v>358</v>
      </c>
      <c r="F904" s="69" t="s">
        <v>8505</v>
      </c>
      <c r="I904" s="2"/>
      <c r="K904" s="82">
        <v>0.55510000000000004</v>
      </c>
      <c r="M904" s="80"/>
    </row>
    <row r="905" spans="1:13" x14ac:dyDescent="0.2">
      <c r="A905" s="523">
        <v>42980</v>
      </c>
      <c r="B905" s="837" t="s">
        <v>5980</v>
      </c>
      <c r="C905" s="842" t="s">
        <v>4818</v>
      </c>
      <c r="D905" s="1">
        <v>2.3009259259259257E-2</v>
      </c>
      <c r="E905" s="80" t="s">
        <v>8483</v>
      </c>
      <c r="F905" s="69" t="s">
        <v>8484</v>
      </c>
      <c r="I905" s="2"/>
      <c r="K905" s="82">
        <v>0.57750000000000001</v>
      </c>
    </row>
    <row r="906" spans="1:13" x14ac:dyDescent="0.2">
      <c r="A906" s="523">
        <v>42959</v>
      </c>
      <c r="B906" s="866" t="s">
        <v>5980</v>
      </c>
      <c r="C906" s="867" t="s">
        <v>4818</v>
      </c>
      <c r="D906" s="1">
        <v>2.4861111111111108E-2</v>
      </c>
      <c r="E906" s="80" t="s">
        <v>1116</v>
      </c>
      <c r="F906" s="69" t="s">
        <v>8344</v>
      </c>
      <c r="I906" s="2"/>
      <c r="K906" s="82">
        <v>0.53449999999999998</v>
      </c>
      <c r="M906" s="80"/>
    </row>
    <row r="907" spans="1:13" x14ac:dyDescent="0.2">
      <c r="A907" s="523">
        <v>42938</v>
      </c>
      <c r="B907" s="532" t="s">
        <v>5980</v>
      </c>
      <c r="C907" s="843" t="s">
        <v>4818</v>
      </c>
      <c r="D907" s="1">
        <v>2.478009259259259E-2</v>
      </c>
      <c r="E907" s="80" t="s">
        <v>4379</v>
      </c>
      <c r="F907" s="69" t="s">
        <v>8238</v>
      </c>
      <c r="I907" s="2"/>
      <c r="K907" s="82">
        <v>0.53620000000000001</v>
      </c>
    </row>
    <row r="908" spans="1:13" x14ac:dyDescent="0.2">
      <c r="A908" s="523">
        <v>42931</v>
      </c>
      <c r="B908" s="80" t="s">
        <v>5980</v>
      </c>
      <c r="C908" s="334" t="s">
        <v>4818</v>
      </c>
      <c r="D908" s="1" t="s">
        <v>787</v>
      </c>
      <c r="E908" s="80" t="s">
        <v>5656</v>
      </c>
      <c r="F908" s="69" t="s">
        <v>4061</v>
      </c>
      <c r="I908" s="2"/>
      <c r="K908" s="82"/>
      <c r="M908" s="80"/>
    </row>
    <row r="909" spans="1:13" x14ac:dyDescent="0.2">
      <c r="A909" s="523">
        <v>42910</v>
      </c>
      <c r="B909" s="80" t="s">
        <v>5980</v>
      </c>
      <c r="C909" s="334" t="s">
        <v>4818</v>
      </c>
      <c r="D909" s="1">
        <v>2.3518518518518518E-2</v>
      </c>
      <c r="E909" s="80" t="s">
        <v>5656</v>
      </c>
      <c r="F909" s="69" t="s">
        <v>8101</v>
      </c>
      <c r="I909" s="2"/>
      <c r="K909" s="82">
        <v>0.56499999999999995</v>
      </c>
      <c r="M909" s="80"/>
    </row>
    <row r="910" spans="1:13" x14ac:dyDescent="0.2">
      <c r="A910" s="523">
        <v>42903</v>
      </c>
      <c r="B910" s="80" t="s">
        <v>5980</v>
      </c>
      <c r="C910" s="334" t="s">
        <v>4818</v>
      </c>
      <c r="D910" s="1">
        <v>2.4479166666666666E-2</v>
      </c>
      <c r="E910" s="80" t="s">
        <v>5656</v>
      </c>
      <c r="F910" s="69" t="s">
        <v>8062</v>
      </c>
      <c r="I910" s="2"/>
      <c r="K910" s="82">
        <v>0.54330000000000001</v>
      </c>
      <c r="M910" s="80"/>
    </row>
    <row r="911" spans="1:13" x14ac:dyDescent="0.2">
      <c r="A911" s="523">
        <v>42896</v>
      </c>
      <c r="B911" s="80" t="s">
        <v>5980</v>
      </c>
      <c r="C911" s="334" t="s">
        <v>4818</v>
      </c>
      <c r="D911" s="1">
        <v>2.2025462962962958E-2</v>
      </c>
      <c r="E911" s="80" t="s">
        <v>5656</v>
      </c>
      <c r="F911" s="69" t="s">
        <v>8024</v>
      </c>
      <c r="I911" s="2"/>
      <c r="K911" s="82">
        <v>0.60329999999999995</v>
      </c>
    </row>
    <row r="912" spans="1:13" ht="12.75" customHeight="1" x14ac:dyDescent="0.2">
      <c r="A912" s="523">
        <v>42889</v>
      </c>
      <c r="B912" s="80" t="s">
        <v>5980</v>
      </c>
      <c r="C912" s="334" t="s">
        <v>4818</v>
      </c>
      <c r="D912" s="1">
        <v>2.2083333333333333E-2</v>
      </c>
      <c r="E912" s="80" t="s">
        <v>468</v>
      </c>
      <c r="F912" s="69" t="s">
        <v>7981</v>
      </c>
      <c r="I912" s="2"/>
      <c r="K912" s="82">
        <v>0.60170000000000001</v>
      </c>
    </row>
    <row r="913" spans="1:13" x14ac:dyDescent="0.2">
      <c r="A913" s="523">
        <v>42882</v>
      </c>
      <c r="B913" s="80" t="s">
        <v>5980</v>
      </c>
      <c r="C913" s="334" t="s">
        <v>4818</v>
      </c>
      <c r="D913" s="1">
        <v>2.2407407407407407E-2</v>
      </c>
      <c r="E913" s="80" t="s">
        <v>2312</v>
      </c>
      <c r="F913" s="69" t="s">
        <v>7958</v>
      </c>
      <c r="I913" s="2"/>
      <c r="K913" s="82">
        <v>0.59299999999999997</v>
      </c>
      <c r="M913" s="80"/>
    </row>
    <row r="914" spans="1:13" x14ac:dyDescent="0.2">
      <c r="A914" s="523">
        <v>42875</v>
      </c>
      <c r="B914" s="80" t="s">
        <v>5980</v>
      </c>
      <c r="C914" s="334" t="s">
        <v>4818</v>
      </c>
      <c r="D914" s="1">
        <v>2.1319444444444443E-2</v>
      </c>
      <c r="E914" s="80" t="s">
        <v>358</v>
      </c>
      <c r="F914" s="69" t="s">
        <v>7930</v>
      </c>
      <c r="I914" s="2"/>
      <c r="K914" s="82">
        <v>0.62319999999999998</v>
      </c>
      <c r="M914" s="80"/>
    </row>
    <row r="915" spans="1:13" ht="12.75" customHeight="1" x14ac:dyDescent="0.2">
      <c r="A915" s="523">
        <v>42868</v>
      </c>
      <c r="B915" s="80" t="s">
        <v>5980</v>
      </c>
      <c r="C915" s="334" t="s">
        <v>4818</v>
      </c>
      <c r="D915" s="1">
        <v>2.6342592592592588E-2</v>
      </c>
      <c r="E915" s="80" t="s">
        <v>5759</v>
      </c>
      <c r="F915" s="69" t="s">
        <v>7903</v>
      </c>
      <c r="I915" s="2"/>
      <c r="K915" s="82">
        <v>0.50439999999999996</v>
      </c>
      <c r="M915" s="80"/>
    </row>
    <row r="916" spans="1:13" ht="12.75" customHeight="1" x14ac:dyDescent="0.2">
      <c r="A916" s="523">
        <v>42861</v>
      </c>
      <c r="B916" s="80" t="s">
        <v>5980</v>
      </c>
      <c r="C916" s="334" t="s">
        <v>4818</v>
      </c>
      <c r="D916" s="334">
        <v>2.298611111111111E-2</v>
      </c>
      <c r="E916" s="80" t="s">
        <v>7850</v>
      </c>
      <c r="F916" s="69" t="s">
        <v>7856</v>
      </c>
      <c r="I916" s="2"/>
      <c r="K916" s="82">
        <v>0.57799999999999996</v>
      </c>
    </row>
    <row r="917" spans="1:13" ht="12.75" customHeight="1" x14ac:dyDescent="0.2">
      <c r="A917" s="523">
        <v>42854</v>
      </c>
      <c r="B917" s="80" t="s">
        <v>5980</v>
      </c>
      <c r="C917" s="334" t="s">
        <v>4818</v>
      </c>
      <c r="D917" s="1">
        <v>2.146990740740741E-2</v>
      </c>
      <c r="E917" s="80" t="s">
        <v>5656</v>
      </c>
      <c r="F917" s="69" t="s">
        <v>7821</v>
      </c>
      <c r="I917" s="2"/>
      <c r="K917" s="82">
        <v>0.61890000000000001</v>
      </c>
      <c r="M917" s="80"/>
    </row>
    <row r="918" spans="1:13" ht="12.75" customHeight="1" x14ac:dyDescent="0.2">
      <c r="A918" s="523">
        <v>42840</v>
      </c>
      <c r="B918" s="80" t="s">
        <v>5980</v>
      </c>
      <c r="C918" s="334" t="s">
        <v>4818</v>
      </c>
      <c r="D918" s="1">
        <v>2.2326388888888885E-2</v>
      </c>
      <c r="E918" s="80" t="s">
        <v>5656</v>
      </c>
      <c r="F918" s="69" t="s">
        <v>7782</v>
      </c>
      <c r="I918" s="2"/>
      <c r="K918" s="82">
        <v>0.59509999999999996</v>
      </c>
      <c r="M918" s="80"/>
    </row>
    <row r="919" spans="1:13" ht="14.25" customHeight="1" x14ac:dyDescent="0.2">
      <c r="A919" s="523">
        <v>42833</v>
      </c>
      <c r="B919" s="80" t="s">
        <v>5980</v>
      </c>
      <c r="C919" s="334" t="s">
        <v>4818</v>
      </c>
      <c r="D919" s="1">
        <v>2.2835648148148147E-2</v>
      </c>
      <c r="E919" s="80" t="s">
        <v>6159</v>
      </c>
      <c r="F919" s="69" t="s">
        <v>7729</v>
      </c>
      <c r="I919" s="2"/>
      <c r="K919" s="82">
        <v>0.58189999999999997</v>
      </c>
    </row>
    <row r="920" spans="1:13" ht="14.25" customHeight="1" x14ac:dyDescent="0.2">
      <c r="A920" s="523">
        <v>42826</v>
      </c>
      <c r="B920" s="80" t="s">
        <v>5980</v>
      </c>
      <c r="C920" s="334" t="s">
        <v>4818</v>
      </c>
      <c r="D920" s="1">
        <v>2.3136574074074077E-2</v>
      </c>
      <c r="E920" s="80" t="s">
        <v>5347</v>
      </c>
      <c r="F920" s="69" t="s">
        <v>7702</v>
      </c>
      <c r="I920" s="2"/>
      <c r="K920" s="82">
        <v>0.57430000000000003</v>
      </c>
      <c r="M920" s="80"/>
    </row>
    <row r="921" spans="1:13" ht="14.25" customHeight="1" x14ac:dyDescent="0.2">
      <c r="A921" s="523">
        <v>42819</v>
      </c>
      <c r="B921" s="80" t="s">
        <v>5980</v>
      </c>
      <c r="C921" s="334" t="s">
        <v>4818</v>
      </c>
      <c r="D921" s="1">
        <v>2.2916666666666669E-2</v>
      </c>
      <c r="E921" s="624" t="s">
        <v>358</v>
      </c>
      <c r="F921" s="69" t="s">
        <v>7683</v>
      </c>
      <c r="I921" s="2"/>
      <c r="K921" s="82">
        <v>0.57979999999999998</v>
      </c>
      <c r="M921" s="80"/>
    </row>
    <row r="922" spans="1:13" ht="14.25" customHeight="1" x14ac:dyDescent="0.2">
      <c r="A922" s="523">
        <v>42812</v>
      </c>
      <c r="B922" s="80" t="s">
        <v>5980</v>
      </c>
      <c r="C922" s="334" t="s">
        <v>4818</v>
      </c>
      <c r="D922" s="1">
        <v>2.3287037037037037E-2</v>
      </c>
      <c r="E922" s="80" t="s">
        <v>5656</v>
      </c>
      <c r="F922" s="69" t="s">
        <v>7646</v>
      </c>
      <c r="I922" s="2"/>
      <c r="K922" s="82">
        <v>0.5706</v>
      </c>
      <c r="M922" s="80"/>
    </row>
    <row r="923" spans="1:13" ht="14.25" customHeight="1" x14ac:dyDescent="0.2">
      <c r="A923" s="33">
        <v>42805</v>
      </c>
      <c r="B923" s="80" t="s">
        <v>5980</v>
      </c>
      <c r="C923" s="334" t="s">
        <v>4818</v>
      </c>
      <c r="D923" s="1">
        <v>2.4166666666666666E-2</v>
      </c>
      <c r="E923" s="80" t="s">
        <v>5656</v>
      </c>
      <c r="F923" s="69" t="s">
        <v>7631</v>
      </c>
      <c r="I923" s="2"/>
      <c r="K923" s="82">
        <v>0.54979999999999996</v>
      </c>
      <c r="M923" s="80"/>
    </row>
    <row r="924" spans="1:13" ht="14.25" customHeight="1" x14ac:dyDescent="0.2">
      <c r="A924" s="523">
        <v>42798</v>
      </c>
      <c r="B924" t="s">
        <v>5980</v>
      </c>
      <c r="C924" s="334" t="s">
        <v>4818</v>
      </c>
      <c r="D924" s="1">
        <v>2.6608796296296297E-2</v>
      </c>
      <c r="E924" s="80" t="s">
        <v>5656</v>
      </c>
      <c r="F924" s="69" t="s">
        <v>7597</v>
      </c>
      <c r="I924" s="2"/>
      <c r="K924" s="82">
        <v>0.49930000000000002</v>
      </c>
      <c r="M924" s="80" t="s">
        <v>8604</v>
      </c>
    </row>
    <row r="925" spans="1:13" ht="14.25" customHeight="1" x14ac:dyDescent="0.2">
      <c r="A925" s="523">
        <v>42791</v>
      </c>
      <c r="B925" s="80" t="s">
        <v>5980</v>
      </c>
      <c r="C925" s="334" t="s">
        <v>4818</v>
      </c>
      <c r="D925" s="1">
        <v>2.4201388888888887E-2</v>
      </c>
      <c r="E925" s="80" t="s">
        <v>358</v>
      </c>
      <c r="F925" s="69" t="s">
        <v>7567</v>
      </c>
      <c r="I925" s="2"/>
      <c r="K925" s="82">
        <v>0.54900000000000004</v>
      </c>
      <c r="M925" s="80"/>
    </row>
    <row r="926" spans="1:13" ht="14.25" customHeight="1" x14ac:dyDescent="0.2">
      <c r="A926" s="523">
        <v>42784</v>
      </c>
      <c r="B926" s="80" t="s">
        <v>5980</v>
      </c>
      <c r="C926" s="334" t="s">
        <v>4818</v>
      </c>
      <c r="D926" s="1">
        <v>2.5601851851851851E-2</v>
      </c>
      <c r="E926" s="80" t="s">
        <v>5656</v>
      </c>
      <c r="F926" s="69" t="s">
        <v>6434</v>
      </c>
      <c r="I926" s="2"/>
      <c r="K926" s="82">
        <v>0.51900000000000002</v>
      </c>
      <c r="M926" s="80"/>
    </row>
    <row r="927" spans="1:13" ht="14.25" customHeight="1" x14ac:dyDescent="0.2">
      <c r="A927" s="523">
        <v>42777</v>
      </c>
      <c r="B927" s="80" t="s">
        <v>5980</v>
      </c>
      <c r="C927" s="334" t="s">
        <v>4818</v>
      </c>
      <c r="D927" s="1">
        <v>2.8715277777777781E-2</v>
      </c>
      <c r="E927" s="80" t="s">
        <v>6283</v>
      </c>
      <c r="F927" s="69" t="s">
        <v>6409</v>
      </c>
      <c r="I927" s="2"/>
      <c r="K927" s="82">
        <v>0.4627</v>
      </c>
      <c r="M927" s="80"/>
    </row>
    <row r="928" spans="1:13" ht="14.25" customHeight="1" x14ac:dyDescent="0.2">
      <c r="A928" s="33">
        <v>42770</v>
      </c>
      <c r="B928" s="80" t="s">
        <v>5980</v>
      </c>
      <c r="C928" s="334" t="s">
        <v>4818</v>
      </c>
      <c r="D928" s="334" t="s">
        <v>787</v>
      </c>
      <c r="E928" s="80" t="s">
        <v>6075</v>
      </c>
      <c r="F928" s="69"/>
      <c r="I928" s="2"/>
      <c r="K928" s="82"/>
      <c r="M928" s="80"/>
    </row>
    <row r="929" spans="1:13" ht="14.25" customHeight="1" x14ac:dyDescent="0.2">
      <c r="A929" s="33">
        <v>42763</v>
      </c>
      <c r="B929" s="80" t="s">
        <v>5980</v>
      </c>
      <c r="C929" s="334" t="s">
        <v>4818</v>
      </c>
      <c r="D929" s="334" t="s">
        <v>787</v>
      </c>
      <c r="E929" s="80" t="s">
        <v>5656</v>
      </c>
      <c r="F929" s="69" t="s">
        <v>4061</v>
      </c>
      <c r="I929" s="2"/>
      <c r="K929" s="82"/>
      <c r="M929" s="80"/>
    </row>
    <row r="930" spans="1:13" ht="14.25" customHeight="1" x14ac:dyDescent="0.2">
      <c r="A930" s="523">
        <v>42749</v>
      </c>
      <c r="B930" s="80" t="s">
        <v>5980</v>
      </c>
      <c r="C930" s="334" t="s">
        <v>4818</v>
      </c>
      <c r="D930" s="1">
        <v>2.6539351851851852E-2</v>
      </c>
      <c r="E930" s="80" t="s">
        <v>3157</v>
      </c>
      <c r="F930" s="69" t="s">
        <v>6309</v>
      </c>
      <c r="I930" s="2"/>
      <c r="K930" s="82">
        <v>0.49370000000000003</v>
      </c>
      <c r="M930" s="80"/>
    </row>
    <row r="931" spans="1:13" ht="14.25" customHeight="1" x14ac:dyDescent="0.2">
      <c r="A931" s="33">
        <v>42742</v>
      </c>
      <c r="B931" s="80" t="s">
        <v>5980</v>
      </c>
      <c r="C931" s="334" t="s">
        <v>4818</v>
      </c>
      <c r="D931" s="1">
        <v>1.7534722222222222E-2</v>
      </c>
      <c r="E931" s="80" t="s">
        <v>5656</v>
      </c>
      <c r="F931" s="69" t="s">
        <v>6267</v>
      </c>
      <c r="I931" s="2"/>
      <c r="K931" s="82">
        <v>0.53520000000000001</v>
      </c>
      <c r="M931" s="80"/>
    </row>
    <row r="932" spans="1:13" ht="14.25" customHeight="1" x14ac:dyDescent="0.2">
      <c r="A932" s="523">
        <v>42736</v>
      </c>
      <c r="B932" s="80" t="s">
        <v>5980</v>
      </c>
      <c r="C932" s="334" t="s">
        <v>4818</v>
      </c>
      <c r="D932" s="1">
        <v>2.4976851851851851E-2</v>
      </c>
      <c r="E932" s="80" t="s">
        <v>4632</v>
      </c>
      <c r="F932" s="69" t="s">
        <v>6235</v>
      </c>
      <c r="I932" s="2"/>
      <c r="K932" s="82">
        <v>0.52459999999999996</v>
      </c>
      <c r="M932" s="80"/>
    </row>
    <row r="933" spans="1:13" ht="14.25" customHeight="1" x14ac:dyDescent="0.2">
      <c r="A933" s="523">
        <v>42736</v>
      </c>
      <c r="B933" s="80" t="s">
        <v>5980</v>
      </c>
      <c r="C933" s="334" t="s">
        <v>4818</v>
      </c>
      <c r="D933" s="1">
        <v>2.6736111111111113E-2</v>
      </c>
      <c r="E933" s="80" t="s">
        <v>6209</v>
      </c>
      <c r="F933" s="69" t="s">
        <v>6236</v>
      </c>
      <c r="I933" s="2"/>
      <c r="K933" s="82">
        <v>0.49</v>
      </c>
      <c r="M933" s="80"/>
    </row>
    <row r="934" spans="1:13" ht="14.25" customHeight="1" x14ac:dyDescent="0.2">
      <c r="A934" s="523">
        <v>43022</v>
      </c>
      <c r="B934" s="930" t="s">
        <v>4071</v>
      </c>
      <c r="C934" s="931" t="s">
        <v>1691</v>
      </c>
      <c r="D934" s="1">
        <v>2.5347222222222219E-2</v>
      </c>
      <c r="E934" s="80" t="s">
        <v>8664</v>
      </c>
      <c r="F934" s="69" t="s">
        <v>8666</v>
      </c>
      <c r="I934" s="2"/>
      <c r="K934" s="82">
        <v>0.47720000000000001</v>
      </c>
      <c r="M934" s="80"/>
    </row>
    <row r="935" spans="1:13" ht="14.25" customHeight="1" x14ac:dyDescent="0.2">
      <c r="A935" s="523">
        <v>43099</v>
      </c>
      <c r="B935" s="601" t="s">
        <v>3011</v>
      </c>
      <c r="C935" s="958" t="s">
        <v>3012</v>
      </c>
      <c r="D935" s="1">
        <v>1.2870370370370372E-2</v>
      </c>
      <c r="E935" s="80" t="s">
        <v>840</v>
      </c>
      <c r="F935" s="69" t="s">
        <v>9001</v>
      </c>
      <c r="I935" s="2"/>
      <c r="K935" s="82">
        <v>0.79590000000000005</v>
      </c>
    </row>
    <row r="936" spans="1:13" ht="14.25" customHeight="1" x14ac:dyDescent="0.2">
      <c r="A936" s="965">
        <v>43094</v>
      </c>
      <c r="B936" s="962" t="s">
        <v>3011</v>
      </c>
      <c r="C936" s="963" t="s">
        <v>3012</v>
      </c>
      <c r="D936" s="1">
        <v>1.2800925925925926E-2</v>
      </c>
      <c r="E936" s="80" t="s">
        <v>3009</v>
      </c>
      <c r="F936" s="69" t="s">
        <v>8990</v>
      </c>
      <c r="I936" s="2"/>
      <c r="K936" s="82">
        <v>0.80020000000000002</v>
      </c>
    </row>
    <row r="937" spans="1:13" ht="14.25" customHeight="1" x14ac:dyDescent="0.2">
      <c r="A937" s="523">
        <v>43092</v>
      </c>
      <c r="B937" s="568" t="s">
        <v>3011</v>
      </c>
      <c r="C937" s="861" t="s">
        <v>3012</v>
      </c>
      <c r="D937" s="334">
        <v>1.2569444444444446E-2</v>
      </c>
      <c r="E937" s="80" t="s">
        <v>3009</v>
      </c>
      <c r="F937" s="69" t="s">
        <v>8971</v>
      </c>
      <c r="I937" s="2"/>
      <c r="K937" s="82">
        <v>0.81489999999999996</v>
      </c>
    </row>
    <row r="938" spans="1:13" ht="14.25" customHeight="1" x14ac:dyDescent="0.2">
      <c r="A938" s="523">
        <v>43001</v>
      </c>
      <c r="B938" s="906" t="s">
        <v>3011</v>
      </c>
      <c r="C938" s="907" t="s">
        <v>3012</v>
      </c>
      <c r="D938" s="1">
        <v>1.2534722222222223E-2</v>
      </c>
      <c r="E938" s="80" t="s">
        <v>3009</v>
      </c>
      <c r="F938" s="69" t="s">
        <v>4885</v>
      </c>
      <c r="I938" s="2"/>
      <c r="K938" s="82">
        <v>0.81720000000000004</v>
      </c>
      <c r="M938" s="45">
        <v>1030</v>
      </c>
    </row>
    <row r="939" spans="1:13" ht="14.25" customHeight="1" x14ac:dyDescent="0.2">
      <c r="A939" s="523">
        <v>42959</v>
      </c>
      <c r="B939" s="866" t="s">
        <v>3011</v>
      </c>
      <c r="C939" s="867" t="s">
        <v>3012</v>
      </c>
      <c r="D939" s="1">
        <v>1.3356481481481483E-2</v>
      </c>
      <c r="E939" s="80" t="s">
        <v>3009</v>
      </c>
      <c r="F939" s="69" t="s">
        <v>8347</v>
      </c>
      <c r="I939" s="2"/>
      <c r="K939" s="82">
        <v>0.76690000000000003</v>
      </c>
    </row>
    <row r="940" spans="1:13" ht="14.25" customHeight="1" x14ac:dyDescent="0.2">
      <c r="A940" s="523">
        <v>42931</v>
      </c>
      <c r="B940" s="837" t="s">
        <v>3011</v>
      </c>
      <c r="C940" s="842" t="s">
        <v>3012</v>
      </c>
      <c r="D940" s="1">
        <v>1.2789351851851852E-2</v>
      </c>
      <c r="E940" s="80" t="s">
        <v>3009</v>
      </c>
      <c r="F940" s="69" t="s">
        <v>8206</v>
      </c>
      <c r="I940" s="2"/>
      <c r="K940" s="82">
        <v>0.80089999999999995</v>
      </c>
    </row>
    <row r="941" spans="1:13" ht="14.25" customHeight="1" x14ac:dyDescent="0.2">
      <c r="A941" s="523">
        <v>42868</v>
      </c>
      <c r="B941" s="80" t="s">
        <v>3011</v>
      </c>
      <c r="C941" s="334" t="s">
        <v>3012</v>
      </c>
      <c r="D941" s="1">
        <v>1.2881944444444446E-2</v>
      </c>
      <c r="E941" s="80" t="s">
        <v>3009</v>
      </c>
      <c r="F941" s="69" t="s">
        <v>7893</v>
      </c>
      <c r="I941" s="2"/>
      <c r="K941" s="82">
        <v>0.79510000000000003</v>
      </c>
    </row>
    <row r="942" spans="1:13" ht="14.25" customHeight="1" x14ac:dyDescent="0.2">
      <c r="A942" s="523">
        <v>42847</v>
      </c>
      <c r="B942" s="80" t="s">
        <v>3011</v>
      </c>
      <c r="C942" s="334" t="s">
        <v>3012</v>
      </c>
      <c r="D942" s="1">
        <v>1.2627314814814815E-2</v>
      </c>
      <c r="E942" s="80" t="s">
        <v>840</v>
      </c>
      <c r="F942" s="69" t="s">
        <v>7811</v>
      </c>
      <c r="I942" s="2"/>
      <c r="K942" s="82">
        <v>0.81120000000000003</v>
      </c>
      <c r="M942" s="80"/>
    </row>
    <row r="943" spans="1:13" ht="14.25" customHeight="1" x14ac:dyDescent="0.2">
      <c r="A943" s="523">
        <v>42840</v>
      </c>
      <c r="B943" s="80" t="s">
        <v>3011</v>
      </c>
      <c r="C943" s="334" t="s">
        <v>3012</v>
      </c>
      <c r="D943" s="1">
        <v>1.3078703703703703E-2</v>
      </c>
      <c r="E943" t="s">
        <v>3009</v>
      </c>
      <c r="F943" s="69" t="s">
        <v>7779</v>
      </c>
      <c r="I943" s="2"/>
      <c r="K943" s="82">
        <v>0.77769999999999995</v>
      </c>
      <c r="M943" s="80" t="s">
        <v>7892</v>
      </c>
    </row>
    <row r="944" spans="1:13" ht="14.25" customHeight="1" x14ac:dyDescent="0.2">
      <c r="A944" s="523">
        <v>42784</v>
      </c>
      <c r="B944" s="80" t="s">
        <v>3011</v>
      </c>
      <c r="C944" s="334" t="s">
        <v>3012</v>
      </c>
      <c r="D944" s="1">
        <v>1.3136574074074077E-2</v>
      </c>
      <c r="E944" s="80" t="s">
        <v>840</v>
      </c>
      <c r="F944" s="69" t="s">
        <v>6439</v>
      </c>
      <c r="I944" s="2"/>
      <c r="K944" s="82">
        <v>0.77359999999999995</v>
      </c>
      <c r="M944" s="80" t="s">
        <v>8205</v>
      </c>
    </row>
    <row r="945" spans="1:20" ht="14.25" customHeight="1" x14ac:dyDescent="0.2">
      <c r="A945" s="33">
        <v>42770</v>
      </c>
      <c r="B945" s="80" t="s">
        <v>3011</v>
      </c>
      <c r="C945" s="334" t="s">
        <v>3012</v>
      </c>
      <c r="D945" s="1">
        <v>1.2824074074074073E-2</v>
      </c>
      <c r="E945" s="80" t="s">
        <v>3009</v>
      </c>
      <c r="F945" s="69" t="s">
        <v>6350</v>
      </c>
      <c r="I945" s="2"/>
      <c r="K945" s="82">
        <v>0.79239999999999999</v>
      </c>
    </row>
    <row r="946" spans="1:20" ht="14.25" customHeight="1" x14ac:dyDescent="0.2">
      <c r="A946" s="523">
        <v>42736</v>
      </c>
      <c r="B946" s="80" t="s">
        <v>3011</v>
      </c>
      <c r="C946" s="334" t="s">
        <v>3012</v>
      </c>
      <c r="D946" s="1">
        <v>1.2997685185185183E-2</v>
      </c>
      <c r="E946" s="80" t="s">
        <v>3009</v>
      </c>
      <c r="F946" s="69" t="s">
        <v>6211</v>
      </c>
      <c r="I946" s="2"/>
      <c r="K946" s="82">
        <v>0.78180000000000005</v>
      </c>
      <c r="M946" s="80" t="s">
        <v>8572</v>
      </c>
      <c r="T946" t="s">
        <v>8574</v>
      </c>
    </row>
    <row r="947" spans="1:20" ht="14.25" customHeight="1" x14ac:dyDescent="0.2">
      <c r="A947" s="523">
        <v>42987</v>
      </c>
      <c r="B947" s="532" t="s">
        <v>1308</v>
      </c>
      <c r="C947" s="843" t="s">
        <v>428</v>
      </c>
      <c r="D947" s="1">
        <v>1.3796296296296298E-2</v>
      </c>
      <c r="E947" s="80" t="s">
        <v>5885</v>
      </c>
      <c r="F947" s="69" t="s">
        <v>8507</v>
      </c>
      <c r="I947" s="2"/>
      <c r="K947" s="82">
        <v>0.73070000000000002</v>
      </c>
    </row>
    <row r="948" spans="1:20" ht="14.25" customHeight="1" x14ac:dyDescent="0.2">
      <c r="A948" s="523">
        <v>42798</v>
      </c>
      <c r="B948" t="s">
        <v>1308</v>
      </c>
      <c r="C948" s="334" t="s">
        <v>428</v>
      </c>
      <c r="D948" s="1">
        <v>1.3495370370370371E-2</v>
      </c>
      <c r="E948" s="80" t="s">
        <v>5885</v>
      </c>
      <c r="F948" s="69" t="s">
        <v>4653</v>
      </c>
      <c r="I948" s="2"/>
      <c r="K948" s="82">
        <v>0.74099999999999999</v>
      </c>
    </row>
    <row r="949" spans="1:20" ht="14.25" customHeight="1" x14ac:dyDescent="0.2">
      <c r="A949" s="33">
        <v>42763</v>
      </c>
      <c r="B949" s="80" t="s">
        <v>1308</v>
      </c>
      <c r="C949" s="334" t="s">
        <v>428</v>
      </c>
      <c r="D949" s="1">
        <v>1.4166666666666666E-2</v>
      </c>
      <c r="E949" s="80" t="s">
        <v>6311</v>
      </c>
      <c r="F949" s="69" t="s">
        <v>4960</v>
      </c>
      <c r="I949" s="2"/>
      <c r="K949" s="82">
        <v>0.70589999999999997</v>
      </c>
    </row>
    <row r="950" spans="1:20" ht="14.25" customHeight="1" x14ac:dyDescent="0.2">
      <c r="A950" s="33">
        <v>42756</v>
      </c>
      <c r="B950" s="80" t="s">
        <v>1308</v>
      </c>
      <c r="C950" s="334" t="s">
        <v>428</v>
      </c>
      <c r="D950" s="1">
        <v>0.11756944444444445</v>
      </c>
      <c r="E950" t="s">
        <v>5885</v>
      </c>
      <c r="F950" s="69" t="s">
        <v>6352</v>
      </c>
      <c r="I950" s="2"/>
      <c r="K950" s="82">
        <v>0.74609999999999999</v>
      </c>
    </row>
    <row r="951" spans="1:20" ht="14.25" customHeight="1" x14ac:dyDescent="0.2">
      <c r="A951" s="33">
        <v>42742</v>
      </c>
      <c r="B951" s="80" t="s">
        <v>1308</v>
      </c>
      <c r="C951" s="334" t="s">
        <v>428</v>
      </c>
      <c r="D951" s="1">
        <v>1.3668981481481482E-2</v>
      </c>
      <c r="E951" s="80" t="s">
        <v>5885</v>
      </c>
      <c r="F951" s="69" t="s">
        <v>6276</v>
      </c>
      <c r="I951" s="2"/>
      <c r="K951" s="82">
        <v>0.73160000000000003</v>
      </c>
      <c r="M951" s="80"/>
    </row>
    <row r="952" spans="1:20" ht="14.25" customHeight="1" x14ac:dyDescent="0.2">
      <c r="A952" s="523">
        <v>43099</v>
      </c>
      <c r="B952" s="80" t="s">
        <v>4640</v>
      </c>
      <c r="C952" s="334" t="s">
        <v>4641</v>
      </c>
      <c r="D952" s="1" t="s">
        <v>787</v>
      </c>
      <c r="E952" s="80" t="s">
        <v>5947</v>
      </c>
      <c r="F952" s="69"/>
      <c r="I952" s="2"/>
      <c r="K952" s="82"/>
    </row>
    <row r="953" spans="1:20" ht="14.25" customHeight="1" x14ac:dyDescent="0.2">
      <c r="A953" s="33">
        <v>43092</v>
      </c>
      <c r="B953" s="568" t="s">
        <v>4640</v>
      </c>
      <c r="C953" s="861" t="s">
        <v>4641</v>
      </c>
      <c r="D953" s="80" t="s">
        <v>787</v>
      </c>
      <c r="E953" s="80" t="s">
        <v>5947</v>
      </c>
      <c r="F953" s="69" t="s">
        <v>4854</v>
      </c>
      <c r="G953" s="5"/>
      <c r="H953" s="2"/>
      <c r="I953" s="2"/>
      <c r="K953" s="82"/>
    </row>
    <row r="954" spans="1:20" x14ac:dyDescent="0.2">
      <c r="A954" s="33">
        <v>43085</v>
      </c>
      <c r="B954" s="601" t="s">
        <v>4640</v>
      </c>
      <c r="C954" s="958" t="s">
        <v>4641</v>
      </c>
      <c r="D954" s="80" t="s">
        <v>787</v>
      </c>
      <c r="E954" s="80" t="s">
        <v>5947</v>
      </c>
      <c r="F954" s="69" t="s">
        <v>5508</v>
      </c>
      <c r="G954" s="5"/>
      <c r="I954" s="2"/>
      <c r="K954" s="82"/>
    </row>
    <row r="955" spans="1:20" x14ac:dyDescent="0.2">
      <c r="A955" s="33">
        <v>43078</v>
      </c>
      <c r="B955" s="879" t="s">
        <v>4640</v>
      </c>
      <c r="C955" s="880" t="s">
        <v>4641</v>
      </c>
      <c r="D955" s="80" t="s">
        <v>787</v>
      </c>
      <c r="E955" s="80" t="s">
        <v>5947</v>
      </c>
      <c r="F955" s="69" t="s">
        <v>3301</v>
      </c>
      <c r="G955" s="5"/>
      <c r="H955" s="2"/>
      <c r="I955" s="2"/>
      <c r="K955" s="82"/>
    </row>
    <row r="956" spans="1:20" x14ac:dyDescent="0.2">
      <c r="A956" s="523">
        <v>43057</v>
      </c>
      <c r="B956" s="940" t="s">
        <v>4640</v>
      </c>
      <c r="C956" s="941" t="s">
        <v>4641</v>
      </c>
      <c r="D956" s="334" t="s">
        <v>787</v>
      </c>
      <c r="E956" s="80" t="s">
        <v>5947</v>
      </c>
      <c r="F956" s="69"/>
      <c r="I956" s="2"/>
      <c r="K956" s="82"/>
    </row>
    <row r="957" spans="1:20" x14ac:dyDescent="0.2">
      <c r="A957" s="523">
        <v>43050</v>
      </c>
      <c r="B957" s="532" t="s">
        <v>4640</v>
      </c>
      <c r="C957" s="843" t="s">
        <v>4641</v>
      </c>
      <c r="D957" s="1" t="s">
        <v>787</v>
      </c>
      <c r="E957" s="80" t="s">
        <v>5947</v>
      </c>
      <c r="F957" s="69" t="s">
        <v>3301</v>
      </c>
      <c r="I957" s="2"/>
      <c r="K957" s="82"/>
    </row>
    <row r="958" spans="1:20" x14ac:dyDescent="0.2">
      <c r="A958" s="523">
        <v>43036</v>
      </c>
      <c r="B958" s="934" t="s">
        <v>4640</v>
      </c>
      <c r="C958" s="935" t="s">
        <v>4641</v>
      </c>
      <c r="D958" s="334" t="s">
        <v>787</v>
      </c>
      <c r="E958" s="80" t="s">
        <v>5517</v>
      </c>
      <c r="F958" s="69" t="s">
        <v>6083</v>
      </c>
      <c r="I958" s="2"/>
      <c r="K958" s="82"/>
    </row>
    <row r="959" spans="1:20" x14ac:dyDescent="0.2">
      <c r="A959" s="523">
        <v>43029</v>
      </c>
      <c r="B959" s="901" t="s">
        <v>4640</v>
      </c>
      <c r="C959" s="902" t="s">
        <v>4641</v>
      </c>
      <c r="D959" s="334" t="s">
        <v>787</v>
      </c>
      <c r="E959" s="80" t="s">
        <v>5947</v>
      </c>
      <c r="F959" s="69" t="s">
        <v>5508</v>
      </c>
      <c r="I959" s="2"/>
      <c r="K959" s="82"/>
    </row>
    <row r="960" spans="1:20" x14ac:dyDescent="0.2">
      <c r="A960" s="523">
        <v>43022</v>
      </c>
      <c r="B960" s="930" t="s">
        <v>4640</v>
      </c>
      <c r="C960" s="931" t="s">
        <v>4641</v>
      </c>
      <c r="D960" s="1" t="s">
        <v>787</v>
      </c>
      <c r="E960" s="80" t="s">
        <v>5947</v>
      </c>
      <c r="F960" s="69" t="s">
        <v>2052</v>
      </c>
      <c r="I960" s="2"/>
      <c r="K960" s="82"/>
    </row>
    <row r="961" spans="1:13" x14ac:dyDescent="0.2">
      <c r="A961" s="523">
        <v>43008</v>
      </c>
      <c r="B961" s="532" t="s">
        <v>4640</v>
      </c>
      <c r="C961" s="843" t="s">
        <v>4641</v>
      </c>
      <c r="D961" s="334" t="s">
        <v>787</v>
      </c>
      <c r="E961" s="80" t="s">
        <v>5947</v>
      </c>
      <c r="F961" s="69" t="s">
        <v>1549</v>
      </c>
      <c r="I961" s="2"/>
      <c r="K961" s="82"/>
      <c r="M961" s="80"/>
    </row>
    <row r="962" spans="1:13" x14ac:dyDescent="0.2">
      <c r="A962" s="33">
        <v>42966</v>
      </c>
      <c r="B962" s="879" t="s">
        <v>4640</v>
      </c>
      <c r="C962" s="880" t="s">
        <v>4641</v>
      </c>
      <c r="D962" s="80" t="s">
        <v>787</v>
      </c>
      <c r="E962" s="80" t="s">
        <v>5947</v>
      </c>
      <c r="F962" s="69" t="s">
        <v>5508</v>
      </c>
      <c r="G962" s="5"/>
      <c r="I962" s="2"/>
      <c r="K962" s="82"/>
      <c r="M962" s="80"/>
    </row>
    <row r="963" spans="1:13" x14ac:dyDescent="0.2">
      <c r="A963" s="523">
        <v>42959</v>
      </c>
      <c r="B963" s="866" t="s">
        <v>4640</v>
      </c>
      <c r="C963" s="867" t="s">
        <v>4641</v>
      </c>
      <c r="D963" s="1" t="s">
        <v>787</v>
      </c>
      <c r="E963" s="80" t="s">
        <v>5947</v>
      </c>
      <c r="F963" s="69" t="s">
        <v>1549</v>
      </c>
      <c r="I963" s="2"/>
      <c r="K963" s="82"/>
    </row>
    <row r="964" spans="1:13" x14ac:dyDescent="0.2">
      <c r="A964" s="523">
        <v>42931</v>
      </c>
      <c r="B964" s="80" t="s">
        <v>4640</v>
      </c>
      <c r="C964" s="334" t="s">
        <v>4641</v>
      </c>
      <c r="D964" s="1" t="s">
        <v>787</v>
      </c>
      <c r="E964" s="80" t="s">
        <v>5947</v>
      </c>
      <c r="F964" s="69" t="s">
        <v>5508</v>
      </c>
      <c r="I964" s="2"/>
      <c r="K964" s="82"/>
      <c r="M964" s="80"/>
    </row>
    <row r="965" spans="1:13" x14ac:dyDescent="0.2">
      <c r="A965" s="34">
        <v>42924</v>
      </c>
      <c r="B965" s="80" t="s">
        <v>4640</v>
      </c>
      <c r="C965" s="334" t="s">
        <v>4641</v>
      </c>
      <c r="D965" s="334" t="s">
        <v>787</v>
      </c>
      <c r="E965" s="80" t="s">
        <v>5947</v>
      </c>
      <c r="F965" s="69"/>
      <c r="I965" s="2"/>
      <c r="K965" s="82"/>
    </row>
    <row r="966" spans="1:13" x14ac:dyDescent="0.2">
      <c r="A966" s="33">
        <v>42910</v>
      </c>
      <c r="B966" s="80" t="s">
        <v>4640</v>
      </c>
      <c r="C966" s="334" t="s">
        <v>4641</v>
      </c>
      <c r="D966" s="80" t="s">
        <v>787</v>
      </c>
      <c r="E966" s="80" t="s">
        <v>5947</v>
      </c>
      <c r="F966" s="69" t="s">
        <v>1549</v>
      </c>
      <c r="G966" s="5"/>
      <c r="H966" s="2"/>
      <c r="I966" s="2"/>
      <c r="J966" s="2"/>
      <c r="K966" s="82"/>
    </row>
    <row r="967" spans="1:13" x14ac:dyDescent="0.2">
      <c r="A967" s="33">
        <v>42903</v>
      </c>
      <c r="B967" s="80" t="s">
        <v>4640</v>
      </c>
      <c r="C967" s="334" t="s">
        <v>4641</v>
      </c>
      <c r="D967" s="80" t="s">
        <v>787</v>
      </c>
      <c r="E967" s="80" t="s">
        <v>5947</v>
      </c>
      <c r="F967" s="69" t="s">
        <v>5508</v>
      </c>
      <c r="G967" s="5"/>
      <c r="I967" s="2"/>
      <c r="K967" s="82"/>
      <c r="M967" s="80"/>
    </row>
    <row r="968" spans="1:13" x14ac:dyDescent="0.2">
      <c r="A968" s="33">
        <v>42896</v>
      </c>
      <c r="B968" s="80" t="s">
        <v>4640</v>
      </c>
      <c r="C968" s="334" t="s">
        <v>4641</v>
      </c>
      <c r="D968" s="80" t="s">
        <v>787</v>
      </c>
      <c r="E968" s="80" t="s">
        <v>5947</v>
      </c>
      <c r="F968" s="69" t="s">
        <v>4854</v>
      </c>
      <c r="G968" s="5"/>
      <c r="H968" s="2"/>
      <c r="I968" s="2"/>
    </row>
    <row r="969" spans="1:13" x14ac:dyDescent="0.2">
      <c r="A969" s="523">
        <v>42875</v>
      </c>
      <c r="B969" s="80" t="s">
        <v>4640</v>
      </c>
      <c r="C969" s="334" t="s">
        <v>4641</v>
      </c>
      <c r="D969" s="1" t="s">
        <v>787</v>
      </c>
      <c r="E969" t="s">
        <v>5947</v>
      </c>
      <c r="F969" s="69" t="s">
        <v>5508</v>
      </c>
      <c r="I969" s="2"/>
      <c r="K969" s="82"/>
      <c r="M969" s="80"/>
    </row>
    <row r="970" spans="1:13" x14ac:dyDescent="0.2">
      <c r="A970" s="523">
        <v>42868</v>
      </c>
      <c r="B970" s="80" t="s">
        <v>4640</v>
      </c>
      <c r="C970" s="334" t="s">
        <v>4641</v>
      </c>
      <c r="D970" s="334" t="s">
        <v>787</v>
      </c>
      <c r="E970" s="80" t="s">
        <v>5947</v>
      </c>
      <c r="F970" s="69" t="s">
        <v>1549</v>
      </c>
      <c r="I970" s="2"/>
      <c r="K970" s="82"/>
      <c r="M970" s="80"/>
    </row>
    <row r="971" spans="1:13" x14ac:dyDescent="0.2">
      <c r="A971" s="33">
        <v>42840</v>
      </c>
      <c r="B971" s="80" t="s">
        <v>4640</v>
      </c>
      <c r="C971" s="334" t="s">
        <v>4641</v>
      </c>
      <c r="D971" s="80" t="s">
        <v>787</v>
      </c>
      <c r="E971" s="80" t="s">
        <v>5947</v>
      </c>
      <c r="F971" s="69" t="s">
        <v>5508</v>
      </c>
      <c r="G971" s="5"/>
      <c r="I971" s="2"/>
      <c r="K971" s="82"/>
    </row>
    <row r="972" spans="1:13" x14ac:dyDescent="0.2">
      <c r="A972" s="33">
        <v>42819</v>
      </c>
      <c r="B972" t="s">
        <v>4640</v>
      </c>
      <c r="C972" s="334" t="s">
        <v>4641</v>
      </c>
      <c r="D972" t="s">
        <v>787</v>
      </c>
      <c r="E972" s="80" t="s">
        <v>5947</v>
      </c>
      <c r="F972" s="69" t="s">
        <v>5699</v>
      </c>
      <c r="G972" s="5"/>
      <c r="H972" s="2"/>
      <c r="I972" s="2"/>
      <c r="J972" s="2"/>
      <c r="K972" s="82"/>
    </row>
    <row r="973" spans="1:13" ht="12.75" customHeight="1" x14ac:dyDescent="0.2">
      <c r="A973" s="33">
        <v>42812</v>
      </c>
      <c r="B973" t="s">
        <v>4640</v>
      </c>
      <c r="C973" s="334" t="s">
        <v>4641</v>
      </c>
      <c r="D973" t="s">
        <v>787</v>
      </c>
      <c r="E973" s="80" t="s">
        <v>5947</v>
      </c>
      <c r="F973" s="69" t="s">
        <v>5508</v>
      </c>
      <c r="G973" s="5"/>
      <c r="I973" s="2"/>
      <c r="K973" s="82"/>
      <c r="M973" s="80"/>
    </row>
    <row r="974" spans="1:13" ht="12.75" customHeight="1" x14ac:dyDescent="0.2">
      <c r="A974" s="33">
        <v>42805</v>
      </c>
      <c r="B974" t="s">
        <v>4640</v>
      </c>
      <c r="C974" s="334" t="s">
        <v>4641</v>
      </c>
      <c r="D974" t="s">
        <v>787</v>
      </c>
      <c r="E974" s="80" t="s">
        <v>5947</v>
      </c>
      <c r="F974" s="69" t="s">
        <v>4854</v>
      </c>
      <c r="G974" s="5"/>
      <c r="I974" s="2"/>
      <c r="K974" s="82"/>
      <c r="M974" s="80"/>
    </row>
    <row r="975" spans="1:13" ht="12.75" customHeight="1" x14ac:dyDescent="0.2">
      <c r="A975" s="523">
        <v>42791</v>
      </c>
      <c r="B975" s="80" t="s">
        <v>4640</v>
      </c>
      <c r="C975" s="334" t="s">
        <v>4641</v>
      </c>
      <c r="D975" s="334" t="s">
        <v>787</v>
      </c>
      <c r="E975" s="80" t="s">
        <v>5947</v>
      </c>
      <c r="F975" s="69"/>
      <c r="I975" s="2"/>
      <c r="K975" s="82"/>
      <c r="M975" s="80"/>
    </row>
    <row r="976" spans="1:13" x14ac:dyDescent="0.2">
      <c r="A976" s="523">
        <v>42784</v>
      </c>
      <c r="B976" s="80" t="s">
        <v>4640</v>
      </c>
      <c r="C976" s="334" t="s">
        <v>4641</v>
      </c>
      <c r="D976" s="334" t="s">
        <v>787</v>
      </c>
      <c r="E976" s="80" t="s">
        <v>5947</v>
      </c>
      <c r="F976" s="69" t="s">
        <v>5508</v>
      </c>
      <c r="I976" s="2"/>
      <c r="K976" s="82"/>
      <c r="M976" s="80"/>
    </row>
    <row r="977" spans="1:13" x14ac:dyDescent="0.2">
      <c r="A977" s="523">
        <v>42777</v>
      </c>
      <c r="B977" s="80" t="s">
        <v>4640</v>
      </c>
      <c r="C977" s="334" t="s">
        <v>4641</v>
      </c>
      <c r="D977" s="334" t="s">
        <v>787</v>
      </c>
      <c r="E977" s="80" t="s">
        <v>5947</v>
      </c>
      <c r="F977" s="69" t="s">
        <v>1549</v>
      </c>
      <c r="I977" s="2"/>
      <c r="K977" s="82"/>
      <c r="M977" s="80"/>
    </row>
    <row r="978" spans="1:13" x14ac:dyDescent="0.2">
      <c r="A978" s="33">
        <v>42763</v>
      </c>
      <c r="B978" t="s">
        <v>4640</v>
      </c>
      <c r="C978" s="334" t="s">
        <v>4641</v>
      </c>
      <c r="D978" t="s">
        <v>787</v>
      </c>
      <c r="E978" s="80" t="s">
        <v>5947</v>
      </c>
      <c r="F978" s="69" t="s">
        <v>4854</v>
      </c>
      <c r="G978" s="5"/>
      <c r="H978" s="2"/>
      <c r="I978" s="2"/>
      <c r="M978" s="80"/>
    </row>
    <row r="979" spans="1:13" x14ac:dyDescent="0.2">
      <c r="A979" s="33">
        <v>42756</v>
      </c>
      <c r="B979" t="s">
        <v>4640</v>
      </c>
      <c r="C979" s="334" t="s">
        <v>4641</v>
      </c>
      <c r="D979" t="s">
        <v>787</v>
      </c>
      <c r="E979" s="80" t="s">
        <v>5947</v>
      </c>
      <c r="F979" s="69" t="s">
        <v>5508</v>
      </c>
      <c r="G979" s="80"/>
      <c r="H979" s="2"/>
      <c r="I979" s="2"/>
      <c r="M979" s="80"/>
    </row>
    <row r="980" spans="1:13" x14ac:dyDescent="0.2">
      <c r="A980" s="33">
        <v>42749</v>
      </c>
      <c r="B980" t="s">
        <v>4640</v>
      </c>
      <c r="C980" s="334" t="s">
        <v>4641</v>
      </c>
      <c r="D980" t="s">
        <v>787</v>
      </c>
      <c r="E980" s="80" t="s">
        <v>5947</v>
      </c>
      <c r="F980" s="69" t="s">
        <v>3301</v>
      </c>
      <c r="G980" s="80"/>
      <c r="H980" s="2"/>
      <c r="I980" s="2"/>
      <c r="M980" s="80"/>
    </row>
    <row r="981" spans="1:13" x14ac:dyDescent="0.2">
      <c r="A981" s="33">
        <v>42763</v>
      </c>
      <c r="B981" s="80" t="s">
        <v>1794</v>
      </c>
      <c r="C981" s="334" t="s">
        <v>2708</v>
      </c>
      <c r="D981" s="1">
        <v>2.7037037037037037E-2</v>
      </c>
      <c r="E981" s="80" t="s">
        <v>5198</v>
      </c>
      <c r="F981" s="69" t="s">
        <v>6319</v>
      </c>
      <c r="I981" s="2"/>
      <c r="K981" s="82">
        <v>0.41909999999999997</v>
      </c>
    </row>
    <row r="982" spans="1:13" x14ac:dyDescent="0.2">
      <c r="A982" s="523">
        <v>43071</v>
      </c>
      <c r="B982" s="556" t="s">
        <v>3898</v>
      </c>
      <c r="C982" s="950" t="s">
        <v>1543</v>
      </c>
      <c r="D982" s="1">
        <v>1.9305555555555555E-2</v>
      </c>
      <c r="E982" s="80" t="s">
        <v>3167</v>
      </c>
      <c r="F982" s="69" t="s">
        <v>8874</v>
      </c>
      <c r="I982" s="2"/>
      <c r="K982" s="82">
        <v>0.51019999999999999</v>
      </c>
      <c r="M982" s="80" t="s">
        <v>8875</v>
      </c>
    </row>
    <row r="983" spans="1:13" x14ac:dyDescent="0.2">
      <c r="A983" s="965">
        <v>43094</v>
      </c>
      <c r="B983" s="784" t="s">
        <v>665</v>
      </c>
      <c r="C983" s="964" t="s">
        <v>666</v>
      </c>
      <c r="D983" s="334" t="s">
        <v>787</v>
      </c>
      <c r="E983" s="80" t="s">
        <v>1401</v>
      </c>
      <c r="F983" s="69" t="s">
        <v>5508</v>
      </c>
      <c r="I983" s="2"/>
      <c r="K983" s="82"/>
    </row>
    <row r="984" spans="1:13" x14ac:dyDescent="0.2">
      <c r="A984" s="523">
        <v>43092</v>
      </c>
      <c r="B984" s="568" t="s">
        <v>665</v>
      </c>
      <c r="C984" s="861" t="s">
        <v>666</v>
      </c>
      <c r="D984" s="1">
        <v>1.9201388888888889E-2</v>
      </c>
      <c r="E984" s="80" t="s">
        <v>4500</v>
      </c>
      <c r="F984" s="69" t="s">
        <v>8957</v>
      </c>
      <c r="I984" s="2"/>
      <c r="K984" s="82">
        <v>0.56540000000000001</v>
      </c>
    </row>
    <row r="985" spans="1:13" x14ac:dyDescent="0.2">
      <c r="A985" s="523">
        <v>43071</v>
      </c>
      <c r="B985" s="556" t="s">
        <v>665</v>
      </c>
      <c r="C985" s="950" t="s">
        <v>666</v>
      </c>
      <c r="D985" s="1">
        <v>1.9745370370370371E-2</v>
      </c>
      <c r="E985" s="80" t="s">
        <v>8859</v>
      </c>
      <c r="F985" s="69" t="s">
        <v>8860</v>
      </c>
      <c r="I985" s="2"/>
      <c r="K985" s="82">
        <v>0.54979999999999996</v>
      </c>
      <c r="M985" s="45">
        <v>900</v>
      </c>
    </row>
    <row r="986" spans="1:13" x14ac:dyDescent="0.2">
      <c r="A986" s="523">
        <v>43057</v>
      </c>
      <c r="B986" s="940" t="s">
        <v>665</v>
      </c>
      <c r="C986" s="941" t="s">
        <v>666</v>
      </c>
      <c r="D986" s="1">
        <v>1.8796296296296297E-2</v>
      </c>
      <c r="E986" s="80" t="s">
        <v>8813</v>
      </c>
      <c r="F986" s="69" t="s">
        <v>8823</v>
      </c>
      <c r="I986" s="2"/>
      <c r="K986" s="82">
        <v>0.5776</v>
      </c>
      <c r="M986" s="45">
        <v>1030</v>
      </c>
    </row>
    <row r="987" spans="1:13" x14ac:dyDescent="0.2">
      <c r="A987" s="523">
        <v>43050</v>
      </c>
      <c r="B987" s="532" t="s">
        <v>665</v>
      </c>
      <c r="C987" s="843" t="s">
        <v>666</v>
      </c>
      <c r="D987" s="1">
        <v>2.0659722222222222E-2</v>
      </c>
      <c r="E987" s="80" t="s">
        <v>8775</v>
      </c>
      <c r="F987" s="69" t="s">
        <v>8776</v>
      </c>
      <c r="I987" s="2"/>
      <c r="K987" s="82">
        <v>0.52549999999999997</v>
      </c>
    </row>
    <row r="988" spans="1:13" x14ac:dyDescent="0.2">
      <c r="A988" s="523">
        <v>43043</v>
      </c>
      <c r="B988" s="936" t="s">
        <v>665</v>
      </c>
      <c r="C988" s="937" t="s">
        <v>666</v>
      </c>
      <c r="D988" s="1">
        <v>1.9421296296296294E-2</v>
      </c>
      <c r="E988" s="80" t="s">
        <v>8111</v>
      </c>
      <c r="F988" s="69" t="s">
        <v>8763</v>
      </c>
      <c r="I988" s="2"/>
      <c r="K988" s="82">
        <v>0.55900000000000005</v>
      </c>
    </row>
    <row r="989" spans="1:13" x14ac:dyDescent="0.2">
      <c r="A989" s="523">
        <v>43036</v>
      </c>
      <c r="B989" s="934" t="s">
        <v>665</v>
      </c>
      <c r="C989" s="935" t="s">
        <v>666</v>
      </c>
      <c r="D989" s="1">
        <v>1.9375E-2</v>
      </c>
      <c r="E989" s="80" t="s">
        <v>444</v>
      </c>
      <c r="F989" s="69" t="s">
        <v>8735</v>
      </c>
      <c r="I989" s="2"/>
      <c r="K989" s="82">
        <v>0.56030000000000002</v>
      </c>
    </row>
    <row r="990" spans="1:13" x14ac:dyDescent="0.2">
      <c r="A990" s="523">
        <v>43029</v>
      </c>
      <c r="B990" s="901" t="s">
        <v>665</v>
      </c>
      <c r="C990" s="902" t="s">
        <v>666</v>
      </c>
      <c r="D990" s="1">
        <v>1.8877314814814816E-2</v>
      </c>
      <c r="E990" s="80" t="s">
        <v>8702</v>
      </c>
      <c r="F990" s="69" t="s">
        <v>8712</v>
      </c>
      <c r="I990" s="2"/>
      <c r="K990" s="82">
        <v>0.57509999999999994</v>
      </c>
    </row>
    <row r="991" spans="1:13" x14ac:dyDescent="0.2">
      <c r="A991" s="523">
        <v>43022</v>
      </c>
      <c r="B991" s="930" t="s">
        <v>665</v>
      </c>
      <c r="C991" s="931" t="s">
        <v>666</v>
      </c>
      <c r="D991" s="1">
        <v>1.9363425925925926E-2</v>
      </c>
      <c r="E991" s="80" t="s">
        <v>8664</v>
      </c>
      <c r="F991" s="69" t="s">
        <v>8665</v>
      </c>
      <c r="I991" s="2"/>
      <c r="K991" s="82">
        <v>0.56069999999999998</v>
      </c>
    </row>
    <row r="992" spans="1:13" x14ac:dyDescent="0.2">
      <c r="A992" s="523">
        <v>43008</v>
      </c>
      <c r="B992" s="532" t="s">
        <v>665</v>
      </c>
      <c r="C992" s="843" t="s">
        <v>666</v>
      </c>
      <c r="D992" s="1">
        <v>2.2337962962962962E-2</v>
      </c>
      <c r="E992" s="80" t="s">
        <v>4936</v>
      </c>
      <c r="F992" s="69" t="s">
        <v>8600</v>
      </c>
      <c r="I992" s="2"/>
      <c r="K992" s="82">
        <v>0.48599999999999999</v>
      </c>
      <c r="M992" t="s">
        <v>6410</v>
      </c>
    </row>
    <row r="993" spans="1:28" x14ac:dyDescent="0.2">
      <c r="A993" s="523">
        <v>43001</v>
      </c>
      <c r="B993" s="906" t="s">
        <v>665</v>
      </c>
      <c r="C993" s="907" t="s">
        <v>666</v>
      </c>
      <c r="D993" s="1">
        <v>1.9143518518518518E-2</v>
      </c>
      <c r="E993" s="80" t="s">
        <v>8154</v>
      </c>
      <c r="F993" s="69" t="s">
        <v>8563</v>
      </c>
      <c r="I993" s="2"/>
      <c r="K993" s="82">
        <v>0.56710000000000005</v>
      </c>
    </row>
    <row r="994" spans="1:28" x14ac:dyDescent="0.2">
      <c r="A994" s="523">
        <v>42994</v>
      </c>
      <c r="B994" s="869" t="s">
        <v>665</v>
      </c>
      <c r="C994" s="903" t="s">
        <v>666</v>
      </c>
      <c r="D994" s="1">
        <v>1.8078703703703704E-2</v>
      </c>
      <c r="E994" s="80" t="s">
        <v>1821</v>
      </c>
      <c r="F994" s="69" t="s">
        <v>1236</v>
      </c>
      <c r="I994" s="2"/>
      <c r="K994" s="82">
        <v>0.60050000000000003</v>
      </c>
      <c r="M994" s="80"/>
    </row>
    <row r="995" spans="1:28" x14ac:dyDescent="0.2">
      <c r="A995" s="33">
        <v>42987</v>
      </c>
      <c r="B995" s="532" t="s">
        <v>665</v>
      </c>
      <c r="C995" s="843" t="s">
        <v>666</v>
      </c>
      <c r="D995" s="80" t="s">
        <v>787</v>
      </c>
      <c r="E995" s="80" t="s">
        <v>5654</v>
      </c>
      <c r="F995" s="69" t="s">
        <v>3301</v>
      </c>
      <c r="G995" s="5"/>
      <c r="H995" s="2"/>
      <c r="I995" s="2"/>
      <c r="K995" s="82"/>
      <c r="M995" s="80"/>
    </row>
    <row r="996" spans="1:28" x14ac:dyDescent="0.2">
      <c r="A996" s="523">
        <v>42980</v>
      </c>
      <c r="B996" s="837" t="s">
        <v>665</v>
      </c>
      <c r="C996" s="842" t="s">
        <v>666</v>
      </c>
      <c r="D996" s="1">
        <v>1.9791666666666666E-2</v>
      </c>
      <c r="E996" s="80" t="s">
        <v>8333</v>
      </c>
      <c r="F996" s="69" t="s">
        <v>8446</v>
      </c>
      <c r="I996" s="2"/>
      <c r="K996" s="82">
        <v>0.54849999999999999</v>
      </c>
    </row>
    <row r="997" spans="1:28" x14ac:dyDescent="0.2">
      <c r="A997" s="523">
        <v>42973</v>
      </c>
      <c r="B997" s="862" t="s">
        <v>665</v>
      </c>
      <c r="C997" s="863" t="s">
        <v>666</v>
      </c>
      <c r="D997" s="1">
        <v>1.8564814814814815E-2</v>
      </c>
      <c r="E997" s="80" t="s">
        <v>3157</v>
      </c>
      <c r="F997" s="69" t="s">
        <v>8434</v>
      </c>
      <c r="I997" s="2"/>
      <c r="K997" s="82">
        <v>0.58479999999999999</v>
      </c>
      <c r="M997" s="80"/>
    </row>
    <row r="998" spans="1:28" x14ac:dyDescent="0.2">
      <c r="A998" s="523">
        <v>42966</v>
      </c>
      <c r="B998" s="879" t="s">
        <v>665</v>
      </c>
      <c r="C998" s="880" t="s">
        <v>666</v>
      </c>
      <c r="D998" s="1">
        <v>1.9456018518518518E-2</v>
      </c>
      <c r="E998" s="80" t="s">
        <v>646</v>
      </c>
      <c r="F998" s="69" t="s">
        <v>8402</v>
      </c>
      <c r="I998" s="2"/>
      <c r="K998" s="82">
        <v>0.55800000000000005</v>
      </c>
      <c r="S998" s="80"/>
    </row>
    <row r="999" spans="1:28" x14ac:dyDescent="0.2">
      <c r="A999" s="523">
        <v>42959</v>
      </c>
      <c r="B999" s="866" t="s">
        <v>665</v>
      </c>
      <c r="C999" s="867" t="s">
        <v>666</v>
      </c>
      <c r="D999" s="1">
        <v>1.9004629629629632E-2</v>
      </c>
      <c r="E999" s="80" t="s">
        <v>2041</v>
      </c>
      <c r="F999" s="69" t="s">
        <v>8349</v>
      </c>
      <c r="I999" s="2"/>
      <c r="K999" s="82">
        <v>0.57130000000000003</v>
      </c>
      <c r="M999" s="80"/>
    </row>
    <row r="1000" spans="1:28" ht="12.75" customHeight="1" x14ac:dyDescent="0.2">
      <c r="A1000" s="523">
        <v>42952</v>
      </c>
      <c r="B1000" s="862" t="s">
        <v>665</v>
      </c>
      <c r="C1000" s="863" t="s">
        <v>666</v>
      </c>
      <c r="D1000" s="1">
        <v>1.892361111111111E-2</v>
      </c>
      <c r="E1000" s="80" t="s">
        <v>5095</v>
      </c>
      <c r="F1000" s="69" t="s">
        <v>8309</v>
      </c>
      <c r="I1000" s="2"/>
      <c r="K1000" s="82">
        <v>0.57369999999999999</v>
      </c>
      <c r="M1000" s="80"/>
    </row>
    <row r="1001" spans="1:28" ht="12.75" customHeight="1" x14ac:dyDescent="0.2">
      <c r="A1001" s="523">
        <v>42945</v>
      </c>
      <c r="B1001" s="568" t="s">
        <v>665</v>
      </c>
      <c r="C1001" s="861" t="s">
        <v>666</v>
      </c>
      <c r="D1001" s="1">
        <v>1.849537037037037E-2</v>
      </c>
      <c r="E1001" s="80" t="s">
        <v>2040</v>
      </c>
      <c r="F1001" s="69" t="s">
        <v>8271</v>
      </c>
      <c r="I1001" s="2"/>
      <c r="K1001" s="82">
        <v>0.58699999999999997</v>
      </c>
      <c r="M1001" s="80"/>
    </row>
    <row r="1002" spans="1:28" ht="12.75" customHeight="1" x14ac:dyDescent="0.2">
      <c r="A1002" s="523">
        <v>42938</v>
      </c>
      <c r="B1002" s="532" t="s">
        <v>665</v>
      </c>
      <c r="C1002" s="843" t="s">
        <v>666</v>
      </c>
      <c r="D1002" s="1">
        <v>1.8368055555555554E-2</v>
      </c>
      <c r="E1002" s="80" t="s">
        <v>4379</v>
      </c>
      <c r="F1002" s="69" t="s">
        <v>8236</v>
      </c>
      <c r="I1002" s="2"/>
      <c r="K1002" s="82">
        <v>0.59109999999999996</v>
      </c>
      <c r="M1002" s="80"/>
    </row>
    <row r="1003" spans="1:28" ht="12.75" customHeight="1" x14ac:dyDescent="0.2">
      <c r="A1003" s="523">
        <v>42931</v>
      </c>
      <c r="B1003" s="837" t="s">
        <v>665</v>
      </c>
      <c r="C1003" s="842" t="s">
        <v>666</v>
      </c>
      <c r="D1003" s="1">
        <v>2.0300925925925927E-2</v>
      </c>
      <c r="E1003" s="80" t="s">
        <v>1211</v>
      </c>
      <c r="F1003" s="69" t="s">
        <v>8197</v>
      </c>
      <c r="I1003" s="2"/>
      <c r="K1003" s="82">
        <v>0.5302</v>
      </c>
    </row>
    <row r="1004" spans="1:28" ht="12.75" customHeight="1" x14ac:dyDescent="0.2">
      <c r="A1004" s="523">
        <v>42917</v>
      </c>
      <c r="B1004" s="80" t="s">
        <v>665</v>
      </c>
      <c r="C1004" s="334" t="s">
        <v>666</v>
      </c>
      <c r="D1004" s="1">
        <v>2.045138888888889E-2</v>
      </c>
      <c r="E1004" s="80" t="s">
        <v>2364</v>
      </c>
      <c r="F1004" s="69" t="s">
        <v>8141</v>
      </c>
      <c r="I1004" s="2"/>
      <c r="K1004" s="82">
        <v>0.52629999999999999</v>
      </c>
      <c r="M1004" s="80"/>
    </row>
    <row r="1005" spans="1:28" ht="12.75" customHeight="1" x14ac:dyDescent="0.2">
      <c r="A1005" s="523">
        <v>42910</v>
      </c>
      <c r="B1005" s="80" t="s">
        <v>665</v>
      </c>
      <c r="C1005" s="334" t="s">
        <v>666</v>
      </c>
      <c r="D1005" s="1">
        <v>1.9942129629629629E-2</v>
      </c>
      <c r="E1005" s="80" t="s">
        <v>3701</v>
      </c>
      <c r="F1005" s="69" t="s">
        <v>8102</v>
      </c>
      <c r="I1005" s="2"/>
      <c r="K1005" s="82">
        <v>0.53979999999999995</v>
      </c>
      <c r="M1005" s="80"/>
    </row>
    <row r="1006" spans="1:28" ht="12.75" customHeight="1" x14ac:dyDescent="0.2">
      <c r="A1006" s="523">
        <v>42903</v>
      </c>
      <c r="B1006" s="80" t="s">
        <v>665</v>
      </c>
      <c r="C1006" s="334" t="s">
        <v>666</v>
      </c>
      <c r="D1006" s="1">
        <v>1.8263888888888889E-2</v>
      </c>
      <c r="E1006" s="80" t="s">
        <v>2627</v>
      </c>
      <c r="F1006" s="69" t="s">
        <v>8073</v>
      </c>
      <c r="I1006" s="2"/>
      <c r="K1006" s="82">
        <v>0.58940000000000003</v>
      </c>
      <c r="M1006" s="80"/>
    </row>
    <row r="1007" spans="1:28" ht="12.75" customHeight="1" x14ac:dyDescent="0.2">
      <c r="A1007" s="523">
        <v>42896</v>
      </c>
      <c r="B1007" s="80" t="s">
        <v>665</v>
      </c>
      <c r="C1007" s="334" t="s">
        <v>666</v>
      </c>
      <c r="D1007" s="1">
        <v>1.8981481481481481E-2</v>
      </c>
      <c r="E1007" s="80" t="s">
        <v>1654</v>
      </c>
      <c r="F1007" s="69" t="s">
        <v>8026</v>
      </c>
      <c r="I1007" s="2"/>
      <c r="K1007" s="82">
        <v>0.56710000000000005</v>
      </c>
      <c r="AB1007" s="41"/>
    </row>
    <row r="1008" spans="1:28" x14ac:dyDescent="0.2">
      <c r="A1008" s="523">
        <v>42889</v>
      </c>
      <c r="B1008" s="80" t="s">
        <v>665</v>
      </c>
      <c r="C1008" s="334" t="s">
        <v>666</v>
      </c>
      <c r="D1008" s="1">
        <v>1.9444444444444445E-2</v>
      </c>
      <c r="E1008" s="80" t="s">
        <v>7991</v>
      </c>
      <c r="F1008" s="69" t="s">
        <v>7992</v>
      </c>
      <c r="I1008" s="2"/>
      <c r="K1008" s="82">
        <v>0.55359999999999998</v>
      </c>
    </row>
    <row r="1009" spans="1:16" ht="12.75" customHeight="1" x14ac:dyDescent="0.2">
      <c r="A1009" s="523">
        <v>42882</v>
      </c>
      <c r="B1009" s="80" t="s">
        <v>665</v>
      </c>
      <c r="C1009" s="334" t="s">
        <v>666</v>
      </c>
      <c r="D1009" s="1">
        <v>1.9421296296296294E-2</v>
      </c>
      <c r="E1009" s="80" t="s">
        <v>7962</v>
      </c>
      <c r="F1009" s="69" t="s">
        <v>7957</v>
      </c>
      <c r="I1009" s="2"/>
      <c r="K1009" s="82">
        <v>0.55420000000000003</v>
      </c>
      <c r="M1009" s="80"/>
    </row>
    <row r="1010" spans="1:16" ht="12.75" customHeight="1" x14ac:dyDescent="0.2">
      <c r="A1010" s="523">
        <v>42868</v>
      </c>
      <c r="B1010" s="80" t="s">
        <v>665</v>
      </c>
      <c r="C1010" s="334" t="s">
        <v>666</v>
      </c>
      <c r="D1010" s="1">
        <v>1.8368055555555554E-2</v>
      </c>
      <c r="E1010" s="80" t="s">
        <v>615</v>
      </c>
      <c r="F1010" s="69" t="s">
        <v>7883</v>
      </c>
      <c r="I1010" s="2"/>
      <c r="K1010" s="82">
        <v>0.58599999999999997</v>
      </c>
    </row>
    <row r="1011" spans="1:16" x14ac:dyDescent="0.2">
      <c r="A1011" s="523">
        <v>42861</v>
      </c>
      <c r="B1011" s="80" t="s">
        <v>665</v>
      </c>
      <c r="C1011" s="334" t="s">
        <v>666</v>
      </c>
      <c r="D1011" s="1">
        <v>1.8206018518518517E-2</v>
      </c>
      <c r="E1011" t="s">
        <v>6393</v>
      </c>
      <c r="F1011" s="69" t="s">
        <v>2629</v>
      </c>
      <c r="I1011" s="2"/>
      <c r="K1011" s="82">
        <v>0.59119999999999995</v>
      </c>
      <c r="M1011" s="80"/>
    </row>
    <row r="1012" spans="1:16" ht="12.75" customHeight="1" x14ac:dyDescent="0.2">
      <c r="A1012" s="523">
        <v>42854</v>
      </c>
      <c r="B1012" s="80" t="s">
        <v>665</v>
      </c>
      <c r="C1012" s="334" t="s">
        <v>666</v>
      </c>
      <c r="D1012" s="1">
        <v>1.818287037037037E-2</v>
      </c>
      <c r="E1012" s="80" t="s">
        <v>419</v>
      </c>
      <c r="F1012" s="69" t="s">
        <v>7829</v>
      </c>
      <c r="I1012" s="2"/>
      <c r="K1012" s="82">
        <v>0.59199999999999997</v>
      </c>
      <c r="M1012" s="80"/>
    </row>
    <row r="1013" spans="1:16" ht="12.75" customHeight="1" x14ac:dyDescent="0.2">
      <c r="A1013" s="523">
        <v>42847</v>
      </c>
      <c r="B1013" s="80" t="s">
        <v>665</v>
      </c>
      <c r="C1013" s="334" t="s">
        <v>666</v>
      </c>
      <c r="D1013" s="1">
        <v>1.8483796296296297E-2</v>
      </c>
      <c r="E1013" s="80" t="s">
        <v>5456</v>
      </c>
      <c r="F1013" s="69" t="s">
        <v>1113</v>
      </c>
      <c r="I1013" s="2"/>
      <c r="K1013" s="82">
        <v>0.58230000000000004</v>
      </c>
    </row>
    <row r="1014" spans="1:16" ht="12.75" customHeight="1" x14ac:dyDescent="0.2">
      <c r="A1014" s="523">
        <v>42840</v>
      </c>
      <c r="B1014" s="80" t="s">
        <v>665</v>
      </c>
      <c r="C1014" s="334" t="s">
        <v>666</v>
      </c>
      <c r="D1014" s="1">
        <v>1.7777777777777778E-2</v>
      </c>
      <c r="E1014" t="s">
        <v>2596</v>
      </c>
      <c r="F1014" s="69" t="s">
        <v>7777</v>
      </c>
      <c r="I1014" s="2"/>
      <c r="K1014" s="82">
        <v>0.60429999999999995</v>
      </c>
    </row>
    <row r="1015" spans="1:16" ht="12.75" customHeight="1" x14ac:dyDescent="0.2">
      <c r="A1015" s="523">
        <v>42833</v>
      </c>
      <c r="B1015" s="80" t="s">
        <v>665</v>
      </c>
      <c r="C1015" s="334" t="s">
        <v>666</v>
      </c>
      <c r="D1015" s="1">
        <v>1.8819444444444448E-2</v>
      </c>
      <c r="E1015" s="80" t="s">
        <v>6159</v>
      </c>
      <c r="F1015" s="69" t="s">
        <v>7744</v>
      </c>
      <c r="I1015" s="2"/>
      <c r="K1015" s="82">
        <v>0.57199999999999995</v>
      </c>
      <c r="M1015" s="80" t="s">
        <v>8423</v>
      </c>
    </row>
    <row r="1016" spans="1:16" ht="12.75" customHeight="1" x14ac:dyDescent="0.2">
      <c r="A1016" s="523">
        <v>42826</v>
      </c>
      <c r="B1016" s="80" t="s">
        <v>665</v>
      </c>
      <c r="C1016" s="334" t="s">
        <v>666</v>
      </c>
      <c r="D1016" s="1">
        <v>1.8969907407407408E-2</v>
      </c>
      <c r="E1016" s="80" t="s">
        <v>6393</v>
      </c>
      <c r="F1016" s="69" t="s">
        <v>7697</v>
      </c>
      <c r="I1016" s="2"/>
      <c r="K1016" s="82">
        <v>0.56950000000000001</v>
      </c>
      <c r="M1016" s="80" t="s">
        <v>8464</v>
      </c>
      <c r="P1016" s="80"/>
    </row>
    <row r="1017" spans="1:16" x14ac:dyDescent="0.2">
      <c r="A1017" s="523">
        <v>42819</v>
      </c>
      <c r="B1017" s="80" t="s">
        <v>665</v>
      </c>
      <c r="C1017" s="334" t="s">
        <v>666</v>
      </c>
      <c r="D1017" s="334">
        <v>1.800925925925926E-2</v>
      </c>
      <c r="E1017" s="80" t="s">
        <v>762</v>
      </c>
      <c r="F1017" s="69" t="s">
        <v>7684</v>
      </c>
      <c r="I1017" s="2"/>
      <c r="K1017" s="82">
        <v>0.59770000000000001</v>
      </c>
      <c r="M1017" s="80"/>
    </row>
    <row r="1018" spans="1:16" x14ac:dyDescent="0.2">
      <c r="A1018" s="523">
        <v>42812</v>
      </c>
      <c r="B1018" s="80" t="s">
        <v>665</v>
      </c>
      <c r="C1018" s="334" t="s">
        <v>666</v>
      </c>
      <c r="D1018" s="1">
        <v>1.9120370370370371E-2</v>
      </c>
      <c r="E1018" s="80" t="s">
        <v>2872</v>
      </c>
      <c r="F1018" s="69" t="s">
        <v>7639</v>
      </c>
      <c r="I1018" s="2"/>
      <c r="K1018" s="82">
        <v>0.56299999999999994</v>
      </c>
      <c r="M1018" s="80"/>
    </row>
    <row r="1019" spans="1:16" ht="12.75" customHeight="1" x14ac:dyDescent="0.2">
      <c r="A1019" s="523">
        <v>42784</v>
      </c>
      <c r="B1019" s="80" t="s">
        <v>665</v>
      </c>
      <c r="C1019" s="334" t="s">
        <v>666</v>
      </c>
      <c r="D1019" s="1">
        <v>1.8530092592592595E-2</v>
      </c>
      <c r="E1019" s="80" t="s">
        <v>2079</v>
      </c>
      <c r="F1019" s="69" t="s">
        <v>6436</v>
      </c>
      <c r="I1019" s="2"/>
      <c r="K1019" s="82">
        <v>0.58089999999999997</v>
      </c>
      <c r="M1019" s="80"/>
    </row>
    <row r="1020" spans="1:16" x14ac:dyDescent="0.2">
      <c r="A1020" s="523">
        <v>42777</v>
      </c>
      <c r="B1020" s="80" t="s">
        <v>665</v>
      </c>
      <c r="C1020" s="334" t="s">
        <v>666</v>
      </c>
      <c r="D1020" s="1">
        <v>1.7881944444444443E-2</v>
      </c>
      <c r="E1020" s="80" t="s">
        <v>2783</v>
      </c>
      <c r="F1020" s="69" t="s">
        <v>6406</v>
      </c>
      <c r="I1020" s="2"/>
      <c r="K1020" s="82">
        <v>0.60189999999999999</v>
      </c>
      <c r="M1020" s="80"/>
    </row>
    <row r="1021" spans="1:16" ht="14.25" customHeight="1" x14ac:dyDescent="0.2">
      <c r="A1021" s="33">
        <v>42770</v>
      </c>
      <c r="B1021" s="80" t="s">
        <v>665</v>
      </c>
      <c r="C1021" s="334" t="s">
        <v>666</v>
      </c>
      <c r="D1021" s="1">
        <v>2.0034722222222221E-2</v>
      </c>
      <c r="E1021" s="80" t="s">
        <v>6075</v>
      </c>
      <c r="F1021" s="69" t="s">
        <v>6334</v>
      </c>
      <c r="I1021" s="2"/>
      <c r="K1021" s="82">
        <v>0.54349999999999998</v>
      </c>
      <c r="M1021" s="80" t="s">
        <v>8687</v>
      </c>
    </row>
    <row r="1022" spans="1:16" ht="14.25" customHeight="1" x14ac:dyDescent="0.2">
      <c r="A1022" s="33">
        <v>42763</v>
      </c>
      <c r="B1022" s="80" t="s">
        <v>665</v>
      </c>
      <c r="C1022" s="334" t="s">
        <v>666</v>
      </c>
      <c r="D1022" s="1">
        <v>2.0046296296296295E-2</v>
      </c>
      <c r="E1022" s="80" t="s">
        <v>5198</v>
      </c>
      <c r="F1022" s="69" t="s">
        <v>6313</v>
      </c>
      <c r="I1022" s="2"/>
      <c r="K1022" s="82">
        <v>0.53700000000000003</v>
      </c>
      <c r="M1022" s="80"/>
    </row>
    <row r="1023" spans="1:16" ht="14.25" customHeight="1" x14ac:dyDescent="0.2">
      <c r="A1023" s="33">
        <v>42756</v>
      </c>
      <c r="B1023" s="80" t="s">
        <v>665</v>
      </c>
      <c r="C1023" s="334" t="s">
        <v>666</v>
      </c>
      <c r="D1023" s="1">
        <v>1.8530092592592595E-2</v>
      </c>
      <c r="E1023" s="80" t="s">
        <v>770</v>
      </c>
      <c r="F1023" s="69" t="s">
        <v>6361</v>
      </c>
      <c r="I1023" s="2"/>
      <c r="K1023" s="82">
        <v>0.58089999999999997</v>
      </c>
      <c r="M1023" s="80" t="s">
        <v>8736</v>
      </c>
    </row>
    <row r="1024" spans="1:16" ht="14.25" customHeight="1" x14ac:dyDescent="0.2">
      <c r="A1024" s="523">
        <v>42749</v>
      </c>
      <c r="B1024" s="80" t="s">
        <v>665</v>
      </c>
      <c r="C1024" s="334" t="s">
        <v>666</v>
      </c>
      <c r="D1024" s="1">
        <v>1.8807870370370371E-2</v>
      </c>
      <c r="E1024" s="80" t="s">
        <v>2192</v>
      </c>
      <c r="F1024" s="69" t="s">
        <v>6308</v>
      </c>
      <c r="I1024" s="2"/>
      <c r="K1024" s="571">
        <v>0.57230000000000003</v>
      </c>
      <c r="M1024" s="80"/>
    </row>
    <row r="1025" spans="1:44" ht="14.25" customHeight="1" x14ac:dyDescent="0.2">
      <c r="A1025" s="33">
        <v>42742</v>
      </c>
      <c r="B1025" s="80" t="s">
        <v>665</v>
      </c>
      <c r="C1025" s="334" t="s">
        <v>666</v>
      </c>
      <c r="D1025" s="1">
        <v>1.8703703703703705E-2</v>
      </c>
      <c r="E1025" s="80" t="s">
        <v>5544</v>
      </c>
      <c r="F1025" s="69" t="s">
        <v>6250</v>
      </c>
      <c r="I1025" s="2"/>
      <c r="K1025" s="82">
        <v>0.57550000000000001</v>
      </c>
      <c r="M1025" s="80"/>
    </row>
    <row r="1026" spans="1:44" ht="14.25" customHeight="1" x14ac:dyDescent="0.2">
      <c r="A1026" s="523">
        <v>42736</v>
      </c>
      <c r="B1026" s="80" t="s">
        <v>665</v>
      </c>
      <c r="C1026" s="334" t="s">
        <v>666</v>
      </c>
      <c r="D1026" s="1">
        <v>1.9074074074074073E-2</v>
      </c>
      <c r="E1026" s="80" t="s">
        <v>4496</v>
      </c>
      <c r="F1026" s="69" t="s">
        <v>3733</v>
      </c>
      <c r="I1026" s="2"/>
      <c r="K1026" s="82">
        <v>0.56430000000000002</v>
      </c>
      <c r="M1026" s="80"/>
    </row>
    <row r="1027" spans="1:44" ht="14.25" customHeight="1" x14ac:dyDescent="0.2">
      <c r="A1027" s="523">
        <v>42736</v>
      </c>
      <c r="B1027" s="80" t="s">
        <v>665</v>
      </c>
      <c r="C1027" s="334" t="s">
        <v>666</v>
      </c>
      <c r="D1027" s="1">
        <v>2.0162037037037037E-2</v>
      </c>
      <c r="E1027" s="80" t="s">
        <v>4901</v>
      </c>
      <c r="F1027" s="69" t="s">
        <v>6214</v>
      </c>
      <c r="I1027" s="2"/>
      <c r="K1027" s="82">
        <v>0.53390000000000004</v>
      </c>
      <c r="M1027" s="80"/>
    </row>
    <row r="1028" spans="1:44" ht="14.25" customHeight="1" x14ac:dyDescent="0.2">
      <c r="A1028" s="523">
        <v>43064</v>
      </c>
      <c r="B1028" s="869" t="s">
        <v>1264</v>
      </c>
      <c r="C1028" s="903" t="s">
        <v>666</v>
      </c>
      <c r="D1028" s="1">
        <v>1.9710648148148147E-2</v>
      </c>
      <c r="E1028" s="80" t="s">
        <v>5883</v>
      </c>
      <c r="F1028" s="69" t="s">
        <v>8833</v>
      </c>
      <c r="I1028" s="2"/>
      <c r="K1028" s="82">
        <v>0.55079999999999996</v>
      </c>
      <c r="M1028" s="80"/>
      <c r="AO1028" s="942"/>
      <c r="AP1028" s="943"/>
      <c r="AQ1028" s="944"/>
      <c r="AR1028" s="943"/>
    </row>
    <row r="1029" spans="1:44" ht="14.25" customHeight="1" x14ac:dyDescent="0.2">
      <c r="A1029" s="523">
        <v>43036</v>
      </c>
      <c r="B1029" s="934" t="s">
        <v>8589</v>
      </c>
      <c r="C1029" s="935" t="s">
        <v>4678</v>
      </c>
      <c r="D1029" s="1">
        <v>2.7442129629629632E-2</v>
      </c>
      <c r="E1029" s="80" t="s">
        <v>5198</v>
      </c>
      <c r="F1029" s="69" t="s">
        <v>7983</v>
      </c>
      <c r="I1029" s="2"/>
      <c r="K1029" s="82">
        <v>0.50529999999999997</v>
      </c>
      <c r="M1029" s="80"/>
    </row>
    <row r="1030" spans="1:44" ht="14.25" customHeight="1" x14ac:dyDescent="0.2">
      <c r="A1030" s="523">
        <v>43008</v>
      </c>
      <c r="B1030" s="917" t="s">
        <v>8589</v>
      </c>
      <c r="C1030" s="918" t="s">
        <v>4678</v>
      </c>
      <c r="D1030" s="1">
        <v>2.8738425925925928E-2</v>
      </c>
      <c r="E1030" s="80" t="s">
        <v>5198</v>
      </c>
      <c r="F1030" s="69" t="s">
        <v>8590</v>
      </c>
      <c r="I1030" s="2"/>
      <c r="K1030" s="82">
        <v>0.48249999999999998</v>
      </c>
      <c r="M1030" s="80"/>
    </row>
    <row r="1031" spans="1:44" ht="14.25" customHeight="1" x14ac:dyDescent="0.2">
      <c r="A1031" s="523">
        <v>43099</v>
      </c>
      <c r="B1031" s="601" t="s">
        <v>4677</v>
      </c>
      <c r="C1031" s="958" t="s">
        <v>4678</v>
      </c>
      <c r="D1031" s="1">
        <v>2.3090277777777779E-2</v>
      </c>
      <c r="E1031" s="80" t="s">
        <v>5198</v>
      </c>
      <c r="F1031" s="69" t="s">
        <v>9007</v>
      </c>
      <c r="I1031" s="2"/>
      <c r="K1031" s="82">
        <v>0.52429999999999999</v>
      </c>
    </row>
    <row r="1032" spans="1:44" ht="14.25" customHeight="1" x14ac:dyDescent="0.2">
      <c r="A1032" s="523">
        <v>43092</v>
      </c>
      <c r="B1032" s="568" t="s">
        <v>4677</v>
      </c>
      <c r="C1032" s="861" t="s">
        <v>4678</v>
      </c>
      <c r="D1032" s="1">
        <v>2.3321759259259261E-2</v>
      </c>
      <c r="E1032" s="80" t="s">
        <v>5198</v>
      </c>
      <c r="F1032" s="69" t="s">
        <v>8961</v>
      </c>
      <c r="I1032" s="2"/>
      <c r="K1032" s="82">
        <v>0.51910000000000001</v>
      </c>
    </row>
    <row r="1033" spans="1:44" ht="14.25" customHeight="1" x14ac:dyDescent="0.2">
      <c r="A1033" s="523">
        <v>43057</v>
      </c>
      <c r="B1033" s="940" t="s">
        <v>4677</v>
      </c>
      <c r="C1033" s="941" t="s">
        <v>4678</v>
      </c>
      <c r="D1033" s="1">
        <v>2.2766203703703702E-2</v>
      </c>
      <c r="E1033" s="80" t="s">
        <v>1788</v>
      </c>
      <c r="F1033" s="69" t="s">
        <v>8810</v>
      </c>
      <c r="I1033" s="2"/>
      <c r="K1033" s="82">
        <v>0.53180000000000005</v>
      </c>
    </row>
    <row r="1034" spans="1:44" ht="14.25" customHeight="1" x14ac:dyDescent="0.2">
      <c r="A1034" s="523">
        <v>43036</v>
      </c>
      <c r="B1034" s="934" t="s">
        <v>4677</v>
      </c>
      <c r="C1034" s="935" t="s">
        <v>4678</v>
      </c>
      <c r="D1034" s="1">
        <v>2.7453703703703702E-2</v>
      </c>
      <c r="E1034" s="80" t="s">
        <v>5198</v>
      </c>
      <c r="F1034" s="69" t="s">
        <v>8748</v>
      </c>
      <c r="I1034" s="2"/>
      <c r="K1034" s="82">
        <v>0.441</v>
      </c>
    </row>
    <row r="1035" spans="1:44" ht="14.25" customHeight="1" x14ac:dyDescent="0.2">
      <c r="A1035" s="523">
        <v>43022</v>
      </c>
      <c r="B1035" s="930" t="s">
        <v>4677</v>
      </c>
      <c r="C1035" s="931" t="s">
        <v>4678</v>
      </c>
      <c r="D1035" s="1">
        <v>2.6469907407407411E-2</v>
      </c>
      <c r="E1035" s="80" t="s">
        <v>5198</v>
      </c>
      <c r="F1035" s="69" t="s">
        <v>8682</v>
      </c>
      <c r="I1035" s="2"/>
      <c r="K1035" s="82">
        <v>0.45739999999999997</v>
      </c>
    </row>
    <row r="1036" spans="1:44" ht="14.25" customHeight="1" x14ac:dyDescent="0.2">
      <c r="A1036" s="523">
        <v>43015</v>
      </c>
      <c r="B1036" s="923" t="s">
        <v>4677</v>
      </c>
      <c r="C1036" s="924" t="s">
        <v>4678</v>
      </c>
      <c r="D1036" s="1">
        <v>2.6296296296296293E-2</v>
      </c>
      <c r="E1036" s="80" t="s">
        <v>5198</v>
      </c>
      <c r="F1036" s="69" t="s">
        <v>2200</v>
      </c>
      <c r="I1036" s="2"/>
      <c r="K1036" s="82">
        <v>0.46039999999999998</v>
      </c>
    </row>
    <row r="1037" spans="1:44" ht="14.25" customHeight="1" x14ac:dyDescent="0.2">
      <c r="A1037" s="523">
        <v>43008</v>
      </c>
      <c r="B1037" s="532" t="s">
        <v>4677</v>
      </c>
      <c r="C1037" s="843" t="s">
        <v>4678</v>
      </c>
      <c r="D1037" s="1">
        <v>2.8749999999999998E-2</v>
      </c>
      <c r="E1037" s="80" t="s">
        <v>5198</v>
      </c>
      <c r="F1037" s="69" t="s">
        <v>8588</v>
      </c>
      <c r="I1037" s="2"/>
      <c r="K1037" s="82">
        <v>0.42109999999999997</v>
      </c>
      <c r="M1037" t="s">
        <v>7599</v>
      </c>
    </row>
    <row r="1038" spans="1:44" ht="14.25" customHeight="1" x14ac:dyDescent="0.2">
      <c r="A1038" s="523">
        <v>43001</v>
      </c>
      <c r="B1038" s="906" t="s">
        <v>4677</v>
      </c>
      <c r="C1038" s="907" t="s">
        <v>4678</v>
      </c>
      <c r="D1038" s="1">
        <v>3.2800925925925928E-2</v>
      </c>
      <c r="E1038" s="80" t="s">
        <v>5198</v>
      </c>
      <c r="F1038" s="69" t="s">
        <v>8557</v>
      </c>
      <c r="I1038" s="2"/>
      <c r="K1038" s="82">
        <v>0.36909999999999998</v>
      </c>
    </row>
    <row r="1039" spans="1:44" ht="14.25" customHeight="1" x14ac:dyDescent="0.2">
      <c r="A1039" s="523">
        <v>42952</v>
      </c>
      <c r="B1039" s="862" t="s">
        <v>4677</v>
      </c>
      <c r="C1039" s="863" t="s">
        <v>4678</v>
      </c>
      <c r="D1039" s="1">
        <v>2.1435185185185186E-2</v>
      </c>
      <c r="E1039" s="80" t="s">
        <v>5095</v>
      </c>
      <c r="F1039" s="69" t="s">
        <v>8311</v>
      </c>
      <c r="I1039" s="2"/>
      <c r="K1039" s="82">
        <v>0.56479999999999997</v>
      </c>
      <c r="M1039" s="80"/>
      <c r="P1039" s="80" t="s">
        <v>7682</v>
      </c>
    </row>
    <row r="1040" spans="1:44" ht="14.25" customHeight="1" x14ac:dyDescent="0.2">
      <c r="A1040" s="523">
        <v>42945</v>
      </c>
      <c r="B1040" s="568" t="s">
        <v>4677</v>
      </c>
      <c r="C1040" s="861" t="s">
        <v>4678</v>
      </c>
      <c r="D1040" s="1">
        <v>2.1331018518518517E-2</v>
      </c>
      <c r="E1040" s="80" t="s">
        <v>5198</v>
      </c>
      <c r="F1040" s="69" t="s">
        <v>8288</v>
      </c>
      <c r="I1040" s="2"/>
      <c r="K1040" s="82">
        <v>0.56759999999999999</v>
      </c>
    </row>
    <row r="1041" spans="1:27" ht="14.25" customHeight="1" x14ac:dyDescent="0.2">
      <c r="A1041" s="523">
        <v>42931</v>
      </c>
      <c r="B1041" s="837" t="s">
        <v>4677</v>
      </c>
      <c r="C1041" s="842" t="s">
        <v>4678</v>
      </c>
      <c r="D1041" s="1">
        <v>2.1562499999999998E-2</v>
      </c>
      <c r="E1041" s="80" t="s">
        <v>5198</v>
      </c>
      <c r="F1041" s="69" t="s">
        <v>8189</v>
      </c>
      <c r="I1041" s="2"/>
      <c r="K1041" s="82">
        <v>0.5615</v>
      </c>
      <c r="M1041" s="80"/>
    </row>
    <row r="1042" spans="1:27" ht="14.25" customHeight="1" x14ac:dyDescent="0.2">
      <c r="A1042" s="34">
        <v>42924</v>
      </c>
      <c r="B1042" s="80" t="s">
        <v>4677</v>
      </c>
      <c r="C1042" s="334" t="s">
        <v>4678</v>
      </c>
      <c r="D1042" s="1">
        <v>2.1516203703703704E-2</v>
      </c>
      <c r="E1042" s="80" t="s">
        <v>5947</v>
      </c>
      <c r="F1042" s="69" t="s">
        <v>8171</v>
      </c>
      <c r="I1042" s="2"/>
      <c r="K1042" s="82">
        <v>0.56269999999999998</v>
      </c>
      <c r="M1042" s="80" t="s">
        <v>7996</v>
      </c>
    </row>
    <row r="1043" spans="1:27" ht="14.25" customHeight="1" x14ac:dyDescent="0.2">
      <c r="A1043" s="523">
        <v>42917</v>
      </c>
      <c r="B1043" s="80" t="s">
        <v>4677</v>
      </c>
      <c r="C1043" s="334" t="s">
        <v>4678</v>
      </c>
      <c r="D1043" s="1">
        <v>2.1956018518518517E-2</v>
      </c>
      <c r="E1043" s="80" t="s">
        <v>5198</v>
      </c>
      <c r="F1043" s="69" t="s">
        <v>8130</v>
      </c>
      <c r="I1043" s="2"/>
      <c r="K1043" s="82">
        <v>0.5514</v>
      </c>
    </row>
    <row r="1044" spans="1:27" ht="14.25" customHeight="1" x14ac:dyDescent="0.2">
      <c r="A1044" s="523">
        <v>42889</v>
      </c>
      <c r="B1044" s="80" t="s">
        <v>4677</v>
      </c>
      <c r="C1044" s="334" t="s">
        <v>4678</v>
      </c>
      <c r="D1044" s="1">
        <v>2.1724537037037039E-2</v>
      </c>
      <c r="E1044" s="80" t="s">
        <v>1788</v>
      </c>
      <c r="F1044" s="69" t="s">
        <v>7982</v>
      </c>
      <c r="I1044" s="2"/>
      <c r="K1044" s="82">
        <v>0.55730000000000002</v>
      </c>
      <c r="M1044" s="80"/>
    </row>
    <row r="1045" spans="1:27" ht="14.25" customHeight="1" x14ac:dyDescent="0.2">
      <c r="A1045" s="523">
        <v>42833</v>
      </c>
      <c r="B1045" s="80" t="s">
        <v>4677</v>
      </c>
      <c r="C1045" s="334" t="s">
        <v>4678</v>
      </c>
      <c r="D1045" s="1">
        <v>2.1145833333333332E-2</v>
      </c>
      <c r="E1045" s="80" t="s">
        <v>5198</v>
      </c>
      <c r="F1045" s="69" t="s">
        <v>7734</v>
      </c>
      <c r="I1045" s="2"/>
      <c r="K1045" s="82">
        <v>0.57250000000000001</v>
      </c>
      <c r="M1045" s="80"/>
    </row>
    <row r="1046" spans="1:27" ht="14.25" customHeight="1" x14ac:dyDescent="0.2">
      <c r="A1046" s="523">
        <v>42826</v>
      </c>
      <c r="B1046" s="80" t="s">
        <v>4677</v>
      </c>
      <c r="C1046" s="334" t="s">
        <v>4678</v>
      </c>
      <c r="D1046" s="1">
        <v>2.1493055555555557E-2</v>
      </c>
      <c r="E1046" s="80" t="s">
        <v>5198</v>
      </c>
      <c r="F1046" s="69" t="s">
        <v>4277</v>
      </c>
      <c r="I1046" s="2"/>
      <c r="K1046" s="82">
        <v>0.56330000000000002</v>
      </c>
      <c r="M1046" s="80"/>
    </row>
    <row r="1047" spans="1:27" ht="14.25" customHeight="1" x14ac:dyDescent="0.2">
      <c r="A1047" s="523">
        <v>42819</v>
      </c>
      <c r="B1047" s="80" t="s">
        <v>4677</v>
      </c>
      <c r="C1047" s="334" t="s">
        <v>4678</v>
      </c>
      <c r="D1047" s="1">
        <v>2.1562499999999998E-2</v>
      </c>
      <c r="E1047" s="80" t="s">
        <v>1788</v>
      </c>
      <c r="F1047" s="69" t="s">
        <v>7681</v>
      </c>
      <c r="I1047" s="2"/>
      <c r="K1047" s="82">
        <v>0.5615</v>
      </c>
      <c r="M1047" s="80"/>
    </row>
    <row r="1048" spans="1:27" ht="14.25" customHeight="1" x14ac:dyDescent="0.2">
      <c r="A1048" s="33">
        <v>42805</v>
      </c>
      <c r="B1048" s="80" t="s">
        <v>4677</v>
      </c>
      <c r="C1048" s="334" t="s">
        <v>4678</v>
      </c>
      <c r="D1048" s="1">
        <v>2.1157407407407406E-2</v>
      </c>
      <c r="E1048" s="80" t="s">
        <v>1788</v>
      </c>
      <c r="F1048" s="69" t="s">
        <v>7633</v>
      </c>
      <c r="I1048" s="2"/>
      <c r="K1048" s="82">
        <v>0.57220000000000004</v>
      </c>
      <c r="M1048" s="80"/>
    </row>
    <row r="1049" spans="1:27" ht="14.25" customHeight="1" x14ac:dyDescent="0.2">
      <c r="A1049" s="523">
        <v>42798</v>
      </c>
      <c r="B1049" t="s">
        <v>4677</v>
      </c>
      <c r="C1049" s="334" t="s">
        <v>4678</v>
      </c>
      <c r="D1049" s="1">
        <v>2.1446759259259259E-2</v>
      </c>
      <c r="E1049" s="80" t="s">
        <v>3226</v>
      </c>
      <c r="F1049" s="69" t="s">
        <v>7598</v>
      </c>
      <c r="I1049" s="2"/>
      <c r="K1049" s="82">
        <v>0.5645</v>
      </c>
      <c r="M1049" s="80"/>
    </row>
    <row r="1050" spans="1:27" ht="14.25" customHeight="1" x14ac:dyDescent="0.2">
      <c r="A1050" s="523">
        <v>42777</v>
      </c>
      <c r="B1050" s="80" t="s">
        <v>4677</v>
      </c>
      <c r="C1050" s="334" t="s">
        <v>4678</v>
      </c>
      <c r="D1050" s="1">
        <v>2.1770833333333336E-2</v>
      </c>
      <c r="E1050" s="80" t="s">
        <v>5198</v>
      </c>
      <c r="F1050" s="69" t="s">
        <v>5673</v>
      </c>
      <c r="I1050" s="2"/>
      <c r="K1050" s="82">
        <v>0.56610000000000005</v>
      </c>
      <c r="M1050" s="80"/>
    </row>
    <row r="1051" spans="1:27" ht="14.25" customHeight="1" x14ac:dyDescent="0.2">
      <c r="A1051" s="33">
        <v>42763</v>
      </c>
      <c r="B1051" s="80" t="s">
        <v>4677</v>
      </c>
      <c r="C1051" s="334" t="s">
        <v>4678</v>
      </c>
      <c r="D1051" s="1">
        <v>2.1909722222222223E-2</v>
      </c>
      <c r="E1051" s="80" t="s">
        <v>5198</v>
      </c>
      <c r="F1051" s="69" t="s">
        <v>6314</v>
      </c>
      <c r="I1051" s="2"/>
      <c r="K1051" s="82">
        <v>0.55259999999999998</v>
      </c>
      <c r="M1051" s="80"/>
    </row>
    <row r="1052" spans="1:27" ht="14.25" customHeight="1" x14ac:dyDescent="0.2">
      <c r="A1052" s="33">
        <v>42756</v>
      </c>
      <c r="B1052" s="80" t="s">
        <v>4677</v>
      </c>
      <c r="C1052" s="334" t="s">
        <v>4678</v>
      </c>
      <c r="D1052" s="1">
        <v>2.146990740740741E-2</v>
      </c>
      <c r="E1052" s="80" t="s">
        <v>1788</v>
      </c>
      <c r="F1052" s="69" t="s">
        <v>6359</v>
      </c>
      <c r="I1052" s="2"/>
      <c r="K1052" s="82">
        <v>0.56389999999999996</v>
      </c>
      <c r="M1052" s="80"/>
    </row>
    <row r="1053" spans="1:27" ht="14.25" customHeight="1" x14ac:dyDescent="0.2">
      <c r="A1053" s="33">
        <v>42742</v>
      </c>
      <c r="B1053" s="80" t="s">
        <v>4677</v>
      </c>
      <c r="C1053" s="334" t="s">
        <v>4678</v>
      </c>
      <c r="D1053" s="1">
        <v>2.4212962962962964E-2</v>
      </c>
      <c r="E1053" s="80" t="s">
        <v>1982</v>
      </c>
      <c r="F1053" s="69" t="s">
        <v>6273</v>
      </c>
      <c r="I1053" s="2"/>
      <c r="K1053" s="82">
        <v>0.49469999999999997</v>
      </c>
      <c r="M1053" s="80"/>
    </row>
    <row r="1054" spans="1:27" ht="14.25" customHeight="1" x14ac:dyDescent="0.2">
      <c r="A1054" s="523">
        <v>43064</v>
      </c>
      <c r="B1054" s="869" t="s">
        <v>4677</v>
      </c>
      <c r="C1054" s="903" t="s">
        <v>8844</v>
      </c>
      <c r="D1054" s="1">
        <v>2.342592592592593E-2</v>
      </c>
      <c r="E1054" s="80" t="s">
        <v>5198</v>
      </c>
      <c r="F1054" s="69" t="s">
        <v>8845</v>
      </c>
      <c r="I1054" s="2"/>
      <c r="K1054" s="82">
        <v>0.51680000000000004</v>
      </c>
      <c r="M1054" s="80"/>
    </row>
    <row r="1055" spans="1:27" ht="14.25" customHeight="1" x14ac:dyDescent="0.2">
      <c r="A1055" s="523">
        <v>42910</v>
      </c>
      <c r="B1055" s="80" t="s">
        <v>8090</v>
      </c>
      <c r="C1055" s="334" t="s">
        <v>8091</v>
      </c>
      <c r="D1055" s="1">
        <v>2.0682870370370372E-2</v>
      </c>
      <c r="E1055" s="80" t="s">
        <v>3701</v>
      </c>
      <c r="F1055" s="69" t="s">
        <v>8107</v>
      </c>
      <c r="I1055" s="2"/>
      <c r="K1055" s="82">
        <v>0.55620000000000003</v>
      </c>
      <c r="AA1055" s="41"/>
    </row>
    <row r="1056" spans="1:27" x14ac:dyDescent="0.2">
      <c r="A1056" s="523">
        <v>43036</v>
      </c>
      <c r="B1056" s="934" t="s">
        <v>3014</v>
      </c>
      <c r="C1056" s="935" t="s">
        <v>3015</v>
      </c>
      <c r="D1056" s="334">
        <v>1.9375E-2</v>
      </c>
      <c r="E1056" s="80" t="s">
        <v>527</v>
      </c>
      <c r="F1056" s="69" t="s">
        <v>8740</v>
      </c>
      <c r="I1056" s="2"/>
      <c r="K1056" s="82">
        <v>0.60809999999999997</v>
      </c>
      <c r="M1056" s="80"/>
    </row>
    <row r="1057" spans="1:13" ht="14.25" customHeight="1" x14ac:dyDescent="0.2">
      <c r="A1057" s="523">
        <v>42959</v>
      </c>
      <c r="B1057" s="866" t="s">
        <v>3014</v>
      </c>
      <c r="C1057" s="867" t="s">
        <v>3015</v>
      </c>
      <c r="D1057" s="1">
        <v>1.9247685185185184E-2</v>
      </c>
      <c r="E1057" s="80" t="s">
        <v>527</v>
      </c>
      <c r="F1057" s="69" t="s">
        <v>8356</v>
      </c>
      <c r="I1057" s="2"/>
      <c r="K1057" s="82">
        <v>0.61209999999999998</v>
      </c>
    </row>
    <row r="1058" spans="1:13" ht="14.25" customHeight="1" x14ac:dyDescent="0.2">
      <c r="A1058" s="523">
        <v>42910</v>
      </c>
      <c r="B1058" s="80" t="s">
        <v>3014</v>
      </c>
      <c r="C1058" s="334" t="s">
        <v>3015</v>
      </c>
      <c r="D1058" s="1">
        <v>1.9525462962962963E-2</v>
      </c>
      <c r="E1058" s="80" t="s">
        <v>161</v>
      </c>
      <c r="F1058" s="69" t="s">
        <v>8092</v>
      </c>
      <c r="I1058" s="2"/>
      <c r="K1058" s="82">
        <v>0.60560000000000003</v>
      </c>
      <c r="M1058" s="80"/>
    </row>
    <row r="1059" spans="1:13" ht="14.25" customHeight="1" x14ac:dyDescent="0.2">
      <c r="A1059" s="523">
        <v>42896</v>
      </c>
      <c r="B1059" s="80" t="s">
        <v>3014</v>
      </c>
      <c r="C1059" s="334" t="s">
        <v>3015</v>
      </c>
      <c r="D1059" s="1">
        <v>1.8749999999999999E-2</v>
      </c>
      <c r="E1059" s="80" t="s">
        <v>2431</v>
      </c>
      <c r="F1059" s="69" t="s">
        <v>7842</v>
      </c>
      <c r="I1059" s="2"/>
      <c r="K1059" s="82">
        <v>0.62839999999999996</v>
      </c>
      <c r="M1059" s="80"/>
    </row>
    <row r="1060" spans="1:13" ht="14.25" customHeight="1" x14ac:dyDescent="0.2">
      <c r="A1060" s="523">
        <v>42882</v>
      </c>
      <c r="B1060" s="80" t="s">
        <v>3014</v>
      </c>
      <c r="C1060" s="334" t="s">
        <v>3015</v>
      </c>
      <c r="D1060" s="1">
        <v>1.8657407407407407E-2</v>
      </c>
      <c r="E1060" s="80" t="s">
        <v>527</v>
      </c>
      <c r="F1060" s="69" t="s">
        <v>7953</v>
      </c>
      <c r="I1060" s="2"/>
      <c r="K1060" s="82">
        <v>0.63149999999999995</v>
      </c>
    </row>
    <row r="1061" spans="1:13" ht="14.25" customHeight="1" x14ac:dyDescent="0.2">
      <c r="A1061" s="523">
        <v>42875</v>
      </c>
      <c r="B1061" s="80" t="s">
        <v>3014</v>
      </c>
      <c r="C1061" s="334" t="s">
        <v>3015</v>
      </c>
      <c r="D1061" s="1">
        <v>1.9282407407407408E-2</v>
      </c>
      <c r="E1061" s="80" t="s">
        <v>6017</v>
      </c>
      <c r="F1061" s="69" t="s">
        <v>7931</v>
      </c>
      <c r="I1061" s="2"/>
      <c r="K1061" s="82">
        <v>0.61099999999999999</v>
      </c>
    </row>
    <row r="1062" spans="1:13" ht="14.25" customHeight="1" x14ac:dyDescent="0.2">
      <c r="A1062" s="523">
        <v>42868</v>
      </c>
      <c r="B1062" s="80" t="s">
        <v>3014</v>
      </c>
      <c r="C1062" s="334" t="s">
        <v>3015</v>
      </c>
      <c r="D1062" s="1">
        <v>1.8645833333333334E-2</v>
      </c>
      <c r="E1062" s="80" t="s">
        <v>5198</v>
      </c>
      <c r="F1062" s="69" t="s">
        <v>2629</v>
      </c>
      <c r="I1062" s="2"/>
      <c r="K1062" s="82">
        <v>0.62450000000000006</v>
      </c>
      <c r="M1062" s="80"/>
    </row>
    <row r="1063" spans="1:13" ht="14.25" customHeight="1" x14ac:dyDescent="0.2">
      <c r="A1063" s="523">
        <v>42847</v>
      </c>
      <c r="B1063" s="80" t="s">
        <v>3014</v>
      </c>
      <c r="C1063" s="334" t="s">
        <v>3015</v>
      </c>
      <c r="D1063" s="1">
        <v>1.8472222222222223E-2</v>
      </c>
      <c r="E1063" s="80" t="s">
        <v>6018</v>
      </c>
      <c r="F1063" s="69" t="s">
        <v>7812</v>
      </c>
      <c r="I1063" s="2"/>
      <c r="K1063" s="82">
        <v>0.63029999999999997</v>
      </c>
    </row>
    <row r="1064" spans="1:13" ht="14.25" customHeight="1" x14ac:dyDescent="0.2">
      <c r="A1064" s="523">
        <v>42840</v>
      </c>
      <c r="B1064" s="80" t="s">
        <v>3014</v>
      </c>
      <c r="C1064" s="334" t="s">
        <v>3015</v>
      </c>
      <c r="D1064" s="1">
        <v>1.9050925925925926E-2</v>
      </c>
      <c r="E1064" t="s">
        <v>527</v>
      </c>
      <c r="F1064" s="69" t="s">
        <v>7768</v>
      </c>
      <c r="I1064" s="2"/>
      <c r="K1064" s="82">
        <v>0.61119999999999997</v>
      </c>
    </row>
    <row r="1065" spans="1:13" ht="14.25" customHeight="1" x14ac:dyDescent="0.2">
      <c r="A1065" s="523">
        <v>42833</v>
      </c>
      <c r="B1065" s="80" t="s">
        <v>3014</v>
      </c>
      <c r="C1065" s="334" t="s">
        <v>3015</v>
      </c>
      <c r="D1065" s="1">
        <v>1.90625E-2</v>
      </c>
      <c r="E1065" s="80" t="s">
        <v>6021</v>
      </c>
      <c r="F1065" s="69" t="s">
        <v>7732</v>
      </c>
      <c r="I1065" s="2"/>
      <c r="K1065" s="82">
        <v>0.61080000000000001</v>
      </c>
      <c r="M1065" s="80"/>
    </row>
    <row r="1066" spans="1:13" ht="14.25" customHeight="1" x14ac:dyDescent="0.2">
      <c r="A1066" s="965">
        <v>43094</v>
      </c>
      <c r="B1066" s="962" t="s">
        <v>5649</v>
      </c>
      <c r="C1066" s="963" t="s">
        <v>1047</v>
      </c>
      <c r="D1066" s="1">
        <v>3.3865740740740738E-2</v>
      </c>
      <c r="E1066" s="80" t="s">
        <v>4876</v>
      </c>
      <c r="F1066" s="69" t="s">
        <v>8979</v>
      </c>
      <c r="I1066" s="2"/>
      <c r="K1066" s="82">
        <v>0.30719999999999997</v>
      </c>
    </row>
    <row r="1067" spans="1:13" ht="14.25" customHeight="1" x14ac:dyDescent="0.2">
      <c r="A1067" s="523">
        <v>42917</v>
      </c>
      <c r="B1067" s="80" t="s">
        <v>5649</v>
      </c>
      <c r="C1067" s="334" t="s">
        <v>1047</v>
      </c>
      <c r="D1067" s="1">
        <v>1.4444444444444446E-2</v>
      </c>
      <c r="E1067" s="80" t="s">
        <v>5885</v>
      </c>
      <c r="F1067" s="69" t="s">
        <v>8115</v>
      </c>
      <c r="I1067" s="2"/>
      <c r="K1067" s="82">
        <v>0.7147</v>
      </c>
    </row>
    <row r="1068" spans="1:13" ht="14.25" customHeight="1" x14ac:dyDescent="0.2">
      <c r="A1068" s="523">
        <v>42875</v>
      </c>
      <c r="B1068" s="80" t="s">
        <v>5649</v>
      </c>
      <c r="C1068" s="334" t="s">
        <v>1047</v>
      </c>
      <c r="D1068" s="1">
        <v>1.6793981481481483E-2</v>
      </c>
      <c r="E1068" s="80" t="s">
        <v>5885</v>
      </c>
      <c r="F1068" s="69" t="s">
        <v>773</v>
      </c>
      <c r="I1068" s="2"/>
      <c r="K1068" s="82">
        <v>0.61470000000000002</v>
      </c>
    </row>
    <row r="1069" spans="1:13" ht="14.25" customHeight="1" x14ac:dyDescent="0.2">
      <c r="A1069" s="523">
        <v>42868</v>
      </c>
      <c r="B1069" s="80" t="s">
        <v>5649</v>
      </c>
      <c r="C1069" s="334" t="s">
        <v>1047</v>
      </c>
      <c r="D1069" s="1">
        <v>1.5486111111111112E-2</v>
      </c>
      <c r="E1069" s="80" t="s">
        <v>5885</v>
      </c>
      <c r="F1069" s="69" t="s">
        <v>7873</v>
      </c>
      <c r="I1069" s="2"/>
      <c r="K1069" s="82">
        <v>0.66669999999999996</v>
      </c>
    </row>
    <row r="1070" spans="1:13" ht="14.25" customHeight="1" x14ac:dyDescent="0.2">
      <c r="A1070" s="523">
        <v>42854</v>
      </c>
      <c r="B1070" s="80" t="s">
        <v>5649</v>
      </c>
      <c r="C1070" s="334" t="s">
        <v>1047</v>
      </c>
      <c r="D1070" s="1">
        <v>1.4872685185185185E-2</v>
      </c>
      <c r="E1070" s="80" t="s">
        <v>5885</v>
      </c>
      <c r="F1070" s="69" t="s">
        <v>7815</v>
      </c>
      <c r="I1070" s="2"/>
      <c r="K1070" s="82">
        <v>0.69420000000000004</v>
      </c>
    </row>
    <row r="1071" spans="1:13" ht="14.25" customHeight="1" x14ac:dyDescent="0.2">
      <c r="A1071" s="523">
        <v>42833</v>
      </c>
      <c r="B1071" s="80" t="s">
        <v>5649</v>
      </c>
      <c r="C1071" s="334" t="s">
        <v>1047</v>
      </c>
      <c r="D1071" s="334">
        <v>1.4884259259259259E-2</v>
      </c>
      <c r="E1071" s="80" t="s">
        <v>3658</v>
      </c>
      <c r="F1071" s="69" t="s">
        <v>7740</v>
      </c>
      <c r="G1071" s="80"/>
      <c r="H1071" s="80"/>
      <c r="I1071" s="80"/>
      <c r="J1071" s="80"/>
      <c r="K1071" s="571">
        <v>0.69359999999999999</v>
      </c>
    </row>
    <row r="1072" spans="1:13" ht="14.25" customHeight="1" x14ac:dyDescent="0.2">
      <c r="A1072" s="523">
        <v>42826</v>
      </c>
      <c r="B1072" s="80" t="s">
        <v>5649</v>
      </c>
      <c r="C1072" s="334" t="s">
        <v>1047</v>
      </c>
      <c r="D1072" s="1">
        <v>1.5196759259259259E-2</v>
      </c>
      <c r="E1072" s="80" t="s">
        <v>5885</v>
      </c>
      <c r="F1072" s="69" t="s">
        <v>1272</v>
      </c>
      <c r="I1072" s="2"/>
      <c r="K1072" s="82">
        <v>0.6794</v>
      </c>
      <c r="M1072" s="80"/>
    </row>
    <row r="1073" spans="1:13" ht="14.25" customHeight="1" x14ac:dyDescent="0.2">
      <c r="A1073" s="523">
        <v>42812</v>
      </c>
      <c r="B1073" s="80" t="s">
        <v>5649</v>
      </c>
      <c r="C1073" s="334" t="s">
        <v>1047</v>
      </c>
      <c r="D1073" s="1">
        <v>1.5104166666666667E-2</v>
      </c>
      <c r="E1073" s="80" t="s">
        <v>5885</v>
      </c>
      <c r="F1073" s="69" t="s">
        <v>5250</v>
      </c>
      <c r="I1073" s="2"/>
      <c r="K1073" s="82">
        <v>0.6835</v>
      </c>
    </row>
    <row r="1074" spans="1:13" ht="14.25" customHeight="1" x14ac:dyDescent="0.2">
      <c r="A1074" s="523">
        <v>42798</v>
      </c>
      <c r="B1074" t="s">
        <v>5649</v>
      </c>
      <c r="C1074" s="334" t="s">
        <v>1047</v>
      </c>
      <c r="D1074" s="1">
        <v>1.5092592592592593E-2</v>
      </c>
      <c r="E1074" s="80" t="s">
        <v>5885</v>
      </c>
      <c r="F1074" s="69" t="s">
        <v>3803</v>
      </c>
      <c r="I1074" s="2"/>
      <c r="K1074" s="82">
        <v>0.68400000000000005</v>
      </c>
      <c r="M1074" s="80" t="s">
        <v>7741</v>
      </c>
    </row>
    <row r="1075" spans="1:13" ht="14.25" customHeight="1" x14ac:dyDescent="0.2">
      <c r="A1075" s="523">
        <v>42784</v>
      </c>
      <c r="B1075" s="80" t="s">
        <v>5649</v>
      </c>
      <c r="C1075" s="334" t="s">
        <v>1047</v>
      </c>
      <c r="D1075" s="1">
        <v>1.4571759259259258E-2</v>
      </c>
      <c r="E1075" t="s">
        <v>5885</v>
      </c>
      <c r="F1075" s="69" t="s">
        <v>5416</v>
      </c>
      <c r="I1075" s="2"/>
      <c r="K1075" s="82">
        <v>0.70850000000000002</v>
      </c>
      <c r="M1075" s="80"/>
    </row>
    <row r="1076" spans="1:13" ht="14.25" customHeight="1" x14ac:dyDescent="0.2">
      <c r="A1076" s="33">
        <v>42770</v>
      </c>
      <c r="B1076" s="80" t="s">
        <v>5649</v>
      </c>
      <c r="C1076" s="334" t="s">
        <v>1047</v>
      </c>
      <c r="D1076" s="1">
        <v>1.4756944444444446E-2</v>
      </c>
      <c r="E1076" s="80" t="s">
        <v>5885</v>
      </c>
      <c r="F1076" s="69" t="s">
        <v>6345</v>
      </c>
      <c r="I1076" s="2"/>
      <c r="K1076" s="82">
        <v>0.6996</v>
      </c>
      <c r="M1076" s="80"/>
    </row>
    <row r="1077" spans="1:13" ht="14.25" customHeight="1" x14ac:dyDescent="0.2">
      <c r="A1077" s="33">
        <v>42763</v>
      </c>
      <c r="B1077" s="80" t="s">
        <v>5649</v>
      </c>
      <c r="C1077" s="334" t="s">
        <v>1047</v>
      </c>
      <c r="D1077" s="1">
        <v>1.5138888888888889E-2</v>
      </c>
      <c r="E1077" t="s">
        <v>1120</v>
      </c>
      <c r="F1077" s="69" t="s">
        <v>6382</v>
      </c>
      <c r="I1077" s="2"/>
      <c r="K1077" s="82">
        <v>0.68200000000000005</v>
      </c>
    </row>
    <row r="1078" spans="1:13" ht="14.25" customHeight="1" x14ac:dyDescent="0.2">
      <c r="A1078" s="523">
        <v>42749</v>
      </c>
      <c r="B1078" s="80" t="s">
        <v>5649</v>
      </c>
      <c r="C1078" s="334" t="s">
        <v>1047</v>
      </c>
      <c r="D1078" s="334">
        <v>1.5057870370370369E-2</v>
      </c>
      <c r="E1078" s="80" t="s">
        <v>1120</v>
      </c>
      <c r="F1078" s="69" t="s">
        <v>6291</v>
      </c>
      <c r="I1078" s="2"/>
      <c r="K1078" s="82">
        <v>0.68559999999999999</v>
      </c>
    </row>
    <row r="1079" spans="1:13" ht="14.25" customHeight="1" x14ac:dyDescent="0.2">
      <c r="A1079" s="523">
        <v>42973</v>
      </c>
      <c r="B1079" s="862" t="s">
        <v>5637</v>
      </c>
      <c r="C1079" s="863" t="s">
        <v>5638</v>
      </c>
      <c r="D1079" s="1">
        <v>1.8043981481481484E-2</v>
      </c>
      <c r="E1079" s="80" t="s">
        <v>1569</v>
      </c>
      <c r="F1079" s="69" t="s">
        <v>8436</v>
      </c>
      <c r="I1079" s="2"/>
      <c r="K1079" s="82">
        <v>0.76839999999999997</v>
      </c>
      <c r="M1079" s="80"/>
    </row>
    <row r="1080" spans="1:13" ht="14.25" customHeight="1" x14ac:dyDescent="0.2">
      <c r="A1080" s="523">
        <v>42861</v>
      </c>
      <c r="B1080" s="53" t="s">
        <v>5637</v>
      </c>
      <c r="C1080" s="54" t="s">
        <v>5638</v>
      </c>
      <c r="D1080" s="1">
        <v>1.622685185185185E-2</v>
      </c>
      <c r="E1080" t="s">
        <v>6393</v>
      </c>
      <c r="F1080" s="69" t="s">
        <v>1815</v>
      </c>
      <c r="I1080" s="2"/>
      <c r="K1080" s="82">
        <v>0.84840000000000004</v>
      </c>
      <c r="M1080" s="80"/>
    </row>
    <row r="1081" spans="1:13" ht="14.25" customHeight="1" x14ac:dyDescent="0.2">
      <c r="A1081" s="523">
        <v>42952</v>
      </c>
      <c r="B1081" s="862" t="s">
        <v>5649</v>
      </c>
      <c r="C1081" s="863" t="s">
        <v>4943</v>
      </c>
      <c r="D1081" s="1">
        <v>1.9259259259259261E-2</v>
      </c>
      <c r="E1081" s="80" t="s">
        <v>1183</v>
      </c>
      <c r="F1081" s="69" t="s">
        <v>8324</v>
      </c>
      <c r="I1081" s="2"/>
      <c r="K1081" s="82">
        <v>0.58350000000000002</v>
      </c>
      <c r="M1081" s="80"/>
    </row>
    <row r="1082" spans="1:13" ht="14.25" customHeight="1" x14ac:dyDescent="0.2">
      <c r="A1082" s="523">
        <v>42952</v>
      </c>
      <c r="B1082" s="862" t="s">
        <v>1572</v>
      </c>
      <c r="C1082" s="863" t="s">
        <v>4943</v>
      </c>
      <c r="D1082" s="1">
        <v>3.1944444444444449E-2</v>
      </c>
      <c r="E1082" s="80" t="s">
        <v>1183</v>
      </c>
      <c r="F1082" s="69" t="s">
        <v>8326</v>
      </c>
      <c r="I1082" s="2"/>
      <c r="K1082" s="82">
        <v>0.5</v>
      </c>
      <c r="M1082" s="80"/>
    </row>
    <row r="1083" spans="1:13" ht="14.25" customHeight="1" x14ac:dyDescent="0.2">
      <c r="A1083" s="523">
        <v>43099</v>
      </c>
      <c r="B1083" s="80" t="s">
        <v>398</v>
      </c>
      <c r="C1083" s="334" t="s">
        <v>4943</v>
      </c>
      <c r="D1083" s="1">
        <v>3.3263888888888891E-2</v>
      </c>
      <c r="E1083" s="80" t="s">
        <v>5654</v>
      </c>
      <c r="F1083" s="69" t="s">
        <v>9012</v>
      </c>
      <c r="I1083" s="2"/>
      <c r="K1083" s="82">
        <v>0.40500000000000003</v>
      </c>
    </row>
    <row r="1084" spans="1:13" ht="14.25" customHeight="1" x14ac:dyDescent="0.2">
      <c r="A1084" s="523">
        <v>43085</v>
      </c>
      <c r="B1084" s="601" t="s">
        <v>398</v>
      </c>
      <c r="C1084" s="958" t="s">
        <v>4943</v>
      </c>
      <c r="D1084" s="1">
        <v>3.1770833333333331E-2</v>
      </c>
      <c r="E1084" s="80" t="s">
        <v>5544</v>
      </c>
      <c r="F1084" s="69" t="s">
        <v>2104</v>
      </c>
      <c r="I1084" s="2"/>
      <c r="K1084" s="82">
        <v>0.46779999999999999</v>
      </c>
    </row>
    <row r="1085" spans="1:13" ht="14.25" customHeight="1" x14ac:dyDescent="0.2">
      <c r="A1085" s="523">
        <v>43036</v>
      </c>
      <c r="B1085" s="934" t="s">
        <v>398</v>
      </c>
      <c r="C1085" s="935" t="s">
        <v>4943</v>
      </c>
      <c r="D1085" s="1">
        <v>2.6793981481481485E-2</v>
      </c>
      <c r="E1085" s="80" t="s">
        <v>5544</v>
      </c>
      <c r="F1085" s="69" t="s">
        <v>4480</v>
      </c>
      <c r="I1085" s="2"/>
      <c r="K1085" s="82">
        <v>0.49590000000000001</v>
      </c>
    </row>
    <row r="1086" spans="1:13" ht="14.25" customHeight="1" x14ac:dyDescent="0.2">
      <c r="A1086" s="523">
        <v>42959</v>
      </c>
      <c r="B1086" s="866" t="s">
        <v>398</v>
      </c>
      <c r="C1086" s="867" t="s">
        <v>4943</v>
      </c>
      <c r="D1086" s="1">
        <v>2.7604166666666666E-2</v>
      </c>
      <c r="E1086" s="80" t="s">
        <v>5544</v>
      </c>
      <c r="F1086" s="69" t="s">
        <v>4885</v>
      </c>
      <c r="I1086" s="2"/>
      <c r="K1086" s="82">
        <v>0.48130000000000001</v>
      </c>
    </row>
    <row r="1087" spans="1:13" ht="14.25" customHeight="1" x14ac:dyDescent="0.2">
      <c r="A1087" s="523">
        <v>42952</v>
      </c>
      <c r="B1087" s="862" t="s">
        <v>398</v>
      </c>
      <c r="C1087" s="863" t="s">
        <v>4943</v>
      </c>
      <c r="D1087" s="1">
        <v>3.0486111111111113E-2</v>
      </c>
      <c r="E1087" s="80" t="s">
        <v>1183</v>
      </c>
      <c r="F1087" s="69" t="s">
        <v>8297</v>
      </c>
      <c r="I1087" s="2"/>
      <c r="K1087" s="82">
        <v>0.43580000000000002</v>
      </c>
      <c r="M1087" s="80"/>
    </row>
    <row r="1088" spans="1:13" ht="14.25" customHeight="1" x14ac:dyDescent="0.2">
      <c r="A1088" s="523">
        <v>42938</v>
      </c>
      <c r="B1088" s="532" t="s">
        <v>398</v>
      </c>
      <c r="C1088" s="843" t="s">
        <v>4943</v>
      </c>
      <c r="D1088" s="1">
        <v>2.6736111111111113E-2</v>
      </c>
      <c r="E1088" s="80" t="s">
        <v>8223</v>
      </c>
      <c r="F1088" s="69" t="s">
        <v>8237</v>
      </c>
      <c r="I1088" s="2"/>
      <c r="K1088" s="82">
        <v>0.497</v>
      </c>
      <c r="M1088" s="80"/>
    </row>
    <row r="1089" spans="1:13" ht="14.25" customHeight="1" x14ac:dyDescent="0.2">
      <c r="A1089" s="34">
        <v>42924</v>
      </c>
      <c r="B1089" s="80" t="s">
        <v>398</v>
      </c>
      <c r="C1089" s="334" t="s">
        <v>4943</v>
      </c>
      <c r="D1089" s="1">
        <v>3.681712962962963E-2</v>
      </c>
      <c r="E1089" s="80" t="s">
        <v>5544</v>
      </c>
      <c r="F1089" s="69" t="s">
        <v>8160</v>
      </c>
      <c r="I1089" s="2"/>
      <c r="K1089" s="82">
        <v>0.3609</v>
      </c>
      <c r="M1089" s="80"/>
    </row>
    <row r="1090" spans="1:13" ht="14.25" customHeight="1" x14ac:dyDescent="0.2">
      <c r="A1090" s="523">
        <v>42854</v>
      </c>
      <c r="B1090" s="80" t="s">
        <v>398</v>
      </c>
      <c r="C1090" s="334" t="s">
        <v>4943</v>
      </c>
      <c r="D1090" s="1">
        <v>2.5497685185185189E-2</v>
      </c>
      <c r="E1090" s="80" t="s">
        <v>5544</v>
      </c>
      <c r="F1090" s="69" t="s">
        <v>7824</v>
      </c>
      <c r="I1090" s="2"/>
      <c r="K1090" s="82">
        <v>0.52110000000000001</v>
      </c>
    </row>
    <row r="1091" spans="1:13" ht="14.25" customHeight="1" x14ac:dyDescent="0.2">
      <c r="A1091" s="523">
        <v>42819</v>
      </c>
      <c r="B1091" s="80" t="s">
        <v>398</v>
      </c>
      <c r="C1091" s="334" t="s">
        <v>4943</v>
      </c>
      <c r="D1091" s="1">
        <v>2.7777777777777776E-2</v>
      </c>
      <c r="E1091" s="80" t="s">
        <v>5544</v>
      </c>
      <c r="F1091" s="69" t="s">
        <v>3827</v>
      </c>
      <c r="I1091" s="2"/>
      <c r="K1091" s="82">
        <v>0.4783</v>
      </c>
      <c r="M1091" s="80"/>
    </row>
    <row r="1092" spans="1:13" ht="14.25" customHeight="1" x14ac:dyDescent="0.2">
      <c r="A1092" s="523">
        <v>42791</v>
      </c>
      <c r="B1092" s="53" t="s">
        <v>398</v>
      </c>
      <c r="C1092" s="54" t="s">
        <v>4943</v>
      </c>
      <c r="D1092" s="1">
        <v>2.8125000000000001E-2</v>
      </c>
      <c r="E1092" s="80" t="s">
        <v>2711</v>
      </c>
      <c r="F1092" s="69" t="s">
        <v>7556</v>
      </c>
      <c r="I1092" s="2"/>
      <c r="K1092" s="82">
        <v>0.47239999999999999</v>
      </c>
    </row>
    <row r="1093" spans="1:13" ht="14.25" customHeight="1" x14ac:dyDescent="0.2">
      <c r="A1093" s="33">
        <v>42770</v>
      </c>
      <c r="B1093" s="80" t="s">
        <v>398</v>
      </c>
      <c r="C1093" s="334" t="s">
        <v>4943</v>
      </c>
      <c r="D1093" s="1">
        <v>2.8101851851851854E-2</v>
      </c>
      <c r="E1093" s="80" t="s">
        <v>1183</v>
      </c>
      <c r="F1093" s="69" t="s">
        <v>6333</v>
      </c>
      <c r="I1093" s="2"/>
      <c r="K1093" s="571">
        <v>0.4728</v>
      </c>
      <c r="M1093" s="80"/>
    </row>
    <row r="1094" spans="1:13" ht="14.25" customHeight="1" x14ac:dyDescent="0.2">
      <c r="A1094" s="33">
        <v>42742</v>
      </c>
      <c r="B1094" s="53" t="s">
        <v>398</v>
      </c>
      <c r="C1094" s="54" t="s">
        <v>4943</v>
      </c>
      <c r="D1094" s="1">
        <v>2.7476851851851853E-2</v>
      </c>
      <c r="E1094" s="80" t="s">
        <v>5544</v>
      </c>
      <c r="F1094" s="69" t="s">
        <v>6253</v>
      </c>
      <c r="I1094" s="2"/>
      <c r="K1094" s="82">
        <v>0.48359999999999997</v>
      </c>
      <c r="M1094" s="80"/>
    </row>
    <row r="1095" spans="1:13" x14ac:dyDescent="0.2">
      <c r="A1095" s="523">
        <v>42875</v>
      </c>
      <c r="B1095" s="80" t="s">
        <v>7584</v>
      </c>
      <c r="C1095" s="334" t="s">
        <v>4943</v>
      </c>
      <c r="D1095" s="1">
        <v>2.75E-2</v>
      </c>
      <c r="E1095" t="s">
        <v>5544</v>
      </c>
      <c r="F1095" s="69" t="s">
        <v>4879</v>
      </c>
      <c r="I1095" s="2"/>
      <c r="K1095" s="82">
        <v>0.48320000000000002</v>
      </c>
    </row>
    <row r="1096" spans="1:13" x14ac:dyDescent="0.2">
      <c r="A1096" s="523">
        <v>42798</v>
      </c>
      <c r="B1096" t="s">
        <v>7584</v>
      </c>
      <c r="C1096" s="334" t="s">
        <v>4943</v>
      </c>
      <c r="D1096" s="1">
        <v>3.7245370370370366E-2</v>
      </c>
      <c r="E1096" s="80" t="s">
        <v>5544</v>
      </c>
      <c r="F1096" s="69" t="s">
        <v>5747</v>
      </c>
      <c r="I1096" s="2"/>
      <c r="K1096" s="82">
        <v>0.35670000000000002</v>
      </c>
    </row>
    <row r="1097" spans="1:13" x14ac:dyDescent="0.2">
      <c r="A1097" s="523">
        <v>43099</v>
      </c>
      <c r="B1097" s="601" t="s">
        <v>2137</v>
      </c>
      <c r="C1097" s="958" t="s">
        <v>4943</v>
      </c>
      <c r="D1097" s="1">
        <v>1.8310185185185186E-2</v>
      </c>
      <c r="E1097" s="80" t="s">
        <v>5654</v>
      </c>
      <c r="F1097" s="69" t="s">
        <v>9013</v>
      </c>
      <c r="I1097" s="2"/>
      <c r="K1097" s="82">
        <v>0.60809999999999997</v>
      </c>
    </row>
    <row r="1098" spans="1:13" ht="12.75" customHeight="1" x14ac:dyDescent="0.2">
      <c r="A1098" s="965">
        <v>43094</v>
      </c>
      <c r="B1098" s="962" t="s">
        <v>2137</v>
      </c>
      <c r="C1098" s="963" t="s">
        <v>4943</v>
      </c>
      <c r="D1098" s="1">
        <v>1.7905092592592594E-2</v>
      </c>
      <c r="E1098" s="80" t="s">
        <v>1401</v>
      </c>
      <c r="F1098" s="69" t="s">
        <v>8989</v>
      </c>
      <c r="I1098" s="2"/>
      <c r="K1098" s="82">
        <v>0.62180000000000002</v>
      </c>
    </row>
    <row r="1099" spans="1:13" ht="12.75" customHeight="1" x14ac:dyDescent="0.2">
      <c r="A1099" s="523">
        <v>43092</v>
      </c>
      <c r="B1099" s="568" t="s">
        <v>2137</v>
      </c>
      <c r="C1099" s="861" t="s">
        <v>4943</v>
      </c>
      <c r="D1099" s="334">
        <v>2.0092592592592592E-2</v>
      </c>
      <c r="E1099" s="80" t="s">
        <v>5544</v>
      </c>
      <c r="F1099" s="69" t="s">
        <v>970</v>
      </c>
      <c r="I1099" s="2"/>
      <c r="K1099" s="82">
        <v>0.55410000000000004</v>
      </c>
    </row>
    <row r="1100" spans="1:13" ht="12.75" customHeight="1" x14ac:dyDescent="0.2">
      <c r="A1100" s="523">
        <v>43064</v>
      </c>
      <c r="B1100" s="869" t="s">
        <v>2137</v>
      </c>
      <c r="C1100" s="903" t="s">
        <v>4943</v>
      </c>
      <c r="D1100" s="1">
        <v>1.6909722222222225E-2</v>
      </c>
      <c r="E1100" s="80" t="s">
        <v>5544</v>
      </c>
      <c r="F1100" s="69" t="s">
        <v>8851</v>
      </c>
      <c r="I1100" s="2"/>
      <c r="K1100" s="82">
        <v>0.65849999999999997</v>
      </c>
    </row>
    <row r="1101" spans="1:13" ht="12.75" customHeight="1" x14ac:dyDescent="0.2">
      <c r="A1101" s="523">
        <v>43057</v>
      </c>
      <c r="B1101" s="940" t="s">
        <v>2137</v>
      </c>
      <c r="C1101" s="941" t="s">
        <v>4943</v>
      </c>
      <c r="D1101" s="1">
        <v>1.8402777777777778E-2</v>
      </c>
      <c r="E1101" s="80" t="s">
        <v>1183</v>
      </c>
      <c r="F1101" s="69" t="s">
        <v>8818</v>
      </c>
      <c r="I1101" s="2"/>
      <c r="K1101" s="82">
        <v>0.60499999999999998</v>
      </c>
    </row>
    <row r="1102" spans="1:13" ht="12.75" customHeight="1" x14ac:dyDescent="0.2">
      <c r="A1102" s="523">
        <v>43050</v>
      </c>
      <c r="B1102" s="532" t="s">
        <v>2137</v>
      </c>
      <c r="C1102" s="843" t="s">
        <v>4943</v>
      </c>
      <c r="D1102" s="1">
        <v>1.8368055555555554E-2</v>
      </c>
      <c r="E1102" s="80" t="s">
        <v>5544</v>
      </c>
      <c r="F1102" s="69" t="s">
        <v>5572</v>
      </c>
      <c r="I1102" s="2"/>
      <c r="K1102" s="82">
        <v>0.60619999999999996</v>
      </c>
    </row>
    <row r="1103" spans="1:13" x14ac:dyDescent="0.2">
      <c r="A1103" s="523">
        <v>43036</v>
      </c>
      <c r="B1103" s="934" t="s">
        <v>2137</v>
      </c>
      <c r="C1103" s="935" t="s">
        <v>4943</v>
      </c>
      <c r="D1103" s="1">
        <v>1.6932870370370369E-2</v>
      </c>
      <c r="E1103" s="80" t="s">
        <v>5544</v>
      </c>
      <c r="F1103" s="69" t="s">
        <v>22</v>
      </c>
      <c r="I1103" s="2"/>
      <c r="K1103" s="82">
        <v>0.65759999999999996</v>
      </c>
    </row>
    <row r="1104" spans="1:13" ht="12.75" customHeight="1" x14ac:dyDescent="0.2">
      <c r="A1104" s="523">
        <v>43029</v>
      </c>
      <c r="B1104" s="901" t="s">
        <v>2137</v>
      </c>
      <c r="C1104" s="902" t="s">
        <v>4943</v>
      </c>
      <c r="D1104" s="1">
        <v>1.7511574074074072E-2</v>
      </c>
      <c r="E1104" s="80" t="s">
        <v>5963</v>
      </c>
      <c r="F1104" s="69" t="s">
        <v>8724</v>
      </c>
      <c r="I1104" s="2"/>
      <c r="K1104" s="82">
        <v>0.63580000000000003</v>
      </c>
    </row>
    <row r="1105" spans="1:19" x14ac:dyDescent="0.2">
      <c r="A1105" s="523">
        <v>43022</v>
      </c>
      <c r="B1105" s="930" t="s">
        <v>2137</v>
      </c>
      <c r="C1105" s="931" t="s">
        <v>4943</v>
      </c>
      <c r="D1105" s="1">
        <v>1.7812499999999998E-2</v>
      </c>
      <c r="E1105" s="80" t="s">
        <v>8262</v>
      </c>
      <c r="F1105" s="69" t="s">
        <v>8695</v>
      </c>
      <c r="I1105" s="2"/>
      <c r="K1105" s="82">
        <v>0.62509999999999999</v>
      </c>
      <c r="M1105" t="s">
        <v>7585</v>
      </c>
    </row>
    <row r="1106" spans="1:19" x14ac:dyDescent="0.2">
      <c r="A1106" s="523">
        <v>43008</v>
      </c>
      <c r="B1106" s="532" t="s">
        <v>2137</v>
      </c>
      <c r="C1106" s="843" t="s">
        <v>4943</v>
      </c>
      <c r="D1106" s="1">
        <v>2.0173611111111111E-2</v>
      </c>
      <c r="E1106" s="80" t="s">
        <v>5544</v>
      </c>
      <c r="F1106" s="69" t="s">
        <v>1200</v>
      </c>
      <c r="I1106" s="2"/>
      <c r="K1106" s="82">
        <v>0.55189999999999995</v>
      </c>
      <c r="M1106" s="80"/>
    </row>
    <row r="1107" spans="1:19" x14ac:dyDescent="0.2">
      <c r="A1107" s="523">
        <v>42987</v>
      </c>
      <c r="B1107" s="532" t="s">
        <v>2137</v>
      </c>
      <c r="C1107" s="843" t="s">
        <v>4943</v>
      </c>
      <c r="D1107" s="1">
        <v>3.1527777777777773E-2</v>
      </c>
      <c r="E1107" s="80" t="s">
        <v>5544</v>
      </c>
      <c r="F1107" s="69" t="s">
        <v>8504</v>
      </c>
      <c r="I1107" s="2"/>
      <c r="K1107" s="82">
        <v>0.35320000000000001</v>
      </c>
      <c r="M1107" s="80"/>
    </row>
    <row r="1108" spans="1:19" x14ac:dyDescent="0.2">
      <c r="A1108" s="523">
        <v>42980</v>
      </c>
      <c r="B1108" s="837" t="s">
        <v>2137</v>
      </c>
      <c r="C1108" s="842" t="s">
        <v>4943</v>
      </c>
      <c r="D1108" s="1">
        <v>1.8981481481481481E-2</v>
      </c>
      <c r="E1108" s="80" t="s">
        <v>4004</v>
      </c>
      <c r="F1108" s="69" t="s">
        <v>8452</v>
      </c>
      <c r="I1108" s="2"/>
      <c r="K1108" s="82">
        <v>0.58660000000000001</v>
      </c>
      <c r="M1108" s="80"/>
    </row>
    <row r="1109" spans="1:19" x14ac:dyDescent="0.2">
      <c r="A1109" s="523">
        <v>42973</v>
      </c>
      <c r="B1109" s="862" t="s">
        <v>2137</v>
      </c>
      <c r="C1109" s="863" t="s">
        <v>4943</v>
      </c>
      <c r="D1109" s="1">
        <v>1.8576388888888889E-2</v>
      </c>
      <c r="E1109" s="80" t="s">
        <v>5544</v>
      </c>
      <c r="F1109" s="69" t="s">
        <v>2187</v>
      </c>
      <c r="I1109" s="2"/>
      <c r="K1109" s="82">
        <v>0.59940000000000004</v>
      </c>
      <c r="M1109" s="80"/>
    </row>
    <row r="1110" spans="1:19" x14ac:dyDescent="0.2">
      <c r="A1110" s="523">
        <v>42966</v>
      </c>
      <c r="B1110" s="879" t="s">
        <v>2137</v>
      </c>
      <c r="C1110" s="880" t="s">
        <v>4943</v>
      </c>
      <c r="D1110" s="1">
        <v>1.6249999999999997E-2</v>
      </c>
      <c r="E1110" s="80" t="s">
        <v>5544</v>
      </c>
      <c r="F1110" s="69" t="s">
        <v>1426</v>
      </c>
      <c r="I1110" s="2"/>
      <c r="K1110" s="82">
        <v>0.68520000000000003</v>
      </c>
      <c r="M1110" s="80"/>
    </row>
    <row r="1111" spans="1:19" x14ac:dyDescent="0.2">
      <c r="A1111" s="523">
        <v>42959</v>
      </c>
      <c r="B1111" s="866" t="s">
        <v>2137</v>
      </c>
      <c r="C1111" s="867" t="s">
        <v>4943</v>
      </c>
      <c r="D1111" s="1" t="s">
        <v>787</v>
      </c>
      <c r="E1111" s="80" t="s">
        <v>5544</v>
      </c>
      <c r="F1111" s="69" t="s">
        <v>4061</v>
      </c>
      <c r="I1111" s="2"/>
      <c r="K1111" s="82"/>
    </row>
    <row r="1112" spans="1:19" x14ac:dyDescent="0.2">
      <c r="A1112" s="523">
        <v>42952</v>
      </c>
      <c r="B1112" s="862" t="s">
        <v>2137</v>
      </c>
      <c r="C1112" s="863" t="s">
        <v>4943</v>
      </c>
      <c r="D1112" s="1">
        <v>1.9166666666666669E-2</v>
      </c>
      <c r="E1112" s="80" t="s">
        <v>1183</v>
      </c>
      <c r="F1112" s="69" t="s">
        <v>8296</v>
      </c>
      <c r="I1112" s="2"/>
      <c r="K1112" s="82">
        <v>0.58089999999999997</v>
      </c>
      <c r="M1112" s="80" t="s">
        <v>7998</v>
      </c>
    </row>
    <row r="1113" spans="1:19" x14ac:dyDescent="0.2">
      <c r="A1113" s="523">
        <v>42945</v>
      </c>
      <c r="B1113" s="568" t="s">
        <v>2137</v>
      </c>
      <c r="C1113" s="861" t="s">
        <v>4943</v>
      </c>
      <c r="D1113" s="1">
        <v>1.7175925925925924E-2</v>
      </c>
      <c r="E1113" s="80" t="s">
        <v>5963</v>
      </c>
      <c r="F1113" s="69" t="s">
        <v>8281</v>
      </c>
      <c r="I1113" s="2"/>
      <c r="K1113" s="82">
        <v>0.6482</v>
      </c>
      <c r="M1113" s="80"/>
    </row>
    <row r="1114" spans="1:19" x14ac:dyDescent="0.2">
      <c r="A1114" s="523">
        <v>42938</v>
      </c>
      <c r="B1114" s="532" t="s">
        <v>2137</v>
      </c>
      <c r="C1114" s="843" t="s">
        <v>4943</v>
      </c>
      <c r="D1114" s="1">
        <v>1.8067129629629631E-2</v>
      </c>
      <c r="E1114" s="80" t="s">
        <v>8223</v>
      </c>
      <c r="F1114" s="69" t="s">
        <v>8225</v>
      </c>
      <c r="I1114" s="2"/>
      <c r="K1114" s="82">
        <v>0.61629999999999996</v>
      </c>
      <c r="S1114" s="80"/>
    </row>
    <row r="1115" spans="1:19" x14ac:dyDescent="0.2">
      <c r="A1115" s="523">
        <v>42931</v>
      </c>
      <c r="B1115" s="837" t="s">
        <v>2137</v>
      </c>
      <c r="C1115" s="842" t="s">
        <v>4943</v>
      </c>
      <c r="D1115" s="1">
        <v>1.7071759259259259E-2</v>
      </c>
      <c r="E1115" s="80" t="s">
        <v>5544</v>
      </c>
      <c r="F1115" s="69" t="s">
        <v>5917</v>
      </c>
      <c r="I1115" s="2"/>
      <c r="K1115" s="82">
        <v>0.6522</v>
      </c>
      <c r="M1115" s="80"/>
    </row>
    <row r="1116" spans="1:19" x14ac:dyDescent="0.2">
      <c r="A1116" s="34">
        <v>42924</v>
      </c>
      <c r="B1116" s="80" t="s">
        <v>2137</v>
      </c>
      <c r="C1116" s="334" t="s">
        <v>4943</v>
      </c>
      <c r="D1116" s="1">
        <v>1.6168981481481482E-2</v>
      </c>
      <c r="E1116" s="80" t="s">
        <v>5544</v>
      </c>
      <c r="F1116" s="69" t="s">
        <v>8159</v>
      </c>
      <c r="I1116" s="2"/>
      <c r="K1116" s="82">
        <v>0.68859999999999999</v>
      </c>
      <c r="M1116" s="80"/>
    </row>
    <row r="1117" spans="1:19" x14ac:dyDescent="0.2">
      <c r="A1117" s="523">
        <v>42917</v>
      </c>
      <c r="B1117" s="80" t="s">
        <v>2137</v>
      </c>
      <c r="C1117" s="334" t="s">
        <v>4943</v>
      </c>
      <c r="D1117" s="1">
        <v>1.9363425925925926E-2</v>
      </c>
      <c r="E1117" s="80" t="s">
        <v>5544</v>
      </c>
      <c r="F1117" s="69" t="s">
        <v>1598</v>
      </c>
      <c r="I1117" s="2"/>
      <c r="K1117" s="82">
        <v>0.57499999999999996</v>
      </c>
    </row>
    <row r="1118" spans="1:19" x14ac:dyDescent="0.2">
      <c r="A1118" s="523">
        <v>42896</v>
      </c>
      <c r="B1118" s="80" t="s">
        <v>2137</v>
      </c>
      <c r="C1118" s="334" t="s">
        <v>4943</v>
      </c>
      <c r="D1118" s="1">
        <v>1.982638888888889E-2</v>
      </c>
      <c r="E1118" s="80" t="s">
        <v>5544</v>
      </c>
      <c r="F1118" s="69" t="s">
        <v>2477</v>
      </c>
      <c r="I1118" s="2"/>
      <c r="K1118" s="82">
        <v>0.56159999999999999</v>
      </c>
      <c r="M1118" s="80" t="s">
        <v>8280</v>
      </c>
    </row>
    <row r="1119" spans="1:19" x14ac:dyDescent="0.2">
      <c r="A1119" s="523">
        <v>42889</v>
      </c>
      <c r="B1119" s="80" t="s">
        <v>2137</v>
      </c>
      <c r="C1119" s="334" t="s">
        <v>4943</v>
      </c>
      <c r="D1119" s="1">
        <v>2.8715277777777781E-2</v>
      </c>
      <c r="E1119" s="80" t="s">
        <v>7987</v>
      </c>
      <c r="F1119" s="69" t="s">
        <v>7990</v>
      </c>
      <c r="I1119" s="2"/>
      <c r="K1119" s="82">
        <v>0.38769999999999999</v>
      </c>
      <c r="M1119" s="80"/>
    </row>
    <row r="1120" spans="1:19" x14ac:dyDescent="0.2">
      <c r="A1120" s="523">
        <v>42875</v>
      </c>
      <c r="B1120" s="80" t="s">
        <v>2137</v>
      </c>
      <c r="C1120" s="334" t="s">
        <v>4943</v>
      </c>
      <c r="D1120" s="1">
        <v>1.9189814814814816E-2</v>
      </c>
      <c r="E1120" t="s">
        <v>5544</v>
      </c>
      <c r="F1120" s="69" t="s">
        <v>7920</v>
      </c>
      <c r="I1120" s="2"/>
      <c r="K1120" s="82">
        <v>0.58020000000000005</v>
      </c>
    </row>
    <row r="1121" spans="1:15" x14ac:dyDescent="0.2">
      <c r="A1121" s="523">
        <v>42861</v>
      </c>
      <c r="B1121" s="80" t="s">
        <v>2137</v>
      </c>
      <c r="C1121" s="334" t="s">
        <v>4943</v>
      </c>
      <c r="D1121" s="1">
        <v>1.6458333333333332E-2</v>
      </c>
      <c r="E1121" s="80" t="s">
        <v>5544</v>
      </c>
      <c r="F1121" s="69" t="s">
        <v>1606</v>
      </c>
      <c r="I1121" s="2"/>
      <c r="K1121" s="82">
        <v>0.67649999999999999</v>
      </c>
    </row>
    <row r="1122" spans="1:15" x14ac:dyDescent="0.2">
      <c r="A1122" s="523">
        <v>42854</v>
      </c>
      <c r="B1122" s="80" t="s">
        <v>2137</v>
      </c>
      <c r="C1122" s="334" t="s">
        <v>4943</v>
      </c>
      <c r="D1122" s="1">
        <v>1.9039351851851852E-2</v>
      </c>
      <c r="E1122" s="80" t="s">
        <v>5544</v>
      </c>
      <c r="F1122" s="69" t="s">
        <v>4392</v>
      </c>
      <c r="I1122" s="2"/>
      <c r="K1122" s="82">
        <v>0.58130000000000004</v>
      </c>
      <c r="M1122" s="80"/>
    </row>
    <row r="1123" spans="1:15" x14ac:dyDescent="0.2">
      <c r="A1123" s="523">
        <v>42847</v>
      </c>
      <c r="B1123" s="80" t="s">
        <v>2137</v>
      </c>
      <c r="C1123" s="334" t="s">
        <v>4943</v>
      </c>
      <c r="D1123" s="1">
        <v>3.3530092592592591E-2</v>
      </c>
      <c r="E1123" s="80" t="s">
        <v>5544</v>
      </c>
      <c r="F1123" s="69" t="s">
        <v>7800</v>
      </c>
      <c r="I1123" s="2"/>
      <c r="K1123" s="82">
        <v>0.33210000000000001</v>
      </c>
      <c r="M1123" s="80"/>
    </row>
    <row r="1124" spans="1:15" x14ac:dyDescent="0.2">
      <c r="A1124" s="523">
        <v>42819</v>
      </c>
      <c r="B1124" s="80" t="s">
        <v>2137</v>
      </c>
      <c r="C1124" s="334" t="s">
        <v>4943</v>
      </c>
      <c r="D1124" s="1">
        <v>1.744212962962963E-2</v>
      </c>
      <c r="E1124" s="80" t="s">
        <v>5544</v>
      </c>
      <c r="F1124" s="69" t="s">
        <v>7688</v>
      </c>
      <c r="I1124" s="2"/>
      <c r="K1124" s="82">
        <v>0.63839999999999997</v>
      </c>
      <c r="M1124" s="80"/>
    </row>
    <row r="1125" spans="1:15" x14ac:dyDescent="0.2">
      <c r="A1125" s="523">
        <v>42812</v>
      </c>
      <c r="B1125" s="80" t="s">
        <v>2137</v>
      </c>
      <c r="C1125" s="334" t="s">
        <v>4943</v>
      </c>
      <c r="D1125" s="1">
        <v>1.6516203703703703E-2</v>
      </c>
      <c r="E1125" s="80" t="s">
        <v>6284</v>
      </c>
      <c r="F1125" s="69" t="s">
        <v>7647</v>
      </c>
      <c r="I1125" s="2"/>
      <c r="K1125" s="82">
        <v>0.66849999999999998</v>
      </c>
      <c r="M1125" s="80"/>
    </row>
    <row r="1126" spans="1:15" x14ac:dyDescent="0.2">
      <c r="A1126" s="523">
        <v>42798</v>
      </c>
      <c r="B1126" t="s">
        <v>2137</v>
      </c>
      <c r="C1126" s="334" t="s">
        <v>4943</v>
      </c>
      <c r="D1126" s="1">
        <v>1.5868055555555555E-2</v>
      </c>
      <c r="E1126" s="80" t="s">
        <v>5544</v>
      </c>
      <c r="F1126" s="69" t="s">
        <v>821</v>
      </c>
      <c r="I1126" s="2"/>
      <c r="K1126" s="82">
        <v>0.69579999999999997</v>
      </c>
      <c r="M1126" s="80"/>
    </row>
    <row r="1127" spans="1:15" x14ac:dyDescent="0.2">
      <c r="A1127" s="523">
        <v>42791</v>
      </c>
      <c r="B1127" s="80" t="s">
        <v>2137</v>
      </c>
      <c r="C1127" s="334" t="s">
        <v>4943</v>
      </c>
      <c r="D1127" s="1">
        <v>1.6851851851851851E-2</v>
      </c>
      <c r="E1127" s="80" t="s">
        <v>2711</v>
      </c>
      <c r="F1127" s="69" t="s">
        <v>7556</v>
      </c>
      <c r="I1127" s="2"/>
      <c r="K1127" s="82">
        <v>0.6552</v>
      </c>
      <c r="M1127" s="80"/>
    </row>
    <row r="1128" spans="1:15" ht="12.75" customHeight="1" x14ac:dyDescent="0.2">
      <c r="A1128" s="523">
        <v>42784</v>
      </c>
      <c r="B1128" s="80" t="s">
        <v>2137</v>
      </c>
      <c r="C1128" s="334" t="s">
        <v>4943</v>
      </c>
      <c r="D1128" s="1">
        <v>1.6469907407407405E-2</v>
      </c>
      <c r="E1128" s="80" t="s">
        <v>5453</v>
      </c>
      <c r="F1128" s="69" t="s">
        <v>6447</v>
      </c>
      <c r="I1128" s="2"/>
      <c r="K1128" s="82">
        <v>0.6704</v>
      </c>
      <c r="M1128" s="80"/>
    </row>
    <row r="1129" spans="1:15" x14ac:dyDescent="0.2">
      <c r="A1129" s="523">
        <v>42777</v>
      </c>
      <c r="B1129" s="80" t="s">
        <v>2137</v>
      </c>
      <c r="C1129" s="334" t="s">
        <v>4943</v>
      </c>
      <c r="D1129" s="1">
        <v>3.1944444444444449E-2</v>
      </c>
      <c r="E1129" s="80" t="s">
        <v>5544</v>
      </c>
      <c r="F1129" s="69" t="s">
        <v>1238</v>
      </c>
      <c r="I1129" s="2"/>
      <c r="K1129" s="82">
        <v>0.34570000000000001</v>
      </c>
      <c r="M1129" s="80"/>
    </row>
    <row r="1130" spans="1:15" x14ac:dyDescent="0.2">
      <c r="A1130" s="33">
        <v>42770</v>
      </c>
      <c r="B1130" s="80" t="s">
        <v>2137</v>
      </c>
      <c r="C1130" s="334" t="s">
        <v>4943</v>
      </c>
      <c r="D1130" s="1">
        <v>1.7048611111111112E-2</v>
      </c>
      <c r="E1130" s="80" t="s">
        <v>1183</v>
      </c>
      <c r="F1130" s="69" t="s">
        <v>6332</v>
      </c>
      <c r="I1130" s="2"/>
      <c r="K1130" s="82">
        <v>0.64770000000000005</v>
      </c>
      <c r="M1130" s="80"/>
    </row>
    <row r="1131" spans="1:15" ht="12.75" customHeight="1" x14ac:dyDescent="0.2">
      <c r="A1131" s="523">
        <v>42749</v>
      </c>
      <c r="B1131" s="80" t="s">
        <v>2137</v>
      </c>
      <c r="C1131" s="334" t="s">
        <v>4943</v>
      </c>
      <c r="D1131" s="1">
        <v>1.6550925925925924E-2</v>
      </c>
      <c r="E1131" s="80" t="s">
        <v>5544</v>
      </c>
      <c r="F1131" s="69" t="s">
        <v>6286</v>
      </c>
      <c r="I1131" s="2"/>
      <c r="K1131" s="82">
        <v>0.66710000000000003</v>
      </c>
      <c r="M1131" s="80"/>
    </row>
    <row r="1132" spans="1:15" ht="12.75" customHeight="1" x14ac:dyDescent="0.2">
      <c r="A1132" s="523">
        <v>42952</v>
      </c>
      <c r="B1132" s="862" t="s">
        <v>8298</v>
      </c>
      <c r="C1132" s="863" t="s">
        <v>4943</v>
      </c>
      <c r="D1132" s="1">
        <v>3.050925925925926E-2</v>
      </c>
      <c r="E1132" s="80" t="s">
        <v>1183</v>
      </c>
      <c r="F1132" s="69" t="s">
        <v>8325</v>
      </c>
      <c r="I1132" s="2"/>
      <c r="K1132" s="82">
        <v>0.38479999999999998</v>
      </c>
      <c r="M1132" s="80"/>
    </row>
    <row r="1133" spans="1:15" x14ac:dyDescent="0.2">
      <c r="A1133" s="523">
        <v>43099</v>
      </c>
      <c r="B1133" s="601" t="s">
        <v>2478</v>
      </c>
      <c r="C1133" s="958" t="s">
        <v>2479</v>
      </c>
      <c r="D1133" s="1">
        <v>1.7569444444444447E-2</v>
      </c>
      <c r="E1133" s="80" t="s">
        <v>1214</v>
      </c>
      <c r="F1133" s="69" t="s">
        <v>9014</v>
      </c>
      <c r="I1133" s="2"/>
      <c r="K1133" s="82">
        <v>0.59219999999999995</v>
      </c>
    </row>
    <row r="1134" spans="1:15" ht="12.75" customHeight="1" x14ac:dyDescent="0.2">
      <c r="A1134" s="965">
        <v>43094</v>
      </c>
      <c r="B1134" s="962" t="s">
        <v>2478</v>
      </c>
      <c r="C1134" s="963" t="s">
        <v>2479</v>
      </c>
      <c r="D1134" s="1">
        <v>1.4988425925925926E-2</v>
      </c>
      <c r="E1134" s="80" t="s">
        <v>1214</v>
      </c>
      <c r="F1134" s="69" t="s">
        <v>8982</v>
      </c>
      <c r="I1134" s="2"/>
      <c r="K1134" s="82">
        <v>0.69420000000000004</v>
      </c>
    </row>
    <row r="1135" spans="1:15" x14ac:dyDescent="0.2">
      <c r="A1135" s="523">
        <v>43092</v>
      </c>
      <c r="B1135" s="568" t="s">
        <v>2478</v>
      </c>
      <c r="C1135" s="861" t="s">
        <v>2479</v>
      </c>
      <c r="D1135" s="1">
        <v>1.636574074074074E-2</v>
      </c>
      <c r="E1135" s="80" t="s">
        <v>3167</v>
      </c>
      <c r="F1135" s="69" t="s">
        <v>8955</v>
      </c>
      <c r="I1135" s="2"/>
      <c r="K1135" s="82">
        <v>0.63580000000000003</v>
      </c>
    </row>
    <row r="1136" spans="1:15" ht="12.75" customHeight="1" x14ac:dyDescent="0.2">
      <c r="A1136" s="523">
        <v>43085</v>
      </c>
      <c r="B1136" s="601" t="s">
        <v>2478</v>
      </c>
      <c r="C1136" s="958" t="s">
        <v>2479</v>
      </c>
      <c r="D1136" s="1">
        <v>1.5729166666666666E-2</v>
      </c>
      <c r="E1136" s="80" t="s">
        <v>3167</v>
      </c>
      <c r="F1136" s="69" t="s">
        <v>8935</v>
      </c>
      <c r="I1136" s="2"/>
      <c r="K1136" s="82">
        <v>0.65190000000000003</v>
      </c>
      <c r="M1136" s="45">
        <v>900</v>
      </c>
      <c r="O1136" s="80" t="s">
        <v>6224</v>
      </c>
    </row>
    <row r="1137" spans="1:28" ht="12.75" customHeight="1" x14ac:dyDescent="0.2">
      <c r="A1137" s="523">
        <v>43078</v>
      </c>
      <c r="B1137" s="879" t="s">
        <v>2478</v>
      </c>
      <c r="C1137" s="880" t="s">
        <v>2479</v>
      </c>
      <c r="D1137" s="1">
        <v>1.5266203703703705E-2</v>
      </c>
      <c r="E1137" s="80" t="s">
        <v>3167</v>
      </c>
      <c r="F1137" s="69" t="s">
        <v>1915</v>
      </c>
      <c r="I1137" s="2"/>
      <c r="K1137" s="82">
        <v>0.68159999999999998</v>
      </c>
      <c r="M1137" s="45">
        <v>1030</v>
      </c>
    </row>
    <row r="1138" spans="1:28" x14ac:dyDescent="0.2">
      <c r="A1138" s="523">
        <v>43064</v>
      </c>
      <c r="B1138" s="869" t="s">
        <v>2478</v>
      </c>
      <c r="C1138" s="903" t="s">
        <v>2479</v>
      </c>
      <c r="D1138" s="1">
        <v>1.511574074074074E-2</v>
      </c>
      <c r="E1138" s="80" t="s">
        <v>3167</v>
      </c>
      <c r="F1138" s="69" t="s">
        <v>8840</v>
      </c>
      <c r="I1138" s="2"/>
      <c r="K1138" s="82">
        <v>0.68840000000000001</v>
      </c>
    </row>
    <row r="1139" spans="1:28" ht="12.75" customHeight="1" x14ac:dyDescent="0.2">
      <c r="A1139" s="523">
        <v>43057</v>
      </c>
      <c r="B1139" s="940" t="s">
        <v>2478</v>
      </c>
      <c r="C1139" s="941" t="s">
        <v>2479</v>
      </c>
      <c r="D1139" s="1">
        <v>1.4675925925925926E-2</v>
      </c>
      <c r="E1139" s="80" t="s">
        <v>4727</v>
      </c>
      <c r="F1139" s="69" t="s">
        <v>2629</v>
      </c>
      <c r="I1139" s="2"/>
      <c r="K1139" s="82">
        <v>0.70899999999999996</v>
      </c>
    </row>
    <row r="1140" spans="1:28" ht="12.75" customHeight="1" x14ac:dyDescent="0.2">
      <c r="A1140" s="523">
        <v>43050</v>
      </c>
      <c r="B1140" s="532" t="s">
        <v>2478</v>
      </c>
      <c r="C1140" s="843" t="s">
        <v>2479</v>
      </c>
      <c r="D1140" s="1">
        <v>1.9907407407407408E-2</v>
      </c>
      <c r="E1140" s="80" t="s">
        <v>3167</v>
      </c>
      <c r="F1140" s="69" t="s">
        <v>8786</v>
      </c>
      <c r="I1140" s="2"/>
      <c r="K1140" s="82">
        <v>0.52270000000000005</v>
      </c>
    </row>
    <row r="1141" spans="1:28" x14ac:dyDescent="0.2">
      <c r="A1141" s="523">
        <v>43036</v>
      </c>
      <c r="B1141" s="934" t="s">
        <v>2478</v>
      </c>
      <c r="C1141" s="935" t="s">
        <v>2479</v>
      </c>
      <c r="D1141" s="1">
        <v>1.6620370370370372E-2</v>
      </c>
      <c r="E1141" s="80" t="s">
        <v>3344</v>
      </c>
      <c r="F1141" s="69" t="s">
        <v>8743</v>
      </c>
      <c r="I1141" s="2"/>
      <c r="K1141" s="82">
        <v>0.626</v>
      </c>
    </row>
    <row r="1142" spans="1:28" x14ac:dyDescent="0.2">
      <c r="A1142" s="523">
        <v>43022</v>
      </c>
      <c r="B1142" s="930" t="s">
        <v>2478</v>
      </c>
      <c r="C1142" s="931" t="s">
        <v>2479</v>
      </c>
      <c r="D1142" s="1">
        <v>1.4953703703703705E-2</v>
      </c>
      <c r="E1142" s="80" t="s">
        <v>3167</v>
      </c>
      <c r="F1142" s="69" t="s">
        <v>8677</v>
      </c>
      <c r="I1142" s="2"/>
      <c r="K1142" s="82">
        <v>0.69579999999999997</v>
      </c>
    </row>
    <row r="1143" spans="1:28" x14ac:dyDescent="0.2">
      <c r="A1143" s="523">
        <v>43015</v>
      </c>
      <c r="B1143" s="923" t="s">
        <v>2478</v>
      </c>
      <c r="C1143" s="924" t="s">
        <v>2479</v>
      </c>
      <c r="D1143" s="1">
        <v>1.4386574074074072E-2</v>
      </c>
      <c r="E1143" s="80" t="s">
        <v>3167</v>
      </c>
      <c r="F1143" s="69" t="s">
        <v>8625</v>
      </c>
      <c r="I1143" s="2"/>
      <c r="K1143" s="82">
        <v>0.72330000000000005</v>
      </c>
      <c r="M1143" s="80" t="s">
        <v>7558</v>
      </c>
    </row>
    <row r="1144" spans="1:28" x14ac:dyDescent="0.2">
      <c r="A1144" s="523">
        <v>43008</v>
      </c>
      <c r="B1144" s="532" t="s">
        <v>2478</v>
      </c>
      <c r="C1144" s="843" t="s">
        <v>2479</v>
      </c>
      <c r="D1144" s="1">
        <v>1.4675925925925926E-2</v>
      </c>
      <c r="E1144" s="80" t="s">
        <v>3167</v>
      </c>
      <c r="F1144" s="69" t="s">
        <v>717</v>
      </c>
      <c r="I1144" s="2"/>
      <c r="K1144" s="82">
        <v>0.70899999999999996</v>
      </c>
    </row>
    <row r="1145" spans="1:28" x14ac:dyDescent="0.2">
      <c r="A1145" s="523">
        <v>42994</v>
      </c>
      <c r="B1145" s="869" t="s">
        <v>2478</v>
      </c>
      <c r="C1145" s="903" t="s">
        <v>2479</v>
      </c>
      <c r="D1145" s="1">
        <v>1.3842592592592594E-2</v>
      </c>
      <c r="E1145" s="80" t="s">
        <v>3167</v>
      </c>
      <c r="F1145" s="69" t="s">
        <v>2748</v>
      </c>
      <c r="I1145" s="2"/>
      <c r="K1145" s="82">
        <v>0.75170000000000003</v>
      </c>
      <c r="AB1145" s="41"/>
    </row>
    <row r="1146" spans="1:28" x14ac:dyDescent="0.2">
      <c r="A1146" s="523">
        <v>42980</v>
      </c>
      <c r="B1146" s="837" t="s">
        <v>2478</v>
      </c>
      <c r="C1146" s="842" t="s">
        <v>2479</v>
      </c>
      <c r="D1146" s="1">
        <v>1.3680555555555555E-2</v>
      </c>
      <c r="E1146" s="80" t="s">
        <v>3167</v>
      </c>
      <c r="F1146" s="69" t="s">
        <v>8473</v>
      </c>
      <c r="I1146" s="2"/>
      <c r="K1146" s="82">
        <v>0.76060000000000005</v>
      </c>
      <c r="M1146" s="80"/>
    </row>
    <row r="1147" spans="1:28" x14ac:dyDescent="0.2">
      <c r="A1147" s="523">
        <v>42973</v>
      </c>
      <c r="B1147" s="862" t="s">
        <v>2478</v>
      </c>
      <c r="C1147" s="863" t="s">
        <v>2479</v>
      </c>
      <c r="D1147" s="1">
        <v>1.3865740740740739E-2</v>
      </c>
      <c r="E1147" s="80" t="s">
        <v>3167</v>
      </c>
      <c r="F1147" s="69" t="s">
        <v>8421</v>
      </c>
      <c r="I1147" s="2"/>
      <c r="K1147" s="82">
        <v>0.75039999999999996</v>
      </c>
      <c r="M1147" s="80"/>
    </row>
    <row r="1148" spans="1:28" x14ac:dyDescent="0.2">
      <c r="A1148" s="523">
        <v>42952</v>
      </c>
      <c r="B1148" s="862" t="s">
        <v>2478</v>
      </c>
      <c r="C1148" s="863" t="s">
        <v>2479</v>
      </c>
      <c r="D1148" s="1">
        <v>1.3935185185185184E-2</v>
      </c>
      <c r="E1148" s="80" t="s">
        <v>3167</v>
      </c>
      <c r="F1148" s="69" t="s">
        <v>1605</v>
      </c>
      <c r="I1148" s="2"/>
      <c r="K1148" s="82">
        <v>0.74670000000000003</v>
      </c>
    </row>
    <row r="1149" spans="1:28" x14ac:dyDescent="0.2">
      <c r="A1149" s="523">
        <v>42945</v>
      </c>
      <c r="B1149" s="568" t="s">
        <v>2478</v>
      </c>
      <c r="C1149" s="861" t="s">
        <v>2479</v>
      </c>
      <c r="D1149" s="1">
        <v>1.3738425925925926E-2</v>
      </c>
      <c r="E1149" s="80" t="s">
        <v>3167</v>
      </c>
      <c r="F1149" s="69" t="s">
        <v>8284</v>
      </c>
      <c r="I1149" s="2"/>
      <c r="K1149" s="82">
        <v>0.75739999999999996</v>
      </c>
      <c r="M1149" s="80"/>
    </row>
    <row r="1150" spans="1:28" x14ac:dyDescent="0.2">
      <c r="A1150" s="523">
        <v>42938</v>
      </c>
      <c r="B1150" s="532" t="s">
        <v>2478</v>
      </c>
      <c r="C1150" s="843" t="s">
        <v>2479</v>
      </c>
      <c r="D1150" s="1">
        <v>1.4155092592592592E-2</v>
      </c>
      <c r="E1150" s="80" t="s">
        <v>3167</v>
      </c>
      <c r="F1150" s="69" t="s">
        <v>3151</v>
      </c>
      <c r="I1150" s="2"/>
      <c r="K1150" s="82">
        <v>0.73509999999999998</v>
      </c>
      <c r="M1150" s="80"/>
    </row>
    <row r="1151" spans="1:28" x14ac:dyDescent="0.2">
      <c r="A1151" s="523">
        <v>42931</v>
      </c>
      <c r="B1151" s="837" t="s">
        <v>2478</v>
      </c>
      <c r="C1151" s="842" t="s">
        <v>2479</v>
      </c>
      <c r="D1151" s="1">
        <v>1.3680555555555555E-2</v>
      </c>
      <c r="E1151" s="80" t="s">
        <v>1214</v>
      </c>
      <c r="F1151" s="69" t="s">
        <v>1198</v>
      </c>
      <c r="I1151" s="2"/>
      <c r="K1151" s="82">
        <v>0.76060000000000005</v>
      </c>
      <c r="M1151" s="80"/>
    </row>
    <row r="1152" spans="1:28" x14ac:dyDescent="0.2">
      <c r="A1152" s="34">
        <v>42924</v>
      </c>
      <c r="B1152" s="80" t="s">
        <v>2478</v>
      </c>
      <c r="C1152" s="334" t="s">
        <v>2479</v>
      </c>
      <c r="D1152" s="1">
        <v>1.3958333333333335E-2</v>
      </c>
      <c r="E1152" s="80" t="s">
        <v>3167</v>
      </c>
      <c r="F1152" s="69" t="s">
        <v>8161</v>
      </c>
      <c r="I1152" s="2"/>
      <c r="K1152" s="82">
        <v>0.74539999999999995</v>
      </c>
      <c r="M1152" s="80"/>
    </row>
    <row r="1153" spans="1:19" x14ac:dyDescent="0.2">
      <c r="A1153" s="523">
        <v>42917</v>
      </c>
      <c r="B1153" s="80" t="s">
        <v>2478</v>
      </c>
      <c r="C1153" s="334" t="s">
        <v>2479</v>
      </c>
      <c r="D1153" s="1">
        <v>1.3819444444444445E-2</v>
      </c>
      <c r="E1153" s="80" t="s">
        <v>3167</v>
      </c>
      <c r="F1153" s="69" t="s">
        <v>4323</v>
      </c>
      <c r="I1153" s="2"/>
      <c r="K1153" s="82">
        <v>0.75290000000000001</v>
      </c>
      <c r="S1153" s="5"/>
    </row>
    <row r="1154" spans="1:19" x14ac:dyDescent="0.2">
      <c r="A1154" s="523">
        <v>42910</v>
      </c>
      <c r="B1154" s="80" t="s">
        <v>2478</v>
      </c>
      <c r="C1154" s="334" t="s">
        <v>2479</v>
      </c>
      <c r="D1154" s="1">
        <v>1.3969907407407408E-2</v>
      </c>
      <c r="E1154" s="80" t="s">
        <v>1214</v>
      </c>
      <c r="F1154" s="69" t="s">
        <v>8094</v>
      </c>
      <c r="I1154" s="2"/>
      <c r="K1154" s="82">
        <v>0.74480000000000002</v>
      </c>
      <c r="M1154" s="80" t="s">
        <v>7989</v>
      </c>
    </row>
    <row r="1155" spans="1:19" x14ac:dyDescent="0.2">
      <c r="A1155" s="523">
        <v>42903</v>
      </c>
      <c r="B1155" s="80" t="s">
        <v>2478</v>
      </c>
      <c r="C1155" s="334" t="s">
        <v>2479</v>
      </c>
      <c r="D1155" s="1">
        <v>1.4039351851851851E-2</v>
      </c>
      <c r="E1155" s="80" t="s">
        <v>3167</v>
      </c>
      <c r="F1155" s="69" t="s">
        <v>4938</v>
      </c>
      <c r="I1155" s="2"/>
      <c r="K1155" s="82">
        <v>0.68840000000000001</v>
      </c>
      <c r="M1155" s="80"/>
    </row>
    <row r="1156" spans="1:19" x14ac:dyDescent="0.2">
      <c r="A1156" s="523">
        <v>42896</v>
      </c>
      <c r="B1156" s="80" t="s">
        <v>2478</v>
      </c>
      <c r="C1156" s="334" t="s">
        <v>2479</v>
      </c>
      <c r="D1156" s="1">
        <v>1.5590277777777778E-2</v>
      </c>
      <c r="E1156" s="80" t="s">
        <v>3167</v>
      </c>
      <c r="F1156" s="69" t="s">
        <v>8021</v>
      </c>
      <c r="I1156" s="2"/>
      <c r="K1156" s="82">
        <v>0.66220000000000001</v>
      </c>
      <c r="M1156" s="80"/>
    </row>
    <row r="1157" spans="1:19" x14ac:dyDescent="0.2">
      <c r="A1157" s="523">
        <v>42889</v>
      </c>
      <c r="B1157" s="80" t="s">
        <v>2478</v>
      </c>
      <c r="C1157" s="334" t="s">
        <v>2479</v>
      </c>
      <c r="D1157" s="1">
        <v>2.1145833333333332E-2</v>
      </c>
      <c r="E1157" s="80" t="s">
        <v>7987</v>
      </c>
      <c r="F1157" s="69" t="s">
        <v>7988</v>
      </c>
      <c r="I1157" s="2"/>
      <c r="K1157" s="82">
        <v>0.48820000000000002</v>
      </c>
    </row>
    <row r="1158" spans="1:19" x14ac:dyDescent="0.2">
      <c r="A1158" s="523">
        <v>42882</v>
      </c>
      <c r="B1158" s="80" t="s">
        <v>2478</v>
      </c>
      <c r="C1158" s="334" t="s">
        <v>2479</v>
      </c>
      <c r="D1158" s="1">
        <v>1.4143518518518519E-2</v>
      </c>
      <c r="E1158" s="80" t="s">
        <v>3167</v>
      </c>
      <c r="F1158" s="69" t="s">
        <v>7954</v>
      </c>
      <c r="I1158" s="2"/>
      <c r="K1158" s="82">
        <v>0.73</v>
      </c>
    </row>
    <row r="1159" spans="1:19" x14ac:dyDescent="0.2">
      <c r="A1159" s="523">
        <v>42868</v>
      </c>
      <c r="B1159" s="80" t="s">
        <v>2478</v>
      </c>
      <c r="C1159" s="334" t="s">
        <v>2479</v>
      </c>
      <c r="D1159" s="1">
        <v>1.3854166666666666E-2</v>
      </c>
      <c r="E1159" s="80" t="s">
        <v>3167</v>
      </c>
      <c r="F1159" s="69" t="s">
        <v>7875</v>
      </c>
      <c r="I1159" s="2"/>
      <c r="K1159" s="82">
        <v>0.74519999999999997</v>
      </c>
      <c r="M1159" s="80"/>
    </row>
    <row r="1160" spans="1:19" x14ac:dyDescent="0.2">
      <c r="A1160" s="523">
        <v>42861</v>
      </c>
      <c r="B1160" s="80" t="s">
        <v>2478</v>
      </c>
      <c r="C1160" s="334" t="s">
        <v>2479</v>
      </c>
      <c r="D1160" s="1">
        <v>1.3622685185185184E-2</v>
      </c>
      <c r="E1160" s="80" t="s">
        <v>3167</v>
      </c>
      <c r="F1160" s="69" t="s">
        <v>7845</v>
      </c>
      <c r="I1160" s="2"/>
      <c r="K1160" s="82">
        <v>0.75790000000000002</v>
      </c>
      <c r="M1160" s="80"/>
    </row>
    <row r="1161" spans="1:19" x14ac:dyDescent="0.2">
      <c r="A1161" s="523">
        <v>42854</v>
      </c>
      <c r="B1161" s="80" t="s">
        <v>2478</v>
      </c>
      <c r="C1161" s="334" t="s">
        <v>2479</v>
      </c>
      <c r="D1161" s="334">
        <v>1.4027777777777778E-2</v>
      </c>
      <c r="E1161" s="80" t="s">
        <v>3167</v>
      </c>
      <c r="F1161" s="69" t="s">
        <v>7817</v>
      </c>
      <c r="I1161" s="2"/>
      <c r="K1161" s="82">
        <v>0.73599999999999999</v>
      </c>
    </row>
    <row r="1162" spans="1:19" x14ac:dyDescent="0.2">
      <c r="A1162" s="523">
        <v>42847</v>
      </c>
      <c r="B1162" s="80" t="s">
        <v>2478</v>
      </c>
      <c r="C1162" s="334" t="s">
        <v>2479</v>
      </c>
      <c r="D1162" s="1">
        <v>1.7013888888888887E-2</v>
      </c>
      <c r="E1162" s="80" t="s">
        <v>3167</v>
      </c>
      <c r="F1162" s="69" t="s">
        <v>1604</v>
      </c>
      <c r="I1162" s="2"/>
      <c r="K1162" s="82">
        <v>0.60680000000000001</v>
      </c>
      <c r="M1162" s="80"/>
    </row>
    <row r="1163" spans="1:19" ht="14.25" customHeight="1" x14ac:dyDescent="0.2">
      <c r="A1163" s="523">
        <v>42826</v>
      </c>
      <c r="B1163" s="80" t="s">
        <v>2478</v>
      </c>
      <c r="C1163" s="334" t="s">
        <v>2479</v>
      </c>
      <c r="D1163" s="1">
        <v>1.4432870370370372E-2</v>
      </c>
      <c r="E1163" s="80" t="s">
        <v>3167</v>
      </c>
      <c r="F1163" s="69" t="s">
        <v>7711</v>
      </c>
      <c r="I1163" s="2"/>
      <c r="K1163" s="82">
        <v>0.71530000000000005</v>
      </c>
      <c r="M1163" s="80"/>
    </row>
    <row r="1164" spans="1:19" ht="14.25" customHeight="1" x14ac:dyDescent="0.2">
      <c r="A1164" s="523">
        <v>42819</v>
      </c>
      <c r="B1164" s="80" t="s">
        <v>2478</v>
      </c>
      <c r="C1164" s="334" t="s">
        <v>2479</v>
      </c>
      <c r="D1164" s="1">
        <v>1.5486111111111112E-2</v>
      </c>
      <c r="E1164" s="80" t="s">
        <v>3167</v>
      </c>
      <c r="F1164" s="69" t="s">
        <v>2475</v>
      </c>
      <c r="I1164" s="2"/>
      <c r="K1164" s="82">
        <v>0.66669999999999996</v>
      </c>
      <c r="M1164" s="80"/>
    </row>
    <row r="1165" spans="1:19" ht="14.25" customHeight="1" x14ac:dyDescent="0.2">
      <c r="A1165" s="523">
        <v>42812</v>
      </c>
      <c r="B1165" s="80" t="s">
        <v>2478</v>
      </c>
      <c r="C1165" s="334" t="s">
        <v>2479</v>
      </c>
      <c r="D1165" s="1">
        <v>1.4907407407407406E-2</v>
      </c>
      <c r="E1165" s="80" t="s">
        <v>3167</v>
      </c>
      <c r="F1165" s="69" t="s">
        <v>4386</v>
      </c>
      <c r="I1165" s="2"/>
      <c r="K1165" s="82">
        <v>0.6925</v>
      </c>
      <c r="M1165" s="80" t="s">
        <v>8474</v>
      </c>
    </row>
    <row r="1166" spans="1:19" ht="14.25" customHeight="1" x14ac:dyDescent="0.2">
      <c r="A1166" s="33">
        <v>42805</v>
      </c>
      <c r="B1166" s="80" t="s">
        <v>2478</v>
      </c>
      <c r="C1166" s="334" t="s">
        <v>2479</v>
      </c>
      <c r="D1166" s="1">
        <v>1.6331018518518519E-2</v>
      </c>
      <c r="E1166" s="80" t="s">
        <v>3167</v>
      </c>
      <c r="F1166" s="69" t="s">
        <v>7627</v>
      </c>
      <c r="I1166" s="2"/>
      <c r="K1166" s="82">
        <v>0.63329999999999997</v>
      </c>
      <c r="M1166" s="80"/>
    </row>
    <row r="1167" spans="1:19" ht="14.25" customHeight="1" x14ac:dyDescent="0.2">
      <c r="A1167" s="523">
        <v>42798</v>
      </c>
      <c r="B1167" t="s">
        <v>2478</v>
      </c>
      <c r="C1167" s="334" t="s">
        <v>2479</v>
      </c>
      <c r="D1167" s="1">
        <v>1.4849537037037036E-2</v>
      </c>
      <c r="E1167" s="80" t="s">
        <v>3167</v>
      </c>
      <c r="F1167" s="69" t="s">
        <v>7596</v>
      </c>
      <c r="I1167" s="2"/>
      <c r="K1167" s="82">
        <v>0.69520000000000004</v>
      </c>
      <c r="M1167" s="80"/>
    </row>
    <row r="1168" spans="1:19" ht="14.25" customHeight="1" x14ac:dyDescent="0.2">
      <c r="A1168" s="523">
        <v>42791</v>
      </c>
      <c r="B1168" s="80" t="s">
        <v>2478</v>
      </c>
      <c r="C1168" s="334" t="s">
        <v>2479</v>
      </c>
      <c r="D1168" s="1">
        <v>1.4710648148148148E-2</v>
      </c>
      <c r="E1168" s="80" t="s">
        <v>3167</v>
      </c>
      <c r="F1168" s="69" t="s">
        <v>7557</v>
      </c>
      <c r="I1168" s="2"/>
      <c r="K1168" s="82">
        <v>0.70179999999999998</v>
      </c>
      <c r="M1168" s="80"/>
    </row>
    <row r="1169" spans="1:14" ht="14.25" customHeight="1" x14ac:dyDescent="0.2">
      <c r="A1169" s="523">
        <v>42777</v>
      </c>
      <c r="B1169" s="80" t="s">
        <v>2478</v>
      </c>
      <c r="C1169" s="334" t="s">
        <v>2479</v>
      </c>
      <c r="D1169" s="1">
        <v>1.6134259259259261E-2</v>
      </c>
      <c r="E1169" s="80" t="s">
        <v>3167</v>
      </c>
      <c r="F1169" s="69" t="s">
        <v>5742</v>
      </c>
      <c r="I1169" s="2"/>
      <c r="K1169" s="82">
        <v>0.63990000000000002</v>
      </c>
      <c r="M1169" s="80"/>
    </row>
    <row r="1170" spans="1:14" ht="14.25" customHeight="1" x14ac:dyDescent="0.2">
      <c r="A1170" s="33">
        <v>42763</v>
      </c>
      <c r="B1170" s="80" t="s">
        <v>2478</v>
      </c>
      <c r="C1170" s="334" t="s">
        <v>2479</v>
      </c>
      <c r="D1170" s="1">
        <v>1.4293981481481482E-2</v>
      </c>
      <c r="E1170" s="80" t="s">
        <v>5198</v>
      </c>
      <c r="F1170" s="69" t="s">
        <v>6312</v>
      </c>
      <c r="I1170" s="2"/>
      <c r="K1170" s="82">
        <v>0.72230000000000005</v>
      </c>
      <c r="M1170" s="80"/>
    </row>
    <row r="1171" spans="1:14" ht="14.25" customHeight="1" x14ac:dyDescent="0.2">
      <c r="A1171" s="33">
        <v>42756</v>
      </c>
      <c r="B1171" s="80" t="s">
        <v>2478</v>
      </c>
      <c r="C1171" s="334" t="s">
        <v>2479</v>
      </c>
      <c r="D1171" s="1">
        <v>1.4525462962962964E-2</v>
      </c>
      <c r="E1171" s="80" t="s">
        <v>3167</v>
      </c>
      <c r="F1171" s="69" t="s">
        <v>6354</v>
      </c>
      <c r="I1171" s="2"/>
      <c r="K1171" s="82">
        <v>0.71079999999999999</v>
      </c>
      <c r="M1171" s="80"/>
    </row>
    <row r="1172" spans="1:14" ht="14.25" customHeight="1" x14ac:dyDescent="0.2">
      <c r="A1172" s="523">
        <v>42749</v>
      </c>
      <c r="B1172" s="80" t="s">
        <v>2478</v>
      </c>
      <c r="C1172" s="334" t="s">
        <v>2479</v>
      </c>
      <c r="D1172" s="1">
        <v>1.8599537037037036E-2</v>
      </c>
      <c r="E1172" s="80" t="s">
        <v>3167</v>
      </c>
      <c r="F1172" s="69" t="s">
        <v>6293</v>
      </c>
      <c r="I1172" s="2"/>
      <c r="K1172" s="82">
        <v>0.55510000000000004</v>
      </c>
      <c r="M1172" s="80"/>
    </row>
    <row r="1173" spans="1:14" ht="14.25" customHeight="1" x14ac:dyDescent="0.2">
      <c r="A1173" s="33">
        <v>42742</v>
      </c>
      <c r="B1173" s="80" t="s">
        <v>2478</v>
      </c>
      <c r="C1173" s="334" t="s">
        <v>2479</v>
      </c>
      <c r="D1173" s="1">
        <v>1.4270833333333335E-2</v>
      </c>
      <c r="E1173" s="80" t="s">
        <v>5544</v>
      </c>
      <c r="F1173" s="69" t="s">
        <v>6249</v>
      </c>
      <c r="I1173" s="2"/>
      <c r="K1173" s="82">
        <v>0.72340000000000004</v>
      </c>
      <c r="M1173" s="80"/>
    </row>
    <row r="1174" spans="1:14" ht="14.25" customHeight="1" x14ac:dyDescent="0.2">
      <c r="A1174" s="523">
        <v>42736</v>
      </c>
      <c r="B1174" s="80" t="s">
        <v>2478</v>
      </c>
      <c r="C1174" s="334" t="s">
        <v>2479</v>
      </c>
      <c r="D1174" s="1">
        <v>1.4687499999999999E-2</v>
      </c>
      <c r="E1174" s="80" t="s">
        <v>4727</v>
      </c>
      <c r="F1174" s="69" t="s">
        <v>6218</v>
      </c>
      <c r="I1174" s="2"/>
      <c r="K1174" s="82">
        <v>0.70289999999999997</v>
      </c>
      <c r="M1174" s="80"/>
    </row>
    <row r="1175" spans="1:14" ht="14.25" customHeight="1" x14ac:dyDescent="0.2">
      <c r="A1175" s="523">
        <v>42736</v>
      </c>
      <c r="B1175" s="80" t="s">
        <v>2478</v>
      </c>
      <c r="C1175" s="334" t="s">
        <v>2479</v>
      </c>
      <c r="D1175" s="1">
        <v>1.8888888888888889E-2</v>
      </c>
      <c r="E1175" s="80" t="s">
        <v>3167</v>
      </c>
      <c r="F1175" s="69"/>
      <c r="I1175" s="2"/>
      <c r="K1175" s="82">
        <v>0.54659999999999997</v>
      </c>
      <c r="M1175" s="80"/>
    </row>
    <row r="1176" spans="1:14" ht="14.25" customHeight="1" x14ac:dyDescent="0.2">
      <c r="A1176" s="523">
        <v>42833</v>
      </c>
      <c r="B1176" s="80" t="s">
        <v>3843</v>
      </c>
      <c r="C1176" s="334" t="s">
        <v>5626</v>
      </c>
      <c r="D1176" s="334">
        <v>2.0775462962962964E-2</v>
      </c>
      <c r="E1176" s="80" t="s">
        <v>7750</v>
      </c>
      <c r="F1176" s="69" t="s">
        <v>7751</v>
      </c>
      <c r="G1176" s="80"/>
      <c r="H1176" s="80"/>
      <c r="I1176" s="80"/>
      <c r="J1176" s="80"/>
      <c r="K1176" s="571">
        <v>0.54149999999999998</v>
      </c>
      <c r="M1176" s="80"/>
    </row>
    <row r="1177" spans="1:14" ht="14.25" customHeight="1" x14ac:dyDescent="0.2">
      <c r="A1177" s="523">
        <v>42826</v>
      </c>
      <c r="B1177" s="80" t="s">
        <v>3843</v>
      </c>
      <c r="C1177" s="334" t="s">
        <v>5626</v>
      </c>
      <c r="D1177" s="1">
        <v>2.0023148148148148E-2</v>
      </c>
      <c r="E1177" s="80" t="s">
        <v>7712</v>
      </c>
      <c r="F1177" s="69" t="s">
        <v>7714</v>
      </c>
      <c r="I1177" s="2"/>
      <c r="K1177" s="82">
        <v>0.55610000000000004</v>
      </c>
    </row>
    <row r="1178" spans="1:14" ht="14.25" customHeight="1" x14ac:dyDescent="0.2">
      <c r="A1178" s="523">
        <v>42819</v>
      </c>
      <c r="B1178" s="80" t="s">
        <v>3843</v>
      </c>
      <c r="C1178" s="334" t="s">
        <v>5626</v>
      </c>
      <c r="D1178" s="1">
        <v>2.056712962962963E-2</v>
      </c>
      <c r="E1178" s="80" t="s">
        <v>7690</v>
      </c>
      <c r="F1178" s="69" t="s">
        <v>7692</v>
      </c>
      <c r="I1178" s="2"/>
      <c r="K1178" s="82">
        <v>0.54139999999999999</v>
      </c>
      <c r="M1178" s="80"/>
    </row>
    <row r="1179" spans="1:14" ht="14.25" customHeight="1" x14ac:dyDescent="0.2">
      <c r="A1179" s="965">
        <v>43094</v>
      </c>
      <c r="B1179" s="962" t="s">
        <v>3535</v>
      </c>
      <c r="C1179" s="963" t="s">
        <v>3536</v>
      </c>
      <c r="D1179" s="1">
        <v>1.2951388888888887E-2</v>
      </c>
      <c r="E1179" s="80" t="s">
        <v>5885</v>
      </c>
      <c r="F1179" s="69" t="s">
        <v>4403</v>
      </c>
      <c r="I1179" s="2"/>
      <c r="K1179" s="82">
        <v>0.76590000000000003</v>
      </c>
    </row>
    <row r="1180" spans="1:14" ht="14.25" customHeight="1" x14ac:dyDescent="0.2">
      <c r="A1180" s="523">
        <v>43022</v>
      </c>
      <c r="B1180" s="930" t="s">
        <v>3535</v>
      </c>
      <c r="C1180" s="931" t="s">
        <v>3536</v>
      </c>
      <c r="D1180" s="1">
        <v>3.1770833333333331E-2</v>
      </c>
      <c r="E1180" s="80" t="s">
        <v>5885</v>
      </c>
      <c r="F1180" s="69" t="s">
        <v>3809</v>
      </c>
      <c r="I1180" s="2"/>
      <c r="K1180" s="82">
        <v>0.30549999999999999</v>
      </c>
      <c r="M1180" s="80"/>
      <c r="N1180" s="80" t="s">
        <v>4882</v>
      </c>
    </row>
    <row r="1181" spans="1:14" ht="14.25" customHeight="1" x14ac:dyDescent="0.2">
      <c r="A1181" s="523">
        <v>43001</v>
      </c>
      <c r="B1181" s="906" t="s">
        <v>3535</v>
      </c>
      <c r="C1181" s="907" t="s">
        <v>3536</v>
      </c>
      <c r="D1181" s="1">
        <v>1.2199074074074072E-2</v>
      </c>
      <c r="E1181" s="80" t="s">
        <v>5885</v>
      </c>
      <c r="F1181" s="69" t="s">
        <v>8560</v>
      </c>
      <c r="I1181" s="2"/>
      <c r="K1181" s="82">
        <v>0.81310000000000004</v>
      </c>
      <c r="M1181" s="80"/>
    </row>
    <row r="1182" spans="1:14" ht="14.25" customHeight="1" x14ac:dyDescent="0.2">
      <c r="A1182" s="523">
        <v>42987</v>
      </c>
      <c r="B1182" s="532" t="s">
        <v>3535</v>
      </c>
      <c r="C1182" s="843" t="s">
        <v>3536</v>
      </c>
      <c r="D1182" s="1">
        <v>1.2337962962962962E-2</v>
      </c>
      <c r="E1182" s="80" t="s">
        <v>5885</v>
      </c>
      <c r="F1182" s="69" t="s">
        <v>8506</v>
      </c>
      <c r="I1182" s="2"/>
      <c r="K1182" s="82">
        <v>0.80389999999999995</v>
      </c>
      <c r="M1182" s="80"/>
    </row>
    <row r="1183" spans="1:14" ht="14.25" customHeight="1" x14ac:dyDescent="0.2">
      <c r="A1183" s="523">
        <v>42952</v>
      </c>
      <c r="B1183" s="862" t="s">
        <v>3535</v>
      </c>
      <c r="C1183" s="863" t="s">
        <v>3536</v>
      </c>
      <c r="D1183" s="1">
        <v>1.2430555555555554E-2</v>
      </c>
      <c r="E1183" s="80" t="s">
        <v>5095</v>
      </c>
      <c r="F1183" s="69" t="s">
        <v>8300</v>
      </c>
      <c r="I1183" s="2"/>
      <c r="K1183" s="82">
        <v>0.79800000000000004</v>
      </c>
      <c r="M1183" s="80"/>
    </row>
    <row r="1184" spans="1:14" ht="14.25" customHeight="1" x14ac:dyDescent="0.2">
      <c r="A1184" s="523">
        <v>42931</v>
      </c>
      <c r="B1184" s="837" t="s">
        <v>3535</v>
      </c>
      <c r="C1184" s="842" t="s">
        <v>3536</v>
      </c>
      <c r="D1184" s="1">
        <v>1.2013888888888888E-2</v>
      </c>
      <c r="E1184" s="80" t="s">
        <v>5885</v>
      </c>
      <c r="F1184" s="69" t="s">
        <v>8204</v>
      </c>
      <c r="I1184" s="2"/>
      <c r="K1184" s="82">
        <v>0.8256</v>
      </c>
      <c r="M1184" s="80"/>
    </row>
    <row r="1185" spans="1:13" ht="14.25" customHeight="1" x14ac:dyDescent="0.2">
      <c r="A1185" s="34">
        <v>42924</v>
      </c>
      <c r="B1185" s="80" t="s">
        <v>3535</v>
      </c>
      <c r="C1185" s="334" t="s">
        <v>3536</v>
      </c>
      <c r="D1185" s="1">
        <v>1.2939814814814814E-2</v>
      </c>
      <c r="E1185" s="80" t="s">
        <v>1982</v>
      </c>
      <c r="F1185" s="69" t="s">
        <v>8163</v>
      </c>
      <c r="I1185" s="2"/>
      <c r="K1185" s="82">
        <v>0.76449999999999996</v>
      </c>
      <c r="M1185" s="80"/>
    </row>
    <row r="1186" spans="1:13" ht="14.25" customHeight="1" x14ac:dyDescent="0.2">
      <c r="A1186" s="523">
        <v>43022</v>
      </c>
      <c r="B1186" s="930" t="s">
        <v>5980</v>
      </c>
      <c r="C1186" s="931" t="s">
        <v>3536</v>
      </c>
      <c r="D1186" s="1">
        <v>3.1782407407407405E-2</v>
      </c>
      <c r="E1186" s="80" t="s">
        <v>5885</v>
      </c>
      <c r="F1186" s="69" t="s">
        <v>364</v>
      </c>
      <c r="I1186" s="2"/>
      <c r="K1186" s="82">
        <v>0.33389999999999997</v>
      </c>
      <c r="M1186" s="80"/>
    </row>
    <row r="1187" spans="1:13" ht="14.25" customHeight="1" x14ac:dyDescent="0.2">
      <c r="A1187" s="523">
        <v>43001</v>
      </c>
      <c r="B1187" s="906" t="s">
        <v>5980</v>
      </c>
      <c r="C1187" s="907" t="s">
        <v>3536</v>
      </c>
      <c r="D1187" s="1">
        <v>3.2337962962962964E-2</v>
      </c>
      <c r="E1187" s="80" t="s">
        <v>5885</v>
      </c>
      <c r="F1187" s="69" t="s">
        <v>4826</v>
      </c>
      <c r="I1187" s="2"/>
      <c r="K1187" s="82">
        <v>0.33539999999999998</v>
      </c>
      <c r="M1187" s="80"/>
    </row>
    <row r="1188" spans="1:13" ht="14.25" customHeight="1" x14ac:dyDescent="0.2">
      <c r="A1188" s="523">
        <v>42987</v>
      </c>
      <c r="B1188" s="532" t="s">
        <v>5980</v>
      </c>
      <c r="C1188" s="843" t="s">
        <v>3536</v>
      </c>
      <c r="D1188" s="1">
        <v>2.9131944444444446E-2</v>
      </c>
      <c r="E1188" s="80" t="s">
        <v>5885</v>
      </c>
      <c r="F1188" s="69" t="s">
        <v>7983</v>
      </c>
      <c r="I1188" s="2"/>
      <c r="K1188" s="82">
        <v>0.37230000000000002</v>
      </c>
      <c r="M1188" s="80"/>
    </row>
    <row r="1189" spans="1:13" ht="14.25" customHeight="1" x14ac:dyDescent="0.2">
      <c r="A1189" s="523">
        <v>42952</v>
      </c>
      <c r="B1189" s="862" t="s">
        <v>5980</v>
      </c>
      <c r="C1189" s="863" t="s">
        <v>3536</v>
      </c>
      <c r="D1189" s="1">
        <v>3.155092592592592E-2</v>
      </c>
      <c r="E1189" s="80" t="s">
        <v>5095</v>
      </c>
      <c r="F1189" s="69" t="s">
        <v>8316</v>
      </c>
      <c r="I1189" s="2"/>
      <c r="K1189" s="82">
        <v>0.34370000000000001</v>
      </c>
      <c r="M1189" s="80"/>
    </row>
    <row r="1190" spans="1:13" ht="14.25" customHeight="1" x14ac:dyDescent="0.2">
      <c r="A1190" s="523">
        <v>42931</v>
      </c>
      <c r="B1190" s="80" t="s">
        <v>5980</v>
      </c>
      <c r="C1190" s="334" t="s">
        <v>3536</v>
      </c>
      <c r="D1190" s="1">
        <v>3.2893518518518523E-2</v>
      </c>
      <c r="E1190" s="80" t="s">
        <v>5885</v>
      </c>
      <c r="F1190" s="69" t="s">
        <v>2057</v>
      </c>
      <c r="I1190" s="2"/>
      <c r="K1190" s="82">
        <v>0.32969999999999999</v>
      </c>
      <c r="M1190" s="80"/>
    </row>
    <row r="1191" spans="1:13" ht="14.25" customHeight="1" x14ac:dyDescent="0.2">
      <c r="A1191" s="523">
        <v>42987</v>
      </c>
      <c r="B1191" s="80" t="s">
        <v>8230</v>
      </c>
      <c r="C1191" s="334" t="s">
        <v>49</v>
      </c>
      <c r="D1191" s="1">
        <v>1.5474537037037038E-2</v>
      </c>
      <c r="E1191" s="80" t="s">
        <v>5544</v>
      </c>
      <c r="F1191" s="69" t="s">
        <v>8529</v>
      </c>
      <c r="I1191" s="2"/>
      <c r="K1191" s="82">
        <v>0.71950000000000003</v>
      </c>
    </row>
    <row r="1192" spans="1:13" ht="14.25" customHeight="1" x14ac:dyDescent="0.2">
      <c r="A1192" s="523">
        <v>42938</v>
      </c>
      <c r="B1192" s="532" t="s">
        <v>8230</v>
      </c>
      <c r="C1192" s="843" t="s">
        <v>49</v>
      </c>
      <c r="D1192" s="1">
        <v>1.6145833333333335E-2</v>
      </c>
      <c r="E1192" s="80" t="s">
        <v>5544</v>
      </c>
      <c r="F1192" s="69" t="s">
        <v>8234</v>
      </c>
      <c r="I1192" s="2"/>
      <c r="K1192" s="82">
        <v>0.68959999999999999</v>
      </c>
      <c r="M1192" s="80"/>
    </row>
    <row r="1193" spans="1:13" ht="14.25" customHeight="1" x14ac:dyDescent="0.2">
      <c r="A1193" s="523">
        <v>43085</v>
      </c>
      <c r="B1193" s="601" t="s">
        <v>866</v>
      </c>
      <c r="C1193" s="958" t="s">
        <v>4635</v>
      </c>
      <c r="D1193" s="1">
        <v>2.1539351851851851E-2</v>
      </c>
      <c r="E1193" s="80" t="s">
        <v>5947</v>
      </c>
      <c r="F1193" s="69" t="s">
        <v>7818</v>
      </c>
      <c r="I1193" s="2"/>
      <c r="K1193" s="82">
        <v>0.49969999999999998</v>
      </c>
      <c r="M1193" s="45">
        <v>1030</v>
      </c>
    </row>
    <row r="1194" spans="1:13" ht="14.25" customHeight="1" x14ac:dyDescent="0.2">
      <c r="A1194" s="523">
        <v>43057</v>
      </c>
      <c r="B1194" s="940" t="s">
        <v>866</v>
      </c>
      <c r="C1194" s="941" t="s">
        <v>4635</v>
      </c>
      <c r="D1194" s="1">
        <v>1.9479166666666669E-2</v>
      </c>
      <c r="E1194" s="80" t="s">
        <v>5883</v>
      </c>
      <c r="F1194" s="69" t="s">
        <v>3394</v>
      </c>
      <c r="I1194" s="2"/>
      <c r="K1194" s="82">
        <v>0.55259999999999998</v>
      </c>
      <c r="M1194" s="45">
        <v>900</v>
      </c>
    </row>
    <row r="1195" spans="1:13" ht="14.25" customHeight="1" x14ac:dyDescent="0.2">
      <c r="A1195" s="523">
        <v>43008</v>
      </c>
      <c r="B1195" s="532" t="s">
        <v>866</v>
      </c>
      <c r="C1195" s="843" t="s">
        <v>4635</v>
      </c>
      <c r="D1195" s="1">
        <v>2.0358796296296295E-2</v>
      </c>
      <c r="E1195" s="80" t="s">
        <v>2596</v>
      </c>
      <c r="F1195" s="69" t="s">
        <v>8593</v>
      </c>
      <c r="I1195" s="2"/>
      <c r="K1195" s="82">
        <v>0.52869999999999995</v>
      </c>
    </row>
    <row r="1196" spans="1:13" ht="14.25" customHeight="1" x14ac:dyDescent="0.2">
      <c r="A1196" s="523">
        <v>43001</v>
      </c>
      <c r="B1196" s="906" t="s">
        <v>866</v>
      </c>
      <c r="C1196" s="907" t="s">
        <v>4635</v>
      </c>
      <c r="D1196" s="334">
        <v>2.4062500000000001E-2</v>
      </c>
      <c r="E1196" s="80" t="s">
        <v>5883</v>
      </c>
      <c r="F1196" s="69" t="s">
        <v>164</v>
      </c>
      <c r="I1196" s="2"/>
      <c r="K1196" s="82">
        <v>0.44729999999999998</v>
      </c>
    </row>
    <row r="1197" spans="1:13" ht="14.25" customHeight="1" x14ac:dyDescent="0.2">
      <c r="A1197" s="523">
        <v>42980</v>
      </c>
      <c r="B1197" s="837" t="s">
        <v>866</v>
      </c>
      <c r="C1197" s="842" t="s">
        <v>4635</v>
      </c>
      <c r="D1197" s="1">
        <v>2.2395833333333334E-2</v>
      </c>
      <c r="E1197" s="80" t="s">
        <v>5883</v>
      </c>
      <c r="F1197" s="69" t="s">
        <v>2043</v>
      </c>
      <c r="I1197" s="2"/>
      <c r="K1197" s="82">
        <v>0.48060000000000003</v>
      </c>
    </row>
    <row r="1198" spans="1:13" ht="14.25" customHeight="1" x14ac:dyDescent="0.2">
      <c r="A1198" s="523">
        <v>42959</v>
      </c>
      <c r="B1198" s="866" t="s">
        <v>866</v>
      </c>
      <c r="C1198" s="867" t="s">
        <v>4635</v>
      </c>
      <c r="D1198" s="1">
        <v>2.1006944444444443E-2</v>
      </c>
      <c r="E1198" s="80" t="s">
        <v>5883</v>
      </c>
      <c r="F1198" s="69" t="s">
        <v>5338</v>
      </c>
      <c r="I1198" s="2"/>
      <c r="K1198" s="82">
        <v>0.51239999999999997</v>
      </c>
    </row>
    <row r="1199" spans="1:13" ht="14.25" customHeight="1" x14ac:dyDescent="0.2">
      <c r="A1199" s="523">
        <v>42945</v>
      </c>
      <c r="B1199" s="568" t="s">
        <v>866</v>
      </c>
      <c r="C1199" s="861" t="s">
        <v>4635</v>
      </c>
      <c r="D1199" s="1">
        <v>2.1273148148148149E-2</v>
      </c>
      <c r="E1199" s="80" t="s">
        <v>5883</v>
      </c>
      <c r="F1199" s="69" t="s">
        <v>7687</v>
      </c>
      <c r="I1199" s="2"/>
      <c r="K1199" s="82">
        <v>0.50600000000000001</v>
      </c>
    </row>
    <row r="1200" spans="1:13" ht="14.25" customHeight="1" x14ac:dyDescent="0.2">
      <c r="A1200" s="523">
        <v>42917</v>
      </c>
      <c r="B1200" s="80" t="s">
        <v>866</v>
      </c>
      <c r="C1200" s="334" t="s">
        <v>4635</v>
      </c>
      <c r="D1200" s="1">
        <v>2.071759259259259E-2</v>
      </c>
      <c r="E1200" s="80" t="s">
        <v>5883</v>
      </c>
      <c r="F1200" s="69" t="s">
        <v>8123</v>
      </c>
      <c r="I1200" s="2"/>
      <c r="K1200" s="82">
        <v>0.51959999999999995</v>
      </c>
    </row>
    <row r="1201" spans="1:27" ht="14.25" customHeight="1" x14ac:dyDescent="0.2">
      <c r="A1201" s="523">
        <v>42903</v>
      </c>
      <c r="B1201" s="80" t="s">
        <v>866</v>
      </c>
      <c r="C1201" s="334" t="s">
        <v>4635</v>
      </c>
      <c r="D1201" s="1">
        <v>2.0555555555555556E-2</v>
      </c>
      <c r="E1201" s="80" t="s">
        <v>5883</v>
      </c>
      <c r="F1201" s="69" t="s">
        <v>5830</v>
      </c>
      <c r="I1201" s="2"/>
      <c r="K1201" s="82">
        <v>0.52359999999999995</v>
      </c>
    </row>
    <row r="1202" spans="1:27" ht="14.25" customHeight="1" x14ac:dyDescent="0.2">
      <c r="A1202" s="523">
        <v>42896</v>
      </c>
      <c r="B1202" s="80" t="s">
        <v>866</v>
      </c>
      <c r="C1202" s="334" t="s">
        <v>4635</v>
      </c>
      <c r="D1202" s="1">
        <v>2.8668981481481479E-2</v>
      </c>
      <c r="E1202" s="80" t="s">
        <v>5883</v>
      </c>
      <c r="F1202" s="69" t="s">
        <v>395</v>
      </c>
      <c r="I1202" s="2"/>
      <c r="K1202" s="82">
        <v>0.3755</v>
      </c>
    </row>
    <row r="1203" spans="1:27" ht="14.25" customHeight="1" x14ac:dyDescent="0.2">
      <c r="A1203" s="523">
        <v>42889</v>
      </c>
      <c r="B1203" s="80" t="s">
        <v>866</v>
      </c>
      <c r="C1203" s="334" t="s">
        <v>4635</v>
      </c>
      <c r="D1203" s="1">
        <v>2.0312500000000001E-2</v>
      </c>
      <c r="E1203" s="80" t="s">
        <v>5883</v>
      </c>
      <c r="F1203" s="69" t="s">
        <v>5378</v>
      </c>
      <c r="I1203" s="2"/>
      <c r="K1203" s="82">
        <v>0.52990000000000004</v>
      </c>
      <c r="AA1203" s="41"/>
    </row>
    <row r="1204" spans="1:27" ht="14.25" customHeight="1" x14ac:dyDescent="0.2">
      <c r="A1204" s="523">
        <v>42882</v>
      </c>
      <c r="B1204" s="80" t="s">
        <v>866</v>
      </c>
      <c r="C1204" s="334" t="s">
        <v>4635</v>
      </c>
      <c r="D1204" s="1">
        <v>1.8865740740740742E-2</v>
      </c>
      <c r="E1204" s="80" t="s">
        <v>5883</v>
      </c>
      <c r="F1204" s="69" t="s">
        <v>2947</v>
      </c>
      <c r="I1204" s="2"/>
      <c r="K1204" s="82">
        <v>0.5706</v>
      </c>
      <c r="M1204" s="80" t="s">
        <v>7649</v>
      </c>
    </row>
    <row r="1205" spans="1:27" ht="14.25" customHeight="1" x14ac:dyDescent="0.2">
      <c r="A1205" s="523">
        <v>42875</v>
      </c>
      <c r="B1205" s="80" t="s">
        <v>866</v>
      </c>
      <c r="C1205" s="334" t="s">
        <v>4635</v>
      </c>
      <c r="D1205" s="1">
        <v>1.9016203703703705E-2</v>
      </c>
      <c r="E1205" s="80" t="s">
        <v>5883</v>
      </c>
      <c r="F1205" s="69" t="s">
        <v>5417</v>
      </c>
      <c r="I1205" s="2"/>
      <c r="K1205" s="82">
        <v>0.56599999999999995</v>
      </c>
      <c r="M1205" s="80"/>
    </row>
    <row r="1206" spans="1:27" ht="14.25" customHeight="1" x14ac:dyDescent="0.2">
      <c r="A1206" s="523">
        <v>42868</v>
      </c>
      <c r="B1206" s="80" t="s">
        <v>866</v>
      </c>
      <c r="C1206" s="334" t="s">
        <v>4635</v>
      </c>
      <c r="D1206" s="1">
        <v>1.8634259259259257E-2</v>
      </c>
      <c r="E1206" s="80" t="s">
        <v>5883</v>
      </c>
      <c r="F1206" s="69" t="s">
        <v>7869</v>
      </c>
      <c r="I1206" s="2"/>
      <c r="K1206" s="82">
        <v>0.5776</v>
      </c>
      <c r="M1206" s="80"/>
    </row>
    <row r="1207" spans="1:27" ht="14.25" customHeight="1" x14ac:dyDescent="0.2">
      <c r="A1207" s="523">
        <v>42861</v>
      </c>
      <c r="B1207" s="80" t="s">
        <v>866</v>
      </c>
      <c r="C1207" s="334" t="s">
        <v>4635</v>
      </c>
      <c r="D1207" s="1">
        <v>1.8252314814814815E-2</v>
      </c>
      <c r="E1207" s="80" t="s">
        <v>5883</v>
      </c>
      <c r="F1207" s="97" t="s">
        <v>1113</v>
      </c>
      <c r="G1207" s="2"/>
      <c r="I1207" s="2"/>
      <c r="K1207" s="82">
        <v>0.5897</v>
      </c>
    </row>
    <row r="1208" spans="1:27" ht="14.25" customHeight="1" x14ac:dyDescent="0.2">
      <c r="A1208" s="523">
        <v>42854</v>
      </c>
      <c r="B1208" s="80" t="s">
        <v>866</v>
      </c>
      <c r="C1208" s="334" t="s">
        <v>4635</v>
      </c>
      <c r="D1208" s="1">
        <v>2.0393518518518519E-2</v>
      </c>
      <c r="E1208" s="80" t="s">
        <v>5883</v>
      </c>
      <c r="F1208" s="69" t="s">
        <v>315</v>
      </c>
      <c r="I1208" s="2"/>
      <c r="K1208" s="82">
        <v>0.52780000000000005</v>
      </c>
      <c r="M1208" s="80"/>
    </row>
    <row r="1209" spans="1:27" ht="14.25" customHeight="1" x14ac:dyDescent="0.2">
      <c r="A1209" s="523">
        <v>42847</v>
      </c>
      <c r="B1209" s="80" t="s">
        <v>866</v>
      </c>
      <c r="C1209" s="334" t="s">
        <v>4635</v>
      </c>
      <c r="D1209" s="334" t="s">
        <v>787</v>
      </c>
      <c r="E1209" s="80" t="s">
        <v>5883</v>
      </c>
      <c r="F1209" s="69" t="s">
        <v>4061</v>
      </c>
      <c r="I1209" s="2"/>
      <c r="K1209" s="82"/>
      <c r="M1209" s="80"/>
    </row>
    <row r="1210" spans="1:27" ht="14.25" customHeight="1" x14ac:dyDescent="0.2">
      <c r="A1210" s="523">
        <v>42840</v>
      </c>
      <c r="B1210" s="80" t="s">
        <v>866</v>
      </c>
      <c r="C1210" s="334" t="s">
        <v>4635</v>
      </c>
      <c r="D1210" s="1">
        <v>3.9861111111111111E-2</v>
      </c>
      <c r="E1210" t="s">
        <v>5883</v>
      </c>
      <c r="F1210" s="69" t="s">
        <v>1238</v>
      </c>
      <c r="I1210" s="2"/>
      <c r="K1210" s="82">
        <v>0.27</v>
      </c>
      <c r="M1210" s="80"/>
    </row>
    <row r="1211" spans="1:27" ht="14.25" customHeight="1" x14ac:dyDescent="0.2">
      <c r="A1211" s="523">
        <v>42833</v>
      </c>
      <c r="B1211" s="80" t="s">
        <v>866</v>
      </c>
      <c r="C1211" s="334" t="s">
        <v>4635</v>
      </c>
      <c r="D1211" s="1">
        <v>2.1134259259259259E-2</v>
      </c>
      <c r="E1211" s="80" t="s">
        <v>5883</v>
      </c>
      <c r="F1211" s="69" t="s">
        <v>5723</v>
      </c>
      <c r="I1211" s="2"/>
      <c r="K1211" s="82">
        <v>0.50929999999999997</v>
      </c>
      <c r="M1211" s="80"/>
    </row>
    <row r="1212" spans="1:27" ht="14.25" customHeight="1" x14ac:dyDescent="0.2">
      <c r="A1212" s="523">
        <v>42819</v>
      </c>
      <c r="B1212" s="80" t="s">
        <v>866</v>
      </c>
      <c r="C1212" s="334" t="s">
        <v>4635</v>
      </c>
      <c r="D1212" s="1">
        <v>2.0439814814814817E-2</v>
      </c>
      <c r="E1212" s="80" t="s">
        <v>5883</v>
      </c>
      <c r="F1212" s="69" t="s">
        <v>2268</v>
      </c>
      <c r="I1212" s="2"/>
      <c r="K1212" s="82">
        <v>0.52959999999999996</v>
      </c>
    </row>
    <row r="1213" spans="1:27" ht="14.25" customHeight="1" x14ac:dyDescent="0.2">
      <c r="A1213" s="523">
        <v>42812</v>
      </c>
      <c r="B1213" s="80" t="s">
        <v>866</v>
      </c>
      <c r="C1213" s="334" t="s">
        <v>4635</v>
      </c>
      <c r="D1213" s="1">
        <v>2.1064814814814814E-2</v>
      </c>
      <c r="E1213" s="80" t="s">
        <v>5883</v>
      </c>
      <c r="F1213" s="69" t="s">
        <v>1054</v>
      </c>
      <c r="I1213" s="2"/>
      <c r="K1213" s="82">
        <v>0.51100000000000001</v>
      </c>
    </row>
    <row r="1214" spans="1:27" ht="14.25" customHeight="1" x14ac:dyDescent="0.2">
      <c r="A1214" s="33">
        <v>42805</v>
      </c>
      <c r="B1214" s="80" t="s">
        <v>866</v>
      </c>
      <c r="C1214" s="334" t="s">
        <v>4635</v>
      </c>
      <c r="D1214" s="1">
        <v>2.1446759259259259E-2</v>
      </c>
      <c r="E1214" s="80" t="s">
        <v>5883</v>
      </c>
      <c r="F1214" s="69" t="s">
        <v>2898</v>
      </c>
      <c r="I1214" s="2"/>
      <c r="K1214" s="82">
        <v>0.50190000000000001</v>
      </c>
      <c r="M1214" s="80"/>
    </row>
    <row r="1215" spans="1:27" ht="14.25" customHeight="1" x14ac:dyDescent="0.2">
      <c r="A1215" s="523">
        <v>42798</v>
      </c>
      <c r="B1215" t="s">
        <v>866</v>
      </c>
      <c r="C1215" s="334" t="s">
        <v>4635</v>
      </c>
      <c r="D1215" s="1">
        <v>2.2731481481481481E-2</v>
      </c>
      <c r="E1215" s="80" t="s">
        <v>998</v>
      </c>
      <c r="F1215" s="69" t="s">
        <v>7590</v>
      </c>
      <c r="I1215" s="2"/>
      <c r="K1215" s="82">
        <v>0.47349999999999998</v>
      </c>
      <c r="M1215" s="80"/>
    </row>
    <row r="1216" spans="1:27" ht="14.25" customHeight="1" x14ac:dyDescent="0.2">
      <c r="A1216" s="523">
        <v>42791</v>
      </c>
      <c r="B1216" s="80" t="s">
        <v>866</v>
      </c>
      <c r="C1216" s="334" t="s">
        <v>4635</v>
      </c>
      <c r="D1216" s="334" t="s">
        <v>787</v>
      </c>
      <c r="E1216" s="80" t="s">
        <v>5883</v>
      </c>
      <c r="F1216" s="69"/>
      <c r="I1216" s="2"/>
      <c r="K1216" s="82"/>
      <c r="M1216" s="80"/>
    </row>
    <row r="1217" spans="1:13" ht="14.25" customHeight="1" x14ac:dyDescent="0.2">
      <c r="A1217" s="523">
        <v>42784</v>
      </c>
      <c r="B1217" s="80" t="s">
        <v>866</v>
      </c>
      <c r="C1217" s="334" t="s">
        <v>4635</v>
      </c>
      <c r="D1217" s="1">
        <v>1.8090277777777778E-2</v>
      </c>
      <c r="E1217" s="80" t="s">
        <v>4004</v>
      </c>
      <c r="F1217" s="69" t="s">
        <v>7552</v>
      </c>
      <c r="I1217" s="2"/>
      <c r="K1217" s="82">
        <v>0.59499999999999997</v>
      </c>
    </row>
    <row r="1218" spans="1:13" ht="14.25" customHeight="1" x14ac:dyDescent="0.2">
      <c r="A1218" s="523">
        <v>42777</v>
      </c>
      <c r="B1218" s="80" t="s">
        <v>866</v>
      </c>
      <c r="C1218" s="334" t="s">
        <v>4635</v>
      </c>
      <c r="D1218" s="1">
        <v>2.1944444444444447E-2</v>
      </c>
      <c r="E1218" s="80" t="s">
        <v>129</v>
      </c>
      <c r="F1218" s="69" t="s">
        <v>6404</v>
      </c>
      <c r="I1218" s="2"/>
      <c r="K1218" s="82">
        <v>0.49049999999999999</v>
      </c>
      <c r="M1218" s="80"/>
    </row>
    <row r="1219" spans="1:13" ht="14.25" customHeight="1" x14ac:dyDescent="0.2">
      <c r="A1219" s="33">
        <v>42770</v>
      </c>
      <c r="B1219" s="80" t="s">
        <v>866</v>
      </c>
      <c r="C1219" s="334" t="s">
        <v>4635</v>
      </c>
      <c r="D1219" s="1">
        <v>2.6192129629629631E-2</v>
      </c>
      <c r="E1219" s="80" t="s">
        <v>5883</v>
      </c>
      <c r="F1219" s="69" t="s">
        <v>5613</v>
      </c>
      <c r="I1219" s="2"/>
      <c r="K1219" s="82">
        <v>0.4128</v>
      </c>
    </row>
    <row r="1220" spans="1:13" ht="14.25" customHeight="1" x14ac:dyDescent="0.2">
      <c r="A1220" s="33">
        <v>42763</v>
      </c>
      <c r="B1220" s="80" t="s">
        <v>866</v>
      </c>
      <c r="C1220" s="334" t="s">
        <v>4635</v>
      </c>
      <c r="D1220" s="1">
        <v>1.9768518518518515E-2</v>
      </c>
      <c r="E1220" s="80" t="s">
        <v>5883</v>
      </c>
      <c r="F1220" s="69" t="s">
        <v>6379</v>
      </c>
      <c r="I1220" s="2"/>
      <c r="K1220" s="82">
        <v>0.53979999999999995</v>
      </c>
      <c r="M1220" s="80"/>
    </row>
    <row r="1221" spans="1:13" ht="14.25" customHeight="1" x14ac:dyDescent="0.2">
      <c r="A1221" s="523">
        <v>42749</v>
      </c>
      <c r="B1221" s="80" t="s">
        <v>866</v>
      </c>
      <c r="C1221" s="334" t="s">
        <v>4635</v>
      </c>
      <c r="D1221" s="1">
        <v>2.1064814814814814E-2</v>
      </c>
      <c r="E1221" s="80" t="s">
        <v>1122</v>
      </c>
      <c r="F1221" s="69" t="s">
        <v>6292</v>
      </c>
      <c r="I1221" s="2"/>
      <c r="K1221" s="82">
        <v>0.50660000000000005</v>
      </c>
      <c r="M1221" s="80"/>
    </row>
    <row r="1222" spans="1:13" ht="14.25" customHeight="1" x14ac:dyDescent="0.2">
      <c r="A1222" s="33">
        <v>42742</v>
      </c>
      <c r="B1222" s="80" t="s">
        <v>866</v>
      </c>
      <c r="C1222" s="334" t="s">
        <v>4635</v>
      </c>
      <c r="D1222" s="1">
        <v>2.3796296296296298E-2</v>
      </c>
      <c r="E1222" s="80" t="s">
        <v>5544</v>
      </c>
      <c r="F1222" s="69" t="s">
        <v>6254</v>
      </c>
      <c r="I1222" s="2"/>
      <c r="K1222" s="82">
        <v>0.44840000000000002</v>
      </c>
      <c r="M1222" s="80"/>
    </row>
    <row r="1223" spans="1:13" ht="14.25" customHeight="1" x14ac:dyDescent="0.2">
      <c r="A1223" s="523">
        <v>42736</v>
      </c>
      <c r="B1223" s="80" t="s">
        <v>866</v>
      </c>
      <c r="C1223" s="334" t="s">
        <v>4635</v>
      </c>
      <c r="D1223" s="1">
        <v>1.9895833333333331E-2</v>
      </c>
      <c r="E1223" s="80" t="s">
        <v>3072</v>
      </c>
      <c r="F1223" s="69" t="s">
        <v>6217</v>
      </c>
      <c r="I1223" s="2"/>
      <c r="K1223" s="82">
        <v>0.53639999999999999</v>
      </c>
      <c r="M1223" s="80"/>
    </row>
    <row r="1224" spans="1:13" ht="14.25" customHeight="1" x14ac:dyDescent="0.2">
      <c r="A1224" s="523">
        <v>42736</v>
      </c>
      <c r="B1224" s="80" t="s">
        <v>866</v>
      </c>
      <c r="C1224" s="334" t="s">
        <v>4635</v>
      </c>
      <c r="D1224" s="1">
        <v>2.0439814814814817E-2</v>
      </c>
      <c r="E1224" s="80" t="s">
        <v>4936</v>
      </c>
      <c r="F1224" s="69" t="s">
        <v>6216</v>
      </c>
      <c r="I1224" s="2"/>
      <c r="K1224" s="82">
        <v>0.52210000000000001</v>
      </c>
      <c r="M1224" s="80"/>
    </row>
    <row r="1225" spans="1:13" ht="14.25" customHeight="1" x14ac:dyDescent="0.2">
      <c r="A1225" s="523">
        <v>43092</v>
      </c>
      <c r="B1225" s="568" t="s">
        <v>2822</v>
      </c>
      <c r="C1225" s="861" t="s">
        <v>2823</v>
      </c>
      <c r="D1225" s="334">
        <v>1.6018518518518519E-2</v>
      </c>
      <c r="E1225" s="80" t="s">
        <v>5544</v>
      </c>
      <c r="F1225" s="69" t="s">
        <v>5720</v>
      </c>
      <c r="I1225" s="2"/>
      <c r="K1225" s="82">
        <v>0.65249999999999997</v>
      </c>
    </row>
    <row r="1226" spans="1:13" ht="14.25" customHeight="1" x14ac:dyDescent="0.2">
      <c r="A1226" s="523">
        <v>43085</v>
      </c>
      <c r="B1226" s="601" t="s">
        <v>2822</v>
      </c>
      <c r="C1226" s="958" t="s">
        <v>2823</v>
      </c>
      <c r="D1226" s="1">
        <v>1.6469907407407405E-2</v>
      </c>
      <c r="E1226" s="80" t="s">
        <v>5544</v>
      </c>
      <c r="F1226" s="69" t="s">
        <v>4506</v>
      </c>
      <c r="I1226" s="2"/>
      <c r="K1226" s="82">
        <v>0.63460000000000005</v>
      </c>
    </row>
    <row r="1227" spans="1:13" ht="14.25" customHeight="1" x14ac:dyDescent="0.2">
      <c r="A1227" s="523">
        <v>43078</v>
      </c>
      <c r="B1227" s="879" t="s">
        <v>2822</v>
      </c>
      <c r="C1227" s="880" t="s">
        <v>2823</v>
      </c>
      <c r="D1227" s="1">
        <v>1.4976851851851852E-2</v>
      </c>
      <c r="E1227" s="80" t="s">
        <v>5544</v>
      </c>
      <c r="F1227" s="69" t="s">
        <v>8903</v>
      </c>
      <c r="I1227" s="2"/>
      <c r="K1227" s="82">
        <v>0.69779999999999998</v>
      </c>
    </row>
    <row r="1228" spans="1:13" ht="14.25" customHeight="1" x14ac:dyDescent="0.2">
      <c r="A1228" s="523">
        <v>43071</v>
      </c>
      <c r="B1228" s="556" t="s">
        <v>2822</v>
      </c>
      <c r="C1228" s="950" t="s">
        <v>2823</v>
      </c>
      <c r="D1228" s="1">
        <v>1.4895833333333332E-2</v>
      </c>
      <c r="E1228" s="80" t="s">
        <v>5544</v>
      </c>
      <c r="F1228" s="69" t="s">
        <v>5613</v>
      </c>
      <c r="I1228" s="2"/>
      <c r="K1228" s="82">
        <v>0.7016</v>
      </c>
    </row>
    <row r="1229" spans="1:13" ht="14.25" customHeight="1" x14ac:dyDescent="0.2">
      <c r="A1229" s="523">
        <v>43064</v>
      </c>
      <c r="B1229" s="869" t="s">
        <v>2822</v>
      </c>
      <c r="C1229" s="903" t="s">
        <v>2823</v>
      </c>
      <c r="D1229" s="1" t="s">
        <v>787</v>
      </c>
      <c r="E1229" s="80" t="s">
        <v>5544</v>
      </c>
      <c r="F1229" s="69" t="s">
        <v>4000</v>
      </c>
      <c r="I1229" s="2"/>
      <c r="K1229" s="82"/>
    </row>
    <row r="1230" spans="1:13" ht="14.25" customHeight="1" x14ac:dyDescent="0.2">
      <c r="A1230" s="523">
        <v>43057</v>
      </c>
      <c r="B1230" s="940" t="s">
        <v>2822</v>
      </c>
      <c r="C1230" s="941" t="s">
        <v>2823</v>
      </c>
      <c r="D1230" s="1">
        <v>1.5069444444444443E-2</v>
      </c>
      <c r="E1230" s="80" t="s">
        <v>5544</v>
      </c>
      <c r="F1230" s="69" t="s">
        <v>4932</v>
      </c>
      <c r="I1230" s="2"/>
      <c r="K1230" s="82">
        <v>0.69350000000000001</v>
      </c>
    </row>
    <row r="1231" spans="1:13" ht="14.25" customHeight="1" x14ac:dyDescent="0.2">
      <c r="A1231" s="523">
        <v>43050</v>
      </c>
      <c r="B1231" s="532" t="s">
        <v>2822</v>
      </c>
      <c r="C1231" s="843" t="s">
        <v>2823</v>
      </c>
      <c r="D1231" s="1">
        <v>1.5509259259259257E-2</v>
      </c>
      <c r="E1231" s="80" t="s">
        <v>5544</v>
      </c>
      <c r="F1231" s="69" t="s">
        <v>3823</v>
      </c>
      <c r="I1231" s="2"/>
      <c r="K1231" s="82">
        <v>0.67390000000000005</v>
      </c>
    </row>
    <row r="1232" spans="1:13" ht="14.25" customHeight="1" x14ac:dyDescent="0.2">
      <c r="A1232" s="523">
        <v>43043</v>
      </c>
      <c r="B1232" s="936" t="s">
        <v>2822</v>
      </c>
      <c r="C1232" s="937" t="s">
        <v>2823</v>
      </c>
      <c r="D1232" s="1">
        <v>1.53125E-2</v>
      </c>
      <c r="E1232" s="80" t="s">
        <v>5544</v>
      </c>
      <c r="F1232" s="69" t="s">
        <v>4170</v>
      </c>
      <c r="I1232" s="2"/>
      <c r="K1232" s="82">
        <v>0.6825</v>
      </c>
    </row>
    <row r="1233" spans="1:13" ht="14.25" customHeight="1" x14ac:dyDescent="0.2">
      <c r="A1233" s="523">
        <v>43029</v>
      </c>
      <c r="B1233" s="901" t="s">
        <v>2822</v>
      </c>
      <c r="C1233" s="902" t="s">
        <v>2823</v>
      </c>
      <c r="D1233" s="1">
        <v>1.5381944444444443E-2</v>
      </c>
      <c r="E1233" s="80" t="s">
        <v>5544</v>
      </c>
      <c r="F1233" s="69" t="s">
        <v>8723</v>
      </c>
      <c r="I1233" s="2"/>
      <c r="K1233" s="82">
        <v>0.67949999999999999</v>
      </c>
    </row>
    <row r="1234" spans="1:13" ht="14.25" customHeight="1" x14ac:dyDescent="0.2">
      <c r="A1234" s="523">
        <v>43022</v>
      </c>
      <c r="B1234" s="930" t="s">
        <v>2822</v>
      </c>
      <c r="C1234" s="931" t="s">
        <v>2823</v>
      </c>
      <c r="D1234" s="1">
        <v>1.5300925925925926E-2</v>
      </c>
      <c r="E1234" s="80" t="s">
        <v>5544</v>
      </c>
      <c r="F1234" s="69" t="s">
        <v>8672</v>
      </c>
      <c r="I1234" s="2"/>
      <c r="K1234" s="82">
        <v>0.68310000000000004</v>
      </c>
    </row>
    <row r="1235" spans="1:13" ht="14.25" customHeight="1" x14ac:dyDescent="0.2">
      <c r="A1235" s="523">
        <v>43015</v>
      </c>
      <c r="B1235" s="923" t="s">
        <v>2822</v>
      </c>
      <c r="C1235" s="924" t="s">
        <v>2823</v>
      </c>
      <c r="D1235" s="1">
        <v>1.5324074074074073E-2</v>
      </c>
      <c r="E1235" s="80" t="s">
        <v>5544</v>
      </c>
      <c r="F1235" s="69" t="s">
        <v>5171</v>
      </c>
      <c r="I1235" s="2"/>
      <c r="K1235" s="82">
        <v>0.68200000000000005</v>
      </c>
    </row>
    <row r="1236" spans="1:13" ht="14.25" customHeight="1" x14ac:dyDescent="0.2">
      <c r="A1236" s="523">
        <v>43008</v>
      </c>
      <c r="B1236" s="532" t="s">
        <v>2822</v>
      </c>
      <c r="C1236" s="843" t="s">
        <v>2823</v>
      </c>
      <c r="D1236" s="1">
        <v>1.5347222222222222E-2</v>
      </c>
      <c r="E1236" s="80" t="s">
        <v>5544</v>
      </c>
      <c r="F1236" s="69" t="s">
        <v>4031</v>
      </c>
      <c r="I1236" s="2"/>
      <c r="K1236" s="82">
        <v>0.68100000000000005</v>
      </c>
      <c r="M1236" s="80"/>
    </row>
    <row r="1237" spans="1:13" ht="14.25" customHeight="1" x14ac:dyDescent="0.2">
      <c r="A1237" s="523">
        <v>43001</v>
      </c>
      <c r="B1237" s="906" t="s">
        <v>2822</v>
      </c>
      <c r="C1237" s="907" t="s">
        <v>2823</v>
      </c>
      <c r="D1237" s="1">
        <v>1.5173611111111112E-2</v>
      </c>
      <c r="E1237" s="80" t="s">
        <v>5544</v>
      </c>
      <c r="F1237" s="69" t="s">
        <v>8550</v>
      </c>
      <c r="I1237" s="2"/>
      <c r="K1237" s="82">
        <v>0.68879999999999997</v>
      </c>
      <c r="M1237" s="80"/>
    </row>
    <row r="1238" spans="1:13" ht="14.25" customHeight="1" x14ac:dyDescent="0.2">
      <c r="A1238" s="523">
        <v>42994</v>
      </c>
      <c r="B1238" s="869" t="s">
        <v>2822</v>
      </c>
      <c r="C1238" s="903" t="s">
        <v>2823</v>
      </c>
      <c r="D1238" s="1">
        <v>1.5717592592592592E-2</v>
      </c>
      <c r="E1238" s="80" t="s">
        <v>5544</v>
      </c>
      <c r="F1238" s="69" t="s">
        <v>8524</v>
      </c>
      <c r="I1238" s="2"/>
      <c r="K1238" s="82">
        <v>0.66490000000000005</v>
      </c>
    </row>
    <row r="1239" spans="1:13" ht="14.25" customHeight="1" x14ac:dyDescent="0.2">
      <c r="A1239" s="523">
        <v>42987</v>
      </c>
      <c r="B1239" s="532" t="s">
        <v>2822</v>
      </c>
      <c r="C1239" s="843" t="s">
        <v>2823</v>
      </c>
      <c r="D1239" s="1">
        <v>1.5856481481481482E-2</v>
      </c>
      <c r="E1239" s="80" t="s">
        <v>5544</v>
      </c>
      <c r="F1239" s="69" t="s">
        <v>2208</v>
      </c>
      <c r="I1239" s="2"/>
      <c r="K1239" s="82">
        <v>0.65910000000000002</v>
      </c>
      <c r="M1239" s="80"/>
    </row>
    <row r="1240" spans="1:13" ht="14.25" customHeight="1" x14ac:dyDescent="0.2">
      <c r="A1240" s="523">
        <v>42973</v>
      </c>
      <c r="B1240" s="862" t="s">
        <v>2822</v>
      </c>
      <c r="C1240" s="863" t="s">
        <v>2823</v>
      </c>
      <c r="D1240" s="334" t="s">
        <v>787</v>
      </c>
      <c r="E1240" s="80" t="s">
        <v>5544</v>
      </c>
      <c r="F1240" s="69" t="s">
        <v>4000</v>
      </c>
      <c r="I1240" s="2"/>
      <c r="K1240" s="82"/>
    </row>
    <row r="1241" spans="1:13" ht="14.25" customHeight="1" x14ac:dyDescent="0.2">
      <c r="A1241" s="523">
        <v>42945</v>
      </c>
      <c r="B1241" s="568" t="s">
        <v>2822</v>
      </c>
      <c r="C1241" s="861" t="s">
        <v>2823</v>
      </c>
      <c r="D1241" s="1">
        <v>1.5324074074074073E-2</v>
      </c>
      <c r="E1241" s="80" t="s">
        <v>5544</v>
      </c>
      <c r="F1241" s="69" t="s">
        <v>4026</v>
      </c>
      <c r="I1241" s="2"/>
      <c r="K1241" s="82">
        <v>0.68200000000000005</v>
      </c>
      <c r="M1241" s="80"/>
    </row>
    <row r="1242" spans="1:13" ht="14.25" customHeight="1" x14ac:dyDescent="0.2">
      <c r="A1242" s="523">
        <v>42938</v>
      </c>
      <c r="B1242" s="532" t="s">
        <v>2822</v>
      </c>
      <c r="C1242" s="843" t="s">
        <v>2823</v>
      </c>
      <c r="D1242" s="1" t="s">
        <v>787</v>
      </c>
      <c r="E1242" s="80" t="s">
        <v>5544</v>
      </c>
      <c r="F1242" s="69" t="s">
        <v>3988</v>
      </c>
      <c r="I1242" s="2"/>
      <c r="K1242" s="82"/>
      <c r="M1242" s="80"/>
    </row>
    <row r="1243" spans="1:13" ht="14.25" customHeight="1" x14ac:dyDescent="0.2">
      <c r="A1243" s="523">
        <v>42931</v>
      </c>
      <c r="B1243" s="837" t="s">
        <v>2822</v>
      </c>
      <c r="C1243" s="842" t="s">
        <v>2823</v>
      </c>
      <c r="D1243" s="1">
        <v>1.5752314814814813E-2</v>
      </c>
      <c r="E1243" s="80" t="s">
        <v>5544</v>
      </c>
      <c r="F1243" s="69" t="s">
        <v>1055</v>
      </c>
      <c r="I1243" s="2"/>
      <c r="K1243" s="82">
        <v>0.66349999999999998</v>
      </c>
      <c r="M1243" s="80"/>
    </row>
    <row r="1244" spans="1:13" ht="14.25" customHeight="1" x14ac:dyDescent="0.2">
      <c r="A1244" s="523">
        <v>42917</v>
      </c>
      <c r="B1244" s="80" t="s">
        <v>2822</v>
      </c>
      <c r="C1244" s="334" t="s">
        <v>2823</v>
      </c>
      <c r="D1244" s="1">
        <v>1.4953703703703705E-2</v>
      </c>
      <c r="E1244" s="80" t="s">
        <v>5544</v>
      </c>
      <c r="F1244" s="69" t="s">
        <v>8127</v>
      </c>
      <c r="I1244" s="2"/>
      <c r="K1244" s="82">
        <v>0.69889999999999997</v>
      </c>
      <c r="M1244" s="80"/>
    </row>
    <row r="1245" spans="1:13" ht="14.25" customHeight="1" x14ac:dyDescent="0.2">
      <c r="A1245" s="523">
        <v>42896</v>
      </c>
      <c r="B1245" s="80" t="s">
        <v>2822</v>
      </c>
      <c r="C1245" s="334" t="s">
        <v>2823</v>
      </c>
      <c r="D1245" s="334">
        <v>1.5717592592592592E-2</v>
      </c>
      <c r="E1245" s="80" t="s">
        <v>5544</v>
      </c>
      <c r="F1245" s="69" t="s">
        <v>2777</v>
      </c>
      <c r="I1245" s="2"/>
      <c r="K1245" s="82">
        <v>0.66490000000000005</v>
      </c>
    </row>
    <row r="1246" spans="1:13" ht="14.25" customHeight="1" x14ac:dyDescent="0.2">
      <c r="A1246" s="523">
        <v>42889</v>
      </c>
      <c r="B1246" s="80" t="s">
        <v>2822</v>
      </c>
      <c r="C1246" s="334" t="s">
        <v>2823</v>
      </c>
      <c r="D1246" s="1">
        <v>1.5821759259259261E-2</v>
      </c>
      <c r="E1246" s="80" t="s">
        <v>1982</v>
      </c>
      <c r="F1246" s="69" t="s">
        <v>7994</v>
      </c>
      <c r="I1246" s="2"/>
      <c r="K1246" s="82">
        <v>0.66059999999999997</v>
      </c>
      <c r="M1246" s="80"/>
    </row>
    <row r="1247" spans="1:13" ht="14.25" customHeight="1" x14ac:dyDescent="0.2">
      <c r="A1247" s="523">
        <v>42882</v>
      </c>
      <c r="B1247" s="80" t="s">
        <v>2822</v>
      </c>
      <c r="C1247" s="334" t="s">
        <v>2823</v>
      </c>
      <c r="D1247" s="1" t="s">
        <v>787</v>
      </c>
      <c r="E1247" t="s">
        <v>5544</v>
      </c>
      <c r="F1247" s="69" t="s">
        <v>4000</v>
      </c>
      <c r="I1247" s="2"/>
      <c r="K1247" s="82"/>
      <c r="M1247" s="80"/>
    </row>
    <row r="1248" spans="1:13" ht="14.25" customHeight="1" x14ac:dyDescent="0.2">
      <c r="A1248" s="523">
        <v>42868</v>
      </c>
      <c r="B1248" s="80" t="s">
        <v>2822</v>
      </c>
      <c r="C1248" s="334" t="s">
        <v>2823</v>
      </c>
      <c r="D1248" s="334">
        <v>1.4664351851851852E-2</v>
      </c>
      <c r="E1248" s="80" t="s">
        <v>5544</v>
      </c>
      <c r="F1248" s="69" t="s">
        <v>7882</v>
      </c>
      <c r="I1248" s="2"/>
      <c r="K1248" s="82">
        <v>0.7127</v>
      </c>
    </row>
    <row r="1249" spans="1:13" ht="14.25" customHeight="1" x14ac:dyDescent="0.2">
      <c r="A1249" s="523">
        <v>42861</v>
      </c>
      <c r="B1249" s="80" t="s">
        <v>2822</v>
      </c>
      <c r="C1249" s="334" t="s">
        <v>2823</v>
      </c>
      <c r="D1249" s="1">
        <v>1.4675925925925926E-2</v>
      </c>
      <c r="E1249" s="80" t="s">
        <v>5544</v>
      </c>
      <c r="F1249" s="69" t="s">
        <v>7836</v>
      </c>
      <c r="I1249" s="2"/>
      <c r="K1249" s="82">
        <v>0.71209999999999996</v>
      </c>
      <c r="M1249" s="80"/>
    </row>
    <row r="1250" spans="1:13" ht="14.25" customHeight="1" x14ac:dyDescent="0.2">
      <c r="A1250" s="523">
        <v>42854</v>
      </c>
      <c r="B1250" s="80" t="s">
        <v>2822</v>
      </c>
      <c r="C1250" s="334" t="s">
        <v>2823</v>
      </c>
      <c r="D1250" s="1">
        <v>1.4664351851851852E-2</v>
      </c>
      <c r="E1250" s="80" t="s">
        <v>5544</v>
      </c>
      <c r="F1250" s="69" t="s">
        <v>5169</v>
      </c>
      <c r="I1250" s="2"/>
      <c r="K1250" s="82">
        <v>0.7127</v>
      </c>
    </row>
    <row r="1251" spans="1:13" ht="14.25" customHeight="1" x14ac:dyDescent="0.2">
      <c r="A1251" s="523">
        <v>42847</v>
      </c>
      <c r="B1251" s="80" t="s">
        <v>2822</v>
      </c>
      <c r="C1251" s="334" t="s">
        <v>2823</v>
      </c>
      <c r="D1251" s="1">
        <v>1.4687499999999999E-2</v>
      </c>
      <c r="E1251" s="80" t="s">
        <v>5544</v>
      </c>
      <c r="F1251" s="69" t="s">
        <v>1362</v>
      </c>
      <c r="I1251" s="2"/>
      <c r="K1251" s="82">
        <v>0.71160000000000001</v>
      </c>
      <c r="M1251" s="80"/>
    </row>
    <row r="1252" spans="1:13" ht="14.25" customHeight="1" x14ac:dyDescent="0.2">
      <c r="A1252" s="523">
        <v>42840</v>
      </c>
      <c r="B1252" s="80" t="s">
        <v>2822</v>
      </c>
      <c r="C1252" s="334" t="s">
        <v>2823</v>
      </c>
      <c r="D1252" s="1">
        <v>1.4571759259259258E-2</v>
      </c>
      <c r="E1252" t="s">
        <v>5544</v>
      </c>
      <c r="F1252" s="69" t="s">
        <v>3243</v>
      </c>
      <c r="I1252" s="2"/>
      <c r="K1252" s="82">
        <v>0.71719999999999995</v>
      </c>
      <c r="M1252" s="80"/>
    </row>
    <row r="1253" spans="1:13" ht="14.25" customHeight="1" x14ac:dyDescent="0.2">
      <c r="A1253" s="523">
        <v>42833</v>
      </c>
      <c r="B1253" s="80" t="s">
        <v>2822</v>
      </c>
      <c r="C1253" s="334" t="s">
        <v>2823</v>
      </c>
      <c r="D1253" s="334">
        <v>1.4189814814814815E-2</v>
      </c>
      <c r="E1253" s="80" t="s">
        <v>5544</v>
      </c>
      <c r="F1253" s="69" t="s">
        <v>7739</v>
      </c>
      <c r="G1253" s="80"/>
      <c r="H1253" s="80"/>
      <c r="I1253" s="80"/>
      <c r="J1253" s="80"/>
      <c r="K1253" s="571">
        <v>0.73650000000000004</v>
      </c>
      <c r="M1253" s="80"/>
    </row>
    <row r="1254" spans="1:13" ht="14.25" customHeight="1" x14ac:dyDescent="0.2">
      <c r="A1254" s="523">
        <v>42826</v>
      </c>
      <c r="B1254" s="80" t="s">
        <v>2822</v>
      </c>
      <c r="C1254" s="334" t="s">
        <v>2823</v>
      </c>
      <c r="D1254" s="1">
        <v>1.4293981481481482E-2</v>
      </c>
      <c r="E1254" s="80" t="s">
        <v>5544</v>
      </c>
      <c r="F1254" s="69" t="s">
        <v>7706</v>
      </c>
      <c r="I1254" s="2"/>
      <c r="K1254" s="82">
        <v>0.73119999999999996</v>
      </c>
      <c r="M1254" s="80"/>
    </row>
    <row r="1255" spans="1:13" ht="14.25" customHeight="1" x14ac:dyDescent="0.2">
      <c r="A1255" s="523">
        <v>42819</v>
      </c>
      <c r="B1255" s="80" t="s">
        <v>2822</v>
      </c>
      <c r="C1255" s="334" t="s">
        <v>2823</v>
      </c>
      <c r="D1255" s="1">
        <v>1.4710648148148148E-2</v>
      </c>
      <c r="E1255" s="80" t="s">
        <v>5544</v>
      </c>
      <c r="F1255" s="69" t="s">
        <v>7685</v>
      </c>
      <c r="I1255" s="2"/>
      <c r="K1255" s="82">
        <v>0.71050000000000002</v>
      </c>
      <c r="M1255" s="80"/>
    </row>
    <row r="1256" spans="1:13" ht="14.25" customHeight="1" x14ac:dyDescent="0.2">
      <c r="A1256" s="523">
        <v>42812</v>
      </c>
      <c r="B1256" s="80" t="s">
        <v>2822</v>
      </c>
      <c r="C1256" s="334" t="s">
        <v>2823</v>
      </c>
      <c r="D1256" s="1">
        <v>1.6412037037037037E-2</v>
      </c>
      <c r="E1256" s="80" t="s">
        <v>1982</v>
      </c>
      <c r="F1256" s="69" t="s">
        <v>7644</v>
      </c>
      <c r="I1256" s="2"/>
      <c r="K1256" s="82">
        <v>0.63680000000000003</v>
      </c>
      <c r="M1256" s="80"/>
    </row>
    <row r="1257" spans="1:13" ht="14.25" customHeight="1" x14ac:dyDescent="0.2">
      <c r="A1257" s="33">
        <v>42805</v>
      </c>
      <c r="B1257" s="80" t="s">
        <v>2822</v>
      </c>
      <c r="C1257" s="334" t="s">
        <v>2823</v>
      </c>
      <c r="D1257" s="1">
        <v>1.4409722222222221E-2</v>
      </c>
      <c r="E1257" t="s">
        <v>5544</v>
      </c>
      <c r="F1257" s="69" t="s">
        <v>7614</v>
      </c>
      <c r="I1257" s="2"/>
      <c r="K1257" s="82">
        <v>0.72289999999999999</v>
      </c>
      <c r="M1257" s="80"/>
    </row>
    <row r="1258" spans="1:13" ht="14.25" customHeight="1" x14ac:dyDescent="0.2">
      <c r="A1258" s="523">
        <v>42798</v>
      </c>
      <c r="B1258" t="s">
        <v>2822</v>
      </c>
      <c r="C1258" s="334" t="s">
        <v>2823</v>
      </c>
      <c r="D1258" s="1">
        <v>1.4583333333333332E-2</v>
      </c>
      <c r="E1258" s="80" t="s">
        <v>5544</v>
      </c>
      <c r="F1258" s="69" t="s">
        <v>7583</v>
      </c>
      <c r="I1258" s="2"/>
      <c r="K1258" s="82">
        <v>0.71430000000000005</v>
      </c>
      <c r="M1258" s="80"/>
    </row>
    <row r="1259" spans="1:13" ht="14.25" customHeight="1" x14ac:dyDescent="0.2">
      <c r="A1259" s="523">
        <v>42791</v>
      </c>
      <c r="B1259" s="80" t="s">
        <v>2822</v>
      </c>
      <c r="C1259" s="334" t="s">
        <v>2823</v>
      </c>
      <c r="D1259" s="334" t="s">
        <v>787</v>
      </c>
      <c r="E1259" s="80" t="s">
        <v>5544</v>
      </c>
      <c r="F1259" s="69"/>
      <c r="I1259" s="2"/>
      <c r="K1259" s="82"/>
      <c r="M1259" s="80"/>
    </row>
    <row r="1260" spans="1:13" ht="14.25" customHeight="1" x14ac:dyDescent="0.2">
      <c r="A1260" s="523">
        <v>42784</v>
      </c>
      <c r="B1260" s="80" t="s">
        <v>2822</v>
      </c>
      <c r="C1260" s="334" t="s">
        <v>2823</v>
      </c>
      <c r="D1260" s="1">
        <v>1.650462962962963E-2</v>
      </c>
      <c r="E1260" s="80" t="s">
        <v>1982</v>
      </c>
      <c r="F1260" s="69" t="s">
        <v>6446</v>
      </c>
      <c r="I1260" s="2"/>
      <c r="K1260" s="82">
        <v>0.63109999999999999</v>
      </c>
      <c r="M1260" s="80"/>
    </row>
    <row r="1261" spans="1:13" ht="14.25" customHeight="1" x14ac:dyDescent="0.2">
      <c r="A1261" s="523">
        <v>42777</v>
      </c>
      <c r="B1261" s="80" t="s">
        <v>2822</v>
      </c>
      <c r="C1261" s="334" t="s">
        <v>2823</v>
      </c>
      <c r="D1261" s="1">
        <v>1.4953703703703705E-2</v>
      </c>
      <c r="E1261" s="80" t="s">
        <v>5544</v>
      </c>
      <c r="F1261" s="69" t="s">
        <v>6402</v>
      </c>
      <c r="I1261" s="2"/>
      <c r="K1261" s="82">
        <v>0.6966</v>
      </c>
      <c r="M1261" s="80"/>
    </row>
    <row r="1262" spans="1:13" ht="14.25" customHeight="1" x14ac:dyDescent="0.2">
      <c r="A1262" s="33">
        <v>42770</v>
      </c>
      <c r="B1262" s="80" t="s">
        <v>2822</v>
      </c>
      <c r="C1262" s="334" t="s">
        <v>2823</v>
      </c>
      <c r="D1262" s="1">
        <v>1.4374999999999999E-2</v>
      </c>
      <c r="E1262" s="80" t="s">
        <v>5544</v>
      </c>
      <c r="F1262" s="69" t="s">
        <v>6337</v>
      </c>
      <c r="I1262" s="2"/>
      <c r="K1262" s="82">
        <v>0.72460000000000002</v>
      </c>
      <c r="M1262" s="80"/>
    </row>
    <row r="1263" spans="1:13" ht="14.25" customHeight="1" x14ac:dyDescent="0.2">
      <c r="A1263" s="33">
        <v>42763</v>
      </c>
      <c r="B1263" s="80" t="s">
        <v>2822</v>
      </c>
      <c r="C1263" s="334" t="s">
        <v>2823</v>
      </c>
      <c r="D1263" s="1">
        <v>1.4513888888888889E-2</v>
      </c>
      <c r="E1263" s="80" t="s">
        <v>5544</v>
      </c>
      <c r="F1263" s="69" t="s">
        <v>18</v>
      </c>
      <c r="I1263" s="2"/>
      <c r="K1263" s="82">
        <v>0.7177</v>
      </c>
      <c r="M1263" s="80"/>
    </row>
    <row r="1264" spans="1:13" ht="14.25" customHeight="1" x14ac:dyDescent="0.2">
      <c r="A1264" s="33">
        <v>42756</v>
      </c>
      <c r="B1264" s="80" t="s">
        <v>2822</v>
      </c>
      <c r="C1264" s="334" t="s">
        <v>2823</v>
      </c>
      <c r="D1264" s="1">
        <v>1.4571759259259258E-2</v>
      </c>
      <c r="E1264" s="80" t="s">
        <v>5544</v>
      </c>
      <c r="F1264" s="69" t="s">
        <v>6449</v>
      </c>
      <c r="I1264" s="2"/>
      <c r="K1264" s="82">
        <v>0.71489999999999998</v>
      </c>
      <c r="M1264" s="80"/>
    </row>
    <row r="1265" spans="1:13" ht="14.25" customHeight="1" x14ac:dyDescent="0.2">
      <c r="A1265" s="523">
        <v>42749</v>
      </c>
      <c r="B1265" s="80" t="s">
        <v>2822</v>
      </c>
      <c r="C1265" s="334" t="s">
        <v>2823</v>
      </c>
      <c r="D1265" s="1">
        <v>1.5069444444444443E-2</v>
      </c>
      <c r="E1265" t="s">
        <v>5544</v>
      </c>
      <c r="F1265" s="69" t="s">
        <v>6285</v>
      </c>
      <c r="I1265" s="2"/>
      <c r="K1265" s="82">
        <v>0.69120000000000004</v>
      </c>
      <c r="M1265" s="80"/>
    </row>
    <row r="1266" spans="1:13" ht="14.25" customHeight="1" x14ac:dyDescent="0.2">
      <c r="A1266" s="33">
        <v>42742</v>
      </c>
      <c r="B1266" s="80" t="s">
        <v>2822</v>
      </c>
      <c r="C1266" s="334" t="s">
        <v>2823</v>
      </c>
      <c r="D1266" s="334" t="s">
        <v>787</v>
      </c>
      <c r="E1266" s="80" t="s">
        <v>5544</v>
      </c>
      <c r="F1266" s="69" t="s">
        <v>4000</v>
      </c>
      <c r="I1266" s="2"/>
      <c r="K1266" s="82"/>
      <c r="M1266" s="80"/>
    </row>
    <row r="1267" spans="1:13" ht="14.25" customHeight="1" x14ac:dyDescent="0.2">
      <c r="A1267" s="523">
        <v>42798</v>
      </c>
      <c r="B1267" t="s">
        <v>1794</v>
      </c>
      <c r="C1267" s="334" t="s">
        <v>1022</v>
      </c>
      <c r="D1267" s="1">
        <v>2.6585648148148146E-2</v>
      </c>
      <c r="E1267" s="80" t="s">
        <v>5544</v>
      </c>
      <c r="F1267" s="69" t="s">
        <v>1493</v>
      </c>
      <c r="I1267" s="2"/>
      <c r="K1267" s="82">
        <v>0.40839999999999999</v>
      </c>
    </row>
    <row r="1268" spans="1:13" ht="14.25" customHeight="1" x14ac:dyDescent="0.2">
      <c r="A1268" s="523">
        <v>42777</v>
      </c>
      <c r="B1268" s="80" t="s">
        <v>1794</v>
      </c>
      <c r="C1268" s="334" t="s">
        <v>1022</v>
      </c>
      <c r="D1268" s="1">
        <v>2.630787037037037E-2</v>
      </c>
      <c r="E1268" s="80" t="s">
        <v>5544</v>
      </c>
      <c r="F1268" s="69" t="s">
        <v>2057</v>
      </c>
      <c r="I1268" s="2"/>
      <c r="K1268" s="82">
        <v>0.41270000000000001</v>
      </c>
    </row>
    <row r="1269" spans="1:13" ht="14.25" customHeight="1" x14ac:dyDescent="0.2">
      <c r="A1269" s="523">
        <v>43078</v>
      </c>
      <c r="B1269" s="879" t="s">
        <v>5649</v>
      </c>
      <c r="C1269" s="880" t="s">
        <v>8924</v>
      </c>
      <c r="D1269" s="1">
        <v>2.431712962962963E-2</v>
      </c>
      <c r="E1269" s="80" t="s">
        <v>1822</v>
      </c>
      <c r="F1269" s="69" t="s">
        <v>3472</v>
      </c>
      <c r="I1269" s="2"/>
      <c r="K1269" s="82">
        <v>0.41</v>
      </c>
      <c r="M1269" s="80"/>
    </row>
    <row r="1270" spans="1:13" ht="14.25" customHeight="1" x14ac:dyDescent="0.2">
      <c r="A1270" s="523">
        <v>43008</v>
      </c>
      <c r="B1270" s="532" t="s">
        <v>429</v>
      </c>
      <c r="C1270" s="843" t="s">
        <v>430</v>
      </c>
      <c r="D1270" s="1">
        <v>1.6967592592592593E-2</v>
      </c>
      <c r="E1270" s="80" t="s">
        <v>5544</v>
      </c>
      <c r="F1270" s="69" t="s">
        <v>8601</v>
      </c>
      <c r="I1270" s="2"/>
      <c r="K1270" s="82">
        <v>0.67390000000000005</v>
      </c>
      <c r="M1270" s="80"/>
    </row>
    <row r="1271" spans="1:13" ht="14.25" customHeight="1" x14ac:dyDescent="0.2">
      <c r="A1271" s="523">
        <v>42987</v>
      </c>
      <c r="B1271" s="532" t="s">
        <v>429</v>
      </c>
      <c r="C1271" s="843" t="s">
        <v>430</v>
      </c>
      <c r="D1271" s="1">
        <v>1.6921296296296299E-2</v>
      </c>
      <c r="E1271" s="80" t="s">
        <v>5544</v>
      </c>
      <c r="F1271" s="69" t="s">
        <v>8502</v>
      </c>
      <c r="I1271" s="2"/>
      <c r="K1271" s="82">
        <v>0.67579999999999996</v>
      </c>
      <c r="M1271" s="80"/>
    </row>
    <row r="1272" spans="1:13" ht="14.25" customHeight="1" x14ac:dyDescent="0.2">
      <c r="A1272" s="523">
        <v>42973</v>
      </c>
      <c r="B1272" s="862" t="s">
        <v>429</v>
      </c>
      <c r="C1272" s="863" t="s">
        <v>430</v>
      </c>
      <c r="D1272" s="1">
        <v>1.6909722222222225E-2</v>
      </c>
      <c r="E1272" s="80" t="s">
        <v>5544</v>
      </c>
      <c r="F1272" s="69" t="s">
        <v>4480</v>
      </c>
      <c r="I1272" s="2"/>
      <c r="K1272" s="82">
        <v>0.67620000000000002</v>
      </c>
    </row>
    <row r="1273" spans="1:13" ht="14.25" customHeight="1" x14ac:dyDescent="0.2">
      <c r="A1273" s="523">
        <v>42966</v>
      </c>
      <c r="B1273" s="879" t="s">
        <v>429</v>
      </c>
      <c r="C1273" s="880" t="s">
        <v>430</v>
      </c>
      <c r="D1273" s="1">
        <v>1.744212962962963E-2</v>
      </c>
      <c r="E1273" s="80" t="s">
        <v>5544</v>
      </c>
      <c r="F1273" s="69" t="s">
        <v>5808</v>
      </c>
      <c r="I1273" s="2"/>
      <c r="K1273" s="82">
        <v>0.65559999999999996</v>
      </c>
      <c r="M1273" s="80"/>
    </row>
    <row r="1274" spans="1:13" ht="14.25" customHeight="1" x14ac:dyDescent="0.2">
      <c r="A1274" s="523">
        <v>42945</v>
      </c>
      <c r="B1274" s="568" t="s">
        <v>429</v>
      </c>
      <c r="C1274" s="861" t="s">
        <v>430</v>
      </c>
      <c r="D1274" s="1">
        <v>1.7858796296296296E-2</v>
      </c>
      <c r="E1274" s="80" t="s">
        <v>5544</v>
      </c>
      <c r="F1274" s="69" t="s">
        <v>272</v>
      </c>
      <c r="I1274" s="2"/>
      <c r="K1274" s="82">
        <v>0.64029999999999998</v>
      </c>
    </row>
    <row r="1275" spans="1:13" ht="14.25" customHeight="1" x14ac:dyDescent="0.2">
      <c r="A1275" s="523">
        <v>42917</v>
      </c>
      <c r="B1275" s="80" t="s">
        <v>429</v>
      </c>
      <c r="C1275" s="334" t="s">
        <v>430</v>
      </c>
      <c r="D1275" s="1">
        <v>1.7337962962962961E-2</v>
      </c>
      <c r="E1275" s="80" t="s">
        <v>5544</v>
      </c>
      <c r="F1275" s="69" t="s">
        <v>8126</v>
      </c>
      <c r="I1275" s="2"/>
      <c r="K1275" s="82">
        <v>0.65949999999999998</v>
      </c>
      <c r="M1275" s="80"/>
    </row>
    <row r="1276" spans="1:13" ht="14.25" customHeight="1" x14ac:dyDescent="0.2">
      <c r="A1276" s="523">
        <v>42896</v>
      </c>
      <c r="B1276" s="80" t="s">
        <v>429</v>
      </c>
      <c r="C1276" s="334" t="s">
        <v>430</v>
      </c>
      <c r="D1276" s="1">
        <v>1.7696759259259259E-2</v>
      </c>
      <c r="E1276" s="80" t="s">
        <v>5544</v>
      </c>
      <c r="F1276" s="69" t="s">
        <v>461</v>
      </c>
      <c r="I1276" s="2"/>
      <c r="K1276" s="82">
        <v>0.6462</v>
      </c>
      <c r="M1276" s="80"/>
    </row>
    <row r="1277" spans="1:13" ht="14.25" customHeight="1" x14ac:dyDescent="0.2">
      <c r="A1277" s="523">
        <v>42889</v>
      </c>
      <c r="B1277" s="80" t="s">
        <v>429</v>
      </c>
      <c r="C1277" s="334" t="s">
        <v>430</v>
      </c>
      <c r="D1277" s="1">
        <v>1.8217592592592594E-2</v>
      </c>
      <c r="E1277" s="80" t="s">
        <v>5544</v>
      </c>
      <c r="F1277" s="69" t="s">
        <v>7969</v>
      </c>
      <c r="I1277" s="2"/>
      <c r="K1277" s="82">
        <v>0.62770000000000004</v>
      </c>
      <c r="M1277" s="80"/>
    </row>
    <row r="1278" spans="1:13" ht="14.25" customHeight="1" x14ac:dyDescent="0.2">
      <c r="A1278" s="523">
        <v>43064</v>
      </c>
      <c r="B1278" s="869" t="s">
        <v>4878</v>
      </c>
      <c r="C1278" s="903" t="s">
        <v>3250</v>
      </c>
      <c r="D1278" s="1">
        <v>2.1597222222222223E-2</v>
      </c>
      <c r="E1278" s="80" t="s">
        <v>8847</v>
      </c>
      <c r="F1278" s="69" t="s">
        <v>8848</v>
      </c>
      <c r="I1278" s="2"/>
      <c r="K1278" s="82">
        <v>0.47799999999999998</v>
      </c>
    </row>
    <row r="1279" spans="1:13" ht="14.25" customHeight="1" x14ac:dyDescent="0.2">
      <c r="A1279" s="523">
        <v>42749</v>
      </c>
      <c r="B1279" s="80" t="s">
        <v>4878</v>
      </c>
      <c r="C1279" s="334" t="s">
        <v>3250</v>
      </c>
      <c r="D1279" s="1">
        <v>1.9351851851851853E-2</v>
      </c>
      <c r="E1279" s="80" t="s">
        <v>5544</v>
      </c>
      <c r="F1279" s="69" t="s">
        <v>5013</v>
      </c>
      <c r="I1279" s="2"/>
      <c r="K1279" s="82">
        <v>0.5323</v>
      </c>
    </row>
    <row r="1280" spans="1:13" ht="14.25" customHeight="1" x14ac:dyDescent="0.2">
      <c r="A1280" s="33">
        <v>42742</v>
      </c>
      <c r="B1280" s="80" t="s">
        <v>4878</v>
      </c>
      <c r="C1280" s="334" t="s">
        <v>3250</v>
      </c>
      <c r="D1280" s="1">
        <v>2.1736111111111112E-2</v>
      </c>
      <c r="E1280" s="80" t="s">
        <v>3009</v>
      </c>
      <c r="F1280" s="69" t="s">
        <v>6248</v>
      </c>
      <c r="I1280" s="2"/>
      <c r="K1280" s="82">
        <v>0.47389999999999999</v>
      </c>
      <c r="M1280" s="80" t="s">
        <v>8849</v>
      </c>
    </row>
    <row r="1281" spans="1:13" ht="14.25" customHeight="1" x14ac:dyDescent="0.2">
      <c r="A1281" s="523">
        <v>42861</v>
      </c>
      <c r="B1281" s="80" t="s">
        <v>7857</v>
      </c>
      <c r="C1281" s="334" t="s">
        <v>7858</v>
      </c>
      <c r="D1281" s="1">
        <v>1.8229166666666668E-2</v>
      </c>
      <c r="E1281" s="80" t="s">
        <v>2627</v>
      </c>
      <c r="F1281" s="69" t="s">
        <v>4456</v>
      </c>
      <c r="I1281" s="2"/>
      <c r="K1281" s="82">
        <v>0.56189999999999996</v>
      </c>
      <c r="M1281" s="80"/>
    </row>
    <row r="1282" spans="1:13" ht="14.25" customHeight="1" x14ac:dyDescent="0.2">
      <c r="A1282" s="523">
        <v>43008</v>
      </c>
      <c r="B1282" s="532" t="s">
        <v>4567</v>
      </c>
      <c r="C1282" s="843" t="s">
        <v>4562</v>
      </c>
      <c r="D1282" s="334" t="s">
        <v>787</v>
      </c>
      <c r="E1282" s="80" t="s">
        <v>2596</v>
      </c>
      <c r="F1282" s="69" t="s">
        <v>1549</v>
      </c>
      <c r="I1282" s="2"/>
      <c r="K1282" s="82"/>
    </row>
    <row r="1283" spans="1:13" ht="14.25" customHeight="1" x14ac:dyDescent="0.2">
      <c r="A1283" s="523">
        <v>42847</v>
      </c>
      <c r="B1283" s="80" t="s">
        <v>4567</v>
      </c>
      <c r="C1283" s="334" t="s">
        <v>4562</v>
      </c>
      <c r="D1283" s="334" t="s">
        <v>787</v>
      </c>
      <c r="E1283" s="80" t="s">
        <v>5883</v>
      </c>
      <c r="F1283" s="69" t="s">
        <v>4061</v>
      </c>
      <c r="I1283" s="2"/>
      <c r="K1283" s="82"/>
      <c r="M1283" s="80"/>
    </row>
    <row r="1284" spans="1:13" ht="14.25" customHeight="1" x14ac:dyDescent="0.2">
      <c r="A1284" s="523">
        <v>42840</v>
      </c>
      <c r="B1284" s="80" t="s">
        <v>4567</v>
      </c>
      <c r="C1284" s="334" t="s">
        <v>4562</v>
      </c>
      <c r="D1284" s="1" t="s">
        <v>787</v>
      </c>
      <c r="E1284" t="s">
        <v>2596</v>
      </c>
      <c r="F1284" s="69" t="s">
        <v>5508</v>
      </c>
      <c r="I1284" s="2"/>
      <c r="K1284" s="82"/>
      <c r="M1284" s="80"/>
    </row>
    <row r="1285" spans="1:13" ht="14.25" customHeight="1" x14ac:dyDescent="0.2">
      <c r="A1285" s="523">
        <v>43099</v>
      </c>
      <c r="B1285" s="601" t="s">
        <v>4561</v>
      </c>
      <c r="C1285" s="958" t="s">
        <v>4562</v>
      </c>
      <c r="D1285" s="1">
        <v>1.9467592592592595E-2</v>
      </c>
      <c r="E1285" s="80" t="s">
        <v>5544</v>
      </c>
      <c r="F1285" s="69" t="s">
        <v>9003</v>
      </c>
      <c r="I1285" s="2"/>
      <c r="K1285" s="82">
        <v>0.54479999999999995</v>
      </c>
    </row>
    <row r="1286" spans="1:13" ht="14.25" customHeight="1" x14ac:dyDescent="0.2">
      <c r="A1286" s="965">
        <v>43094</v>
      </c>
      <c r="B1286" s="962" t="s">
        <v>4561</v>
      </c>
      <c r="C1286" s="963" t="s">
        <v>4562</v>
      </c>
      <c r="D1286" s="1">
        <v>1.9131944444444444E-2</v>
      </c>
      <c r="E1286" s="80" t="s">
        <v>129</v>
      </c>
      <c r="F1286" s="69" t="s">
        <v>8981</v>
      </c>
      <c r="I1286" s="2"/>
      <c r="K1286" s="82">
        <v>0.5554</v>
      </c>
    </row>
    <row r="1287" spans="1:13" ht="14.25" customHeight="1" x14ac:dyDescent="0.2">
      <c r="A1287" s="523">
        <v>43092</v>
      </c>
      <c r="B1287" s="568" t="s">
        <v>4561</v>
      </c>
      <c r="C1287" s="861" t="s">
        <v>4562</v>
      </c>
      <c r="D1287" s="1">
        <v>1.951388888888889E-2</v>
      </c>
      <c r="E1287" s="80" t="s">
        <v>5883</v>
      </c>
      <c r="F1287" s="69" t="s">
        <v>153</v>
      </c>
      <c r="I1287" s="2"/>
      <c r="K1287" s="82">
        <v>0.54449999999999998</v>
      </c>
    </row>
    <row r="1288" spans="1:13" ht="14.25" customHeight="1" x14ac:dyDescent="0.2">
      <c r="A1288" s="523">
        <v>43085</v>
      </c>
      <c r="B1288" s="601" t="s">
        <v>4561</v>
      </c>
      <c r="C1288" s="958" t="s">
        <v>4562</v>
      </c>
      <c r="D1288" s="1">
        <v>1.832175925925926E-2</v>
      </c>
      <c r="E1288" s="80" t="s">
        <v>5885</v>
      </c>
      <c r="F1288" s="69" t="s">
        <v>8942</v>
      </c>
      <c r="I1288" s="2"/>
      <c r="K1288" s="82">
        <v>0.57989999999999997</v>
      </c>
      <c r="M1288" s="45">
        <v>1030</v>
      </c>
    </row>
    <row r="1289" spans="1:13" ht="14.25" customHeight="1" x14ac:dyDescent="0.2">
      <c r="A1289" s="523">
        <v>43078</v>
      </c>
      <c r="B1289" s="879" t="s">
        <v>4561</v>
      </c>
      <c r="C1289" s="880" t="s">
        <v>4562</v>
      </c>
      <c r="D1289" s="1">
        <v>1.9305555555555555E-2</v>
      </c>
      <c r="E1289" s="80" t="s">
        <v>5883</v>
      </c>
      <c r="F1289" s="69" t="s">
        <v>5249</v>
      </c>
      <c r="I1289" s="2"/>
      <c r="K1289" s="82">
        <v>0.5504</v>
      </c>
      <c r="M1289" s="45">
        <v>900</v>
      </c>
    </row>
    <row r="1290" spans="1:13" ht="14.25" customHeight="1" x14ac:dyDescent="0.2">
      <c r="A1290" s="523">
        <v>43071</v>
      </c>
      <c r="B1290" s="556" t="s">
        <v>4561</v>
      </c>
      <c r="C1290" s="950" t="s">
        <v>4562</v>
      </c>
      <c r="D1290" s="1">
        <v>1.8576388888888889E-2</v>
      </c>
      <c r="E1290" s="80" t="s">
        <v>129</v>
      </c>
      <c r="F1290" s="69" t="s">
        <v>8876</v>
      </c>
      <c r="I1290" s="2"/>
      <c r="K1290" s="82">
        <v>0.57199999999999995</v>
      </c>
      <c r="M1290" s="80" t="s">
        <v>6252</v>
      </c>
    </row>
    <row r="1291" spans="1:13" ht="14.25" customHeight="1" x14ac:dyDescent="0.2">
      <c r="A1291" s="523">
        <v>43064</v>
      </c>
      <c r="B1291" s="869" t="s">
        <v>4561</v>
      </c>
      <c r="C1291" s="903" t="s">
        <v>4562</v>
      </c>
      <c r="D1291" s="1">
        <v>1.8935185185185183E-2</v>
      </c>
      <c r="E1291" s="80" t="s">
        <v>5883</v>
      </c>
      <c r="F1291" s="69" t="s">
        <v>18</v>
      </c>
      <c r="I1291" s="2"/>
      <c r="K1291" s="82">
        <v>0.56110000000000004</v>
      </c>
    </row>
    <row r="1292" spans="1:13" ht="14.25" customHeight="1" x14ac:dyDescent="0.2">
      <c r="A1292" s="523">
        <v>43057</v>
      </c>
      <c r="B1292" s="940" t="s">
        <v>4561</v>
      </c>
      <c r="C1292" s="941" t="s">
        <v>4562</v>
      </c>
      <c r="D1292" s="1">
        <v>2.0104166666666666E-2</v>
      </c>
      <c r="E1292" s="80" t="s">
        <v>5095</v>
      </c>
      <c r="F1292" s="69" t="s">
        <v>8803</v>
      </c>
      <c r="I1292" s="2"/>
      <c r="K1292" s="82">
        <v>0.53469999999999995</v>
      </c>
    </row>
    <row r="1293" spans="1:13" ht="14.25" customHeight="1" x14ac:dyDescent="0.2">
      <c r="A1293" s="523">
        <v>43050</v>
      </c>
      <c r="B1293" s="532" t="s">
        <v>4561</v>
      </c>
      <c r="C1293" s="843" t="s">
        <v>4562</v>
      </c>
      <c r="D1293" s="1">
        <v>2.1273148148148149E-2</v>
      </c>
      <c r="E1293" s="80" t="s">
        <v>1003</v>
      </c>
      <c r="F1293" s="69" t="s">
        <v>8787</v>
      </c>
      <c r="I1293" s="2"/>
      <c r="K1293" s="82">
        <v>0.4995</v>
      </c>
      <c r="M1293" t="s">
        <v>6381</v>
      </c>
    </row>
    <row r="1294" spans="1:13" ht="14.25" customHeight="1" x14ac:dyDescent="0.2">
      <c r="A1294" s="523">
        <v>43043</v>
      </c>
      <c r="B1294" s="936" t="s">
        <v>4561</v>
      </c>
      <c r="C1294" s="937" t="s">
        <v>4562</v>
      </c>
      <c r="D1294" s="1">
        <v>1.8692129629629631E-2</v>
      </c>
      <c r="E1294" s="80" t="s">
        <v>129</v>
      </c>
      <c r="F1294" s="69" t="s">
        <v>3224</v>
      </c>
      <c r="I1294" s="2"/>
      <c r="K1294" s="82">
        <v>0.56840000000000002</v>
      </c>
    </row>
    <row r="1295" spans="1:13" ht="14.25" customHeight="1" x14ac:dyDescent="0.2">
      <c r="A1295" s="523">
        <v>43036</v>
      </c>
      <c r="B1295" s="934" t="s">
        <v>4561</v>
      </c>
      <c r="C1295" s="935" t="s">
        <v>4562</v>
      </c>
      <c r="D1295" s="1">
        <v>1.8761574074074073E-2</v>
      </c>
      <c r="E1295" s="80" t="s">
        <v>5883</v>
      </c>
      <c r="F1295" s="69" t="s">
        <v>107</v>
      </c>
      <c r="I1295" s="2"/>
      <c r="K1295" s="82">
        <v>0.56630000000000003</v>
      </c>
    </row>
    <row r="1296" spans="1:13" ht="14.25" customHeight="1" x14ac:dyDescent="0.2">
      <c r="A1296" s="523">
        <v>43029</v>
      </c>
      <c r="B1296" s="901" t="s">
        <v>4561</v>
      </c>
      <c r="C1296" s="902" t="s">
        <v>4562</v>
      </c>
      <c r="D1296" s="1">
        <v>1.8831018518518518E-2</v>
      </c>
      <c r="E1296" s="80" t="s">
        <v>8705</v>
      </c>
      <c r="F1296" s="69" t="s">
        <v>8710</v>
      </c>
      <c r="I1296" s="2"/>
      <c r="K1296" s="82">
        <v>0.56420000000000003</v>
      </c>
    </row>
    <row r="1297" spans="1:13" ht="14.25" customHeight="1" x14ac:dyDescent="0.2">
      <c r="A1297" s="523">
        <v>43022</v>
      </c>
      <c r="B1297" s="930" t="s">
        <v>4561</v>
      </c>
      <c r="C1297" s="931" t="s">
        <v>4562</v>
      </c>
      <c r="D1297" s="1">
        <v>1.9583333333333331E-2</v>
      </c>
      <c r="E1297" s="80" t="s">
        <v>5439</v>
      </c>
      <c r="F1297" s="69" t="s">
        <v>8676</v>
      </c>
      <c r="I1297" s="2"/>
      <c r="K1297" s="82">
        <v>0.54259999999999997</v>
      </c>
    </row>
    <row r="1298" spans="1:13" ht="14.25" customHeight="1" x14ac:dyDescent="0.2">
      <c r="A1298" s="523">
        <v>43015</v>
      </c>
      <c r="B1298" s="923" t="s">
        <v>4561</v>
      </c>
      <c r="C1298" s="924" t="s">
        <v>4562</v>
      </c>
      <c r="D1298" s="1">
        <v>1.9456018518518518E-2</v>
      </c>
      <c r="E1298" s="80" t="s">
        <v>1654</v>
      </c>
      <c r="F1298" s="69" t="s">
        <v>8629</v>
      </c>
      <c r="I1298" s="2"/>
      <c r="K1298" s="82">
        <v>0.54610000000000003</v>
      </c>
    </row>
    <row r="1299" spans="1:13" ht="14.25" customHeight="1" x14ac:dyDescent="0.2">
      <c r="A1299" s="523">
        <v>43008</v>
      </c>
      <c r="B1299" s="532" t="s">
        <v>4561</v>
      </c>
      <c r="C1299" s="843" t="s">
        <v>4562</v>
      </c>
      <c r="D1299" s="1">
        <v>1.892361111111111E-2</v>
      </c>
      <c r="E1299" s="80" t="s">
        <v>2596</v>
      </c>
      <c r="F1299" s="69" t="s">
        <v>8596</v>
      </c>
      <c r="I1299" s="2"/>
      <c r="K1299" s="82">
        <v>0.5615</v>
      </c>
    </row>
    <row r="1300" spans="1:13" ht="14.25" customHeight="1" x14ac:dyDescent="0.2">
      <c r="A1300" s="523">
        <v>43001</v>
      </c>
      <c r="B1300" s="906" t="s">
        <v>4561</v>
      </c>
      <c r="C1300" s="907" t="s">
        <v>4562</v>
      </c>
      <c r="D1300" s="1">
        <v>1.8935185185185183E-2</v>
      </c>
      <c r="E1300" s="80" t="s">
        <v>5883</v>
      </c>
      <c r="F1300" s="69" t="s">
        <v>2547</v>
      </c>
      <c r="I1300" s="2"/>
      <c r="K1300" s="82">
        <v>0.56110000000000004</v>
      </c>
      <c r="M1300" s="80" t="s">
        <v>7649</v>
      </c>
    </row>
    <row r="1301" spans="1:13" ht="14.25" customHeight="1" x14ac:dyDescent="0.2">
      <c r="A1301" s="523">
        <v>42987</v>
      </c>
      <c r="B1301" s="532" t="s">
        <v>4561</v>
      </c>
      <c r="C1301" s="843" t="s">
        <v>4562</v>
      </c>
      <c r="D1301" s="1">
        <v>1.9282407407407408E-2</v>
      </c>
      <c r="E1301" s="80" t="s">
        <v>5883</v>
      </c>
      <c r="F1301" s="97" t="s">
        <v>2130</v>
      </c>
      <c r="G1301" s="2"/>
      <c r="I1301" s="2"/>
      <c r="K1301" s="82">
        <v>0.55100000000000005</v>
      </c>
      <c r="M1301" s="80"/>
    </row>
    <row r="1302" spans="1:13" ht="14.25" customHeight="1" x14ac:dyDescent="0.2">
      <c r="A1302" s="523">
        <v>42980</v>
      </c>
      <c r="B1302" s="837" t="s">
        <v>4561</v>
      </c>
      <c r="C1302" s="842" t="s">
        <v>4562</v>
      </c>
      <c r="D1302" s="1">
        <v>1.8912037037037036E-2</v>
      </c>
      <c r="E1302" s="80" t="s">
        <v>5883</v>
      </c>
      <c r="F1302" s="69" t="s">
        <v>940</v>
      </c>
      <c r="I1302" s="2"/>
      <c r="K1302" s="82">
        <v>0.56179999999999997</v>
      </c>
      <c r="M1302" s="6"/>
    </row>
    <row r="1303" spans="1:13" ht="14.25" customHeight="1" x14ac:dyDescent="0.2">
      <c r="A1303" s="523">
        <v>42973</v>
      </c>
      <c r="B1303" s="862" t="s">
        <v>4561</v>
      </c>
      <c r="C1303" s="863" t="s">
        <v>4562</v>
      </c>
      <c r="D1303" s="1">
        <v>1.90625E-2</v>
      </c>
      <c r="E1303" s="80" t="s">
        <v>2818</v>
      </c>
      <c r="F1303" s="69" t="s">
        <v>471</v>
      </c>
      <c r="I1303" s="2"/>
      <c r="K1303" s="82">
        <v>0.55740000000000001</v>
      </c>
      <c r="M1303" s="80"/>
    </row>
    <row r="1304" spans="1:13" ht="14.25" customHeight="1" x14ac:dyDescent="0.2">
      <c r="A1304" s="523">
        <v>42966</v>
      </c>
      <c r="B1304" s="879" t="s">
        <v>4561</v>
      </c>
      <c r="C1304" s="880" t="s">
        <v>4562</v>
      </c>
      <c r="D1304" s="1">
        <v>1.8275462962962962E-2</v>
      </c>
      <c r="E1304" s="80" t="s">
        <v>5885</v>
      </c>
      <c r="F1304" s="69" t="s">
        <v>8381</v>
      </c>
      <c r="I1304" s="2"/>
      <c r="K1304" s="82">
        <v>0.58430000000000004</v>
      </c>
    </row>
    <row r="1305" spans="1:13" ht="14.25" customHeight="1" x14ac:dyDescent="0.2">
      <c r="A1305" s="523">
        <v>42959</v>
      </c>
      <c r="B1305" s="866" t="s">
        <v>4561</v>
      </c>
      <c r="C1305" s="867" t="s">
        <v>4562</v>
      </c>
      <c r="D1305" s="1">
        <v>1.8564814814814815E-2</v>
      </c>
      <c r="E1305" s="80" t="s">
        <v>129</v>
      </c>
      <c r="F1305" s="69" t="s">
        <v>8355</v>
      </c>
      <c r="I1305" s="2"/>
      <c r="K1305" s="82">
        <v>0.57230000000000003</v>
      </c>
      <c r="M1305" s="80"/>
    </row>
    <row r="1306" spans="1:13" ht="14.25" customHeight="1" x14ac:dyDescent="0.2">
      <c r="A1306" s="523">
        <v>42952</v>
      </c>
      <c r="B1306" s="862" t="s">
        <v>4561</v>
      </c>
      <c r="C1306" s="863" t="s">
        <v>4562</v>
      </c>
      <c r="D1306" s="1">
        <v>1.8333333333333333E-2</v>
      </c>
      <c r="E1306" s="80" t="s">
        <v>5095</v>
      </c>
      <c r="F1306" s="69" t="s">
        <v>8307</v>
      </c>
      <c r="I1306" s="2"/>
      <c r="K1306" s="82">
        <v>0.57950000000000002</v>
      </c>
      <c r="M1306" s="80"/>
    </row>
    <row r="1307" spans="1:13" ht="14.25" customHeight="1" x14ac:dyDescent="0.2">
      <c r="A1307" s="523">
        <v>42945</v>
      </c>
      <c r="B1307" s="568" t="s">
        <v>4561</v>
      </c>
      <c r="C1307" s="861" t="s">
        <v>4562</v>
      </c>
      <c r="D1307" s="1">
        <v>1.894675925925926E-2</v>
      </c>
      <c r="E1307" s="80" t="s">
        <v>5883</v>
      </c>
      <c r="F1307" s="69" t="s">
        <v>1689</v>
      </c>
      <c r="I1307" s="2"/>
      <c r="K1307" s="82">
        <v>0.56079999999999997</v>
      </c>
      <c r="M1307" s="80"/>
    </row>
    <row r="1308" spans="1:13" ht="14.25" customHeight="1" x14ac:dyDescent="0.2">
      <c r="A1308" s="523">
        <v>42938</v>
      </c>
      <c r="B1308" s="532" t="s">
        <v>4561</v>
      </c>
      <c r="C1308" s="843" t="s">
        <v>4562</v>
      </c>
      <c r="D1308" s="1">
        <v>1.9120370370370371E-2</v>
      </c>
      <c r="E1308" s="80" t="s">
        <v>5883</v>
      </c>
      <c r="F1308" s="69" t="s">
        <v>130</v>
      </c>
      <c r="I1308" s="2"/>
      <c r="K1308" s="82">
        <v>0.55569999999999997</v>
      </c>
      <c r="M1308" s="80"/>
    </row>
    <row r="1309" spans="1:13" ht="14.25" customHeight="1" x14ac:dyDescent="0.2">
      <c r="A1309" s="523">
        <v>42931</v>
      </c>
      <c r="B1309" s="837" t="s">
        <v>4561</v>
      </c>
      <c r="C1309" s="842" t="s">
        <v>4562</v>
      </c>
      <c r="D1309" s="1">
        <v>2.056712962962963E-2</v>
      </c>
      <c r="E1309" s="80" t="s">
        <v>1982</v>
      </c>
      <c r="F1309" s="69" t="s">
        <v>8191</v>
      </c>
      <c r="I1309" s="2"/>
      <c r="K1309" s="82">
        <v>0.51659999999999995</v>
      </c>
      <c r="M1309" s="80" t="s">
        <v>8201</v>
      </c>
    </row>
    <row r="1310" spans="1:13" ht="14.25" customHeight="1" x14ac:dyDescent="0.2">
      <c r="A1310" s="34">
        <v>42924</v>
      </c>
      <c r="B1310" s="80" t="s">
        <v>4561</v>
      </c>
      <c r="C1310" s="334" t="s">
        <v>4562</v>
      </c>
      <c r="D1310" s="1">
        <v>1.9166666666666669E-2</v>
      </c>
      <c r="E1310" s="80" t="s">
        <v>5883</v>
      </c>
      <c r="F1310" s="69" t="s">
        <v>2173</v>
      </c>
      <c r="I1310" s="2"/>
      <c r="K1310" s="82">
        <v>0.55430000000000001</v>
      </c>
    </row>
    <row r="1311" spans="1:13" ht="14.25" customHeight="1" x14ac:dyDescent="0.2">
      <c r="A1311" s="523">
        <v>42917</v>
      </c>
      <c r="B1311" s="80" t="s">
        <v>4561</v>
      </c>
      <c r="C1311" s="334" t="s">
        <v>4562</v>
      </c>
      <c r="D1311" s="1">
        <v>1.9386574074074073E-2</v>
      </c>
      <c r="E1311" s="80" t="s">
        <v>5883</v>
      </c>
      <c r="F1311" s="69" t="s">
        <v>4028</v>
      </c>
      <c r="I1311" s="2"/>
      <c r="K1311" s="82">
        <v>0.54810000000000003</v>
      </c>
      <c r="M1311" s="80"/>
    </row>
    <row r="1312" spans="1:13" ht="14.25" customHeight="1" x14ac:dyDescent="0.2">
      <c r="A1312" s="523">
        <v>42910</v>
      </c>
      <c r="B1312" s="80" t="s">
        <v>4561</v>
      </c>
      <c r="C1312" s="334" t="s">
        <v>4562</v>
      </c>
      <c r="D1312" s="1">
        <v>1.9641203703703706E-2</v>
      </c>
      <c r="E1312" s="80" t="s">
        <v>5883</v>
      </c>
      <c r="F1312" s="69" t="s">
        <v>4476</v>
      </c>
      <c r="I1312" s="2"/>
      <c r="K1312" s="82">
        <v>0.54100000000000004</v>
      </c>
      <c r="M1312" s="80"/>
    </row>
    <row r="1313" spans="1:13" ht="14.25" customHeight="1" x14ac:dyDescent="0.2">
      <c r="A1313" s="523">
        <v>42896</v>
      </c>
      <c r="B1313" s="80" t="s">
        <v>4561</v>
      </c>
      <c r="C1313" s="334" t="s">
        <v>4562</v>
      </c>
      <c r="D1313" s="1">
        <v>1.8888888888888889E-2</v>
      </c>
      <c r="E1313" s="80" t="s">
        <v>1401</v>
      </c>
      <c r="F1313" s="69" t="s">
        <v>8035</v>
      </c>
      <c r="I1313" s="2"/>
      <c r="K1313" s="82">
        <v>0.5625</v>
      </c>
    </row>
    <row r="1314" spans="1:13" ht="14.25" customHeight="1" x14ac:dyDescent="0.2">
      <c r="A1314" s="523">
        <v>42889</v>
      </c>
      <c r="B1314" s="80" t="s">
        <v>4561</v>
      </c>
      <c r="C1314" s="334" t="s">
        <v>4562</v>
      </c>
      <c r="D1314" s="1">
        <v>1.9421296296296294E-2</v>
      </c>
      <c r="E1314" s="80" t="s">
        <v>5883</v>
      </c>
      <c r="F1314" s="69" t="s">
        <v>1896</v>
      </c>
      <c r="I1314" s="2"/>
      <c r="K1314" s="82">
        <v>0.54710000000000003</v>
      </c>
    </row>
    <row r="1315" spans="1:13" ht="14.25" customHeight="1" x14ac:dyDescent="0.2">
      <c r="A1315" s="523">
        <v>42882</v>
      </c>
      <c r="B1315" s="80" t="s">
        <v>4561</v>
      </c>
      <c r="C1315" s="334" t="s">
        <v>4562</v>
      </c>
      <c r="D1315" s="1">
        <v>2.0057870370370368E-2</v>
      </c>
      <c r="E1315" s="80" t="s">
        <v>5456</v>
      </c>
      <c r="F1315" s="69" t="s">
        <v>7949</v>
      </c>
      <c r="I1315" s="2"/>
      <c r="K1315" s="82">
        <v>0.53590000000000004</v>
      </c>
      <c r="M1315" s="80"/>
    </row>
    <row r="1316" spans="1:13" ht="14.25" customHeight="1" x14ac:dyDescent="0.2">
      <c r="A1316" s="523">
        <v>42875</v>
      </c>
      <c r="B1316" s="80" t="s">
        <v>4561</v>
      </c>
      <c r="C1316" s="334" t="s">
        <v>4562</v>
      </c>
      <c r="D1316" s="1">
        <v>2.0196759259259258E-2</v>
      </c>
      <c r="E1316" s="80" t="s">
        <v>5883</v>
      </c>
      <c r="F1316" s="69" t="s">
        <v>970</v>
      </c>
      <c r="I1316" s="2"/>
      <c r="K1316" s="82">
        <v>0.52610000000000001</v>
      </c>
      <c r="M1316" s="80"/>
    </row>
    <row r="1317" spans="1:13" ht="14.25" customHeight="1" x14ac:dyDescent="0.2">
      <c r="A1317" s="523">
        <v>42868</v>
      </c>
      <c r="B1317" s="80" t="s">
        <v>4561</v>
      </c>
      <c r="C1317" s="334" t="s">
        <v>4562</v>
      </c>
      <c r="D1317" s="1">
        <v>2.1134259259259259E-2</v>
      </c>
      <c r="E1317" s="80" t="s">
        <v>5453</v>
      </c>
      <c r="F1317" s="69" t="s">
        <v>7887</v>
      </c>
      <c r="I1317" s="2"/>
      <c r="K1317" s="82">
        <v>0.50270000000000004</v>
      </c>
    </row>
    <row r="1318" spans="1:13" ht="14.25" customHeight="1" x14ac:dyDescent="0.2">
      <c r="A1318" s="523">
        <v>42861</v>
      </c>
      <c r="B1318" s="80" t="s">
        <v>4561</v>
      </c>
      <c r="C1318" s="334" t="s">
        <v>4562</v>
      </c>
      <c r="D1318" s="1">
        <v>2.0833333333333332E-2</v>
      </c>
      <c r="E1318" s="80" t="s">
        <v>5883</v>
      </c>
      <c r="F1318" s="69" t="s">
        <v>2172</v>
      </c>
      <c r="I1318" s="2"/>
      <c r="K1318" s="82">
        <v>0.51</v>
      </c>
      <c r="M1318" s="80"/>
    </row>
    <row r="1319" spans="1:13" ht="14.25" customHeight="1" x14ac:dyDescent="0.2">
      <c r="A1319" s="523">
        <v>42854</v>
      </c>
      <c r="B1319" s="80" t="s">
        <v>4561</v>
      </c>
      <c r="C1319" s="334" t="s">
        <v>4562</v>
      </c>
      <c r="D1319" s="1">
        <v>2.0462962962962964E-2</v>
      </c>
      <c r="E1319" s="80" t="s">
        <v>5883</v>
      </c>
      <c r="F1319" s="69" t="s">
        <v>5572</v>
      </c>
      <c r="I1319" s="2"/>
      <c r="K1319" s="82">
        <v>0.51919999999999999</v>
      </c>
      <c r="M1319" s="80"/>
    </row>
    <row r="1320" spans="1:13" ht="14.25" customHeight="1" x14ac:dyDescent="0.2">
      <c r="A1320" s="523">
        <v>42847</v>
      </c>
      <c r="B1320" s="80" t="s">
        <v>4561</v>
      </c>
      <c r="C1320" s="334" t="s">
        <v>4562</v>
      </c>
      <c r="D1320" s="334" t="s">
        <v>787</v>
      </c>
      <c r="E1320" s="80" t="s">
        <v>5883</v>
      </c>
      <c r="F1320" s="69" t="s">
        <v>4061</v>
      </c>
      <c r="I1320" s="2"/>
      <c r="K1320" s="82"/>
    </row>
    <row r="1321" spans="1:13" ht="14.25" customHeight="1" x14ac:dyDescent="0.2">
      <c r="A1321" s="523">
        <v>42840</v>
      </c>
      <c r="B1321" s="80" t="s">
        <v>4561</v>
      </c>
      <c r="C1321" s="334" t="s">
        <v>4562</v>
      </c>
      <c r="D1321" s="1">
        <v>2.0763888888888887E-2</v>
      </c>
      <c r="E1321" t="s">
        <v>129</v>
      </c>
      <c r="F1321" s="69" t="s">
        <v>7772</v>
      </c>
      <c r="I1321" s="2"/>
      <c r="K1321" s="82">
        <v>0.51170000000000004</v>
      </c>
    </row>
    <row r="1322" spans="1:13" ht="14.25" customHeight="1" x14ac:dyDescent="0.2">
      <c r="A1322" s="523">
        <v>42833</v>
      </c>
      <c r="B1322" s="80" t="s">
        <v>4561</v>
      </c>
      <c r="C1322" s="334" t="s">
        <v>4562</v>
      </c>
      <c r="D1322" s="1">
        <v>2.0543981481481479E-2</v>
      </c>
      <c r="E1322" s="80" t="s">
        <v>5883</v>
      </c>
      <c r="F1322" s="69" t="s">
        <v>4648</v>
      </c>
      <c r="I1322" s="2"/>
      <c r="K1322" s="82">
        <v>0.51719999999999999</v>
      </c>
      <c r="M1322" s="80"/>
    </row>
    <row r="1323" spans="1:13" ht="14.25" customHeight="1" x14ac:dyDescent="0.2">
      <c r="A1323" s="523">
        <v>42826</v>
      </c>
      <c r="B1323" s="80" t="s">
        <v>4561</v>
      </c>
      <c r="C1323" s="334" t="s">
        <v>4562</v>
      </c>
      <c r="D1323" s="1">
        <v>2.1354166666666664E-2</v>
      </c>
      <c r="E1323" s="80" t="s">
        <v>5885</v>
      </c>
      <c r="F1323" s="69" t="s">
        <v>7708</v>
      </c>
      <c r="I1323" s="2"/>
      <c r="K1323" s="82">
        <v>0.49759999999999999</v>
      </c>
      <c r="M1323" s="80"/>
    </row>
    <row r="1324" spans="1:13" ht="14.25" customHeight="1" x14ac:dyDescent="0.2">
      <c r="A1324" s="523">
        <v>42819</v>
      </c>
      <c r="B1324" t="s">
        <v>4561</v>
      </c>
      <c r="C1324" s="334" t="s">
        <v>4562</v>
      </c>
      <c r="D1324" s="334" t="s">
        <v>787</v>
      </c>
      <c r="E1324" s="80" t="s">
        <v>5883</v>
      </c>
      <c r="F1324" s="69" t="s">
        <v>4061</v>
      </c>
      <c r="I1324" s="2"/>
      <c r="K1324" s="82"/>
      <c r="M1324" s="80"/>
    </row>
    <row r="1325" spans="1:13" ht="14.25" customHeight="1" x14ac:dyDescent="0.2">
      <c r="A1325" s="523">
        <v>42812</v>
      </c>
      <c r="B1325" s="80" t="s">
        <v>4561</v>
      </c>
      <c r="C1325" s="334" t="s">
        <v>4562</v>
      </c>
      <c r="D1325" s="1">
        <v>1.996527777777778E-2</v>
      </c>
      <c r="E1325" s="80" t="s">
        <v>5883</v>
      </c>
      <c r="F1325" s="69" t="s">
        <v>7654</v>
      </c>
      <c r="I1325" s="2"/>
      <c r="K1325" s="82">
        <v>0.53220000000000001</v>
      </c>
      <c r="M1325" s="80"/>
    </row>
    <row r="1326" spans="1:13" ht="14.25" customHeight="1" x14ac:dyDescent="0.2">
      <c r="A1326" s="33">
        <v>42805</v>
      </c>
      <c r="B1326" s="80" t="s">
        <v>4561</v>
      </c>
      <c r="C1326" s="334" t="s">
        <v>4562</v>
      </c>
      <c r="D1326" s="1">
        <v>50.83</v>
      </c>
      <c r="E1326" s="80" t="s">
        <v>5883</v>
      </c>
      <c r="F1326" s="69" t="s">
        <v>2055</v>
      </c>
      <c r="I1326" s="2"/>
      <c r="K1326" s="82">
        <v>0.50829999999999997</v>
      </c>
      <c r="M1326" s="80"/>
    </row>
    <row r="1327" spans="1:13" ht="14.25" customHeight="1" x14ac:dyDescent="0.2">
      <c r="A1327" s="523">
        <v>42798</v>
      </c>
      <c r="B1327" t="s">
        <v>4561</v>
      </c>
      <c r="C1327" s="334" t="s">
        <v>4562</v>
      </c>
      <c r="D1327" s="1">
        <v>2.0150462962962964E-2</v>
      </c>
      <c r="E1327" s="80" t="s">
        <v>998</v>
      </c>
      <c r="F1327" s="69" t="s">
        <v>7589</v>
      </c>
      <c r="I1327" s="2"/>
      <c r="K1327" s="82">
        <v>0.52729999999999999</v>
      </c>
      <c r="M1327" s="80"/>
    </row>
    <row r="1328" spans="1:13" ht="14.25" customHeight="1" x14ac:dyDescent="0.2">
      <c r="A1328" s="523">
        <v>42791</v>
      </c>
      <c r="B1328" s="80" t="s">
        <v>4561</v>
      </c>
      <c r="C1328" s="334" t="s">
        <v>4562</v>
      </c>
      <c r="D1328" s="1">
        <v>1.8738425925925926E-2</v>
      </c>
      <c r="E1328" s="80" t="s">
        <v>5883</v>
      </c>
      <c r="F1328" s="69" t="s">
        <v>2187</v>
      </c>
      <c r="I1328" s="2"/>
      <c r="K1328" s="82">
        <v>0.56699999999999995</v>
      </c>
      <c r="M1328" s="80"/>
    </row>
    <row r="1329" spans="1:44" ht="14.25" customHeight="1" x14ac:dyDescent="0.2">
      <c r="A1329" s="523">
        <v>42784</v>
      </c>
      <c r="B1329" s="80" t="s">
        <v>4561</v>
      </c>
      <c r="C1329" s="334" t="s">
        <v>4562</v>
      </c>
      <c r="D1329" s="1">
        <v>1.8784722222222223E-2</v>
      </c>
      <c r="E1329" s="80" t="s">
        <v>4004</v>
      </c>
      <c r="F1329" s="69" t="s">
        <v>7551</v>
      </c>
      <c r="I1329" s="2"/>
      <c r="K1329" s="82">
        <v>0.56559999999999999</v>
      </c>
      <c r="M1329" s="80"/>
    </row>
    <row r="1330" spans="1:44" ht="14.25" customHeight="1" x14ac:dyDescent="0.2">
      <c r="A1330" s="523">
        <v>42777</v>
      </c>
      <c r="B1330" s="80" t="s">
        <v>4561</v>
      </c>
      <c r="C1330" s="334" t="s">
        <v>4562</v>
      </c>
      <c r="D1330" s="1">
        <v>1.9386574074074073E-2</v>
      </c>
      <c r="E1330" s="80" t="s">
        <v>129</v>
      </c>
      <c r="F1330" s="69" t="s">
        <v>5693</v>
      </c>
      <c r="I1330" s="2"/>
      <c r="K1330" s="82">
        <v>0.54810000000000003</v>
      </c>
      <c r="M1330" s="80"/>
    </row>
    <row r="1331" spans="1:44" ht="14.25" customHeight="1" x14ac:dyDescent="0.2">
      <c r="A1331" s="33">
        <v>42770</v>
      </c>
      <c r="B1331" s="80" t="s">
        <v>4561</v>
      </c>
      <c r="C1331" s="334" t="s">
        <v>4562</v>
      </c>
      <c r="D1331" s="1">
        <v>1.90625E-2</v>
      </c>
      <c r="E1331" s="80" t="s">
        <v>129</v>
      </c>
      <c r="F1331" s="69" t="s">
        <v>6328</v>
      </c>
      <c r="I1331" s="2"/>
      <c r="K1331" s="82">
        <v>0.55740000000000001</v>
      </c>
      <c r="M1331" s="80"/>
    </row>
    <row r="1332" spans="1:44" ht="14.25" customHeight="1" x14ac:dyDescent="0.2">
      <c r="A1332" s="33">
        <v>42763</v>
      </c>
      <c r="B1332" s="80" t="s">
        <v>4561</v>
      </c>
      <c r="C1332" s="334" t="s">
        <v>4562</v>
      </c>
      <c r="D1332" s="1">
        <v>2.1678240740740738E-2</v>
      </c>
      <c r="E1332" s="80" t="s">
        <v>5883</v>
      </c>
      <c r="F1332" s="69" t="s">
        <v>6380</v>
      </c>
      <c r="I1332" s="2"/>
      <c r="K1332" s="82">
        <v>0.49009999999999998</v>
      </c>
      <c r="M1332" s="80" t="s">
        <v>8791</v>
      </c>
    </row>
    <row r="1333" spans="1:44" ht="14.25" customHeight="1" x14ac:dyDescent="0.2">
      <c r="A1333" s="33">
        <v>42756</v>
      </c>
      <c r="B1333" s="80" t="s">
        <v>4561</v>
      </c>
      <c r="C1333" s="334" t="s">
        <v>4562</v>
      </c>
      <c r="D1333" s="1">
        <v>1.8831018518518518E-2</v>
      </c>
      <c r="E1333" s="80" t="s">
        <v>3174</v>
      </c>
      <c r="F1333" s="69" t="s">
        <v>6364</v>
      </c>
      <c r="I1333" s="2"/>
      <c r="K1333" s="82">
        <v>0.56420000000000003</v>
      </c>
      <c r="M1333" s="80"/>
    </row>
    <row r="1334" spans="1:44" ht="14.25" customHeight="1" x14ac:dyDescent="0.2">
      <c r="A1334" s="523">
        <v>42749</v>
      </c>
      <c r="B1334" s="80" t="s">
        <v>4561</v>
      </c>
      <c r="C1334" s="334" t="s">
        <v>4562</v>
      </c>
      <c r="D1334" s="1">
        <v>2.1053240740740744E-2</v>
      </c>
      <c r="E1334" s="80" t="s">
        <v>1122</v>
      </c>
      <c r="F1334" s="69" t="s">
        <v>6292</v>
      </c>
      <c r="I1334" s="2"/>
      <c r="K1334" s="82">
        <v>0.50470000000000004</v>
      </c>
      <c r="M1334" s="80"/>
      <c r="AO1334" s="942"/>
      <c r="AP1334" s="943"/>
      <c r="AQ1334" s="944"/>
      <c r="AR1334" s="943"/>
    </row>
    <row r="1335" spans="1:44" ht="14.25" customHeight="1" x14ac:dyDescent="0.2">
      <c r="A1335" s="33">
        <v>42742</v>
      </c>
      <c r="B1335" s="80" t="s">
        <v>4561</v>
      </c>
      <c r="C1335" s="334" t="s">
        <v>4562</v>
      </c>
      <c r="D1335" s="1">
        <v>1.8761574074074073E-2</v>
      </c>
      <c r="E1335" s="80" t="s">
        <v>5544</v>
      </c>
      <c r="F1335" s="69" t="s">
        <v>6251</v>
      </c>
      <c r="I1335" s="2"/>
      <c r="K1335" s="82">
        <v>0.56259999999999999</v>
      </c>
      <c r="M1335" s="80"/>
    </row>
    <row r="1336" spans="1:44" ht="14.25" customHeight="1" x14ac:dyDescent="0.2">
      <c r="A1336" s="523">
        <v>42736</v>
      </c>
      <c r="B1336" s="80" t="s">
        <v>4561</v>
      </c>
      <c r="C1336" s="334" t="s">
        <v>4562</v>
      </c>
      <c r="D1336" s="1">
        <v>1.8530092592592595E-2</v>
      </c>
      <c r="E1336" s="80" t="s">
        <v>3072</v>
      </c>
      <c r="F1336" s="69" t="s">
        <v>6217</v>
      </c>
      <c r="I1336" s="2"/>
      <c r="K1336" s="82">
        <v>0.5696</v>
      </c>
      <c r="M1336" s="80"/>
    </row>
    <row r="1337" spans="1:44" ht="14.25" customHeight="1" x14ac:dyDescent="0.2">
      <c r="A1337" s="523">
        <v>42736</v>
      </c>
      <c r="B1337" s="80" t="s">
        <v>4561</v>
      </c>
      <c r="C1337" s="334" t="s">
        <v>4562</v>
      </c>
      <c r="D1337" s="334">
        <v>1.9224537037037037E-2</v>
      </c>
      <c r="E1337" s="80" t="s">
        <v>4936</v>
      </c>
      <c r="F1337" s="69" t="s">
        <v>6216</v>
      </c>
      <c r="I1337" s="2"/>
      <c r="K1337" s="82">
        <v>0.54910000000000003</v>
      </c>
      <c r="M1337" s="80"/>
      <c r="N1337" t="s">
        <v>8991</v>
      </c>
    </row>
    <row r="1338" spans="1:44" ht="14.25" customHeight="1" x14ac:dyDescent="0.2">
      <c r="A1338" s="523">
        <v>43043</v>
      </c>
      <c r="B1338" s="936" t="s">
        <v>1525</v>
      </c>
      <c r="C1338" s="937" t="s">
        <v>1525</v>
      </c>
      <c r="D1338" s="1">
        <v>1.4814814814814814E-2</v>
      </c>
      <c r="E1338" s="80" t="s">
        <v>1719</v>
      </c>
      <c r="F1338" s="69" t="s">
        <v>4394</v>
      </c>
      <c r="I1338" s="2"/>
      <c r="K1338" s="82">
        <v>0.6109</v>
      </c>
      <c r="M1338" s="80"/>
    </row>
    <row r="1339" spans="1:44" ht="14.25" customHeight="1" x14ac:dyDescent="0.2">
      <c r="A1339" s="523">
        <v>43057</v>
      </c>
      <c r="B1339" s="940" t="s">
        <v>2349</v>
      </c>
      <c r="C1339" s="941" t="s">
        <v>2350</v>
      </c>
      <c r="D1339" s="1">
        <v>1.6122685185185184E-2</v>
      </c>
      <c r="E1339" s="80" t="s">
        <v>5198</v>
      </c>
      <c r="F1339" s="69" t="s">
        <v>8799</v>
      </c>
      <c r="I1339" s="2"/>
      <c r="K1339" s="82">
        <v>0.71360000000000001</v>
      </c>
      <c r="M1339" s="80"/>
    </row>
    <row r="1340" spans="1:44" ht="14.25" customHeight="1" x14ac:dyDescent="0.2">
      <c r="A1340" s="523">
        <v>43043</v>
      </c>
      <c r="B1340" s="936" t="s">
        <v>2349</v>
      </c>
      <c r="C1340" s="937" t="s">
        <v>2350</v>
      </c>
      <c r="D1340" s="1">
        <v>1.6180555555555556E-2</v>
      </c>
      <c r="E1340" s="80" t="s">
        <v>2431</v>
      </c>
      <c r="F1340" s="69" t="s">
        <v>7842</v>
      </c>
      <c r="I1340" s="2"/>
      <c r="K1340" s="82">
        <v>0.71099999999999997</v>
      </c>
      <c r="M1340" s="80"/>
    </row>
    <row r="1341" spans="1:44" ht="14.25" customHeight="1" x14ac:dyDescent="0.2">
      <c r="A1341" s="523">
        <v>43099</v>
      </c>
      <c r="B1341" s="601" t="s">
        <v>1794</v>
      </c>
      <c r="C1341" s="958" t="s">
        <v>1795</v>
      </c>
      <c r="D1341" s="1">
        <v>2.4699074074074078E-2</v>
      </c>
      <c r="E1341" s="80" t="s">
        <v>5544</v>
      </c>
      <c r="F1341" s="69" t="s">
        <v>9005</v>
      </c>
      <c r="I1341" s="2"/>
      <c r="K1341" s="82">
        <v>0.51590000000000003</v>
      </c>
    </row>
    <row r="1342" spans="1:44" ht="14.25" customHeight="1" x14ac:dyDescent="0.2">
      <c r="A1342" s="523">
        <v>43092</v>
      </c>
      <c r="B1342" s="568" t="s">
        <v>1794</v>
      </c>
      <c r="C1342" s="861" t="s">
        <v>1795</v>
      </c>
      <c r="D1342" s="1">
        <v>2.3819444444444445E-2</v>
      </c>
      <c r="E1342" s="80" t="s">
        <v>4004</v>
      </c>
      <c r="F1342" s="69" t="s">
        <v>8951</v>
      </c>
      <c r="I1342" s="2"/>
      <c r="K1342" s="82">
        <v>0.53500000000000003</v>
      </c>
    </row>
    <row r="1343" spans="1:44" ht="14.25" customHeight="1" x14ac:dyDescent="0.2">
      <c r="A1343" s="523">
        <v>43085</v>
      </c>
      <c r="B1343" s="601" t="s">
        <v>1794</v>
      </c>
      <c r="C1343" s="958" t="s">
        <v>1795</v>
      </c>
      <c r="D1343" s="1">
        <v>2.478009259259259E-2</v>
      </c>
      <c r="E1343" s="80" t="s">
        <v>5544</v>
      </c>
      <c r="F1343" s="69" t="s">
        <v>8934</v>
      </c>
      <c r="I1343" s="2"/>
      <c r="K1343" s="82">
        <v>0.51419999999999999</v>
      </c>
      <c r="M1343" s="45">
        <v>900</v>
      </c>
    </row>
    <row r="1344" spans="1:44" ht="14.25" customHeight="1" x14ac:dyDescent="0.2">
      <c r="A1344" s="523">
        <v>43078</v>
      </c>
      <c r="B1344" s="879" t="s">
        <v>1794</v>
      </c>
      <c r="C1344" s="880" t="s">
        <v>1795</v>
      </c>
      <c r="D1344" s="1">
        <v>2.5486111111111112E-2</v>
      </c>
      <c r="E1344" s="80" t="s">
        <v>2818</v>
      </c>
      <c r="F1344" s="69" t="s">
        <v>8911</v>
      </c>
      <c r="I1344" s="2"/>
      <c r="K1344" s="82">
        <v>0.5</v>
      </c>
    </row>
    <row r="1345" spans="1:27" ht="14.25" customHeight="1" x14ac:dyDescent="0.2">
      <c r="A1345" s="523">
        <v>43071</v>
      </c>
      <c r="B1345" s="556" t="s">
        <v>1794</v>
      </c>
      <c r="C1345" s="950" t="s">
        <v>1795</v>
      </c>
      <c r="D1345" s="1">
        <v>2.449074074074074E-2</v>
      </c>
      <c r="E1345" s="80" t="s">
        <v>5544</v>
      </c>
      <c r="F1345" s="69" t="s">
        <v>8872</v>
      </c>
      <c r="I1345" s="2"/>
      <c r="K1345" s="82">
        <v>0.52029999999999998</v>
      </c>
      <c r="AA1345" s="41"/>
    </row>
    <row r="1346" spans="1:27" ht="14.25" customHeight="1" x14ac:dyDescent="0.2">
      <c r="A1346" s="523">
        <v>43064</v>
      </c>
      <c r="B1346" s="869" t="s">
        <v>1794</v>
      </c>
      <c r="C1346" s="903" t="s">
        <v>1795</v>
      </c>
      <c r="D1346" s="1">
        <v>2.480324074074074E-2</v>
      </c>
      <c r="E1346" s="80" t="s">
        <v>5883</v>
      </c>
      <c r="F1346" s="69" t="s">
        <v>8832</v>
      </c>
      <c r="I1346" s="2"/>
      <c r="K1346" s="82">
        <v>0.51380000000000003</v>
      </c>
    </row>
    <row r="1347" spans="1:27" ht="14.25" customHeight="1" x14ac:dyDescent="0.2">
      <c r="A1347" s="523">
        <v>43050</v>
      </c>
      <c r="B1347" s="532" t="s">
        <v>1794</v>
      </c>
      <c r="C1347" s="843" t="s">
        <v>1795</v>
      </c>
      <c r="D1347" s="1">
        <v>2.4583333333333332E-2</v>
      </c>
      <c r="E1347" s="80" t="s">
        <v>5544</v>
      </c>
      <c r="F1347" s="69" t="s">
        <v>4953</v>
      </c>
      <c r="I1347" s="2"/>
      <c r="K1347" s="82">
        <v>0.51839999999999997</v>
      </c>
    </row>
    <row r="1348" spans="1:27" ht="14.25" customHeight="1" x14ac:dyDescent="0.2">
      <c r="A1348" s="523">
        <v>43043</v>
      </c>
      <c r="B1348" s="936" t="s">
        <v>1794</v>
      </c>
      <c r="C1348" s="937" t="s">
        <v>1795</v>
      </c>
      <c r="D1348" s="1">
        <v>2.4016203703703706E-2</v>
      </c>
      <c r="E1348" s="80" t="s">
        <v>5544</v>
      </c>
      <c r="F1348" s="69" t="s">
        <v>6012</v>
      </c>
      <c r="I1348" s="2"/>
      <c r="K1348" s="82">
        <v>0.53059999999999996</v>
      </c>
    </row>
    <row r="1349" spans="1:27" ht="14.25" customHeight="1" x14ac:dyDescent="0.2">
      <c r="A1349" s="523">
        <v>43036</v>
      </c>
      <c r="B1349" s="934" t="s">
        <v>1794</v>
      </c>
      <c r="C1349" s="935" t="s">
        <v>1795</v>
      </c>
      <c r="D1349" s="1">
        <v>2.3958333333333331E-2</v>
      </c>
      <c r="E1349" s="80" t="s">
        <v>5544</v>
      </c>
      <c r="F1349" s="69" t="s">
        <v>8667</v>
      </c>
      <c r="I1349" s="2"/>
      <c r="K1349" s="82">
        <v>0.53190000000000004</v>
      </c>
    </row>
    <row r="1350" spans="1:27" ht="14.25" customHeight="1" x14ac:dyDescent="0.2">
      <c r="A1350" s="523">
        <v>43029</v>
      </c>
      <c r="B1350" s="901" t="s">
        <v>1794</v>
      </c>
      <c r="C1350" s="902" t="s">
        <v>1795</v>
      </c>
      <c r="D1350" s="1">
        <v>2.4502314814814814E-2</v>
      </c>
      <c r="E1350" s="80" t="s">
        <v>8705</v>
      </c>
      <c r="F1350" s="69" t="s">
        <v>8707</v>
      </c>
      <c r="I1350" s="2"/>
      <c r="K1350" s="82">
        <v>0.52010000000000001</v>
      </c>
    </row>
    <row r="1351" spans="1:27" ht="14.25" customHeight="1" x14ac:dyDescent="0.2">
      <c r="A1351" s="523">
        <v>43022</v>
      </c>
      <c r="B1351" s="930" t="s">
        <v>1794</v>
      </c>
      <c r="C1351" s="931" t="s">
        <v>1795</v>
      </c>
      <c r="D1351" s="334">
        <v>2.4918981481481483E-2</v>
      </c>
      <c r="E1351" s="80" t="s">
        <v>8154</v>
      </c>
      <c r="F1351" s="69" t="s">
        <v>6028</v>
      </c>
      <c r="G1351" s="5"/>
      <c r="H1351" s="5"/>
      <c r="I1351" s="2"/>
      <c r="J1351" s="5"/>
      <c r="K1351" s="85">
        <v>0.51139999999999997</v>
      </c>
    </row>
    <row r="1352" spans="1:27" ht="14.25" customHeight="1" x14ac:dyDescent="0.2">
      <c r="A1352" s="523">
        <v>43015</v>
      </c>
      <c r="B1352" s="923" t="s">
        <v>1794</v>
      </c>
      <c r="C1352" s="924" t="s">
        <v>1795</v>
      </c>
      <c r="D1352" s="1">
        <v>2.3750000000000004E-2</v>
      </c>
      <c r="E1352" s="80" t="s">
        <v>5544</v>
      </c>
      <c r="F1352" s="69" t="s">
        <v>7743</v>
      </c>
      <c r="I1352" s="2"/>
      <c r="K1352" s="82">
        <v>0.53649999999999998</v>
      </c>
      <c r="M1352" s="80"/>
    </row>
    <row r="1353" spans="1:27" ht="14.25" customHeight="1" x14ac:dyDescent="0.2">
      <c r="A1353" s="523">
        <v>43008</v>
      </c>
      <c r="B1353" s="532" t="s">
        <v>1794</v>
      </c>
      <c r="C1353" s="843" t="s">
        <v>1795</v>
      </c>
      <c r="D1353" s="1">
        <v>2.5740740740740745E-2</v>
      </c>
      <c r="E1353" s="80" t="s">
        <v>8373</v>
      </c>
      <c r="F1353" s="69" t="s">
        <v>8587</v>
      </c>
      <c r="I1353" s="2"/>
      <c r="K1353" s="82">
        <v>0.49509999999999998</v>
      </c>
      <c r="M1353" s="80"/>
    </row>
    <row r="1354" spans="1:27" ht="14.25" customHeight="1" x14ac:dyDescent="0.2">
      <c r="A1354" s="523">
        <v>42994</v>
      </c>
      <c r="B1354" s="869" t="s">
        <v>1794</v>
      </c>
      <c r="C1354" s="903" t="s">
        <v>1795</v>
      </c>
      <c r="D1354" s="1">
        <v>2.344907407407407E-2</v>
      </c>
      <c r="E1354" s="80" t="s">
        <v>5544</v>
      </c>
      <c r="F1354" s="69" t="s">
        <v>8525</v>
      </c>
      <c r="I1354" s="2"/>
      <c r="K1354" s="82">
        <v>0.54339999999999999</v>
      </c>
    </row>
    <row r="1355" spans="1:27" ht="14.25" customHeight="1" x14ac:dyDescent="0.2">
      <c r="A1355" s="523">
        <v>42987</v>
      </c>
      <c r="B1355" s="532" t="s">
        <v>1794</v>
      </c>
      <c r="C1355" s="843" t="s">
        <v>1795</v>
      </c>
      <c r="D1355" s="1">
        <v>2.5578703703703704E-2</v>
      </c>
      <c r="E1355" s="80" t="s">
        <v>5948</v>
      </c>
      <c r="F1355" s="69" t="s">
        <v>8492</v>
      </c>
      <c r="I1355" s="2"/>
      <c r="K1355" s="82">
        <v>0.49819999999999998</v>
      </c>
      <c r="M1355" s="80"/>
    </row>
    <row r="1356" spans="1:27" ht="14.25" customHeight="1" x14ac:dyDescent="0.2">
      <c r="A1356" s="523">
        <v>42980</v>
      </c>
      <c r="B1356" s="837" t="s">
        <v>1794</v>
      </c>
      <c r="C1356" s="842" t="s">
        <v>1795</v>
      </c>
      <c r="D1356" s="1">
        <v>2.4131944444444445E-2</v>
      </c>
      <c r="E1356" s="80" t="s">
        <v>998</v>
      </c>
      <c r="F1356" s="69" t="s">
        <v>8445</v>
      </c>
      <c r="I1356" s="2"/>
      <c r="K1356" s="82">
        <v>0.52810000000000001</v>
      </c>
    </row>
    <row r="1357" spans="1:27" ht="14.25" customHeight="1" x14ac:dyDescent="0.2">
      <c r="A1357" s="523">
        <v>42973</v>
      </c>
      <c r="B1357" s="862" t="s">
        <v>1794</v>
      </c>
      <c r="C1357" s="863" t="s">
        <v>1795</v>
      </c>
      <c r="D1357" s="1">
        <v>2.5462962962962962E-2</v>
      </c>
      <c r="E1357" s="80" t="s">
        <v>8009</v>
      </c>
      <c r="F1357" s="69" t="s">
        <v>8428</v>
      </c>
      <c r="I1357" s="2"/>
      <c r="K1357" s="82">
        <v>0.5</v>
      </c>
      <c r="M1357" s="80"/>
    </row>
    <row r="1358" spans="1:27" ht="14.25" customHeight="1" x14ac:dyDescent="0.2">
      <c r="A1358" s="523">
        <v>42966</v>
      </c>
      <c r="B1358" s="80" t="s">
        <v>1794</v>
      </c>
      <c r="C1358" s="334" t="s">
        <v>1795</v>
      </c>
      <c r="D1358" s="1">
        <v>2.4097222222222225E-2</v>
      </c>
      <c r="E1358" s="80" t="s">
        <v>5544</v>
      </c>
      <c r="F1358" s="69" t="s">
        <v>8399</v>
      </c>
      <c r="I1358" s="2"/>
      <c r="K1358" s="82">
        <v>0.52880000000000005</v>
      </c>
      <c r="M1358" s="80"/>
    </row>
    <row r="1359" spans="1:27" ht="14.25" customHeight="1" x14ac:dyDescent="0.2">
      <c r="A1359" s="523">
        <v>42959</v>
      </c>
      <c r="B1359" s="80" t="s">
        <v>1794</v>
      </c>
      <c r="C1359" s="334" t="s">
        <v>1795</v>
      </c>
      <c r="D1359" s="1">
        <v>2.6226851851851852E-2</v>
      </c>
      <c r="E1359" s="80" t="s">
        <v>8111</v>
      </c>
      <c r="F1359" s="69" t="s">
        <v>8345</v>
      </c>
      <c r="I1359" s="2"/>
      <c r="K1359" s="82">
        <v>0.4859</v>
      </c>
      <c r="M1359" s="80" t="s">
        <v>7871</v>
      </c>
    </row>
    <row r="1360" spans="1:27" ht="14.25" customHeight="1" x14ac:dyDescent="0.2">
      <c r="A1360" s="523">
        <v>42952</v>
      </c>
      <c r="B1360" s="80" t="s">
        <v>1794</v>
      </c>
      <c r="C1360" s="334" t="s">
        <v>1795</v>
      </c>
      <c r="D1360" s="1">
        <v>2.5497685185185189E-2</v>
      </c>
      <c r="E1360" s="80" t="s">
        <v>5095</v>
      </c>
      <c r="F1360" s="69" t="s">
        <v>8315</v>
      </c>
      <c r="I1360" s="2"/>
      <c r="K1360" s="82">
        <v>0.49980000000000002</v>
      </c>
    </row>
    <row r="1361" spans="1:16" ht="14.25" customHeight="1" x14ac:dyDescent="0.2">
      <c r="A1361" s="523">
        <v>42945</v>
      </c>
      <c r="B1361" s="80" t="s">
        <v>1794</v>
      </c>
      <c r="C1361" s="334" t="s">
        <v>1795</v>
      </c>
      <c r="D1361" s="1">
        <v>2.4872685185185189E-2</v>
      </c>
      <c r="E1361" s="80" t="s">
        <v>5544</v>
      </c>
      <c r="F1361" s="69" t="s">
        <v>7801</v>
      </c>
      <c r="I1361" s="2"/>
      <c r="K1361" s="82">
        <v>0.51229999999999998</v>
      </c>
    </row>
    <row r="1362" spans="1:16" ht="14.25" customHeight="1" x14ac:dyDescent="0.2">
      <c r="A1362" s="523">
        <v>42938</v>
      </c>
      <c r="B1362" s="80" t="s">
        <v>1794</v>
      </c>
      <c r="C1362" s="334" t="s">
        <v>1795</v>
      </c>
      <c r="D1362" s="1">
        <v>2.5150462962962961E-2</v>
      </c>
      <c r="E1362" s="80" t="s">
        <v>4379</v>
      </c>
      <c r="F1362" s="69" t="s">
        <v>2629</v>
      </c>
      <c r="I1362" s="2"/>
      <c r="K1362" s="82">
        <v>0.50670000000000004</v>
      </c>
      <c r="M1362" s="80"/>
    </row>
    <row r="1363" spans="1:16" ht="14.25" customHeight="1" x14ac:dyDescent="0.2">
      <c r="A1363" s="523">
        <v>42931</v>
      </c>
      <c r="B1363" s="80" t="s">
        <v>1794</v>
      </c>
      <c r="C1363" s="334" t="s">
        <v>1795</v>
      </c>
      <c r="D1363" s="1">
        <v>2.5127314814814811E-2</v>
      </c>
      <c r="E1363" s="80" t="s">
        <v>5267</v>
      </c>
      <c r="F1363" s="69" t="s">
        <v>8207</v>
      </c>
      <c r="I1363" s="2"/>
      <c r="K1363" s="82">
        <v>0.5071</v>
      </c>
      <c r="M1363" s="80"/>
    </row>
    <row r="1364" spans="1:16" ht="14.25" customHeight="1" x14ac:dyDescent="0.2">
      <c r="A1364" s="34">
        <v>42924</v>
      </c>
      <c r="B1364" s="80" t="s">
        <v>1794</v>
      </c>
      <c r="C1364" s="334" t="s">
        <v>1795</v>
      </c>
      <c r="D1364" s="1">
        <v>2.5173611111111108E-2</v>
      </c>
      <c r="E1364" s="80" t="s">
        <v>5544</v>
      </c>
      <c r="F1364" s="69" t="s">
        <v>8158</v>
      </c>
      <c r="I1364" s="2"/>
      <c r="K1364" s="82">
        <v>0.50619999999999998</v>
      </c>
    </row>
    <row r="1365" spans="1:16" ht="14.25" customHeight="1" x14ac:dyDescent="0.2">
      <c r="A1365" s="523">
        <v>42917</v>
      </c>
      <c r="B1365" s="80" t="s">
        <v>1794</v>
      </c>
      <c r="C1365" s="334" t="s">
        <v>1795</v>
      </c>
      <c r="D1365" s="1">
        <v>2.4687499999999998E-2</v>
      </c>
      <c r="E1365" s="80" t="s">
        <v>5885</v>
      </c>
      <c r="F1365" s="69" t="s">
        <v>8113</v>
      </c>
      <c r="I1365" s="2"/>
      <c r="K1365" s="82">
        <v>0.51619999999999999</v>
      </c>
    </row>
    <row r="1366" spans="1:16" ht="14.25" customHeight="1" x14ac:dyDescent="0.2">
      <c r="A1366" s="523">
        <v>42910</v>
      </c>
      <c r="B1366" s="80" t="s">
        <v>1794</v>
      </c>
      <c r="C1366" s="334" t="s">
        <v>1795</v>
      </c>
      <c r="D1366" s="1">
        <v>2.8587962962962964E-2</v>
      </c>
      <c r="E1366" s="80" t="s">
        <v>7938</v>
      </c>
      <c r="F1366" s="80" t="s">
        <v>8088</v>
      </c>
      <c r="I1366" s="2"/>
      <c r="K1366" s="82">
        <v>0.44569999999999999</v>
      </c>
      <c r="M1366" s="80"/>
    </row>
    <row r="1367" spans="1:16" ht="14.25" customHeight="1" x14ac:dyDescent="0.2">
      <c r="A1367" s="523">
        <v>42903</v>
      </c>
      <c r="B1367" s="80" t="s">
        <v>1794</v>
      </c>
      <c r="C1367" s="334" t="s">
        <v>1795</v>
      </c>
      <c r="D1367" s="1">
        <v>2.9386574074074075E-2</v>
      </c>
      <c r="E1367" s="80" t="s">
        <v>2627</v>
      </c>
      <c r="F1367" s="69" t="s">
        <v>8071</v>
      </c>
      <c r="I1367" s="2"/>
      <c r="K1367" s="82">
        <v>0.43359999999999999</v>
      </c>
      <c r="M1367" s="80"/>
    </row>
    <row r="1368" spans="1:16" ht="14.25" customHeight="1" x14ac:dyDescent="0.2">
      <c r="A1368" s="523">
        <v>42896</v>
      </c>
      <c r="B1368" s="80" t="s">
        <v>1794</v>
      </c>
      <c r="C1368" s="334" t="s">
        <v>1795</v>
      </c>
      <c r="D1368" s="1">
        <v>2.6261574074074076E-2</v>
      </c>
      <c r="E1368" s="80" t="s">
        <v>4053</v>
      </c>
      <c r="F1368" s="69" t="s">
        <v>8018</v>
      </c>
      <c r="I1368" s="2"/>
      <c r="K1368" s="82">
        <v>0.48520000000000002</v>
      </c>
    </row>
    <row r="1369" spans="1:16" ht="14.25" customHeight="1" x14ac:dyDescent="0.2">
      <c r="A1369" s="523">
        <v>42882</v>
      </c>
      <c r="B1369" s="80" t="s">
        <v>1794</v>
      </c>
      <c r="C1369" s="334" t="s">
        <v>1795</v>
      </c>
      <c r="D1369" s="1">
        <v>2.5960648148148149E-2</v>
      </c>
      <c r="E1369" s="80" t="s">
        <v>5544</v>
      </c>
      <c r="F1369" s="69" t="s">
        <v>7945</v>
      </c>
      <c r="I1369" s="2"/>
      <c r="K1369" s="82">
        <v>0.4909</v>
      </c>
      <c r="M1369" s="80"/>
    </row>
    <row r="1370" spans="1:16" ht="14.25" customHeight="1" x14ac:dyDescent="0.2">
      <c r="A1370" s="523">
        <v>42875</v>
      </c>
      <c r="B1370" s="80" t="s">
        <v>1794</v>
      </c>
      <c r="C1370" s="334" t="s">
        <v>1795</v>
      </c>
      <c r="D1370" s="1">
        <v>2.5358796296296296E-2</v>
      </c>
      <c r="E1370" t="s">
        <v>5544</v>
      </c>
      <c r="F1370" s="69" t="s">
        <v>7922</v>
      </c>
      <c r="I1370" s="2"/>
      <c r="K1370" s="82">
        <v>0.50249999999999995</v>
      </c>
      <c r="M1370" s="80"/>
    </row>
    <row r="1371" spans="1:16" ht="14.25" customHeight="1" x14ac:dyDescent="0.2">
      <c r="A1371" s="523">
        <v>42868</v>
      </c>
      <c r="B1371" s="80" t="s">
        <v>1794</v>
      </c>
      <c r="C1371" s="334" t="s">
        <v>1795</v>
      </c>
      <c r="D1371" s="1">
        <v>2.5636574074074072E-2</v>
      </c>
      <c r="E1371" s="80" t="s">
        <v>5883</v>
      </c>
      <c r="F1371" s="69" t="s">
        <v>7870</v>
      </c>
      <c r="I1371" s="2"/>
      <c r="K1371" s="82">
        <v>0.49709999999999999</v>
      </c>
    </row>
    <row r="1372" spans="1:16" ht="14.25" customHeight="1" x14ac:dyDescent="0.2">
      <c r="A1372" s="523">
        <v>42861</v>
      </c>
      <c r="B1372" s="80" t="s">
        <v>1794</v>
      </c>
      <c r="C1372" s="334" t="s">
        <v>1795</v>
      </c>
      <c r="D1372" s="1">
        <v>2.5092592592592593E-2</v>
      </c>
      <c r="E1372" t="s">
        <v>6393</v>
      </c>
      <c r="F1372" s="69" t="s">
        <v>2629</v>
      </c>
      <c r="I1372" s="2"/>
      <c r="K1372" s="82">
        <v>0.50780000000000003</v>
      </c>
    </row>
    <row r="1373" spans="1:16" ht="14.25" customHeight="1" x14ac:dyDescent="0.2">
      <c r="A1373" s="523">
        <v>42847</v>
      </c>
      <c r="B1373" s="80" t="s">
        <v>1794</v>
      </c>
      <c r="C1373" s="334" t="s">
        <v>1795</v>
      </c>
      <c r="D1373" s="1">
        <v>2.5370370370370366E-2</v>
      </c>
      <c r="E1373" s="80" t="s">
        <v>5456</v>
      </c>
      <c r="F1373" s="69" t="s">
        <v>4803</v>
      </c>
      <c r="I1373" s="2"/>
      <c r="K1373" s="82">
        <v>0.50229999999999997</v>
      </c>
      <c r="M1373" s="80"/>
    </row>
    <row r="1374" spans="1:16" ht="14.25" customHeight="1" x14ac:dyDescent="0.2">
      <c r="A1374" s="523">
        <v>42840</v>
      </c>
      <c r="B1374" s="80" t="s">
        <v>1794</v>
      </c>
      <c r="C1374" s="334" t="s">
        <v>1795</v>
      </c>
      <c r="D1374" s="1">
        <v>2.4756944444444443E-2</v>
      </c>
      <c r="E1374" t="s">
        <v>5544</v>
      </c>
      <c r="F1374" s="69" t="s">
        <v>7765</v>
      </c>
      <c r="I1374" s="2"/>
      <c r="K1374" s="82">
        <v>0.51470000000000005</v>
      </c>
      <c r="M1374" s="80"/>
      <c r="P1374" s="80"/>
    </row>
    <row r="1375" spans="1:16" ht="14.25" customHeight="1" x14ac:dyDescent="0.2">
      <c r="A1375" s="523">
        <v>42833</v>
      </c>
      <c r="B1375" s="80" t="s">
        <v>1794</v>
      </c>
      <c r="C1375" s="334" t="s">
        <v>1795</v>
      </c>
      <c r="D1375" s="1">
        <v>2.5196759259259256E-2</v>
      </c>
      <c r="E1375" s="80" t="s">
        <v>6159</v>
      </c>
      <c r="F1375" s="69" t="s">
        <v>7728</v>
      </c>
      <c r="I1375" s="2"/>
      <c r="K1375" s="82">
        <v>0.50570000000000004</v>
      </c>
      <c r="M1375" s="80"/>
    </row>
    <row r="1376" spans="1:16" ht="14.25" customHeight="1" x14ac:dyDescent="0.2">
      <c r="A1376" s="523">
        <v>42826</v>
      </c>
      <c r="B1376" s="80" t="s">
        <v>1794</v>
      </c>
      <c r="C1376" s="334" t="s">
        <v>1795</v>
      </c>
      <c r="D1376" s="1">
        <v>2.5949074074074072E-2</v>
      </c>
      <c r="E1376" s="80" t="s">
        <v>6393</v>
      </c>
      <c r="F1376" s="69" t="s">
        <v>7696</v>
      </c>
      <c r="I1376" s="2"/>
      <c r="K1376" s="571">
        <v>0.4839</v>
      </c>
      <c r="M1376" s="80"/>
    </row>
    <row r="1377" spans="1:44" ht="14.25" customHeight="1" x14ac:dyDescent="0.2">
      <c r="A1377" s="523">
        <v>42819</v>
      </c>
      <c r="B1377" s="80" t="s">
        <v>1794</v>
      </c>
      <c r="C1377" s="334" t="s">
        <v>1795</v>
      </c>
      <c r="D1377" s="1">
        <v>2.5069444444444446E-2</v>
      </c>
      <c r="E1377" s="80" t="s">
        <v>5544</v>
      </c>
      <c r="F1377" s="69" t="s">
        <v>7687</v>
      </c>
      <c r="I1377" s="2"/>
      <c r="K1377" s="82">
        <v>0.50090000000000001</v>
      </c>
      <c r="M1377" s="80"/>
    </row>
    <row r="1378" spans="1:44" ht="14.25" customHeight="1" x14ac:dyDescent="0.2">
      <c r="A1378" s="523">
        <v>42812</v>
      </c>
      <c r="B1378" s="80" t="s">
        <v>1794</v>
      </c>
      <c r="C1378" s="334" t="s">
        <v>1795</v>
      </c>
      <c r="D1378" s="1">
        <v>2.5405092592592594E-2</v>
      </c>
      <c r="E1378" s="80" t="s">
        <v>5544</v>
      </c>
      <c r="F1378" s="69" t="s">
        <v>7650</v>
      </c>
      <c r="I1378" s="2"/>
      <c r="K1378" s="82">
        <v>0.49430000000000002</v>
      </c>
      <c r="M1378" s="80"/>
    </row>
    <row r="1379" spans="1:44" ht="14.25" customHeight="1" x14ac:dyDescent="0.2">
      <c r="A1379" s="33">
        <v>42805</v>
      </c>
      <c r="B1379" s="80" t="s">
        <v>1794</v>
      </c>
      <c r="C1379" s="334" t="s">
        <v>1795</v>
      </c>
      <c r="D1379" s="1">
        <v>2.6261574074074076E-2</v>
      </c>
      <c r="E1379" s="80" t="s">
        <v>4379</v>
      </c>
      <c r="F1379" s="69" t="s">
        <v>7624</v>
      </c>
      <c r="I1379" s="2"/>
      <c r="K1379" s="82">
        <v>0.47820000000000001</v>
      </c>
    </row>
    <row r="1380" spans="1:44" ht="14.25" customHeight="1" x14ac:dyDescent="0.2">
      <c r="A1380" s="523">
        <v>42798</v>
      </c>
      <c r="B1380" s="80" t="s">
        <v>1794</v>
      </c>
      <c r="C1380" s="334" t="s">
        <v>1795</v>
      </c>
      <c r="D1380" s="1">
        <v>2.4710648148148148E-2</v>
      </c>
      <c r="E1380" s="80" t="s">
        <v>5544</v>
      </c>
      <c r="F1380" s="69" t="s">
        <v>395</v>
      </c>
      <c r="I1380" s="2"/>
      <c r="K1380" s="82">
        <v>0.50819999999999999</v>
      </c>
      <c r="M1380" s="80"/>
    </row>
    <row r="1381" spans="1:44" ht="14.25" customHeight="1" x14ac:dyDescent="0.2">
      <c r="A1381" s="523">
        <v>42791</v>
      </c>
      <c r="B1381" s="80" t="s">
        <v>1794</v>
      </c>
      <c r="C1381" s="334" t="s">
        <v>1795</v>
      </c>
      <c r="D1381" s="1">
        <v>2.5439814814814814E-2</v>
      </c>
      <c r="E1381" s="80" t="s">
        <v>5544</v>
      </c>
      <c r="F1381" s="69" t="s">
        <v>5378</v>
      </c>
      <c r="I1381" s="2"/>
      <c r="K1381" s="82">
        <v>0.49359999999999998</v>
      </c>
      <c r="M1381" s="80"/>
    </row>
    <row r="1382" spans="1:44" ht="14.25" customHeight="1" x14ac:dyDescent="0.2">
      <c r="A1382" s="523">
        <v>42784</v>
      </c>
      <c r="B1382" s="80" t="s">
        <v>1794</v>
      </c>
      <c r="C1382" s="334" t="s">
        <v>1795</v>
      </c>
      <c r="D1382" s="1">
        <v>2.6041666666666668E-2</v>
      </c>
      <c r="E1382" s="80" t="s">
        <v>5544</v>
      </c>
      <c r="F1382" s="69" t="s">
        <v>2947</v>
      </c>
      <c r="I1382" s="2"/>
      <c r="K1382" s="82">
        <v>0.48220000000000002</v>
      </c>
      <c r="M1382" s="80"/>
    </row>
    <row r="1383" spans="1:44" ht="14.25" customHeight="1" x14ac:dyDescent="0.2">
      <c r="A1383" s="523">
        <v>42777</v>
      </c>
      <c r="B1383" s="80" t="s">
        <v>1794</v>
      </c>
      <c r="C1383" s="334" t="s">
        <v>1795</v>
      </c>
      <c r="D1383" s="1">
        <v>2.5902777777777775E-2</v>
      </c>
      <c r="E1383" s="80" t="s">
        <v>5544</v>
      </c>
      <c r="F1383" s="69" t="s">
        <v>5417</v>
      </c>
      <c r="I1383" s="2"/>
      <c r="K1383" s="82">
        <v>0.48480000000000001</v>
      </c>
      <c r="M1383" s="80"/>
    </row>
    <row r="1384" spans="1:44" ht="14.25" customHeight="1" x14ac:dyDescent="0.2">
      <c r="A1384" s="33">
        <v>42770</v>
      </c>
      <c r="B1384" s="80" t="s">
        <v>1794</v>
      </c>
      <c r="C1384" s="334" t="s">
        <v>1795</v>
      </c>
      <c r="D1384" s="334" t="s">
        <v>787</v>
      </c>
      <c r="E1384" s="80" t="s">
        <v>5544</v>
      </c>
      <c r="F1384" s="69" t="s">
        <v>5201</v>
      </c>
      <c r="I1384" s="2"/>
      <c r="K1384" s="82"/>
      <c r="M1384" s="80"/>
      <c r="AO1384" s="942"/>
      <c r="AP1384" s="943"/>
      <c r="AQ1384" s="944"/>
      <c r="AR1384" s="943"/>
    </row>
    <row r="1385" spans="1:44" ht="14.25" customHeight="1" x14ac:dyDescent="0.2">
      <c r="A1385" s="523">
        <v>42749</v>
      </c>
      <c r="B1385" s="80" t="s">
        <v>1794</v>
      </c>
      <c r="C1385" s="334" t="s">
        <v>1795</v>
      </c>
      <c r="D1385" s="1">
        <v>3.5983796296296298E-2</v>
      </c>
      <c r="E1385" s="80" t="s">
        <v>5544</v>
      </c>
      <c r="F1385" s="69" t="s">
        <v>6307</v>
      </c>
      <c r="I1385" s="2"/>
      <c r="K1385" s="82">
        <v>0.34899999999999998</v>
      </c>
      <c r="M1385" s="80"/>
    </row>
    <row r="1386" spans="1:44" ht="14.25" customHeight="1" x14ac:dyDescent="0.2">
      <c r="A1386" s="33">
        <v>42742</v>
      </c>
      <c r="B1386" s="80" t="s">
        <v>1794</v>
      </c>
      <c r="C1386" s="334" t="s">
        <v>1795</v>
      </c>
      <c r="D1386" s="1">
        <v>2.5914351851851855E-2</v>
      </c>
      <c r="E1386" s="80" t="s">
        <v>5544</v>
      </c>
      <c r="F1386" s="69" t="s">
        <v>6256</v>
      </c>
      <c r="I1386" s="2"/>
      <c r="K1386" s="82">
        <v>0.48459999999999998</v>
      </c>
      <c r="M1386" s="80"/>
    </row>
    <row r="1387" spans="1:44" ht="14.25" customHeight="1" x14ac:dyDescent="0.2">
      <c r="A1387" s="523">
        <v>42736</v>
      </c>
      <c r="B1387" s="80" t="s">
        <v>1794</v>
      </c>
      <c r="C1387" s="334" t="s">
        <v>1795</v>
      </c>
      <c r="D1387" s="1">
        <v>2.5891203703703704E-2</v>
      </c>
      <c r="E1387" s="80" t="s">
        <v>5439</v>
      </c>
      <c r="F1387" s="69" t="s">
        <v>6206</v>
      </c>
      <c r="I1387" s="2"/>
      <c r="K1387" s="82">
        <v>0.48499999999999999</v>
      </c>
      <c r="M1387" s="80"/>
    </row>
    <row r="1388" spans="1:44" ht="14.25" customHeight="1" x14ac:dyDescent="0.2">
      <c r="A1388" s="523">
        <v>43071</v>
      </c>
      <c r="B1388" s="951" t="s">
        <v>8869</v>
      </c>
      <c r="C1388" s="952" t="s">
        <v>8870</v>
      </c>
      <c r="D1388" s="1">
        <v>1.4965277777777779E-2</v>
      </c>
      <c r="E1388" s="80" t="s">
        <v>5544</v>
      </c>
      <c r="F1388" s="69" t="s">
        <v>8871</v>
      </c>
      <c r="I1388" s="2"/>
      <c r="K1388" s="82">
        <v>0.71309999999999996</v>
      </c>
      <c r="M1388" s="80" t="s">
        <v>4456</v>
      </c>
    </row>
    <row r="1389" spans="1:44" ht="14.25" customHeight="1" x14ac:dyDescent="0.2">
      <c r="A1389" s="523">
        <v>43071</v>
      </c>
      <c r="B1389" s="556" t="s">
        <v>431</v>
      </c>
      <c r="C1389" s="950" t="s">
        <v>433</v>
      </c>
      <c r="D1389" s="334" t="s">
        <v>787</v>
      </c>
      <c r="E1389" s="80" t="s">
        <v>5095</v>
      </c>
      <c r="F1389" s="69" t="s">
        <v>8864</v>
      </c>
      <c r="I1389" s="2"/>
      <c r="K1389" s="82"/>
    </row>
    <row r="1390" spans="1:44" ht="14.25" customHeight="1" x14ac:dyDescent="0.2">
      <c r="A1390" s="523">
        <v>43064</v>
      </c>
      <c r="B1390" s="869" t="s">
        <v>431</v>
      </c>
      <c r="C1390" s="903" t="s">
        <v>433</v>
      </c>
      <c r="D1390" s="1" t="s">
        <v>8828</v>
      </c>
      <c r="E1390" s="80" t="s">
        <v>5883</v>
      </c>
      <c r="F1390" s="69"/>
      <c r="I1390" s="2"/>
      <c r="K1390" s="82"/>
      <c r="M1390" s="80"/>
    </row>
    <row r="1391" spans="1:44" ht="14.25" customHeight="1" x14ac:dyDescent="0.2">
      <c r="A1391" s="523">
        <v>43043</v>
      </c>
      <c r="B1391" s="936" t="s">
        <v>431</v>
      </c>
      <c r="C1391" s="937" t="s">
        <v>433</v>
      </c>
      <c r="D1391" s="334" t="s">
        <v>787</v>
      </c>
      <c r="E1391" s="80" t="s">
        <v>5095</v>
      </c>
      <c r="F1391" s="69" t="s">
        <v>8768</v>
      </c>
      <c r="I1391" s="2"/>
      <c r="K1391" s="82"/>
    </row>
    <row r="1392" spans="1:44" ht="14.25" customHeight="1" x14ac:dyDescent="0.2">
      <c r="A1392" s="523">
        <v>43036</v>
      </c>
      <c r="B1392" s="934" t="s">
        <v>431</v>
      </c>
      <c r="C1392" s="935" t="s">
        <v>433</v>
      </c>
      <c r="D1392" s="1">
        <v>1.9317129629629629E-2</v>
      </c>
      <c r="E1392" s="80" t="s">
        <v>5095</v>
      </c>
      <c r="F1392" s="69" t="s">
        <v>521</v>
      </c>
      <c r="I1392" s="2"/>
      <c r="K1392" s="82">
        <v>0.58660000000000001</v>
      </c>
      <c r="M1392" s="80"/>
    </row>
    <row r="1393" spans="1:19" ht="14.25" customHeight="1" x14ac:dyDescent="0.2">
      <c r="A1393" s="523">
        <v>43022</v>
      </c>
      <c r="B1393" s="930" t="s">
        <v>431</v>
      </c>
      <c r="C1393" s="931" t="s">
        <v>433</v>
      </c>
      <c r="D1393" s="1">
        <v>2.0416666666666666E-2</v>
      </c>
      <c r="E1393" s="80" t="s">
        <v>1982</v>
      </c>
      <c r="F1393" s="69" t="s">
        <v>1243</v>
      </c>
      <c r="I1393" s="2"/>
      <c r="K1393" s="82">
        <v>0.55500000000000005</v>
      </c>
      <c r="M1393" s="80"/>
    </row>
    <row r="1394" spans="1:19" ht="14.25" customHeight="1" x14ac:dyDescent="0.2">
      <c r="A1394" s="523">
        <v>43015</v>
      </c>
      <c r="B1394" s="923" t="s">
        <v>431</v>
      </c>
      <c r="C1394" s="924" t="s">
        <v>433</v>
      </c>
      <c r="D1394" s="1">
        <v>2.4340277777777777E-2</v>
      </c>
      <c r="E1394" s="80" t="s">
        <v>5095</v>
      </c>
      <c r="F1394" s="69" t="s">
        <v>8626</v>
      </c>
      <c r="I1394" s="2"/>
      <c r="K1394" s="82">
        <v>0.46500000000000002</v>
      </c>
      <c r="M1394" s="80"/>
    </row>
    <row r="1395" spans="1:19" ht="14.25" customHeight="1" x14ac:dyDescent="0.2">
      <c r="A1395" s="523">
        <v>43001</v>
      </c>
      <c r="B1395" s="906" t="s">
        <v>431</v>
      </c>
      <c r="C1395" s="907" t="s">
        <v>433</v>
      </c>
      <c r="D1395" s="1">
        <v>1.8449074074074073E-2</v>
      </c>
      <c r="E1395" s="80" t="s">
        <v>6393</v>
      </c>
      <c r="F1395" s="69" t="s">
        <v>8122</v>
      </c>
      <c r="I1395" s="2"/>
      <c r="K1395" s="82">
        <v>0.61419999999999997</v>
      </c>
    </row>
    <row r="1396" spans="1:19" ht="14.25" customHeight="1" x14ac:dyDescent="0.2">
      <c r="A1396" s="523">
        <v>42994</v>
      </c>
      <c r="B1396" s="869" t="s">
        <v>431</v>
      </c>
      <c r="C1396" s="903" t="s">
        <v>433</v>
      </c>
      <c r="D1396" s="1">
        <v>2.0185185185185184E-2</v>
      </c>
      <c r="E1396" s="80" t="s">
        <v>5095</v>
      </c>
      <c r="F1396" s="69" t="s">
        <v>1472</v>
      </c>
      <c r="I1396" s="2"/>
      <c r="K1396" s="82">
        <v>0.56069999999999998</v>
      </c>
    </row>
    <row r="1397" spans="1:19" ht="14.25" customHeight="1" x14ac:dyDescent="0.2">
      <c r="A1397" s="523">
        <v>42987</v>
      </c>
      <c r="B1397" s="532" t="s">
        <v>431</v>
      </c>
      <c r="C1397" s="843" t="s">
        <v>433</v>
      </c>
      <c r="D1397" s="1">
        <v>1.9004629629629632E-2</v>
      </c>
      <c r="E1397" s="80" t="s">
        <v>5095</v>
      </c>
      <c r="F1397" s="69" t="s">
        <v>624</v>
      </c>
      <c r="I1397" s="2"/>
      <c r="K1397" s="82">
        <v>0.59619999999999995</v>
      </c>
      <c r="M1397" s="80"/>
    </row>
    <row r="1398" spans="1:19" ht="14.25" customHeight="1" x14ac:dyDescent="0.2">
      <c r="A1398" s="523">
        <v>42980</v>
      </c>
      <c r="B1398" s="837" t="s">
        <v>431</v>
      </c>
      <c r="C1398" s="842" t="s">
        <v>433</v>
      </c>
      <c r="D1398" s="1">
        <v>2.2928240740740739E-2</v>
      </c>
      <c r="E1398" s="80" t="s">
        <v>5095</v>
      </c>
      <c r="F1398" s="69" t="s">
        <v>8476</v>
      </c>
      <c r="I1398" s="2"/>
      <c r="K1398" s="82">
        <v>0.49419999999999997</v>
      </c>
      <c r="M1398" s="80"/>
    </row>
    <row r="1399" spans="1:19" ht="14.25" customHeight="1" x14ac:dyDescent="0.2">
      <c r="A1399" s="523">
        <v>42973</v>
      </c>
      <c r="B1399" s="862" t="s">
        <v>431</v>
      </c>
      <c r="C1399" s="863" t="s">
        <v>433</v>
      </c>
      <c r="D1399" s="1">
        <v>2.0416666666666666E-2</v>
      </c>
      <c r="E1399" s="80" t="s">
        <v>5095</v>
      </c>
      <c r="F1399" s="69" t="s">
        <v>4953</v>
      </c>
      <c r="I1399" s="2"/>
      <c r="K1399" s="82">
        <v>0.55500000000000005</v>
      </c>
    </row>
    <row r="1400" spans="1:19" ht="14.25" customHeight="1" x14ac:dyDescent="0.2">
      <c r="A1400" s="523">
        <v>42966</v>
      </c>
      <c r="B1400" s="879" t="s">
        <v>431</v>
      </c>
      <c r="C1400" s="880" t="s">
        <v>433</v>
      </c>
      <c r="D1400" s="1">
        <v>2.0798611111111111E-2</v>
      </c>
      <c r="E1400" s="80" t="s">
        <v>5095</v>
      </c>
      <c r="F1400" s="69" t="s">
        <v>6012</v>
      </c>
      <c r="I1400" s="2"/>
      <c r="K1400" s="82">
        <v>0.54479999999999995</v>
      </c>
    </row>
    <row r="1401" spans="1:19" ht="14.25" customHeight="1" x14ac:dyDescent="0.2">
      <c r="A1401" s="523">
        <v>42959</v>
      </c>
      <c r="B1401" s="866" t="s">
        <v>431</v>
      </c>
      <c r="C1401" s="867" t="s">
        <v>433</v>
      </c>
      <c r="D1401" s="1">
        <v>1.9664351851851853E-2</v>
      </c>
      <c r="E1401" s="80" t="s">
        <v>5095</v>
      </c>
      <c r="F1401" s="69" t="s">
        <v>8358</v>
      </c>
      <c r="I1401" s="2"/>
      <c r="K1401" s="82">
        <v>0.57620000000000005</v>
      </c>
      <c r="M1401" s="80"/>
    </row>
    <row r="1402" spans="1:19" ht="14.25" customHeight="1" x14ac:dyDescent="0.2">
      <c r="A1402" s="523">
        <v>42952</v>
      </c>
      <c r="B1402" s="862" t="s">
        <v>431</v>
      </c>
      <c r="C1402" s="863" t="s">
        <v>433</v>
      </c>
      <c r="D1402" s="1">
        <v>0</v>
      </c>
      <c r="E1402" s="80" t="s">
        <v>5095</v>
      </c>
      <c r="F1402" s="69" t="s">
        <v>8327</v>
      </c>
      <c r="I1402" s="2"/>
      <c r="K1402" s="82"/>
    </row>
    <row r="1403" spans="1:19" ht="14.25" customHeight="1" x14ac:dyDescent="0.2">
      <c r="A1403" s="523">
        <v>42945</v>
      </c>
      <c r="B1403" s="568" t="s">
        <v>431</v>
      </c>
      <c r="C1403" s="861" t="s">
        <v>433</v>
      </c>
      <c r="D1403" s="1">
        <v>1.9363425925925926E-2</v>
      </c>
      <c r="E1403" s="80" t="s">
        <v>5095</v>
      </c>
      <c r="F1403" s="69" t="s">
        <v>8282</v>
      </c>
      <c r="I1403" s="2"/>
      <c r="K1403" s="82">
        <v>0.58520000000000005</v>
      </c>
      <c r="M1403" s="80"/>
    </row>
    <row r="1404" spans="1:19" ht="14.25" customHeight="1" x14ac:dyDescent="0.2">
      <c r="A1404" s="523">
        <v>42938</v>
      </c>
      <c r="B1404" s="532" t="s">
        <v>431</v>
      </c>
      <c r="C1404" s="843" t="s">
        <v>433</v>
      </c>
      <c r="D1404" s="1">
        <v>1.9050925925925926E-2</v>
      </c>
      <c r="E1404" s="80" t="s">
        <v>5095</v>
      </c>
      <c r="F1404" s="69" t="s">
        <v>8226</v>
      </c>
      <c r="I1404" s="2"/>
      <c r="K1404" s="82">
        <v>0.5948</v>
      </c>
      <c r="M1404" s="80"/>
    </row>
    <row r="1405" spans="1:19" ht="14.25" customHeight="1" x14ac:dyDescent="0.2">
      <c r="A1405" s="34">
        <v>42924</v>
      </c>
      <c r="B1405" s="80" t="s">
        <v>431</v>
      </c>
      <c r="C1405" s="334" t="s">
        <v>433</v>
      </c>
      <c r="D1405" s="1">
        <v>1.96875E-2</v>
      </c>
      <c r="E1405" s="80" t="s">
        <v>5095</v>
      </c>
      <c r="F1405" s="69" t="s">
        <v>7743</v>
      </c>
      <c r="I1405" s="2"/>
      <c r="K1405" s="82">
        <v>0.57550000000000001</v>
      </c>
      <c r="S1405" s="80"/>
    </row>
    <row r="1406" spans="1:19" ht="14.25" customHeight="1" x14ac:dyDescent="0.2">
      <c r="A1406" s="523">
        <v>42917</v>
      </c>
      <c r="B1406" s="80" t="s">
        <v>431</v>
      </c>
      <c r="C1406" s="334" t="s">
        <v>433</v>
      </c>
      <c r="D1406" s="1">
        <v>2.0405092592592593E-2</v>
      </c>
      <c r="E1406" s="80" t="s">
        <v>5095</v>
      </c>
      <c r="F1406" s="69" t="s">
        <v>2470</v>
      </c>
      <c r="I1406" s="2"/>
      <c r="K1406" s="82">
        <v>0.55530000000000002</v>
      </c>
    </row>
    <row r="1407" spans="1:19" ht="14.25" customHeight="1" x14ac:dyDescent="0.2">
      <c r="A1407" s="523">
        <v>42910</v>
      </c>
      <c r="B1407" s="80" t="s">
        <v>431</v>
      </c>
      <c r="C1407" s="334" t="s">
        <v>433</v>
      </c>
      <c r="D1407" s="1">
        <v>1.9375E-2</v>
      </c>
      <c r="E1407" s="80" t="s">
        <v>5095</v>
      </c>
      <c r="F1407" s="69" t="s">
        <v>3103</v>
      </c>
      <c r="I1407" s="2"/>
      <c r="K1407" s="82">
        <v>0.58479999999999999</v>
      </c>
      <c r="M1407" s="80"/>
    </row>
    <row r="1408" spans="1:19" ht="14.25" customHeight="1" x14ac:dyDescent="0.2">
      <c r="A1408" s="523">
        <v>42903</v>
      </c>
      <c r="B1408" s="80" t="s">
        <v>431</v>
      </c>
      <c r="C1408" s="334" t="s">
        <v>433</v>
      </c>
      <c r="D1408" s="1">
        <v>2.1076388888888891E-2</v>
      </c>
      <c r="E1408" s="80" t="s">
        <v>5095</v>
      </c>
      <c r="F1408" s="69" t="s">
        <v>8058</v>
      </c>
      <c r="I1408" s="2"/>
      <c r="K1408" s="82">
        <v>0.53759999999999997</v>
      </c>
      <c r="M1408" s="80"/>
    </row>
    <row r="1409" spans="1:13" ht="14.25" customHeight="1" x14ac:dyDescent="0.2">
      <c r="A1409" s="523">
        <v>42889</v>
      </c>
      <c r="B1409" s="80" t="s">
        <v>431</v>
      </c>
      <c r="C1409" s="334" t="s">
        <v>433</v>
      </c>
      <c r="D1409" s="334">
        <v>1.9768518518518515E-2</v>
      </c>
      <c r="E1409" s="80" t="s">
        <v>5095</v>
      </c>
      <c r="F1409" s="69" t="s">
        <v>7978</v>
      </c>
      <c r="I1409" s="2"/>
      <c r="K1409" s="82">
        <v>0.57320000000000004</v>
      </c>
      <c r="M1409" s="80"/>
    </row>
    <row r="1410" spans="1:13" ht="14.25" customHeight="1" x14ac:dyDescent="0.2">
      <c r="A1410" s="523">
        <v>42882</v>
      </c>
      <c r="B1410" s="80" t="s">
        <v>431</v>
      </c>
      <c r="C1410" s="334" t="s">
        <v>433</v>
      </c>
      <c r="D1410" s="1">
        <v>1.9953703703703706E-2</v>
      </c>
      <c r="E1410" s="80" t="s">
        <v>5095</v>
      </c>
      <c r="F1410" s="69" t="s">
        <v>7955</v>
      </c>
      <c r="I1410" s="2"/>
      <c r="K1410" s="82">
        <v>0.56789999999999996</v>
      </c>
      <c r="M1410" s="80"/>
    </row>
    <row r="1411" spans="1:13" ht="14.25" customHeight="1" x14ac:dyDescent="0.2">
      <c r="A1411" s="523">
        <v>42875</v>
      </c>
      <c r="B1411" s="80" t="s">
        <v>431</v>
      </c>
      <c r="C1411" s="334" t="s">
        <v>433</v>
      </c>
      <c r="D1411" s="1">
        <v>2.148148148148148E-2</v>
      </c>
      <c r="E1411" s="80" t="s">
        <v>5095</v>
      </c>
      <c r="F1411" s="69" t="s">
        <v>4493</v>
      </c>
      <c r="I1411" s="2"/>
      <c r="K1411" s="82">
        <v>0.53320000000000001</v>
      </c>
      <c r="M1411" s="80"/>
    </row>
    <row r="1412" spans="1:13" ht="14.25" customHeight="1" x14ac:dyDescent="0.2">
      <c r="A1412" s="523">
        <v>42868</v>
      </c>
      <c r="B1412" s="80" t="s">
        <v>431</v>
      </c>
      <c r="C1412" s="334" t="s">
        <v>433</v>
      </c>
      <c r="D1412" s="1">
        <v>2.0509259259259258E-2</v>
      </c>
      <c r="E1412" s="80" t="s">
        <v>5095</v>
      </c>
      <c r="F1412" s="69" t="s">
        <v>7877</v>
      </c>
      <c r="I1412" s="2"/>
      <c r="K1412" s="82">
        <v>0.55249999999999999</v>
      </c>
      <c r="M1412" s="80"/>
    </row>
    <row r="1413" spans="1:13" ht="14.25" customHeight="1" x14ac:dyDescent="0.2">
      <c r="A1413" s="523">
        <v>42854</v>
      </c>
      <c r="B1413" s="80" t="s">
        <v>431</v>
      </c>
      <c r="C1413" s="334" t="s">
        <v>433</v>
      </c>
      <c r="D1413" s="1">
        <v>2.0659722222222222E-2</v>
      </c>
      <c r="E1413" s="80" t="s">
        <v>5947</v>
      </c>
      <c r="F1413" s="69" t="s">
        <v>7818</v>
      </c>
      <c r="I1413" s="2"/>
      <c r="K1413" s="82">
        <v>0.54884999999999995</v>
      </c>
      <c r="M1413" s="80" t="s">
        <v>8680</v>
      </c>
    </row>
    <row r="1414" spans="1:13" ht="14.25" customHeight="1" x14ac:dyDescent="0.2">
      <c r="A1414" s="523">
        <v>42847</v>
      </c>
      <c r="B1414" s="80" t="s">
        <v>431</v>
      </c>
      <c r="C1414" s="334" t="s">
        <v>433</v>
      </c>
      <c r="D1414" s="1">
        <v>2.0787037037037038E-2</v>
      </c>
      <c r="E1414" s="80" t="s">
        <v>5456</v>
      </c>
      <c r="F1414" s="69" t="s">
        <v>7801</v>
      </c>
      <c r="I1414" s="2"/>
      <c r="K1414" s="82">
        <v>0.54510000000000003</v>
      </c>
      <c r="M1414" s="80"/>
    </row>
    <row r="1415" spans="1:13" ht="14.25" customHeight="1" x14ac:dyDescent="0.2">
      <c r="A1415" s="523">
        <v>42840</v>
      </c>
      <c r="B1415" s="80" t="s">
        <v>431</v>
      </c>
      <c r="C1415" s="334" t="s">
        <v>433</v>
      </c>
      <c r="D1415" s="1">
        <v>2.0393518518518519E-2</v>
      </c>
      <c r="E1415" t="s">
        <v>5095</v>
      </c>
      <c r="F1415" s="69" t="s">
        <v>2352</v>
      </c>
      <c r="I1415" s="2"/>
      <c r="K1415" s="82">
        <v>0.55559999999999998</v>
      </c>
      <c r="M1415" s="80"/>
    </row>
    <row r="1416" spans="1:13" ht="14.25" customHeight="1" x14ac:dyDescent="0.2">
      <c r="A1416" s="523">
        <v>42833</v>
      </c>
      <c r="B1416" s="80" t="s">
        <v>431</v>
      </c>
      <c r="C1416" s="334" t="s">
        <v>433</v>
      </c>
      <c r="D1416" s="1">
        <v>2.1122685185185185E-2</v>
      </c>
      <c r="E1416" s="80" t="s">
        <v>5095</v>
      </c>
      <c r="F1416" s="69" t="s">
        <v>7731</v>
      </c>
      <c r="I1416" s="2"/>
      <c r="K1416" s="82">
        <v>0.53639999999999999</v>
      </c>
      <c r="M1416" s="80"/>
    </row>
    <row r="1417" spans="1:13" ht="14.25" customHeight="1" x14ac:dyDescent="0.2">
      <c r="A1417" s="33">
        <v>42826</v>
      </c>
      <c r="B1417" s="80" t="s">
        <v>431</v>
      </c>
      <c r="C1417" s="334" t="s">
        <v>433</v>
      </c>
      <c r="D1417" s="80" t="s">
        <v>787</v>
      </c>
      <c r="E1417" s="80" t="s">
        <v>5095</v>
      </c>
      <c r="F1417" s="69" t="s">
        <v>7693</v>
      </c>
      <c r="G1417" s="5"/>
      <c r="H1417" s="2"/>
      <c r="I1417" s="2"/>
      <c r="M1417" s="80"/>
    </row>
    <row r="1418" spans="1:13" ht="14.25" customHeight="1" x14ac:dyDescent="0.2">
      <c r="A1418" s="523">
        <v>42826</v>
      </c>
      <c r="B1418" s="80" t="s">
        <v>7676</v>
      </c>
      <c r="C1418" s="334" t="s">
        <v>7718</v>
      </c>
      <c r="D1418" s="1">
        <v>1.3530092592592594E-2</v>
      </c>
      <c r="E1418" s="80" t="s">
        <v>1569</v>
      </c>
      <c r="F1418" s="69" t="s">
        <v>7719</v>
      </c>
      <c r="I1418" s="2"/>
      <c r="K1418" s="82">
        <v>0.69030000000000002</v>
      </c>
    </row>
    <row r="1419" spans="1:13" ht="14.25" customHeight="1" x14ac:dyDescent="0.2">
      <c r="A1419" s="523">
        <v>43085</v>
      </c>
      <c r="B1419" s="601" t="s">
        <v>5788</v>
      </c>
      <c r="C1419" s="958" t="s">
        <v>5789</v>
      </c>
      <c r="D1419" s="1">
        <v>2.9270833333333333E-2</v>
      </c>
      <c r="E1419" s="80" t="s">
        <v>2464</v>
      </c>
      <c r="F1419" s="69" t="s">
        <v>2500</v>
      </c>
      <c r="I1419" s="2"/>
      <c r="K1419" s="82">
        <v>0.48830000000000001</v>
      </c>
      <c r="M1419" s="80"/>
    </row>
    <row r="1420" spans="1:13" ht="14.25" customHeight="1" x14ac:dyDescent="0.2">
      <c r="A1420" s="523">
        <v>43078</v>
      </c>
      <c r="B1420" s="879" t="s">
        <v>5788</v>
      </c>
      <c r="C1420" s="880" t="s">
        <v>5789</v>
      </c>
      <c r="D1420" s="1">
        <v>2.2847222222222224E-2</v>
      </c>
      <c r="E1420" s="80" t="s">
        <v>2464</v>
      </c>
      <c r="F1420" s="69" t="s">
        <v>8916</v>
      </c>
      <c r="I1420" s="2"/>
      <c r="K1420" s="82">
        <v>0.62560000000000004</v>
      </c>
    </row>
    <row r="1421" spans="1:13" ht="14.25" customHeight="1" x14ac:dyDescent="0.2">
      <c r="A1421" s="523">
        <v>43064</v>
      </c>
      <c r="B1421" s="869" t="s">
        <v>5788</v>
      </c>
      <c r="C1421" s="903" t="s">
        <v>5789</v>
      </c>
      <c r="D1421" s="1">
        <v>2.2928240740740739E-2</v>
      </c>
      <c r="E1421" s="80" t="s">
        <v>355</v>
      </c>
      <c r="F1421" s="69" t="s">
        <v>4960</v>
      </c>
      <c r="I1421" s="2"/>
      <c r="K1421" s="82">
        <v>0.62339999999999995</v>
      </c>
    </row>
    <row r="1422" spans="1:13" ht="14.25" customHeight="1" x14ac:dyDescent="0.2">
      <c r="A1422" s="523">
        <v>43050</v>
      </c>
      <c r="B1422" s="532" t="s">
        <v>5788</v>
      </c>
      <c r="C1422" s="843" t="s">
        <v>5789</v>
      </c>
      <c r="D1422" s="1">
        <v>2.3807870370370368E-2</v>
      </c>
      <c r="E1422" s="80" t="s">
        <v>2464</v>
      </c>
      <c r="F1422" s="69" t="s">
        <v>8778</v>
      </c>
      <c r="I1422" s="2"/>
      <c r="K1422" s="82">
        <v>0.60040000000000004</v>
      </c>
      <c r="M1422" s="80"/>
    </row>
    <row r="1423" spans="1:13" ht="14.25" customHeight="1" x14ac:dyDescent="0.2">
      <c r="A1423" s="523">
        <v>43043</v>
      </c>
      <c r="B1423" s="936" t="s">
        <v>5788</v>
      </c>
      <c r="C1423" s="937" t="s">
        <v>5789</v>
      </c>
      <c r="D1423" s="1">
        <v>2.164351851851852E-2</v>
      </c>
      <c r="E1423" s="80" t="s">
        <v>2464</v>
      </c>
      <c r="F1423" s="69" t="s">
        <v>2540</v>
      </c>
      <c r="I1423" s="2"/>
      <c r="K1423" s="82">
        <v>0.66039999999999999</v>
      </c>
    </row>
    <row r="1424" spans="1:13" ht="14.25" customHeight="1" x14ac:dyDescent="0.2">
      <c r="A1424" s="523">
        <v>43036</v>
      </c>
      <c r="B1424" s="934" t="s">
        <v>5788</v>
      </c>
      <c r="C1424" s="935" t="s">
        <v>5789</v>
      </c>
      <c r="D1424" s="1">
        <v>2.1145833333333332E-2</v>
      </c>
      <c r="E1424" s="80" t="s">
        <v>2464</v>
      </c>
      <c r="F1424" s="69" t="s">
        <v>8752</v>
      </c>
      <c r="I1424" s="2"/>
      <c r="K1424" s="82">
        <v>0.67600000000000005</v>
      </c>
      <c r="M1424" s="80"/>
    </row>
    <row r="1425" spans="1:13" ht="14.25" customHeight="1" x14ac:dyDescent="0.2">
      <c r="A1425" s="523">
        <v>43022</v>
      </c>
      <c r="B1425" s="930" t="s">
        <v>5788</v>
      </c>
      <c r="C1425" s="931" t="s">
        <v>5789</v>
      </c>
      <c r="D1425" s="1">
        <v>2.2291666666666668E-2</v>
      </c>
      <c r="E1425" s="80" t="s">
        <v>2464</v>
      </c>
      <c r="F1425" s="69" t="s">
        <v>8698</v>
      </c>
      <c r="I1425" s="2"/>
      <c r="K1425" s="82">
        <v>0.64119999999999999</v>
      </c>
    </row>
    <row r="1426" spans="1:13" ht="14.25" customHeight="1" x14ac:dyDescent="0.2">
      <c r="A1426" s="523">
        <v>43008</v>
      </c>
      <c r="B1426" s="532" t="s">
        <v>5788</v>
      </c>
      <c r="C1426" s="843" t="s">
        <v>5789</v>
      </c>
      <c r="D1426" s="1">
        <v>2.9594907407407407E-2</v>
      </c>
      <c r="E1426" s="80" t="s">
        <v>2464</v>
      </c>
      <c r="F1426" s="69" t="s">
        <v>8612</v>
      </c>
      <c r="I1426" s="2"/>
      <c r="K1426" s="82">
        <v>0.48299999999999998</v>
      </c>
    </row>
    <row r="1427" spans="1:13" ht="14.25" customHeight="1" x14ac:dyDescent="0.2">
      <c r="A1427" s="523">
        <v>43001</v>
      </c>
      <c r="B1427" s="906" t="s">
        <v>5788</v>
      </c>
      <c r="C1427" s="907" t="s">
        <v>5789</v>
      </c>
      <c r="D1427" s="1">
        <v>2.1921296296296296E-2</v>
      </c>
      <c r="E1427" s="80" t="s">
        <v>2464</v>
      </c>
      <c r="F1427" s="69" t="s">
        <v>8555</v>
      </c>
      <c r="I1427" s="2"/>
      <c r="K1427" s="82">
        <v>0.65210000000000001</v>
      </c>
      <c r="M1427" s="80"/>
    </row>
    <row r="1428" spans="1:13" ht="14.25" customHeight="1" x14ac:dyDescent="0.2">
      <c r="A1428" s="523">
        <v>42994</v>
      </c>
      <c r="B1428" s="80" t="s">
        <v>5788</v>
      </c>
      <c r="C1428" s="334" t="s">
        <v>5789</v>
      </c>
      <c r="D1428" s="334" t="s">
        <v>787</v>
      </c>
      <c r="E1428" s="80" t="s">
        <v>2464</v>
      </c>
      <c r="F1428" s="69" t="s">
        <v>4061</v>
      </c>
      <c r="I1428" s="2"/>
      <c r="K1428" s="82"/>
      <c r="M1428" s="80"/>
    </row>
    <row r="1429" spans="1:13" ht="14.25" customHeight="1" x14ac:dyDescent="0.2">
      <c r="A1429" s="523">
        <v>42987</v>
      </c>
      <c r="B1429" s="532" t="s">
        <v>5788</v>
      </c>
      <c r="C1429" s="843" t="s">
        <v>5789</v>
      </c>
      <c r="D1429" s="1">
        <v>2.210648148148148E-2</v>
      </c>
      <c r="E1429" s="80" t="s">
        <v>2464</v>
      </c>
      <c r="F1429" s="69" t="s">
        <v>3827</v>
      </c>
      <c r="I1429" s="2"/>
      <c r="K1429" s="82">
        <v>0.64659999999999995</v>
      </c>
      <c r="M1429" s="80"/>
    </row>
    <row r="1430" spans="1:13" x14ac:dyDescent="0.2">
      <c r="A1430" s="523">
        <v>42980</v>
      </c>
      <c r="B1430" s="837" t="s">
        <v>5788</v>
      </c>
      <c r="C1430" s="842" t="s">
        <v>5789</v>
      </c>
      <c r="D1430" s="1">
        <v>2.210648148148148E-2</v>
      </c>
      <c r="E1430" s="80" t="s">
        <v>2464</v>
      </c>
      <c r="F1430" s="69" t="s">
        <v>8486</v>
      </c>
      <c r="I1430" s="2"/>
      <c r="K1430" s="82">
        <v>0.64659999999999995</v>
      </c>
      <c r="M1430" s="80"/>
    </row>
    <row r="1431" spans="1:13" ht="14.25" customHeight="1" x14ac:dyDescent="0.2">
      <c r="A1431" s="523">
        <v>42973</v>
      </c>
      <c r="B1431" s="862" t="s">
        <v>5788</v>
      </c>
      <c r="C1431" s="863" t="s">
        <v>5789</v>
      </c>
      <c r="D1431" s="1">
        <v>2.4837962962962964E-2</v>
      </c>
      <c r="E1431" s="80" t="s">
        <v>2464</v>
      </c>
      <c r="F1431" s="69" t="s">
        <v>8433</v>
      </c>
      <c r="I1431" s="2"/>
      <c r="K1431" s="82">
        <v>0.57550000000000001</v>
      </c>
      <c r="M1431" s="80"/>
    </row>
    <row r="1432" spans="1:13" x14ac:dyDescent="0.2">
      <c r="A1432" s="523">
        <v>42966</v>
      </c>
      <c r="B1432" s="879" t="s">
        <v>5788</v>
      </c>
      <c r="C1432" s="880" t="s">
        <v>5789</v>
      </c>
      <c r="D1432" s="1">
        <v>2.2476851851851855E-2</v>
      </c>
      <c r="E1432" s="80" t="s">
        <v>2464</v>
      </c>
      <c r="F1432" s="69" t="s">
        <v>8406</v>
      </c>
      <c r="I1432" s="2"/>
      <c r="K1432" s="82">
        <v>0.63590000000000002</v>
      </c>
      <c r="M1432" s="80"/>
    </row>
    <row r="1433" spans="1:13" ht="14.25" customHeight="1" x14ac:dyDescent="0.2">
      <c r="A1433" s="523">
        <v>42938</v>
      </c>
      <c r="B1433" s="532" t="s">
        <v>5788</v>
      </c>
      <c r="C1433" s="843" t="s">
        <v>5789</v>
      </c>
      <c r="D1433" s="1">
        <v>2.2418981481481481E-2</v>
      </c>
      <c r="E1433" s="80" t="s">
        <v>2464</v>
      </c>
      <c r="F1433" s="69" t="s">
        <v>2356</v>
      </c>
      <c r="I1433" s="2"/>
      <c r="K1433" s="82">
        <v>0.62970000000000004</v>
      </c>
      <c r="M1433" s="80"/>
    </row>
    <row r="1434" spans="1:13" ht="14.25" customHeight="1" x14ac:dyDescent="0.2">
      <c r="A1434" s="523">
        <v>42931</v>
      </c>
      <c r="B1434" s="837" t="s">
        <v>5788</v>
      </c>
      <c r="C1434" s="842" t="s">
        <v>5789</v>
      </c>
      <c r="D1434" s="1">
        <v>2.1840277777777778E-2</v>
      </c>
      <c r="E1434" s="80" t="s">
        <v>2464</v>
      </c>
      <c r="F1434" s="69" t="s">
        <v>2358</v>
      </c>
      <c r="I1434" s="2"/>
      <c r="K1434" s="82">
        <v>0.64439999999999997</v>
      </c>
      <c r="M1434" s="80"/>
    </row>
    <row r="1435" spans="1:13" ht="14.25" customHeight="1" x14ac:dyDescent="0.2">
      <c r="A1435" s="523">
        <v>42917</v>
      </c>
      <c r="B1435" s="80" t="s">
        <v>5788</v>
      </c>
      <c r="C1435" s="334" t="s">
        <v>5789</v>
      </c>
      <c r="D1435" s="1">
        <v>2.2002314814814818E-2</v>
      </c>
      <c r="E1435" s="80" t="s">
        <v>2464</v>
      </c>
      <c r="F1435" s="69" t="s">
        <v>876</v>
      </c>
      <c r="I1435" s="2"/>
      <c r="K1435" s="82">
        <v>0.63970000000000005</v>
      </c>
      <c r="M1435" s="80" t="s">
        <v>8767</v>
      </c>
    </row>
    <row r="1436" spans="1:13" ht="14.25" customHeight="1" x14ac:dyDescent="0.2">
      <c r="A1436" s="523">
        <v>42903</v>
      </c>
      <c r="B1436" s="80" t="s">
        <v>5788</v>
      </c>
      <c r="C1436" s="334" t="s">
        <v>5789</v>
      </c>
      <c r="D1436" s="1">
        <v>2.3113425925925926E-2</v>
      </c>
      <c r="E1436" s="80" t="s">
        <v>2464</v>
      </c>
      <c r="F1436" s="69" t="s">
        <v>8081</v>
      </c>
      <c r="I1436" s="2"/>
      <c r="K1436" s="82">
        <v>0.6089</v>
      </c>
      <c r="M1436" s="80"/>
    </row>
    <row r="1437" spans="1:13" ht="14.25" customHeight="1" x14ac:dyDescent="0.2">
      <c r="A1437" s="523">
        <v>42882</v>
      </c>
      <c r="B1437" s="80" t="s">
        <v>5788</v>
      </c>
      <c r="C1437" s="334" t="s">
        <v>5789</v>
      </c>
      <c r="D1437" s="1">
        <v>2.4039351851851853E-2</v>
      </c>
      <c r="E1437" s="80" t="s">
        <v>2464</v>
      </c>
      <c r="F1437" s="69" t="s">
        <v>4471</v>
      </c>
      <c r="I1437" s="2"/>
      <c r="K1437" s="82">
        <v>0.58550000000000002</v>
      </c>
      <c r="M1437" s="80"/>
    </row>
    <row r="1438" spans="1:13" ht="14.25" customHeight="1" x14ac:dyDescent="0.2">
      <c r="A1438" s="523">
        <v>42875</v>
      </c>
      <c r="B1438" s="80" t="s">
        <v>5788</v>
      </c>
      <c r="C1438" s="334" t="s">
        <v>5789</v>
      </c>
      <c r="D1438" s="1">
        <v>2.5335648148148149E-2</v>
      </c>
      <c r="E1438" s="80" t="s">
        <v>2464</v>
      </c>
      <c r="F1438" s="69" t="s">
        <v>7935</v>
      </c>
      <c r="I1438" s="2"/>
      <c r="K1438" s="82">
        <v>0.55549999999999999</v>
      </c>
      <c r="M1438" s="80"/>
    </row>
    <row r="1439" spans="1:13" ht="14.25" customHeight="1" x14ac:dyDescent="0.2">
      <c r="A1439" s="523">
        <v>42840</v>
      </c>
      <c r="B1439" s="53" t="s">
        <v>5788</v>
      </c>
      <c r="C1439" s="54" t="s">
        <v>5789</v>
      </c>
      <c r="D1439" s="1">
        <v>2.5405092592592594E-2</v>
      </c>
      <c r="E1439" s="80" t="s">
        <v>2464</v>
      </c>
      <c r="F1439" s="69" t="s">
        <v>7789</v>
      </c>
      <c r="I1439" s="2"/>
      <c r="K1439" s="82">
        <v>0.55400000000000005</v>
      </c>
      <c r="M1439" s="80"/>
    </row>
    <row r="1440" spans="1:13" ht="14.25" customHeight="1" x14ac:dyDescent="0.2">
      <c r="A1440" s="523">
        <v>43057</v>
      </c>
      <c r="B1440" s="940" t="s">
        <v>4578</v>
      </c>
      <c r="C1440" s="941" t="s">
        <v>4579</v>
      </c>
      <c r="D1440" s="1">
        <v>1.7708333333333333E-2</v>
      </c>
      <c r="E1440" s="80" t="s">
        <v>5544</v>
      </c>
      <c r="F1440" s="69" t="s">
        <v>8795</v>
      </c>
      <c r="I1440" s="2"/>
      <c r="K1440" s="82">
        <v>0.59609999999999996</v>
      </c>
      <c r="M1440" s="80"/>
    </row>
    <row r="1441" spans="1:13" ht="14.25" customHeight="1" x14ac:dyDescent="0.2">
      <c r="A1441" s="523">
        <v>42987</v>
      </c>
      <c r="B1441" s="532" t="s">
        <v>3398</v>
      </c>
      <c r="C1441" s="843" t="s">
        <v>8493</v>
      </c>
      <c r="D1441" s="1">
        <v>1.6620370370370372E-2</v>
      </c>
      <c r="E1441" s="80" t="s">
        <v>5948</v>
      </c>
      <c r="F1441" s="97" t="s">
        <v>8494</v>
      </c>
      <c r="G1441" s="2"/>
      <c r="I1441" s="2"/>
      <c r="K1441" s="82">
        <v>0.61140000000000005</v>
      </c>
      <c r="M1441" s="80"/>
    </row>
    <row r="1442" spans="1:13" ht="14.25" customHeight="1" x14ac:dyDescent="0.2">
      <c r="A1442" s="523">
        <v>43099</v>
      </c>
      <c r="B1442" s="80" t="s">
        <v>503</v>
      </c>
      <c r="C1442" s="334" t="s">
        <v>504</v>
      </c>
      <c r="D1442" s="334" t="s">
        <v>787</v>
      </c>
      <c r="E1442" s="80" t="s">
        <v>5198</v>
      </c>
      <c r="F1442" s="69" t="s">
        <v>4061</v>
      </c>
      <c r="I1442" s="2"/>
      <c r="K1442" s="82"/>
    </row>
    <row r="1443" spans="1:13" ht="14.25" customHeight="1" x14ac:dyDescent="0.2">
      <c r="A1443" s="523">
        <v>43092</v>
      </c>
      <c r="B1443" s="568" t="s">
        <v>503</v>
      </c>
      <c r="C1443" s="861" t="s">
        <v>504</v>
      </c>
      <c r="D1443" s="334" t="s">
        <v>787</v>
      </c>
      <c r="E1443" s="80" t="s">
        <v>5198</v>
      </c>
      <c r="F1443" s="69" t="s">
        <v>4061</v>
      </c>
      <c r="I1443" s="2"/>
      <c r="K1443" s="82"/>
    </row>
    <row r="1444" spans="1:13" ht="14.25" customHeight="1" x14ac:dyDescent="0.2">
      <c r="A1444" s="523">
        <v>43085</v>
      </c>
      <c r="B1444" s="80" t="s">
        <v>503</v>
      </c>
      <c r="C1444" s="334" t="s">
        <v>504</v>
      </c>
      <c r="D1444" s="334" t="s">
        <v>787</v>
      </c>
      <c r="E1444" s="80" t="s">
        <v>5198</v>
      </c>
      <c r="F1444" s="69" t="s">
        <v>4061</v>
      </c>
    </row>
    <row r="1445" spans="1:13" ht="14.25" customHeight="1" x14ac:dyDescent="0.2">
      <c r="A1445" s="523">
        <v>43057</v>
      </c>
      <c r="B1445" s="940" t="s">
        <v>503</v>
      </c>
      <c r="C1445" s="941" t="s">
        <v>504</v>
      </c>
      <c r="D1445" s="334" t="s">
        <v>787</v>
      </c>
      <c r="E1445" s="80" t="s">
        <v>5198</v>
      </c>
      <c r="F1445" s="69"/>
      <c r="I1445" s="2"/>
      <c r="K1445" s="82"/>
    </row>
    <row r="1446" spans="1:13" ht="14.25" customHeight="1" x14ac:dyDescent="0.2">
      <c r="A1446" s="523">
        <v>42952</v>
      </c>
      <c r="B1446" s="862" t="s">
        <v>503</v>
      </c>
      <c r="C1446" s="863" t="s">
        <v>504</v>
      </c>
      <c r="D1446" s="1">
        <v>0</v>
      </c>
      <c r="E1446" s="80" t="s">
        <v>5095</v>
      </c>
      <c r="F1446" s="69" t="s">
        <v>8327</v>
      </c>
      <c r="I1446" s="2"/>
      <c r="K1446" s="82"/>
    </row>
    <row r="1447" spans="1:13" ht="14.25" customHeight="1" x14ac:dyDescent="0.2">
      <c r="A1447" s="523">
        <v>42910</v>
      </c>
      <c r="B1447" s="80" t="s">
        <v>503</v>
      </c>
      <c r="C1447" s="334" t="s">
        <v>504</v>
      </c>
      <c r="D1447" s="334" t="s">
        <v>787</v>
      </c>
      <c r="E1447" s="80" t="s">
        <v>5198</v>
      </c>
      <c r="F1447" s="69" t="s">
        <v>4061</v>
      </c>
      <c r="I1447" s="2"/>
      <c r="K1447" s="82"/>
    </row>
    <row r="1448" spans="1:13" ht="14.25" customHeight="1" x14ac:dyDescent="0.2">
      <c r="A1448" s="523">
        <v>42868</v>
      </c>
      <c r="B1448" s="80" t="s">
        <v>503</v>
      </c>
      <c r="C1448" s="334" t="s">
        <v>504</v>
      </c>
      <c r="D1448" s="334" t="s">
        <v>787</v>
      </c>
      <c r="E1448" s="80" t="s">
        <v>5198</v>
      </c>
      <c r="F1448" s="69" t="s">
        <v>4061</v>
      </c>
      <c r="I1448" s="2"/>
      <c r="K1448" s="82"/>
    </row>
    <row r="1449" spans="1:13" ht="14.25" customHeight="1" x14ac:dyDescent="0.2">
      <c r="A1449" s="523">
        <v>42819</v>
      </c>
      <c r="B1449" t="s">
        <v>503</v>
      </c>
      <c r="C1449" s="334" t="s">
        <v>504</v>
      </c>
      <c r="D1449" s="334" t="s">
        <v>787</v>
      </c>
      <c r="E1449" s="80" t="s">
        <v>5198</v>
      </c>
      <c r="F1449" s="69" t="s">
        <v>4061</v>
      </c>
      <c r="I1449" s="2"/>
      <c r="K1449" s="82"/>
    </row>
    <row r="1450" spans="1:13" ht="14.25" customHeight="1" x14ac:dyDescent="0.2">
      <c r="A1450" s="523">
        <v>42812</v>
      </c>
      <c r="B1450" s="80" t="s">
        <v>503</v>
      </c>
      <c r="C1450" s="334" t="s">
        <v>504</v>
      </c>
      <c r="D1450" s="334" t="s">
        <v>787</v>
      </c>
      <c r="E1450" s="80" t="s">
        <v>5198</v>
      </c>
      <c r="F1450" s="69" t="s">
        <v>4061</v>
      </c>
      <c r="I1450" s="2"/>
      <c r="K1450" s="82"/>
      <c r="M1450" s="80"/>
    </row>
    <row r="1451" spans="1:13" ht="14.25" customHeight="1" x14ac:dyDescent="0.2">
      <c r="A1451" s="33">
        <v>42805</v>
      </c>
      <c r="B1451" s="80" t="s">
        <v>503</v>
      </c>
      <c r="C1451" s="334" t="s">
        <v>504</v>
      </c>
      <c r="D1451" s="334" t="s">
        <v>787</v>
      </c>
      <c r="E1451" s="80" t="s">
        <v>5198</v>
      </c>
      <c r="F1451" s="69" t="s">
        <v>4061</v>
      </c>
      <c r="I1451" s="2"/>
      <c r="K1451" s="82"/>
      <c r="M1451" s="80"/>
    </row>
    <row r="1452" spans="1:13" ht="14.25" customHeight="1" x14ac:dyDescent="0.2">
      <c r="A1452" s="523">
        <v>42798</v>
      </c>
      <c r="B1452" s="80" t="s">
        <v>503</v>
      </c>
      <c r="C1452" s="334" t="s">
        <v>504</v>
      </c>
      <c r="D1452" s="1" t="s">
        <v>787</v>
      </c>
      <c r="E1452" t="s">
        <v>5198</v>
      </c>
      <c r="F1452" s="69" t="s">
        <v>4061</v>
      </c>
      <c r="I1452" s="2"/>
      <c r="K1452" s="82"/>
      <c r="M1452" s="80"/>
    </row>
    <row r="1453" spans="1:13" ht="14.25" customHeight="1" x14ac:dyDescent="0.2">
      <c r="A1453" s="523">
        <v>42791</v>
      </c>
      <c r="B1453" s="80" t="s">
        <v>503</v>
      </c>
      <c r="C1453" s="334" t="s">
        <v>504</v>
      </c>
      <c r="D1453" s="1" t="s">
        <v>787</v>
      </c>
      <c r="E1453" s="80" t="s">
        <v>5198</v>
      </c>
      <c r="F1453" s="69"/>
      <c r="I1453" s="2"/>
      <c r="K1453" s="82"/>
    </row>
    <row r="1454" spans="1:13" ht="14.25" customHeight="1" x14ac:dyDescent="0.2">
      <c r="A1454" s="523">
        <v>42784</v>
      </c>
      <c r="B1454" s="80" t="s">
        <v>503</v>
      </c>
      <c r="C1454" s="334" t="s">
        <v>504</v>
      </c>
      <c r="D1454" s="334" t="s">
        <v>787</v>
      </c>
      <c r="E1454" s="80" t="s">
        <v>5198</v>
      </c>
      <c r="F1454" s="69" t="s">
        <v>4061</v>
      </c>
      <c r="I1454" s="2"/>
      <c r="K1454" s="82"/>
      <c r="M1454" s="80"/>
    </row>
    <row r="1455" spans="1:13" ht="14.25" customHeight="1" x14ac:dyDescent="0.2">
      <c r="A1455" s="33">
        <v>42763</v>
      </c>
      <c r="B1455" s="80" t="s">
        <v>503</v>
      </c>
      <c r="C1455" s="334" t="s">
        <v>504</v>
      </c>
      <c r="D1455" s="35">
        <v>4.1874999999999996E-2</v>
      </c>
      <c r="E1455" s="80" t="s">
        <v>5198</v>
      </c>
      <c r="F1455" s="69" t="s">
        <v>1815</v>
      </c>
      <c r="I1455" s="2"/>
      <c r="K1455" s="82">
        <v>0.495</v>
      </c>
      <c r="M1455" s="80"/>
    </row>
    <row r="1456" spans="1:13" ht="14.25" customHeight="1" x14ac:dyDescent="0.2">
      <c r="A1456" s="33">
        <v>42791</v>
      </c>
      <c r="B1456" s="80" t="s">
        <v>4977</v>
      </c>
      <c r="C1456" s="334" t="s">
        <v>3961</v>
      </c>
      <c r="D1456" s="1">
        <v>1.5092592592592593E-2</v>
      </c>
      <c r="E1456" s="80" t="s">
        <v>5337</v>
      </c>
      <c r="F1456" s="69" t="s">
        <v>9054</v>
      </c>
      <c r="I1456" s="2"/>
      <c r="K1456" s="82">
        <v>0.68100000000000005</v>
      </c>
      <c r="M1456" s="80" t="s">
        <v>9061</v>
      </c>
    </row>
    <row r="1457" spans="1:13" ht="14.25" customHeight="1" x14ac:dyDescent="0.2">
      <c r="A1457" s="523">
        <v>43036</v>
      </c>
      <c r="B1457" s="80" t="s">
        <v>4977</v>
      </c>
      <c r="C1457" s="334" t="s">
        <v>3961</v>
      </c>
      <c r="D1457" s="1">
        <v>1.5347222222222222E-2</v>
      </c>
      <c r="E1457" s="80" t="s">
        <v>5337</v>
      </c>
      <c r="F1457" s="69" t="s">
        <v>8910</v>
      </c>
      <c r="I1457" s="2"/>
      <c r="K1457" s="82">
        <v>0.66969999999999996</v>
      </c>
    </row>
    <row r="1458" spans="1:13" ht="14.25" customHeight="1" x14ac:dyDescent="0.2">
      <c r="A1458" s="33">
        <v>42742</v>
      </c>
      <c r="B1458" s="80" t="s">
        <v>4977</v>
      </c>
      <c r="C1458" s="334" t="s">
        <v>3961</v>
      </c>
      <c r="D1458" s="1">
        <v>1.4097222222222221E-2</v>
      </c>
      <c r="E1458" s="80" t="s">
        <v>563</v>
      </c>
      <c r="F1458" s="69" t="s">
        <v>6261</v>
      </c>
      <c r="I1458" s="2"/>
      <c r="K1458" s="82">
        <v>0.72909999999999997</v>
      </c>
    </row>
    <row r="1459" spans="1:13" ht="14.25" customHeight="1" x14ac:dyDescent="0.2">
      <c r="A1459" s="965">
        <v>43094</v>
      </c>
      <c r="B1459" s="962" t="s">
        <v>3960</v>
      </c>
      <c r="C1459" s="963" t="s">
        <v>3961</v>
      </c>
      <c r="D1459" s="1">
        <v>1.5381944444444443E-2</v>
      </c>
      <c r="E1459" s="80" t="s">
        <v>5337</v>
      </c>
      <c r="F1459" s="69" t="s">
        <v>8983</v>
      </c>
      <c r="I1459" s="2"/>
      <c r="K1459" s="82">
        <v>0.69979999999999998</v>
      </c>
    </row>
    <row r="1460" spans="1:13" ht="14.25" customHeight="1" x14ac:dyDescent="0.2">
      <c r="A1460" s="523">
        <v>43071</v>
      </c>
      <c r="B1460" s="556" t="s">
        <v>3960</v>
      </c>
      <c r="C1460" s="950" t="s">
        <v>3961</v>
      </c>
      <c r="D1460" s="1">
        <v>1.5474537037037038E-2</v>
      </c>
      <c r="E1460" s="80" t="s">
        <v>5337</v>
      </c>
      <c r="F1460" s="69" t="s">
        <v>8881</v>
      </c>
      <c r="I1460" s="2"/>
      <c r="K1460" s="82">
        <v>0.6956</v>
      </c>
      <c r="M1460" s="45">
        <v>1000</v>
      </c>
    </row>
    <row r="1461" spans="1:13" ht="14.25" customHeight="1" x14ac:dyDescent="0.2">
      <c r="A1461" s="523">
        <v>43050</v>
      </c>
      <c r="B1461" s="532" t="s">
        <v>3960</v>
      </c>
      <c r="C1461" s="843" t="s">
        <v>3961</v>
      </c>
      <c r="D1461" s="1">
        <v>1.7511574074074072E-2</v>
      </c>
      <c r="E1461" s="80" t="s">
        <v>1003</v>
      </c>
      <c r="F1461" s="69" t="s">
        <v>8788</v>
      </c>
      <c r="I1461" s="2"/>
      <c r="K1461" s="82">
        <v>0.61416999999999999</v>
      </c>
      <c r="M1461" s="45">
        <v>845</v>
      </c>
    </row>
    <row r="1462" spans="1:13" ht="14.25" customHeight="1" x14ac:dyDescent="0.2">
      <c r="A1462" s="523">
        <v>43043</v>
      </c>
      <c r="B1462" s="936" t="s">
        <v>3960</v>
      </c>
      <c r="C1462" s="937" t="s">
        <v>3961</v>
      </c>
      <c r="D1462" s="1">
        <v>1.5416666666666667E-2</v>
      </c>
      <c r="E1462" s="80" t="s">
        <v>5055</v>
      </c>
      <c r="F1462" s="69" t="s">
        <v>2535</v>
      </c>
      <c r="I1462" s="2"/>
      <c r="K1462" s="82">
        <v>0.69820000000000004</v>
      </c>
      <c r="M1462" s="80" t="s">
        <v>6268</v>
      </c>
    </row>
    <row r="1463" spans="1:13" ht="14.25" customHeight="1" x14ac:dyDescent="0.2">
      <c r="A1463" s="523">
        <v>43008</v>
      </c>
      <c r="B1463" s="532" t="s">
        <v>3960</v>
      </c>
      <c r="C1463" s="843" t="s">
        <v>3961</v>
      </c>
      <c r="D1463" s="1">
        <v>1.5347222222222222E-2</v>
      </c>
      <c r="E1463" s="80" t="s">
        <v>2995</v>
      </c>
      <c r="F1463" s="69" t="s">
        <v>1236</v>
      </c>
      <c r="I1463" s="2"/>
      <c r="K1463" s="82">
        <v>0.70140000000000002</v>
      </c>
      <c r="M1463" s="80"/>
    </row>
    <row r="1464" spans="1:13" ht="14.25" customHeight="1" x14ac:dyDescent="0.2">
      <c r="A1464" s="523">
        <v>43001</v>
      </c>
      <c r="B1464" s="906" t="s">
        <v>3960</v>
      </c>
      <c r="C1464" s="907" t="s">
        <v>3961</v>
      </c>
      <c r="D1464" s="1">
        <v>1.5046296296296295E-2</v>
      </c>
      <c r="E1464" s="80" t="s">
        <v>374</v>
      </c>
      <c r="F1464" s="69" t="s">
        <v>8088</v>
      </c>
      <c r="I1464" s="2"/>
      <c r="K1464" s="82">
        <v>0.71540000000000004</v>
      </c>
    </row>
    <row r="1465" spans="1:13" ht="14.25" customHeight="1" x14ac:dyDescent="0.2">
      <c r="A1465" s="523">
        <v>42994</v>
      </c>
      <c r="B1465" s="869" t="s">
        <v>3960</v>
      </c>
      <c r="C1465" s="903" t="s">
        <v>3961</v>
      </c>
      <c r="D1465" s="1">
        <v>1.4293981481481482E-2</v>
      </c>
      <c r="E1465" s="80" t="s">
        <v>4452</v>
      </c>
      <c r="F1465" s="69" t="s">
        <v>1236</v>
      </c>
      <c r="I1465" s="2"/>
      <c r="K1465" s="82">
        <v>0.753</v>
      </c>
      <c r="M1465" s="80"/>
    </row>
    <row r="1466" spans="1:13" ht="14.25" customHeight="1" x14ac:dyDescent="0.2">
      <c r="A1466" s="523">
        <v>42980</v>
      </c>
      <c r="B1466" s="837" t="s">
        <v>3960</v>
      </c>
      <c r="C1466" s="842" t="s">
        <v>3961</v>
      </c>
      <c r="D1466" s="1">
        <v>1.6342592592592593E-2</v>
      </c>
      <c r="E1466" s="80" t="s">
        <v>1018</v>
      </c>
      <c r="F1466" s="69" t="s">
        <v>8480</v>
      </c>
      <c r="I1466" s="2"/>
      <c r="K1466" s="82">
        <v>0.65859999999999996</v>
      </c>
      <c r="M1466" s="80"/>
    </row>
    <row r="1467" spans="1:13" ht="14.25" customHeight="1" x14ac:dyDescent="0.2">
      <c r="A1467" s="523">
        <v>42959</v>
      </c>
      <c r="B1467" s="866" t="s">
        <v>3960</v>
      </c>
      <c r="C1467" s="867" t="s">
        <v>3961</v>
      </c>
      <c r="D1467" s="1">
        <v>1.5219907407407409E-2</v>
      </c>
      <c r="E1467" s="80" t="s">
        <v>8154</v>
      </c>
      <c r="F1467" s="69" t="s">
        <v>8348</v>
      </c>
      <c r="I1467" s="2"/>
      <c r="K1467" s="82">
        <v>0.70109999999999995</v>
      </c>
      <c r="M1467" s="80"/>
    </row>
    <row r="1468" spans="1:13" ht="14.25" customHeight="1" x14ac:dyDescent="0.2">
      <c r="A1468" s="523">
        <v>42952</v>
      </c>
      <c r="B1468" s="862" t="s">
        <v>3960</v>
      </c>
      <c r="C1468" s="863" t="s">
        <v>3961</v>
      </c>
      <c r="D1468" s="1">
        <v>1.5439814814814816E-2</v>
      </c>
      <c r="E1468" s="80" t="s">
        <v>2995</v>
      </c>
      <c r="F1468" s="69" t="s">
        <v>3780</v>
      </c>
      <c r="I1468" s="2"/>
      <c r="K1468" s="82">
        <v>0.69120000000000004</v>
      </c>
    </row>
    <row r="1469" spans="1:13" ht="14.25" customHeight="1" x14ac:dyDescent="0.2">
      <c r="A1469" s="523">
        <v>42917</v>
      </c>
      <c r="B1469" s="80" t="s">
        <v>3960</v>
      </c>
      <c r="C1469" s="334" t="s">
        <v>3961</v>
      </c>
      <c r="D1469" s="1">
        <v>1.4212962962962962E-2</v>
      </c>
      <c r="E1469" s="80" t="s">
        <v>993</v>
      </c>
      <c r="F1469" s="69" t="s">
        <v>1236</v>
      </c>
      <c r="I1469" s="2"/>
      <c r="K1469" s="82">
        <v>0.75080000000000002</v>
      </c>
      <c r="M1469" s="80" t="s">
        <v>8321</v>
      </c>
    </row>
    <row r="1470" spans="1:13" ht="14.25" customHeight="1" x14ac:dyDescent="0.2">
      <c r="A1470" s="523">
        <v>42896</v>
      </c>
      <c r="B1470" s="80" t="s">
        <v>3960</v>
      </c>
      <c r="C1470" s="334" t="s">
        <v>3961</v>
      </c>
      <c r="D1470" s="1">
        <v>1.4351851851851852E-2</v>
      </c>
      <c r="E1470" s="80" t="s">
        <v>3157</v>
      </c>
      <c r="F1470" s="69" t="s">
        <v>8023</v>
      </c>
      <c r="I1470" s="2"/>
      <c r="K1470" s="82">
        <v>0.74350000000000005</v>
      </c>
    </row>
    <row r="1471" spans="1:13" ht="14.25" customHeight="1" x14ac:dyDescent="0.2">
      <c r="A1471" s="523">
        <v>42889</v>
      </c>
      <c r="B1471" s="80" t="s">
        <v>3960</v>
      </c>
      <c r="C1471" s="334" t="s">
        <v>3961</v>
      </c>
      <c r="D1471" s="1">
        <v>1.511574074074074E-2</v>
      </c>
      <c r="E1471" s="80" t="s">
        <v>5337</v>
      </c>
      <c r="F1471" s="69" t="s">
        <v>4960</v>
      </c>
      <c r="I1471" s="2"/>
      <c r="K1471" s="82">
        <v>0.70599999999999996</v>
      </c>
      <c r="M1471" s="80"/>
    </row>
    <row r="1472" spans="1:13" ht="14.25" customHeight="1" x14ac:dyDescent="0.2">
      <c r="A1472" s="523">
        <v>42868</v>
      </c>
      <c r="B1472" s="80" t="s">
        <v>3960</v>
      </c>
      <c r="C1472" s="334" t="s">
        <v>3961</v>
      </c>
      <c r="D1472" s="1">
        <v>1.4710648148148148E-2</v>
      </c>
      <c r="E1472" s="80" t="s">
        <v>7880</v>
      </c>
      <c r="F1472" s="69" t="s">
        <v>7902</v>
      </c>
      <c r="I1472" s="2"/>
      <c r="K1472" s="82">
        <v>0.72540000000000004</v>
      </c>
      <c r="M1472" s="80"/>
    </row>
    <row r="1473" spans="1:16" ht="14.25" customHeight="1" x14ac:dyDescent="0.2">
      <c r="A1473" s="523">
        <v>42840</v>
      </c>
      <c r="B1473" s="80" t="s">
        <v>3960</v>
      </c>
      <c r="C1473" s="334" t="s">
        <v>3961</v>
      </c>
      <c r="D1473" s="1">
        <v>1.4479166666666668E-2</v>
      </c>
      <c r="E1473" t="s">
        <v>1624</v>
      </c>
      <c r="F1473" s="69" t="s">
        <v>7770</v>
      </c>
      <c r="I1473" s="2"/>
      <c r="K1473" s="82">
        <v>0.73699999999999999</v>
      </c>
      <c r="M1473" s="80" t="s">
        <v>8554</v>
      </c>
    </row>
    <row r="1474" spans="1:16" ht="14.25" customHeight="1" x14ac:dyDescent="0.2">
      <c r="A1474" s="523">
        <v>42833</v>
      </c>
      <c r="B1474" s="80" t="s">
        <v>3960</v>
      </c>
      <c r="C1474" s="334" t="s">
        <v>3961</v>
      </c>
      <c r="D1474" s="1">
        <v>1.4710648148148148E-2</v>
      </c>
      <c r="E1474" s="80" t="s">
        <v>6393</v>
      </c>
      <c r="F1474" s="69" t="s">
        <v>7747</v>
      </c>
      <c r="I1474" s="2"/>
      <c r="K1474" s="82">
        <v>0.72540000000000004</v>
      </c>
      <c r="M1474" s="80" t="s">
        <v>8586</v>
      </c>
    </row>
    <row r="1475" spans="1:16" ht="14.25" customHeight="1" x14ac:dyDescent="0.2">
      <c r="A1475" s="33">
        <v>42742</v>
      </c>
      <c r="B1475" s="80" t="s">
        <v>3960</v>
      </c>
      <c r="C1475" s="334" t="s">
        <v>3961</v>
      </c>
      <c r="D1475" s="1">
        <v>1.5208333333333332E-2</v>
      </c>
      <c r="E1475" s="80" t="s">
        <v>4530</v>
      </c>
      <c r="F1475" s="69" t="s">
        <v>6246</v>
      </c>
      <c r="I1475" s="2"/>
      <c r="K1475" s="82">
        <v>0.70169999999999999</v>
      </c>
      <c r="M1475" s="80" t="s">
        <v>8758</v>
      </c>
      <c r="P1475" s="80" t="s">
        <v>8759</v>
      </c>
    </row>
    <row r="1476" spans="1:16" ht="14.25" customHeight="1" x14ac:dyDescent="0.2">
      <c r="A1476" s="523">
        <v>42736</v>
      </c>
      <c r="B1476" s="80" t="s">
        <v>3960</v>
      </c>
      <c r="C1476" s="334" t="s">
        <v>3961</v>
      </c>
      <c r="D1476" s="1">
        <v>1.5243055555555557E-2</v>
      </c>
      <c r="E1476" s="80" t="s">
        <v>5950</v>
      </c>
      <c r="F1476" s="69" t="s">
        <v>6244</v>
      </c>
      <c r="I1476" s="2"/>
      <c r="K1476" s="82">
        <v>0.70009999999999994</v>
      </c>
      <c r="M1476" s="80"/>
    </row>
    <row r="1477" spans="1:16" ht="14.25" customHeight="1" x14ac:dyDescent="0.2">
      <c r="A1477" s="523">
        <v>42736</v>
      </c>
      <c r="B1477" s="80" t="s">
        <v>3960</v>
      </c>
      <c r="C1477" s="334" t="s">
        <v>3961</v>
      </c>
      <c r="D1477" s="1">
        <v>1.6747685185185185E-2</v>
      </c>
      <c r="E1477" s="80" t="s">
        <v>5347</v>
      </c>
      <c r="F1477" s="69" t="s">
        <v>1932</v>
      </c>
      <c r="I1477" s="2"/>
      <c r="K1477" s="82">
        <v>0.63719999999999999</v>
      </c>
      <c r="M1477" s="80"/>
    </row>
    <row r="1478" spans="1:16" ht="14.25" customHeight="1" x14ac:dyDescent="0.2">
      <c r="A1478" s="523">
        <v>43064</v>
      </c>
      <c r="B1478" s="869" t="s">
        <v>1847</v>
      </c>
      <c r="C1478" s="903" t="s">
        <v>3961</v>
      </c>
      <c r="D1478" s="1">
        <v>1.5381944444444443E-2</v>
      </c>
      <c r="E1478" s="80" t="s">
        <v>5337</v>
      </c>
      <c r="F1478" s="69" t="s">
        <v>8846</v>
      </c>
      <c r="I1478" s="2"/>
      <c r="K1478" s="82">
        <v>0.69979999999999998</v>
      </c>
      <c r="M1478" s="80"/>
    </row>
    <row r="1479" spans="1:16" ht="14.25" customHeight="1" x14ac:dyDescent="0.2">
      <c r="A1479" s="523">
        <v>43064</v>
      </c>
      <c r="B1479" s="869" t="s">
        <v>870</v>
      </c>
      <c r="C1479" s="903" t="s">
        <v>871</v>
      </c>
      <c r="D1479" s="1">
        <v>1.4143518518518519E-2</v>
      </c>
      <c r="E1479" s="80" t="s">
        <v>5883</v>
      </c>
      <c r="F1479" s="69" t="s">
        <v>8836</v>
      </c>
      <c r="I1479" s="2"/>
      <c r="K1479" s="82">
        <v>0.76100000000000001</v>
      </c>
    </row>
    <row r="1480" spans="1:16" ht="14.25" customHeight="1" x14ac:dyDescent="0.2">
      <c r="A1480" s="523">
        <v>42875</v>
      </c>
      <c r="B1480" s="80" t="s">
        <v>870</v>
      </c>
      <c r="C1480" s="334" t="s">
        <v>871</v>
      </c>
      <c r="D1480" s="1">
        <v>1.4340277777777776E-2</v>
      </c>
      <c r="E1480" s="80" t="s">
        <v>5883</v>
      </c>
      <c r="F1480" s="69" t="s">
        <v>5383</v>
      </c>
      <c r="I1480" s="2"/>
      <c r="K1480" s="82">
        <v>0.75060000000000004</v>
      </c>
      <c r="M1480" s="80" t="s">
        <v>6429</v>
      </c>
    </row>
    <row r="1481" spans="1:16" ht="14.25" customHeight="1" x14ac:dyDescent="0.2">
      <c r="A1481" s="523">
        <v>42784</v>
      </c>
      <c r="B1481" s="80" t="s">
        <v>870</v>
      </c>
      <c r="C1481" s="334" t="s">
        <v>871</v>
      </c>
      <c r="D1481" s="1">
        <v>1.3900462962962962E-2</v>
      </c>
      <c r="E1481" s="80" t="s">
        <v>5453</v>
      </c>
      <c r="F1481" s="69" t="s">
        <v>6428</v>
      </c>
      <c r="I1481" s="2"/>
      <c r="K1481" s="82">
        <v>0.76770000000000005</v>
      </c>
    </row>
    <row r="1482" spans="1:16" ht="14.25" customHeight="1" x14ac:dyDescent="0.2">
      <c r="A1482" s="33">
        <v>42763</v>
      </c>
      <c r="B1482" s="80" t="s">
        <v>870</v>
      </c>
      <c r="C1482" s="334" t="s">
        <v>871</v>
      </c>
      <c r="D1482" s="1">
        <v>2.7025462962962959E-2</v>
      </c>
      <c r="E1482" s="80" t="s">
        <v>5198</v>
      </c>
      <c r="F1482" s="69" t="s">
        <v>6318</v>
      </c>
      <c r="I1482" s="2"/>
      <c r="K1482" s="82">
        <v>0.39489999999999997</v>
      </c>
      <c r="M1482" s="80"/>
    </row>
    <row r="1483" spans="1:16" ht="14.25" customHeight="1" x14ac:dyDescent="0.2">
      <c r="A1483" s="523">
        <v>42987</v>
      </c>
      <c r="B1483" s="532" t="s">
        <v>8497</v>
      </c>
      <c r="C1483" s="843" t="s">
        <v>871</v>
      </c>
      <c r="D1483" s="1">
        <v>2.3229166666666665E-2</v>
      </c>
      <c r="E1483" s="80" t="s">
        <v>5883</v>
      </c>
      <c r="F1483" s="69" t="s">
        <v>5623</v>
      </c>
      <c r="I1483" s="2"/>
      <c r="K1483" s="82">
        <v>0.46339999999999998</v>
      </c>
      <c r="M1483" s="80"/>
    </row>
    <row r="1484" spans="1:16" ht="14.25" customHeight="1" x14ac:dyDescent="0.2">
      <c r="A1484" s="523">
        <v>42861</v>
      </c>
      <c r="B1484" s="80" t="s">
        <v>7841</v>
      </c>
      <c r="C1484" s="334" t="s">
        <v>871</v>
      </c>
      <c r="D1484" s="1">
        <v>2.478009259259259E-2</v>
      </c>
      <c r="E1484" s="80" t="s">
        <v>5883</v>
      </c>
      <c r="F1484" s="69" t="s">
        <v>4653</v>
      </c>
      <c r="I1484" s="2"/>
      <c r="K1484" s="82">
        <v>0.43440000000000001</v>
      </c>
      <c r="M1484" s="80"/>
    </row>
    <row r="1485" spans="1:16" ht="14.25" customHeight="1" x14ac:dyDescent="0.2">
      <c r="A1485" s="523">
        <v>42861</v>
      </c>
      <c r="B1485" s="80" t="s">
        <v>7840</v>
      </c>
      <c r="C1485" s="334" t="s">
        <v>871</v>
      </c>
      <c r="D1485" s="1">
        <v>2.4745370370370372E-2</v>
      </c>
      <c r="E1485" s="80" t="s">
        <v>5883</v>
      </c>
      <c r="F1485" s="69" t="s">
        <v>5427</v>
      </c>
      <c r="I1485" s="2"/>
      <c r="K1485" s="82">
        <v>0.55469999999999997</v>
      </c>
      <c r="M1485" s="80"/>
    </row>
    <row r="1486" spans="1:16" ht="14.25" customHeight="1" x14ac:dyDescent="0.2">
      <c r="A1486" s="523">
        <v>42736</v>
      </c>
      <c r="B1486" s="80" t="s">
        <v>6212</v>
      </c>
      <c r="C1486" s="334" t="s">
        <v>871</v>
      </c>
      <c r="D1486" s="1">
        <v>2.9363425925925921E-2</v>
      </c>
      <c r="E1486" s="80" t="s">
        <v>4004</v>
      </c>
      <c r="F1486" s="69" t="s">
        <v>6220</v>
      </c>
      <c r="I1486" s="2"/>
      <c r="K1486" s="82">
        <v>0.3634</v>
      </c>
      <c r="M1486" s="45">
        <v>1030</v>
      </c>
    </row>
    <row r="1487" spans="1:16" ht="14.25" customHeight="1" x14ac:dyDescent="0.2">
      <c r="A1487" s="523">
        <v>42987</v>
      </c>
      <c r="B1487" s="532" t="s">
        <v>8496</v>
      </c>
      <c r="C1487" s="843" t="s">
        <v>871</v>
      </c>
      <c r="D1487" s="1">
        <v>2.3217592592592592E-2</v>
      </c>
      <c r="E1487" s="80" t="s">
        <v>5883</v>
      </c>
      <c r="F1487" s="69" t="s">
        <v>8509</v>
      </c>
      <c r="I1487" s="2"/>
      <c r="K1487" s="82">
        <v>0.59119999999999995</v>
      </c>
      <c r="M1487" s="80"/>
    </row>
    <row r="1488" spans="1:16" ht="14.25" customHeight="1" x14ac:dyDescent="0.2">
      <c r="A1488" s="523">
        <v>42763</v>
      </c>
      <c r="B1488" s="80" t="s">
        <v>8496</v>
      </c>
      <c r="C1488" s="334" t="s">
        <v>871</v>
      </c>
      <c r="D1488" s="1">
        <v>2.7025462962962959E-2</v>
      </c>
      <c r="E1488" s="80" t="s">
        <v>5198</v>
      </c>
      <c r="F1488" s="69" t="s">
        <v>1493</v>
      </c>
      <c r="I1488" s="2"/>
      <c r="K1488" s="82">
        <v>0.50790000000000002</v>
      </c>
      <c r="M1488" s="80"/>
    </row>
    <row r="1489" spans="1:13" ht="14.25" customHeight="1" x14ac:dyDescent="0.2">
      <c r="A1489" s="523">
        <v>42736</v>
      </c>
      <c r="B1489" s="80" t="s">
        <v>6238</v>
      </c>
      <c r="C1489" s="334" t="s">
        <v>871</v>
      </c>
      <c r="D1489" s="1">
        <v>2.9363425925925921E-2</v>
      </c>
      <c r="E1489" s="80" t="s">
        <v>4004</v>
      </c>
      <c r="F1489" s="69" t="s">
        <v>6219</v>
      </c>
      <c r="I1489" s="2"/>
      <c r="K1489" s="82">
        <v>0.46750000000000003</v>
      </c>
      <c r="M1489" s="45">
        <v>1030</v>
      </c>
    </row>
    <row r="1490" spans="1:13" ht="14.25" customHeight="1" x14ac:dyDescent="0.2">
      <c r="A1490" s="523">
        <v>43092</v>
      </c>
      <c r="B1490" s="568" t="s">
        <v>1308</v>
      </c>
      <c r="C1490" s="861" t="s">
        <v>1506</v>
      </c>
      <c r="D1490" s="1">
        <v>2.0173611111111111E-2</v>
      </c>
      <c r="E1490" s="80" t="s">
        <v>6019</v>
      </c>
      <c r="F1490" s="69" t="s">
        <v>5808</v>
      </c>
      <c r="I1490" s="2"/>
      <c r="K1490" s="82">
        <v>0.4733</v>
      </c>
    </row>
    <row r="1491" spans="1:13" ht="14.25" customHeight="1" x14ac:dyDescent="0.2">
      <c r="A1491" s="523">
        <v>43057</v>
      </c>
      <c r="B1491" s="940" t="s">
        <v>1308</v>
      </c>
      <c r="C1491" s="941" t="s">
        <v>1506</v>
      </c>
      <c r="D1491" s="1">
        <v>1.8831018518518518E-2</v>
      </c>
      <c r="E1491" s="80" t="s">
        <v>6019</v>
      </c>
      <c r="F1491" s="69" t="s">
        <v>8811</v>
      </c>
      <c r="I1491" s="2"/>
      <c r="K1491" s="82">
        <v>0.5071</v>
      </c>
    </row>
    <row r="1492" spans="1:13" ht="14.25" customHeight="1" x14ac:dyDescent="0.2">
      <c r="A1492" s="523">
        <v>43008</v>
      </c>
      <c r="B1492" s="532" t="s">
        <v>1308</v>
      </c>
      <c r="C1492" s="843" t="s">
        <v>1506</v>
      </c>
      <c r="D1492" s="1">
        <v>1.8078703703703704E-2</v>
      </c>
      <c r="E1492" s="80" t="s">
        <v>6019</v>
      </c>
      <c r="F1492" s="69" t="s">
        <v>8603</v>
      </c>
      <c r="I1492" s="2"/>
      <c r="K1492" s="82">
        <v>0.5282</v>
      </c>
    </row>
    <row r="1493" spans="1:13" ht="14.25" customHeight="1" x14ac:dyDescent="0.2">
      <c r="A1493" s="523">
        <v>42994</v>
      </c>
      <c r="B1493" s="869" t="s">
        <v>1308</v>
      </c>
      <c r="C1493" s="903" t="s">
        <v>1506</v>
      </c>
      <c r="D1493" s="1">
        <v>1.7939814814814815E-2</v>
      </c>
      <c r="E1493" s="80" t="s">
        <v>6019</v>
      </c>
      <c r="F1493" s="69" t="s">
        <v>8535</v>
      </c>
      <c r="I1493" s="2"/>
      <c r="K1493" s="82">
        <v>0.5323</v>
      </c>
    </row>
    <row r="1494" spans="1:13" ht="14.25" customHeight="1" x14ac:dyDescent="0.2">
      <c r="A1494" s="523">
        <v>42973</v>
      </c>
      <c r="B1494" s="862" t="s">
        <v>1308</v>
      </c>
      <c r="C1494" s="863" t="s">
        <v>1506</v>
      </c>
      <c r="D1494" s="1">
        <v>1.8541666666666668E-2</v>
      </c>
      <c r="E1494" s="80" t="s">
        <v>6019</v>
      </c>
      <c r="F1494" s="69" t="s">
        <v>8426</v>
      </c>
      <c r="I1494" s="2"/>
      <c r="K1494" s="82">
        <v>0.51500000000000001</v>
      </c>
    </row>
    <row r="1495" spans="1:13" ht="14.25" customHeight="1" x14ac:dyDescent="0.2">
      <c r="A1495" s="523">
        <v>42952</v>
      </c>
      <c r="B1495" s="862" t="s">
        <v>1308</v>
      </c>
      <c r="C1495" s="863" t="s">
        <v>1506</v>
      </c>
      <c r="D1495" s="1">
        <v>1.8356481481481481E-2</v>
      </c>
      <c r="E1495" s="80" t="s">
        <v>6019</v>
      </c>
      <c r="F1495" s="69" t="s">
        <v>8317</v>
      </c>
      <c r="I1495" s="2"/>
      <c r="K1495" s="82">
        <v>0.5202</v>
      </c>
      <c r="M1495" s="80"/>
    </row>
    <row r="1496" spans="1:13" ht="14.25" customHeight="1" x14ac:dyDescent="0.2">
      <c r="A1496" s="523">
        <v>42854</v>
      </c>
      <c r="B1496" s="80" t="s">
        <v>1308</v>
      </c>
      <c r="C1496" s="334" t="s">
        <v>1506</v>
      </c>
      <c r="D1496" s="334" t="s">
        <v>787</v>
      </c>
      <c r="E1496" s="80" t="s">
        <v>6019</v>
      </c>
      <c r="F1496" s="69"/>
      <c r="I1496" s="2"/>
      <c r="K1496" s="82"/>
      <c r="M1496" s="80"/>
    </row>
    <row r="1497" spans="1:13" ht="14.25" customHeight="1" x14ac:dyDescent="0.2">
      <c r="A1497" s="523">
        <v>42833</v>
      </c>
      <c r="B1497" s="80" t="s">
        <v>1308</v>
      </c>
      <c r="C1497" s="334" t="s">
        <v>1506</v>
      </c>
      <c r="D1497" s="334" t="s">
        <v>787</v>
      </c>
      <c r="E1497" s="80" t="s">
        <v>6019</v>
      </c>
      <c r="F1497" s="69"/>
      <c r="I1497" s="2"/>
      <c r="K1497" s="82"/>
      <c r="M1497" s="80"/>
    </row>
    <row r="1498" spans="1:13" ht="14.25" customHeight="1" x14ac:dyDescent="0.2">
      <c r="A1498" s="523">
        <v>42819</v>
      </c>
      <c r="B1498" s="80" t="s">
        <v>1308</v>
      </c>
      <c r="C1498" s="334" t="s">
        <v>1506</v>
      </c>
      <c r="D1498" s="334" t="s">
        <v>787</v>
      </c>
      <c r="E1498" s="80" t="s">
        <v>6019</v>
      </c>
      <c r="F1498" s="69"/>
      <c r="I1498" s="2"/>
      <c r="K1498" s="82"/>
      <c r="M1498" s="80"/>
    </row>
    <row r="1499" spans="1:13" ht="14.25" customHeight="1" x14ac:dyDescent="0.2">
      <c r="A1499" s="523">
        <v>42784</v>
      </c>
      <c r="B1499" s="80" t="s">
        <v>1308</v>
      </c>
      <c r="C1499" s="334" t="s">
        <v>1506</v>
      </c>
      <c r="D1499" s="1">
        <v>1.7893518518518517E-2</v>
      </c>
      <c r="E1499" s="80" t="s">
        <v>6019</v>
      </c>
      <c r="F1499" s="69" t="s">
        <v>6435</v>
      </c>
      <c r="I1499" s="2"/>
      <c r="K1499" s="82">
        <v>0.52980000000000005</v>
      </c>
      <c r="M1499" s="80"/>
    </row>
    <row r="1500" spans="1:13" x14ac:dyDescent="0.2">
      <c r="A1500" s="33">
        <v>42763</v>
      </c>
      <c r="B1500" s="80" t="s">
        <v>1308</v>
      </c>
      <c r="C1500" s="334" t="s">
        <v>1506</v>
      </c>
      <c r="D1500" s="1">
        <v>1.7499999999999998E-2</v>
      </c>
      <c r="E1500" s="80" t="s">
        <v>6019</v>
      </c>
      <c r="F1500" s="69" t="s">
        <v>6384</v>
      </c>
      <c r="I1500" s="2"/>
      <c r="K1500" s="82">
        <v>0.54169999999999996</v>
      </c>
      <c r="M1500" s="80"/>
    </row>
    <row r="1501" spans="1:13" x14ac:dyDescent="0.2">
      <c r="A1501" s="523">
        <v>42749</v>
      </c>
      <c r="B1501" s="80" t="s">
        <v>1308</v>
      </c>
      <c r="C1501" s="334" t="s">
        <v>1506</v>
      </c>
      <c r="D1501" s="1">
        <v>1.7465277777777777E-2</v>
      </c>
      <c r="E1501" s="80" t="s">
        <v>6019</v>
      </c>
      <c r="F1501" s="69" t="s">
        <v>6295</v>
      </c>
      <c r="I1501" s="2"/>
      <c r="K1501" s="82">
        <v>0.54269999999999996</v>
      </c>
      <c r="M1501" s="80"/>
    </row>
    <row r="1502" spans="1:13" ht="14.25" customHeight="1" x14ac:dyDescent="0.2">
      <c r="A1502" s="33">
        <v>42742</v>
      </c>
      <c r="B1502" s="80" t="s">
        <v>1308</v>
      </c>
      <c r="C1502" s="334" t="s">
        <v>1506</v>
      </c>
      <c r="D1502" s="1">
        <v>1.7337962962962961E-2</v>
      </c>
      <c r="E1502" s="80" t="s">
        <v>6019</v>
      </c>
      <c r="F1502" s="69" t="s">
        <v>6266</v>
      </c>
      <c r="I1502" s="2"/>
      <c r="K1502" s="82">
        <v>0.54669999999999996</v>
      </c>
      <c r="M1502" s="80"/>
    </row>
    <row r="1503" spans="1:13" ht="14.25" customHeight="1" x14ac:dyDescent="0.2">
      <c r="A1503" s="523">
        <v>42896</v>
      </c>
      <c r="B1503" s="80" t="s">
        <v>5649</v>
      </c>
      <c r="C1503" s="334" t="s">
        <v>2417</v>
      </c>
      <c r="D1503" s="1">
        <v>1.3194444444444444E-2</v>
      </c>
      <c r="E1503" s="80" t="s">
        <v>4727</v>
      </c>
      <c r="F1503" s="69" t="s">
        <v>8033</v>
      </c>
      <c r="I1503" s="2"/>
      <c r="K1503" s="82">
        <v>0.67979999999999996</v>
      </c>
      <c r="M1503" s="80"/>
    </row>
    <row r="1504" spans="1:13" ht="14.25" customHeight="1" x14ac:dyDescent="0.2">
      <c r="A1504" s="523">
        <v>43099</v>
      </c>
      <c r="B1504" s="601" t="s">
        <v>2416</v>
      </c>
      <c r="C1504" s="958" t="s">
        <v>2417</v>
      </c>
      <c r="D1504" s="1">
        <v>2.2268518518518521E-2</v>
      </c>
      <c r="E1504" s="80" t="s">
        <v>4727</v>
      </c>
      <c r="F1504" s="97" t="s">
        <v>3709</v>
      </c>
      <c r="G1504" s="2"/>
      <c r="I1504" s="2"/>
      <c r="K1504" s="82">
        <v>0.61380000000000001</v>
      </c>
    </row>
    <row r="1505" spans="1:13" ht="14.25" customHeight="1" x14ac:dyDescent="0.2">
      <c r="A1505" s="33">
        <v>43092</v>
      </c>
      <c r="B1505" s="568" t="s">
        <v>2416</v>
      </c>
      <c r="C1505" s="861" t="s">
        <v>2417</v>
      </c>
      <c r="D1505" s="80" t="s">
        <v>787</v>
      </c>
      <c r="E1505" s="80" t="s">
        <v>4727</v>
      </c>
      <c r="F1505" s="69" t="s">
        <v>8919</v>
      </c>
      <c r="G1505" s="5"/>
      <c r="H1505" s="2"/>
      <c r="I1505" s="2"/>
      <c r="K1505" s="82"/>
    </row>
    <row r="1506" spans="1:13" ht="14.25" customHeight="1" x14ac:dyDescent="0.2">
      <c r="A1506" s="523">
        <v>43085</v>
      </c>
      <c r="B1506" s="601" t="s">
        <v>2416</v>
      </c>
      <c r="C1506" s="958" t="s">
        <v>2417</v>
      </c>
      <c r="D1506" s="1">
        <v>2.2453703703703708E-2</v>
      </c>
      <c r="E1506" s="80" t="s">
        <v>4727</v>
      </c>
      <c r="F1506" s="69" t="s">
        <v>1485</v>
      </c>
      <c r="I1506" s="2"/>
      <c r="K1506" s="82">
        <v>0.60880000000000001</v>
      </c>
      <c r="M1506" s="45">
        <v>900</v>
      </c>
    </row>
    <row r="1507" spans="1:13" ht="14.25" customHeight="1" x14ac:dyDescent="0.2">
      <c r="A1507" s="523">
        <v>43071</v>
      </c>
      <c r="B1507" s="556" t="s">
        <v>2416</v>
      </c>
      <c r="C1507" s="950" t="s">
        <v>2417</v>
      </c>
      <c r="D1507" s="1">
        <v>2.388888888888889E-2</v>
      </c>
      <c r="E1507" s="80" t="s">
        <v>8890</v>
      </c>
      <c r="F1507" s="69" t="s">
        <v>8891</v>
      </c>
      <c r="I1507" s="2"/>
      <c r="K1507" s="82">
        <v>0.57220000000000004</v>
      </c>
    </row>
    <row r="1508" spans="1:13" ht="14.25" customHeight="1" x14ac:dyDescent="0.2">
      <c r="A1508" s="523">
        <v>43064</v>
      </c>
      <c r="B1508" s="869" t="s">
        <v>2416</v>
      </c>
      <c r="C1508" s="903" t="s">
        <v>2417</v>
      </c>
      <c r="D1508" s="1">
        <v>2.1203703703703707E-2</v>
      </c>
      <c r="E1508" s="80" t="s">
        <v>5653</v>
      </c>
      <c r="F1508" s="69" t="s">
        <v>8838</v>
      </c>
      <c r="I1508" s="2"/>
      <c r="K1508" s="82">
        <v>0.64470000000000005</v>
      </c>
    </row>
    <row r="1509" spans="1:13" ht="14.25" customHeight="1" x14ac:dyDescent="0.2">
      <c r="A1509" s="523">
        <v>43057</v>
      </c>
      <c r="B1509" s="940" t="s">
        <v>2416</v>
      </c>
      <c r="C1509" s="941" t="s">
        <v>2417</v>
      </c>
      <c r="D1509" s="1">
        <v>2.162037037037037E-2</v>
      </c>
      <c r="E1509" s="80" t="s">
        <v>4727</v>
      </c>
      <c r="F1509" s="69" t="s">
        <v>8806</v>
      </c>
      <c r="I1509" s="2"/>
      <c r="K1509" s="82">
        <v>0.63219999999999998</v>
      </c>
    </row>
    <row r="1510" spans="1:13" ht="14.25" customHeight="1" x14ac:dyDescent="0.2">
      <c r="A1510" s="523">
        <v>43043</v>
      </c>
      <c r="B1510" s="936" t="s">
        <v>2416</v>
      </c>
      <c r="C1510" s="937" t="s">
        <v>2417</v>
      </c>
      <c r="D1510" s="1">
        <v>2.1493055555555557E-2</v>
      </c>
      <c r="E1510" s="80" t="s">
        <v>4727</v>
      </c>
      <c r="F1510" s="69" t="s">
        <v>1237</v>
      </c>
      <c r="I1510" s="2"/>
      <c r="K1510" s="82">
        <v>0.63600000000000001</v>
      </c>
    </row>
    <row r="1511" spans="1:13" ht="14.25" customHeight="1" x14ac:dyDescent="0.2">
      <c r="A1511" s="523">
        <v>43036</v>
      </c>
      <c r="B1511" s="934" t="s">
        <v>2416</v>
      </c>
      <c r="C1511" s="935" t="s">
        <v>2417</v>
      </c>
      <c r="D1511" s="1">
        <v>2.1840277777777778E-2</v>
      </c>
      <c r="E1511" s="80" t="s">
        <v>4727</v>
      </c>
      <c r="F1511" s="69" t="s">
        <v>3190</v>
      </c>
      <c r="I1511" s="2"/>
      <c r="K1511" s="82">
        <v>0.62590000000000001</v>
      </c>
    </row>
    <row r="1512" spans="1:13" ht="14.25" customHeight="1" x14ac:dyDescent="0.2">
      <c r="A1512" s="523">
        <v>43029</v>
      </c>
      <c r="B1512" s="901" t="s">
        <v>2416</v>
      </c>
      <c r="C1512" s="902" t="s">
        <v>2417</v>
      </c>
      <c r="D1512" s="1">
        <v>2.164351851851852E-2</v>
      </c>
      <c r="E1512" s="80" t="s">
        <v>4727</v>
      </c>
      <c r="F1512" s="69" t="s">
        <v>1608</v>
      </c>
      <c r="I1512" s="2"/>
      <c r="K1512" s="82">
        <v>0.63160000000000005</v>
      </c>
      <c r="M1512" s="80"/>
    </row>
    <row r="1513" spans="1:13" ht="14.25" customHeight="1" x14ac:dyDescent="0.2">
      <c r="A1513" s="523">
        <v>43022</v>
      </c>
      <c r="B1513" s="930" t="s">
        <v>2416</v>
      </c>
      <c r="C1513" s="931" t="s">
        <v>2417</v>
      </c>
      <c r="D1513" s="1">
        <v>2.1712962962962962E-2</v>
      </c>
      <c r="E1513" s="80" t="s">
        <v>4473</v>
      </c>
      <c r="F1513" s="69" t="s">
        <v>8685</v>
      </c>
      <c r="I1513" s="2"/>
      <c r="K1513" s="82">
        <v>0.62949999999999995</v>
      </c>
      <c r="M1513" s="80"/>
    </row>
    <row r="1514" spans="1:13" ht="14.25" customHeight="1" x14ac:dyDescent="0.2">
      <c r="A1514" s="523">
        <v>43015</v>
      </c>
      <c r="B1514" s="923" t="s">
        <v>2416</v>
      </c>
      <c r="C1514" s="924" t="s">
        <v>2417</v>
      </c>
      <c r="D1514" s="1">
        <v>2.4363425925925927E-2</v>
      </c>
      <c r="E1514" s="80" t="s">
        <v>4817</v>
      </c>
      <c r="F1514" s="69" t="s">
        <v>8619</v>
      </c>
      <c r="I1514" s="2"/>
      <c r="K1514" s="82">
        <v>0.56100000000000005</v>
      </c>
    </row>
    <row r="1515" spans="1:13" ht="14.25" customHeight="1" x14ac:dyDescent="0.2">
      <c r="A1515" s="523">
        <v>43001</v>
      </c>
      <c r="B1515" s="906" t="s">
        <v>2416</v>
      </c>
      <c r="C1515" s="907" t="s">
        <v>2417</v>
      </c>
      <c r="D1515" s="1">
        <v>2.2210648148148149E-2</v>
      </c>
      <c r="E1515" s="80" t="s">
        <v>3702</v>
      </c>
      <c r="F1515" s="69" t="s">
        <v>8568</v>
      </c>
      <c r="I1515" s="2"/>
      <c r="K1515" s="82">
        <v>0.61539999999999995</v>
      </c>
    </row>
    <row r="1516" spans="1:13" ht="14.25" customHeight="1" x14ac:dyDescent="0.2">
      <c r="A1516" s="523">
        <v>42987</v>
      </c>
      <c r="B1516" s="532" t="s">
        <v>2416</v>
      </c>
      <c r="C1516" s="843" t="s">
        <v>2417</v>
      </c>
      <c r="D1516" s="1">
        <v>2.1400462962962965E-2</v>
      </c>
      <c r="E1516" s="80" t="s">
        <v>4727</v>
      </c>
      <c r="F1516" s="69" t="s">
        <v>1587</v>
      </c>
      <c r="I1516" s="2"/>
      <c r="K1516" s="82">
        <v>0.63870000000000005</v>
      </c>
      <c r="M1516" s="80"/>
    </row>
    <row r="1517" spans="1:13" ht="14.25" customHeight="1" x14ac:dyDescent="0.2">
      <c r="A1517" s="523">
        <v>42980</v>
      </c>
      <c r="B1517" s="837" t="s">
        <v>2416</v>
      </c>
      <c r="C1517" s="842" t="s">
        <v>2417</v>
      </c>
      <c r="D1517" s="1">
        <v>2.2488425925925926E-2</v>
      </c>
      <c r="E1517" s="80" t="s">
        <v>8449</v>
      </c>
      <c r="F1517" s="69" t="s">
        <v>8450</v>
      </c>
      <c r="I1517" s="2"/>
      <c r="K1517" s="82">
        <v>0.60780000000000001</v>
      </c>
      <c r="M1517" s="80"/>
    </row>
    <row r="1518" spans="1:13" ht="14.25" customHeight="1" x14ac:dyDescent="0.2">
      <c r="A1518" s="523">
        <v>42973</v>
      </c>
      <c r="B1518" s="862" t="s">
        <v>2416</v>
      </c>
      <c r="C1518" s="863" t="s">
        <v>2417</v>
      </c>
      <c r="D1518" s="1">
        <v>2.1550925925925928E-2</v>
      </c>
      <c r="E1518" s="80" t="s">
        <v>4727</v>
      </c>
      <c r="F1518" s="69" t="s">
        <v>7929</v>
      </c>
      <c r="I1518" s="2"/>
      <c r="K1518" s="82">
        <v>0.63429999999999997</v>
      </c>
      <c r="M1518" s="80"/>
    </row>
    <row r="1519" spans="1:13" ht="14.25" customHeight="1" x14ac:dyDescent="0.2">
      <c r="A1519" s="523">
        <v>42966</v>
      </c>
      <c r="B1519" s="879" t="s">
        <v>2416</v>
      </c>
      <c r="C1519" s="880" t="s">
        <v>2417</v>
      </c>
      <c r="D1519" s="1">
        <v>2.1354166666666664E-2</v>
      </c>
      <c r="E1519" s="80" t="s">
        <v>8377</v>
      </c>
      <c r="F1519" s="69" t="s">
        <v>2200</v>
      </c>
      <c r="I1519" s="2"/>
      <c r="K1519" s="82">
        <v>0.64049999999999996</v>
      </c>
      <c r="M1519" s="80"/>
    </row>
    <row r="1520" spans="1:13" ht="14.25" customHeight="1" x14ac:dyDescent="0.2">
      <c r="A1520" s="523">
        <v>42959</v>
      </c>
      <c r="B1520" s="866" t="s">
        <v>2416</v>
      </c>
      <c r="C1520" s="867" t="s">
        <v>2417</v>
      </c>
      <c r="D1520" s="1">
        <v>1.9618055555555555E-2</v>
      </c>
      <c r="E1520" s="80" t="s">
        <v>8335</v>
      </c>
      <c r="F1520" s="69" t="s">
        <v>8336</v>
      </c>
      <c r="I1520" s="2"/>
      <c r="K1520" s="82">
        <v>0.69679999999999997</v>
      </c>
    </row>
    <row r="1521" spans="1:13" ht="14.25" customHeight="1" x14ac:dyDescent="0.2">
      <c r="A1521" s="523">
        <v>42952</v>
      </c>
      <c r="B1521" s="862" t="s">
        <v>2416</v>
      </c>
      <c r="C1521" s="863" t="s">
        <v>2417</v>
      </c>
      <c r="D1521" s="1">
        <v>2.0011574074074074E-2</v>
      </c>
      <c r="E1521" s="80" t="s">
        <v>8290</v>
      </c>
      <c r="F1521" s="69" t="s">
        <v>8291</v>
      </c>
      <c r="I1521" s="2"/>
      <c r="K1521" s="82">
        <v>0.68310000000000004</v>
      </c>
    </row>
    <row r="1522" spans="1:13" ht="14.25" customHeight="1" x14ac:dyDescent="0.2">
      <c r="A1522" s="523">
        <v>42945</v>
      </c>
      <c r="B1522" s="568" t="s">
        <v>2416</v>
      </c>
      <c r="C1522" s="861" t="s">
        <v>2417</v>
      </c>
      <c r="D1522" s="1">
        <v>2.1412037037037035E-2</v>
      </c>
      <c r="E1522" s="80" t="s">
        <v>8264</v>
      </c>
      <c r="F1522" s="69" t="s">
        <v>8266</v>
      </c>
      <c r="I1522" s="2"/>
      <c r="K1522" s="82">
        <v>0.63839999999999997</v>
      </c>
      <c r="M1522" s="80"/>
    </row>
    <row r="1523" spans="1:13" ht="14.25" customHeight="1" x14ac:dyDescent="0.2">
      <c r="A1523" s="523">
        <v>42938</v>
      </c>
      <c r="B1523" s="532" t="s">
        <v>2416</v>
      </c>
      <c r="C1523" s="843" t="s">
        <v>2417</v>
      </c>
      <c r="D1523" s="1">
        <v>2.1435185185185186E-2</v>
      </c>
      <c r="E1523" s="80" t="s">
        <v>4727</v>
      </c>
      <c r="F1523" s="69" t="s">
        <v>4612</v>
      </c>
      <c r="I1523" s="2"/>
      <c r="K1523" s="82">
        <v>0.63770000000000004</v>
      </c>
      <c r="M1523" s="80"/>
    </row>
    <row r="1524" spans="1:13" ht="14.25" customHeight="1" x14ac:dyDescent="0.2">
      <c r="A1524" s="523">
        <v>42931</v>
      </c>
      <c r="B1524" s="837" t="s">
        <v>2416</v>
      </c>
      <c r="C1524" s="842" t="s">
        <v>2417</v>
      </c>
      <c r="D1524" s="1">
        <v>2.1157407407407406E-2</v>
      </c>
      <c r="E1524" s="80" t="s">
        <v>4727</v>
      </c>
      <c r="F1524" s="69" t="s">
        <v>8200</v>
      </c>
      <c r="I1524" s="2"/>
      <c r="K1524" s="82">
        <v>0.64610000000000001</v>
      </c>
      <c r="M1524" s="80"/>
    </row>
    <row r="1525" spans="1:13" ht="14.25" customHeight="1" x14ac:dyDescent="0.2">
      <c r="A1525" s="34">
        <v>42924</v>
      </c>
      <c r="B1525" s="80" t="s">
        <v>2416</v>
      </c>
      <c r="C1525" s="334" t="s">
        <v>2417</v>
      </c>
      <c r="D1525" s="1">
        <v>2.2349537037037032E-2</v>
      </c>
      <c r="E1525" s="80" t="s">
        <v>4727</v>
      </c>
      <c r="F1525" s="69" t="s">
        <v>8179</v>
      </c>
      <c r="I1525" s="2"/>
      <c r="K1525" s="82">
        <v>0.61160000000000003</v>
      </c>
    </row>
    <row r="1526" spans="1:13" ht="14.25" customHeight="1" x14ac:dyDescent="0.2">
      <c r="A1526" s="523">
        <v>42917</v>
      </c>
      <c r="B1526" s="80" t="s">
        <v>2416</v>
      </c>
      <c r="C1526" s="334" t="s">
        <v>2417</v>
      </c>
      <c r="D1526" s="1">
        <v>2.0868055555555556E-2</v>
      </c>
      <c r="E1526" s="80" t="s">
        <v>5885</v>
      </c>
      <c r="F1526" s="69" t="s">
        <v>8131</v>
      </c>
      <c r="I1526" s="2"/>
      <c r="K1526" s="82">
        <v>0.65500000000000003</v>
      </c>
    </row>
    <row r="1527" spans="1:13" ht="14.25" customHeight="1" x14ac:dyDescent="0.2">
      <c r="A1527" s="523">
        <v>42910</v>
      </c>
      <c r="B1527" s="80" t="s">
        <v>2416</v>
      </c>
      <c r="C1527" s="334" t="s">
        <v>2417</v>
      </c>
      <c r="D1527" s="334" t="s">
        <v>787</v>
      </c>
      <c r="E1527" s="80" t="s">
        <v>4727</v>
      </c>
      <c r="F1527" s="69" t="s">
        <v>3710</v>
      </c>
      <c r="I1527" s="2"/>
      <c r="K1527" s="82"/>
      <c r="M1527" s="80"/>
    </row>
    <row r="1528" spans="1:13" ht="14.25" customHeight="1" x14ac:dyDescent="0.2">
      <c r="A1528" s="523">
        <v>42903</v>
      </c>
      <c r="B1528" s="80" t="s">
        <v>2416</v>
      </c>
      <c r="C1528" s="334" t="s">
        <v>2417</v>
      </c>
      <c r="D1528" s="1">
        <v>2.2638888888888889E-2</v>
      </c>
      <c r="E1528" s="80" t="s">
        <v>4727</v>
      </c>
      <c r="F1528" s="69" t="s">
        <v>5920</v>
      </c>
      <c r="I1528" s="2"/>
      <c r="K1528" s="82">
        <v>0.6038</v>
      </c>
      <c r="M1528" s="80"/>
    </row>
    <row r="1529" spans="1:13" ht="14.25" customHeight="1" x14ac:dyDescent="0.2">
      <c r="A1529" s="523">
        <v>42896</v>
      </c>
      <c r="B1529" s="80" t="s">
        <v>2416</v>
      </c>
      <c r="C1529" s="334" t="s">
        <v>2417</v>
      </c>
      <c r="D1529" s="1">
        <v>2.1527777777777781E-2</v>
      </c>
      <c r="E1529" s="80" t="s">
        <v>4727</v>
      </c>
      <c r="F1529" s="69" t="s">
        <v>8019</v>
      </c>
      <c r="I1529" s="2"/>
      <c r="K1529" s="82">
        <v>0.63490000000000002</v>
      </c>
    </row>
    <row r="1530" spans="1:13" ht="14.25" customHeight="1" x14ac:dyDescent="0.2">
      <c r="A1530" s="523">
        <v>42889</v>
      </c>
      <c r="B1530" s="80" t="s">
        <v>2416</v>
      </c>
      <c r="C1530" s="334" t="s">
        <v>2417</v>
      </c>
      <c r="D1530" s="1">
        <v>2.2939814814814816E-2</v>
      </c>
      <c r="E1530" s="80" t="s">
        <v>4727</v>
      </c>
      <c r="F1530" s="69" t="s">
        <v>4277</v>
      </c>
      <c r="I1530" s="2"/>
      <c r="K1530" s="82">
        <v>0.59589999999999999</v>
      </c>
      <c r="M1530" s="80" t="s">
        <v>8265</v>
      </c>
    </row>
    <row r="1531" spans="1:13" ht="14.25" customHeight="1" x14ac:dyDescent="0.2">
      <c r="A1531" s="523">
        <v>42882</v>
      </c>
      <c r="B1531" s="80" t="s">
        <v>2416</v>
      </c>
      <c r="C1531" s="334" t="s">
        <v>2417</v>
      </c>
      <c r="D1531" s="1">
        <v>2.1608796296296296E-2</v>
      </c>
      <c r="E1531" s="80" t="s">
        <v>4727</v>
      </c>
      <c r="F1531" s="69" t="s">
        <v>5731</v>
      </c>
      <c r="I1531" s="2"/>
      <c r="K1531" s="82">
        <v>0.63260000000000005</v>
      </c>
      <c r="M1531" s="80" t="s">
        <v>8293</v>
      </c>
    </row>
    <row r="1532" spans="1:13" ht="14.25" customHeight="1" x14ac:dyDescent="0.2">
      <c r="A1532" s="523">
        <v>42875</v>
      </c>
      <c r="B1532" s="80" t="s">
        <v>2416</v>
      </c>
      <c r="C1532" s="334" t="s">
        <v>2417</v>
      </c>
      <c r="D1532" s="1">
        <v>2.179398148148148E-2</v>
      </c>
      <c r="E1532" s="80" t="s">
        <v>4727</v>
      </c>
      <c r="F1532" s="69" t="s">
        <v>938</v>
      </c>
      <c r="I1532" s="2"/>
      <c r="K1532" s="82">
        <v>0.62719999999999998</v>
      </c>
    </row>
    <row r="1533" spans="1:13" ht="14.25" customHeight="1" x14ac:dyDescent="0.2">
      <c r="A1533" s="523">
        <v>42868</v>
      </c>
      <c r="B1533" s="80" t="s">
        <v>2416</v>
      </c>
      <c r="C1533" s="334" t="s">
        <v>2417</v>
      </c>
      <c r="D1533" s="1">
        <v>2.2025462962962958E-2</v>
      </c>
      <c r="E1533" s="80" t="s">
        <v>4727</v>
      </c>
      <c r="F1533" s="69" t="s">
        <v>7890</v>
      </c>
      <c r="I1533" s="2"/>
      <c r="K1533" s="82">
        <v>0.62060000000000004</v>
      </c>
      <c r="M1533" s="80"/>
    </row>
    <row r="1534" spans="1:13" ht="14.25" customHeight="1" x14ac:dyDescent="0.2">
      <c r="A1534" s="523">
        <v>42861</v>
      </c>
      <c r="B1534" s="80" t="s">
        <v>2416</v>
      </c>
      <c r="C1534" s="334" t="s">
        <v>2417</v>
      </c>
      <c r="D1534" s="1">
        <v>2.1504629629629627E-2</v>
      </c>
      <c r="E1534" s="80" t="s">
        <v>4727</v>
      </c>
      <c r="F1534" s="69" t="s">
        <v>7847</v>
      </c>
      <c r="I1534" s="2"/>
      <c r="K1534" s="82">
        <v>0.63560000000000005</v>
      </c>
      <c r="M1534" s="80"/>
    </row>
    <row r="1535" spans="1:13" ht="14.25" customHeight="1" x14ac:dyDescent="0.2">
      <c r="A1535" s="523">
        <v>42854</v>
      </c>
      <c r="B1535" s="80" t="s">
        <v>2416</v>
      </c>
      <c r="C1535" s="334" t="s">
        <v>2417</v>
      </c>
      <c r="D1535" s="1">
        <v>2.0821759259259259E-2</v>
      </c>
      <c r="E1535" s="80" t="s">
        <v>7830</v>
      </c>
      <c r="F1535" s="69" t="s">
        <v>7831</v>
      </c>
      <c r="I1535" s="2"/>
      <c r="K1535" s="82">
        <v>0.65649999999999997</v>
      </c>
      <c r="M1535" s="80" t="s">
        <v>8466</v>
      </c>
    </row>
    <row r="1536" spans="1:13" ht="14.25" customHeight="1" x14ac:dyDescent="0.2">
      <c r="A1536" s="523">
        <v>42847</v>
      </c>
      <c r="B1536" s="80" t="s">
        <v>2416</v>
      </c>
      <c r="C1536" s="334" t="s">
        <v>2417</v>
      </c>
      <c r="D1536" s="1">
        <v>2.1365740740740741E-2</v>
      </c>
      <c r="E1536" s="80" t="s">
        <v>5456</v>
      </c>
      <c r="F1536" s="69" t="s">
        <v>7806</v>
      </c>
      <c r="I1536" s="2"/>
      <c r="K1536" s="82">
        <v>0.63060000000000005</v>
      </c>
      <c r="M1536" s="80"/>
    </row>
    <row r="1537" spans="1:13" ht="14.25" customHeight="1" x14ac:dyDescent="0.2">
      <c r="A1537" s="523">
        <v>42840</v>
      </c>
      <c r="B1537" s="80" t="s">
        <v>2416</v>
      </c>
      <c r="C1537" s="334" t="s">
        <v>2417</v>
      </c>
      <c r="D1537" s="1">
        <v>2.0937499999999998E-2</v>
      </c>
      <c r="E1537" t="s">
        <v>4727</v>
      </c>
      <c r="F1537" s="69" t="s">
        <v>5623</v>
      </c>
      <c r="I1537" s="2"/>
      <c r="K1537" s="82">
        <v>0.64339999999999997</v>
      </c>
      <c r="M1537" s="80"/>
    </row>
    <row r="1538" spans="1:13" ht="14.25" customHeight="1" x14ac:dyDescent="0.2">
      <c r="A1538" s="523">
        <v>42826</v>
      </c>
      <c r="B1538" s="80" t="s">
        <v>2416</v>
      </c>
      <c r="C1538" s="334" t="s">
        <v>2417</v>
      </c>
      <c r="D1538" s="1">
        <v>2.1388888888888888E-2</v>
      </c>
      <c r="E1538" s="80" t="s">
        <v>6393</v>
      </c>
      <c r="F1538" s="69" t="s">
        <v>7716</v>
      </c>
      <c r="I1538" s="2"/>
      <c r="K1538" s="82">
        <v>0.62990000000000002</v>
      </c>
      <c r="M1538" s="80"/>
    </row>
    <row r="1539" spans="1:13" ht="14.25" customHeight="1" x14ac:dyDescent="0.2">
      <c r="A1539" s="523">
        <v>42819</v>
      </c>
      <c r="B1539" s="80" t="s">
        <v>2416</v>
      </c>
      <c r="C1539" s="334" t="s">
        <v>2417</v>
      </c>
      <c r="D1539" s="1">
        <v>2.1180555555555553E-2</v>
      </c>
      <c r="E1539" s="80" t="s">
        <v>4727</v>
      </c>
      <c r="F1539" s="69" t="s">
        <v>4653</v>
      </c>
      <c r="I1539" s="2"/>
      <c r="K1539" s="82">
        <v>0.6361</v>
      </c>
      <c r="M1539" s="80"/>
    </row>
    <row r="1540" spans="1:13" ht="14.25" customHeight="1" x14ac:dyDescent="0.2">
      <c r="A1540" s="523">
        <v>42812</v>
      </c>
      <c r="B1540" s="80" t="s">
        <v>2416</v>
      </c>
      <c r="C1540" s="334" t="s">
        <v>2417</v>
      </c>
      <c r="D1540" s="1">
        <v>2.148148148148148E-2</v>
      </c>
      <c r="E1540" s="80" t="s">
        <v>4727</v>
      </c>
      <c r="F1540" s="69" t="s">
        <v>2506</v>
      </c>
      <c r="I1540" s="2"/>
      <c r="K1540" s="82">
        <v>0.62719999999999998</v>
      </c>
      <c r="M1540" s="80"/>
    </row>
    <row r="1541" spans="1:13" ht="14.25" customHeight="1" x14ac:dyDescent="0.2">
      <c r="A1541" s="33">
        <v>42805</v>
      </c>
      <c r="B1541" s="80" t="s">
        <v>2416</v>
      </c>
      <c r="C1541" s="334" t="s">
        <v>2417</v>
      </c>
      <c r="D1541" s="1">
        <v>2.1527777777777781E-2</v>
      </c>
      <c r="E1541" s="80" t="s">
        <v>5883</v>
      </c>
      <c r="F1541" s="69" t="s">
        <v>7637</v>
      </c>
      <c r="I1541" s="2"/>
      <c r="K1541" s="82">
        <v>0.62580000000000002</v>
      </c>
      <c r="M1541" s="80"/>
    </row>
    <row r="1542" spans="1:13" ht="14.25" customHeight="1" x14ac:dyDescent="0.2">
      <c r="A1542" s="523">
        <v>42798</v>
      </c>
      <c r="B1542" t="s">
        <v>2416</v>
      </c>
      <c r="C1542" s="334" t="s">
        <v>2417</v>
      </c>
      <c r="D1542" s="1">
        <v>2.1435185185185186E-2</v>
      </c>
      <c r="E1542" s="80" t="s">
        <v>4727</v>
      </c>
      <c r="F1542" s="69" t="s">
        <v>343</v>
      </c>
      <c r="I1542" s="2"/>
      <c r="K1542" s="82">
        <v>0.62849999999999995</v>
      </c>
      <c r="M1542" s="80"/>
    </row>
    <row r="1543" spans="1:13" ht="14.25" customHeight="1" x14ac:dyDescent="0.2">
      <c r="A1543" s="523">
        <v>42791</v>
      </c>
      <c r="B1543" s="80" t="s">
        <v>2416</v>
      </c>
      <c r="C1543" s="334" t="s">
        <v>2417</v>
      </c>
      <c r="D1543" s="1">
        <v>2.0625000000000001E-2</v>
      </c>
      <c r="E1543" s="80" t="s">
        <v>4727</v>
      </c>
      <c r="F1543" s="69" t="s">
        <v>5504</v>
      </c>
      <c r="I1543" s="2"/>
      <c r="K1543" s="82">
        <v>0.6532</v>
      </c>
      <c r="M1543" s="80"/>
    </row>
    <row r="1544" spans="1:13" ht="14.25" customHeight="1" x14ac:dyDescent="0.2">
      <c r="A1544" s="523">
        <v>42749</v>
      </c>
      <c r="B1544" s="80" t="s">
        <v>2416</v>
      </c>
      <c r="C1544" s="334" t="s">
        <v>2417</v>
      </c>
      <c r="D1544" s="1">
        <v>2.0844907407407406E-2</v>
      </c>
      <c r="E1544" s="80" t="s">
        <v>5653</v>
      </c>
      <c r="F1544" s="69" t="s">
        <v>6302</v>
      </c>
      <c r="I1544" s="2"/>
      <c r="K1544" s="82">
        <v>0.64629999999999999</v>
      </c>
      <c r="M1544" s="80"/>
    </row>
    <row r="1545" spans="1:13" ht="14.25" customHeight="1" x14ac:dyDescent="0.2">
      <c r="A1545" s="33">
        <v>42742</v>
      </c>
      <c r="B1545" s="80" t="s">
        <v>2416</v>
      </c>
      <c r="C1545" s="334" t="s">
        <v>2417</v>
      </c>
      <c r="D1545" s="1">
        <v>2.1388888888888888E-2</v>
      </c>
      <c r="E1545" s="80" t="s">
        <v>4727</v>
      </c>
      <c r="F1545" s="69" t="s">
        <v>346</v>
      </c>
      <c r="I1545" s="2"/>
      <c r="K1545" s="82">
        <v>0.62990000000000002</v>
      </c>
      <c r="M1545" s="80"/>
    </row>
    <row r="1546" spans="1:13" ht="14.25" customHeight="1" x14ac:dyDescent="0.2">
      <c r="A1546" s="523">
        <v>42736</v>
      </c>
      <c r="B1546" s="80" t="s">
        <v>2416</v>
      </c>
      <c r="C1546" s="334" t="s">
        <v>2417</v>
      </c>
      <c r="D1546" s="1">
        <v>2.0729166666666667E-2</v>
      </c>
      <c r="E1546" s="80" t="s">
        <v>4727</v>
      </c>
      <c r="F1546" s="69" t="s">
        <v>6225</v>
      </c>
      <c r="I1546" s="2"/>
      <c r="K1546" s="82">
        <v>0.64990000000000003</v>
      </c>
      <c r="M1546" s="80"/>
    </row>
    <row r="1547" spans="1:13" ht="14.25" customHeight="1" x14ac:dyDescent="0.2">
      <c r="A1547" s="523">
        <v>43099</v>
      </c>
      <c r="B1547" s="601" t="s">
        <v>866</v>
      </c>
      <c r="C1547" s="958" t="s">
        <v>2417</v>
      </c>
      <c r="D1547" s="1">
        <v>2.2280092592592591E-2</v>
      </c>
      <c r="E1547" s="80" t="s">
        <v>4727</v>
      </c>
      <c r="F1547" s="69" t="s">
        <v>1850</v>
      </c>
      <c r="I1547" s="2"/>
      <c r="K1547" s="82">
        <v>0.51319999999999999</v>
      </c>
    </row>
    <row r="1548" spans="1:13" ht="14.25" customHeight="1" x14ac:dyDescent="0.2">
      <c r="A1548" s="965">
        <v>43094</v>
      </c>
      <c r="B1548" s="962" t="s">
        <v>866</v>
      </c>
      <c r="C1548" s="963" t="s">
        <v>2417</v>
      </c>
      <c r="D1548" s="1">
        <v>1.744212962962963E-2</v>
      </c>
      <c r="E1548" s="80" t="s">
        <v>2635</v>
      </c>
      <c r="F1548" s="69" t="s">
        <v>8986</v>
      </c>
      <c r="I1548" s="2"/>
      <c r="K1548" s="82">
        <v>0.65559999999999996</v>
      </c>
    </row>
    <row r="1549" spans="1:13" ht="14.25" customHeight="1" x14ac:dyDescent="0.2">
      <c r="A1549" s="33">
        <v>43092</v>
      </c>
      <c r="B1549" s="568" t="s">
        <v>866</v>
      </c>
      <c r="C1549" s="861" t="s">
        <v>2417</v>
      </c>
      <c r="D1549" s="80" t="s">
        <v>787</v>
      </c>
      <c r="E1549" s="80" t="s">
        <v>4727</v>
      </c>
      <c r="F1549" s="69" t="s">
        <v>5508</v>
      </c>
      <c r="G1549" s="5"/>
      <c r="H1549" s="2"/>
      <c r="I1549" s="2"/>
      <c r="K1549" s="82"/>
    </row>
    <row r="1550" spans="1:13" ht="14.25" customHeight="1" x14ac:dyDescent="0.2">
      <c r="A1550" s="523">
        <v>43085</v>
      </c>
      <c r="B1550" s="601" t="s">
        <v>866</v>
      </c>
      <c r="C1550" s="958" t="s">
        <v>2417</v>
      </c>
      <c r="D1550" s="1">
        <v>2.2465277777777778E-2</v>
      </c>
      <c r="E1550" s="80" t="s">
        <v>4727</v>
      </c>
      <c r="F1550" s="69" t="s">
        <v>5474</v>
      </c>
      <c r="I1550" s="2"/>
      <c r="K1550" s="82">
        <v>0.50900000000000001</v>
      </c>
      <c r="M1550" s="45">
        <v>900</v>
      </c>
    </row>
    <row r="1551" spans="1:13" ht="14.25" customHeight="1" x14ac:dyDescent="0.2">
      <c r="A1551" s="523">
        <v>43078</v>
      </c>
      <c r="B1551" s="879" t="s">
        <v>866</v>
      </c>
      <c r="C1551" s="880" t="s">
        <v>2417</v>
      </c>
      <c r="D1551" s="1">
        <v>1.7673611111111109E-2</v>
      </c>
      <c r="E1551" s="80" t="s">
        <v>4727</v>
      </c>
      <c r="F1551" s="69" t="s">
        <v>8918</v>
      </c>
      <c r="I1551" s="2"/>
      <c r="K1551" s="82">
        <v>0.64700000000000002</v>
      </c>
    </row>
    <row r="1552" spans="1:13" ht="14.25" customHeight="1" x14ac:dyDescent="0.2">
      <c r="A1552" s="523">
        <v>43071</v>
      </c>
      <c r="B1552" s="556" t="s">
        <v>866</v>
      </c>
      <c r="C1552" s="950" t="s">
        <v>2417</v>
      </c>
      <c r="D1552" s="1">
        <v>2.390046296296296E-2</v>
      </c>
      <c r="E1552" s="80" t="s">
        <v>8890</v>
      </c>
      <c r="F1552" s="69" t="s">
        <v>8892</v>
      </c>
      <c r="I1552" s="2"/>
      <c r="K1552" s="82">
        <v>0.47849999999999998</v>
      </c>
    </row>
    <row r="1553" spans="1:13" ht="14.25" customHeight="1" x14ac:dyDescent="0.2">
      <c r="A1553" s="523">
        <v>43064</v>
      </c>
      <c r="B1553" s="869" t="s">
        <v>866</v>
      </c>
      <c r="C1553" s="903" t="s">
        <v>2417</v>
      </c>
      <c r="D1553" s="1">
        <v>2.1215277777777777E-2</v>
      </c>
      <c r="E1553" s="80" t="s">
        <v>5653</v>
      </c>
      <c r="F1553" s="69" t="s">
        <v>8839</v>
      </c>
      <c r="I1553" s="2"/>
      <c r="K1553" s="82">
        <v>0.53900000000000003</v>
      </c>
    </row>
    <row r="1554" spans="1:13" ht="14.25" customHeight="1" x14ac:dyDescent="0.2">
      <c r="A1554" s="523">
        <v>43057</v>
      </c>
      <c r="B1554" s="940" t="s">
        <v>866</v>
      </c>
      <c r="C1554" s="941" t="s">
        <v>2417</v>
      </c>
      <c r="D1554" s="1">
        <v>2.164351851851852E-2</v>
      </c>
      <c r="E1554" s="80" t="s">
        <v>4727</v>
      </c>
      <c r="F1554" s="69" t="s">
        <v>8805</v>
      </c>
      <c r="I1554" s="2"/>
      <c r="K1554" s="82">
        <v>0.52829999999999999</v>
      </c>
    </row>
    <row r="1555" spans="1:13" ht="14.25" customHeight="1" x14ac:dyDescent="0.2">
      <c r="A1555" s="523">
        <v>43043</v>
      </c>
      <c r="B1555" s="936" t="s">
        <v>866</v>
      </c>
      <c r="C1555" s="937" t="s">
        <v>2417</v>
      </c>
      <c r="D1555" s="1">
        <v>2.1527777777777781E-2</v>
      </c>
      <c r="E1555" s="80" t="s">
        <v>4727</v>
      </c>
      <c r="F1555" s="69" t="s">
        <v>1053</v>
      </c>
      <c r="I1555" s="2"/>
      <c r="K1555" s="82">
        <v>0.53120000000000001</v>
      </c>
    </row>
    <row r="1556" spans="1:13" ht="14.25" customHeight="1" x14ac:dyDescent="0.2">
      <c r="A1556" s="523">
        <v>43036</v>
      </c>
      <c r="B1556" s="934" t="s">
        <v>866</v>
      </c>
      <c r="C1556" s="935" t="s">
        <v>2417</v>
      </c>
      <c r="D1556" s="1">
        <v>2.1851851851851848E-2</v>
      </c>
      <c r="E1556" s="80" t="s">
        <v>4727</v>
      </c>
      <c r="F1556" s="69" t="s">
        <v>1098</v>
      </c>
      <c r="I1556" s="2"/>
      <c r="K1556" s="82">
        <v>0.52329999999999999</v>
      </c>
    </row>
    <row r="1557" spans="1:13" ht="14.25" customHeight="1" x14ac:dyDescent="0.2">
      <c r="A1557" s="523">
        <v>43029</v>
      </c>
      <c r="B1557" s="901" t="s">
        <v>866</v>
      </c>
      <c r="C1557" s="902" t="s">
        <v>2417</v>
      </c>
      <c r="D1557" s="1">
        <v>2.165509259259259E-2</v>
      </c>
      <c r="E1557" s="80" t="s">
        <v>4727</v>
      </c>
      <c r="F1557" s="69" t="s">
        <v>5622</v>
      </c>
      <c r="I1557" s="2"/>
      <c r="K1557" s="82">
        <v>0.52810000000000001</v>
      </c>
    </row>
    <row r="1558" spans="1:13" ht="14.25" customHeight="1" x14ac:dyDescent="0.2">
      <c r="A1558" s="523">
        <v>43022</v>
      </c>
      <c r="B1558" s="930" t="s">
        <v>866</v>
      </c>
      <c r="C1558" s="931" t="s">
        <v>2417</v>
      </c>
      <c r="D1558" s="1">
        <v>2.1724537037037039E-2</v>
      </c>
      <c r="E1558" s="80" t="s">
        <v>4473</v>
      </c>
      <c r="F1558" s="69" t="s">
        <v>8686</v>
      </c>
      <c r="I1558" s="2"/>
      <c r="K1558" s="82">
        <v>0.52639999999999998</v>
      </c>
    </row>
    <row r="1559" spans="1:13" ht="14.25" customHeight="1" x14ac:dyDescent="0.2">
      <c r="A1559" s="523">
        <v>43015</v>
      </c>
      <c r="B1559" s="923" t="s">
        <v>866</v>
      </c>
      <c r="C1559" s="924" t="s">
        <v>2417</v>
      </c>
      <c r="D1559" s="1">
        <v>2.4375000000000004E-2</v>
      </c>
      <c r="E1559" s="80" t="s">
        <v>4817</v>
      </c>
      <c r="F1559" s="69" t="s">
        <v>8619</v>
      </c>
      <c r="I1559" s="2"/>
      <c r="K1559" s="82">
        <v>0.49609999999999999</v>
      </c>
      <c r="M1559" s="80"/>
    </row>
    <row r="1560" spans="1:13" ht="14.25" customHeight="1" x14ac:dyDescent="0.2">
      <c r="A1560" s="523">
        <v>43008</v>
      </c>
      <c r="B1560" s="532" t="s">
        <v>866</v>
      </c>
      <c r="C1560" s="843" t="s">
        <v>2417</v>
      </c>
      <c r="D1560" s="334" t="s">
        <v>787</v>
      </c>
      <c r="E1560" s="80" t="s">
        <v>4727</v>
      </c>
      <c r="F1560" s="69" t="s">
        <v>1549</v>
      </c>
      <c r="I1560" s="2"/>
      <c r="K1560" s="82"/>
      <c r="M1560" s="80"/>
    </row>
    <row r="1561" spans="1:13" ht="14.25" customHeight="1" x14ac:dyDescent="0.2">
      <c r="A1561" s="523">
        <v>43001</v>
      </c>
      <c r="B1561" s="906" t="s">
        <v>866</v>
      </c>
      <c r="C1561" s="907" t="s">
        <v>2417</v>
      </c>
      <c r="D1561" s="1">
        <v>2.2222222222222223E-2</v>
      </c>
      <c r="E1561" s="80" t="s">
        <v>3702</v>
      </c>
      <c r="F1561" s="69" t="s">
        <v>8569</v>
      </c>
      <c r="I1561" s="2"/>
      <c r="K1561" s="82">
        <v>0.51459999999999995</v>
      </c>
    </row>
    <row r="1562" spans="1:13" ht="14.25" customHeight="1" x14ac:dyDescent="0.2">
      <c r="A1562" s="523">
        <v>42987</v>
      </c>
      <c r="B1562" s="532" t="s">
        <v>866</v>
      </c>
      <c r="C1562" s="843" t="s">
        <v>2417</v>
      </c>
      <c r="D1562" s="1">
        <v>2.1400462962962965E-2</v>
      </c>
      <c r="E1562" s="80" t="s">
        <v>4727</v>
      </c>
      <c r="F1562" s="69" t="s">
        <v>917</v>
      </c>
      <c r="I1562" s="2"/>
      <c r="K1562" s="82">
        <v>0.5343</v>
      </c>
      <c r="M1562" s="80"/>
    </row>
    <row r="1563" spans="1:13" ht="14.25" customHeight="1" x14ac:dyDescent="0.2">
      <c r="A1563" s="523">
        <v>42980</v>
      </c>
      <c r="B1563" s="837" t="s">
        <v>866</v>
      </c>
      <c r="C1563" s="842" t="s">
        <v>2417</v>
      </c>
      <c r="D1563" s="1">
        <v>2.2499999999999996E-2</v>
      </c>
      <c r="E1563" s="80" t="s">
        <v>8449</v>
      </c>
      <c r="F1563" s="69" t="s">
        <v>8451</v>
      </c>
      <c r="I1563" s="2"/>
      <c r="K1563" s="82">
        <v>0.50819999999999999</v>
      </c>
    </row>
    <row r="1564" spans="1:13" ht="14.25" customHeight="1" x14ac:dyDescent="0.2">
      <c r="A1564" s="523">
        <v>42973</v>
      </c>
      <c r="B1564" s="862" t="s">
        <v>866</v>
      </c>
      <c r="C1564" s="863" t="s">
        <v>2417</v>
      </c>
      <c r="D1564" s="1">
        <v>2.1550925925925928E-2</v>
      </c>
      <c r="E1564" s="80" t="s">
        <v>4727</v>
      </c>
      <c r="F1564" s="69" t="s">
        <v>3709</v>
      </c>
      <c r="I1564" s="2"/>
      <c r="K1564" s="82">
        <v>0.53049999999999997</v>
      </c>
      <c r="M1564" s="80"/>
    </row>
    <row r="1565" spans="1:13" ht="14.25" customHeight="1" x14ac:dyDescent="0.2">
      <c r="A1565" s="523">
        <v>42966</v>
      </c>
      <c r="B1565" s="879" t="s">
        <v>866</v>
      </c>
      <c r="C1565" s="880" t="s">
        <v>2417</v>
      </c>
      <c r="D1565" s="1">
        <v>2.1365740740740741E-2</v>
      </c>
      <c r="E1565" s="80" t="s">
        <v>8377</v>
      </c>
      <c r="F1565" s="69" t="s">
        <v>1485</v>
      </c>
      <c r="I1565" s="2"/>
      <c r="K1565" s="82">
        <v>0.53549999999999998</v>
      </c>
      <c r="M1565" s="80"/>
    </row>
    <row r="1566" spans="1:13" ht="14.25" customHeight="1" x14ac:dyDescent="0.2">
      <c r="A1566" s="523">
        <v>42959</v>
      </c>
      <c r="B1566" s="866" t="s">
        <v>866</v>
      </c>
      <c r="C1566" s="867" t="s">
        <v>2417</v>
      </c>
      <c r="D1566" s="1">
        <v>1.9629629629629629E-2</v>
      </c>
      <c r="E1566" s="80" t="s">
        <v>8335</v>
      </c>
      <c r="F1566" s="69" t="s">
        <v>8337</v>
      </c>
      <c r="I1566" s="2"/>
      <c r="K1566" s="82">
        <v>0.58250000000000002</v>
      </c>
      <c r="M1566" s="80"/>
    </row>
    <row r="1567" spans="1:13" ht="14.25" customHeight="1" x14ac:dyDescent="0.2">
      <c r="A1567" s="523">
        <v>42952</v>
      </c>
      <c r="B1567" s="862" t="s">
        <v>866</v>
      </c>
      <c r="C1567" s="863" t="s">
        <v>2417</v>
      </c>
      <c r="D1567" s="1">
        <v>2.0011574074074074E-2</v>
      </c>
      <c r="E1567" s="80" t="s">
        <v>8290</v>
      </c>
      <c r="F1567" s="69" t="s">
        <v>8292</v>
      </c>
      <c r="I1567" s="2"/>
      <c r="K1567" s="82">
        <v>0.57140000000000002</v>
      </c>
      <c r="M1567" s="80"/>
    </row>
    <row r="1568" spans="1:13" ht="14.25" customHeight="1" x14ac:dyDescent="0.2">
      <c r="A1568" s="523">
        <v>42945</v>
      </c>
      <c r="B1568" s="568" t="s">
        <v>866</v>
      </c>
      <c r="C1568" s="861" t="s">
        <v>2417</v>
      </c>
      <c r="D1568" s="1">
        <v>2.1423611111111112E-2</v>
      </c>
      <c r="E1568" s="80" t="s">
        <v>8264</v>
      </c>
      <c r="F1568" s="69" t="s">
        <v>8267</v>
      </c>
      <c r="I1568" s="2"/>
      <c r="K1568" s="82">
        <v>0.53380000000000005</v>
      </c>
    </row>
    <row r="1569" spans="1:13" ht="14.25" customHeight="1" x14ac:dyDescent="0.2">
      <c r="A1569" s="523">
        <v>42938</v>
      </c>
      <c r="B1569" s="532" t="s">
        <v>866</v>
      </c>
      <c r="C1569" s="843" t="s">
        <v>2417</v>
      </c>
      <c r="D1569" s="1">
        <v>2.1458333333333333E-2</v>
      </c>
      <c r="E1569" s="80" t="s">
        <v>4727</v>
      </c>
      <c r="F1569" s="69" t="s">
        <v>1237</v>
      </c>
      <c r="I1569" s="2"/>
      <c r="K1569" s="82">
        <v>0.53290000000000004</v>
      </c>
    </row>
    <row r="1570" spans="1:13" ht="14.25" customHeight="1" x14ac:dyDescent="0.2">
      <c r="A1570" s="523">
        <v>42931</v>
      </c>
      <c r="B1570" s="837" t="s">
        <v>866</v>
      </c>
      <c r="C1570" s="842" t="s">
        <v>2417</v>
      </c>
      <c r="D1570" s="1">
        <v>1.726851851851852E-2</v>
      </c>
      <c r="E1570" s="80" t="s">
        <v>1534</v>
      </c>
      <c r="F1570" s="69" t="s">
        <v>4589</v>
      </c>
      <c r="I1570" s="2"/>
      <c r="K1570" s="82">
        <v>0.66220000000000001</v>
      </c>
      <c r="M1570" s="80"/>
    </row>
    <row r="1571" spans="1:13" ht="14.25" customHeight="1" x14ac:dyDescent="0.2">
      <c r="A1571" s="34">
        <v>42924</v>
      </c>
      <c r="B1571" s="80" t="s">
        <v>866</v>
      </c>
      <c r="C1571" s="334" t="s">
        <v>2417</v>
      </c>
      <c r="D1571" s="1">
        <v>2.2349537037037032E-2</v>
      </c>
      <c r="E1571" s="80" t="s">
        <v>4727</v>
      </c>
      <c r="F1571" s="69" t="s">
        <v>8180</v>
      </c>
      <c r="I1571" s="2"/>
      <c r="K1571" s="82">
        <v>0.51170000000000004</v>
      </c>
      <c r="M1571" s="80"/>
    </row>
    <row r="1572" spans="1:13" ht="14.25" customHeight="1" x14ac:dyDescent="0.2">
      <c r="A1572" s="523">
        <v>42917</v>
      </c>
      <c r="B1572" s="80" t="s">
        <v>866</v>
      </c>
      <c r="C1572" s="334" t="s">
        <v>2417</v>
      </c>
      <c r="D1572" s="1">
        <v>2.0879629629629626E-2</v>
      </c>
      <c r="E1572" s="80" t="s">
        <v>5885</v>
      </c>
      <c r="F1572" s="69" t="s">
        <v>8131</v>
      </c>
      <c r="I1572" s="2"/>
      <c r="K1572" s="82">
        <v>0.54769999999999996</v>
      </c>
      <c r="M1572" s="80"/>
    </row>
    <row r="1573" spans="1:13" ht="14.25" customHeight="1" x14ac:dyDescent="0.2">
      <c r="A1573" s="523">
        <v>42910</v>
      </c>
      <c r="B1573" s="80" t="s">
        <v>866</v>
      </c>
      <c r="C1573" s="334" t="s">
        <v>2417</v>
      </c>
      <c r="D1573" s="334" t="s">
        <v>787</v>
      </c>
      <c r="E1573" s="80" t="s">
        <v>4727</v>
      </c>
      <c r="F1573" s="69" t="s">
        <v>3710</v>
      </c>
      <c r="I1573" s="2"/>
      <c r="K1573" s="82"/>
    </row>
    <row r="1574" spans="1:13" ht="14.25" customHeight="1" x14ac:dyDescent="0.2">
      <c r="A1574" s="523">
        <v>42903</v>
      </c>
      <c r="B1574" s="80" t="s">
        <v>866</v>
      </c>
      <c r="C1574" s="334" t="s">
        <v>2417</v>
      </c>
      <c r="D1574" s="1">
        <v>2.2650462962962966E-2</v>
      </c>
      <c r="E1574" s="80" t="s">
        <v>4727</v>
      </c>
      <c r="F1574" s="69" t="s">
        <v>5516</v>
      </c>
      <c r="I1574" s="2"/>
      <c r="K1574" s="82">
        <v>0.50490000000000002</v>
      </c>
    </row>
    <row r="1575" spans="1:13" ht="14.25" customHeight="1" x14ac:dyDescent="0.2">
      <c r="A1575" s="523">
        <v>42896</v>
      </c>
      <c r="B1575" s="80" t="s">
        <v>866</v>
      </c>
      <c r="C1575" s="334" t="s">
        <v>2417</v>
      </c>
      <c r="D1575" s="1">
        <v>2.1539351851851851E-2</v>
      </c>
      <c r="E1575" s="80" t="s">
        <v>4727</v>
      </c>
      <c r="F1575" s="69" t="s">
        <v>8020</v>
      </c>
      <c r="I1575" s="2"/>
      <c r="K1575" s="82">
        <v>0.53090000000000004</v>
      </c>
      <c r="M1575" s="80"/>
    </row>
    <row r="1576" spans="1:13" ht="14.25" customHeight="1" x14ac:dyDescent="0.2">
      <c r="A1576" s="523">
        <v>42889</v>
      </c>
      <c r="B1576" s="80" t="s">
        <v>866</v>
      </c>
      <c r="C1576" s="334" t="s">
        <v>2417</v>
      </c>
      <c r="D1576" s="1">
        <v>1.7094907407407409E-2</v>
      </c>
      <c r="E1576" s="80" t="s">
        <v>1534</v>
      </c>
      <c r="F1576" s="69" t="s">
        <v>7997</v>
      </c>
      <c r="I1576" s="2"/>
      <c r="K1576" s="82">
        <v>0.66890000000000005</v>
      </c>
      <c r="M1576" s="80"/>
    </row>
    <row r="1577" spans="1:13" ht="14.25" customHeight="1" x14ac:dyDescent="0.2">
      <c r="A1577" s="523">
        <v>42882</v>
      </c>
      <c r="B1577" s="80" t="s">
        <v>866</v>
      </c>
      <c r="C1577" s="334" t="s">
        <v>2417</v>
      </c>
      <c r="D1577" s="1">
        <v>2.1608796296296296E-2</v>
      </c>
      <c r="E1577" s="80" t="s">
        <v>4727</v>
      </c>
      <c r="F1577" s="69" t="s">
        <v>4940</v>
      </c>
      <c r="I1577" s="2"/>
      <c r="K1577" s="82">
        <v>0.5292</v>
      </c>
    </row>
    <row r="1578" spans="1:13" ht="14.25" customHeight="1" x14ac:dyDescent="0.2">
      <c r="A1578" s="523">
        <v>42875</v>
      </c>
      <c r="B1578" s="80" t="s">
        <v>866</v>
      </c>
      <c r="C1578" s="334" t="s">
        <v>2417</v>
      </c>
      <c r="D1578" s="1">
        <v>2.179398148148148E-2</v>
      </c>
      <c r="E1578" s="80" t="s">
        <v>4727</v>
      </c>
      <c r="F1578" s="69" t="s">
        <v>7929</v>
      </c>
      <c r="I1578" s="2"/>
      <c r="K1578" s="82">
        <v>0.52470000000000006</v>
      </c>
      <c r="M1578" s="80"/>
    </row>
    <row r="1579" spans="1:13" ht="14.25" customHeight="1" x14ac:dyDescent="0.2">
      <c r="A1579" s="523">
        <v>42868</v>
      </c>
      <c r="B1579" s="80" t="s">
        <v>866</v>
      </c>
      <c r="C1579" s="334" t="s">
        <v>2417</v>
      </c>
      <c r="D1579" s="1">
        <v>2.2037037037037036E-2</v>
      </c>
      <c r="E1579" s="80" t="s">
        <v>4727</v>
      </c>
      <c r="F1579" s="69" t="s">
        <v>7891</v>
      </c>
      <c r="I1579" s="2"/>
      <c r="K1579" s="82">
        <v>0.51890000000000003</v>
      </c>
      <c r="M1579" s="80"/>
    </row>
    <row r="1580" spans="1:13" ht="14.25" customHeight="1" x14ac:dyDescent="0.2">
      <c r="A1580" s="523">
        <v>42861</v>
      </c>
      <c r="B1580" s="80" t="s">
        <v>866</v>
      </c>
      <c r="C1580" s="334" t="s">
        <v>2417</v>
      </c>
      <c r="D1580" s="1">
        <v>2.1516203703703704E-2</v>
      </c>
      <c r="E1580" s="80" t="s">
        <v>4727</v>
      </c>
      <c r="F1580" s="69" t="s">
        <v>7848</v>
      </c>
      <c r="I1580" s="2"/>
      <c r="K1580" s="82">
        <v>0.53149999999999997</v>
      </c>
    </row>
    <row r="1581" spans="1:13" ht="14.25" customHeight="1" x14ac:dyDescent="0.2">
      <c r="A1581" s="523">
        <v>42854</v>
      </c>
      <c r="B1581" s="80" t="s">
        <v>866</v>
      </c>
      <c r="C1581" s="334" t="s">
        <v>2417</v>
      </c>
      <c r="D1581" s="1">
        <v>2.0821759259259259E-2</v>
      </c>
      <c r="E1581" s="80" t="s">
        <v>7830</v>
      </c>
      <c r="F1581" s="69" t="s">
        <v>7831</v>
      </c>
      <c r="I1581" s="2"/>
      <c r="K1581" s="82">
        <v>0.54920000000000002</v>
      </c>
      <c r="M1581" s="80"/>
    </row>
    <row r="1582" spans="1:13" ht="14.25" customHeight="1" x14ac:dyDescent="0.2">
      <c r="A1582" s="523">
        <v>42847</v>
      </c>
      <c r="B1582" s="80" t="s">
        <v>866</v>
      </c>
      <c r="C1582" s="334" t="s">
        <v>2417</v>
      </c>
      <c r="D1582" s="1">
        <v>2.1377314814814818E-2</v>
      </c>
      <c r="E1582" s="80" t="s">
        <v>5456</v>
      </c>
      <c r="F1582" s="69" t="s">
        <v>7810</v>
      </c>
      <c r="I1582" s="2"/>
      <c r="K1582" s="82">
        <v>0.53490000000000004</v>
      </c>
      <c r="M1582" s="80"/>
    </row>
    <row r="1583" spans="1:13" ht="14.25" customHeight="1" x14ac:dyDescent="0.2">
      <c r="A1583" s="523">
        <v>42840</v>
      </c>
      <c r="B1583" s="80" t="s">
        <v>866</v>
      </c>
      <c r="C1583" s="334" t="s">
        <v>2417</v>
      </c>
      <c r="D1583" s="1">
        <v>2.0949074074074075E-2</v>
      </c>
      <c r="E1583" t="s">
        <v>4727</v>
      </c>
      <c r="F1583" s="69" t="s">
        <v>4612</v>
      </c>
      <c r="I1583" s="2"/>
      <c r="K1583" s="82">
        <v>0.54590000000000005</v>
      </c>
      <c r="M1583" s="80"/>
    </row>
    <row r="1584" spans="1:13" ht="14.25" customHeight="1" x14ac:dyDescent="0.2">
      <c r="A1584" s="523">
        <v>42833</v>
      </c>
      <c r="B1584" s="80" t="s">
        <v>866</v>
      </c>
      <c r="C1584" s="334" t="s">
        <v>2417</v>
      </c>
      <c r="D1584" s="334" t="s">
        <v>787</v>
      </c>
      <c r="E1584" s="80" t="s">
        <v>4727</v>
      </c>
      <c r="F1584" s="69" t="s">
        <v>5699</v>
      </c>
      <c r="I1584" s="2"/>
      <c r="K1584" s="82"/>
      <c r="M1584" s="80"/>
    </row>
    <row r="1585" spans="1:13" ht="14.25" customHeight="1" x14ac:dyDescent="0.2">
      <c r="A1585" s="523">
        <v>42826</v>
      </c>
      <c r="B1585" s="80" t="s">
        <v>866</v>
      </c>
      <c r="C1585" s="334" t="s">
        <v>2417</v>
      </c>
      <c r="D1585" s="1">
        <v>2.1400462962962965E-2</v>
      </c>
      <c r="E1585" s="80" t="s">
        <v>6393</v>
      </c>
      <c r="F1585" s="69" t="s">
        <v>7717</v>
      </c>
      <c r="I1585" s="2"/>
      <c r="K1585" s="82">
        <v>0.5343</v>
      </c>
      <c r="M1585" s="80"/>
    </row>
    <row r="1586" spans="1:13" ht="14.25" customHeight="1" x14ac:dyDescent="0.2">
      <c r="A1586" s="523">
        <v>42819</v>
      </c>
      <c r="B1586" t="s">
        <v>866</v>
      </c>
      <c r="C1586" s="334" t="s">
        <v>2417</v>
      </c>
      <c r="D1586" s="1">
        <v>2.119212962962963E-2</v>
      </c>
      <c r="E1586" s="80" t="s">
        <v>4727</v>
      </c>
      <c r="F1586" s="69" t="s">
        <v>1537</v>
      </c>
      <c r="I1586" s="2"/>
      <c r="K1586" s="82">
        <v>0.53959999999999997</v>
      </c>
      <c r="M1586" s="80"/>
    </row>
    <row r="1587" spans="1:13" ht="14.25" customHeight="1" x14ac:dyDescent="0.2">
      <c r="A1587" s="523">
        <v>42812</v>
      </c>
      <c r="B1587" s="80" t="s">
        <v>866</v>
      </c>
      <c r="C1587" s="334" t="s">
        <v>2417</v>
      </c>
      <c r="D1587" s="1">
        <v>2.148148148148148E-2</v>
      </c>
      <c r="E1587" s="80" t="s">
        <v>4727</v>
      </c>
      <c r="F1587" s="69" t="s">
        <v>3004</v>
      </c>
      <c r="I1587" s="2"/>
      <c r="K1587" s="82">
        <v>0.5323</v>
      </c>
      <c r="M1587" s="80"/>
    </row>
    <row r="1588" spans="1:13" ht="14.25" customHeight="1" x14ac:dyDescent="0.2">
      <c r="A1588" s="33">
        <v>42805</v>
      </c>
      <c r="B1588" s="80" t="s">
        <v>866</v>
      </c>
      <c r="C1588" s="334" t="s">
        <v>2417</v>
      </c>
      <c r="D1588" s="1">
        <v>2.1539351851851851E-2</v>
      </c>
      <c r="E1588" s="80" t="s">
        <v>5883</v>
      </c>
      <c r="F1588" s="69" t="s">
        <v>7638</v>
      </c>
      <c r="I1588" s="2"/>
      <c r="K1588" s="82">
        <v>0.53090000000000004</v>
      </c>
      <c r="M1588" s="80"/>
    </row>
    <row r="1589" spans="1:13" ht="14.25" customHeight="1" x14ac:dyDescent="0.2">
      <c r="A1589" s="523">
        <v>42798</v>
      </c>
      <c r="B1589" t="s">
        <v>866</v>
      </c>
      <c r="C1589" s="334" t="s">
        <v>2417</v>
      </c>
      <c r="D1589" s="1">
        <v>2.1446759259259259E-2</v>
      </c>
      <c r="E1589" s="80" t="s">
        <v>4727</v>
      </c>
      <c r="F1589" s="69" t="s">
        <v>5993</v>
      </c>
      <c r="I1589" s="2"/>
      <c r="K1589" s="82">
        <v>0.53320000000000001</v>
      </c>
      <c r="M1589" s="80"/>
    </row>
    <row r="1590" spans="1:13" ht="14.25" customHeight="1" x14ac:dyDescent="0.2">
      <c r="A1590" s="523">
        <v>42791</v>
      </c>
      <c r="B1590" s="80" t="s">
        <v>866</v>
      </c>
      <c r="C1590" s="334" t="s">
        <v>2417</v>
      </c>
      <c r="D1590" s="1">
        <v>2.0636574074074075E-2</v>
      </c>
      <c r="E1590" s="80" t="s">
        <v>4727</v>
      </c>
      <c r="F1590" s="69" t="s">
        <v>4277</v>
      </c>
      <c r="I1590" s="2"/>
      <c r="K1590" s="82">
        <v>0.55410000000000004</v>
      </c>
      <c r="M1590" s="80"/>
    </row>
    <row r="1591" spans="1:13" ht="14.25" customHeight="1" x14ac:dyDescent="0.2">
      <c r="A1591" s="523">
        <v>42784</v>
      </c>
      <c r="B1591" s="80" t="s">
        <v>866</v>
      </c>
      <c r="C1591" s="334" t="s">
        <v>2417</v>
      </c>
      <c r="D1591" s="1">
        <v>1.7534722222222222E-2</v>
      </c>
      <c r="E1591" s="80" t="s">
        <v>4727</v>
      </c>
      <c r="F1591" s="69" t="s">
        <v>6438</v>
      </c>
      <c r="I1591" s="2"/>
      <c r="K1591" s="82">
        <v>0.65210000000000001</v>
      </c>
      <c r="M1591" s="80"/>
    </row>
    <row r="1592" spans="1:13" ht="14.25" customHeight="1" x14ac:dyDescent="0.2">
      <c r="A1592" s="523">
        <v>42777</v>
      </c>
      <c r="B1592" s="80" t="s">
        <v>866</v>
      </c>
      <c r="C1592" s="334" t="s">
        <v>2417</v>
      </c>
      <c r="D1592" s="1">
        <v>1.7511574074074072E-2</v>
      </c>
      <c r="E1592" s="80" t="s">
        <v>4727</v>
      </c>
      <c r="F1592" s="69" t="s">
        <v>938</v>
      </c>
      <c r="I1592" s="2"/>
      <c r="K1592" s="82">
        <v>0.64710000000000001</v>
      </c>
      <c r="M1592" s="80"/>
    </row>
    <row r="1593" spans="1:13" ht="14.25" customHeight="1" x14ac:dyDescent="0.2">
      <c r="A1593" s="33">
        <v>42763</v>
      </c>
      <c r="B1593" s="80" t="s">
        <v>866</v>
      </c>
      <c r="C1593" s="334" t="s">
        <v>2417</v>
      </c>
      <c r="D1593" s="334">
        <v>1.8148148148148146E-2</v>
      </c>
      <c r="E1593" s="80" t="s">
        <v>1534</v>
      </c>
      <c r="F1593" s="69" t="s">
        <v>6325</v>
      </c>
      <c r="I1593" s="2"/>
      <c r="K1593" s="82">
        <v>0.62439999999999996</v>
      </c>
      <c r="M1593" s="80"/>
    </row>
    <row r="1594" spans="1:13" ht="14.25" customHeight="1" x14ac:dyDescent="0.2">
      <c r="A1594" s="523">
        <v>42749</v>
      </c>
      <c r="B1594" s="80" t="s">
        <v>866</v>
      </c>
      <c r="C1594" s="334" t="s">
        <v>2417</v>
      </c>
      <c r="D1594" s="1">
        <v>2.0856481481481479E-2</v>
      </c>
      <c r="E1594" s="80" t="s">
        <v>5653</v>
      </c>
      <c r="F1594" s="69" t="s">
        <v>6303</v>
      </c>
      <c r="I1594" s="2"/>
      <c r="K1594" s="82">
        <v>0.54330000000000001</v>
      </c>
      <c r="M1594" s="80" t="s">
        <v>8893</v>
      </c>
    </row>
    <row r="1595" spans="1:13" ht="14.25" customHeight="1" x14ac:dyDescent="0.2">
      <c r="A1595" s="33">
        <v>42742</v>
      </c>
      <c r="B1595" s="80" t="s">
        <v>866</v>
      </c>
      <c r="C1595" s="334" t="s">
        <v>2417</v>
      </c>
      <c r="D1595" s="1">
        <v>2.1400462962962965E-2</v>
      </c>
      <c r="E1595" s="80" t="s">
        <v>4727</v>
      </c>
      <c r="F1595" s="69" t="s">
        <v>2660</v>
      </c>
      <c r="I1595" s="2"/>
      <c r="K1595" s="82">
        <v>0.52949999999999997</v>
      </c>
      <c r="M1595" s="80"/>
    </row>
    <row r="1596" spans="1:13" ht="14.25" customHeight="1" x14ac:dyDescent="0.2">
      <c r="A1596" s="523">
        <v>42736</v>
      </c>
      <c r="B1596" s="80" t="s">
        <v>866</v>
      </c>
      <c r="C1596" s="334" t="s">
        <v>2417</v>
      </c>
      <c r="D1596" s="1">
        <v>2.074074074074074E-2</v>
      </c>
      <c r="E1596" s="80" t="s">
        <v>4727</v>
      </c>
      <c r="F1596" s="69" t="s">
        <v>3460</v>
      </c>
      <c r="I1596" s="2"/>
      <c r="K1596" s="82">
        <v>0.54630000000000001</v>
      </c>
      <c r="M1596" s="80"/>
    </row>
    <row r="1597" spans="1:13" ht="14.25" customHeight="1" x14ac:dyDescent="0.2">
      <c r="A1597" s="523">
        <v>42952</v>
      </c>
      <c r="B1597" s="862" t="s">
        <v>481</v>
      </c>
      <c r="C1597" s="863" t="s">
        <v>2417</v>
      </c>
      <c r="D1597" s="1">
        <v>2.0023148148148148E-2</v>
      </c>
      <c r="E1597" s="80" t="s">
        <v>8290</v>
      </c>
      <c r="F1597" s="69" t="s">
        <v>5972</v>
      </c>
      <c r="I1597" s="2"/>
      <c r="K1597" s="82">
        <v>0.4526</v>
      </c>
      <c r="M1597" s="80"/>
    </row>
    <row r="1598" spans="1:13" ht="14.25" customHeight="1" x14ac:dyDescent="0.2">
      <c r="A1598" s="33">
        <v>42924</v>
      </c>
      <c r="B1598" s="80" t="s">
        <v>3820</v>
      </c>
      <c r="C1598" s="334" t="s">
        <v>3821</v>
      </c>
      <c r="D1598" s="80" t="s">
        <v>787</v>
      </c>
      <c r="E1598" s="80" t="s">
        <v>3072</v>
      </c>
      <c r="F1598" s="69" t="s">
        <v>5508</v>
      </c>
      <c r="G1598" s="5"/>
      <c r="I1598" s="2"/>
      <c r="K1598" s="82"/>
      <c r="M1598" s="45">
        <v>900</v>
      </c>
    </row>
    <row r="1599" spans="1:13" ht="14.25" customHeight="1" x14ac:dyDescent="0.2">
      <c r="A1599" s="33">
        <v>42917</v>
      </c>
      <c r="B1599" s="80" t="s">
        <v>3820</v>
      </c>
      <c r="C1599" s="334" t="s">
        <v>3821</v>
      </c>
      <c r="D1599" s="80" t="s">
        <v>787</v>
      </c>
      <c r="E1599" s="80" t="s">
        <v>3072</v>
      </c>
      <c r="F1599" s="69" t="s">
        <v>4854</v>
      </c>
      <c r="G1599" s="5"/>
      <c r="H1599" s="2"/>
      <c r="I1599" s="2"/>
      <c r="K1599" s="82"/>
    </row>
    <row r="1600" spans="1:13" ht="14.25" customHeight="1" x14ac:dyDescent="0.2">
      <c r="A1600" s="33">
        <v>42903</v>
      </c>
      <c r="B1600" s="80" t="s">
        <v>3820</v>
      </c>
      <c r="C1600" s="334" t="s">
        <v>3821</v>
      </c>
      <c r="D1600" s="1" t="s">
        <v>787</v>
      </c>
      <c r="E1600" s="80" t="s">
        <v>3072</v>
      </c>
      <c r="F1600" s="69"/>
      <c r="I1600" s="2"/>
      <c r="K1600" s="82"/>
    </row>
    <row r="1601" spans="1:13" ht="14.25" customHeight="1" x14ac:dyDescent="0.2">
      <c r="A1601" s="33">
        <v>42896</v>
      </c>
      <c r="B1601" s="80" t="s">
        <v>3820</v>
      </c>
      <c r="C1601" s="334" t="s">
        <v>3821</v>
      </c>
      <c r="D1601" s="80" t="s">
        <v>787</v>
      </c>
      <c r="E1601" s="80" t="s">
        <v>3072</v>
      </c>
      <c r="F1601" s="69"/>
      <c r="G1601" s="5"/>
      <c r="H1601" s="2"/>
      <c r="I1601" s="2"/>
    </row>
    <row r="1602" spans="1:13" ht="14.25" customHeight="1" x14ac:dyDescent="0.2">
      <c r="A1602" s="523">
        <v>42840</v>
      </c>
      <c r="B1602" s="80" t="s">
        <v>3820</v>
      </c>
      <c r="C1602" s="334" t="s">
        <v>3821</v>
      </c>
      <c r="D1602" s="1">
        <v>1.9409722222222221E-2</v>
      </c>
      <c r="E1602" t="s">
        <v>3072</v>
      </c>
      <c r="F1602" s="69" t="s">
        <v>7774</v>
      </c>
      <c r="I1602" s="2"/>
      <c r="K1602" s="82">
        <v>0.47460000000000002</v>
      </c>
    </row>
    <row r="1603" spans="1:13" ht="14.25" customHeight="1" x14ac:dyDescent="0.2">
      <c r="A1603" s="523">
        <v>42833</v>
      </c>
      <c r="B1603" s="80" t="s">
        <v>3820</v>
      </c>
      <c r="C1603" s="334" t="s">
        <v>3821</v>
      </c>
      <c r="D1603" s="1">
        <v>1.9444444444444445E-2</v>
      </c>
      <c r="E1603" s="80" t="s">
        <v>3072</v>
      </c>
      <c r="F1603" s="69" t="s">
        <v>7746</v>
      </c>
      <c r="I1603" s="2"/>
      <c r="K1603" s="82">
        <v>0.4768</v>
      </c>
    </row>
    <row r="1604" spans="1:13" ht="14.25" customHeight="1" x14ac:dyDescent="0.2">
      <c r="A1604" s="523">
        <v>42826</v>
      </c>
      <c r="B1604" s="80" t="s">
        <v>3820</v>
      </c>
      <c r="C1604" s="334" t="s">
        <v>3821</v>
      </c>
      <c r="D1604" s="1">
        <v>2.2280092592592591E-2</v>
      </c>
      <c r="E1604" s="80" t="s">
        <v>3072</v>
      </c>
      <c r="F1604" s="69" t="s">
        <v>7709</v>
      </c>
      <c r="I1604" s="2"/>
      <c r="K1604" s="82">
        <v>0.41610000000000003</v>
      </c>
    </row>
    <row r="1605" spans="1:13" ht="14.25" customHeight="1" x14ac:dyDescent="0.2">
      <c r="A1605" s="523">
        <v>42798</v>
      </c>
      <c r="B1605" t="s">
        <v>3820</v>
      </c>
      <c r="C1605" s="334" t="s">
        <v>3821</v>
      </c>
      <c r="D1605" s="1">
        <v>2.0763888888888887E-2</v>
      </c>
      <c r="E1605" s="80" t="s">
        <v>3072</v>
      </c>
      <c r="F1605" s="69" t="s">
        <v>5622</v>
      </c>
      <c r="I1605" s="2"/>
      <c r="K1605" s="82">
        <v>0.44650000000000001</v>
      </c>
      <c r="M1605" s="80"/>
    </row>
    <row r="1606" spans="1:13" ht="14.25" customHeight="1" x14ac:dyDescent="0.2">
      <c r="A1606" s="523">
        <v>42791</v>
      </c>
      <c r="B1606" s="80" t="s">
        <v>3820</v>
      </c>
      <c r="C1606" s="334" t="s">
        <v>3821</v>
      </c>
      <c r="D1606" s="1">
        <v>2.162037037037037E-2</v>
      </c>
      <c r="E1606" s="80" t="s">
        <v>3072</v>
      </c>
      <c r="F1606" s="69" t="s">
        <v>7560</v>
      </c>
      <c r="I1606" s="2"/>
      <c r="K1606" s="82">
        <v>0.42880000000000001</v>
      </c>
      <c r="M1606" s="6"/>
    </row>
    <row r="1607" spans="1:13" ht="14.25" customHeight="1" x14ac:dyDescent="0.2">
      <c r="A1607" s="33">
        <v>42770</v>
      </c>
      <c r="B1607" s="80" t="s">
        <v>3820</v>
      </c>
      <c r="C1607" s="334" t="s">
        <v>3821</v>
      </c>
      <c r="D1607" s="1">
        <v>2.4548611111111115E-2</v>
      </c>
      <c r="E1607" s="80" t="s">
        <v>3072</v>
      </c>
      <c r="F1607" s="69" t="s">
        <v>5918</v>
      </c>
      <c r="I1607" s="2"/>
      <c r="K1607" s="82">
        <v>0.37590000000000001</v>
      </c>
    </row>
    <row r="1608" spans="1:13" ht="14.25" customHeight="1" x14ac:dyDescent="0.2">
      <c r="A1608" s="523">
        <v>42749</v>
      </c>
      <c r="B1608" s="80" t="s">
        <v>3820</v>
      </c>
      <c r="C1608" s="334" t="s">
        <v>3821</v>
      </c>
      <c r="D1608" s="1">
        <v>2.5520833333333336E-2</v>
      </c>
      <c r="E1608" s="80" t="s">
        <v>3072</v>
      </c>
      <c r="F1608" s="69" t="s">
        <v>6301</v>
      </c>
      <c r="I1608" s="2"/>
      <c r="K1608" s="82">
        <v>0.36330000000000001</v>
      </c>
      <c r="M1608" s="80"/>
    </row>
    <row r="1609" spans="1:13" ht="14.25" customHeight="1" x14ac:dyDescent="0.2">
      <c r="A1609" s="33">
        <v>42742</v>
      </c>
      <c r="B1609" s="80" t="s">
        <v>3820</v>
      </c>
      <c r="C1609" s="334" t="s">
        <v>3821</v>
      </c>
      <c r="D1609" s="1">
        <v>2.4710648148148148E-2</v>
      </c>
      <c r="E1609" s="80" t="s">
        <v>3072</v>
      </c>
      <c r="F1609" s="69" t="s">
        <v>6271</v>
      </c>
      <c r="I1609" s="2"/>
      <c r="K1609" s="82">
        <v>0.37519999999999998</v>
      </c>
    </row>
    <row r="1610" spans="1:13" ht="14.25" customHeight="1" x14ac:dyDescent="0.2">
      <c r="A1610" s="523">
        <v>42736</v>
      </c>
      <c r="B1610" s="80" t="s">
        <v>3820</v>
      </c>
      <c r="C1610" s="334" t="s">
        <v>3821</v>
      </c>
      <c r="D1610" s="1">
        <v>2.0648148148148148E-2</v>
      </c>
      <c r="E1610" s="80" t="s">
        <v>5095</v>
      </c>
      <c r="F1610" s="69" t="s">
        <v>2086</v>
      </c>
      <c r="I1610" s="2"/>
      <c r="K1610" s="82">
        <v>0.44900000000000001</v>
      </c>
      <c r="M1610" s="80"/>
    </row>
    <row r="1611" spans="1:13" ht="14.25" customHeight="1" x14ac:dyDescent="0.2">
      <c r="A1611" s="33">
        <v>42742</v>
      </c>
      <c r="B1611" s="53" t="s">
        <v>904</v>
      </c>
      <c r="C1611" s="54" t="s">
        <v>905</v>
      </c>
      <c r="D1611" s="1">
        <v>1.9351851851851853E-2</v>
      </c>
      <c r="E1611" s="80" t="s">
        <v>5544</v>
      </c>
      <c r="F1611" s="69" t="s">
        <v>6257</v>
      </c>
      <c r="I1611" s="2"/>
      <c r="K1611" s="82">
        <v>0.6089</v>
      </c>
      <c r="M1611" s="80" t="s">
        <v>6258</v>
      </c>
    </row>
    <row r="1612" spans="1:13" ht="14.25" customHeight="1" x14ac:dyDescent="0.2">
      <c r="A1612" s="523">
        <v>43099</v>
      </c>
      <c r="B1612" s="601" t="s">
        <v>4893</v>
      </c>
      <c r="C1612" s="958" t="s">
        <v>4894</v>
      </c>
      <c r="D1612" s="1">
        <v>1.6203703703703703E-2</v>
      </c>
      <c r="E1612" s="80" t="s">
        <v>5453</v>
      </c>
      <c r="F1612" s="69" t="s">
        <v>1608</v>
      </c>
      <c r="I1612" s="2"/>
      <c r="K1612" s="82">
        <v>0.6643</v>
      </c>
    </row>
    <row r="1613" spans="1:13" ht="14.25" customHeight="1" x14ac:dyDescent="0.2">
      <c r="A1613" s="965">
        <v>43094</v>
      </c>
      <c r="B1613" s="962" t="s">
        <v>4893</v>
      </c>
      <c r="C1613" s="963" t="s">
        <v>4894</v>
      </c>
      <c r="D1613" s="1">
        <v>1.9375E-2</v>
      </c>
      <c r="E1613" s="80" t="s">
        <v>4004</v>
      </c>
      <c r="F1613" s="69" t="s">
        <v>8987</v>
      </c>
      <c r="I1613" s="2"/>
      <c r="K1613" s="82">
        <v>0.55559999999999998</v>
      </c>
    </row>
    <row r="1614" spans="1:13" ht="14.25" customHeight="1" x14ac:dyDescent="0.2">
      <c r="A1614" s="523">
        <v>43057</v>
      </c>
      <c r="B1614" s="940" t="s">
        <v>4893</v>
      </c>
      <c r="C1614" s="941" t="s">
        <v>4894</v>
      </c>
      <c r="D1614" s="1">
        <v>1.9004629629629632E-2</v>
      </c>
      <c r="E1614" s="80" t="s">
        <v>5456</v>
      </c>
      <c r="F1614" s="69" t="s">
        <v>8796</v>
      </c>
      <c r="I1614" s="2"/>
      <c r="K1614" s="82">
        <v>0.56640000000000001</v>
      </c>
    </row>
    <row r="1615" spans="1:13" ht="14.25" customHeight="1" x14ac:dyDescent="0.2">
      <c r="A1615" s="523">
        <v>43036</v>
      </c>
      <c r="B1615" s="934" t="s">
        <v>4893</v>
      </c>
      <c r="C1615" s="935" t="s">
        <v>4894</v>
      </c>
      <c r="D1615" s="1">
        <v>1.712962962962963E-2</v>
      </c>
      <c r="E1615" s="80" t="s">
        <v>129</v>
      </c>
      <c r="F1615" s="69" t="s">
        <v>8751</v>
      </c>
      <c r="I1615" s="2"/>
      <c r="K1615" s="82">
        <v>0.62839999999999996</v>
      </c>
    </row>
    <row r="1616" spans="1:13" ht="14.25" customHeight="1" x14ac:dyDescent="0.2">
      <c r="A1616" s="523">
        <v>42987</v>
      </c>
      <c r="B1616" s="532" t="s">
        <v>4893</v>
      </c>
      <c r="C1616" s="843" t="s">
        <v>4894</v>
      </c>
      <c r="D1616" s="1">
        <v>1.6469907407407405E-2</v>
      </c>
      <c r="E1616" s="80" t="s">
        <v>5456</v>
      </c>
      <c r="F1616" s="69" t="s">
        <v>8508</v>
      </c>
      <c r="I1616" s="2"/>
      <c r="K1616" s="82">
        <v>0.65349999999999997</v>
      </c>
    </row>
    <row r="1617" spans="1:13" ht="14.25" customHeight="1" x14ac:dyDescent="0.2">
      <c r="A1617" s="523">
        <v>42980</v>
      </c>
      <c r="B1617" s="837" t="s">
        <v>4893</v>
      </c>
      <c r="C1617" s="842" t="s">
        <v>4894</v>
      </c>
      <c r="D1617" s="1">
        <v>1.5532407407407406E-2</v>
      </c>
      <c r="E1617" s="80" t="s">
        <v>5456</v>
      </c>
      <c r="F1617" s="69" t="s">
        <v>8448</v>
      </c>
      <c r="I1617" s="2"/>
      <c r="K1617" s="82">
        <v>0.69299999999999995</v>
      </c>
      <c r="M1617" s="80"/>
    </row>
    <row r="1618" spans="1:13" ht="14.25" customHeight="1" x14ac:dyDescent="0.2">
      <c r="A1618" s="523">
        <v>42973</v>
      </c>
      <c r="B1618" s="862" t="s">
        <v>4893</v>
      </c>
      <c r="C1618" s="863" t="s">
        <v>4894</v>
      </c>
      <c r="D1618" s="1">
        <v>1.5740740740740743E-2</v>
      </c>
      <c r="E1618" s="80" t="s">
        <v>5453</v>
      </c>
      <c r="F1618" s="69" t="s">
        <v>8435</v>
      </c>
      <c r="I1618" s="2"/>
      <c r="K1618" s="82">
        <v>0.68379999999999996</v>
      </c>
      <c r="M1618" s="80"/>
    </row>
    <row r="1619" spans="1:13" ht="14.25" customHeight="1" x14ac:dyDescent="0.2">
      <c r="A1619" s="33">
        <v>42966</v>
      </c>
      <c r="B1619" s="879" t="s">
        <v>4893</v>
      </c>
      <c r="C1619" s="880" t="s">
        <v>4894</v>
      </c>
      <c r="D1619" s="1">
        <v>1.6770833333333332E-2</v>
      </c>
      <c r="E1619" s="80" t="s">
        <v>5456</v>
      </c>
      <c r="F1619" s="69" t="s">
        <v>8409</v>
      </c>
      <c r="I1619" s="2"/>
      <c r="K1619" s="82">
        <v>0.64180000000000004</v>
      </c>
    </row>
    <row r="1620" spans="1:13" ht="14.25" customHeight="1" x14ac:dyDescent="0.2">
      <c r="A1620" s="523">
        <v>42959</v>
      </c>
      <c r="B1620" s="866" t="s">
        <v>4893</v>
      </c>
      <c r="C1620" s="867" t="s">
        <v>4894</v>
      </c>
      <c r="D1620" s="1">
        <v>1.8379629629629628E-2</v>
      </c>
      <c r="E1620" s="80" t="s">
        <v>5456</v>
      </c>
      <c r="F1620" s="69" t="s">
        <v>8352</v>
      </c>
      <c r="I1620" s="2"/>
      <c r="K1620" s="82">
        <v>0.58560000000000001</v>
      </c>
      <c r="M1620" s="80"/>
    </row>
    <row r="1621" spans="1:13" ht="14.25" customHeight="1" x14ac:dyDescent="0.2">
      <c r="A1621" s="34">
        <v>42924</v>
      </c>
      <c r="B1621" s="80" t="s">
        <v>4893</v>
      </c>
      <c r="C1621" s="334" t="s">
        <v>4894</v>
      </c>
      <c r="D1621" s="1">
        <v>1.6354166666666666E-2</v>
      </c>
      <c r="E1621" s="80" t="s">
        <v>1982</v>
      </c>
      <c r="F1621" s="69" t="s">
        <v>8165</v>
      </c>
      <c r="I1621" s="2"/>
      <c r="K1621" s="82">
        <v>0.65820000000000001</v>
      </c>
    </row>
    <row r="1622" spans="1:13" ht="14.25" customHeight="1" x14ac:dyDescent="0.2">
      <c r="A1622" s="523">
        <v>42910</v>
      </c>
      <c r="B1622" s="80" t="s">
        <v>4893</v>
      </c>
      <c r="C1622" s="334" t="s">
        <v>4894</v>
      </c>
      <c r="D1622" s="1">
        <v>1.5717592592592592E-2</v>
      </c>
      <c r="E1622" s="80" t="s">
        <v>5544</v>
      </c>
      <c r="F1622" s="69" t="s">
        <v>5013</v>
      </c>
      <c r="I1622" s="2"/>
      <c r="K1622" s="82">
        <v>0.68479999999999996</v>
      </c>
    </row>
    <row r="1623" spans="1:13" ht="14.25" customHeight="1" x14ac:dyDescent="0.2">
      <c r="A1623" s="523">
        <v>42861</v>
      </c>
      <c r="B1623" s="80" t="s">
        <v>4893</v>
      </c>
      <c r="C1623" s="334" t="s">
        <v>4894</v>
      </c>
      <c r="D1623" s="1">
        <v>1.4120370370370368E-2</v>
      </c>
      <c r="E1623" s="80" t="s">
        <v>129</v>
      </c>
      <c r="F1623" s="69" t="s">
        <v>4612</v>
      </c>
      <c r="I1623" s="2"/>
      <c r="K1623" s="82">
        <v>0.76229999999999998</v>
      </c>
      <c r="M1623" s="80"/>
    </row>
    <row r="1624" spans="1:13" ht="14.25" customHeight="1" x14ac:dyDescent="0.2">
      <c r="A1624" s="523">
        <v>42812</v>
      </c>
      <c r="B1624" s="80" t="s">
        <v>4893</v>
      </c>
      <c r="C1624" s="334" t="s">
        <v>4894</v>
      </c>
      <c r="D1624" s="1">
        <v>1.4444444444444446E-2</v>
      </c>
      <c r="E1624" s="80" t="s">
        <v>5453</v>
      </c>
      <c r="F1624" s="69" t="s">
        <v>2629</v>
      </c>
      <c r="I1624" s="2"/>
      <c r="K1624" s="82">
        <v>0.73880000000000001</v>
      </c>
      <c r="M1624" s="80"/>
    </row>
    <row r="1625" spans="1:13" ht="14.25" customHeight="1" x14ac:dyDescent="0.2">
      <c r="A1625" s="523">
        <v>42798</v>
      </c>
      <c r="B1625" t="s">
        <v>4893</v>
      </c>
      <c r="C1625" s="334" t="s">
        <v>4894</v>
      </c>
      <c r="D1625" s="1">
        <v>1.4537037037037038E-2</v>
      </c>
      <c r="E1625" s="80" t="s">
        <v>5453</v>
      </c>
      <c r="F1625" s="69" t="s">
        <v>3004</v>
      </c>
      <c r="I1625" s="2"/>
      <c r="K1625" s="82">
        <v>0.73409999999999997</v>
      </c>
      <c r="M1625" s="80"/>
    </row>
    <row r="1626" spans="1:13" ht="14.25" customHeight="1" x14ac:dyDescent="0.2">
      <c r="A1626" s="523">
        <v>42784</v>
      </c>
      <c r="B1626" s="80" t="s">
        <v>4893</v>
      </c>
      <c r="C1626" s="334" t="s">
        <v>4894</v>
      </c>
      <c r="D1626" s="1">
        <v>1.5983796296296295E-2</v>
      </c>
      <c r="E1626" s="80" t="s">
        <v>5453</v>
      </c>
      <c r="F1626" s="69" t="s">
        <v>6448</v>
      </c>
      <c r="I1626" s="2"/>
      <c r="K1626" s="82">
        <v>0.66759999999999997</v>
      </c>
      <c r="M1626" s="80"/>
    </row>
    <row r="1627" spans="1:13" ht="14.25" customHeight="1" x14ac:dyDescent="0.2">
      <c r="A1627" s="33">
        <v>42770</v>
      </c>
      <c r="B1627" s="80" t="s">
        <v>4893</v>
      </c>
      <c r="C1627" s="334" t="s">
        <v>4894</v>
      </c>
      <c r="D1627" s="1">
        <v>1.5555555555555553E-2</v>
      </c>
      <c r="E1627" s="80" t="s">
        <v>129</v>
      </c>
      <c r="F1627" s="69" t="s">
        <v>6366</v>
      </c>
      <c r="I1627" s="2"/>
      <c r="K1627" s="82">
        <v>0.68600000000000005</v>
      </c>
      <c r="M1627" s="80"/>
    </row>
    <row r="1628" spans="1:13" ht="14.25" customHeight="1" x14ac:dyDescent="0.2">
      <c r="A1628" s="523">
        <v>42847</v>
      </c>
      <c r="B1628" s="80" t="s">
        <v>2228</v>
      </c>
      <c r="C1628" s="334" t="s">
        <v>4894</v>
      </c>
      <c r="D1628" s="1">
        <v>1.5069444444444443E-2</v>
      </c>
      <c r="E1628" s="80" t="s">
        <v>5456</v>
      </c>
      <c r="F1628" s="69" t="s">
        <v>7809</v>
      </c>
      <c r="I1628" s="2"/>
      <c r="K1628" s="82">
        <v>0.70809999999999995</v>
      </c>
      <c r="M1628" s="80"/>
    </row>
    <row r="1629" spans="1:13" ht="14.25" customHeight="1" x14ac:dyDescent="0.2">
      <c r="A1629" s="523">
        <v>43078</v>
      </c>
      <c r="B1629" s="879" t="s">
        <v>3543</v>
      </c>
      <c r="C1629" s="880" t="s">
        <v>6122</v>
      </c>
      <c r="D1629" s="1" t="s">
        <v>787</v>
      </c>
      <c r="E1629" s="80" t="s">
        <v>5883</v>
      </c>
      <c r="F1629" s="69" t="s">
        <v>4061</v>
      </c>
      <c r="I1629" s="2"/>
      <c r="K1629" s="82"/>
    </row>
    <row r="1630" spans="1:13" ht="14.25" customHeight="1" x14ac:dyDescent="0.2">
      <c r="A1630" s="523">
        <v>43064</v>
      </c>
      <c r="B1630" s="869" t="s">
        <v>3543</v>
      </c>
      <c r="C1630" s="903" t="s">
        <v>6122</v>
      </c>
      <c r="D1630" s="1">
        <v>1.4641203703703703E-2</v>
      </c>
      <c r="E1630" s="80" t="s">
        <v>129</v>
      </c>
      <c r="F1630" s="69" t="s">
        <v>8843</v>
      </c>
      <c r="I1630" s="2"/>
      <c r="K1630" s="82">
        <v>0.6119</v>
      </c>
    </row>
    <row r="1631" spans="1:13" ht="14.25" customHeight="1" x14ac:dyDescent="0.2">
      <c r="A1631" s="523">
        <v>43043</v>
      </c>
      <c r="B1631" s="936" t="s">
        <v>3543</v>
      </c>
      <c r="C1631" s="937" t="s">
        <v>6122</v>
      </c>
      <c r="D1631" s="1">
        <v>1.4189814814814815E-2</v>
      </c>
      <c r="E1631" s="80" t="s">
        <v>5883</v>
      </c>
      <c r="F1631" s="69" t="s">
        <v>8760</v>
      </c>
      <c r="I1631" s="2"/>
      <c r="K1631" s="82">
        <v>0.63129999999999997</v>
      </c>
    </row>
    <row r="1632" spans="1:13" ht="14.25" customHeight="1" x14ac:dyDescent="0.2">
      <c r="A1632" s="523">
        <v>43036</v>
      </c>
      <c r="B1632" s="934" t="s">
        <v>3543</v>
      </c>
      <c r="C1632" s="935" t="s">
        <v>6122</v>
      </c>
      <c r="D1632" s="1">
        <v>1.5104166666666667E-2</v>
      </c>
      <c r="E1632" s="80" t="s">
        <v>5883</v>
      </c>
      <c r="F1632" s="69" t="s">
        <v>255</v>
      </c>
      <c r="I1632" s="2"/>
      <c r="K1632" s="82">
        <v>0.59309999999999996</v>
      </c>
    </row>
    <row r="1633" spans="1:13" ht="14.25" customHeight="1" x14ac:dyDescent="0.2">
      <c r="A1633" s="523">
        <v>43022</v>
      </c>
      <c r="B1633" s="930" t="s">
        <v>3543</v>
      </c>
      <c r="C1633" s="931" t="s">
        <v>6122</v>
      </c>
      <c r="D1633" s="1">
        <v>1.40625E-2</v>
      </c>
      <c r="E1633" s="80" t="s">
        <v>129</v>
      </c>
      <c r="F1633" s="69" t="s">
        <v>8699</v>
      </c>
      <c r="I1633" s="2"/>
      <c r="K1633" s="82">
        <v>0.63700000000000001</v>
      </c>
    </row>
    <row r="1634" spans="1:13" ht="14.25" customHeight="1" x14ac:dyDescent="0.2">
      <c r="A1634" s="523">
        <v>42980</v>
      </c>
      <c r="B1634" s="837" t="s">
        <v>3543</v>
      </c>
      <c r="C1634" s="842" t="s">
        <v>6122</v>
      </c>
      <c r="D1634" s="1">
        <v>1.5462962962962963E-2</v>
      </c>
      <c r="E1634" s="80" t="s">
        <v>8458</v>
      </c>
      <c r="F1634" s="69" t="s">
        <v>8463</v>
      </c>
      <c r="I1634" s="2"/>
      <c r="K1634" s="82">
        <v>0.57930000000000004</v>
      </c>
    </row>
    <row r="1635" spans="1:13" ht="14.25" customHeight="1" x14ac:dyDescent="0.2">
      <c r="A1635" s="523">
        <v>42973</v>
      </c>
      <c r="B1635" s="862" t="s">
        <v>3543</v>
      </c>
      <c r="C1635" s="863" t="s">
        <v>6122</v>
      </c>
      <c r="D1635" s="1">
        <v>2.146990740740741E-2</v>
      </c>
      <c r="E1635" s="80" t="s">
        <v>4452</v>
      </c>
      <c r="F1635" s="69" t="s">
        <v>8424</v>
      </c>
      <c r="I1635" s="2"/>
      <c r="K1635" s="82">
        <v>0.4173</v>
      </c>
      <c r="M1635" s="80"/>
    </row>
    <row r="1636" spans="1:13" ht="14.25" customHeight="1" x14ac:dyDescent="0.2">
      <c r="A1636" s="523">
        <v>42966</v>
      </c>
      <c r="B1636" s="879" t="s">
        <v>3543</v>
      </c>
      <c r="C1636" s="880" t="s">
        <v>6122</v>
      </c>
      <c r="D1636" s="1">
        <v>1.3969907407407408E-2</v>
      </c>
      <c r="E1636" s="80" t="s">
        <v>5883</v>
      </c>
      <c r="F1636" s="69" t="s">
        <v>8396</v>
      </c>
      <c r="I1636" s="2"/>
      <c r="K1636" s="82">
        <v>0.64129999999999998</v>
      </c>
    </row>
    <row r="1637" spans="1:13" x14ac:dyDescent="0.2">
      <c r="A1637" s="523">
        <v>42945</v>
      </c>
      <c r="B1637" s="568" t="s">
        <v>3543</v>
      </c>
      <c r="C1637" s="861" t="s">
        <v>6122</v>
      </c>
      <c r="D1637" s="114">
        <v>1.4594907407407405E-2</v>
      </c>
      <c r="E1637" s="80" t="s">
        <v>5883</v>
      </c>
      <c r="F1637" s="69" t="s">
        <v>4403</v>
      </c>
      <c r="I1637" s="2"/>
      <c r="K1637" s="82">
        <v>0.61380000000000001</v>
      </c>
    </row>
    <row r="1638" spans="1:13" x14ac:dyDescent="0.2">
      <c r="A1638" s="523">
        <v>42931</v>
      </c>
      <c r="B1638" s="837" t="s">
        <v>3543</v>
      </c>
      <c r="C1638" s="842" t="s">
        <v>6122</v>
      </c>
      <c r="D1638" s="1">
        <v>3.0000000000000002E-2</v>
      </c>
      <c r="E1638" s="80" t="s">
        <v>5883</v>
      </c>
      <c r="F1638" s="69" t="s">
        <v>8199</v>
      </c>
      <c r="I1638" s="2"/>
      <c r="K1638" s="82">
        <v>0.29859999999999998</v>
      </c>
      <c r="M1638" s="80"/>
    </row>
    <row r="1639" spans="1:13" x14ac:dyDescent="0.2">
      <c r="A1639" s="34">
        <v>42924</v>
      </c>
      <c r="B1639" s="80" t="s">
        <v>3543</v>
      </c>
      <c r="C1639" s="334" t="s">
        <v>6122</v>
      </c>
      <c r="D1639" s="1">
        <v>1.4270833333333335E-2</v>
      </c>
      <c r="E1639" s="80" t="s">
        <v>5883</v>
      </c>
      <c r="F1639" s="69" t="s">
        <v>4471</v>
      </c>
      <c r="I1639" s="2"/>
      <c r="K1639" s="82">
        <v>0.62770000000000004</v>
      </c>
      <c r="M1639" s="80"/>
    </row>
    <row r="1640" spans="1:13" x14ac:dyDescent="0.2">
      <c r="A1640" s="523">
        <v>42896</v>
      </c>
      <c r="B1640" s="80" t="s">
        <v>3543</v>
      </c>
      <c r="C1640" s="334" t="s">
        <v>6122</v>
      </c>
      <c r="D1640" s="1">
        <v>1.4247685185185184E-2</v>
      </c>
      <c r="E1640" s="80" t="s">
        <v>3072</v>
      </c>
      <c r="F1640" s="69" t="s">
        <v>6217</v>
      </c>
      <c r="I1640" s="2"/>
      <c r="K1640" s="82">
        <v>0.62470000000000003</v>
      </c>
      <c r="M1640" s="80"/>
    </row>
    <row r="1641" spans="1:13" x14ac:dyDescent="0.2">
      <c r="A1641" s="523">
        <v>42882</v>
      </c>
      <c r="B1641" s="80" t="s">
        <v>3543</v>
      </c>
      <c r="C1641" s="334" t="s">
        <v>6122</v>
      </c>
      <c r="D1641" s="1">
        <v>1.5358796296296296E-2</v>
      </c>
      <c r="E1641" s="80" t="s">
        <v>5883</v>
      </c>
      <c r="F1641" s="69" t="s">
        <v>4394</v>
      </c>
      <c r="I1641" s="2"/>
      <c r="K1641" s="82">
        <v>0.58330000000000004</v>
      </c>
      <c r="M1641" s="80"/>
    </row>
    <row r="1642" spans="1:13" x14ac:dyDescent="0.2">
      <c r="A1642" s="523">
        <v>42840</v>
      </c>
      <c r="B1642" s="80" t="s">
        <v>3543</v>
      </c>
      <c r="C1642" s="334" t="s">
        <v>6122</v>
      </c>
      <c r="D1642" s="1">
        <v>1.3784722222222224E-2</v>
      </c>
      <c r="E1642" t="s">
        <v>5883</v>
      </c>
      <c r="F1642" s="69" t="s">
        <v>7769</v>
      </c>
      <c r="I1642" s="2"/>
      <c r="K1642" s="82">
        <v>0.64990000000000003</v>
      </c>
    </row>
    <row r="1643" spans="1:13" x14ac:dyDescent="0.2">
      <c r="A1643" s="523">
        <v>42819</v>
      </c>
      <c r="B1643" s="80" t="s">
        <v>3543</v>
      </c>
      <c r="C1643" s="334" t="s">
        <v>6122</v>
      </c>
      <c r="D1643" s="1">
        <v>1.5694444444444445E-2</v>
      </c>
      <c r="E1643" s="80" t="s">
        <v>5883</v>
      </c>
      <c r="F1643" s="69" t="s">
        <v>3514</v>
      </c>
      <c r="I1643" s="2"/>
      <c r="K1643" s="82">
        <v>0.57079999999999997</v>
      </c>
      <c r="M1643" s="80"/>
    </row>
    <row r="1644" spans="1:13" x14ac:dyDescent="0.2">
      <c r="A1644" s="33">
        <v>42805</v>
      </c>
      <c r="B1644" s="80" t="s">
        <v>3543</v>
      </c>
      <c r="C1644" s="334" t="s">
        <v>6122</v>
      </c>
      <c r="D1644" s="1">
        <v>1.4085648148148151E-2</v>
      </c>
      <c r="E1644" s="80" t="s">
        <v>5883</v>
      </c>
      <c r="F1644" s="69" t="s">
        <v>7617</v>
      </c>
      <c r="I1644" s="2"/>
      <c r="K1644" s="82">
        <v>0.63600000000000001</v>
      </c>
      <c r="M1644" s="80"/>
    </row>
    <row r="1645" spans="1:13" x14ac:dyDescent="0.2">
      <c r="A1645" s="523">
        <v>42798</v>
      </c>
      <c r="B1645" t="s">
        <v>3543</v>
      </c>
      <c r="C1645" s="334" t="s">
        <v>6122</v>
      </c>
      <c r="D1645" s="1">
        <v>1.4548611111111111E-2</v>
      </c>
      <c r="E1645" s="80" t="s">
        <v>5883</v>
      </c>
      <c r="F1645" s="69" t="s">
        <v>4279</v>
      </c>
      <c r="I1645" s="2"/>
      <c r="K1645" s="82">
        <v>0.61580000000000001</v>
      </c>
    </row>
    <row r="1646" spans="1:13" x14ac:dyDescent="0.2">
      <c r="A1646" s="523">
        <v>42791</v>
      </c>
      <c r="B1646" s="80" t="s">
        <v>3543</v>
      </c>
      <c r="C1646" s="334" t="s">
        <v>6122</v>
      </c>
      <c r="D1646" s="1">
        <v>1.4374999999999999E-2</v>
      </c>
      <c r="E1646" s="80" t="s">
        <v>5883</v>
      </c>
      <c r="F1646" s="69" t="s">
        <v>4590</v>
      </c>
      <c r="I1646" s="2"/>
      <c r="K1646" s="82">
        <v>0.62319999999999998</v>
      </c>
      <c r="M1646" s="80"/>
    </row>
    <row r="1647" spans="1:13" x14ac:dyDescent="0.2">
      <c r="A1647" s="523">
        <v>42784</v>
      </c>
      <c r="B1647" s="80" t="s">
        <v>3543</v>
      </c>
      <c r="C1647" s="334" t="s">
        <v>6122</v>
      </c>
      <c r="D1647" s="1">
        <v>1.4745370370370372E-2</v>
      </c>
      <c r="E1647" s="80" t="s">
        <v>5883</v>
      </c>
      <c r="F1647" s="69" t="s">
        <v>3358</v>
      </c>
      <c r="I1647" s="2"/>
      <c r="K1647" s="82">
        <v>0.60750000000000004</v>
      </c>
      <c r="M1647" s="80"/>
    </row>
    <row r="1648" spans="1:13" x14ac:dyDescent="0.2">
      <c r="A1648" s="523">
        <v>42777</v>
      </c>
      <c r="B1648" s="80" t="s">
        <v>3543</v>
      </c>
      <c r="C1648" s="334" t="s">
        <v>6122</v>
      </c>
      <c r="D1648" s="1">
        <v>1.5150462962962963E-2</v>
      </c>
      <c r="E1648" s="80" t="s">
        <v>5883</v>
      </c>
      <c r="F1648" s="69" t="s">
        <v>3459</v>
      </c>
      <c r="I1648" s="2"/>
      <c r="K1648" s="82">
        <v>0.59130000000000005</v>
      </c>
      <c r="M1648" s="80"/>
    </row>
    <row r="1649" spans="1:13" x14ac:dyDescent="0.2">
      <c r="A1649" s="33">
        <v>42770</v>
      </c>
      <c r="B1649" s="80" t="s">
        <v>3543</v>
      </c>
      <c r="C1649" s="334" t="s">
        <v>6122</v>
      </c>
      <c r="D1649" s="1">
        <v>1.5474537037037038E-2</v>
      </c>
      <c r="E1649" s="80" t="s">
        <v>5883</v>
      </c>
      <c r="F1649" s="69" t="s">
        <v>6339</v>
      </c>
      <c r="I1649" s="2"/>
      <c r="K1649" s="82">
        <v>0.57889999999999997</v>
      </c>
      <c r="M1649" s="80"/>
    </row>
    <row r="1650" spans="1:13" x14ac:dyDescent="0.2">
      <c r="A1650" s="523">
        <v>43092</v>
      </c>
      <c r="B1650" s="568" t="s">
        <v>3535</v>
      </c>
      <c r="C1650" s="861" t="s">
        <v>1730</v>
      </c>
      <c r="D1650" s="334">
        <v>1.6307870370370372E-2</v>
      </c>
      <c r="E1650" s="80" t="s">
        <v>5544</v>
      </c>
      <c r="F1650" s="69" t="s">
        <v>8967</v>
      </c>
      <c r="I1650" s="2"/>
      <c r="K1650" s="82">
        <v>0.66569999999999996</v>
      </c>
    </row>
    <row r="1651" spans="1:13" x14ac:dyDescent="0.2">
      <c r="A1651" s="523">
        <v>43078</v>
      </c>
      <c r="B1651" s="879" t="s">
        <v>3535</v>
      </c>
      <c r="C1651" s="880" t="s">
        <v>1730</v>
      </c>
      <c r="D1651" s="1" t="s">
        <v>787</v>
      </c>
      <c r="E1651" s="80" t="s">
        <v>2818</v>
      </c>
      <c r="F1651" s="69" t="s">
        <v>5699</v>
      </c>
      <c r="I1651" s="2"/>
      <c r="K1651" s="82"/>
      <c r="M1651" s="80"/>
    </row>
    <row r="1652" spans="1:13" x14ac:dyDescent="0.2">
      <c r="A1652" s="523">
        <v>42875</v>
      </c>
      <c r="B1652" s="80" t="s">
        <v>4229</v>
      </c>
      <c r="C1652" s="334" t="s">
        <v>440</v>
      </c>
      <c r="D1652" s="1">
        <v>2.0694444444444446E-2</v>
      </c>
      <c r="E1652" s="80" t="s">
        <v>1719</v>
      </c>
      <c r="F1652" s="69" t="s">
        <v>7934</v>
      </c>
      <c r="I1652" s="2"/>
      <c r="K1652" s="82">
        <v>0.52800000000000002</v>
      </c>
    </row>
    <row r="1653" spans="1:13" x14ac:dyDescent="0.2">
      <c r="A1653" s="523">
        <v>43057</v>
      </c>
      <c r="B1653" s="940" t="s">
        <v>439</v>
      </c>
      <c r="C1653" s="941" t="s">
        <v>440</v>
      </c>
      <c r="D1653" s="1">
        <v>2.2025462962962958E-2</v>
      </c>
      <c r="E1653" s="80" t="s">
        <v>5947</v>
      </c>
      <c r="F1653" s="69" t="s">
        <v>8809</v>
      </c>
      <c r="I1653" s="2"/>
      <c r="K1653" s="82">
        <v>0.61170000000000002</v>
      </c>
    </row>
    <row r="1654" spans="1:13" x14ac:dyDescent="0.2">
      <c r="A1654" s="523">
        <v>42952</v>
      </c>
      <c r="B1654" s="862" t="s">
        <v>439</v>
      </c>
      <c r="C1654" s="863" t="s">
        <v>440</v>
      </c>
      <c r="D1654" s="1">
        <v>2.1817129629629631E-2</v>
      </c>
      <c r="E1654" s="80" t="s">
        <v>5095</v>
      </c>
      <c r="F1654" s="69" t="s">
        <v>8312</v>
      </c>
      <c r="I1654" s="2"/>
      <c r="K1654" s="82">
        <v>0.61750000000000005</v>
      </c>
    </row>
    <row r="1655" spans="1:13" x14ac:dyDescent="0.2">
      <c r="A1655" s="523">
        <v>42798</v>
      </c>
      <c r="B1655" s="80" t="s">
        <v>439</v>
      </c>
      <c r="C1655" s="334" t="s">
        <v>440</v>
      </c>
      <c r="D1655" s="1">
        <v>2.5891203703703704E-2</v>
      </c>
      <c r="E1655" s="80" t="s">
        <v>1982</v>
      </c>
      <c r="F1655" s="69" t="s">
        <v>7574</v>
      </c>
      <c r="I1655" s="2"/>
      <c r="K1655" s="82">
        <v>0.52029999999999998</v>
      </c>
      <c r="M1655" s="80"/>
    </row>
    <row r="1656" spans="1:13" x14ac:dyDescent="0.2">
      <c r="A1656" s="33">
        <v>42763</v>
      </c>
      <c r="B1656" s="80" t="s">
        <v>439</v>
      </c>
      <c r="C1656" s="334" t="s">
        <v>440</v>
      </c>
      <c r="D1656" s="1">
        <v>2.2754629629629628E-2</v>
      </c>
      <c r="E1656" s="80" t="s">
        <v>5198</v>
      </c>
      <c r="F1656" s="69" t="s">
        <v>6315</v>
      </c>
      <c r="I1656" s="2"/>
      <c r="K1656" s="82">
        <v>0.59209999999999996</v>
      </c>
      <c r="M1656" s="80"/>
    </row>
    <row r="1657" spans="1:13" x14ac:dyDescent="0.2">
      <c r="A1657" s="523">
        <v>43099</v>
      </c>
      <c r="B1657" s="601" t="s">
        <v>4259</v>
      </c>
      <c r="C1657" s="958" t="s">
        <v>440</v>
      </c>
      <c r="D1657" s="1">
        <v>2.5324074074074079E-2</v>
      </c>
      <c r="E1657" s="80" t="s">
        <v>5095</v>
      </c>
      <c r="F1657" s="69" t="s">
        <v>3278</v>
      </c>
      <c r="I1657" s="2"/>
      <c r="K1657" s="82">
        <v>0.47760000000000002</v>
      </c>
    </row>
    <row r="1658" spans="1:13" x14ac:dyDescent="0.2">
      <c r="A1658" s="965">
        <v>43094</v>
      </c>
      <c r="B1658" s="962" t="s">
        <v>4259</v>
      </c>
      <c r="C1658" s="963" t="s">
        <v>440</v>
      </c>
      <c r="D1658" s="1">
        <v>2.5335648148148149E-2</v>
      </c>
      <c r="E1658" s="80" t="s">
        <v>5948</v>
      </c>
      <c r="F1658" s="69" t="s">
        <v>8988</v>
      </c>
      <c r="I1658" s="2"/>
      <c r="K1658" s="82">
        <v>0.47739999999999999</v>
      </c>
    </row>
    <row r="1659" spans="1:13" x14ac:dyDescent="0.2">
      <c r="A1659" s="523">
        <v>43092</v>
      </c>
      <c r="B1659" s="568" t="s">
        <v>4259</v>
      </c>
      <c r="C1659" s="861" t="s">
        <v>440</v>
      </c>
      <c r="D1659" s="334">
        <v>2.4398148148148145E-2</v>
      </c>
      <c r="E1659" s="80" t="s">
        <v>3072</v>
      </c>
      <c r="F1659" s="69" t="s">
        <v>8970</v>
      </c>
      <c r="I1659" s="2"/>
      <c r="K1659" s="82">
        <v>0.49569999999999997</v>
      </c>
    </row>
    <row r="1660" spans="1:13" x14ac:dyDescent="0.2">
      <c r="A1660" s="523">
        <v>43064</v>
      </c>
      <c r="B1660" s="869" t="s">
        <v>4259</v>
      </c>
      <c r="C1660" s="903" t="s">
        <v>440</v>
      </c>
      <c r="D1660" s="1">
        <v>2.4004629629629629E-2</v>
      </c>
      <c r="E1660" s="80" t="s">
        <v>5883</v>
      </c>
      <c r="F1660" s="69" t="s">
        <v>1537</v>
      </c>
      <c r="I1660" s="2"/>
      <c r="K1660" s="82">
        <v>0.50390000000000001</v>
      </c>
    </row>
    <row r="1661" spans="1:13" x14ac:dyDescent="0.2">
      <c r="A1661" s="523">
        <v>43029</v>
      </c>
      <c r="B1661" s="901" t="s">
        <v>4259</v>
      </c>
      <c r="C1661" s="902" t="s">
        <v>440</v>
      </c>
      <c r="D1661" s="1">
        <v>2.359953703703704E-2</v>
      </c>
      <c r="E1661" s="80" t="s">
        <v>2636</v>
      </c>
      <c r="F1661" s="69" t="s">
        <v>8725</v>
      </c>
      <c r="I1661" s="2"/>
      <c r="K1661" s="82">
        <v>0.51249999999999996</v>
      </c>
    </row>
    <row r="1662" spans="1:13" x14ac:dyDescent="0.2">
      <c r="A1662" s="523">
        <v>43022</v>
      </c>
      <c r="B1662" s="930" t="s">
        <v>4259</v>
      </c>
      <c r="C1662" s="931" t="s">
        <v>440</v>
      </c>
      <c r="D1662" s="1">
        <v>2.3993055555555556E-2</v>
      </c>
      <c r="E1662" s="80" t="s">
        <v>2431</v>
      </c>
      <c r="F1662" s="69" t="s">
        <v>8684</v>
      </c>
      <c r="I1662" s="2"/>
      <c r="K1662" s="82">
        <v>0.50409999999999999</v>
      </c>
    </row>
    <row r="1663" spans="1:13" x14ac:dyDescent="0.2">
      <c r="A1663" s="523">
        <v>43015</v>
      </c>
      <c r="B1663" s="923" t="s">
        <v>4259</v>
      </c>
      <c r="C1663" s="924" t="s">
        <v>440</v>
      </c>
      <c r="D1663" s="1">
        <v>2.6273148148148153E-2</v>
      </c>
      <c r="E1663" s="80" t="s">
        <v>3773</v>
      </c>
      <c r="F1663" s="69" t="s">
        <v>8633</v>
      </c>
      <c r="I1663" s="2"/>
      <c r="K1663" s="82">
        <v>0.46039999999999998</v>
      </c>
    </row>
    <row r="1664" spans="1:13" x14ac:dyDescent="0.2">
      <c r="A1664" s="523">
        <v>43008</v>
      </c>
      <c r="B1664" s="532" t="s">
        <v>4259</v>
      </c>
      <c r="C1664" s="843" t="s">
        <v>440</v>
      </c>
      <c r="D1664" s="1">
        <v>2.2962962962962966E-2</v>
      </c>
      <c r="E1664" s="80" t="s">
        <v>3072</v>
      </c>
      <c r="F1664" s="69" t="s">
        <v>4762</v>
      </c>
      <c r="I1664" s="2"/>
      <c r="K1664" s="82">
        <v>0.51970000000000005</v>
      </c>
      <c r="M1664" s="80"/>
    </row>
    <row r="1665" spans="1:13" x14ac:dyDescent="0.2">
      <c r="A1665" s="523">
        <v>42994</v>
      </c>
      <c r="B1665" s="869" t="s">
        <v>4259</v>
      </c>
      <c r="C1665" s="903" t="s">
        <v>440</v>
      </c>
      <c r="D1665" s="1">
        <v>2.3715277777777776E-2</v>
      </c>
      <c r="E1665" s="80" t="s">
        <v>2636</v>
      </c>
      <c r="F1665" s="69" t="s">
        <v>8532</v>
      </c>
      <c r="I1665" s="2"/>
      <c r="K1665" s="82">
        <v>0.50319999999999998</v>
      </c>
      <c r="M1665" s="80"/>
    </row>
    <row r="1666" spans="1:13" x14ac:dyDescent="0.2">
      <c r="A1666" s="523">
        <v>42980</v>
      </c>
      <c r="B1666" s="837" t="s">
        <v>4259</v>
      </c>
      <c r="C1666" s="842" t="s">
        <v>440</v>
      </c>
      <c r="D1666" s="1">
        <v>2.4074074074074071E-2</v>
      </c>
      <c r="E1666" s="80" t="s">
        <v>4634</v>
      </c>
      <c r="F1666" s="69" t="s">
        <v>8455</v>
      </c>
      <c r="I1666" s="2"/>
      <c r="K1666" s="82">
        <v>0.49569999999999997</v>
      </c>
    </row>
    <row r="1667" spans="1:13" x14ac:dyDescent="0.2">
      <c r="A1667" s="523">
        <v>42973</v>
      </c>
      <c r="B1667" s="862" t="s">
        <v>4259</v>
      </c>
      <c r="C1667" s="863" t="s">
        <v>440</v>
      </c>
      <c r="D1667" s="334">
        <v>2.3298611111111107E-2</v>
      </c>
      <c r="E1667" s="80" t="s">
        <v>1719</v>
      </c>
      <c r="F1667" s="69" t="s">
        <v>8419</v>
      </c>
      <c r="I1667" s="2"/>
      <c r="K1667" s="82">
        <v>0.51219999999999999</v>
      </c>
      <c r="M1667" s="80"/>
    </row>
    <row r="1668" spans="1:13" x14ac:dyDescent="0.2">
      <c r="A1668" s="523">
        <v>42966</v>
      </c>
      <c r="B1668" s="879" t="s">
        <v>4259</v>
      </c>
      <c r="C1668" s="880" t="s">
        <v>440</v>
      </c>
      <c r="D1668" s="1">
        <v>2.3310185185185187E-2</v>
      </c>
      <c r="E1668" s="80" t="s">
        <v>4727</v>
      </c>
      <c r="F1668" s="69" t="s">
        <v>8391</v>
      </c>
      <c r="I1668" s="2"/>
      <c r="K1668" s="82">
        <v>0.51190000000000002</v>
      </c>
      <c r="M1668" s="80"/>
    </row>
    <row r="1669" spans="1:13" ht="14.25" customHeight="1" x14ac:dyDescent="0.2">
      <c r="A1669" s="523">
        <v>42952</v>
      </c>
      <c r="B1669" s="862" t="s">
        <v>4259</v>
      </c>
      <c r="C1669" s="863" t="s">
        <v>440</v>
      </c>
      <c r="D1669" s="1">
        <v>2.2847222222222224E-2</v>
      </c>
      <c r="E1669" s="80" t="s">
        <v>5095</v>
      </c>
      <c r="F1669" s="69" t="s">
        <v>8314</v>
      </c>
      <c r="I1669" s="2"/>
      <c r="K1669" s="82">
        <v>0.52229999999999999</v>
      </c>
    </row>
    <row r="1670" spans="1:13" ht="14.25" customHeight="1" x14ac:dyDescent="0.2">
      <c r="A1670" s="523">
        <v>42945</v>
      </c>
      <c r="B1670" s="568" t="s">
        <v>4259</v>
      </c>
      <c r="C1670" s="861" t="s">
        <v>440</v>
      </c>
      <c r="D1670" s="1">
        <v>3.2037037037037037E-2</v>
      </c>
      <c r="E1670" s="80" t="s">
        <v>4936</v>
      </c>
      <c r="F1670" s="69" t="s">
        <v>8283</v>
      </c>
      <c r="I1670" s="2"/>
      <c r="K1670" s="571">
        <v>0.3725</v>
      </c>
      <c r="M1670" s="80" t="s">
        <v>6132</v>
      </c>
    </row>
    <row r="1671" spans="1:13" ht="14.25" customHeight="1" x14ac:dyDescent="0.2">
      <c r="A1671" s="523">
        <v>42931</v>
      </c>
      <c r="B1671" s="837" t="s">
        <v>4259</v>
      </c>
      <c r="C1671" s="842" t="s">
        <v>440</v>
      </c>
      <c r="D1671" s="1">
        <v>2.3587962962962963E-2</v>
      </c>
      <c r="E1671" s="80" t="s">
        <v>5095</v>
      </c>
      <c r="F1671" s="69" t="s">
        <v>8210</v>
      </c>
      <c r="I1671" s="2"/>
      <c r="K1671" s="82">
        <v>0.50590000000000002</v>
      </c>
      <c r="M1671" s="80"/>
    </row>
    <row r="1672" spans="1:13" ht="14.25" customHeight="1" x14ac:dyDescent="0.2">
      <c r="A1672" s="34">
        <v>42924</v>
      </c>
      <c r="B1672" s="80" t="s">
        <v>4259</v>
      </c>
      <c r="C1672" s="334" t="s">
        <v>440</v>
      </c>
      <c r="D1672" s="1">
        <v>2.2881944444444444E-2</v>
      </c>
      <c r="E1672" s="80" t="s">
        <v>2635</v>
      </c>
      <c r="F1672" s="69" t="s">
        <v>8169</v>
      </c>
      <c r="I1672" s="2"/>
      <c r="K1672" s="82">
        <v>0.52149999999999996</v>
      </c>
      <c r="M1672" s="80"/>
    </row>
    <row r="1673" spans="1:13" ht="14.25" customHeight="1" x14ac:dyDescent="0.2">
      <c r="A1673" s="523">
        <v>42875</v>
      </c>
      <c r="B1673" s="80" t="s">
        <v>4259</v>
      </c>
      <c r="C1673" s="334" t="s">
        <v>440</v>
      </c>
      <c r="D1673" s="1">
        <v>2.2210648148148149E-2</v>
      </c>
      <c r="E1673" s="80" t="s">
        <v>7932</v>
      </c>
      <c r="F1673" s="69" t="s">
        <v>7933</v>
      </c>
      <c r="I1673" s="2"/>
      <c r="K1673" s="82">
        <v>0.5373</v>
      </c>
      <c r="M1673" s="80"/>
    </row>
    <row r="1674" spans="1:13" ht="14.25" customHeight="1" x14ac:dyDescent="0.2">
      <c r="A1674" s="523">
        <v>42861</v>
      </c>
      <c r="B1674" s="80" t="s">
        <v>4259</v>
      </c>
      <c r="C1674" s="334" t="s">
        <v>440</v>
      </c>
      <c r="D1674" s="1">
        <v>2.3009259259259257E-2</v>
      </c>
      <c r="E1674" s="80" t="s">
        <v>1810</v>
      </c>
      <c r="F1674" s="69" t="s">
        <v>7852</v>
      </c>
      <c r="I1674" s="2"/>
      <c r="K1674" s="82">
        <v>0.51859999999999995</v>
      </c>
    </row>
    <row r="1675" spans="1:13" ht="14.25" customHeight="1" x14ac:dyDescent="0.2">
      <c r="A1675" s="523">
        <v>42854</v>
      </c>
      <c r="B1675" s="80" t="s">
        <v>4259</v>
      </c>
      <c r="C1675" s="334" t="s">
        <v>440</v>
      </c>
      <c r="D1675" s="1">
        <v>2.3159722222222224E-2</v>
      </c>
      <c r="E1675" s="80" t="s">
        <v>2636</v>
      </c>
      <c r="F1675" s="69" t="s">
        <v>7833</v>
      </c>
      <c r="I1675" s="2"/>
      <c r="K1675" s="82">
        <v>0.51519999999999999</v>
      </c>
      <c r="M1675" s="80"/>
    </row>
    <row r="1676" spans="1:13" ht="14.25" customHeight="1" x14ac:dyDescent="0.2">
      <c r="A1676" s="523">
        <v>42840</v>
      </c>
      <c r="B1676" s="80" t="s">
        <v>4259</v>
      </c>
      <c r="C1676" s="334" t="s">
        <v>440</v>
      </c>
      <c r="D1676" s="1">
        <v>2.1921296296296296E-2</v>
      </c>
      <c r="E1676" t="s">
        <v>5885</v>
      </c>
      <c r="F1676" s="69" t="s">
        <v>343</v>
      </c>
      <c r="I1676" s="2"/>
      <c r="K1676" s="82">
        <v>0.5444</v>
      </c>
      <c r="M1676" s="80" t="s">
        <v>8465</v>
      </c>
    </row>
    <row r="1677" spans="1:13" ht="14.25" customHeight="1" x14ac:dyDescent="0.2">
      <c r="A1677" s="523">
        <v>42833</v>
      </c>
      <c r="B1677" s="80" t="s">
        <v>4259</v>
      </c>
      <c r="C1677" s="334" t="s">
        <v>440</v>
      </c>
      <c r="D1677" s="1">
        <v>2.6180555555555558E-2</v>
      </c>
      <c r="E1677" s="80" t="s">
        <v>1982</v>
      </c>
      <c r="F1677" s="69" t="s">
        <v>7735</v>
      </c>
      <c r="I1677" s="2"/>
      <c r="K1677" s="82">
        <v>0.45579999999999998</v>
      </c>
      <c r="M1677" s="80"/>
    </row>
    <row r="1678" spans="1:13" ht="14.25" customHeight="1" x14ac:dyDescent="0.2">
      <c r="A1678" s="523">
        <v>42812</v>
      </c>
      <c r="B1678" s="80" t="s">
        <v>4259</v>
      </c>
      <c r="C1678" s="334" t="s">
        <v>440</v>
      </c>
      <c r="D1678" s="1">
        <v>2.6481481481481481E-2</v>
      </c>
      <c r="E1678" s="80" t="s">
        <v>1982</v>
      </c>
      <c r="F1678" s="69" t="s">
        <v>7645</v>
      </c>
      <c r="I1678" s="2"/>
      <c r="K1678" s="82">
        <v>0.4506</v>
      </c>
      <c r="M1678" s="80"/>
    </row>
    <row r="1679" spans="1:13" ht="14.25" customHeight="1" x14ac:dyDescent="0.2">
      <c r="A1679" s="523">
        <v>42798</v>
      </c>
      <c r="B1679" t="s">
        <v>4259</v>
      </c>
      <c r="C1679" s="334" t="s">
        <v>440</v>
      </c>
      <c r="D1679" s="1">
        <v>2.3495370370370371E-2</v>
      </c>
      <c r="E1679" s="80" t="s">
        <v>6393</v>
      </c>
      <c r="F1679" s="69" t="s">
        <v>7582</v>
      </c>
      <c r="I1679" s="2"/>
      <c r="K1679" s="82">
        <v>0.50790000000000002</v>
      </c>
      <c r="M1679" s="80"/>
    </row>
    <row r="1680" spans="1:13" ht="14.25" customHeight="1" x14ac:dyDescent="0.2">
      <c r="A1680" s="523">
        <v>42784</v>
      </c>
      <c r="B1680" s="80" t="s">
        <v>4259</v>
      </c>
      <c r="C1680" s="334" t="s">
        <v>440</v>
      </c>
      <c r="D1680" s="1">
        <v>2.5995370370370367E-2</v>
      </c>
      <c r="E1680" s="80" t="s">
        <v>1982</v>
      </c>
      <c r="F1680" s="69" t="s">
        <v>6440</v>
      </c>
      <c r="I1680" s="2"/>
      <c r="K1680" s="82">
        <v>0.45900000000000002</v>
      </c>
      <c r="M1680" s="80"/>
    </row>
    <row r="1681" spans="1:13" ht="14.25" customHeight="1" x14ac:dyDescent="0.2">
      <c r="A1681" s="33">
        <v>42763</v>
      </c>
      <c r="B1681" s="80" t="s">
        <v>4259</v>
      </c>
      <c r="C1681" s="334" t="s">
        <v>440</v>
      </c>
      <c r="D1681" s="1">
        <v>2.3865740740740743E-2</v>
      </c>
      <c r="E1681" s="80" t="s">
        <v>5198</v>
      </c>
      <c r="F1681" s="69" t="s">
        <v>6312</v>
      </c>
      <c r="I1681" s="2"/>
      <c r="K1681" s="82">
        <v>0.5</v>
      </c>
      <c r="M1681" s="80"/>
    </row>
    <row r="1682" spans="1:13" ht="14.25" customHeight="1" x14ac:dyDescent="0.2">
      <c r="A1682" s="523">
        <v>42749</v>
      </c>
      <c r="B1682" s="80" t="s">
        <v>4259</v>
      </c>
      <c r="C1682" s="334" t="s">
        <v>440</v>
      </c>
      <c r="D1682" s="1">
        <v>2.3680555555555555E-2</v>
      </c>
      <c r="E1682" s="80" t="s">
        <v>5095</v>
      </c>
      <c r="F1682" s="69" t="s">
        <v>6304</v>
      </c>
      <c r="I1682" s="2"/>
      <c r="K1682" s="82">
        <v>0.50390000000000001</v>
      </c>
      <c r="M1682" s="80"/>
    </row>
    <row r="1683" spans="1:13" ht="14.25" customHeight="1" x14ac:dyDescent="0.2">
      <c r="A1683" s="523">
        <v>42966</v>
      </c>
      <c r="B1683" s="879" t="s">
        <v>3898</v>
      </c>
      <c r="C1683" s="880" t="s">
        <v>3899</v>
      </c>
      <c r="D1683" s="1">
        <v>1.6921296296296299E-2</v>
      </c>
      <c r="E1683" s="80" t="s">
        <v>646</v>
      </c>
      <c r="F1683" s="69" t="s">
        <v>8401</v>
      </c>
      <c r="I1683" s="2"/>
      <c r="K1683" s="82">
        <v>0.63060000000000005</v>
      </c>
      <c r="M1683" s="80" t="s">
        <v>8004</v>
      </c>
    </row>
    <row r="1684" spans="1:13" ht="14.25" customHeight="1" x14ac:dyDescent="0.2">
      <c r="A1684" s="523">
        <v>42889</v>
      </c>
      <c r="B1684" s="80" t="s">
        <v>3898</v>
      </c>
      <c r="C1684" s="334" t="s">
        <v>3899</v>
      </c>
      <c r="D1684" s="1">
        <v>1.6319444444444445E-2</v>
      </c>
      <c r="E1684" t="s">
        <v>7999</v>
      </c>
      <c r="F1684" s="69" t="s">
        <v>8003</v>
      </c>
      <c r="I1684" s="2"/>
      <c r="K1684" s="82">
        <v>0.65390000000000004</v>
      </c>
    </row>
    <row r="1685" spans="1:13" ht="14.25" customHeight="1" x14ac:dyDescent="0.2">
      <c r="A1685" s="523">
        <v>42882</v>
      </c>
      <c r="B1685" s="80" t="s">
        <v>2706</v>
      </c>
      <c r="C1685" s="334" t="s">
        <v>2707</v>
      </c>
      <c r="D1685" s="1">
        <v>1.9490740740740743E-2</v>
      </c>
      <c r="E1685" s="80" t="s">
        <v>5885</v>
      </c>
      <c r="F1685" s="69" t="s">
        <v>7952</v>
      </c>
      <c r="I1685" s="2"/>
      <c r="K1685" s="82">
        <v>0.52969999999999995</v>
      </c>
      <c r="M1685" s="80"/>
    </row>
    <row r="1686" spans="1:13" ht="14.25" customHeight="1" x14ac:dyDescent="0.2">
      <c r="A1686" s="523">
        <v>42868</v>
      </c>
      <c r="B1686" s="80" t="s">
        <v>2706</v>
      </c>
      <c r="C1686" s="334" t="s">
        <v>2707</v>
      </c>
      <c r="D1686" s="1">
        <v>1.9606481481481482E-2</v>
      </c>
      <c r="E1686" s="80" t="s">
        <v>5885</v>
      </c>
      <c r="F1686" s="69" t="s">
        <v>7874</v>
      </c>
      <c r="I1686" s="2"/>
      <c r="K1686" s="82">
        <v>0.52659999999999996</v>
      </c>
    </row>
    <row r="1687" spans="1:13" ht="14.25" customHeight="1" x14ac:dyDescent="0.2">
      <c r="A1687" s="33">
        <v>42805</v>
      </c>
      <c r="B1687" s="80" t="s">
        <v>7619</v>
      </c>
      <c r="C1687" s="334" t="s">
        <v>2707</v>
      </c>
      <c r="D1687" s="1">
        <v>1.9120370370370371E-2</v>
      </c>
      <c r="E1687" s="80" t="s">
        <v>5885</v>
      </c>
      <c r="F1687" s="69" t="s">
        <v>7622</v>
      </c>
      <c r="I1687" s="2"/>
      <c r="K1687" s="82">
        <v>0.54</v>
      </c>
    </row>
    <row r="1688" spans="1:13" ht="14.25" customHeight="1" x14ac:dyDescent="0.2">
      <c r="A1688" s="523">
        <v>43071</v>
      </c>
      <c r="B1688" s="556" t="s">
        <v>3962</v>
      </c>
      <c r="C1688" s="950" t="s">
        <v>5543</v>
      </c>
      <c r="D1688" s="334">
        <v>1.7210648148148149E-2</v>
      </c>
      <c r="E1688" s="80" t="s">
        <v>802</v>
      </c>
      <c r="F1688" s="69" t="s">
        <v>8879</v>
      </c>
      <c r="I1688" s="2"/>
      <c r="K1688" s="82">
        <v>0.63080000000000003</v>
      </c>
    </row>
    <row r="1689" spans="1:13" ht="14.25" customHeight="1" x14ac:dyDescent="0.2">
      <c r="A1689" s="523">
        <v>42798</v>
      </c>
      <c r="B1689" t="s">
        <v>3962</v>
      </c>
      <c r="C1689" s="334" t="s">
        <v>5543</v>
      </c>
      <c r="D1689" s="1">
        <v>1.7939814814814815E-2</v>
      </c>
      <c r="E1689" s="80" t="s">
        <v>5883</v>
      </c>
      <c r="F1689" s="69" t="s">
        <v>7593</v>
      </c>
      <c r="I1689" s="2"/>
      <c r="K1689" s="82">
        <v>0.60519999999999996</v>
      </c>
      <c r="M1689" t="s">
        <v>7594</v>
      </c>
    </row>
    <row r="1690" spans="1:13" ht="14.25" customHeight="1" x14ac:dyDescent="0.2">
      <c r="A1690" s="33">
        <v>42763</v>
      </c>
      <c r="B1690" s="80" t="s">
        <v>3962</v>
      </c>
      <c r="C1690" s="334" t="s">
        <v>5543</v>
      </c>
      <c r="D1690" s="1">
        <v>2.6979166666666669E-2</v>
      </c>
      <c r="E1690" s="80" t="s">
        <v>5198</v>
      </c>
      <c r="F1690" s="69" t="s">
        <v>6317</v>
      </c>
      <c r="I1690" s="2"/>
      <c r="K1690" s="82">
        <v>0.40239999999999998</v>
      </c>
      <c r="M1690" s="80"/>
    </row>
    <row r="1691" spans="1:13" ht="14.25" customHeight="1" x14ac:dyDescent="0.2">
      <c r="A1691" s="523">
        <v>42840</v>
      </c>
      <c r="B1691" s="53" t="s">
        <v>7786</v>
      </c>
      <c r="C1691" s="54" t="s">
        <v>5543</v>
      </c>
      <c r="D1691" s="1">
        <v>1.6631944444444446E-2</v>
      </c>
      <c r="E1691" s="80" t="s">
        <v>5544</v>
      </c>
      <c r="F1691" s="69" t="s">
        <v>7785</v>
      </c>
      <c r="I1691" s="2"/>
      <c r="K1691" s="82">
        <v>0.62560000000000004</v>
      </c>
    </row>
    <row r="1692" spans="1:13" ht="14.25" customHeight="1" x14ac:dyDescent="0.2">
      <c r="A1692" s="523">
        <v>43071</v>
      </c>
      <c r="B1692" s="556" t="s">
        <v>866</v>
      </c>
      <c r="C1692" s="950" t="s">
        <v>5543</v>
      </c>
      <c r="D1692" s="1">
        <v>1.4432870370370372E-2</v>
      </c>
      <c r="E1692" s="80" t="s">
        <v>802</v>
      </c>
      <c r="F1692" s="69" t="s">
        <v>4960</v>
      </c>
      <c r="I1692" s="2"/>
      <c r="K1692" s="82">
        <v>0.72089999999999999</v>
      </c>
    </row>
    <row r="1693" spans="1:13" ht="14.25" customHeight="1" x14ac:dyDescent="0.2">
      <c r="A1693" s="523">
        <v>42791</v>
      </c>
      <c r="B1693" s="80" t="s">
        <v>866</v>
      </c>
      <c r="C1693" s="334" t="s">
        <v>5543</v>
      </c>
      <c r="D1693" s="1">
        <v>1.4085648148148151E-2</v>
      </c>
      <c r="E1693" s="80" t="s">
        <v>1042</v>
      </c>
      <c r="F1693" s="69" t="s">
        <v>7565</v>
      </c>
      <c r="I1693" s="2"/>
      <c r="K1693" s="82">
        <v>0.7329</v>
      </c>
      <c r="M1693" s="80"/>
    </row>
    <row r="1694" spans="1:13" ht="14.25" customHeight="1" x14ac:dyDescent="0.2">
      <c r="A1694" s="523">
        <v>42791</v>
      </c>
      <c r="B1694" s="53" t="s">
        <v>2703</v>
      </c>
      <c r="C1694" s="54" t="s">
        <v>5543</v>
      </c>
      <c r="D1694" s="1">
        <v>2.1527777777777781E-2</v>
      </c>
      <c r="E1694" s="80" t="s">
        <v>1401</v>
      </c>
      <c r="F1694" s="69" t="s">
        <v>2242</v>
      </c>
      <c r="I1694" s="2"/>
      <c r="K1694" s="82">
        <v>0.56179999999999997</v>
      </c>
    </row>
    <row r="1695" spans="1:13" ht="14.25" customHeight="1" x14ac:dyDescent="0.2">
      <c r="A1695" s="523">
        <v>43071</v>
      </c>
      <c r="B1695" s="556" t="s">
        <v>5542</v>
      </c>
      <c r="C1695" s="950" t="s">
        <v>5543</v>
      </c>
      <c r="D1695" s="1">
        <v>1.6585648148148148E-2</v>
      </c>
      <c r="E1695" s="80" t="s">
        <v>802</v>
      </c>
      <c r="F1695" s="69" t="s">
        <v>8878</v>
      </c>
      <c r="I1695" s="2"/>
      <c r="K1695" s="82">
        <v>0.65459999999999996</v>
      </c>
    </row>
    <row r="1696" spans="1:13" ht="14.25" customHeight="1" x14ac:dyDescent="0.2">
      <c r="A1696" s="33">
        <v>42763</v>
      </c>
      <c r="B1696" s="80" t="s">
        <v>5542</v>
      </c>
      <c r="C1696" s="334" t="s">
        <v>5543</v>
      </c>
      <c r="D1696" s="1">
        <v>2.6898148148148147E-2</v>
      </c>
      <c r="E1696" s="80" t="s">
        <v>5198</v>
      </c>
      <c r="F1696" s="69" t="s">
        <v>6316</v>
      </c>
      <c r="I1696" s="2"/>
      <c r="K1696" s="82">
        <v>0.40360000000000001</v>
      </c>
      <c r="M1696" s="80"/>
    </row>
    <row r="1697" spans="1:19" ht="14.25" customHeight="1" x14ac:dyDescent="0.2">
      <c r="A1697" s="523">
        <v>43043</v>
      </c>
      <c r="B1697" s="936" t="s">
        <v>1794</v>
      </c>
      <c r="C1697" s="937" t="s">
        <v>5543</v>
      </c>
      <c r="D1697" s="1">
        <v>1.8252314814814815E-2</v>
      </c>
      <c r="E1697" s="80" t="s">
        <v>1401</v>
      </c>
      <c r="F1697" s="69" t="s">
        <v>4277</v>
      </c>
      <c r="I1697" s="2"/>
      <c r="K1697" s="82">
        <v>0.5796</v>
      </c>
    </row>
    <row r="1698" spans="1:19" x14ac:dyDescent="0.2">
      <c r="A1698" s="523">
        <v>43036</v>
      </c>
      <c r="B1698" s="934" t="s">
        <v>1794</v>
      </c>
      <c r="C1698" s="935" t="s">
        <v>5543</v>
      </c>
      <c r="D1698" s="1">
        <v>1.8275462962962962E-2</v>
      </c>
      <c r="E1698" s="80" t="s">
        <v>1401</v>
      </c>
      <c r="F1698" s="69" t="s">
        <v>8747</v>
      </c>
      <c r="I1698" s="2"/>
      <c r="K1698" s="82">
        <v>0.57879999999999998</v>
      </c>
    </row>
    <row r="1699" spans="1:19" x14ac:dyDescent="0.2">
      <c r="A1699" s="523">
        <v>43022</v>
      </c>
      <c r="B1699" s="930" t="s">
        <v>1794</v>
      </c>
      <c r="C1699" s="931" t="s">
        <v>5543</v>
      </c>
      <c r="D1699" s="1">
        <v>1.8032407407407407E-2</v>
      </c>
      <c r="E1699" s="80" t="s">
        <v>1401</v>
      </c>
      <c r="F1699" s="69" t="s">
        <v>8681</v>
      </c>
      <c r="I1699" s="2"/>
      <c r="K1699" s="82">
        <v>0.58660000000000001</v>
      </c>
    </row>
    <row r="1700" spans="1:19" ht="14.25" customHeight="1" x14ac:dyDescent="0.2">
      <c r="A1700" s="523">
        <v>43015</v>
      </c>
      <c r="B1700" s="923" t="s">
        <v>1794</v>
      </c>
      <c r="C1700" s="924" t="s">
        <v>5543</v>
      </c>
      <c r="D1700" s="1">
        <v>2.7118055555555552E-2</v>
      </c>
      <c r="E1700" s="80" t="s">
        <v>1401</v>
      </c>
      <c r="F1700" s="69" t="s">
        <v>1102</v>
      </c>
      <c r="I1700" s="2"/>
      <c r="K1700" s="82">
        <v>0.3901</v>
      </c>
      <c r="M1700" s="80"/>
    </row>
    <row r="1701" spans="1:19" ht="14.25" customHeight="1" x14ac:dyDescent="0.2">
      <c r="A1701" s="523">
        <v>42994</v>
      </c>
      <c r="B1701" s="869" t="s">
        <v>1794</v>
      </c>
      <c r="C1701" s="903" t="s">
        <v>5543</v>
      </c>
      <c r="D1701" s="1">
        <v>1.7916666666666668E-2</v>
      </c>
      <c r="E1701" s="80" t="s">
        <v>1401</v>
      </c>
      <c r="F1701" s="69" t="s">
        <v>8540</v>
      </c>
      <c r="I1701" s="2"/>
      <c r="K1701" s="82">
        <v>0.59040000000000004</v>
      </c>
      <c r="M1701" s="80"/>
    </row>
    <row r="1702" spans="1:19" ht="14.25" customHeight="1" x14ac:dyDescent="0.2">
      <c r="A1702" s="523">
        <v>42980</v>
      </c>
      <c r="B1702" s="837" t="s">
        <v>1794</v>
      </c>
      <c r="C1702" s="842" t="s">
        <v>5543</v>
      </c>
      <c r="D1702" s="1">
        <v>1.7256944444444446E-2</v>
      </c>
      <c r="E1702" s="80" t="s">
        <v>1401</v>
      </c>
      <c r="F1702" s="69" t="s">
        <v>8479</v>
      </c>
      <c r="I1702" s="2"/>
      <c r="K1702" s="82">
        <v>0.61299999999999999</v>
      </c>
      <c r="M1702" s="80"/>
    </row>
    <row r="1703" spans="1:19" ht="14.25" customHeight="1" x14ac:dyDescent="0.2">
      <c r="A1703" s="523">
        <v>42952</v>
      </c>
      <c r="B1703" s="862" t="s">
        <v>1794</v>
      </c>
      <c r="C1703" s="863" t="s">
        <v>5543</v>
      </c>
      <c r="D1703" s="1">
        <v>1.758101851851852E-2</v>
      </c>
      <c r="E1703" s="80" t="s">
        <v>5095</v>
      </c>
      <c r="F1703" s="69" t="s">
        <v>8306</v>
      </c>
      <c r="I1703" s="2"/>
      <c r="K1703" s="82">
        <v>0.60170000000000001</v>
      </c>
      <c r="M1703" s="80"/>
    </row>
    <row r="1704" spans="1:19" ht="14.25" customHeight="1" x14ac:dyDescent="0.2">
      <c r="A1704" s="523">
        <v>42945</v>
      </c>
      <c r="B1704" s="568" t="s">
        <v>1794</v>
      </c>
      <c r="C1704" s="861" t="s">
        <v>5543</v>
      </c>
      <c r="D1704" s="1">
        <v>1.7222222222222222E-2</v>
      </c>
      <c r="E1704" s="80" t="s">
        <v>1401</v>
      </c>
      <c r="F1704" s="69" t="s">
        <v>8287</v>
      </c>
      <c r="I1704" s="2"/>
      <c r="K1704" s="82">
        <v>0.61419999999999997</v>
      </c>
      <c r="M1704" s="80"/>
    </row>
    <row r="1705" spans="1:19" ht="14.25" customHeight="1" x14ac:dyDescent="0.2">
      <c r="A1705" s="523">
        <v>42931</v>
      </c>
      <c r="B1705" s="837" t="s">
        <v>1794</v>
      </c>
      <c r="C1705" s="842" t="s">
        <v>5543</v>
      </c>
      <c r="D1705" s="1">
        <v>1.7152777777777777E-2</v>
      </c>
      <c r="E1705" s="80" t="s">
        <v>1401</v>
      </c>
      <c r="F1705" s="69" t="s">
        <v>8190</v>
      </c>
      <c r="I1705" s="2"/>
      <c r="K1705" s="82">
        <v>0.61670000000000003</v>
      </c>
      <c r="M1705" s="80"/>
    </row>
    <row r="1706" spans="1:19" ht="14.25" customHeight="1" x14ac:dyDescent="0.2">
      <c r="A1706" s="523">
        <v>42917</v>
      </c>
      <c r="B1706" s="80" t="s">
        <v>1794</v>
      </c>
      <c r="C1706" s="334" t="s">
        <v>5543</v>
      </c>
      <c r="D1706" s="1">
        <v>1.7025462962962961E-2</v>
      </c>
      <c r="E1706" s="80" t="s">
        <v>1401</v>
      </c>
      <c r="F1706" s="69" t="s">
        <v>8129</v>
      </c>
      <c r="I1706" s="2"/>
      <c r="K1706" s="82">
        <v>0.62129999999999996</v>
      </c>
    </row>
    <row r="1707" spans="1:19" ht="14.25" customHeight="1" x14ac:dyDescent="0.2">
      <c r="A1707" s="523">
        <v>42910</v>
      </c>
      <c r="B1707" s="80" t="s">
        <v>1794</v>
      </c>
      <c r="C1707" s="334" t="s">
        <v>5543</v>
      </c>
      <c r="D1707" s="1">
        <v>1.744212962962963E-2</v>
      </c>
      <c r="E1707" s="80" t="s">
        <v>1401</v>
      </c>
      <c r="F1707" s="69" t="s">
        <v>8093</v>
      </c>
      <c r="I1707" s="2"/>
      <c r="K1707" s="82">
        <v>0.60650000000000004</v>
      </c>
      <c r="S1707" s="80"/>
    </row>
    <row r="1708" spans="1:19" ht="14.25" customHeight="1" x14ac:dyDescent="0.2">
      <c r="A1708" s="523">
        <v>42903</v>
      </c>
      <c r="B1708" s="80" t="s">
        <v>1794</v>
      </c>
      <c r="C1708" s="334" t="s">
        <v>5543</v>
      </c>
      <c r="D1708" s="1">
        <v>1.7962962962962962E-2</v>
      </c>
      <c r="E1708" s="80" t="s">
        <v>1401</v>
      </c>
      <c r="F1708" s="69" t="s">
        <v>8077</v>
      </c>
      <c r="I1708" s="2"/>
      <c r="K1708" s="82">
        <v>0.58889999999999998</v>
      </c>
      <c r="M1708" s="80"/>
    </row>
    <row r="1709" spans="1:19" ht="14.25" customHeight="1" x14ac:dyDescent="0.2">
      <c r="A1709" s="523">
        <v>42896</v>
      </c>
      <c r="B1709" s="80" t="s">
        <v>1794</v>
      </c>
      <c r="C1709" s="334" t="s">
        <v>5543</v>
      </c>
      <c r="D1709" s="1">
        <v>1.7303240740740741E-2</v>
      </c>
      <c r="E1709" s="80" t="s">
        <v>1401</v>
      </c>
      <c r="F1709" s="69" t="s">
        <v>8031</v>
      </c>
      <c r="I1709" s="2"/>
      <c r="K1709" s="82">
        <v>0.61140000000000005</v>
      </c>
      <c r="M1709" s="80"/>
    </row>
    <row r="1710" spans="1:19" ht="14.25" customHeight="1" x14ac:dyDescent="0.2">
      <c r="A1710" s="523">
        <v>42889</v>
      </c>
      <c r="B1710" s="80" t="s">
        <v>1794</v>
      </c>
      <c r="C1710" s="334" t="s">
        <v>5543</v>
      </c>
      <c r="D1710" s="1">
        <v>1.7546296296296296E-2</v>
      </c>
      <c r="E1710" s="80" t="s">
        <v>5544</v>
      </c>
      <c r="F1710" s="69" t="s">
        <v>7968</v>
      </c>
      <c r="I1710" s="2"/>
      <c r="K1710" s="82">
        <v>0.60289999999999999</v>
      </c>
      <c r="M1710" s="80"/>
    </row>
    <row r="1711" spans="1:19" ht="14.25" customHeight="1" x14ac:dyDescent="0.2">
      <c r="A1711" s="523">
        <v>42861</v>
      </c>
      <c r="B1711" s="80" t="s">
        <v>1794</v>
      </c>
      <c r="C1711" s="334" t="s">
        <v>5543</v>
      </c>
      <c r="D1711" s="1">
        <v>1.7638888888888888E-2</v>
      </c>
      <c r="E1711" s="80" t="s">
        <v>1401</v>
      </c>
      <c r="F1711" s="69" t="s">
        <v>346</v>
      </c>
      <c r="I1711" s="2"/>
      <c r="K1711" s="82">
        <v>0.59970000000000001</v>
      </c>
      <c r="M1711" s="80"/>
    </row>
    <row r="1712" spans="1:19" ht="14.25" customHeight="1" x14ac:dyDescent="0.2">
      <c r="A1712" s="523">
        <v>42847</v>
      </c>
      <c r="B1712" s="80" t="s">
        <v>1794</v>
      </c>
      <c r="C1712" s="334" t="s">
        <v>5543</v>
      </c>
      <c r="D1712" s="334" t="s">
        <v>787</v>
      </c>
      <c r="E1712" s="80" t="s">
        <v>5456</v>
      </c>
      <c r="F1712" s="69" t="s">
        <v>7813</v>
      </c>
      <c r="I1712" s="2"/>
      <c r="K1712" s="82"/>
      <c r="M1712" s="80"/>
    </row>
    <row r="1713" spans="1:13" ht="14.25" customHeight="1" x14ac:dyDescent="0.2">
      <c r="A1713" s="523">
        <v>42819</v>
      </c>
      <c r="B1713" s="80" t="s">
        <v>1794</v>
      </c>
      <c r="C1713" s="334" t="s">
        <v>5543</v>
      </c>
      <c r="D1713" s="1">
        <v>1.7951388888888888E-2</v>
      </c>
      <c r="E1713" s="80" t="s">
        <v>1401</v>
      </c>
      <c r="F1713" s="69" t="s">
        <v>4655</v>
      </c>
      <c r="I1713" s="2"/>
      <c r="K1713" s="82">
        <v>0.58930000000000005</v>
      </c>
      <c r="M1713" s="80"/>
    </row>
    <row r="1714" spans="1:13" ht="14.25" customHeight="1" x14ac:dyDescent="0.2">
      <c r="A1714" s="523">
        <v>42798</v>
      </c>
      <c r="B1714" t="s">
        <v>1794</v>
      </c>
      <c r="C1714" s="334" t="s">
        <v>5543</v>
      </c>
      <c r="D1714" s="1">
        <v>1.7106481481481483E-2</v>
      </c>
      <c r="E1714" s="80" t="s">
        <v>1401</v>
      </c>
      <c r="F1714" s="69" t="s">
        <v>7587</v>
      </c>
      <c r="I1714" s="2"/>
      <c r="K1714" s="82">
        <v>0.61370000000000002</v>
      </c>
      <c r="M1714" s="80"/>
    </row>
    <row r="1715" spans="1:13" ht="14.25" customHeight="1" x14ac:dyDescent="0.2">
      <c r="A1715" s="523">
        <v>42791</v>
      </c>
      <c r="B1715" s="80" t="s">
        <v>1794</v>
      </c>
      <c r="C1715" s="334" t="s">
        <v>5543</v>
      </c>
      <c r="D1715" s="1">
        <v>1.7523148148148149E-2</v>
      </c>
      <c r="E1715" s="80" t="s">
        <v>1401</v>
      </c>
      <c r="F1715" s="69" t="s">
        <v>5746</v>
      </c>
      <c r="I1715" s="2"/>
      <c r="K1715" s="82">
        <v>0.59909999999999997</v>
      </c>
      <c r="M1715" s="80"/>
    </row>
    <row r="1716" spans="1:13" ht="14.25" customHeight="1" x14ac:dyDescent="0.2">
      <c r="A1716" s="33">
        <v>42742</v>
      </c>
      <c r="B1716" s="80" t="s">
        <v>1794</v>
      </c>
      <c r="C1716" s="334" t="s">
        <v>5543</v>
      </c>
      <c r="D1716" s="1">
        <v>1.7557870370370373E-2</v>
      </c>
      <c r="E1716" s="80" t="s">
        <v>1401</v>
      </c>
      <c r="F1716" s="69" t="s">
        <v>3516</v>
      </c>
      <c r="I1716" s="2"/>
      <c r="K1716" s="82">
        <v>0.59789999999999999</v>
      </c>
      <c r="M1716" s="80"/>
    </row>
    <row r="1717" spans="1:13" ht="14.25" customHeight="1" x14ac:dyDescent="0.2">
      <c r="A1717" s="523">
        <v>42966</v>
      </c>
      <c r="B1717" s="879" t="s">
        <v>5433</v>
      </c>
      <c r="C1717" s="880" t="s">
        <v>5543</v>
      </c>
      <c r="D1717" s="1">
        <v>1.7314814814814814E-2</v>
      </c>
      <c r="E1717" s="80" t="s">
        <v>1401</v>
      </c>
      <c r="F1717" s="69" t="s">
        <v>8405</v>
      </c>
      <c r="I1717" s="2"/>
      <c r="K1717" s="82">
        <v>0.61099999999999999</v>
      </c>
      <c r="M1717" s="80"/>
    </row>
    <row r="1718" spans="1:13" ht="14.25" customHeight="1" x14ac:dyDescent="0.2">
      <c r="A1718" s="523">
        <v>42840</v>
      </c>
      <c r="B1718" s="53" t="s">
        <v>7783</v>
      </c>
      <c r="C1718" s="54" t="s">
        <v>7784</v>
      </c>
      <c r="D1718" s="1">
        <v>1.6192129629629629E-2</v>
      </c>
      <c r="E1718" s="80" t="s">
        <v>5885</v>
      </c>
      <c r="F1718" s="640" t="s">
        <v>3001</v>
      </c>
      <c r="G1718" s="641"/>
      <c r="I1718" s="2"/>
      <c r="K1718" s="82">
        <v>0.78700000000000003</v>
      </c>
    </row>
    <row r="1719" spans="1:13" ht="14.25" customHeight="1" x14ac:dyDescent="0.2">
      <c r="A1719" s="523">
        <v>43092</v>
      </c>
      <c r="B1719" s="568" t="s">
        <v>4744</v>
      </c>
      <c r="C1719" s="861" t="s">
        <v>4745</v>
      </c>
      <c r="D1719" s="334">
        <v>1.9988425925925927E-2</v>
      </c>
      <c r="E1719" s="80" t="s">
        <v>4004</v>
      </c>
      <c r="F1719" s="69" t="s">
        <v>1102</v>
      </c>
      <c r="I1719" s="2"/>
      <c r="K1719" s="82">
        <v>0.59930000000000005</v>
      </c>
    </row>
    <row r="1720" spans="1:13" ht="14.25" customHeight="1" x14ac:dyDescent="0.2">
      <c r="A1720" s="523">
        <v>43085</v>
      </c>
      <c r="B1720" s="601" t="s">
        <v>3687</v>
      </c>
      <c r="C1720" s="958" t="s">
        <v>3688</v>
      </c>
      <c r="D1720" s="1">
        <v>1.6782407407407409E-2</v>
      </c>
      <c r="E1720" s="80" t="s">
        <v>5544</v>
      </c>
      <c r="F1720" s="69" t="s">
        <v>8933</v>
      </c>
      <c r="I1720" s="2"/>
      <c r="K1720" s="82">
        <v>0.749</v>
      </c>
      <c r="M1720" s="80"/>
    </row>
    <row r="1721" spans="1:13" ht="14.25" customHeight="1" x14ac:dyDescent="0.2">
      <c r="A1721" s="523">
        <v>43043</v>
      </c>
      <c r="B1721" s="938" t="s">
        <v>3687</v>
      </c>
      <c r="C1721" s="939" t="s">
        <v>3688</v>
      </c>
      <c r="D1721" s="1">
        <v>1.7291666666666667E-2</v>
      </c>
      <c r="E1721" s="80" t="s">
        <v>8111</v>
      </c>
      <c r="F1721" s="69" t="s">
        <v>8762</v>
      </c>
      <c r="I1721" s="2"/>
      <c r="K1721" s="82">
        <v>0.72689999999999999</v>
      </c>
      <c r="M1721" s="80"/>
    </row>
    <row r="1722" spans="1:13" ht="14.25" customHeight="1" x14ac:dyDescent="0.2">
      <c r="A1722" s="523">
        <v>42861</v>
      </c>
      <c r="B1722" s="80" t="s">
        <v>3687</v>
      </c>
      <c r="C1722" s="334" t="s">
        <v>3688</v>
      </c>
      <c r="D1722" s="1">
        <v>1.9837962962962963E-2</v>
      </c>
      <c r="E1722" s="80" t="s">
        <v>6393</v>
      </c>
      <c r="F1722" s="69" t="s">
        <v>7834</v>
      </c>
      <c r="I1722" s="2"/>
      <c r="K1722" s="82">
        <v>0.63360000000000005</v>
      </c>
      <c r="M1722" s="80"/>
    </row>
    <row r="1723" spans="1:13" x14ac:dyDescent="0.2">
      <c r="A1723" s="34">
        <v>42882</v>
      </c>
      <c r="B1723" s="80" t="s">
        <v>3535</v>
      </c>
      <c r="C1723" s="334" t="s">
        <v>1026</v>
      </c>
      <c r="D1723" s="1">
        <v>1.6018518518518519E-2</v>
      </c>
      <c r="E1723" s="80" t="s">
        <v>1116</v>
      </c>
      <c r="F1723" s="69" t="s">
        <v>8949</v>
      </c>
      <c r="K1723" s="82">
        <v>0.6604000000000001</v>
      </c>
    </row>
    <row r="1724" spans="1:13" x14ac:dyDescent="0.2">
      <c r="A1724" s="523">
        <v>42980</v>
      </c>
      <c r="B1724" s="837" t="s">
        <v>4789</v>
      </c>
      <c r="C1724" s="842" t="s">
        <v>4788</v>
      </c>
      <c r="D1724" s="1">
        <v>1.818287037037037E-2</v>
      </c>
      <c r="E1724" s="80" t="s">
        <v>8407</v>
      </c>
      <c r="F1724" s="69" t="s">
        <v>8488</v>
      </c>
      <c r="I1724" s="2"/>
      <c r="K1724" s="82">
        <v>0.61870000000000003</v>
      </c>
    </row>
    <row r="1725" spans="1:13" x14ac:dyDescent="0.2">
      <c r="A1725" s="523">
        <v>42973</v>
      </c>
      <c r="B1725" s="862" t="s">
        <v>4789</v>
      </c>
      <c r="C1725" s="863" t="s">
        <v>4788</v>
      </c>
      <c r="D1725" s="1">
        <v>1.8067129629629631E-2</v>
      </c>
      <c r="E1725" s="80" t="s">
        <v>8407</v>
      </c>
      <c r="F1725" s="69" t="s">
        <v>1236</v>
      </c>
      <c r="I1725" s="2"/>
      <c r="K1725" s="82">
        <v>0.62270000000000003</v>
      </c>
      <c r="M1725" s="80"/>
    </row>
    <row r="1726" spans="1:13" x14ac:dyDescent="0.2">
      <c r="A1726" s="523">
        <v>42889</v>
      </c>
      <c r="B1726" s="80" t="s">
        <v>4789</v>
      </c>
      <c r="C1726" s="334" t="s">
        <v>4788</v>
      </c>
      <c r="D1726" s="1">
        <v>1.9039351851851852E-2</v>
      </c>
      <c r="E1726" s="80" t="s">
        <v>803</v>
      </c>
      <c r="F1726" s="69" t="s">
        <v>7993</v>
      </c>
      <c r="I1726" s="2"/>
      <c r="K1726" s="82">
        <v>0.59089999999999998</v>
      </c>
      <c r="M1726" s="80"/>
    </row>
    <row r="1727" spans="1:13" x14ac:dyDescent="0.2">
      <c r="A1727" s="523">
        <v>42875</v>
      </c>
      <c r="B1727" s="80" t="s">
        <v>4789</v>
      </c>
      <c r="C1727" s="334" t="s">
        <v>4788</v>
      </c>
      <c r="D1727" s="1">
        <v>1.7615740740740741E-2</v>
      </c>
      <c r="E1727" s="80" t="s">
        <v>803</v>
      </c>
      <c r="F1727" s="69" t="s">
        <v>7926</v>
      </c>
      <c r="I1727" s="2"/>
      <c r="K1727" s="82">
        <v>0.63859999999999995</v>
      </c>
      <c r="M1727" s="80"/>
    </row>
    <row r="1728" spans="1:13" x14ac:dyDescent="0.2">
      <c r="A1728" s="523">
        <v>42966</v>
      </c>
      <c r="B1728" s="879" t="s">
        <v>591</v>
      </c>
      <c r="C1728" s="880" t="s">
        <v>4788</v>
      </c>
      <c r="D1728" s="1">
        <v>2.1296296296296299E-2</v>
      </c>
      <c r="E1728" s="80" t="s">
        <v>8407</v>
      </c>
      <c r="F1728" s="69" t="s">
        <v>8412</v>
      </c>
      <c r="I1728" s="2"/>
      <c r="K1728" s="82">
        <v>0.52829999999999999</v>
      </c>
    </row>
    <row r="1729" spans="1:13" x14ac:dyDescent="0.2">
      <c r="A1729" s="523">
        <v>42980</v>
      </c>
      <c r="B1729" s="837" t="s">
        <v>5542</v>
      </c>
      <c r="C1729" s="842" t="s">
        <v>4788</v>
      </c>
      <c r="D1729" s="1">
        <v>1.8101851851851852E-2</v>
      </c>
      <c r="E1729" s="80" t="s">
        <v>8407</v>
      </c>
      <c r="F1729" s="69" t="s">
        <v>8487</v>
      </c>
      <c r="I1729" s="2"/>
      <c r="K1729" s="82">
        <v>0.58440000000000003</v>
      </c>
    </row>
    <row r="1730" spans="1:13" x14ac:dyDescent="0.2">
      <c r="A1730" s="523">
        <v>42875</v>
      </c>
      <c r="B1730" s="80" t="s">
        <v>5542</v>
      </c>
      <c r="C1730" s="334" t="s">
        <v>4788</v>
      </c>
      <c r="D1730" s="1">
        <v>1.8483796296296297E-2</v>
      </c>
      <c r="E1730" s="80" t="s">
        <v>803</v>
      </c>
      <c r="F1730" s="69" t="s">
        <v>7927</v>
      </c>
      <c r="I1730" s="2"/>
      <c r="K1730" s="82">
        <v>0.57230000000000003</v>
      </c>
      <c r="M1730" s="80"/>
    </row>
    <row r="1731" spans="1:13" x14ac:dyDescent="0.2">
      <c r="A1731" s="523">
        <v>43085</v>
      </c>
      <c r="B1731" s="601" t="s">
        <v>922</v>
      </c>
      <c r="C1731" s="958" t="s">
        <v>5833</v>
      </c>
      <c r="D1731" s="1">
        <v>1.3541666666666667E-2</v>
      </c>
      <c r="E1731" s="80" t="s">
        <v>5885</v>
      </c>
      <c r="F1731" s="69" t="s">
        <v>8794</v>
      </c>
      <c r="I1731" s="2"/>
      <c r="K1731" s="82">
        <v>0.76839999999999997</v>
      </c>
    </row>
    <row r="1732" spans="1:13" x14ac:dyDescent="0.2">
      <c r="A1732" s="523">
        <v>43078</v>
      </c>
      <c r="B1732" s="879" t="s">
        <v>922</v>
      </c>
      <c r="C1732" s="880" t="s">
        <v>5833</v>
      </c>
      <c r="D1732" s="1">
        <v>1.3599537037037037E-2</v>
      </c>
      <c r="E1732" s="80" t="s">
        <v>5885</v>
      </c>
      <c r="F1732" s="69" t="s">
        <v>8774</v>
      </c>
      <c r="I1732" s="2"/>
      <c r="K1732" s="82">
        <v>0.7651</v>
      </c>
      <c r="M1732" s="80"/>
    </row>
    <row r="1733" spans="1:13" x14ac:dyDescent="0.2">
      <c r="A1733" s="523">
        <v>42910</v>
      </c>
      <c r="B1733" s="80" t="s">
        <v>922</v>
      </c>
      <c r="C1733" s="334" t="s">
        <v>5833</v>
      </c>
      <c r="D1733" s="1">
        <v>1.4594907407407405E-2</v>
      </c>
      <c r="E1733" s="80" t="s">
        <v>5885</v>
      </c>
      <c r="F1733" s="69" t="s">
        <v>8105</v>
      </c>
      <c r="I1733" s="2"/>
      <c r="K1733" s="82">
        <v>0.71289999999999998</v>
      </c>
      <c r="M1733" s="80"/>
    </row>
    <row r="1734" spans="1:13" x14ac:dyDescent="0.2">
      <c r="A1734" s="523">
        <v>43057</v>
      </c>
      <c r="B1734" s="940" t="s">
        <v>1794</v>
      </c>
      <c r="C1734" s="941" t="s">
        <v>7677</v>
      </c>
      <c r="D1734" s="1">
        <v>1.90625E-2</v>
      </c>
      <c r="E1734" s="80" t="s">
        <v>6021</v>
      </c>
      <c r="F1734" s="69" t="s">
        <v>8797</v>
      </c>
      <c r="I1734" s="2"/>
      <c r="K1734" s="82">
        <v>0.62839999999999996</v>
      </c>
      <c r="M1734" s="80"/>
    </row>
    <row r="1735" spans="1:13" x14ac:dyDescent="0.2">
      <c r="A1735" s="523">
        <v>43043</v>
      </c>
      <c r="B1735" s="936" t="s">
        <v>1794</v>
      </c>
      <c r="C1735" s="937" t="s">
        <v>7677</v>
      </c>
      <c r="D1735" s="1">
        <v>1.9259259259259261E-2</v>
      </c>
      <c r="E1735" s="80" t="s">
        <v>6021</v>
      </c>
      <c r="F1735" s="69" t="s">
        <v>8761</v>
      </c>
      <c r="I1735" s="2"/>
      <c r="K1735" s="82">
        <v>0.622</v>
      </c>
    </row>
    <row r="1736" spans="1:13" x14ac:dyDescent="0.2">
      <c r="A1736" s="523">
        <v>43036</v>
      </c>
      <c r="B1736" s="934" t="s">
        <v>1794</v>
      </c>
      <c r="C1736" s="935" t="s">
        <v>7677</v>
      </c>
      <c r="D1736" s="1">
        <v>1.8854166666666665E-2</v>
      </c>
      <c r="E1736" s="80" t="s">
        <v>8745</v>
      </c>
      <c r="F1736" s="69" t="s">
        <v>3514</v>
      </c>
      <c r="I1736" s="2"/>
      <c r="K1736" s="82">
        <v>0.63539999999999996</v>
      </c>
      <c r="M1736" s="80"/>
    </row>
    <row r="1737" spans="1:13" x14ac:dyDescent="0.2">
      <c r="A1737" s="523">
        <v>43008</v>
      </c>
      <c r="B1737" s="532" t="s">
        <v>1794</v>
      </c>
      <c r="C1737" s="843" t="s">
        <v>7677</v>
      </c>
      <c r="D1737" s="1">
        <v>1.954861111111111E-2</v>
      </c>
      <c r="E1737" s="80" t="s">
        <v>6021</v>
      </c>
      <c r="F1737" s="69" t="s">
        <v>8599</v>
      </c>
      <c r="I1737" s="2"/>
      <c r="K1737" s="82">
        <v>0.61280000000000001</v>
      </c>
      <c r="M1737" s="80"/>
    </row>
    <row r="1738" spans="1:13" x14ac:dyDescent="0.2">
      <c r="A1738" s="523">
        <v>42994</v>
      </c>
      <c r="B1738" s="869" t="s">
        <v>1794</v>
      </c>
      <c r="C1738" s="903" t="s">
        <v>7677</v>
      </c>
      <c r="D1738" s="1">
        <v>1.9502314814814816E-2</v>
      </c>
      <c r="E1738" s="80" t="s">
        <v>6021</v>
      </c>
      <c r="F1738" s="69" t="s">
        <v>4279</v>
      </c>
      <c r="I1738" s="2"/>
      <c r="K1738" s="82">
        <v>0.61419999999999997</v>
      </c>
      <c r="M1738" s="80"/>
    </row>
    <row r="1739" spans="1:13" x14ac:dyDescent="0.2">
      <c r="A1739" s="523">
        <v>42952</v>
      </c>
      <c r="B1739" s="862" t="s">
        <v>1794</v>
      </c>
      <c r="C1739" s="863" t="s">
        <v>7677</v>
      </c>
      <c r="D1739" s="1">
        <v>1.9814814814814816E-2</v>
      </c>
      <c r="E1739" s="80" t="s">
        <v>6021</v>
      </c>
      <c r="F1739" s="69" t="s">
        <v>8320</v>
      </c>
      <c r="I1739" s="2"/>
      <c r="K1739" s="82">
        <v>0.60460000000000003</v>
      </c>
    </row>
    <row r="1740" spans="1:13" x14ac:dyDescent="0.2">
      <c r="A1740" s="523">
        <v>42945</v>
      </c>
      <c r="B1740" s="568" t="s">
        <v>1794</v>
      </c>
      <c r="C1740" s="861" t="s">
        <v>7677</v>
      </c>
      <c r="D1740" s="1">
        <v>1.9398148148148147E-2</v>
      </c>
      <c r="E1740" s="80" t="s">
        <v>6021</v>
      </c>
      <c r="F1740" s="69" t="s">
        <v>8285</v>
      </c>
      <c r="I1740" s="2"/>
      <c r="K1740" s="82">
        <v>0.61750000000000005</v>
      </c>
      <c r="M1740" s="80"/>
    </row>
    <row r="1741" spans="1:13" x14ac:dyDescent="0.2">
      <c r="A1741" s="523">
        <v>42931</v>
      </c>
      <c r="B1741" s="837" t="s">
        <v>1794</v>
      </c>
      <c r="C1741" s="842" t="s">
        <v>7677</v>
      </c>
      <c r="D1741" s="1">
        <v>2.0011574074074074E-2</v>
      </c>
      <c r="E1741" s="80" t="s">
        <v>6021</v>
      </c>
      <c r="F1741" s="69" t="s">
        <v>3459</v>
      </c>
      <c r="I1741" s="2"/>
      <c r="K1741" s="82">
        <v>0.63700000000000001</v>
      </c>
      <c r="M1741" s="80"/>
    </row>
    <row r="1742" spans="1:13" x14ac:dyDescent="0.2">
      <c r="A1742" s="34">
        <v>42924</v>
      </c>
      <c r="B1742" s="80" t="s">
        <v>1794</v>
      </c>
      <c r="C1742" s="334" t="s">
        <v>7677</v>
      </c>
      <c r="D1742" s="1">
        <v>1.8518518518518521E-2</v>
      </c>
      <c r="E1742" s="80" t="s">
        <v>6021</v>
      </c>
      <c r="F1742" s="69" t="s">
        <v>3486</v>
      </c>
      <c r="I1742" s="2"/>
      <c r="K1742" s="82">
        <v>0.64059999999999995</v>
      </c>
      <c r="M1742" s="80"/>
    </row>
    <row r="1743" spans="1:13" x14ac:dyDescent="0.2">
      <c r="A1743" s="523">
        <v>42910</v>
      </c>
      <c r="B1743" s="80" t="s">
        <v>1794</v>
      </c>
      <c r="C1743" s="334" t="s">
        <v>7677</v>
      </c>
      <c r="D1743" s="1">
        <v>1.9942129629629629E-2</v>
      </c>
      <c r="E1743" s="80" t="s">
        <v>6021</v>
      </c>
      <c r="F1743" s="69" t="s">
        <v>8096</v>
      </c>
      <c r="I1743" s="2"/>
      <c r="K1743" s="82">
        <v>0.59489999999999998</v>
      </c>
      <c r="M1743" s="80"/>
    </row>
    <row r="1744" spans="1:13" x14ac:dyDescent="0.2">
      <c r="A1744" s="523">
        <v>42903</v>
      </c>
      <c r="B1744" s="80" t="s">
        <v>1794</v>
      </c>
      <c r="C1744" s="334" t="s">
        <v>7677</v>
      </c>
      <c r="D1744" s="1">
        <v>1.909722222222222E-2</v>
      </c>
      <c r="E1744" s="80" t="s">
        <v>6021</v>
      </c>
      <c r="F1744" s="69" t="s">
        <v>8075</v>
      </c>
      <c r="I1744" s="2"/>
      <c r="K1744" s="82">
        <v>0.62119999999999997</v>
      </c>
      <c r="M1744" s="80"/>
    </row>
    <row r="1745" spans="1:15" x14ac:dyDescent="0.2">
      <c r="A1745" s="523">
        <v>42896</v>
      </c>
      <c r="B1745" s="80" t="s">
        <v>1794</v>
      </c>
      <c r="C1745" s="334" t="s">
        <v>7677</v>
      </c>
      <c r="D1745" s="1">
        <v>0.02</v>
      </c>
      <c r="E1745" s="80" t="s">
        <v>6021</v>
      </c>
      <c r="F1745" s="69" t="s">
        <v>8028</v>
      </c>
      <c r="I1745" s="2"/>
      <c r="K1745" s="82">
        <v>0.59319999999999995</v>
      </c>
      <c r="M1745" s="80"/>
    </row>
    <row r="1746" spans="1:15" x14ac:dyDescent="0.2">
      <c r="A1746" s="523">
        <v>42889</v>
      </c>
      <c r="B1746" s="80" t="s">
        <v>1794</v>
      </c>
      <c r="C1746" s="334" t="s">
        <v>7677</v>
      </c>
      <c r="D1746" s="1">
        <v>1.8888888888888889E-2</v>
      </c>
      <c r="E1746" s="80" t="s">
        <v>6021</v>
      </c>
      <c r="F1746" s="69" t="s">
        <v>7983</v>
      </c>
      <c r="I1746" s="2"/>
      <c r="K1746" s="82">
        <v>0.62809999999999999</v>
      </c>
      <c r="M1746" s="80"/>
    </row>
    <row r="1747" spans="1:15" x14ac:dyDescent="0.2">
      <c r="A1747" s="523">
        <v>42882</v>
      </c>
      <c r="B1747" s="80" t="s">
        <v>1794</v>
      </c>
      <c r="C1747" s="334" t="s">
        <v>7677</v>
      </c>
      <c r="D1747" s="334">
        <v>2.0046296296296295E-2</v>
      </c>
      <c r="E1747" s="80" t="s">
        <v>6021</v>
      </c>
      <c r="F1747" s="69" t="s">
        <v>1493</v>
      </c>
      <c r="I1747" s="2"/>
      <c r="K1747" s="82">
        <v>0.59179999999999999</v>
      </c>
      <c r="M1747" s="80"/>
    </row>
    <row r="1748" spans="1:15" x14ac:dyDescent="0.2">
      <c r="A1748" s="523">
        <v>42854</v>
      </c>
      <c r="B1748" s="80" t="s">
        <v>1794</v>
      </c>
      <c r="C1748" s="334" t="s">
        <v>7677</v>
      </c>
      <c r="D1748" s="1">
        <v>1.9444444444444445E-2</v>
      </c>
      <c r="E1748" s="80" t="s">
        <v>6021</v>
      </c>
      <c r="F1748" s="69" t="s">
        <v>7826</v>
      </c>
      <c r="I1748" s="2"/>
      <c r="K1748" s="82">
        <v>0.61009999999999998</v>
      </c>
      <c r="M1748" s="80"/>
    </row>
    <row r="1749" spans="1:15" x14ac:dyDescent="0.2">
      <c r="A1749" s="523">
        <v>42980</v>
      </c>
      <c r="B1749" s="837" t="s">
        <v>864</v>
      </c>
      <c r="C1749" s="842" t="s">
        <v>865</v>
      </c>
      <c r="D1749" s="1">
        <v>1.5277777777777777E-2</v>
      </c>
      <c r="E1749" s="80" t="s">
        <v>843</v>
      </c>
      <c r="F1749" s="69" t="s">
        <v>8482</v>
      </c>
      <c r="I1749" s="2"/>
      <c r="K1749" s="82">
        <v>0.73560000000000003</v>
      </c>
    </row>
    <row r="1750" spans="1:15" x14ac:dyDescent="0.2">
      <c r="A1750" s="523">
        <v>42973</v>
      </c>
      <c r="B1750" s="862" t="s">
        <v>864</v>
      </c>
      <c r="C1750" s="863" t="s">
        <v>865</v>
      </c>
      <c r="D1750" s="1">
        <v>1.5474537037037038E-2</v>
      </c>
      <c r="E1750" s="80" t="s">
        <v>1569</v>
      </c>
      <c r="F1750" s="69" t="s">
        <v>8430</v>
      </c>
      <c r="I1750" s="2"/>
      <c r="K1750" s="82">
        <v>0.72629999999999995</v>
      </c>
    </row>
    <row r="1751" spans="1:15" x14ac:dyDescent="0.2">
      <c r="A1751" s="523">
        <v>42938</v>
      </c>
      <c r="B1751" s="532" t="s">
        <v>864</v>
      </c>
      <c r="C1751" s="843" t="s">
        <v>865</v>
      </c>
      <c r="D1751" s="1">
        <v>1.7905092592592594E-2</v>
      </c>
      <c r="E1751" s="80" t="s">
        <v>2245</v>
      </c>
      <c r="F1751" s="69" t="s">
        <v>8224</v>
      </c>
      <c r="I1751" s="2"/>
      <c r="K1751" s="82">
        <v>0.62770000000000004</v>
      </c>
      <c r="M1751" s="80"/>
    </row>
    <row r="1752" spans="1:15" x14ac:dyDescent="0.2">
      <c r="A1752" s="523">
        <v>42903</v>
      </c>
      <c r="B1752" s="80" t="s">
        <v>864</v>
      </c>
      <c r="C1752" s="334" t="s">
        <v>865</v>
      </c>
      <c r="D1752" s="1">
        <v>1.6863425925925928E-2</v>
      </c>
      <c r="E1752" s="80" t="s">
        <v>2627</v>
      </c>
      <c r="F1752" s="69" t="s">
        <v>8074</v>
      </c>
      <c r="I1752" s="2"/>
      <c r="K1752" s="82">
        <v>0.66639999999999999</v>
      </c>
      <c r="M1752" s="80"/>
    </row>
    <row r="1753" spans="1:15" x14ac:dyDescent="0.2">
      <c r="A1753" s="523">
        <v>42861</v>
      </c>
      <c r="B1753" s="80" t="s">
        <v>864</v>
      </c>
      <c r="C1753" s="334" t="s">
        <v>865</v>
      </c>
      <c r="D1753" s="1">
        <v>1.4421296296296295E-2</v>
      </c>
      <c r="E1753" s="80" t="s">
        <v>2431</v>
      </c>
      <c r="F1753" s="69" t="s">
        <v>7842</v>
      </c>
      <c r="I1753" s="2"/>
      <c r="K1753" s="82">
        <v>0.77929999999999999</v>
      </c>
      <c r="M1753" s="80" t="s">
        <v>7859</v>
      </c>
    </row>
    <row r="1754" spans="1:15" x14ac:dyDescent="0.2">
      <c r="A1754" s="523">
        <v>42833</v>
      </c>
      <c r="B1754" s="80" t="s">
        <v>864</v>
      </c>
      <c r="C1754" s="334" t="s">
        <v>865</v>
      </c>
      <c r="D1754" s="1">
        <v>1.4351851851851852E-2</v>
      </c>
      <c r="E1754" s="80" t="s">
        <v>3072</v>
      </c>
      <c r="F1754" s="69" t="s">
        <v>7745</v>
      </c>
      <c r="I1754" s="2"/>
      <c r="K1754" s="82">
        <v>0.78310000000000002</v>
      </c>
      <c r="M1754" s="80"/>
    </row>
    <row r="1755" spans="1:15" x14ac:dyDescent="0.2">
      <c r="A1755" s="523">
        <v>42819</v>
      </c>
      <c r="B1755" s="80" t="s">
        <v>864</v>
      </c>
      <c r="C1755" s="334" t="s">
        <v>865</v>
      </c>
      <c r="D1755" s="1">
        <v>1.4606481481481482E-2</v>
      </c>
      <c r="E1755" s="80" t="s">
        <v>2542</v>
      </c>
      <c r="F1755" s="69" t="s">
        <v>7680</v>
      </c>
      <c r="I1755" s="2"/>
      <c r="K1755" s="82">
        <v>0.76939999999999997</v>
      </c>
    </row>
    <row r="1756" spans="1:15" x14ac:dyDescent="0.2">
      <c r="A1756" s="33">
        <v>42805</v>
      </c>
      <c r="B1756" s="80" t="s">
        <v>864</v>
      </c>
      <c r="C1756" s="334" t="s">
        <v>865</v>
      </c>
      <c r="D1756" s="1">
        <v>1.4282407407407409E-2</v>
      </c>
      <c r="E1756" s="80" t="s">
        <v>5960</v>
      </c>
      <c r="F1756" s="69" t="s">
        <v>4960</v>
      </c>
      <c r="I1756" s="2"/>
      <c r="K1756" s="82">
        <v>0.78690000000000004</v>
      </c>
      <c r="M1756" s="80" t="s">
        <v>8431</v>
      </c>
    </row>
    <row r="1757" spans="1:15" x14ac:dyDescent="0.2">
      <c r="A1757" s="33">
        <v>42763</v>
      </c>
      <c r="B1757" s="80" t="s">
        <v>864</v>
      </c>
      <c r="C1757" s="334" t="s">
        <v>865</v>
      </c>
      <c r="D1757" s="334" t="s">
        <v>787</v>
      </c>
      <c r="E1757" s="80" t="s">
        <v>5198</v>
      </c>
      <c r="F1757" s="69" t="s">
        <v>4061</v>
      </c>
      <c r="I1757" s="2"/>
      <c r="K1757" s="82"/>
      <c r="M1757" s="80" t="s">
        <v>61</v>
      </c>
      <c r="O1757" s="80" t="s">
        <v>3826</v>
      </c>
    </row>
    <row r="1758" spans="1:15" x14ac:dyDescent="0.2">
      <c r="A1758" s="523">
        <v>42749</v>
      </c>
      <c r="B1758" s="80" t="s">
        <v>6207</v>
      </c>
      <c r="C1758" s="334" t="s">
        <v>4941</v>
      </c>
      <c r="D1758" s="1">
        <v>1.8078703703703704E-2</v>
      </c>
      <c r="E1758" s="80" t="s">
        <v>1405</v>
      </c>
      <c r="F1758" s="69" t="s">
        <v>6297</v>
      </c>
      <c r="I1758" s="2"/>
      <c r="K1758" s="82">
        <v>0.56810000000000005</v>
      </c>
      <c r="M1758" s="45">
        <v>900</v>
      </c>
    </row>
    <row r="1759" spans="1:15" x14ac:dyDescent="0.2">
      <c r="A1759" s="523">
        <v>42736</v>
      </c>
      <c r="B1759" s="80" t="s">
        <v>6207</v>
      </c>
      <c r="C1759" s="334" t="s">
        <v>4941</v>
      </c>
      <c r="D1759" s="1">
        <v>1.8738425925925926E-2</v>
      </c>
      <c r="E1759" s="80" t="s">
        <v>5885</v>
      </c>
      <c r="F1759" s="69" t="s">
        <v>6208</v>
      </c>
      <c r="I1759" s="2"/>
      <c r="K1759" s="82">
        <v>0.54849999999999999</v>
      </c>
    </row>
    <row r="1760" spans="1:15" x14ac:dyDescent="0.2">
      <c r="A1760" s="523">
        <v>43057</v>
      </c>
      <c r="B1760" s="940" t="s">
        <v>3535</v>
      </c>
      <c r="C1760" s="941" t="s">
        <v>4741</v>
      </c>
      <c r="D1760" s="1">
        <v>1.5185185185185185E-2</v>
      </c>
      <c r="E1760" s="80" t="s">
        <v>5198</v>
      </c>
      <c r="F1760" s="69" t="s">
        <v>8798</v>
      </c>
      <c r="I1760" s="2"/>
      <c r="K1760" s="82">
        <v>0.68520000000000003</v>
      </c>
      <c r="M1760" s="45">
        <v>900</v>
      </c>
      <c r="O1760" s="80" t="s">
        <v>6230</v>
      </c>
    </row>
    <row r="1761" spans="1:15" x14ac:dyDescent="0.2">
      <c r="A1761" s="523">
        <v>43050</v>
      </c>
      <c r="B1761" s="532" t="s">
        <v>3535</v>
      </c>
      <c r="C1761" s="843" t="s">
        <v>4741</v>
      </c>
      <c r="D1761" s="1">
        <v>1.5092592592592593E-2</v>
      </c>
      <c r="E1761" s="80" t="s">
        <v>2431</v>
      </c>
      <c r="F1761" s="69" t="s">
        <v>2741</v>
      </c>
      <c r="I1761" s="2"/>
      <c r="K1761" s="82">
        <v>0.68940000000000001</v>
      </c>
      <c r="M1761" s="45">
        <v>1000</v>
      </c>
    </row>
    <row r="1762" spans="1:15" x14ac:dyDescent="0.2">
      <c r="A1762" s="523">
        <v>43043</v>
      </c>
      <c r="B1762" s="936" t="s">
        <v>3535</v>
      </c>
      <c r="C1762" s="937" t="s">
        <v>4741</v>
      </c>
      <c r="D1762" s="1">
        <v>1.4699074074074074E-2</v>
      </c>
      <c r="E1762" s="80" t="s">
        <v>2431</v>
      </c>
      <c r="F1762" s="69" t="s">
        <v>346</v>
      </c>
      <c r="I1762" s="2"/>
      <c r="K1762" s="82">
        <v>0.70789999999999997</v>
      </c>
      <c r="N1762" s="80"/>
      <c r="O1762" s="80"/>
    </row>
    <row r="1763" spans="1:15" x14ac:dyDescent="0.2">
      <c r="A1763" s="523">
        <v>43036</v>
      </c>
      <c r="B1763" s="80" t="s">
        <v>3535</v>
      </c>
      <c r="C1763" s="334" t="s">
        <v>4741</v>
      </c>
      <c r="D1763" s="1">
        <v>1.486111111111111E-2</v>
      </c>
      <c r="E1763" s="80" t="s">
        <v>2431</v>
      </c>
      <c r="F1763" s="69" t="s">
        <v>4655</v>
      </c>
      <c r="I1763" s="2"/>
      <c r="K1763" s="82">
        <v>0.70020000000000004</v>
      </c>
    </row>
    <row r="1764" spans="1:15" x14ac:dyDescent="0.2">
      <c r="A1764" s="523">
        <v>43029</v>
      </c>
      <c r="B1764" s="901" t="s">
        <v>3535</v>
      </c>
      <c r="C1764" s="902" t="s">
        <v>4741</v>
      </c>
      <c r="D1764" s="1">
        <v>1.5729166666666666E-2</v>
      </c>
      <c r="E1764" s="80" t="s">
        <v>4530</v>
      </c>
      <c r="F1764" s="69" t="s">
        <v>8722</v>
      </c>
      <c r="I1764" s="2"/>
      <c r="K1764" s="82">
        <v>0.66149999999999998</v>
      </c>
    </row>
    <row r="1765" spans="1:15" x14ac:dyDescent="0.2">
      <c r="A1765" s="523">
        <v>43015</v>
      </c>
      <c r="B1765" s="923" t="s">
        <v>3535</v>
      </c>
      <c r="C1765" s="924" t="s">
        <v>4741</v>
      </c>
      <c r="D1765" s="1">
        <v>1.4421296296296295E-2</v>
      </c>
      <c r="E1765" s="80" t="s">
        <v>2431</v>
      </c>
      <c r="F1765" s="69" t="s">
        <v>3516</v>
      </c>
      <c r="I1765" s="2"/>
      <c r="K1765" s="82">
        <v>0.72150000000000003</v>
      </c>
      <c r="M1765" s="80"/>
    </row>
    <row r="1766" spans="1:15" x14ac:dyDescent="0.2">
      <c r="A1766" s="523">
        <v>43008</v>
      </c>
      <c r="B1766" s="532" t="s">
        <v>3535</v>
      </c>
      <c r="C1766" s="843" t="s">
        <v>4741</v>
      </c>
      <c r="D1766" s="1">
        <v>1.4305555555555557E-2</v>
      </c>
      <c r="E1766" s="80" t="s">
        <v>2431</v>
      </c>
      <c r="F1766" s="69" t="s">
        <v>8610</v>
      </c>
      <c r="I1766" s="2"/>
      <c r="K1766" s="82">
        <v>0.72729999999999995</v>
      </c>
    </row>
    <row r="1767" spans="1:15" x14ac:dyDescent="0.2">
      <c r="A1767" s="523">
        <v>42994</v>
      </c>
      <c r="B1767" s="869" t="s">
        <v>3535</v>
      </c>
      <c r="C1767" s="903" t="s">
        <v>4741</v>
      </c>
      <c r="D1767" s="1">
        <v>1.480324074074074E-2</v>
      </c>
      <c r="E1767" s="80" t="s">
        <v>2449</v>
      </c>
      <c r="F1767" s="69" t="s">
        <v>8534</v>
      </c>
      <c r="I1767" s="2"/>
      <c r="K1767" s="82">
        <v>0.70289999999999997</v>
      </c>
      <c r="M1767" s="80"/>
    </row>
    <row r="1768" spans="1:15" x14ac:dyDescent="0.2">
      <c r="A1768" s="523">
        <v>42987</v>
      </c>
      <c r="B1768" s="532" t="s">
        <v>3535</v>
      </c>
      <c r="C1768" s="843" t="s">
        <v>4741</v>
      </c>
      <c r="D1768" s="1">
        <v>1.4687499999999999E-2</v>
      </c>
      <c r="E1768" s="80" t="s">
        <v>5095</v>
      </c>
      <c r="F1768" s="69" t="s">
        <v>8498</v>
      </c>
      <c r="I1768" s="2"/>
      <c r="K1768" s="82">
        <v>0.70840000000000003</v>
      </c>
      <c r="M1768" s="80" t="s">
        <v>7843</v>
      </c>
    </row>
    <row r="1769" spans="1:15" x14ac:dyDescent="0.2">
      <c r="A1769" s="523">
        <v>42980</v>
      </c>
      <c r="B1769" s="837" t="s">
        <v>3535</v>
      </c>
      <c r="C1769" s="842" t="s">
        <v>4741</v>
      </c>
      <c r="D1769" s="334">
        <v>1.4085648148148151E-2</v>
      </c>
      <c r="E1769" s="80" t="s">
        <v>2431</v>
      </c>
      <c r="F1769" s="69" t="s">
        <v>3077</v>
      </c>
      <c r="I1769" s="2"/>
      <c r="K1769" s="82">
        <v>0.71860000000000002</v>
      </c>
    </row>
    <row r="1770" spans="1:15" x14ac:dyDescent="0.2">
      <c r="A1770" s="523">
        <v>42966</v>
      </c>
      <c r="B1770" s="879" t="s">
        <v>3535</v>
      </c>
      <c r="C1770" s="880" t="s">
        <v>4741</v>
      </c>
      <c r="D1770" s="1">
        <v>1.480324074074074E-2</v>
      </c>
      <c r="E1770" s="80" t="s">
        <v>2431</v>
      </c>
      <c r="F1770" s="69" t="s">
        <v>4740</v>
      </c>
      <c r="I1770" s="2"/>
      <c r="K1770" s="82">
        <v>0.70289999999999997</v>
      </c>
      <c r="M1770" s="80"/>
    </row>
    <row r="1771" spans="1:15" x14ac:dyDescent="0.2">
      <c r="A1771" s="523">
        <v>42959</v>
      </c>
      <c r="B1771" s="866" t="s">
        <v>3535</v>
      </c>
      <c r="C1771" s="867" t="s">
        <v>4741</v>
      </c>
      <c r="D1771" s="1">
        <v>1.5104166666666667E-2</v>
      </c>
      <c r="E1771" s="80" t="s">
        <v>527</v>
      </c>
      <c r="F1771" s="69" t="s">
        <v>1236</v>
      </c>
      <c r="I1771" s="2"/>
      <c r="K1771" s="82">
        <v>0.68889999999999996</v>
      </c>
    </row>
    <row r="1772" spans="1:15" x14ac:dyDescent="0.2">
      <c r="A1772" s="523">
        <v>42952</v>
      </c>
      <c r="B1772" s="862" t="s">
        <v>3535</v>
      </c>
      <c r="C1772" s="863" t="s">
        <v>4741</v>
      </c>
      <c r="D1772" s="1">
        <v>1.4456018518518519E-2</v>
      </c>
      <c r="E1772" s="80" t="s">
        <v>5095</v>
      </c>
      <c r="F1772" s="69" t="s">
        <v>1164</v>
      </c>
      <c r="I1772" s="2"/>
      <c r="K1772" s="82">
        <v>0.7198</v>
      </c>
      <c r="M1772" s="45"/>
    </row>
    <row r="1773" spans="1:15" x14ac:dyDescent="0.2">
      <c r="A1773" s="523">
        <v>42924</v>
      </c>
      <c r="B1773" s="80" t="s">
        <v>3535</v>
      </c>
      <c r="C1773" s="334" t="s">
        <v>4741</v>
      </c>
      <c r="D1773" s="1">
        <v>1.5578703703703704E-2</v>
      </c>
      <c r="E1773" s="80" t="s">
        <v>5948</v>
      </c>
      <c r="F1773" s="69" t="s">
        <v>8208</v>
      </c>
      <c r="I1773" s="2"/>
      <c r="K1773" s="82">
        <v>0.66790000000000005</v>
      </c>
      <c r="M1773" s="80"/>
    </row>
    <row r="1774" spans="1:15" x14ac:dyDescent="0.2">
      <c r="A1774" s="523">
        <v>42917</v>
      </c>
      <c r="B1774" s="80" t="s">
        <v>3535</v>
      </c>
      <c r="C1774" s="334" t="s">
        <v>4741</v>
      </c>
      <c r="D1774" s="1">
        <v>1.4976851851851852E-2</v>
      </c>
      <c r="E1774" s="80" t="s">
        <v>2431</v>
      </c>
      <c r="F1774" s="69" t="s">
        <v>8209</v>
      </c>
      <c r="I1774" s="2"/>
      <c r="K1774" s="82">
        <v>0.69469999999999998</v>
      </c>
    </row>
    <row r="1775" spans="1:15" x14ac:dyDescent="0.2">
      <c r="A1775" s="523">
        <v>42903</v>
      </c>
      <c r="B1775" s="80" t="s">
        <v>3535</v>
      </c>
      <c r="C1775" s="334" t="s">
        <v>4741</v>
      </c>
      <c r="D1775" s="1">
        <v>1.525462962962963E-2</v>
      </c>
      <c r="E1775" s="80" t="s">
        <v>2431</v>
      </c>
      <c r="F1775" s="69" t="s">
        <v>3987</v>
      </c>
      <c r="I1775" s="2"/>
      <c r="K1775" s="82">
        <v>0.68210000000000004</v>
      </c>
    </row>
    <row r="1776" spans="1:15" x14ac:dyDescent="0.2">
      <c r="A1776" s="523">
        <v>42875</v>
      </c>
      <c r="B1776" s="80" t="s">
        <v>3535</v>
      </c>
      <c r="C1776" s="334" t="s">
        <v>4741</v>
      </c>
      <c r="D1776" s="1">
        <v>1.4618055555555556E-2</v>
      </c>
      <c r="E1776" s="80" t="s">
        <v>2431</v>
      </c>
      <c r="F1776" s="69" t="s">
        <v>3188</v>
      </c>
      <c r="I1776" s="2"/>
      <c r="K1776" s="82">
        <v>0.71179999999999999</v>
      </c>
      <c r="M1776" s="80"/>
    </row>
    <row r="1777" spans="1:13" x14ac:dyDescent="0.2">
      <c r="A1777" s="523">
        <v>42861</v>
      </c>
      <c r="B1777" s="80" t="s">
        <v>3535</v>
      </c>
      <c r="C1777" s="334" t="s">
        <v>4741</v>
      </c>
      <c r="D1777" s="1">
        <v>1.4884259259259259E-2</v>
      </c>
      <c r="E1777" s="80" t="s">
        <v>2431</v>
      </c>
      <c r="F1777" s="69" t="s">
        <v>4480</v>
      </c>
      <c r="I1777" s="2"/>
      <c r="K1777" s="82">
        <v>0.69910000000000005</v>
      </c>
      <c r="M1777" s="80"/>
    </row>
    <row r="1778" spans="1:13" x14ac:dyDescent="0.2">
      <c r="A1778" s="523">
        <v>42854</v>
      </c>
      <c r="B1778" s="80" t="s">
        <v>3535</v>
      </c>
      <c r="C1778" s="334" t="s">
        <v>4741</v>
      </c>
      <c r="D1778" s="1">
        <v>1.4768518518518519E-2</v>
      </c>
      <c r="E1778" s="80" t="s">
        <v>2431</v>
      </c>
      <c r="F1778" s="69" t="s">
        <v>5808</v>
      </c>
      <c r="I1778" s="2"/>
      <c r="K1778" s="82">
        <v>0.70450000000000002</v>
      </c>
      <c r="M1778" s="80"/>
    </row>
    <row r="1779" spans="1:13" x14ac:dyDescent="0.2">
      <c r="A1779" s="523">
        <v>42840</v>
      </c>
      <c r="B1779" s="80" t="s">
        <v>3535</v>
      </c>
      <c r="C1779" s="334" t="s">
        <v>4741</v>
      </c>
      <c r="D1779" s="1">
        <v>1.5671296296296298E-2</v>
      </c>
      <c r="E1779" t="s">
        <v>527</v>
      </c>
      <c r="F1779" s="69" t="s">
        <v>3826</v>
      </c>
      <c r="I1779" s="2"/>
      <c r="K1779" s="82">
        <v>0.66400000000000003</v>
      </c>
      <c r="M1779" s="80" t="s">
        <v>8611</v>
      </c>
    </row>
    <row r="1780" spans="1:13" x14ac:dyDescent="0.2">
      <c r="A1780" s="523">
        <v>42833</v>
      </c>
      <c r="B1780" s="80" t="s">
        <v>3535</v>
      </c>
      <c r="C1780" s="334" t="s">
        <v>4741</v>
      </c>
      <c r="D1780" s="1">
        <v>1.6041666666666666E-2</v>
      </c>
      <c r="E1780" s="80" t="s">
        <v>2431</v>
      </c>
      <c r="F1780" s="69" t="s">
        <v>347</v>
      </c>
      <c r="I1780" s="2"/>
      <c r="K1780" s="82">
        <v>0.64859999999999995</v>
      </c>
      <c r="M1780" s="80"/>
    </row>
    <row r="1781" spans="1:13" x14ac:dyDescent="0.2">
      <c r="A1781" s="33">
        <v>42770</v>
      </c>
      <c r="B1781" s="80" t="s">
        <v>3535</v>
      </c>
      <c r="C1781" s="334" t="s">
        <v>4741</v>
      </c>
      <c r="D1781" s="1">
        <v>1.5011574074074075E-2</v>
      </c>
      <c r="E1781" s="80" t="s">
        <v>2431</v>
      </c>
      <c r="F1781" s="69" t="s">
        <v>6335</v>
      </c>
      <c r="I1781" s="2"/>
      <c r="K1781" s="82">
        <v>0.68769999999999998</v>
      </c>
      <c r="M1781" s="80"/>
    </row>
    <row r="1782" spans="1:13" ht="14.25" customHeight="1" x14ac:dyDescent="0.2">
      <c r="A1782" s="33">
        <v>42763</v>
      </c>
      <c r="B1782" s="80" t="s">
        <v>3535</v>
      </c>
      <c r="C1782" s="334" t="s">
        <v>4741</v>
      </c>
      <c r="D1782" s="1">
        <v>1.525462962962963E-2</v>
      </c>
      <c r="E1782" s="80" t="s">
        <v>5198</v>
      </c>
      <c r="F1782" s="69" t="s">
        <v>6324</v>
      </c>
      <c r="I1782" s="2"/>
      <c r="K1782" s="82">
        <v>0.67679999999999996</v>
      </c>
    </row>
    <row r="1783" spans="1:13" x14ac:dyDescent="0.2">
      <c r="A1783" s="523">
        <v>42749</v>
      </c>
      <c r="B1783" s="80" t="s">
        <v>3535</v>
      </c>
      <c r="C1783" s="334" t="s">
        <v>4741</v>
      </c>
      <c r="D1783" s="1">
        <v>1.5219907407407409E-2</v>
      </c>
      <c r="E1783" s="80" t="s">
        <v>2431</v>
      </c>
      <c r="F1783" s="69" t="s">
        <v>4885</v>
      </c>
      <c r="I1783" s="2"/>
      <c r="K1783" s="82">
        <v>0.67830000000000001</v>
      </c>
      <c r="M1783" s="80"/>
    </row>
    <row r="1784" spans="1:13" x14ac:dyDescent="0.2">
      <c r="A1784" s="523">
        <v>42736</v>
      </c>
      <c r="B1784" s="80" t="s">
        <v>3535</v>
      </c>
      <c r="C1784" s="334" t="s">
        <v>4741</v>
      </c>
      <c r="D1784" s="1">
        <v>1.4340277777777776E-2</v>
      </c>
      <c r="E1784" s="80" t="s">
        <v>2431</v>
      </c>
      <c r="F1784" s="69" t="s">
        <v>6229</v>
      </c>
      <c r="I1784" s="2"/>
      <c r="K1784" s="82">
        <v>0.71989999999999998</v>
      </c>
      <c r="M1784" s="80"/>
    </row>
    <row r="1785" spans="1:13" x14ac:dyDescent="0.2">
      <c r="A1785" s="523">
        <v>42736</v>
      </c>
      <c r="B1785" s="80" t="s">
        <v>3535</v>
      </c>
      <c r="C1785" s="334" t="s">
        <v>4741</v>
      </c>
      <c r="D1785" s="1">
        <v>1.5405092592592593E-2</v>
      </c>
      <c r="E1785" s="80" t="s">
        <v>5948</v>
      </c>
      <c r="F1785" s="69" t="s">
        <v>2629</v>
      </c>
      <c r="I1785" s="2"/>
      <c r="K1785" s="82">
        <v>0.67020000000000002</v>
      </c>
      <c r="M1785" s="80"/>
    </row>
    <row r="1786" spans="1:13" x14ac:dyDescent="0.2">
      <c r="A1786" s="523">
        <v>43085</v>
      </c>
      <c r="B1786" s="601" t="s">
        <v>8937</v>
      </c>
      <c r="C1786" s="958" t="s">
        <v>3155</v>
      </c>
      <c r="D1786" s="1">
        <v>1.3379629629629628E-2</v>
      </c>
      <c r="E1786" s="80" t="s">
        <v>2147</v>
      </c>
      <c r="F1786" s="69" t="s">
        <v>8943</v>
      </c>
      <c r="I1786" s="2"/>
      <c r="K1786" s="82">
        <v>0.79410000000000003</v>
      </c>
      <c r="M1786" s="80" t="s">
        <v>8944</v>
      </c>
    </row>
    <row r="1787" spans="1:13" x14ac:dyDescent="0.2">
      <c r="A1787" s="523">
        <v>43064</v>
      </c>
      <c r="B1787" s="869" t="s">
        <v>3753</v>
      </c>
      <c r="C1787" s="903" t="s">
        <v>3752</v>
      </c>
      <c r="D1787" s="1">
        <v>2.1226851851851854E-2</v>
      </c>
      <c r="E1787" s="80" t="s">
        <v>5883</v>
      </c>
      <c r="F1787" s="69" t="s">
        <v>2238</v>
      </c>
      <c r="I1787" s="2"/>
      <c r="K1787" s="82">
        <v>0.64390000000000003</v>
      </c>
      <c r="M1787" s="80"/>
    </row>
    <row r="1788" spans="1:13" x14ac:dyDescent="0.2">
      <c r="A1788" s="523">
        <v>43022</v>
      </c>
      <c r="B1788" s="930" t="s">
        <v>3753</v>
      </c>
      <c r="C1788" s="931" t="s">
        <v>3752</v>
      </c>
      <c r="D1788" s="1">
        <v>2.0648148148148148E-2</v>
      </c>
      <c r="E1788" s="80" t="s">
        <v>5883</v>
      </c>
      <c r="F1788" s="69" t="s">
        <v>5920</v>
      </c>
      <c r="I1788" s="2"/>
      <c r="K1788" s="82">
        <v>0.65249999999999997</v>
      </c>
      <c r="M1788" s="80"/>
    </row>
    <row r="1789" spans="1:13" x14ac:dyDescent="0.2">
      <c r="A1789" s="523">
        <v>42945</v>
      </c>
      <c r="B1789" s="568" t="s">
        <v>3753</v>
      </c>
      <c r="C1789" s="861" t="s">
        <v>3752</v>
      </c>
      <c r="D1789" s="1">
        <v>2.1631944444444443E-2</v>
      </c>
      <c r="E1789" s="80" t="s">
        <v>5883</v>
      </c>
      <c r="F1789" s="69" t="s">
        <v>8276</v>
      </c>
      <c r="I1789" s="2"/>
      <c r="K1789" s="82">
        <v>0.62280000000000002</v>
      </c>
      <c r="M1789" s="80"/>
    </row>
    <row r="1790" spans="1:13" x14ac:dyDescent="0.2">
      <c r="A1790" s="523">
        <v>43064</v>
      </c>
      <c r="B1790" s="869" t="s">
        <v>3535</v>
      </c>
      <c r="C1790" s="903" t="s">
        <v>3752</v>
      </c>
      <c r="D1790" s="1" t="s">
        <v>787</v>
      </c>
      <c r="E1790" s="80" t="s">
        <v>5883</v>
      </c>
      <c r="F1790" s="69" t="s">
        <v>4061</v>
      </c>
      <c r="I1790" s="2"/>
      <c r="K1790" s="82"/>
      <c r="M1790" s="80"/>
    </row>
    <row r="1791" spans="1:13" x14ac:dyDescent="0.2">
      <c r="A1791" s="523">
        <v>43022</v>
      </c>
      <c r="B1791" s="930" t="s">
        <v>3535</v>
      </c>
      <c r="C1791" s="931" t="s">
        <v>3752</v>
      </c>
      <c r="D1791" s="1">
        <v>2.3101851851851849E-2</v>
      </c>
      <c r="E1791" s="80" t="s">
        <v>5883</v>
      </c>
      <c r="F1791" s="69" t="s">
        <v>8668</v>
      </c>
      <c r="I1791" s="2"/>
      <c r="K1791" s="82">
        <v>0.5696</v>
      </c>
    </row>
    <row r="1792" spans="1:13" x14ac:dyDescent="0.2">
      <c r="A1792" s="523">
        <v>42917</v>
      </c>
      <c r="B1792" s="80" t="s">
        <v>3535</v>
      </c>
      <c r="C1792" s="334" t="s">
        <v>3752</v>
      </c>
      <c r="D1792" s="1">
        <v>2.2673611111111113E-2</v>
      </c>
      <c r="E1792" s="80" t="s">
        <v>5883</v>
      </c>
      <c r="F1792" s="69" t="s">
        <v>8124</v>
      </c>
      <c r="I1792" s="2"/>
      <c r="K1792" s="82">
        <v>0.58340000000000003</v>
      </c>
      <c r="M1792" s="80" t="s">
        <v>8669</v>
      </c>
    </row>
    <row r="1793" spans="1:13" x14ac:dyDescent="0.2">
      <c r="A1793" s="523">
        <v>42868</v>
      </c>
      <c r="B1793" s="80" t="s">
        <v>3535</v>
      </c>
      <c r="C1793" s="334" t="s">
        <v>3752</v>
      </c>
      <c r="D1793" s="334" t="s">
        <v>787</v>
      </c>
      <c r="E1793" s="80" t="s">
        <v>5883</v>
      </c>
      <c r="F1793" s="69" t="s">
        <v>4061</v>
      </c>
      <c r="I1793" s="2"/>
      <c r="K1793" s="82"/>
      <c r="M1793" s="80"/>
    </row>
    <row r="1794" spans="1:13" x14ac:dyDescent="0.2">
      <c r="A1794" s="523">
        <v>42833</v>
      </c>
      <c r="B1794" s="80" t="s">
        <v>726</v>
      </c>
      <c r="C1794" s="334" t="s">
        <v>5628</v>
      </c>
      <c r="D1794" s="334">
        <v>2.0787037037037038E-2</v>
      </c>
      <c r="E1794" s="80" t="s">
        <v>7750</v>
      </c>
      <c r="F1794" s="69" t="s">
        <v>7752</v>
      </c>
      <c r="G1794" s="80"/>
      <c r="H1794" s="80"/>
      <c r="I1794" s="80"/>
      <c r="J1794" s="80"/>
      <c r="K1794" s="571">
        <v>0.51390000000000002</v>
      </c>
      <c r="M1794" s="80"/>
    </row>
    <row r="1795" spans="1:13" x14ac:dyDescent="0.2">
      <c r="A1795" s="523">
        <v>42826</v>
      </c>
      <c r="B1795" s="80" t="s">
        <v>726</v>
      </c>
      <c r="C1795" s="334" t="s">
        <v>5628</v>
      </c>
      <c r="D1795" s="1">
        <v>1.9837962962962963E-2</v>
      </c>
      <c r="E1795" s="80" t="s">
        <v>7712</v>
      </c>
      <c r="F1795" s="69" t="s">
        <v>7713</v>
      </c>
      <c r="I1795" s="2"/>
      <c r="K1795" s="82">
        <v>0.53849999999999998</v>
      </c>
    </row>
    <row r="1796" spans="1:13" x14ac:dyDescent="0.2">
      <c r="A1796" s="523">
        <v>42819</v>
      </c>
      <c r="B1796" t="s">
        <v>726</v>
      </c>
      <c r="C1796" s="334" t="s">
        <v>5628</v>
      </c>
      <c r="D1796" s="1">
        <v>2.0555555555555556E-2</v>
      </c>
      <c r="E1796" s="80" t="s">
        <v>7690</v>
      </c>
      <c r="F1796" s="69" t="s">
        <v>7691</v>
      </c>
      <c r="I1796" s="2"/>
      <c r="K1796" s="82">
        <v>0.51970000000000005</v>
      </c>
      <c r="M1796" s="80"/>
    </row>
    <row r="1797" spans="1:13" x14ac:dyDescent="0.2">
      <c r="A1797" s="523">
        <v>43078</v>
      </c>
      <c r="B1797" s="80" t="s">
        <v>3755</v>
      </c>
      <c r="C1797" s="334" t="s">
        <v>261</v>
      </c>
      <c r="D1797" s="1">
        <v>2.6006944444444447E-2</v>
      </c>
      <c r="E1797" s="80" t="s">
        <v>806</v>
      </c>
      <c r="F1797" s="69" t="s">
        <v>5371</v>
      </c>
      <c r="I1797" s="2"/>
      <c r="K1797" s="82">
        <v>0.59899999999999998</v>
      </c>
    </row>
    <row r="1798" spans="1:13" x14ac:dyDescent="0.2">
      <c r="A1798" s="523">
        <v>42875</v>
      </c>
      <c r="B1798" s="80" t="s">
        <v>3755</v>
      </c>
      <c r="C1798" s="334" t="s">
        <v>261</v>
      </c>
      <c r="D1798" s="1">
        <v>2.3784722222222221E-2</v>
      </c>
      <c r="E1798" s="80" t="s">
        <v>802</v>
      </c>
      <c r="F1798" s="69" t="s">
        <v>1607</v>
      </c>
      <c r="H1798" s="80" t="s">
        <v>1815</v>
      </c>
      <c r="I1798" s="2"/>
      <c r="K1798" s="82">
        <v>0.65010000000000001</v>
      </c>
    </row>
    <row r="1799" spans="1:13" x14ac:dyDescent="0.2">
      <c r="A1799" s="523">
        <v>43078</v>
      </c>
      <c r="B1799" s="80" t="s">
        <v>1349</v>
      </c>
      <c r="C1799" s="334" t="s">
        <v>261</v>
      </c>
      <c r="D1799" s="1">
        <v>2.7245370370370368E-2</v>
      </c>
      <c r="E1799" s="80" t="s">
        <v>806</v>
      </c>
      <c r="F1799" s="69" t="s">
        <v>4478</v>
      </c>
      <c r="I1799" s="2"/>
      <c r="K1799" s="82">
        <v>0.53569999999999995</v>
      </c>
    </row>
    <row r="1800" spans="1:13" x14ac:dyDescent="0.2">
      <c r="A1800" s="523">
        <v>42875</v>
      </c>
      <c r="B1800" s="80" t="s">
        <v>1349</v>
      </c>
      <c r="C1800" s="334" t="s">
        <v>261</v>
      </c>
      <c r="D1800" s="1">
        <v>2.5717592592592594E-2</v>
      </c>
      <c r="E1800" s="80" t="s">
        <v>802</v>
      </c>
      <c r="F1800" s="69" t="s">
        <v>2689</v>
      </c>
      <c r="H1800" s="80" t="s">
        <v>1815</v>
      </c>
      <c r="I1800" s="2"/>
      <c r="K1800" s="82">
        <v>0.5675</v>
      </c>
    </row>
    <row r="1801" spans="1:13" x14ac:dyDescent="0.2">
      <c r="A1801" s="33">
        <v>42770</v>
      </c>
      <c r="B1801" s="80" t="s">
        <v>4747</v>
      </c>
      <c r="C1801" s="334" t="s">
        <v>4748</v>
      </c>
      <c r="D1801" s="1">
        <v>1.4016203703703704E-2</v>
      </c>
      <c r="E1801" s="80" t="s">
        <v>5948</v>
      </c>
      <c r="F1801" s="575" t="s">
        <v>6347</v>
      </c>
      <c r="G1801" s="576"/>
      <c r="I1801" s="2"/>
      <c r="K1801" s="82">
        <v>0.64990000000000003</v>
      </c>
    </row>
    <row r="1802" spans="1:13" x14ac:dyDescent="0.2">
      <c r="A1802" s="523">
        <v>42791</v>
      </c>
      <c r="B1802" s="80" t="s">
        <v>2703</v>
      </c>
      <c r="C1802" s="334" t="s">
        <v>2704</v>
      </c>
      <c r="D1802" s="1">
        <v>2.361111111111111E-2</v>
      </c>
      <c r="E1802" s="80" t="s">
        <v>1042</v>
      </c>
      <c r="F1802" s="69" t="s">
        <v>7564</v>
      </c>
      <c r="I1802" s="2"/>
      <c r="K1802" s="82">
        <v>0.51229999999999998</v>
      </c>
      <c r="M1802" s="80" t="s">
        <v>6316</v>
      </c>
    </row>
    <row r="1803" spans="1:13" x14ac:dyDescent="0.2">
      <c r="A1803" s="523">
        <v>43071</v>
      </c>
      <c r="B1803" s="556" t="s">
        <v>2723</v>
      </c>
      <c r="C1803" s="950" t="s">
        <v>8877</v>
      </c>
      <c r="D1803" s="1">
        <v>2.2013888888888888E-2</v>
      </c>
      <c r="E1803" s="80" t="s">
        <v>802</v>
      </c>
      <c r="F1803" s="69" t="s">
        <v>8880</v>
      </c>
      <c r="I1803" s="2"/>
      <c r="K1803" s="82">
        <v>0.55630000000000002</v>
      </c>
      <c r="M1803" s="80"/>
    </row>
    <row r="1804" spans="1:13" x14ac:dyDescent="0.2">
      <c r="A1804" s="34">
        <v>42924</v>
      </c>
      <c r="B1804" s="80" t="s">
        <v>4481</v>
      </c>
      <c r="C1804" s="334" t="s">
        <v>4482</v>
      </c>
      <c r="D1804" s="1">
        <v>1.3888888888888888E-2</v>
      </c>
      <c r="E1804" s="80" t="s">
        <v>1982</v>
      </c>
      <c r="F1804" s="69" t="s">
        <v>8164</v>
      </c>
      <c r="I1804" s="2"/>
      <c r="K1804" s="82">
        <v>0.77500000000000002</v>
      </c>
    </row>
    <row r="1805" spans="1:13" x14ac:dyDescent="0.2">
      <c r="A1805" s="523">
        <v>42917</v>
      </c>
      <c r="B1805" s="80" t="s">
        <v>4481</v>
      </c>
      <c r="C1805" s="334" t="s">
        <v>4482</v>
      </c>
      <c r="D1805" s="1">
        <v>1.3171296296296294E-2</v>
      </c>
      <c r="E1805" s="80" t="s">
        <v>971</v>
      </c>
      <c r="F1805" s="69" t="s">
        <v>6142</v>
      </c>
      <c r="I1805" s="2"/>
      <c r="K1805" s="82">
        <v>0.81720000000000004</v>
      </c>
      <c r="M1805" s="80"/>
    </row>
    <row r="1806" spans="1:13" x14ac:dyDescent="0.2">
      <c r="A1806" s="523">
        <v>43078</v>
      </c>
      <c r="B1806" s="879" t="s">
        <v>5649</v>
      </c>
      <c r="C1806" s="880" t="s">
        <v>8925</v>
      </c>
      <c r="D1806" s="1">
        <v>1.8599537037037036E-2</v>
      </c>
      <c r="E1806" s="80" t="s">
        <v>1822</v>
      </c>
      <c r="F1806" s="69" t="s">
        <v>8926</v>
      </c>
      <c r="I1806" s="2"/>
      <c r="K1806" s="82">
        <v>0.57369999999999999</v>
      </c>
      <c r="M1806" s="80"/>
    </row>
    <row r="1807" spans="1:13" x14ac:dyDescent="0.2">
      <c r="A1807" s="523">
        <v>43036</v>
      </c>
      <c r="B1807" s="80" t="s">
        <v>726</v>
      </c>
      <c r="C1807" s="334" t="s">
        <v>1289</v>
      </c>
      <c r="D1807" s="1">
        <v>1.5983796296296295E-2</v>
      </c>
      <c r="E1807" s="80" t="s">
        <v>444</v>
      </c>
      <c r="F1807" s="69" t="s">
        <v>8734</v>
      </c>
      <c r="I1807" s="2"/>
      <c r="K1807" s="82">
        <v>0.79720000000000002</v>
      </c>
    </row>
    <row r="1808" spans="1:13" x14ac:dyDescent="0.2">
      <c r="A1808" s="523">
        <v>43022</v>
      </c>
      <c r="B1808" s="80" t="s">
        <v>726</v>
      </c>
      <c r="C1808" s="334" t="s">
        <v>1289</v>
      </c>
      <c r="D1808" s="1">
        <v>1.6412037037037037E-2</v>
      </c>
      <c r="E1808" s="80" t="s">
        <v>444</v>
      </c>
      <c r="F1808" s="69" t="s">
        <v>8694</v>
      </c>
      <c r="I1808" s="2"/>
      <c r="K1808" s="82">
        <v>0.77639999999999998</v>
      </c>
    </row>
    <row r="1809" spans="1:13" x14ac:dyDescent="0.2">
      <c r="A1809" s="523">
        <v>42973</v>
      </c>
      <c r="B1809" s="891" t="s">
        <v>726</v>
      </c>
      <c r="C1809" s="892" t="s">
        <v>1289</v>
      </c>
      <c r="D1809" s="1">
        <v>1.5636574074074074E-2</v>
      </c>
      <c r="E1809" s="80" t="s">
        <v>444</v>
      </c>
      <c r="F1809" s="69" t="s">
        <v>8417</v>
      </c>
      <c r="I1809" s="2"/>
      <c r="K1809" s="82">
        <v>0.81499999999999995</v>
      </c>
    </row>
    <row r="1810" spans="1:13" x14ac:dyDescent="0.2">
      <c r="A1810" s="523">
        <v>42931</v>
      </c>
      <c r="B1810" s="80" t="s">
        <v>726</v>
      </c>
      <c r="C1810" s="334" t="s">
        <v>1289</v>
      </c>
      <c r="D1810" s="1">
        <v>1.5995370370370372E-2</v>
      </c>
      <c r="E1810" s="80" t="s">
        <v>4496</v>
      </c>
      <c r="F1810" s="69" t="s">
        <v>8257</v>
      </c>
      <c r="I1810" s="2"/>
      <c r="K1810" s="82">
        <v>0.79669999999999996</v>
      </c>
    </row>
    <row r="1811" spans="1:13" x14ac:dyDescent="0.2">
      <c r="A1811" s="33">
        <v>42910</v>
      </c>
      <c r="B1811" s="80" t="s">
        <v>726</v>
      </c>
      <c r="C1811" s="334" t="s">
        <v>1289</v>
      </c>
      <c r="D1811" s="1">
        <v>1.7094907407407409E-2</v>
      </c>
      <c r="E1811" s="80" t="s">
        <v>444</v>
      </c>
      <c r="F1811" s="69" t="s">
        <v>255</v>
      </c>
      <c r="I1811" s="2"/>
      <c r="K1811" s="82">
        <v>0.74539999999999995</v>
      </c>
    </row>
    <row r="1812" spans="1:13" x14ac:dyDescent="0.2">
      <c r="A1812" s="33">
        <v>42868</v>
      </c>
      <c r="B1812" s="80" t="s">
        <v>726</v>
      </c>
      <c r="C1812" s="334" t="s">
        <v>1289</v>
      </c>
      <c r="D1812" s="1">
        <v>1.6053240740740739E-2</v>
      </c>
      <c r="E1812" s="80" t="s">
        <v>444</v>
      </c>
      <c r="F1812" s="69" t="s">
        <v>5428</v>
      </c>
      <c r="I1812" s="2"/>
      <c r="K1812" s="82">
        <v>0.79379999999999995</v>
      </c>
    </row>
    <row r="1813" spans="1:13" x14ac:dyDescent="0.2">
      <c r="A1813" s="33">
        <v>42851</v>
      </c>
      <c r="B1813" s="80" t="s">
        <v>726</v>
      </c>
      <c r="C1813" s="334" t="s">
        <v>1289</v>
      </c>
      <c r="D1813" s="1">
        <v>1.5856481481481482E-2</v>
      </c>
      <c r="E1813" s="80" t="s">
        <v>444</v>
      </c>
      <c r="F1813" s="69" t="s">
        <v>3290</v>
      </c>
      <c r="I1813" s="2"/>
      <c r="K1813" s="82">
        <v>0.80359999999999998</v>
      </c>
      <c r="M1813" s="80" t="s">
        <v>8420</v>
      </c>
    </row>
    <row r="1814" spans="1:13" x14ac:dyDescent="0.2">
      <c r="A1814" s="33">
        <v>42819</v>
      </c>
      <c r="B1814" s="80" t="s">
        <v>726</v>
      </c>
      <c r="C1814" s="334" t="s">
        <v>1289</v>
      </c>
      <c r="D1814" s="1">
        <v>1.6203703703703703E-2</v>
      </c>
      <c r="E1814" s="80" t="s">
        <v>444</v>
      </c>
      <c r="F1814" s="69" t="s">
        <v>2356</v>
      </c>
      <c r="I1814" s="2"/>
      <c r="K1814" s="82">
        <v>0.78580000000000005</v>
      </c>
    </row>
    <row r="1815" spans="1:13" x14ac:dyDescent="0.2">
      <c r="A1815" s="523">
        <v>42805</v>
      </c>
      <c r="B1815" s="80" t="s">
        <v>726</v>
      </c>
      <c r="C1815" s="334" t="s">
        <v>1289</v>
      </c>
      <c r="D1815" s="1">
        <v>1.6284722222222221E-2</v>
      </c>
      <c r="E1815" s="80" t="s">
        <v>444</v>
      </c>
      <c r="F1815" s="69" t="s">
        <v>345</v>
      </c>
      <c r="I1815" s="2"/>
      <c r="K1815" s="82">
        <v>0.77190000000000003</v>
      </c>
      <c r="M1815" s="80"/>
    </row>
  </sheetData>
  <sortState xmlns:xlrd2="http://schemas.microsoft.com/office/spreadsheetml/2017/richdata2" ref="A279:AR291">
    <sortCondition descending="1" ref="A279:A291"/>
  </sortState>
  <hyperlinks>
    <hyperlink ref="F263" r:id="rId1" tooltip="click for description" display="https://support.parkrun.com/hc/en-us/articles/200566523" xr:uid="{00000000-0004-0000-0700-000000000000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698"/>
  <sheetViews>
    <sheetView topLeftCell="A423" workbookViewId="0">
      <selection activeCell="I459" sqref="I459"/>
    </sheetView>
  </sheetViews>
  <sheetFormatPr defaultRowHeight="12.75" x14ac:dyDescent="0.2"/>
  <cols>
    <col min="1" max="1" width="11.140625" customWidth="1"/>
    <col min="2" max="2" width="10.5703125" customWidth="1"/>
    <col min="3" max="3" width="12" customWidth="1"/>
    <col min="4" max="4" width="11.140625" style="10" customWidth="1"/>
    <col min="5" max="5" width="16.28515625" customWidth="1"/>
  </cols>
  <sheetData>
    <row r="1" spans="1:13" x14ac:dyDescent="0.2">
      <c r="A1" s="2">
        <v>2016</v>
      </c>
    </row>
    <row r="2" spans="1:13" x14ac:dyDescent="0.2">
      <c r="A2" s="33"/>
      <c r="B2" s="2" t="s">
        <v>6232</v>
      </c>
      <c r="C2" s="3"/>
      <c r="D2"/>
      <c r="F2" s="69"/>
      <c r="I2" s="2"/>
    </row>
    <row r="3" spans="1:13" x14ac:dyDescent="0.2">
      <c r="A3" s="33">
        <v>42532</v>
      </c>
      <c r="B3" s="5" t="s">
        <v>1308</v>
      </c>
      <c r="C3" s="32" t="s">
        <v>428</v>
      </c>
      <c r="D3" s="32">
        <v>1.3171296296296294E-2</v>
      </c>
      <c r="E3" t="s">
        <v>5885</v>
      </c>
      <c r="F3" s="69" t="s">
        <v>3655</v>
      </c>
      <c r="I3" s="2"/>
      <c r="K3" s="82">
        <v>0.75919999999999999</v>
      </c>
    </row>
    <row r="4" spans="1:13" x14ac:dyDescent="0.2">
      <c r="A4" s="33">
        <v>42455</v>
      </c>
      <c r="B4" t="s">
        <v>2822</v>
      </c>
      <c r="C4" s="1" t="s">
        <v>2823</v>
      </c>
      <c r="D4" s="1">
        <v>1.3726851851851851E-2</v>
      </c>
      <c r="E4" t="s">
        <v>5544</v>
      </c>
      <c r="F4" s="69" t="s">
        <v>801</v>
      </c>
      <c r="I4" s="2"/>
      <c r="K4" s="82">
        <v>0.75890000000000002</v>
      </c>
    </row>
    <row r="5" spans="1:13" x14ac:dyDescent="0.2">
      <c r="A5" s="33">
        <v>42490</v>
      </c>
      <c r="B5" s="5" t="s">
        <v>2641</v>
      </c>
      <c r="C5" s="32" t="s">
        <v>2479</v>
      </c>
      <c r="D5" s="32">
        <v>1.3807870370370371E-2</v>
      </c>
      <c r="E5" s="5" t="s">
        <v>3167</v>
      </c>
      <c r="F5" s="108" t="s">
        <v>4800</v>
      </c>
      <c r="G5" s="5"/>
      <c r="H5" s="5"/>
      <c r="I5" s="5"/>
      <c r="J5" s="5"/>
      <c r="K5" s="85">
        <v>0.74180000000000001</v>
      </c>
    </row>
    <row r="6" spans="1:13" x14ac:dyDescent="0.2">
      <c r="A6" s="33">
        <v>42581</v>
      </c>
      <c r="B6" s="5" t="s">
        <v>4264</v>
      </c>
      <c r="C6" s="32" t="s">
        <v>5239</v>
      </c>
      <c r="D6" s="1">
        <v>1.4618055555555556E-2</v>
      </c>
      <c r="E6" t="s">
        <v>2431</v>
      </c>
      <c r="F6" s="69" t="s">
        <v>876</v>
      </c>
      <c r="I6" s="2"/>
      <c r="K6" s="82">
        <v>0.82740000000000002</v>
      </c>
    </row>
    <row r="7" spans="1:13" x14ac:dyDescent="0.2">
      <c r="A7" s="33">
        <v>42413</v>
      </c>
      <c r="B7" s="53" t="s">
        <v>5637</v>
      </c>
      <c r="C7" s="54" t="s">
        <v>5638</v>
      </c>
      <c r="D7" s="1">
        <v>1.59375E-2</v>
      </c>
      <c r="E7" t="s">
        <v>5870</v>
      </c>
      <c r="F7" s="69" t="s">
        <v>5871</v>
      </c>
      <c r="I7" s="2"/>
      <c r="K7" s="82">
        <v>0.84530000000000005</v>
      </c>
    </row>
    <row r="8" spans="1:13" x14ac:dyDescent="0.2">
      <c r="A8" s="33">
        <v>42462</v>
      </c>
      <c r="B8" s="5" t="s">
        <v>864</v>
      </c>
      <c r="C8" s="32" t="s">
        <v>865</v>
      </c>
      <c r="D8" s="1">
        <v>1.4120370370370368E-2</v>
      </c>
      <c r="E8" t="s">
        <v>1214</v>
      </c>
      <c r="F8" s="69"/>
      <c r="I8" s="2"/>
      <c r="K8" s="82">
        <v>0.78849999999999998</v>
      </c>
    </row>
    <row r="9" spans="1:13" x14ac:dyDescent="0.2">
      <c r="A9" s="33">
        <v>42560</v>
      </c>
      <c r="B9" s="5" t="s">
        <v>4977</v>
      </c>
      <c r="C9" s="32" t="s">
        <v>3961</v>
      </c>
      <c r="D9" s="1">
        <v>1.3738425925925926E-2</v>
      </c>
      <c r="E9" t="s">
        <v>3375</v>
      </c>
      <c r="F9" s="69" t="s">
        <v>3826</v>
      </c>
      <c r="I9" s="2"/>
      <c r="K9" s="82">
        <v>0.74809999999999999</v>
      </c>
    </row>
    <row r="10" spans="1:13" x14ac:dyDescent="0.2">
      <c r="A10" s="33">
        <v>42581</v>
      </c>
      <c r="B10" s="5" t="s">
        <v>3535</v>
      </c>
      <c r="C10" s="32" t="s">
        <v>3536</v>
      </c>
      <c r="D10" s="1">
        <v>1.2488425925925925E-2</v>
      </c>
      <c r="E10" t="s">
        <v>5885</v>
      </c>
      <c r="F10" s="69" t="s">
        <v>6233</v>
      </c>
      <c r="I10" s="2"/>
      <c r="K10" s="82">
        <v>0.78869999999999996</v>
      </c>
    </row>
    <row r="11" spans="1:13" x14ac:dyDescent="0.2">
      <c r="A11" s="33">
        <v>42644</v>
      </c>
      <c r="B11" s="5" t="s">
        <v>859</v>
      </c>
      <c r="C11" s="32" t="s">
        <v>860</v>
      </c>
      <c r="D11" s="3">
        <v>1.2094907407407408E-2</v>
      </c>
      <c r="E11" t="s">
        <v>248</v>
      </c>
      <c r="F11" s="69" t="s">
        <v>3054</v>
      </c>
      <c r="I11" s="2"/>
      <c r="K11" s="82">
        <v>0.86029999999999995</v>
      </c>
    </row>
    <row r="12" spans="1:13" x14ac:dyDescent="0.2">
      <c r="A12" s="33">
        <v>42658</v>
      </c>
      <c r="B12" s="5" t="s">
        <v>3011</v>
      </c>
      <c r="C12" s="32" t="s">
        <v>3012</v>
      </c>
      <c r="D12" s="1">
        <v>1.2893518518518519E-2</v>
      </c>
      <c r="E12" t="s">
        <v>3009</v>
      </c>
      <c r="F12" s="69" t="s">
        <v>5176</v>
      </c>
      <c r="I12" s="2"/>
      <c r="K12" s="82">
        <v>0.78820000000000001</v>
      </c>
    </row>
    <row r="13" spans="1:13" x14ac:dyDescent="0.2">
      <c r="A13" s="33">
        <v>42672</v>
      </c>
      <c r="B13" s="5" t="s">
        <v>3011</v>
      </c>
      <c r="C13" s="32" t="s">
        <v>3012</v>
      </c>
      <c r="D13" s="1">
        <v>1.2731481481481481E-2</v>
      </c>
      <c r="E13" t="s">
        <v>840</v>
      </c>
      <c r="F13" s="69" t="s">
        <v>2790</v>
      </c>
      <c r="I13" s="2"/>
      <c r="K13" s="82">
        <v>0.79820000000000002</v>
      </c>
    </row>
    <row r="14" spans="1:13" x14ac:dyDescent="0.2">
      <c r="A14" s="33">
        <v>42707</v>
      </c>
      <c r="B14" s="53" t="s">
        <v>4481</v>
      </c>
      <c r="C14" s="54" t="s">
        <v>4482</v>
      </c>
      <c r="D14" s="1">
        <v>1.3449074074074073E-2</v>
      </c>
      <c r="E14" t="s">
        <v>5544</v>
      </c>
      <c r="F14" s="69" t="s">
        <v>6031</v>
      </c>
      <c r="I14" s="2"/>
      <c r="K14" s="82">
        <v>0.8</v>
      </c>
      <c r="M14" t="s">
        <v>3698</v>
      </c>
    </row>
    <row r="15" spans="1:13" x14ac:dyDescent="0.2">
      <c r="A15" s="33">
        <v>42707</v>
      </c>
      <c r="B15" s="5" t="s">
        <v>864</v>
      </c>
      <c r="C15" s="32" t="s">
        <v>865</v>
      </c>
      <c r="D15" s="1">
        <v>1.4097222222222221E-2</v>
      </c>
      <c r="E15" t="s">
        <v>5544</v>
      </c>
      <c r="F15" s="69" t="s">
        <v>1164</v>
      </c>
      <c r="I15" s="2"/>
      <c r="K15" s="82">
        <v>0.79720000000000002</v>
      </c>
      <c r="M15" t="s">
        <v>5013</v>
      </c>
    </row>
    <row r="16" spans="1:13" x14ac:dyDescent="0.2">
      <c r="A16" s="33">
        <v>42511</v>
      </c>
      <c r="B16" s="5" t="s">
        <v>870</v>
      </c>
      <c r="C16" s="32" t="s">
        <v>871</v>
      </c>
      <c r="D16" s="1">
        <v>1.3773148148148147E-2</v>
      </c>
      <c r="E16" t="s">
        <v>5883</v>
      </c>
      <c r="F16" s="69"/>
      <c r="I16" s="2"/>
      <c r="K16" s="82">
        <v>0.77480000000000004</v>
      </c>
    </row>
    <row r="17" spans="1:22" x14ac:dyDescent="0.2">
      <c r="A17" s="33">
        <v>42735</v>
      </c>
      <c r="B17" s="80" t="s">
        <v>3209</v>
      </c>
      <c r="C17" s="334" t="s">
        <v>3012</v>
      </c>
      <c r="D17" s="1">
        <v>1.2314814814814815E-2</v>
      </c>
      <c r="E17" s="80" t="s">
        <v>5885</v>
      </c>
      <c r="F17" s="69" t="s">
        <v>6172</v>
      </c>
      <c r="I17" s="2"/>
      <c r="K17" s="82">
        <v>0.82520000000000004</v>
      </c>
    </row>
    <row r="23" spans="1:22" x14ac:dyDescent="0.2">
      <c r="A23" s="33">
        <v>42721</v>
      </c>
      <c r="B23" s="5" t="s">
        <v>4580</v>
      </c>
      <c r="C23" s="32" t="s">
        <v>4581</v>
      </c>
      <c r="D23" s="65">
        <v>1.9745370370370371E-2</v>
      </c>
      <c r="E23" s="5" t="s">
        <v>5947</v>
      </c>
      <c r="F23" s="108" t="s">
        <v>5673</v>
      </c>
      <c r="I23" s="2"/>
      <c r="K23" s="82">
        <v>0.58260000000000001</v>
      </c>
    </row>
    <row r="24" spans="1:22" x14ac:dyDescent="0.2">
      <c r="A24" s="33">
        <v>42714</v>
      </c>
      <c r="B24" s="5" t="s">
        <v>4580</v>
      </c>
      <c r="C24" s="32" t="s">
        <v>4581</v>
      </c>
      <c r="D24" s="65">
        <v>1.951388888888889E-2</v>
      </c>
      <c r="E24" s="5" t="s">
        <v>5947</v>
      </c>
      <c r="F24" s="108" t="s">
        <v>6087</v>
      </c>
      <c r="I24" s="2"/>
      <c r="K24" s="82">
        <v>0.58960000000000001</v>
      </c>
    </row>
    <row r="25" spans="1:22" x14ac:dyDescent="0.2">
      <c r="A25" s="33">
        <v>42707</v>
      </c>
      <c r="B25" s="5" t="s">
        <v>4580</v>
      </c>
      <c r="C25" s="32" t="s">
        <v>4581</v>
      </c>
      <c r="D25" s="65" t="s">
        <v>787</v>
      </c>
      <c r="E25" s="5" t="s">
        <v>4161</v>
      </c>
      <c r="F25" s="108" t="s">
        <v>1549</v>
      </c>
      <c r="I25" s="2"/>
      <c r="K25" s="82"/>
    </row>
    <row r="26" spans="1:22" x14ac:dyDescent="0.2">
      <c r="A26" s="33">
        <v>42700</v>
      </c>
      <c r="B26" s="5" t="s">
        <v>4580</v>
      </c>
      <c r="C26" s="32" t="s">
        <v>4581</v>
      </c>
      <c r="D26" s="65">
        <v>2.1145833333333332E-2</v>
      </c>
      <c r="E26" s="5" t="s">
        <v>4161</v>
      </c>
      <c r="F26" s="108" t="s">
        <v>3460</v>
      </c>
      <c r="I26" s="2"/>
      <c r="K26" s="82">
        <v>0.54410000000000003</v>
      </c>
    </row>
    <row r="27" spans="1:22" x14ac:dyDescent="0.2">
      <c r="A27" s="33">
        <v>42693</v>
      </c>
      <c r="B27" s="5" t="s">
        <v>4580</v>
      </c>
      <c r="C27" s="32" t="s">
        <v>4581</v>
      </c>
      <c r="D27" s="65">
        <v>2.0208333333333335E-2</v>
      </c>
      <c r="E27" s="5" t="s">
        <v>1982</v>
      </c>
      <c r="F27" s="69"/>
      <c r="I27" s="2"/>
      <c r="K27" s="82">
        <v>0.56830000000000003</v>
      </c>
      <c r="V27" s="10"/>
    </row>
    <row r="28" spans="1:22" ht="13.5" x14ac:dyDescent="0.25">
      <c r="A28" s="33">
        <v>42672</v>
      </c>
      <c r="B28" s="5" t="s">
        <v>4580</v>
      </c>
      <c r="C28" s="32" t="s">
        <v>4581</v>
      </c>
      <c r="D28" s="65" t="s">
        <v>787</v>
      </c>
      <c r="E28" t="s">
        <v>5947</v>
      </c>
      <c r="F28" s="69" t="s">
        <v>4854</v>
      </c>
      <c r="H28" s="364"/>
      <c r="K28" s="82"/>
    </row>
    <row r="29" spans="1:22" x14ac:dyDescent="0.2">
      <c r="A29" s="33">
        <v>42665</v>
      </c>
      <c r="B29" s="5" t="s">
        <v>4580</v>
      </c>
      <c r="C29" s="32" t="s">
        <v>4581</v>
      </c>
      <c r="D29" s="65">
        <v>2.0023148148148148E-2</v>
      </c>
      <c r="E29" t="s">
        <v>1982</v>
      </c>
      <c r="F29" s="69" t="s">
        <v>1243</v>
      </c>
      <c r="I29" s="2"/>
      <c r="K29" s="82">
        <v>0.5746</v>
      </c>
    </row>
    <row r="30" spans="1:22" x14ac:dyDescent="0.2">
      <c r="A30" s="33">
        <v>42644</v>
      </c>
      <c r="B30" s="5" t="s">
        <v>4580</v>
      </c>
      <c r="C30" s="32" t="s">
        <v>4581</v>
      </c>
      <c r="D30" s="65">
        <v>1.9131944444444444E-2</v>
      </c>
      <c r="E30" t="s">
        <v>5885</v>
      </c>
      <c r="F30" s="69" t="s">
        <v>3050</v>
      </c>
      <c r="I30" s="2"/>
      <c r="K30" s="82">
        <v>0.60129999999999995</v>
      </c>
    </row>
    <row r="31" spans="1:22" x14ac:dyDescent="0.2">
      <c r="A31" s="33">
        <v>42623</v>
      </c>
      <c r="B31" s="5" t="s">
        <v>4580</v>
      </c>
      <c r="C31" s="32" t="s">
        <v>4581</v>
      </c>
      <c r="D31" s="65">
        <v>1.9074074074074073E-2</v>
      </c>
      <c r="E31" t="s">
        <v>3167</v>
      </c>
      <c r="F31" s="69" t="s">
        <v>2629</v>
      </c>
      <c r="I31" s="2"/>
      <c r="K31" s="82">
        <v>0.60319999999999996</v>
      </c>
    </row>
    <row r="32" spans="1:22" x14ac:dyDescent="0.2">
      <c r="A32" s="33">
        <v>42609</v>
      </c>
      <c r="B32" s="5" t="s">
        <v>4580</v>
      </c>
      <c r="C32" s="32" t="s">
        <v>4581</v>
      </c>
      <c r="D32" s="65">
        <v>1.9722222222222221E-2</v>
      </c>
      <c r="E32" t="s">
        <v>3167</v>
      </c>
      <c r="F32" s="69" t="s">
        <v>323</v>
      </c>
      <c r="I32" s="2"/>
      <c r="K32" s="82">
        <v>0.57630000000000003</v>
      </c>
    </row>
    <row r="33" spans="1:13" x14ac:dyDescent="0.2">
      <c r="A33" s="33">
        <v>42581</v>
      </c>
      <c r="B33" s="5" t="s">
        <v>4580</v>
      </c>
      <c r="C33" s="32" t="s">
        <v>4581</v>
      </c>
      <c r="D33" s="65">
        <v>1.9594907407407405E-2</v>
      </c>
      <c r="E33" t="s">
        <v>5885</v>
      </c>
      <c r="F33" s="69" t="s">
        <v>343</v>
      </c>
      <c r="I33" s="2"/>
      <c r="K33" s="82">
        <v>0.57999999999999996</v>
      </c>
    </row>
    <row r="34" spans="1:13" x14ac:dyDescent="0.2">
      <c r="A34" s="33">
        <v>42546</v>
      </c>
      <c r="B34" s="5" t="s">
        <v>4580</v>
      </c>
      <c r="C34" s="32" t="s">
        <v>4581</v>
      </c>
      <c r="D34" s="65">
        <v>1.951388888888889E-2</v>
      </c>
      <c r="E34" t="s">
        <v>5198</v>
      </c>
      <c r="F34" s="69" t="s">
        <v>2210</v>
      </c>
      <c r="I34" s="2"/>
      <c r="K34" s="82">
        <v>0.57230000000000003</v>
      </c>
    </row>
    <row r="35" spans="1:13" x14ac:dyDescent="0.2">
      <c r="A35" s="33">
        <v>42525</v>
      </c>
      <c r="B35" s="5" t="s">
        <v>4580</v>
      </c>
      <c r="C35" s="32" t="s">
        <v>4581</v>
      </c>
      <c r="D35" s="543">
        <v>2.056712962962963E-2</v>
      </c>
      <c r="E35" s="5" t="s">
        <v>5947</v>
      </c>
      <c r="F35" s="108" t="s">
        <v>5212</v>
      </c>
      <c r="G35" s="5"/>
      <c r="H35" s="5"/>
      <c r="I35" s="2"/>
      <c r="J35" s="5"/>
      <c r="K35" s="85">
        <v>0.55830000000000002</v>
      </c>
    </row>
    <row r="36" spans="1:13" x14ac:dyDescent="0.2">
      <c r="A36" s="33">
        <v>42518</v>
      </c>
      <c r="B36" s="5" t="s">
        <v>4580</v>
      </c>
      <c r="C36" s="32" t="s">
        <v>4581</v>
      </c>
      <c r="D36" s="543" t="s">
        <v>2214</v>
      </c>
      <c r="E36" s="5" t="s">
        <v>5198</v>
      </c>
      <c r="F36" s="108" t="s">
        <v>5703</v>
      </c>
      <c r="G36" s="5"/>
      <c r="H36" s="5"/>
      <c r="I36" s="2"/>
      <c r="J36" s="5"/>
      <c r="K36" s="85" t="s">
        <v>5776</v>
      </c>
    </row>
    <row r="37" spans="1:13" x14ac:dyDescent="0.2">
      <c r="A37" s="33">
        <v>42371</v>
      </c>
      <c r="B37" t="s">
        <v>4580</v>
      </c>
      <c r="C37" s="1" t="s">
        <v>4581</v>
      </c>
      <c r="D37" s="65">
        <v>2.3078703703703702E-2</v>
      </c>
      <c r="E37" s="5" t="s">
        <v>5947</v>
      </c>
      <c r="F37" s="69" t="s">
        <v>5341</v>
      </c>
      <c r="K37" s="82">
        <v>0.49249999999999999</v>
      </c>
    </row>
    <row r="38" spans="1:13" x14ac:dyDescent="0.2">
      <c r="A38" s="33">
        <v>42735</v>
      </c>
      <c r="B38" s="80" t="s">
        <v>868</v>
      </c>
      <c r="C38" s="334" t="s">
        <v>869</v>
      </c>
      <c r="D38" s="65">
        <v>2.1770833333333336E-2</v>
      </c>
      <c r="E38" t="s">
        <v>5544</v>
      </c>
      <c r="F38" s="69" t="s">
        <v>6169</v>
      </c>
      <c r="I38" s="2"/>
      <c r="K38" s="82">
        <v>0.68740000000000001</v>
      </c>
      <c r="M38" s="80" t="s">
        <v>6198</v>
      </c>
    </row>
    <row r="39" spans="1:13" x14ac:dyDescent="0.2">
      <c r="A39" s="523">
        <v>42728</v>
      </c>
      <c r="B39" s="80" t="s">
        <v>868</v>
      </c>
      <c r="C39" s="334" t="s">
        <v>869</v>
      </c>
      <c r="D39" s="65">
        <v>2.2233796296296297E-2</v>
      </c>
      <c r="E39" s="80" t="s">
        <v>5544</v>
      </c>
      <c r="F39" s="69" t="s">
        <v>6119</v>
      </c>
      <c r="I39" s="2"/>
      <c r="K39" s="82">
        <v>0.67310000000000003</v>
      </c>
    </row>
    <row r="40" spans="1:13" x14ac:dyDescent="0.2">
      <c r="A40" s="33">
        <v>42721</v>
      </c>
      <c r="B40" s="5" t="s">
        <v>868</v>
      </c>
      <c r="C40" s="32" t="s">
        <v>869</v>
      </c>
      <c r="D40" s="65">
        <v>2.1967592592592594E-2</v>
      </c>
      <c r="E40" t="s">
        <v>5544</v>
      </c>
      <c r="F40" s="108" t="s">
        <v>6104</v>
      </c>
      <c r="I40" s="2"/>
      <c r="K40" s="82">
        <v>0.68120000000000003</v>
      </c>
    </row>
    <row r="41" spans="1:13" x14ac:dyDescent="0.2">
      <c r="A41" s="33">
        <v>42707</v>
      </c>
      <c r="B41" s="5" t="s">
        <v>868</v>
      </c>
      <c r="C41" s="32" t="s">
        <v>869</v>
      </c>
      <c r="D41" s="65">
        <v>2.4467592592592593E-2</v>
      </c>
      <c r="E41" t="s">
        <v>5544</v>
      </c>
      <c r="F41" s="69" t="s">
        <v>6032</v>
      </c>
      <c r="I41" s="2"/>
      <c r="K41" s="82">
        <v>0.61160000000000003</v>
      </c>
    </row>
    <row r="42" spans="1:13" x14ac:dyDescent="0.2">
      <c r="A42" s="33">
        <v>42693</v>
      </c>
      <c r="B42" s="5" t="s">
        <v>868</v>
      </c>
      <c r="C42" s="32" t="s">
        <v>869</v>
      </c>
      <c r="D42" s="65">
        <v>2.1122685185185185E-2</v>
      </c>
      <c r="E42" s="5" t="s">
        <v>5544</v>
      </c>
      <c r="F42" s="69"/>
      <c r="I42" s="2"/>
      <c r="K42" s="82">
        <v>0.70850000000000002</v>
      </c>
    </row>
    <row r="43" spans="1:13" x14ac:dyDescent="0.2">
      <c r="A43" s="33">
        <v>42686</v>
      </c>
      <c r="B43" s="5" t="s">
        <v>868</v>
      </c>
      <c r="C43" s="32" t="s">
        <v>869</v>
      </c>
      <c r="D43" s="65">
        <v>3.5729166666666666E-2</v>
      </c>
      <c r="E43" t="s">
        <v>5544</v>
      </c>
      <c r="F43" s="108" t="s">
        <v>6035</v>
      </c>
      <c r="I43" s="2"/>
      <c r="K43" s="82">
        <v>0.41889999999999999</v>
      </c>
    </row>
    <row r="44" spans="1:13" x14ac:dyDescent="0.2">
      <c r="A44" s="33">
        <v>42679</v>
      </c>
      <c r="B44" s="5" t="s">
        <v>868</v>
      </c>
      <c r="C44" s="32" t="s">
        <v>869</v>
      </c>
      <c r="D44" s="65">
        <v>2.1863425925925925E-2</v>
      </c>
      <c r="E44" t="s">
        <v>5544</v>
      </c>
      <c r="F44" s="69" t="s">
        <v>614</v>
      </c>
      <c r="I44" s="2"/>
      <c r="K44" s="82">
        <v>0.6845</v>
      </c>
    </row>
    <row r="45" spans="1:13" x14ac:dyDescent="0.2">
      <c r="A45" s="33">
        <v>42672</v>
      </c>
      <c r="B45" s="5" t="s">
        <v>868</v>
      </c>
      <c r="C45" s="32" t="s">
        <v>869</v>
      </c>
      <c r="D45" s="65">
        <v>2.1527777777777781E-2</v>
      </c>
      <c r="E45" t="s">
        <v>5544</v>
      </c>
      <c r="F45" s="69" t="s">
        <v>4159</v>
      </c>
      <c r="I45" s="2"/>
      <c r="K45" s="82">
        <v>0.69520000000000004</v>
      </c>
    </row>
    <row r="46" spans="1:13" x14ac:dyDescent="0.2">
      <c r="A46" s="33">
        <v>42665</v>
      </c>
      <c r="B46" s="5" t="s">
        <v>868</v>
      </c>
      <c r="C46" s="32" t="s">
        <v>869</v>
      </c>
      <c r="D46" s="65">
        <v>2.210648148148148E-2</v>
      </c>
      <c r="E46" t="s">
        <v>5544</v>
      </c>
      <c r="F46" s="69" t="s">
        <v>1249</v>
      </c>
      <c r="I46" s="2"/>
      <c r="K46" s="82">
        <v>0.67700000000000005</v>
      </c>
      <c r="M46" t="s">
        <v>6165</v>
      </c>
    </row>
    <row r="47" spans="1:13" x14ac:dyDescent="0.2">
      <c r="A47" s="33">
        <v>42658</v>
      </c>
      <c r="B47" s="5" t="s">
        <v>868</v>
      </c>
      <c r="C47" s="32" t="s">
        <v>869</v>
      </c>
      <c r="D47" s="65">
        <v>2.1736111111111112E-2</v>
      </c>
      <c r="E47" t="s">
        <v>5544</v>
      </c>
      <c r="F47" s="69" t="s">
        <v>1975</v>
      </c>
      <c r="I47" s="2"/>
      <c r="K47" s="82">
        <v>0.6885</v>
      </c>
    </row>
    <row r="48" spans="1:13" x14ac:dyDescent="0.2">
      <c r="A48" s="33">
        <v>42651</v>
      </c>
      <c r="B48" s="5" t="s">
        <v>868</v>
      </c>
      <c r="C48" s="32" t="s">
        <v>869</v>
      </c>
      <c r="D48" s="65">
        <v>2.2187499999999999E-2</v>
      </c>
      <c r="E48" t="s">
        <v>5544</v>
      </c>
      <c r="F48" s="69" t="s">
        <v>1092</v>
      </c>
      <c r="I48" s="2"/>
      <c r="K48" s="82">
        <v>0.67449999999999999</v>
      </c>
    </row>
    <row r="49" spans="1:13" x14ac:dyDescent="0.2">
      <c r="A49" s="33">
        <v>42644</v>
      </c>
      <c r="B49" s="5" t="s">
        <v>868</v>
      </c>
      <c r="C49" s="32" t="s">
        <v>869</v>
      </c>
      <c r="D49" s="65">
        <v>2.2337962962962962E-2</v>
      </c>
      <c r="E49" t="s">
        <v>5544</v>
      </c>
      <c r="F49" s="69" t="s">
        <v>3056</v>
      </c>
      <c r="I49" s="2"/>
      <c r="K49" s="82">
        <v>0.66990000000000005</v>
      </c>
    </row>
    <row r="50" spans="1:13" x14ac:dyDescent="0.2">
      <c r="A50" s="33">
        <v>42637</v>
      </c>
      <c r="B50" s="5" t="s">
        <v>868</v>
      </c>
      <c r="C50" s="32" t="s">
        <v>869</v>
      </c>
      <c r="D50" s="65">
        <v>2.1921296296296296E-2</v>
      </c>
      <c r="E50" t="s">
        <v>5544</v>
      </c>
      <c r="F50" s="69" t="s">
        <v>4112</v>
      </c>
      <c r="I50" s="2"/>
      <c r="K50" s="82">
        <v>0.68269999999999997</v>
      </c>
    </row>
    <row r="51" spans="1:13" x14ac:dyDescent="0.2">
      <c r="A51" s="33">
        <v>42630</v>
      </c>
      <c r="B51" s="5" t="s">
        <v>868</v>
      </c>
      <c r="C51" s="32" t="s">
        <v>869</v>
      </c>
      <c r="D51" s="65">
        <v>2.0983796296296296E-2</v>
      </c>
      <c r="E51" t="s">
        <v>5544</v>
      </c>
      <c r="F51" s="69" t="s">
        <v>3368</v>
      </c>
      <c r="I51" s="2"/>
      <c r="K51" s="82">
        <v>0.71319999999999995</v>
      </c>
    </row>
    <row r="52" spans="1:13" x14ac:dyDescent="0.2">
      <c r="A52" s="33">
        <v>42623</v>
      </c>
      <c r="B52" s="5" t="s">
        <v>868</v>
      </c>
      <c r="C52" s="32" t="s">
        <v>869</v>
      </c>
      <c r="D52" s="65">
        <v>2.1863425925925925E-2</v>
      </c>
      <c r="E52" t="s">
        <v>5544</v>
      </c>
      <c r="F52" s="69" t="s">
        <v>5824</v>
      </c>
      <c r="I52" s="2"/>
      <c r="K52" s="82">
        <v>0.6845</v>
      </c>
    </row>
    <row r="53" spans="1:13" x14ac:dyDescent="0.2">
      <c r="A53" s="33">
        <v>42616</v>
      </c>
      <c r="B53" s="5" t="s">
        <v>868</v>
      </c>
      <c r="C53" s="32" t="s">
        <v>869</v>
      </c>
      <c r="D53" s="65">
        <v>2.2013888888888888E-2</v>
      </c>
      <c r="E53" t="s">
        <v>5544</v>
      </c>
      <c r="F53" s="69" t="s">
        <v>11</v>
      </c>
      <c r="I53" s="2"/>
      <c r="K53" s="82">
        <v>0.67979999999999996</v>
      </c>
    </row>
    <row r="54" spans="1:13" x14ac:dyDescent="0.2">
      <c r="A54" s="33">
        <v>42609</v>
      </c>
      <c r="B54" s="5" t="s">
        <v>868</v>
      </c>
      <c r="C54" s="32" t="s">
        <v>869</v>
      </c>
      <c r="D54" s="65">
        <v>2.2430555555555554E-2</v>
      </c>
      <c r="E54" t="s">
        <v>5544</v>
      </c>
      <c r="F54" s="69" t="s">
        <v>91</v>
      </c>
      <c r="I54" s="2"/>
      <c r="K54" s="82">
        <v>0.66720000000000002</v>
      </c>
    </row>
    <row r="55" spans="1:13" x14ac:dyDescent="0.2">
      <c r="A55" s="33">
        <v>42595</v>
      </c>
      <c r="B55" s="5" t="s">
        <v>868</v>
      </c>
      <c r="C55" s="32" t="s">
        <v>869</v>
      </c>
      <c r="D55" s="65">
        <v>2.2233796296296297E-2</v>
      </c>
      <c r="E55" t="s">
        <v>5544</v>
      </c>
      <c r="F55" s="69" t="s">
        <v>176</v>
      </c>
      <c r="I55" s="2"/>
      <c r="K55" s="82">
        <v>0.67310000000000003</v>
      </c>
    </row>
    <row r="56" spans="1:13" x14ac:dyDescent="0.2">
      <c r="A56" s="33">
        <v>42588</v>
      </c>
      <c r="B56" s="5" t="s">
        <v>868</v>
      </c>
      <c r="C56" s="32" t="s">
        <v>869</v>
      </c>
      <c r="D56" s="543">
        <v>2.2708333333333334E-2</v>
      </c>
      <c r="E56" s="5" t="s">
        <v>5544</v>
      </c>
      <c r="F56" s="108" t="s">
        <v>3370</v>
      </c>
      <c r="G56" s="5"/>
      <c r="H56" s="5"/>
      <c r="I56" s="2"/>
      <c r="J56" s="5"/>
      <c r="K56" s="85">
        <v>0.65900000000000003</v>
      </c>
      <c r="M56" t="s">
        <v>6164</v>
      </c>
    </row>
    <row r="57" spans="1:13" x14ac:dyDescent="0.2">
      <c r="A57" s="33">
        <v>42581</v>
      </c>
      <c r="B57" s="5" t="s">
        <v>868</v>
      </c>
      <c r="C57" s="32" t="s">
        <v>869</v>
      </c>
      <c r="D57" s="65">
        <v>2.2303240740740738E-2</v>
      </c>
      <c r="E57" t="s">
        <v>5885</v>
      </c>
      <c r="F57" s="69" t="s">
        <v>2550</v>
      </c>
      <c r="I57" s="2"/>
      <c r="K57" s="82">
        <v>0.67100000000000004</v>
      </c>
    </row>
    <row r="58" spans="1:13" x14ac:dyDescent="0.2">
      <c r="A58" s="33">
        <v>42574</v>
      </c>
      <c r="B58" s="5" t="s">
        <v>868</v>
      </c>
      <c r="C58" s="32" t="s">
        <v>869</v>
      </c>
      <c r="D58" s="65">
        <v>2.2280092592592591E-2</v>
      </c>
      <c r="E58" t="s">
        <v>5544</v>
      </c>
      <c r="F58" s="69" t="s">
        <v>5345</v>
      </c>
      <c r="I58" s="2"/>
      <c r="K58" s="82">
        <v>0.67169999999999996</v>
      </c>
    </row>
    <row r="59" spans="1:13" x14ac:dyDescent="0.2">
      <c r="A59" s="33">
        <v>42567</v>
      </c>
      <c r="B59" s="5" t="s">
        <v>868</v>
      </c>
      <c r="C59" s="32" t="s">
        <v>869</v>
      </c>
      <c r="D59" s="65">
        <v>2.269675925925926E-2</v>
      </c>
      <c r="E59" t="s">
        <v>5544</v>
      </c>
      <c r="F59" s="69" t="s">
        <v>4343</v>
      </c>
      <c r="I59" s="2"/>
      <c r="K59" s="82">
        <v>0.65939999999999999</v>
      </c>
    </row>
    <row r="60" spans="1:13" x14ac:dyDescent="0.2">
      <c r="A60" s="33">
        <v>42560</v>
      </c>
      <c r="B60" s="5" t="s">
        <v>868</v>
      </c>
      <c r="C60" s="32" t="s">
        <v>869</v>
      </c>
      <c r="D60" s="65">
        <v>2.3842592592592596E-2</v>
      </c>
      <c r="E60" t="s">
        <v>5544</v>
      </c>
      <c r="F60" s="69" t="s">
        <v>1447</v>
      </c>
      <c r="I60" s="2"/>
      <c r="K60" s="82">
        <v>0.62770000000000004</v>
      </c>
    </row>
    <row r="61" spans="1:13" x14ac:dyDescent="0.2">
      <c r="A61" s="33">
        <v>42546</v>
      </c>
      <c r="B61" s="5" t="s">
        <v>868</v>
      </c>
      <c r="C61" s="32" t="s">
        <v>869</v>
      </c>
      <c r="D61" s="65">
        <v>2.238425925925926E-2</v>
      </c>
      <c r="E61" t="s">
        <v>5544</v>
      </c>
      <c r="F61" s="69" t="s">
        <v>4922</v>
      </c>
      <c r="I61" s="2"/>
      <c r="K61" s="82">
        <v>0.66859999999999997</v>
      </c>
    </row>
    <row r="62" spans="1:13" x14ac:dyDescent="0.2">
      <c r="A62" s="33">
        <v>42539</v>
      </c>
      <c r="B62" s="5" t="s">
        <v>868</v>
      </c>
      <c r="C62" s="32" t="s">
        <v>869</v>
      </c>
      <c r="D62" s="65">
        <v>2.4050925925925924E-2</v>
      </c>
      <c r="E62" t="s">
        <v>5544</v>
      </c>
      <c r="F62" s="69" t="s">
        <v>4760</v>
      </c>
      <c r="I62" s="2"/>
      <c r="K62" s="82">
        <v>0.62219999999999998</v>
      </c>
    </row>
    <row r="63" spans="1:13" x14ac:dyDescent="0.2">
      <c r="A63" s="33">
        <v>42525</v>
      </c>
      <c r="B63" s="5" t="s">
        <v>868</v>
      </c>
      <c r="C63" s="32" t="s">
        <v>869</v>
      </c>
      <c r="D63" s="543">
        <v>2.2523148148148143E-2</v>
      </c>
      <c r="E63" s="5" t="s">
        <v>5544</v>
      </c>
      <c r="F63" s="108" t="s">
        <v>3210</v>
      </c>
      <c r="G63" s="5"/>
      <c r="H63" s="5"/>
      <c r="I63" s="2"/>
      <c r="J63" s="5"/>
      <c r="K63" s="85">
        <v>0.66439999999999999</v>
      </c>
    </row>
    <row r="64" spans="1:13" x14ac:dyDescent="0.2">
      <c r="A64" s="33">
        <v>42518</v>
      </c>
      <c r="B64" s="5" t="s">
        <v>868</v>
      </c>
      <c r="C64" s="32" t="s">
        <v>869</v>
      </c>
      <c r="D64" s="543">
        <v>2.3912037037037034E-2</v>
      </c>
      <c r="E64" s="5" t="s">
        <v>5544</v>
      </c>
      <c r="F64" s="108" t="s">
        <v>4714</v>
      </c>
      <c r="G64" s="5"/>
      <c r="H64" s="5"/>
      <c r="I64" s="2"/>
      <c r="J64" s="5"/>
      <c r="K64" s="85">
        <v>0.62580000000000002</v>
      </c>
    </row>
    <row r="65" spans="1:13" x14ac:dyDescent="0.2">
      <c r="A65" s="33">
        <v>42511</v>
      </c>
      <c r="B65" s="5" t="s">
        <v>868</v>
      </c>
      <c r="C65" s="32" t="s">
        <v>869</v>
      </c>
      <c r="D65" s="543">
        <v>2.3344907407407408E-2</v>
      </c>
      <c r="E65" s="5" t="s">
        <v>5544</v>
      </c>
      <c r="F65" s="108" t="s">
        <v>3027</v>
      </c>
      <c r="G65" s="5"/>
      <c r="H65" s="5"/>
      <c r="I65" s="2"/>
      <c r="J65" s="5"/>
      <c r="K65" s="85">
        <v>0.6411</v>
      </c>
    </row>
    <row r="66" spans="1:13" x14ac:dyDescent="0.2">
      <c r="A66" s="33">
        <v>42504</v>
      </c>
      <c r="B66" s="5" t="s">
        <v>868</v>
      </c>
      <c r="C66" s="32" t="s">
        <v>869</v>
      </c>
      <c r="D66" s="543">
        <v>2.1099537037037038E-2</v>
      </c>
      <c r="E66" s="5" t="s">
        <v>5544</v>
      </c>
      <c r="F66" s="108" t="s">
        <v>1330</v>
      </c>
      <c r="G66" s="5"/>
      <c r="H66" s="5"/>
      <c r="I66" s="5"/>
      <c r="J66" s="5"/>
      <c r="K66" s="85">
        <v>0.69169999999999998</v>
      </c>
      <c r="M66" t="s">
        <v>6163</v>
      </c>
    </row>
    <row r="67" spans="1:13" x14ac:dyDescent="0.2">
      <c r="A67" s="33">
        <v>42497</v>
      </c>
      <c r="B67" s="5" t="s">
        <v>868</v>
      </c>
      <c r="C67" s="32" t="s">
        <v>869</v>
      </c>
      <c r="D67" s="543">
        <v>2.1076388888888891E-2</v>
      </c>
      <c r="E67" s="5" t="s">
        <v>5544</v>
      </c>
      <c r="F67" s="108" t="s">
        <v>2744</v>
      </c>
      <c r="G67" s="5"/>
      <c r="H67" s="5"/>
      <c r="I67" s="5"/>
      <c r="J67" s="5"/>
      <c r="K67" s="85">
        <v>0.6925</v>
      </c>
    </row>
    <row r="68" spans="1:13" x14ac:dyDescent="0.2">
      <c r="A68" s="33">
        <v>42490</v>
      </c>
      <c r="B68" s="5" t="s">
        <v>868</v>
      </c>
      <c r="C68" s="32" t="s">
        <v>869</v>
      </c>
      <c r="D68" s="543">
        <v>2.0879629629629626E-2</v>
      </c>
      <c r="E68" s="5" t="s">
        <v>5544</v>
      </c>
      <c r="F68" s="108" t="s">
        <v>4801</v>
      </c>
      <c r="G68" s="5"/>
      <c r="H68" s="5"/>
      <c r="I68" s="5"/>
      <c r="J68" s="5"/>
      <c r="K68" s="85">
        <v>0.69899999999999995</v>
      </c>
    </row>
    <row r="69" spans="1:13" x14ac:dyDescent="0.2">
      <c r="A69" s="33">
        <v>42483</v>
      </c>
      <c r="B69" s="5" t="s">
        <v>868</v>
      </c>
      <c r="C69" s="32" t="s">
        <v>869</v>
      </c>
      <c r="D69" s="543">
        <v>2.1157407407407406E-2</v>
      </c>
      <c r="E69" s="5" t="s">
        <v>5544</v>
      </c>
      <c r="F69" s="108" t="s">
        <v>2920</v>
      </c>
      <c r="G69" s="5"/>
      <c r="H69" s="5"/>
      <c r="I69" s="2"/>
      <c r="J69" s="5"/>
      <c r="K69" s="85">
        <v>0.68979999999999997</v>
      </c>
    </row>
    <row r="70" spans="1:13" x14ac:dyDescent="0.2">
      <c r="A70" s="33">
        <v>42476</v>
      </c>
      <c r="B70" s="5" t="s">
        <v>868</v>
      </c>
      <c r="C70" s="32" t="s">
        <v>869</v>
      </c>
      <c r="D70" s="65">
        <v>2.164351851851852E-2</v>
      </c>
      <c r="E70" s="5" t="s">
        <v>5544</v>
      </c>
      <c r="F70" s="69" t="s">
        <v>3483</v>
      </c>
      <c r="I70" s="2"/>
      <c r="K70" s="82">
        <v>0.67449999999999999</v>
      </c>
    </row>
    <row r="71" spans="1:13" x14ac:dyDescent="0.2">
      <c r="A71" s="33">
        <v>42469</v>
      </c>
      <c r="B71" s="5" t="s">
        <v>868</v>
      </c>
      <c r="C71" s="32" t="s">
        <v>869</v>
      </c>
      <c r="D71" s="65">
        <v>2.2754629629629628E-2</v>
      </c>
      <c r="E71" t="s">
        <v>5544</v>
      </c>
      <c r="F71" s="69" t="s">
        <v>4102</v>
      </c>
      <c r="I71" s="2"/>
      <c r="K71" s="82">
        <v>0.64139999999999997</v>
      </c>
    </row>
    <row r="72" spans="1:13" x14ac:dyDescent="0.2">
      <c r="A72" s="33">
        <v>42462</v>
      </c>
      <c r="B72" t="s">
        <v>868</v>
      </c>
      <c r="C72" s="1" t="s">
        <v>869</v>
      </c>
      <c r="D72" s="65">
        <v>2.1747685185185186E-2</v>
      </c>
      <c r="E72" t="s">
        <v>5544</v>
      </c>
      <c r="F72" s="69" t="s">
        <v>5389</v>
      </c>
      <c r="I72" s="2"/>
      <c r="K72" s="82">
        <v>0.67110000000000003</v>
      </c>
    </row>
    <row r="73" spans="1:13" x14ac:dyDescent="0.2">
      <c r="A73" s="33">
        <v>42455</v>
      </c>
      <c r="B73" t="s">
        <v>868</v>
      </c>
      <c r="C73" s="1" t="s">
        <v>869</v>
      </c>
      <c r="D73" s="65">
        <v>2.193287037037037E-2</v>
      </c>
      <c r="E73" t="s">
        <v>5544</v>
      </c>
      <c r="F73" s="69" t="s">
        <v>4079</v>
      </c>
      <c r="I73" s="2"/>
      <c r="K73" s="82">
        <v>0.66539999999999999</v>
      </c>
    </row>
    <row r="74" spans="1:13" x14ac:dyDescent="0.2">
      <c r="A74" s="33">
        <v>42441</v>
      </c>
      <c r="B74" t="s">
        <v>868</v>
      </c>
      <c r="C74" s="1" t="s">
        <v>869</v>
      </c>
      <c r="D74" s="65">
        <v>2.0949074074074075E-2</v>
      </c>
      <c r="E74" t="s">
        <v>5544</v>
      </c>
      <c r="F74" s="69" t="s">
        <v>2978</v>
      </c>
      <c r="I74" s="2"/>
      <c r="K74" s="82">
        <v>0.69669999999999999</v>
      </c>
    </row>
    <row r="75" spans="1:13" x14ac:dyDescent="0.2">
      <c r="A75" s="33">
        <v>42434</v>
      </c>
      <c r="B75" t="s">
        <v>868</v>
      </c>
      <c r="C75" s="1" t="s">
        <v>869</v>
      </c>
      <c r="D75" s="65">
        <v>2.0960648148148148E-2</v>
      </c>
      <c r="E75" t="s">
        <v>5544</v>
      </c>
      <c r="F75" s="69" t="s">
        <v>750</v>
      </c>
      <c r="I75" s="2"/>
      <c r="K75" s="82">
        <v>0.69630000000000003</v>
      </c>
    </row>
    <row r="76" spans="1:13" x14ac:dyDescent="0.2">
      <c r="A76" s="1021">
        <v>42427</v>
      </c>
      <c r="B76" s="947" t="s">
        <v>868</v>
      </c>
      <c r="C76" s="1022" t="s">
        <v>869</v>
      </c>
      <c r="D76" s="1023">
        <v>2.1712962962962962E-2</v>
      </c>
      <c r="E76" s="947" t="s">
        <v>5544</v>
      </c>
      <c r="F76" s="1024" t="s">
        <v>4570</v>
      </c>
      <c r="G76" s="5"/>
      <c r="I76" s="2"/>
      <c r="K76" s="82">
        <v>0.67220000000000002</v>
      </c>
      <c r="M76" t="s">
        <v>6162</v>
      </c>
    </row>
    <row r="77" spans="1:13" x14ac:dyDescent="0.2">
      <c r="A77" s="33">
        <v>42420</v>
      </c>
      <c r="B77" t="s">
        <v>868</v>
      </c>
      <c r="C77" s="1" t="s">
        <v>869</v>
      </c>
      <c r="D77" s="65">
        <v>2.2291666666666668E-2</v>
      </c>
      <c r="E77" t="s">
        <v>5544</v>
      </c>
      <c r="F77" s="69" t="s">
        <v>76</v>
      </c>
      <c r="I77" s="2"/>
      <c r="K77" s="82">
        <v>0.65469999999999995</v>
      </c>
    </row>
    <row r="78" spans="1:13" x14ac:dyDescent="0.2">
      <c r="A78" s="33">
        <v>42413</v>
      </c>
      <c r="B78" t="s">
        <v>868</v>
      </c>
      <c r="C78" s="1" t="s">
        <v>869</v>
      </c>
      <c r="D78" s="65">
        <v>2.1631944444444443E-2</v>
      </c>
      <c r="E78" t="s">
        <v>5544</v>
      </c>
      <c r="F78" s="69" t="s">
        <v>1634</v>
      </c>
      <c r="I78" s="2"/>
      <c r="K78" s="82">
        <v>0.67469999999999997</v>
      </c>
    </row>
    <row r="79" spans="1:13" x14ac:dyDescent="0.2">
      <c r="A79" s="33">
        <v>42406</v>
      </c>
      <c r="B79" t="s">
        <v>868</v>
      </c>
      <c r="C79" s="1" t="s">
        <v>869</v>
      </c>
      <c r="D79" s="65">
        <v>2.3842592592592596E-2</v>
      </c>
      <c r="E79" t="s">
        <v>5544</v>
      </c>
      <c r="F79" s="69" t="s">
        <v>2425</v>
      </c>
      <c r="I79" s="2"/>
      <c r="K79" s="82">
        <v>0.60919999999999996</v>
      </c>
    </row>
    <row r="80" spans="1:13" x14ac:dyDescent="0.2">
      <c r="A80" s="33">
        <v>42399</v>
      </c>
      <c r="B80" t="s">
        <v>868</v>
      </c>
      <c r="C80" s="1" t="s">
        <v>869</v>
      </c>
      <c r="D80" s="65">
        <v>2.1331018518518517E-2</v>
      </c>
      <c r="E80" t="s">
        <v>5544</v>
      </c>
      <c r="F80" s="69" t="s">
        <v>545</v>
      </c>
      <c r="I80" s="2"/>
      <c r="K80" s="82">
        <v>0.68420000000000003</v>
      </c>
    </row>
    <row r="81" spans="1:19" x14ac:dyDescent="0.2">
      <c r="A81" s="33">
        <v>42392</v>
      </c>
      <c r="B81" t="s">
        <v>868</v>
      </c>
      <c r="C81" s="1" t="s">
        <v>869</v>
      </c>
      <c r="D81" s="65">
        <v>2.0729166666666667E-2</v>
      </c>
      <c r="E81" t="s">
        <v>5544</v>
      </c>
      <c r="F81" s="69" t="s">
        <v>3466</v>
      </c>
      <c r="I81" s="2"/>
      <c r="K81" s="82">
        <v>0.70409999999999995</v>
      </c>
      <c r="S81" s="80"/>
    </row>
    <row r="82" spans="1:19" x14ac:dyDescent="0.2">
      <c r="A82" s="33">
        <v>42385</v>
      </c>
      <c r="B82" t="s">
        <v>868</v>
      </c>
      <c r="C82" s="1" t="s">
        <v>869</v>
      </c>
      <c r="D82" s="65">
        <v>2.1898148148148149E-2</v>
      </c>
      <c r="E82" t="s">
        <v>5544</v>
      </c>
      <c r="F82" s="69" t="s">
        <v>5900</v>
      </c>
      <c r="I82" s="2"/>
      <c r="K82" s="82">
        <v>0.66649999999999998</v>
      </c>
    </row>
    <row r="83" spans="1:19" x14ac:dyDescent="0.2">
      <c r="A83" s="33">
        <v>42378</v>
      </c>
      <c r="B83" s="407" t="s">
        <v>868</v>
      </c>
      <c r="C83" s="408" t="s">
        <v>869</v>
      </c>
      <c r="D83" s="544">
        <v>2.2175925925925929E-2</v>
      </c>
      <c r="E83" s="407" t="s">
        <v>5095</v>
      </c>
      <c r="F83" s="545" t="s">
        <v>2608</v>
      </c>
      <c r="G83" s="407"/>
      <c r="H83" s="407"/>
      <c r="I83" s="348"/>
      <c r="J83" s="407"/>
      <c r="K83" s="546">
        <v>0.65810000000000002</v>
      </c>
    </row>
    <row r="84" spans="1:19" x14ac:dyDescent="0.2">
      <c r="A84" s="33">
        <v>42371</v>
      </c>
      <c r="B84" t="s">
        <v>868</v>
      </c>
      <c r="C84" s="1" t="s">
        <v>869</v>
      </c>
      <c r="D84" s="65">
        <v>2.1921296296296296E-2</v>
      </c>
      <c r="E84" s="5" t="s">
        <v>5544</v>
      </c>
      <c r="F84" s="69" t="s">
        <v>2410</v>
      </c>
      <c r="K84" s="82">
        <v>0.66579999999999995</v>
      </c>
    </row>
    <row r="85" spans="1:19" x14ac:dyDescent="0.2">
      <c r="A85" s="33">
        <v>42370</v>
      </c>
      <c r="B85" t="s">
        <v>868</v>
      </c>
      <c r="C85" s="1" t="s">
        <v>869</v>
      </c>
      <c r="D85" s="65">
        <v>2.1203703703703707E-2</v>
      </c>
      <c r="E85" t="s">
        <v>5885</v>
      </c>
      <c r="F85" s="69" t="s">
        <v>4212</v>
      </c>
      <c r="I85" s="2"/>
      <c r="K85" s="82">
        <v>0.68830000000000002</v>
      </c>
    </row>
    <row r="86" spans="1:19" x14ac:dyDescent="0.2">
      <c r="A86" s="33">
        <v>42651</v>
      </c>
      <c r="B86" s="5" t="s">
        <v>481</v>
      </c>
      <c r="C86" s="32" t="s">
        <v>4575</v>
      </c>
      <c r="D86" s="65">
        <v>1.6354166666666666E-2</v>
      </c>
      <c r="E86" t="s">
        <v>803</v>
      </c>
      <c r="F86" s="69" t="s">
        <v>5933</v>
      </c>
      <c r="I86" s="2"/>
      <c r="K86" s="82">
        <v>0.60229999999999995</v>
      </c>
    </row>
    <row r="87" spans="1:19" x14ac:dyDescent="0.2">
      <c r="A87" s="33">
        <v>42609</v>
      </c>
      <c r="B87" s="5" t="s">
        <v>481</v>
      </c>
      <c r="C87" s="32" t="s">
        <v>4575</v>
      </c>
      <c r="D87" s="65">
        <v>1.7476851851851851E-2</v>
      </c>
      <c r="E87" t="s">
        <v>803</v>
      </c>
      <c r="F87" s="69" t="s">
        <v>87</v>
      </c>
      <c r="I87" s="2"/>
      <c r="K87" s="82">
        <v>0.56359999999999999</v>
      </c>
    </row>
    <row r="88" spans="1:19" x14ac:dyDescent="0.2">
      <c r="A88" s="33">
        <v>42721</v>
      </c>
      <c r="B88" s="5" t="s">
        <v>3251</v>
      </c>
      <c r="C88" s="32" t="s">
        <v>3252</v>
      </c>
      <c r="D88" s="65">
        <v>1.8194444444444444E-2</v>
      </c>
      <c r="E88" s="5" t="s">
        <v>4727</v>
      </c>
      <c r="F88" s="108" t="s">
        <v>2660</v>
      </c>
      <c r="I88" s="2"/>
      <c r="K88" s="82">
        <v>0.73029999999999995</v>
      </c>
    </row>
    <row r="89" spans="1:19" x14ac:dyDescent="0.2">
      <c r="A89" s="33">
        <v>42714</v>
      </c>
      <c r="B89" s="5" t="s">
        <v>3251</v>
      </c>
      <c r="C89" s="32" t="s">
        <v>3252</v>
      </c>
      <c r="D89" s="65">
        <v>1.8090277777777778E-2</v>
      </c>
      <c r="E89" s="5" t="s">
        <v>4727</v>
      </c>
      <c r="F89" s="108" t="s">
        <v>3460</v>
      </c>
      <c r="I89" s="2"/>
      <c r="K89" s="82">
        <v>0.73450000000000004</v>
      </c>
    </row>
    <row r="90" spans="1:19" x14ac:dyDescent="0.2">
      <c r="A90" s="33">
        <v>42700</v>
      </c>
      <c r="B90" s="5" t="s">
        <v>3251</v>
      </c>
      <c r="C90" s="32" t="s">
        <v>3252</v>
      </c>
      <c r="D90" s="65">
        <v>1.8692129629629631E-2</v>
      </c>
      <c r="E90" s="5" t="s">
        <v>4727</v>
      </c>
      <c r="F90" s="69" t="s">
        <v>5623</v>
      </c>
      <c r="I90" s="2"/>
      <c r="K90" s="82">
        <v>0.71079999999999999</v>
      </c>
    </row>
    <row r="91" spans="1:19" x14ac:dyDescent="0.2">
      <c r="A91" s="33">
        <v>42686</v>
      </c>
      <c r="B91" s="5" t="s">
        <v>3251</v>
      </c>
      <c r="C91" s="32" t="s">
        <v>3252</v>
      </c>
      <c r="D91" s="65">
        <v>1.8715277777777779E-2</v>
      </c>
      <c r="E91" t="s">
        <v>4727</v>
      </c>
      <c r="F91" s="69" t="s">
        <v>1464</v>
      </c>
      <c r="I91" s="2"/>
      <c r="K91" s="82">
        <v>0.71</v>
      </c>
    </row>
    <row r="92" spans="1:19" x14ac:dyDescent="0.2">
      <c r="A92" s="33">
        <v>42644</v>
      </c>
      <c r="B92" s="5" t="s">
        <v>3251</v>
      </c>
      <c r="C92" s="32" t="s">
        <v>3252</v>
      </c>
      <c r="D92" s="65">
        <v>1.8379629629629628E-2</v>
      </c>
      <c r="E92" t="s">
        <v>4727</v>
      </c>
      <c r="F92" s="69" t="s">
        <v>2506</v>
      </c>
      <c r="I92" s="2"/>
      <c r="K92" s="82">
        <v>0.72289999999999999</v>
      </c>
    </row>
    <row r="93" spans="1:19" x14ac:dyDescent="0.2">
      <c r="A93" s="33">
        <v>42630</v>
      </c>
      <c r="B93" s="5" t="s">
        <v>3251</v>
      </c>
      <c r="C93" s="32" t="s">
        <v>3252</v>
      </c>
      <c r="D93" s="65">
        <v>1.7905092592592594E-2</v>
      </c>
      <c r="E93" t="s">
        <v>4727</v>
      </c>
      <c r="F93" s="69" t="s">
        <v>2607</v>
      </c>
      <c r="I93" s="2"/>
      <c r="K93" s="82">
        <v>0.74209999999999998</v>
      </c>
    </row>
    <row r="94" spans="1:19" x14ac:dyDescent="0.2">
      <c r="A94" s="33">
        <v>42623</v>
      </c>
      <c r="B94" s="5" t="s">
        <v>3251</v>
      </c>
      <c r="C94" s="32" t="s">
        <v>3252</v>
      </c>
      <c r="D94" s="65">
        <v>1.8298611111111113E-2</v>
      </c>
      <c r="E94" t="s">
        <v>4727</v>
      </c>
      <c r="F94" s="69" t="s">
        <v>343</v>
      </c>
      <c r="I94" s="2"/>
      <c r="K94" s="82">
        <v>0.72609999999999997</v>
      </c>
    </row>
    <row r="95" spans="1:19" x14ac:dyDescent="0.2">
      <c r="A95" s="33">
        <v>42609</v>
      </c>
      <c r="B95" s="5" t="s">
        <v>3251</v>
      </c>
      <c r="C95" s="32" t="s">
        <v>3252</v>
      </c>
      <c r="D95" s="65">
        <v>1.7777777777777778E-2</v>
      </c>
      <c r="E95" t="s">
        <v>4727</v>
      </c>
      <c r="F95" s="69" t="s">
        <v>84</v>
      </c>
      <c r="I95" s="2"/>
      <c r="K95" s="82">
        <v>0.74739999999999995</v>
      </c>
    </row>
    <row r="96" spans="1:19" x14ac:dyDescent="0.2">
      <c r="A96" s="33">
        <v>42595</v>
      </c>
      <c r="B96" s="5" t="s">
        <v>3251</v>
      </c>
      <c r="C96" s="32" t="s">
        <v>3252</v>
      </c>
      <c r="D96" s="65">
        <v>1.7766203703703704E-2</v>
      </c>
      <c r="E96" t="s">
        <v>4727</v>
      </c>
      <c r="F96" s="69" t="s">
        <v>2741</v>
      </c>
      <c r="I96" s="2"/>
      <c r="K96" s="82">
        <v>0.74790000000000001</v>
      </c>
    </row>
    <row r="97" spans="1:11" x14ac:dyDescent="0.2">
      <c r="A97" s="33">
        <v>42588</v>
      </c>
      <c r="B97" s="5" t="s">
        <v>3251</v>
      </c>
      <c r="C97" s="32" t="s">
        <v>3252</v>
      </c>
      <c r="D97" s="543">
        <v>1.8229166666666668E-2</v>
      </c>
      <c r="E97" s="5" t="s">
        <v>4727</v>
      </c>
      <c r="F97" s="108" t="s">
        <v>1335</v>
      </c>
      <c r="G97" s="5"/>
      <c r="H97" s="5"/>
      <c r="I97" s="2"/>
      <c r="J97" s="5"/>
      <c r="K97" s="85">
        <v>0.71870000000000001</v>
      </c>
    </row>
    <row r="98" spans="1:11" x14ac:dyDescent="0.2">
      <c r="A98" s="33">
        <v>42581</v>
      </c>
      <c r="B98" s="5" t="s">
        <v>3251</v>
      </c>
      <c r="C98" s="32" t="s">
        <v>3252</v>
      </c>
      <c r="D98" s="65">
        <v>1.8368055555555554E-2</v>
      </c>
      <c r="E98" t="s">
        <v>4727</v>
      </c>
      <c r="F98" s="69" t="s">
        <v>4086</v>
      </c>
      <c r="I98" s="2"/>
      <c r="K98" s="82">
        <v>0.71330000000000005</v>
      </c>
    </row>
    <row r="99" spans="1:11" x14ac:dyDescent="0.2">
      <c r="A99" s="33">
        <v>42567</v>
      </c>
      <c r="B99" s="5" t="s">
        <v>3251</v>
      </c>
      <c r="C99" s="32" t="s">
        <v>3252</v>
      </c>
      <c r="D99" s="65">
        <v>1.8298611111111113E-2</v>
      </c>
      <c r="E99" t="s">
        <v>2529</v>
      </c>
      <c r="F99" s="69" t="s">
        <v>4341</v>
      </c>
      <c r="I99" s="2"/>
      <c r="K99" s="82">
        <v>0.71599999999999997</v>
      </c>
    </row>
    <row r="100" spans="1:11" x14ac:dyDescent="0.2">
      <c r="A100" s="33">
        <v>42560</v>
      </c>
      <c r="B100" s="5" t="s">
        <v>3251</v>
      </c>
      <c r="C100" s="32" t="s">
        <v>3252</v>
      </c>
      <c r="D100" s="65">
        <v>1.8402777777777778E-2</v>
      </c>
      <c r="E100" t="s">
        <v>4727</v>
      </c>
      <c r="F100" s="69" t="s">
        <v>5746</v>
      </c>
      <c r="I100" s="2"/>
      <c r="K100" s="82">
        <v>0.71189999999999998</v>
      </c>
    </row>
    <row r="101" spans="1:11" x14ac:dyDescent="0.2">
      <c r="A101" s="33">
        <v>42525</v>
      </c>
      <c r="B101" s="5" t="s">
        <v>3251</v>
      </c>
      <c r="C101" s="32" t="s">
        <v>3252</v>
      </c>
      <c r="D101" s="543" t="s">
        <v>787</v>
      </c>
      <c r="E101" s="5" t="s">
        <v>4727</v>
      </c>
      <c r="F101" s="108" t="s">
        <v>2726</v>
      </c>
      <c r="G101" s="5"/>
      <c r="H101" s="5"/>
      <c r="I101" s="2"/>
      <c r="J101" s="5"/>
      <c r="K101" s="85"/>
    </row>
    <row r="102" spans="1:11" x14ac:dyDescent="0.2">
      <c r="A102" s="33">
        <v>42511</v>
      </c>
      <c r="B102" s="5" t="s">
        <v>3251</v>
      </c>
      <c r="C102" s="32" t="s">
        <v>3252</v>
      </c>
      <c r="D102" s="543">
        <v>1.7766203703703704E-2</v>
      </c>
      <c r="E102" s="5" t="s">
        <v>4727</v>
      </c>
      <c r="F102" s="108" t="s">
        <v>3516</v>
      </c>
      <c r="G102" s="5"/>
      <c r="H102" s="5"/>
      <c r="I102" s="2"/>
      <c r="J102" s="5"/>
      <c r="K102" s="85">
        <v>0.73750000000000004</v>
      </c>
    </row>
    <row r="103" spans="1:11" x14ac:dyDescent="0.2">
      <c r="A103" s="33">
        <v>42497</v>
      </c>
      <c r="B103" s="5" t="s">
        <v>3251</v>
      </c>
      <c r="C103" s="32" t="s">
        <v>3252</v>
      </c>
      <c r="D103" s="543">
        <v>1.8240740740740741E-2</v>
      </c>
      <c r="E103" s="5" t="s">
        <v>4727</v>
      </c>
      <c r="F103" s="108" t="s">
        <v>101</v>
      </c>
      <c r="G103" s="5"/>
      <c r="H103" s="5"/>
      <c r="I103" s="5"/>
      <c r="J103" s="5"/>
      <c r="K103" s="85">
        <v>0.71830000000000005</v>
      </c>
    </row>
    <row r="104" spans="1:11" x14ac:dyDescent="0.2">
      <c r="A104" s="33">
        <v>42462</v>
      </c>
      <c r="B104" t="s">
        <v>3251</v>
      </c>
      <c r="C104" s="1" t="s">
        <v>3252</v>
      </c>
      <c r="D104" s="65">
        <v>1.7569444444444447E-2</v>
      </c>
      <c r="E104" s="5" t="s">
        <v>1116</v>
      </c>
      <c r="F104" s="69" t="s">
        <v>576</v>
      </c>
      <c r="I104" s="2"/>
      <c r="K104" s="82">
        <v>0.74570000000000003</v>
      </c>
    </row>
    <row r="105" spans="1:11" x14ac:dyDescent="0.2">
      <c r="A105" s="33">
        <v>42455</v>
      </c>
      <c r="B105" t="s">
        <v>3251</v>
      </c>
      <c r="C105" s="1" t="s">
        <v>3252</v>
      </c>
      <c r="D105" s="65">
        <v>1.8090277777777778E-2</v>
      </c>
      <c r="E105" t="s">
        <v>4727</v>
      </c>
      <c r="F105" s="69" t="s">
        <v>5999</v>
      </c>
      <c r="I105" s="2"/>
      <c r="K105" s="82">
        <v>0.72419999999999995</v>
      </c>
    </row>
    <row r="106" spans="1:11" x14ac:dyDescent="0.2">
      <c r="A106" s="33">
        <v>42448</v>
      </c>
      <c r="B106" t="s">
        <v>3251</v>
      </c>
      <c r="C106" s="1" t="s">
        <v>3252</v>
      </c>
      <c r="D106" s="65">
        <v>1.8124999999999999E-2</v>
      </c>
      <c r="E106" t="s">
        <v>4727</v>
      </c>
      <c r="F106" s="69" t="s">
        <v>3258</v>
      </c>
      <c r="I106" s="2"/>
      <c r="K106" s="82">
        <v>0.72289999999999999</v>
      </c>
    </row>
    <row r="107" spans="1:11" x14ac:dyDescent="0.2">
      <c r="A107" s="33">
        <v>42427</v>
      </c>
      <c r="B107" s="5" t="s">
        <v>3251</v>
      </c>
      <c r="C107" s="32" t="s">
        <v>3252</v>
      </c>
      <c r="D107" s="65">
        <v>1.8090277777777778E-2</v>
      </c>
      <c r="E107" t="s">
        <v>4727</v>
      </c>
      <c r="F107" s="69" t="s">
        <v>4740</v>
      </c>
      <c r="I107" s="2"/>
      <c r="K107" s="82">
        <v>0.72719999999999996</v>
      </c>
    </row>
    <row r="108" spans="1:11" x14ac:dyDescent="0.2">
      <c r="A108" s="33">
        <v>42420</v>
      </c>
      <c r="B108" t="s">
        <v>3251</v>
      </c>
      <c r="C108" s="1" t="s">
        <v>3252</v>
      </c>
      <c r="D108" s="65">
        <v>1.8229166666666668E-2</v>
      </c>
      <c r="E108" t="s">
        <v>4727</v>
      </c>
      <c r="F108" s="69" t="s">
        <v>702</v>
      </c>
      <c r="I108" s="2"/>
      <c r="K108" s="82">
        <v>0.71870000000000001</v>
      </c>
    </row>
    <row r="109" spans="1:11" x14ac:dyDescent="0.2">
      <c r="A109" s="33">
        <v>42406</v>
      </c>
      <c r="B109" t="s">
        <v>3251</v>
      </c>
      <c r="C109" s="1" t="s">
        <v>3252</v>
      </c>
      <c r="D109" s="65">
        <v>2.4282407407407409E-2</v>
      </c>
      <c r="E109" t="s">
        <v>4727</v>
      </c>
      <c r="F109" s="97" t="s">
        <v>5081</v>
      </c>
      <c r="I109" s="2"/>
      <c r="K109" s="82">
        <v>0.53959999999999997</v>
      </c>
    </row>
    <row r="110" spans="1:11" x14ac:dyDescent="0.2">
      <c r="A110" s="33">
        <v>42399</v>
      </c>
      <c r="B110" t="s">
        <v>3251</v>
      </c>
      <c r="C110" s="1" t="s">
        <v>3252</v>
      </c>
      <c r="D110" s="65">
        <v>1.8460648148148146E-2</v>
      </c>
      <c r="E110" t="s">
        <v>4727</v>
      </c>
      <c r="F110" s="69"/>
      <c r="I110" s="2"/>
      <c r="K110" s="82">
        <v>0.7097</v>
      </c>
    </row>
    <row r="111" spans="1:11" x14ac:dyDescent="0.2">
      <c r="A111" s="33">
        <v>42378</v>
      </c>
      <c r="B111" t="s">
        <v>3251</v>
      </c>
      <c r="C111" s="1" t="s">
        <v>3252</v>
      </c>
      <c r="D111" s="544">
        <v>1.8078703703703704E-2</v>
      </c>
      <c r="E111" s="407" t="s">
        <v>5095</v>
      </c>
      <c r="F111" s="545" t="s">
        <v>578</v>
      </c>
      <c r="G111" s="407"/>
      <c r="H111" s="407"/>
      <c r="I111" s="348"/>
      <c r="J111" s="407"/>
      <c r="K111" s="546">
        <v>0.72470000000000001</v>
      </c>
    </row>
    <row r="112" spans="1:11" x14ac:dyDescent="0.2">
      <c r="A112" s="33">
        <v>42371</v>
      </c>
      <c r="B112" t="s">
        <v>3251</v>
      </c>
      <c r="C112" s="1" t="s">
        <v>3252</v>
      </c>
      <c r="D112" s="65">
        <v>1.8483796296296297E-2</v>
      </c>
      <c r="E112" s="5" t="s">
        <v>4727</v>
      </c>
      <c r="F112" s="69" t="s">
        <v>1683</v>
      </c>
      <c r="K112" s="82">
        <v>0.70879999999999999</v>
      </c>
    </row>
    <row r="113" spans="1:19" x14ac:dyDescent="0.2">
      <c r="A113" s="33">
        <v>42370</v>
      </c>
      <c r="B113" t="s">
        <v>3251</v>
      </c>
      <c r="C113" s="1" t="s">
        <v>3252</v>
      </c>
      <c r="D113" s="65">
        <v>1.8078703703703704E-2</v>
      </c>
      <c r="E113" s="5" t="s">
        <v>5095</v>
      </c>
      <c r="F113" s="108"/>
      <c r="G113" s="5"/>
      <c r="H113" s="2"/>
      <c r="I113" s="2"/>
      <c r="K113" s="82">
        <v>0.72470000000000001</v>
      </c>
    </row>
    <row r="114" spans="1:19" x14ac:dyDescent="0.2">
      <c r="A114" s="33">
        <v>42370</v>
      </c>
      <c r="B114" t="s">
        <v>3251</v>
      </c>
      <c r="C114" s="1" t="s">
        <v>3252</v>
      </c>
      <c r="D114" s="65">
        <v>1.8726851851851852E-2</v>
      </c>
      <c r="E114" s="5" t="s">
        <v>3072</v>
      </c>
      <c r="F114" s="108"/>
      <c r="G114" s="5"/>
      <c r="H114" s="2"/>
      <c r="I114" s="2"/>
      <c r="K114" s="82">
        <v>0.6996</v>
      </c>
    </row>
    <row r="115" spans="1:19" x14ac:dyDescent="0.2">
      <c r="A115" s="33">
        <v>42679</v>
      </c>
      <c r="B115" s="5" t="s">
        <v>3251</v>
      </c>
      <c r="C115" s="32" t="s">
        <v>619</v>
      </c>
      <c r="D115" s="65">
        <v>1.8726851851851852E-2</v>
      </c>
      <c r="E115" t="s">
        <v>4727</v>
      </c>
      <c r="F115" s="69" t="s">
        <v>620</v>
      </c>
      <c r="I115" s="2"/>
      <c r="K115" s="82">
        <v>0.70950000000000002</v>
      </c>
    </row>
    <row r="116" spans="1:19" x14ac:dyDescent="0.2">
      <c r="A116" s="33">
        <v>42735</v>
      </c>
      <c r="B116" s="80" t="s">
        <v>4264</v>
      </c>
      <c r="C116" s="334" t="s">
        <v>5239</v>
      </c>
      <c r="D116" s="65">
        <v>1.5763888888888886E-2</v>
      </c>
      <c r="E116" s="80" t="s">
        <v>5198</v>
      </c>
      <c r="F116" s="69" t="s">
        <v>6184</v>
      </c>
      <c r="I116" s="2"/>
      <c r="K116" s="82">
        <v>0.76729999999999998</v>
      </c>
    </row>
    <row r="117" spans="1:19" x14ac:dyDescent="0.2">
      <c r="A117" s="33">
        <v>42679</v>
      </c>
      <c r="B117" s="5" t="s">
        <v>4264</v>
      </c>
      <c r="C117" s="32" t="s">
        <v>5239</v>
      </c>
      <c r="D117" s="65">
        <v>1.5740740740740743E-2</v>
      </c>
      <c r="E117" t="s">
        <v>2431</v>
      </c>
      <c r="F117" s="69" t="s">
        <v>1520</v>
      </c>
      <c r="I117" s="2"/>
      <c r="K117" s="82">
        <v>0.76839999999999997</v>
      </c>
    </row>
    <row r="118" spans="1:19" x14ac:dyDescent="0.2">
      <c r="A118" s="33">
        <v>42672</v>
      </c>
      <c r="B118" s="197" t="s">
        <v>4264</v>
      </c>
      <c r="C118" s="265" t="s">
        <v>5239</v>
      </c>
      <c r="D118" s="65">
        <v>1.5972222222222224E-2</v>
      </c>
      <c r="E118" t="s">
        <v>2431</v>
      </c>
      <c r="F118" s="69" t="s">
        <v>4168</v>
      </c>
      <c r="I118" s="2"/>
      <c r="K118" s="82">
        <v>0.75719999999999998</v>
      </c>
    </row>
    <row r="119" spans="1:19" x14ac:dyDescent="0.2">
      <c r="A119" s="33">
        <v>42665</v>
      </c>
      <c r="B119" s="197" t="s">
        <v>4264</v>
      </c>
      <c r="C119" s="265" t="s">
        <v>5239</v>
      </c>
      <c r="D119" s="65">
        <v>1.6284722222222221E-2</v>
      </c>
      <c r="E119" t="s">
        <v>2431</v>
      </c>
      <c r="F119" s="108" t="s">
        <v>4955</v>
      </c>
      <c r="G119" s="5"/>
      <c r="I119" s="2"/>
      <c r="K119" s="82">
        <v>0.74270000000000003</v>
      </c>
      <c r="S119" s="80"/>
    </row>
    <row r="120" spans="1:19" x14ac:dyDescent="0.2">
      <c r="A120" s="33">
        <v>42644</v>
      </c>
      <c r="B120" s="197" t="s">
        <v>4264</v>
      </c>
      <c r="C120" s="265" t="s">
        <v>5239</v>
      </c>
      <c r="D120" s="65">
        <v>1.5358796296296296E-2</v>
      </c>
      <c r="E120" t="s">
        <v>2431</v>
      </c>
      <c r="F120" s="69" t="s">
        <v>4612</v>
      </c>
      <c r="I120" s="2"/>
      <c r="K120" s="82">
        <v>0.78749999999999998</v>
      </c>
    </row>
    <row r="121" spans="1:19" x14ac:dyDescent="0.2">
      <c r="A121" s="33">
        <v>42630</v>
      </c>
      <c r="B121" s="197" t="s">
        <v>4264</v>
      </c>
      <c r="C121" s="265" t="s">
        <v>5239</v>
      </c>
      <c r="D121" s="65">
        <v>1.4930555555555556E-2</v>
      </c>
      <c r="E121" t="s">
        <v>2431</v>
      </c>
      <c r="F121" s="69" t="s">
        <v>2772</v>
      </c>
      <c r="I121" s="2"/>
      <c r="K121" s="82">
        <v>0.81010000000000004</v>
      </c>
    </row>
    <row r="122" spans="1:19" x14ac:dyDescent="0.2">
      <c r="A122" s="33">
        <v>42609</v>
      </c>
      <c r="B122" s="197" t="s">
        <v>4264</v>
      </c>
      <c r="C122" s="265" t="s">
        <v>5239</v>
      </c>
      <c r="D122" s="65">
        <v>1.4814814814814814E-2</v>
      </c>
      <c r="E122" t="s">
        <v>2431</v>
      </c>
      <c r="F122" s="69" t="s">
        <v>1537</v>
      </c>
      <c r="I122" s="2"/>
      <c r="K122" s="82">
        <v>0.81640000000000001</v>
      </c>
    </row>
    <row r="123" spans="1:19" x14ac:dyDescent="0.2">
      <c r="A123" s="33">
        <v>42602</v>
      </c>
      <c r="B123" s="197" t="s">
        <v>4264</v>
      </c>
      <c r="C123" s="265" t="s">
        <v>5239</v>
      </c>
      <c r="D123" s="65">
        <v>1.5231481481481483E-2</v>
      </c>
      <c r="E123" s="5" t="s">
        <v>2431</v>
      </c>
      <c r="F123" s="108" t="s">
        <v>3004</v>
      </c>
      <c r="G123" s="5"/>
      <c r="I123" s="2"/>
      <c r="K123" s="82">
        <v>0.79410000000000003</v>
      </c>
    </row>
    <row r="124" spans="1:19" x14ac:dyDescent="0.2">
      <c r="A124" s="33">
        <v>42581</v>
      </c>
      <c r="B124" s="197" t="s">
        <v>4264</v>
      </c>
      <c r="C124" s="265" t="s">
        <v>5239</v>
      </c>
      <c r="D124" s="65">
        <v>1.4618055555555556E-2</v>
      </c>
      <c r="E124" t="s">
        <v>2431</v>
      </c>
      <c r="F124" s="69" t="s">
        <v>876</v>
      </c>
      <c r="I124" s="2"/>
      <c r="K124" s="82">
        <v>0.82740000000000002</v>
      </c>
    </row>
    <row r="125" spans="1:19" x14ac:dyDescent="0.2">
      <c r="A125" s="33">
        <v>42574</v>
      </c>
      <c r="B125" s="197" t="s">
        <v>4264</v>
      </c>
      <c r="C125" s="265" t="s">
        <v>5239</v>
      </c>
      <c r="D125" s="65">
        <v>1.5023148148148148E-2</v>
      </c>
      <c r="E125" t="s">
        <v>2431</v>
      </c>
      <c r="F125" s="69" t="s">
        <v>3780</v>
      </c>
      <c r="I125" s="2"/>
      <c r="K125" s="82">
        <v>0.80510000000000004</v>
      </c>
    </row>
    <row r="126" spans="1:19" x14ac:dyDescent="0.2">
      <c r="A126" s="33">
        <v>42553</v>
      </c>
      <c r="B126" s="197" t="s">
        <v>4264</v>
      </c>
      <c r="C126" s="265" t="s">
        <v>5239</v>
      </c>
      <c r="D126" s="65">
        <v>1.5023148148148148E-2</v>
      </c>
      <c r="E126" t="s">
        <v>2431</v>
      </c>
      <c r="F126" s="69" t="s">
        <v>4495</v>
      </c>
      <c r="I126" s="2"/>
      <c r="K126" s="82">
        <v>0.80510000000000004</v>
      </c>
    </row>
    <row r="127" spans="1:19" x14ac:dyDescent="0.2">
      <c r="A127" s="33">
        <v>42546</v>
      </c>
      <c r="B127" s="197" t="s">
        <v>4264</v>
      </c>
      <c r="C127" s="265" t="s">
        <v>5239</v>
      </c>
      <c r="D127" s="65">
        <v>1.5497685185185186E-2</v>
      </c>
      <c r="E127" t="s">
        <v>6021</v>
      </c>
      <c r="F127" s="69" t="s">
        <v>4895</v>
      </c>
      <c r="I127" s="2"/>
      <c r="K127" s="82">
        <v>0.78039999999999998</v>
      </c>
    </row>
    <row r="128" spans="1:19" x14ac:dyDescent="0.2">
      <c r="A128" s="33">
        <v>42539</v>
      </c>
      <c r="B128" s="197" t="s">
        <v>4264</v>
      </c>
      <c r="C128" s="265" t="s">
        <v>5239</v>
      </c>
      <c r="D128" s="65">
        <v>1.5636574074074074E-2</v>
      </c>
      <c r="E128" s="5" t="s">
        <v>2431</v>
      </c>
      <c r="F128" s="69" t="s">
        <v>4645</v>
      </c>
      <c r="I128" s="2"/>
      <c r="K128" s="82">
        <v>0.77349999999999997</v>
      </c>
    </row>
    <row r="129" spans="1:27" x14ac:dyDescent="0.2">
      <c r="A129" s="33">
        <v>42525</v>
      </c>
      <c r="B129" s="197" t="s">
        <v>4264</v>
      </c>
      <c r="C129" s="265" t="s">
        <v>5239</v>
      </c>
      <c r="D129" s="543">
        <v>1.5381944444444443E-2</v>
      </c>
      <c r="E129" s="5" t="s">
        <v>2431</v>
      </c>
      <c r="F129" s="108" t="s">
        <v>1102</v>
      </c>
      <c r="G129" s="5"/>
      <c r="H129" s="5"/>
      <c r="I129" s="2"/>
      <c r="J129" s="5"/>
      <c r="K129" s="85">
        <v>0.77580000000000005</v>
      </c>
    </row>
    <row r="130" spans="1:27" x14ac:dyDescent="0.2">
      <c r="A130" s="33">
        <v>42518</v>
      </c>
      <c r="B130" s="197" t="s">
        <v>4264</v>
      </c>
      <c r="C130" s="265" t="s">
        <v>5239</v>
      </c>
      <c r="D130" s="543">
        <v>1.5138888888888889E-2</v>
      </c>
      <c r="E130" s="5" t="s">
        <v>927</v>
      </c>
      <c r="F130" s="108" t="s">
        <v>5777</v>
      </c>
      <c r="G130" s="5"/>
      <c r="H130" s="5"/>
      <c r="I130" s="2"/>
      <c r="J130" s="5"/>
      <c r="K130" s="85">
        <v>0.78820000000000001</v>
      </c>
    </row>
    <row r="131" spans="1:27" x14ac:dyDescent="0.2">
      <c r="A131" s="33">
        <v>42511</v>
      </c>
      <c r="B131" s="197" t="s">
        <v>4264</v>
      </c>
      <c r="C131" s="265" t="s">
        <v>5239</v>
      </c>
      <c r="D131" s="543">
        <v>1.9340277777777779E-2</v>
      </c>
      <c r="E131" s="5" t="s">
        <v>527</v>
      </c>
      <c r="F131" s="108" t="s">
        <v>2660</v>
      </c>
      <c r="G131" s="5"/>
      <c r="H131" s="5"/>
      <c r="I131" s="2"/>
      <c r="J131" s="5"/>
      <c r="K131" s="85">
        <v>0.61699999999999999</v>
      </c>
    </row>
    <row r="132" spans="1:27" x14ac:dyDescent="0.2">
      <c r="A132" s="33">
        <v>42490</v>
      </c>
      <c r="B132" s="197" t="s">
        <v>4264</v>
      </c>
      <c r="C132" s="265" t="s">
        <v>5239</v>
      </c>
      <c r="D132" s="543">
        <v>1.5162037037037036E-2</v>
      </c>
      <c r="E132" s="5" t="s">
        <v>2431</v>
      </c>
      <c r="F132" s="108" t="s">
        <v>3780</v>
      </c>
      <c r="G132" s="5"/>
      <c r="H132" s="5"/>
      <c r="I132" s="5"/>
      <c r="J132" s="5"/>
      <c r="K132" s="85">
        <v>0.78700000000000003</v>
      </c>
    </row>
    <row r="133" spans="1:27" x14ac:dyDescent="0.2">
      <c r="A133" s="33">
        <v>42483</v>
      </c>
      <c r="B133" s="197" t="s">
        <v>4264</v>
      </c>
      <c r="C133" s="265" t="s">
        <v>5239</v>
      </c>
      <c r="D133" s="543">
        <v>1.5231481481481483E-2</v>
      </c>
      <c r="E133" s="5" t="s">
        <v>2431</v>
      </c>
      <c r="F133" s="108" t="s">
        <v>6011</v>
      </c>
      <c r="G133" s="5"/>
      <c r="H133" s="5"/>
      <c r="I133" s="2"/>
      <c r="J133" s="5"/>
      <c r="K133" s="85">
        <v>0.78339999999999999</v>
      </c>
    </row>
    <row r="134" spans="1:27" x14ac:dyDescent="0.2">
      <c r="A134" s="33">
        <v>42476</v>
      </c>
      <c r="B134" s="197" t="s">
        <v>4264</v>
      </c>
      <c r="C134" s="265" t="s">
        <v>5239</v>
      </c>
      <c r="D134" s="65">
        <v>1.556712962962963E-2</v>
      </c>
      <c r="E134" s="5" t="s">
        <v>2431</v>
      </c>
      <c r="F134" s="69" t="s">
        <v>4402</v>
      </c>
      <c r="I134" s="2"/>
      <c r="K134" s="82">
        <v>0.76649999999999996</v>
      </c>
    </row>
    <row r="135" spans="1:27" x14ac:dyDescent="0.2">
      <c r="A135" s="33">
        <v>42455</v>
      </c>
      <c r="B135" s="197" t="s">
        <v>4264</v>
      </c>
      <c r="C135" s="265" t="s">
        <v>5239</v>
      </c>
      <c r="D135" s="65">
        <v>1.5659722222222224E-2</v>
      </c>
      <c r="E135" s="5" t="s">
        <v>2431</v>
      </c>
      <c r="F135" s="108" t="s">
        <v>4653</v>
      </c>
      <c r="G135" s="5"/>
      <c r="H135" s="2"/>
      <c r="I135" s="2"/>
      <c r="K135" s="82">
        <v>0.76200000000000001</v>
      </c>
    </row>
    <row r="136" spans="1:27" x14ac:dyDescent="0.2">
      <c r="A136" s="33">
        <v>42448</v>
      </c>
      <c r="B136" s="197" t="s">
        <v>4264</v>
      </c>
      <c r="C136" s="265" t="s">
        <v>5239</v>
      </c>
      <c r="D136" s="65">
        <v>1.5162037037037036E-2</v>
      </c>
      <c r="E136" t="s">
        <v>2431</v>
      </c>
      <c r="F136" s="69" t="s">
        <v>3261</v>
      </c>
      <c r="I136" s="2"/>
      <c r="K136" s="82">
        <v>0.78700000000000003</v>
      </c>
      <c r="S136" s="80"/>
    </row>
    <row r="137" spans="1:27" x14ac:dyDescent="0.2">
      <c r="A137" s="33">
        <v>42427</v>
      </c>
      <c r="B137" s="197" t="s">
        <v>4264</v>
      </c>
      <c r="C137" s="265" t="s">
        <v>5239</v>
      </c>
      <c r="D137" s="65">
        <v>1.5405092592592593E-2</v>
      </c>
      <c r="E137" s="5" t="s">
        <v>3658</v>
      </c>
      <c r="F137" s="69" t="s">
        <v>3659</v>
      </c>
      <c r="G137" t="s">
        <v>3564</v>
      </c>
      <c r="I137" s="2"/>
      <c r="K137" s="82">
        <v>0.77459999999999996</v>
      </c>
    </row>
    <row r="138" spans="1:27" x14ac:dyDescent="0.2">
      <c r="A138" s="33">
        <v>42420</v>
      </c>
      <c r="B138" s="197" t="s">
        <v>4264</v>
      </c>
      <c r="C138" s="265" t="s">
        <v>5239</v>
      </c>
      <c r="D138" s="65">
        <v>1.7083333333333336E-2</v>
      </c>
      <c r="E138" t="s">
        <v>5948</v>
      </c>
      <c r="F138" s="69" t="s">
        <v>701</v>
      </c>
      <c r="I138" s="2"/>
      <c r="K138" s="82">
        <v>0.69850000000000001</v>
      </c>
    </row>
    <row r="139" spans="1:27" x14ac:dyDescent="0.2">
      <c r="A139" s="33">
        <v>42413</v>
      </c>
      <c r="B139" s="197" t="s">
        <v>4264</v>
      </c>
      <c r="C139" s="265" t="s">
        <v>5239</v>
      </c>
      <c r="D139" s="65">
        <v>1.5752314814814813E-2</v>
      </c>
      <c r="E139" t="s">
        <v>5948</v>
      </c>
      <c r="F139" s="69" t="s">
        <v>3625</v>
      </c>
      <c r="I139" s="2"/>
      <c r="K139" s="82">
        <v>0.75749999999999995</v>
      </c>
    </row>
    <row r="140" spans="1:27" x14ac:dyDescent="0.2">
      <c r="A140" s="33">
        <v>42392</v>
      </c>
      <c r="B140" s="197" t="s">
        <v>4264</v>
      </c>
      <c r="C140" s="265" t="s">
        <v>5239</v>
      </c>
      <c r="D140" s="65">
        <v>1.5613425925925926E-2</v>
      </c>
      <c r="E140" t="s">
        <v>5948</v>
      </c>
      <c r="F140" s="69" t="s">
        <v>2629</v>
      </c>
      <c r="I140" s="2"/>
      <c r="K140" s="82">
        <v>0.76429999999999998</v>
      </c>
      <c r="AA140" s="41"/>
    </row>
    <row r="141" spans="1:27" x14ac:dyDescent="0.2">
      <c r="A141" s="33">
        <v>42385</v>
      </c>
      <c r="B141" s="197" t="s">
        <v>4264</v>
      </c>
      <c r="C141" s="265" t="s">
        <v>5239</v>
      </c>
      <c r="D141" s="65">
        <v>1.5983796296296295E-2</v>
      </c>
      <c r="E141" t="s">
        <v>5948</v>
      </c>
      <c r="F141" s="69" t="s">
        <v>165</v>
      </c>
      <c r="I141" s="2"/>
      <c r="K141" s="82">
        <v>0.74660000000000004</v>
      </c>
    </row>
    <row r="142" spans="1:27" x14ac:dyDescent="0.2">
      <c r="A142" s="33">
        <v>42378</v>
      </c>
      <c r="B142" s="197" t="s">
        <v>4264</v>
      </c>
      <c r="C142" s="265" t="s">
        <v>5239</v>
      </c>
      <c r="D142" s="544">
        <v>1.6157407407407409E-2</v>
      </c>
      <c r="E142" s="407" t="s">
        <v>5948</v>
      </c>
      <c r="F142" s="69" t="s">
        <v>2776</v>
      </c>
      <c r="G142" s="42"/>
      <c r="H142" s="42"/>
      <c r="I142" s="348"/>
      <c r="J142" s="407"/>
      <c r="K142" s="546">
        <v>0.73850000000000005</v>
      </c>
    </row>
    <row r="143" spans="1:27" x14ac:dyDescent="0.2">
      <c r="A143" s="523">
        <v>42728</v>
      </c>
      <c r="B143" s="80" t="s">
        <v>435</v>
      </c>
      <c r="C143" s="334" t="s">
        <v>436</v>
      </c>
      <c r="D143" s="65">
        <v>2.372685185185185E-2</v>
      </c>
      <c r="E143" s="80" t="s">
        <v>5653</v>
      </c>
      <c r="F143" s="69" t="s">
        <v>5728</v>
      </c>
      <c r="I143" s="2"/>
      <c r="K143" s="82">
        <v>0.5454</v>
      </c>
    </row>
    <row r="144" spans="1:27" x14ac:dyDescent="0.2">
      <c r="A144" s="33">
        <v>42714</v>
      </c>
      <c r="B144" s="5" t="s">
        <v>435</v>
      </c>
      <c r="C144" s="32" t="s">
        <v>436</v>
      </c>
      <c r="D144" s="65">
        <v>2.3321759259259261E-2</v>
      </c>
      <c r="E144" s="5" t="s">
        <v>1401</v>
      </c>
      <c r="F144" s="108" t="s">
        <v>5418</v>
      </c>
      <c r="I144" s="2"/>
      <c r="K144" s="82">
        <v>0.55479999999999996</v>
      </c>
    </row>
    <row r="145" spans="1:11" x14ac:dyDescent="0.2">
      <c r="A145" s="33">
        <v>42700</v>
      </c>
      <c r="B145" s="5" t="s">
        <v>435</v>
      </c>
      <c r="C145" s="32" t="s">
        <v>436</v>
      </c>
      <c r="D145" s="65">
        <v>2.238425925925926E-2</v>
      </c>
      <c r="E145" s="5" t="s">
        <v>5653</v>
      </c>
      <c r="F145" s="69" t="s">
        <v>6069</v>
      </c>
      <c r="I145" s="2"/>
      <c r="K145" s="82">
        <v>0.57809999999999995</v>
      </c>
    </row>
    <row r="146" spans="1:11" x14ac:dyDescent="0.2">
      <c r="A146" s="33">
        <v>42693</v>
      </c>
      <c r="B146" s="5" t="s">
        <v>435</v>
      </c>
      <c r="C146" s="32" t="s">
        <v>436</v>
      </c>
      <c r="D146" s="65">
        <v>2.2881944444444444E-2</v>
      </c>
      <c r="E146" s="5" t="s">
        <v>5653</v>
      </c>
      <c r="F146" s="69"/>
      <c r="I146" s="2"/>
      <c r="K146" s="82">
        <v>0.5655</v>
      </c>
    </row>
    <row r="147" spans="1:11" x14ac:dyDescent="0.2">
      <c r="A147" s="33">
        <v>42679</v>
      </c>
      <c r="B147" s="5" t="s">
        <v>435</v>
      </c>
      <c r="C147" s="32" t="s">
        <v>436</v>
      </c>
      <c r="D147" s="65">
        <v>2.2824074074074076E-2</v>
      </c>
      <c r="E147" t="s">
        <v>5095</v>
      </c>
      <c r="F147" s="69" t="s">
        <v>611</v>
      </c>
      <c r="I147" s="2"/>
      <c r="K147" s="82">
        <v>0.56689999999999996</v>
      </c>
    </row>
    <row r="148" spans="1:11" x14ac:dyDescent="0.2">
      <c r="A148" s="33">
        <v>42672</v>
      </c>
      <c r="B148" s="5" t="s">
        <v>435</v>
      </c>
      <c r="C148" s="32" t="s">
        <v>436</v>
      </c>
      <c r="D148" s="65">
        <v>2.2511574074074073E-2</v>
      </c>
      <c r="E148" t="s">
        <v>5653</v>
      </c>
      <c r="F148" s="69" t="s">
        <v>5766</v>
      </c>
      <c r="I148" s="2"/>
      <c r="K148" s="82">
        <v>0.57479999999999998</v>
      </c>
    </row>
    <row r="149" spans="1:11" x14ac:dyDescent="0.2">
      <c r="A149" s="33">
        <v>42644</v>
      </c>
      <c r="B149" s="5" t="s">
        <v>435</v>
      </c>
      <c r="C149" s="32" t="s">
        <v>436</v>
      </c>
      <c r="D149" s="65">
        <v>2.2164351851851852E-2</v>
      </c>
      <c r="E149" t="s">
        <v>5653</v>
      </c>
      <c r="F149" s="69" t="s">
        <v>3059</v>
      </c>
      <c r="I149" s="2"/>
      <c r="K149" s="82">
        <v>0.58379999999999999</v>
      </c>
    </row>
    <row r="150" spans="1:11" x14ac:dyDescent="0.2">
      <c r="A150" s="33">
        <v>42637</v>
      </c>
      <c r="B150" s="5" t="s">
        <v>435</v>
      </c>
      <c r="C150" s="32" t="s">
        <v>436</v>
      </c>
      <c r="D150" s="65">
        <v>2.2650462962962966E-2</v>
      </c>
      <c r="E150" t="s">
        <v>5653</v>
      </c>
      <c r="F150" s="69" t="s">
        <v>2724</v>
      </c>
      <c r="I150" s="2"/>
      <c r="K150" s="82">
        <v>0.57130000000000003</v>
      </c>
    </row>
    <row r="151" spans="1:11" x14ac:dyDescent="0.2">
      <c r="A151" s="33">
        <v>42630</v>
      </c>
      <c r="B151" s="5" t="s">
        <v>435</v>
      </c>
      <c r="C151" s="32" t="s">
        <v>436</v>
      </c>
      <c r="D151" s="65">
        <v>2.255787037037037E-2</v>
      </c>
      <c r="E151" t="s">
        <v>5653</v>
      </c>
      <c r="F151" s="69" t="s">
        <v>2459</v>
      </c>
      <c r="I151" s="2"/>
      <c r="K151" s="82">
        <v>0.5736</v>
      </c>
    </row>
    <row r="152" spans="1:11" x14ac:dyDescent="0.2">
      <c r="A152" s="33">
        <v>42616</v>
      </c>
      <c r="B152" s="5" t="s">
        <v>435</v>
      </c>
      <c r="C152" s="32" t="s">
        <v>436</v>
      </c>
      <c r="D152" s="65">
        <v>2.3854166666666666E-2</v>
      </c>
      <c r="E152" t="s">
        <v>5095</v>
      </c>
      <c r="F152" s="69" t="s">
        <v>1917</v>
      </c>
      <c r="I152" s="2"/>
      <c r="K152" s="82">
        <v>0.54249999999999998</v>
      </c>
    </row>
    <row r="153" spans="1:11" x14ac:dyDescent="0.2">
      <c r="A153" s="33">
        <v>42609</v>
      </c>
      <c r="B153" s="5" t="s">
        <v>435</v>
      </c>
      <c r="C153" s="32" t="s">
        <v>436</v>
      </c>
      <c r="D153" s="65">
        <v>2.361111111111111E-2</v>
      </c>
      <c r="E153" t="s">
        <v>5653</v>
      </c>
      <c r="F153" s="69" t="s">
        <v>327</v>
      </c>
      <c r="I153" s="2"/>
      <c r="K153" s="82">
        <v>0.54800000000000004</v>
      </c>
    </row>
    <row r="154" spans="1:11" x14ac:dyDescent="0.2">
      <c r="A154" s="33">
        <v>42595</v>
      </c>
      <c r="B154" s="5" t="s">
        <v>435</v>
      </c>
      <c r="C154" s="32" t="s">
        <v>436</v>
      </c>
      <c r="D154" s="65">
        <v>2.3993055555555556E-2</v>
      </c>
      <c r="E154" t="s">
        <v>1401</v>
      </c>
      <c r="F154" s="69" t="s">
        <v>1441</v>
      </c>
      <c r="I154" s="2"/>
      <c r="K154" s="82">
        <v>0.5393</v>
      </c>
    </row>
    <row r="155" spans="1:11" x14ac:dyDescent="0.2">
      <c r="A155" s="33">
        <v>42588</v>
      </c>
      <c r="B155" s="5" t="s">
        <v>435</v>
      </c>
      <c r="C155" s="32" t="s">
        <v>436</v>
      </c>
      <c r="D155" s="543">
        <v>2.4432870370370369E-2</v>
      </c>
      <c r="E155" s="5" t="s">
        <v>5653</v>
      </c>
      <c r="F155" s="108" t="s">
        <v>5849</v>
      </c>
      <c r="G155" s="5"/>
      <c r="H155" s="5"/>
      <c r="I155" s="2"/>
      <c r="J155" s="5"/>
      <c r="K155" s="85">
        <v>0.52959999999999996</v>
      </c>
    </row>
    <row r="156" spans="1:11" x14ac:dyDescent="0.2">
      <c r="A156" s="33">
        <v>42567</v>
      </c>
      <c r="B156" s="5" t="s">
        <v>435</v>
      </c>
      <c r="C156" s="32" t="s">
        <v>436</v>
      </c>
      <c r="D156" s="65">
        <v>2.4641203703703703E-2</v>
      </c>
      <c r="E156" t="s">
        <v>5095</v>
      </c>
      <c r="F156" s="69" t="s">
        <v>4331</v>
      </c>
      <c r="I156" s="2"/>
      <c r="K156" s="82">
        <v>0.52510000000000001</v>
      </c>
    </row>
    <row r="157" spans="1:11" x14ac:dyDescent="0.2">
      <c r="A157" s="33">
        <v>42553</v>
      </c>
      <c r="B157" s="5" t="s">
        <v>435</v>
      </c>
      <c r="C157" s="32" t="s">
        <v>436</v>
      </c>
      <c r="D157" s="65">
        <v>2.3796296296296298E-2</v>
      </c>
      <c r="E157" t="s">
        <v>5653</v>
      </c>
      <c r="F157" s="69" t="s">
        <v>753</v>
      </c>
      <c r="I157" s="2"/>
      <c r="K157" s="82">
        <v>0.54379999999999995</v>
      </c>
    </row>
    <row r="158" spans="1:11" x14ac:dyDescent="0.2">
      <c r="A158" s="33">
        <v>42546</v>
      </c>
      <c r="B158" s="5" t="s">
        <v>435</v>
      </c>
      <c r="C158" s="32" t="s">
        <v>436</v>
      </c>
      <c r="D158" s="65">
        <v>2.3217592592592592E-2</v>
      </c>
      <c r="E158" t="s">
        <v>5653</v>
      </c>
      <c r="F158" s="69" t="s">
        <v>1223</v>
      </c>
      <c r="I158" s="2"/>
      <c r="K158" s="82">
        <v>0.55730000000000002</v>
      </c>
    </row>
    <row r="159" spans="1:11" x14ac:dyDescent="0.2">
      <c r="A159" s="33">
        <v>42539</v>
      </c>
      <c r="B159" s="5" t="s">
        <v>435</v>
      </c>
      <c r="C159" s="32" t="s">
        <v>436</v>
      </c>
      <c r="D159" s="65">
        <v>2.4201388888888887E-2</v>
      </c>
      <c r="E159" t="s">
        <v>5095</v>
      </c>
      <c r="F159" s="69"/>
      <c r="I159" s="2"/>
      <c r="K159" s="82">
        <v>0.53469999999999995</v>
      </c>
    </row>
    <row r="160" spans="1:11" x14ac:dyDescent="0.2">
      <c r="A160" s="33">
        <v>42532</v>
      </c>
      <c r="B160" s="5" t="s">
        <v>435</v>
      </c>
      <c r="C160" s="32" t="s">
        <v>436</v>
      </c>
      <c r="D160" s="65">
        <v>2.3460648148148147E-2</v>
      </c>
      <c r="E160" t="s">
        <v>5653</v>
      </c>
      <c r="F160" s="69" t="s">
        <v>1341</v>
      </c>
      <c r="I160" s="2"/>
      <c r="K160" s="82">
        <v>0.55159999999999998</v>
      </c>
    </row>
    <row r="161" spans="1:27" x14ac:dyDescent="0.2">
      <c r="A161" s="33">
        <v>42518</v>
      </c>
      <c r="B161" s="5" t="s">
        <v>435</v>
      </c>
      <c r="C161" s="32" t="s">
        <v>436</v>
      </c>
      <c r="D161" s="543">
        <v>2.3715277777777776E-2</v>
      </c>
      <c r="E161" s="5" t="s">
        <v>5653</v>
      </c>
      <c r="F161" s="108" t="s">
        <v>3787</v>
      </c>
      <c r="G161" s="5"/>
      <c r="H161" s="5"/>
      <c r="I161" s="2"/>
      <c r="J161" s="5"/>
      <c r="K161" s="85">
        <v>0.54559999999999997</v>
      </c>
    </row>
    <row r="162" spans="1:27" x14ac:dyDescent="0.2">
      <c r="A162" s="33">
        <v>42511</v>
      </c>
      <c r="B162" s="5" t="s">
        <v>435</v>
      </c>
      <c r="C162" s="32" t="s">
        <v>436</v>
      </c>
      <c r="D162" s="543">
        <v>2.3622685185185188E-2</v>
      </c>
      <c r="E162" s="5" t="s">
        <v>5653</v>
      </c>
      <c r="F162" s="108" t="s">
        <v>3028</v>
      </c>
      <c r="G162" s="5"/>
      <c r="H162" s="5"/>
      <c r="I162" s="2"/>
      <c r="J162" s="5"/>
      <c r="K162" s="85">
        <v>0.54779999999999995</v>
      </c>
    </row>
    <row r="163" spans="1:27" x14ac:dyDescent="0.2">
      <c r="A163" s="33">
        <v>42497</v>
      </c>
      <c r="B163" s="5" t="s">
        <v>435</v>
      </c>
      <c r="C163" s="32" t="s">
        <v>436</v>
      </c>
      <c r="D163" s="543">
        <v>2.3761574074074074E-2</v>
      </c>
      <c r="E163" s="5" t="s">
        <v>1401</v>
      </c>
      <c r="F163" s="108" t="s">
        <v>100</v>
      </c>
      <c r="G163" s="5"/>
      <c r="H163" s="5"/>
      <c r="I163" s="5"/>
      <c r="J163" s="5"/>
      <c r="K163" s="85">
        <v>0.54459999999999997</v>
      </c>
    </row>
    <row r="164" spans="1:27" x14ac:dyDescent="0.2">
      <c r="A164" s="33">
        <v>42490</v>
      </c>
      <c r="B164" s="5" t="s">
        <v>435</v>
      </c>
      <c r="C164" s="32" t="s">
        <v>436</v>
      </c>
      <c r="D164" s="543">
        <v>2.3842592592592596E-2</v>
      </c>
      <c r="E164" s="5" t="s">
        <v>5653</v>
      </c>
      <c r="F164" s="108" t="s">
        <v>2799</v>
      </c>
      <c r="G164" s="5"/>
      <c r="H164" s="5"/>
      <c r="I164" s="5"/>
      <c r="J164" s="5"/>
      <c r="K164" s="85">
        <v>0.53790000000000004</v>
      </c>
    </row>
    <row r="165" spans="1:27" x14ac:dyDescent="0.2">
      <c r="A165" s="33">
        <v>42483</v>
      </c>
      <c r="B165" s="5" t="s">
        <v>435</v>
      </c>
      <c r="C165" s="32" t="s">
        <v>436</v>
      </c>
      <c r="D165" s="543">
        <v>2.314814814814815E-2</v>
      </c>
      <c r="E165" s="5" t="s">
        <v>1401</v>
      </c>
      <c r="F165" s="108" t="s">
        <v>2883</v>
      </c>
      <c r="G165" s="5"/>
      <c r="H165" s="5"/>
      <c r="I165" s="2"/>
      <c r="J165" s="5"/>
      <c r="K165" s="85">
        <v>0.55049999999999999</v>
      </c>
      <c r="AA165" s="41"/>
    </row>
    <row r="166" spans="1:27" x14ac:dyDescent="0.2">
      <c r="A166" s="33">
        <v>42469</v>
      </c>
      <c r="B166" s="5" t="s">
        <v>435</v>
      </c>
      <c r="C166" s="32" t="s">
        <v>436</v>
      </c>
      <c r="D166" s="65">
        <v>2.4375000000000001E-2</v>
      </c>
      <c r="E166" t="s">
        <v>5653</v>
      </c>
      <c r="F166" s="69" t="s">
        <v>4106</v>
      </c>
      <c r="I166" s="2"/>
      <c r="K166" s="82">
        <v>0.52280000000000004</v>
      </c>
    </row>
    <row r="167" spans="1:27" x14ac:dyDescent="0.2">
      <c r="A167" s="33">
        <v>42420</v>
      </c>
      <c r="B167" t="s">
        <v>435</v>
      </c>
      <c r="C167" s="1" t="s">
        <v>436</v>
      </c>
      <c r="D167" s="65">
        <v>2.2939814814814816E-2</v>
      </c>
      <c r="E167" t="s">
        <v>5653</v>
      </c>
      <c r="F167" s="97" t="s">
        <v>3709</v>
      </c>
      <c r="G167" s="2"/>
      <c r="I167" s="2"/>
      <c r="K167" s="82">
        <v>0.55549999999999999</v>
      </c>
    </row>
    <row r="168" spans="1:27" x14ac:dyDescent="0.2">
      <c r="A168" s="33">
        <v>42413</v>
      </c>
      <c r="B168" s="80" t="s">
        <v>435</v>
      </c>
      <c r="C168" s="334" t="s">
        <v>436</v>
      </c>
      <c r="D168" s="544">
        <v>2.3854166666666666E-2</v>
      </c>
      <c r="E168" s="407" t="s">
        <v>5653</v>
      </c>
      <c r="F168" s="69" t="s">
        <v>1485</v>
      </c>
      <c r="G168" s="42"/>
      <c r="H168" s="42"/>
      <c r="I168" s="348"/>
      <c r="J168" s="407"/>
      <c r="K168" s="546">
        <v>0.53420000000000001</v>
      </c>
      <c r="AA168" s="41"/>
    </row>
    <row r="169" spans="1:27" x14ac:dyDescent="0.2">
      <c r="A169" s="33">
        <v>42406</v>
      </c>
      <c r="B169" t="s">
        <v>435</v>
      </c>
      <c r="C169" s="1" t="s">
        <v>436</v>
      </c>
      <c r="D169" s="65">
        <v>2.2835648148148147E-2</v>
      </c>
      <c r="E169" t="s">
        <v>1401</v>
      </c>
      <c r="F169" s="69" t="s">
        <v>5082</v>
      </c>
      <c r="I169" s="2"/>
      <c r="K169" s="82">
        <v>0.55800000000000005</v>
      </c>
    </row>
    <row r="170" spans="1:27" x14ac:dyDescent="0.2">
      <c r="A170" s="33">
        <v>42392</v>
      </c>
      <c r="B170" t="s">
        <v>435</v>
      </c>
      <c r="C170" s="1" t="s">
        <v>436</v>
      </c>
      <c r="D170" s="65">
        <v>2.3634259259259258E-2</v>
      </c>
      <c r="E170" t="s">
        <v>5653</v>
      </c>
      <c r="F170" s="69" t="s">
        <v>3467</v>
      </c>
      <c r="I170" s="2"/>
      <c r="K170" s="82">
        <v>0.53920000000000001</v>
      </c>
    </row>
    <row r="171" spans="1:27" x14ac:dyDescent="0.2">
      <c r="A171" s="33">
        <v>42378</v>
      </c>
      <c r="B171" s="407" t="s">
        <v>435</v>
      </c>
      <c r="C171" s="408" t="s">
        <v>436</v>
      </c>
      <c r="D171" s="544">
        <v>2.4872685185185189E-2</v>
      </c>
      <c r="E171" s="407" t="s">
        <v>5095</v>
      </c>
      <c r="F171" s="545" t="s">
        <v>5919</v>
      </c>
      <c r="G171" s="407"/>
      <c r="H171" s="407"/>
      <c r="I171" s="348"/>
      <c r="J171" s="407"/>
      <c r="K171" s="546">
        <v>0.51229999999999998</v>
      </c>
    </row>
    <row r="172" spans="1:27" x14ac:dyDescent="0.2">
      <c r="A172" s="33">
        <v>42476</v>
      </c>
      <c r="B172" s="5" t="s">
        <v>3474</v>
      </c>
      <c r="C172" s="32" t="s">
        <v>436</v>
      </c>
      <c r="D172" s="65">
        <v>2.4155092592592589E-2</v>
      </c>
      <c r="E172" t="s">
        <v>5095</v>
      </c>
      <c r="F172" s="69" t="s">
        <v>3480</v>
      </c>
      <c r="I172" s="2"/>
      <c r="K172" s="82">
        <v>0.52759999999999996</v>
      </c>
    </row>
    <row r="173" spans="1:27" x14ac:dyDescent="0.2">
      <c r="A173" s="33">
        <v>42441</v>
      </c>
      <c r="B173" s="80" t="s">
        <v>859</v>
      </c>
      <c r="C173" s="334" t="s">
        <v>2619</v>
      </c>
      <c r="D173" s="65">
        <v>2.6574074074074073E-2</v>
      </c>
      <c r="E173" s="80" t="s">
        <v>5883</v>
      </c>
      <c r="F173" s="69"/>
      <c r="I173" s="2"/>
      <c r="K173" s="82">
        <v>0.38850000000000001</v>
      </c>
    </row>
    <row r="174" spans="1:27" x14ac:dyDescent="0.2">
      <c r="A174" s="33">
        <v>42448</v>
      </c>
      <c r="B174" s="80" t="s">
        <v>859</v>
      </c>
      <c r="C174" s="334" t="s">
        <v>2619</v>
      </c>
      <c r="D174" s="65">
        <v>2.1226851851851854E-2</v>
      </c>
      <c r="E174" s="80" t="s">
        <v>5883</v>
      </c>
      <c r="F174" s="69"/>
      <c r="I174" s="2"/>
      <c r="K174" s="82">
        <v>0.4864</v>
      </c>
    </row>
    <row r="175" spans="1:27" x14ac:dyDescent="0.2">
      <c r="A175" s="33">
        <v>42616</v>
      </c>
      <c r="B175" s="80" t="s">
        <v>859</v>
      </c>
      <c r="C175" s="334" t="s">
        <v>2619</v>
      </c>
      <c r="D175" s="65">
        <v>1.5682870370370371E-2</v>
      </c>
      <c r="E175" s="80" t="s">
        <v>5883</v>
      </c>
      <c r="F175" s="69"/>
      <c r="I175" s="2"/>
      <c r="K175" s="82">
        <v>0.66349999999999998</v>
      </c>
    </row>
    <row r="176" spans="1:27" x14ac:dyDescent="0.2">
      <c r="A176" s="33">
        <v>42581</v>
      </c>
      <c r="B176" s="53" t="s">
        <v>1661</v>
      </c>
      <c r="C176" s="54" t="s">
        <v>1662</v>
      </c>
      <c r="D176" s="65">
        <v>3.5405092592592592E-2</v>
      </c>
      <c r="E176" t="s">
        <v>5885</v>
      </c>
      <c r="F176" s="69" t="s">
        <v>2551</v>
      </c>
      <c r="I176" s="2"/>
      <c r="K176" s="82">
        <v>0.58389999999999997</v>
      </c>
    </row>
    <row r="177" spans="1:11" x14ac:dyDescent="0.2">
      <c r="A177" s="33">
        <v>42448</v>
      </c>
      <c r="B177" s="53" t="s">
        <v>3182</v>
      </c>
      <c r="C177" s="54" t="s">
        <v>3183</v>
      </c>
      <c r="D177" s="65">
        <v>1.4849537037037036E-2</v>
      </c>
      <c r="E177" t="s">
        <v>998</v>
      </c>
      <c r="F177" s="69" t="s">
        <v>2086</v>
      </c>
      <c r="I177" s="2"/>
      <c r="K177" s="82">
        <v>0.71860000000000002</v>
      </c>
    </row>
    <row r="178" spans="1:11" x14ac:dyDescent="0.2">
      <c r="A178" s="33">
        <v>42427</v>
      </c>
      <c r="B178" s="53" t="s">
        <v>3182</v>
      </c>
      <c r="C178" s="54" t="s">
        <v>3183</v>
      </c>
      <c r="D178" s="65">
        <v>1.4340277777777776E-2</v>
      </c>
      <c r="E178" t="s">
        <v>5544</v>
      </c>
      <c r="F178" s="97" t="s">
        <v>3709</v>
      </c>
      <c r="I178" s="2"/>
      <c r="K178" s="82">
        <v>0.74409999999999998</v>
      </c>
    </row>
    <row r="179" spans="1:11" x14ac:dyDescent="0.2">
      <c r="A179" s="33">
        <v>42644</v>
      </c>
      <c r="B179" s="5" t="s">
        <v>2896</v>
      </c>
      <c r="C179" s="32" t="s">
        <v>2895</v>
      </c>
      <c r="D179" s="65">
        <v>1.650462962962963E-2</v>
      </c>
      <c r="E179" t="s">
        <v>5186</v>
      </c>
      <c r="F179" s="69" t="s">
        <v>3051</v>
      </c>
      <c r="I179" s="2"/>
      <c r="K179" s="82">
        <v>0.54520000000000002</v>
      </c>
    </row>
    <row r="180" spans="1:11" x14ac:dyDescent="0.2">
      <c r="A180" s="33">
        <v>42602</v>
      </c>
      <c r="B180" s="5" t="s">
        <v>2896</v>
      </c>
      <c r="C180" s="32" t="s">
        <v>2895</v>
      </c>
      <c r="D180" s="65">
        <v>1.545138888888889E-2</v>
      </c>
      <c r="E180" t="s">
        <v>5186</v>
      </c>
      <c r="F180" s="97" t="s">
        <v>2421</v>
      </c>
      <c r="G180" s="2"/>
      <c r="H180" s="2"/>
      <c r="I180" s="2"/>
      <c r="K180" s="82">
        <v>0.58130000000000004</v>
      </c>
    </row>
    <row r="181" spans="1:11" x14ac:dyDescent="0.2">
      <c r="A181" s="33">
        <v>42581</v>
      </c>
      <c r="B181" s="5" t="s">
        <v>2896</v>
      </c>
      <c r="C181" s="32" t="s">
        <v>2895</v>
      </c>
      <c r="D181" s="65">
        <v>1.5613425925925926E-2</v>
      </c>
      <c r="E181" t="s">
        <v>5186</v>
      </c>
      <c r="F181" s="69" t="s">
        <v>4917</v>
      </c>
      <c r="I181" s="2"/>
      <c r="K181" s="82">
        <v>0.57520000000000004</v>
      </c>
    </row>
    <row r="182" spans="1:11" x14ac:dyDescent="0.2">
      <c r="A182" s="33">
        <v>42511</v>
      </c>
      <c r="B182" s="5" t="s">
        <v>2896</v>
      </c>
      <c r="C182" s="32" t="s">
        <v>2895</v>
      </c>
      <c r="D182" s="543">
        <v>1.5138888888888889E-2</v>
      </c>
      <c r="E182" s="5" t="s">
        <v>5186</v>
      </c>
      <c r="F182" s="108" t="s">
        <v>5842</v>
      </c>
      <c r="G182" s="5"/>
      <c r="H182" s="5"/>
      <c r="I182" s="2"/>
      <c r="J182" s="5"/>
      <c r="K182" s="85">
        <v>0.59330000000000005</v>
      </c>
    </row>
    <row r="183" spans="1:11" x14ac:dyDescent="0.2">
      <c r="A183" s="33">
        <v>42735</v>
      </c>
      <c r="B183" s="80" t="s">
        <v>4269</v>
      </c>
      <c r="C183" s="334" t="s">
        <v>4270</v>
      </c>
      <c r="D183" s="65">
        <v>1.5497685185185186E-2</v>
      </c>
      <c r="E183" s="80" t="s">
        <v>129</v>
      </c>
      <c r="F183" s="69" t="s">
        <v>6188</v>
      </c>
      <c r="I183" s="2"/>
      <c r="K183" s="82">
        <v>0.61170000000000002</v>
      </c>
    </row>
    <row r="184" spans="1:11" x14ac:dyDescent="0.2">
      <c r="A184" s="523">
        <v>42728</v>
      </c>
      <c r="B184" s="513" t="s">
        <v>4269</v>
      </c>
      <c r="C184" s="512" t="s">
        <v>4270</v>
      </c>
      <c r="D184" s="65">
        <v>1.5983796296296295E-2</v>
      </c>
      <c r="E184" s="80" t="s">
        <v>129</v>
      </c>
      <c r="F184" s="69" t="s">
        <v>6121</v>
      </c>
      <c r="I184" s="2"/>
      <c r="K184" s="82">
        <v>0.59299999999999997</v>
      </c>
    </row>
    <row r="185" spans="1:11" x14ac:dyDescent="0.2">
      <c r="A185" s="33">
        <v>42721</v>
      </c>
      <c r="B185" s="513" t="s">
        <v>4269</v>
      </c>
      <c r="C185" s="512" t="s">
        <v>4270</v>
      </c>
      <c r="D185" s="543" t="s">
        <v>787</v>
      </c>
      <c r="E185" s="5" t="s">
        <v>129</v>
      </c>
      <c r="F185" s="108" t="s">
        <v>6106</v>
      </c>
      <c r="I185" s="2"/>
      <c r="K185" s="82"/>
    </row>
    <row r="186" spans="1:11" x14ac:dyDescent="0.2">
      <c r="A186" s="33">
        <v>42714</v>
      </c>
      <c r="B186" s="513" t="s">
        <v>4269</v>
      </c>
      <c r="C186" s="512" t="s">
        <v>4270</v>
      </c>
      <c r="D186" s="65">
        <v>1.545138888888889E-2</v>
      </c>
      <c r="E186" s="5" t="s">
        <v>129</v>
      </c>
      <c r="F186" s="69" t="s">
        <v>6093</v>
      </c>
      <c r="I186" s="2"/>
      <c r="K186" s="82">
        <v>0.61299999999999999</v>
      </c>
    </row>
    <row r="187" spans="1:11" x14ac:dyDescent="0.2">
      <c r="A187" s="33">
        <v>42700</v>
      </c>
      <c r="B187" s="513" t="s">
        <v>4269</v>
      </c>
      <c r="C187" s="512" t="s">
        <v>4270</v>
      </c>
      <c r="D187" s="65">
        <v>1.5787037037037037E-2</v>
      </c>
      <c r="E187" s="5" t="s">
        <v>129</v>
      </c>
      <c r="F187" s="108" t="s">
        <v>6060</v>
      </c>
      <c r="I187" s="2"/>
      <c r="K187" s="82">
        <v>0.60040000000000004</v>
      </c>
    </row>
    <row r="188" spans="1:11" x14ac:dyDescent="0.2">
      <c r="A188" s="33">
        <v>42686</v>
      </c>
      <c r="B188" s="513" t="s">
        <v>4269</v>
      </c>
      <c r="C188" s="512" t="s">
        <v>4270</v>
      </c>
      <c r="D188" s="65">
        <v>1.5740740740740743E-2</v>
      </c>
      <c r="E188" t="s">
        <v>129</v>
      </c>
      <c r="F188" s="69" t="s">
        <v>699</v>
      </c>
      <c r="I188" s="2"/>
      <c r="K188" s="82">
        <v>0.60219999999999996</v>
      </c>
    </row>
    <row r="189" spans="1:11" x14ac:dyDescent="0.2">
      <c r="A189" s="33">
        <v>42679</v>
      </c>
      <c r="B189" s="197" t="s">
        <v>4269</v>
      </c>
      <c r="C189" s="265" t="s">
        <v>4270</v>
      </c>
      <c r="D189" s="65">
        <v>1.5625E-2</v>
      </c>
      <c r="E189" t="s">
        <v>129</v>
      </c>
      <c r="F189" s="69" t="s">
        <v>618</v>
      </c>
      <c r="I189" s="2"/>
      <c r="K189" s="82">
        <v>0.60670000000000002</v>
      </c>
    </row>
    <row r="190" spans="1:11" x14ac:dyDescent="0.2">
      <c r="A190" s="33">
        <v>42672</v>
      </c>
      <c r="B190" s="197" t="s">
        <v>4269</v>
      </c>
      <c r="C190" s="265" t="s">
        <v>4270</v>
      </c>
      <c r="D190" s="65">
        <v>1.636574074074074E-2</v>
      </c>
      <c r="E190" t="s">
        <v>129</v>
      </c>
      <c r="F190" s="69" t="s">
        <v>2688</v>
      </c>
      <c r="I190" s="2"/>
      <c r="K190" s="82">
        <v>0.57920000000000005</v>
      </c>
    </row>
    <row r="191" spans="1:11" x14ac:dyDescent="0.2">
      <c r="A191" s="33">
        <v>42658</v>
      </c>
      <c r="B191" s="197" t="s">
        <v>4269</v>
      </c>
      <c r="C191" s="512" t="s">
        <v>4270</v>
      </c>
      <c r="D191" s="65">
        <v>1.6122685185185184E-2</v>
      </c>
      <c r="E191" t="s">
        <v>129</v>
      </c>
      <c r="F191" s="69" t="s">
        <v>1977</v>
      </c>
      <c r="I191" s="2"/>
      <c r="K191" s="82">
        <v>0.58789999999999998</v>
      </c>
    </row>
    <row r="192" spans="1:11" x14ac:dyDescent="0.2">
      <c r="A192" s="33">
        <v>42651</v>
      </c>
      <c r="B192" s="197" t="s">
        <v>4269</v>
      </c>
      <c r="C192" s="265" t="s">
        <v>4270</v>
      </c>
      <c r="D192" s="65">
        <v>1.7280092592592593E-2</v>
      </c>
      <c r="E192" t="s">
        <v>129</v>
      </c>
      <c r="F192" s="69" t="s">
        <v>5023</v>
      </c>
      <c r="I192" s="2"/>
      <c r="K192" s="82">
        <v>0.54859999999999998</v>
      </c>
    </row>
    <row r="193" spans="1:11" x14ac:dyDescent="0.2">
      <c r="A193" s="33">
        <v>42644</v>
      </c>
      <c r="B193" s="197" t="s">
        <v>4269</v>
      </c>
      <c r="C193" s="265" t="s">
        <v>4270</v>
      </c>
      <c r="D193" s="65">
        <v>1.5462962962962963E-2</v>
      </c>
      <c r="E193" t="s">
        <v>129</v>
      </c>
      <c r="F193" s="69" t="s">
        <v>3828</v>
      </c>
      <c r="I193" s="2"/>
      <c r="K193" s="82">
        <v>0.61299999999999999</v>
      </c>
    </row>
    <row r="194" spans="1:11" x14ac:dyDescent="0.2">
      <c r="A194" s="33">
        <v>42637</v>
      </c>
      <c r="B194" s="197" t="s">
        <v>4269</v>
      </c>
      <c r="C194" s="265" t="s">
        <v>4270</v>
      </c>
      <c r="D194" s="65">
        <v>1.5717592592592592E-2</v>
      </c>
      <c r="E194" t="s">
        <v>129</v>
      </c>
      <c r="F194" s="69" t="s">
        <v>4594</v>
      </c>
      <c r="I194" s="2"/>
      <c r="K194" s="82">
        <v>0.60309999999999997</v>
      </c>
    </row>
    <row r="195" spans="1:11" x14ac:dyDescent="0.2">
      <c r="A195" s="33">
        <v>42616</v>
      </c>
      <c r="B195" s="197" t="s">
        <v>4269</v>
      </c>
      <c r="C195" s="265" t="s">
        <v>4270</v>
      </c>
      <c r="D195" s="65">
        <v>1.5983796296296295E-2</v>
      </c>
      <c r="E195" t="s">
        <v>129</v>
      </c>
      <c r="F195" s="69" t="s">
        <v>1918</v>
      </c>
      <c r="I195" s="2"/>
      <c r="K195" s="82">
        <v>0.59299999999999997</v>
      </c>
    </row>
    <row r="196" spans="1:11" x14ac:dyDescent="0.2">
      <c r="A196" s="33">
        <v>42602</v>
      </c>
      <c r="B196" s="197" t="s">
        <v>4269</v>
      </c>
      <c r="C196" s="265" t="s">
        <v>4270</v>
      </c>
      <c r="D196" s="65">
        <v>1.5219907407407409E-2</v>
      </c>
      <c r="E196" t="s">
        <v>129</v>
      </c>
      <c r="F196" s="69" t="s">
        <v>3929</v>
      </c>
      <c r="I196" s="2"/>
      <c r="K196" s="82">
        <v>0.61829999999999996</v>
      </c>
    </row>
    <row r="197" spans="1:11" x14ac:dyDescent="0.2">
      <c r="A197" s="33">
        <v>42599</v>
      </c>
      <c r="B197" s="197" t="s">
        <v>4269</v>
      </c>
      <c r="C197" s="265" t="s">
        <v>4270</v>
      </c>
      <c r="D197" s="65">
        <v>1.5706018518518518E-2</v>
      </c>
      <c r="E197" t="s">
        <v>280</v>
      </c>
      <c r="F197" s="69" t="s">
        <v>5024</v>
      </c>
      <c r="I197" s="2"/>
      <c r="K197" s="82">
        <v>0.59909999999999997</v>
      </c>
    </row>
    <row r="198" spans="1:11" x14ac:dyDescent="0.2">
      <c r="A198" s="33">
        <v>42588</v>
      </c>
      <c r="B198" s="197" t="s">
        <v>4269</v>
      </c>
      <c r="C198" s="265" t="s">
        <v>4270</v>
      </c>
      <c r="D198" s="543">
        <v>1.4814814814814814E-2</v>
      </c>
      <c r="E198" s="5" t="s">
        <v>129</v>
      </c>
      <c r="F198" s="108" t="s">
        <v>534</v>
      </c>
      <c r="G198" s="5"/>
      <c r="H198" s="5"/>
      <c r="I198" s="2"/>
      <c r="J198" s="5"/>
      <c r="K198" s="85">
        <v>0.63519999999999999</v>
      </c>
    </row>
    <row r="199" spans="1:11" x14ac:dyDescent="0.2">
      <c r="A199" s="33">
        <v>42574</v>
      </c>
      <c r="B199" s="197" t="s">
        <v>4269</v>
      </c>
      <c r="C199" s="265" t="s">
        <v>4270</v>
      </c>
      <c r="D199" s="65">
        <v>0.15546296296296297</v>
      </c>
      <c r="E199" t="s">
        <v>129</v>
      </c>
      <c r="F199" s="69" t="s">
        <v>2469</v>
      </c>
      <c r="I199" s="2"/>
      <c r="K199" s="82">
        <v>0.59260000000000002</v>
      </c>
    </row>
    <row r="200" spans="1:11" x14ac:dyDescent="0.2">
      <c r="A200" s="33">
        <v>42567</v>
      </c>
      <c r="B200" s="197" t="s">
        <v>4269</v>
      </c>
      <c r="C200" s="265" t="s">
        <v>4270</v>
      </c>
      <c r="D200" s="65">
        <v>1.5289351851851851E-2</v>
      </c>
      <c r="E200" t="s">
        <v>129</v>
      </c>
      <c r="F200" s="69" t="s">
        <v>4347</v>
      </c>
      <c r="I200" s="2"/>
      <c r="K200" s="82">
        <v>0.61539999999999995</v>
      </c>
    </row>
    <row r="201" spans="1:11" x14ac:dyDescent="0.2">
      <c r="A201" s="33">
        <v>42560</v>
      </c>
      <c r="B201" s="197" t="s">
        <v>4269</v>
      </c>
      <c r="C201" s="265" t="s">
        <v>4270</v>
      </c>
      <c r="D201" s="65">
        <v>1.5162037037037036E-2</v>
      </c>
      <c r="E201" t="s">
        <v>129</v>
      </c>
      <c r="F201" s="69"/>
      <c r="I201" s="2"/>
      <c r="K201" s="82">
        <v>0.62060000000000004</v>
      </c>
    </row>
    <row r="202" spans="1:11" x14ac:dyDescent="0.2">
      <c r="A202" s="33">
        <v>42553</v>
      </c>
      <c r="B202" s="197" t="s">
        <v>4269</v>
      </c>
      <c r="C202" s="265" t="s">
        <v>4270</v>
      </c>
      <c r="D202" s="65">
        <v>1.8067129629629631E-2</v>
      </c>
      <c r="E202" t="s">
        <v>129</v>
      </c>
      <c r="F202" s="69" t="s">
        <v>5864</v>
      </c>
      <c r="I202" s="2"/>
      <c r="K202" s="82">
        <v>0.52080000000000004</v>
      </c>
    </row>
    <row r="203" spans="1:11" x14ac:dyDescent="0.2">
      <c r="A203" s="33">
        <v>42539</v>
      </c>
      <c r="B203" s="197" t="s">
        <v>4269</v>
      </c>
      <c r="C203" s="265" t="s">
        <v>4270</v>
      </c>
      <c r="D203" s="65">
        <v>1.4884259259259259E-2</v>
      </c>
      <c r="E203" t="s">
        <v>129</v>
      </c>
      <c r="F203" s="69"/>
      <c r="I203" s="2"/>
      <c r="K203" s="82">
        <v>0.63219999999999998</v>
      </c>
    </row>
    <row r="204" spans="1:11" x14ac:dyDescent="0.2">
      <c r="A204" s="33">
        <v>42532</v>
      </c>
      <c r="B204" s="197" t="s">
        <v>4269</v>
      </c>
      <c r="C204" s="265" t="s">
        <v>4270</v>
      </c>
      <c r="D204" s="65">
        <v>1.4965277777777779E-2</v>
      </c>
      <c r="E204" t="s">
        <v>129</v>
      </c>
      <c r="F204" s="69" t="s">
        <v>2949</v>
      </c>
      <c r="I204" s="2"/>
      <c r="K204" s="82">
        <v>0.62880000000000003</v>
      </c>
    </row>
    <row r="205" spans="1:11" x14ac:dyDescent="0.2">
      <c r="A205" s="33">
        <v>42525</v>
      </c>
      <c r="B205" s="197" t="s">
        <v>4269</v>
      </c>
      <c r="C205" s="265" t="s">
        <v>4270</v>
      </c>
      <c r="D205" s="543">
        <v>1.6620370370370372E-2</v>
      </c>
      <c r="E205" s="5" t="s">
        <v>129</v>
      </c>
      <c r="F205" s="108" t="s">
        <v>5220</v>
      </c>
      <c r="G205" s="5"/>
      <c r="H205" s="5"/>
      <c r="I205" s="2"/>
      <c r="J205" s="5"/>
      <c r="K205" s="85">
        <v>0.56620000000000004</v>
      </c>
    </row>
    <row r="206" spans="1:11" x14ac:dyDescent="0.2">
      <c r="A206" s="33">
        <v>42518</v>
      </c>
      <c r="B206" s="197" t="s">
        <v>4269</v>
      </c>
      <c r="C206" s="265" t="s">
        <v>4270</v>
      </c>
      <c r="D206" s="543">
        <v>1.4953703703703705E-2</v>
      </c>
      <c r="E206" s="5" t="s">
        <v>129</v>
      </c>
      <c r="F206" s="108" t="s">
        <v>5780</v>
      </c>
      <c r="G206" s="5"/>
      <c r="H206" s="5"/>
      <c r="I206" s="2"/>
      <c r="J206" s="5"/>
      <c r="K206" s="85">
        <v>0.62929999999999997</v>
      </c>
    </row>
    <row r="207" spans="1:11" x14ac:dyDescent="0.2">
      <c r="A207" s="33">
        <v>42511</v>
      </c>
      <c r="B207" s="197" t="s">
        <v>4269</v>
      </c>
      <c r="C207" s="265" t="s">
        <v>4270</v>
      </c>
      <c r="D207" s="543">
        <v>1.5208333333333332E-2</v>
      </c>
      <c r="E207" s="5" t="s">
        <v>129</v>
      </c>
      <c r="F207" s="108" t="s">
        <v>3029</v>
      </c>
      <c r="G207" s="5"/>
      <c r="H207" s="5"/>
      <c r="I207" s="2"/>
      <c r="J207" s="5"/>
      <c r="K207" s="85">
        <v>0.61870000000000003</v>
      </c>
    </row>
    <row r="208" spans="1:11" x14ac:dyDescent="0.2">
      <c r="A208" s="33">
        <v>42504</v>
      </c>
      <c r="B208" s="197" t="s">
        <v>4269</v>
      </c>
      <c r="C208" s="265" t="s">
        <v>4270</v>
      </c>
      <c r="D208" s="543">
        <v>1.5069444444444443E-2</v>
      </c>
      <c r="E208" s="5" t="s">
        <v>129</v>
      </c>
      <c r="F208" s="108" t="s">
        <v>2357</v>
      </c>
      <c r="G208" s="5"/>
      <c r="H208" s="5"/>
      <c r="I208" s="5"/>
      <c r="J208" s="5"/>
      <c r="K208" s="85">
        <v>0.62439999999999996</v>
      </c>
    </row>
    <row r="209" spans="1:27" x14ac:dyDescent="0.2">
      <c r="A209" s="33">
        <v>42490</v>
      </c>
      <c r="B209" s="197" t="s">
        <v>4269</v>
      </c>
      <c r="C209" s="265" t="s">
        <v>4270</v>
      </c>
      <c r="D209" s="543">
        <v>1.5219907407407409E-2</v>
      </c>
      <c r="E209" s="5" t="s">
        <v>129</v>
      </c>
      <c r="F209" s="108" t="s">
        <v>2800</v>
      </c>
      <c r="G209" s="5"/>
      <c r="H209" s="5"/>
      <c r="I209" s="5"/>
      <c r="J209" s="5"/>
      <c r="K209" s="85">
        <v>0.61829999999999996</v>
      </c>
    </row>
    <row r="210" spans="1:27" x14ac:dyDescent="0.2">
      <c r="A210" s="33">
        <v>42483</v>
      </c>
      <c r="B210" s="197" t="s">
        <v>4269</v>
      </c>
      <c r="C210" s="265" t="s">
        <v>4270</v>
      </c>
      <c r="D210" s="543">
        <v>1.6006944444444445E-2</v>
      </c>
      <c r="E210" s="5" t="s">
        <v>4936</v>
      </c>
      <c r="F210" s="108" t="s">
        <v>2922</v>
      </c>
      <c r="G210" s="5"/>
      <c r="H210" s="5"/>
      <c r="I210" s="2"/>
      <c r="J210" s="5"/>
      <c r="K210" s="85">
        <v>0.58789999999999998</v>
      </c>
    </row>
    <row r="211" spans="1:27" x14ac:dyDescent="0.2">
      <c r="A211" s="33">
        <v>42476</v>
      </c>
      <c r="B211" s="197" t="s">
        <v>4269</v>
      </c>
      <c r="C211" s="265" t="s">
        <v>4270</v>
      </c>
      <c r="D211" s="10" t="s">
        <v>787</v>
      </c>
      <c r="E211" s="5" t="s">
        <v>129</v>
      </c>
      <c r="F211" s="108" t="s">
        <v>5860</v>
      </c>
      <c r="G211" s="5"/>
      <c r="H211" s="2"/>
      <c r="I211" s="2"/>
    </row>
    <row r="212" spans="1:27" x14ac:dyDescent="0.2">
      <c r="A212" s="33">
        <v>42476</v>
      </c>
      <c r="B212" s="197" t="s">
        <v>4269</v>
      </c>
      <c r="C212" s="265" t="s">
        <v>4270</v>
      </c>
      <c r="D212" s="10" t="s">
        <v>787</v>
      </c>
      <c r="E212" s="5" t="s">
        <v>129</v>
      </c>
      <c r="F212" s="108" t="s">
        <v>4185</v>
      </c>
      <c r="G212" s="5"/>
      <c r="H212" s="2"/>
      <c r="I212" s="2"/>
    </row>
    <row r="213" spans="1:27" x14ac:dyDescent="0.2">
      <c r="A213" s="33">
        <v>42462</v>
      </c>
      <c r="B213" s="197" t="s">
        <v>4269</v>
      </c>
      <c r="C213" s="265" t="s">
        <v>4270</v>
      </c>
      <c r="D213" s="65">
        <v>1.6747685185185185E-2</v>
      </c>
      <c r="E213" t="s">
        <v>129</v>
      </c>
      <c r="F213" s="69" t="s">
        <v>577</v>
      </c>
      <c r="I213" s="2"/>
      <c r="K213" s="82">
        <v>0.56189999999999996</v>
      </c>
    </row>
    <row r="214" spans="1:27" x14ac:dyDescent="0.2">
      <c r="A214" s="33">
        <v>42455</v>
      </c>
      <c r="B214" s="206" t="s">
        <v>4269</v>
      </c>
      <c r="C214" s="254" t="s">
        <v>4270</v>
      </c>
      <c r="D214" s="65">
        <v>1.5185185185185185E-2</v>
      </c>
      <c r="E214" t="s">
        <v>129</v>
      </c>
      <c r="F214" s="69" t="s">
        <v>4081</v>
      </c>
      <c r="I214" s="2"/>
      <c r="K214" s="82">
        <v>0.61970000000000003</v>
      </c>
      <c r="AA214" s="41"/>
    </row>
    <row r="215" spans="1:27" x14ac:dyDescent="0.2">
      <c r="A215" s="33">
        <v>42441</v>
      </c>
      <c r="B215" s="206" t="s">
        <v>4269</v>
      </c>
      <c r="C215" s="254" t="s">
        <v>4270</v>
      </c>
      <c r="D215" s="65">
        <v>1.5185185185185185E-2</v>
      </c>
      <c r="E215" t="s">
        <v>129</v>
      </c>
      <c r="F215" s="69" t="s">
        <v>2979</v>
      </c>
      <c r="I215" s="2"/>
      <c r="K215" s="82">
        <v>0.61970000000000003</v>
      </c>
      <c r="AA215" s="41"/>
    </row>
    <row r="216" spans="1:27" x14ac:dyDescent="0.2">
      <c r="A216" s="33">
        <v>42427</v>
      </c>
      <c r="B216" s="206" t="s">
        <v>4269</v>
      </c>
      <c r="C216" s="254" t="s">
        <v>4270</v>
      </c>
      <c r="D216" s="65">
        <v>1.7314814814814814E-2</v>
      </c>
      <c r="E216" t="s">
        <v>129</v>
      </c>
      <c r="F216" s="69"/>
      <c r="I216" s="2"/>
      <c r="K216" s="82">
        <v>0.54339999999999999</v>
      </c>
    </row>
    <row r="217" spans="1:27" x14ac:dyDescent="0.2">
      <c r="A217" s="33">
        <v>42420</v>
      </c>
      <c r="B217" s="206" t="s">
        <v>4269</v>
      </c>
      <c r="C217" s="254" t="s">
        <v>4270</v>
      </c>
      <c r="D217" s="65">
        <v>1.556712962962963E-2</v>
      </c>
      <c r="E217" t="s">
        <v>129</v>
      </c>
      <c r="F217" s="69" t="s">
        <v>238</v>
      </c>
      <c r="I217" s="2"/>
      <c r="K217" s="82">
        <v>0.60450000000000004</v>
      </c>
    </row>
    <row r="218" spans="1:27" x14ac:dyDescent="0.2">
      <c r="A218" s="33">
        <v>42392</v>
      </c>
      <c r="B218" s="206" t="s">
        <v>4269</v>
      </c>
      <c r="C218" s="254" t="s">
        <v>4270</v>
      </c>
      <c r="D218" s="544">
        <v>1.4918981481481483E-2</v>
      </c>
      <c r="E218" s="407" t="s">
        <v>129</v>
      </c>
      <c r="F218" s="545" t="s">
        <v>3136</v>
      </c>
      <c r="G218" s="407"/>
      <c r="H218" s="407"/>
      <c r="I218" s="348"/>
      <c r="J218" s="407"/>
      <c r="K218" s="546">
        <v>0.63070000000000004</v>
      </c>
    </row>
    <row r="219" spans="1:27" x14ac:dyDescent="0.2">
      <c r="A219" s="33">
        <v>42378</v>
      </c>
      <c r="B219" s="206" t="s">
        <v>4269</v>
      </c>
      <c r="C219" s="254" t="s">
        <v>4270</v>
      </c>
      <c r="D219" s="544">
        <v>1.5023148148148148E-2</v>
      </c>
      <c r="E219" s="407" t="s">
        <v>129</v>
      </c>
      <c r="F219" s="545" t="s">
        <v>5867</v>
      </c>
      <c r="G219" s="407"/>
      <c r="H219" s="407"/>
      <c r="I219" s="348"/>
      <c r="J219" s="407"/>
      <c r="K219" s="546">
        <v>0.62629999999999997</v>
      </c>
    </row>
    <row r="220" spans="1:27" x14ac:dyDescent="0.2">
      <c r="A220" s="33">
        <v>42371</v>
      </c>
      <c r="B220" s="206" t="s">
        <v>4269</v>
      </c>
      <c r="C220" s="254" t="s">
        <v>4270</v>
      </c>
      <c r="D220" s="65">
        <v>1.4930555555555556E-2</v>
      </c>
      <c r="E220" s="5" t="s">
        <v>129</v>
      </c>
      <c r="F220" s="69" t="s">
        <v>3945</v>
      </c>
      <c r="K220" s="82">
        <v>0.63019999999999998</v>
      </c>
    </row>
    <row r="221" spans="1:27" x14ac:dyDescent="0.2">
      <c r="A221" s="33">
        <v>42370</v>
      </c>
      <c r="B221" s="206" t="s">
        <v>4269</v>
      </c>
      <c r="C221" s="254" t="s">
        <v>4270</v>
      </c>
      <c r="D221" s="65">
        <v>1.7048611111111112E-2</v>
      </c>
      <c r="E221" t="s">
        <v>129</v>
      </c>
      <c r="F221" s="69" t="s">
        <v>5766</v>
      </c>
      <c r="I221" s="2"/>
      <c r="K221" s="82">
        <v>0.55189999999999995</v>
      </c>
    </row>
    <row r="222" spans="1:27" x14ac:dyDescent="0.2">
      <c r="A222" s="33">
        <v>42370</v>
      </c>
      <c r="B222" s="206" t="s">
        <v>4269</v>
      </c>
      <c r="C222" s="254" t="s">
        <v>4270</v>
      </c>
      <c r="D222" s="65">
        <v>1.7141203703703704E-2</v>
      </c>
      <c r="E222" t="s">
        <v>5885</v>
      </c>
      <c r="F222" s="69"/>
      <c r="I222" s="2"/>
      <c r="K222" s="82">
        <v>0.54900000000000004</v>
      </c>
    </row>
    <row r="223" spans="1:27" x14ac:dyDescent="0.2">
      <c r="A223" s="33">
        <v>42735</v>
      </c>
      <c r="B223" s="513" t="s">
        <v>726</v>
      </c>
      <c r="C223" s="512" t="s">
        <v>1295</v>
      </c>
      <c r="D223" s="65">
        <v>2.3344907407407408E-2</v>
      </c>
      <c r="E223" s="80" t="s">
        <v>4866</v>
      </c>
      <c r="F223" s="69" t="s">
        <v>6191</v>
      </c>
      <c r="I223" s="2"/>
      <c r="K223" s="82">
        <v>0.4819</v>
      </c>
      <c r="M223">
        <f>253-209</f>
        <v>44</v>
      </c>
      <c r="N223" s="80" t="s">
        <v>4674</v>
      </c>
      <c r="O223" s="80" t="s">
        <v>6199</v>
      </c>
    </row>
    <row r="224" spans="1:27" x14ac:dyDescent="0.2">
      <c r="A224" s="33">
        <v>42729</v>
      </c>
      <c r="B224" s="513" t="s">
        <v>726</v>
      </c>
      <c r="C224" s="512" t="s">
        <v>1295</v>
      </c>
      <c r="D224" s="65">
        <v>2.1006944444444443E-2</v>
      </c>
      <c r="E224" s="80" t="s">
        <v>129</v>
      </c>
      <c r="F224" s="69" t="s">
        <v>6153</v>
      </c>
      <c r="I224" s="2"/>
      <c r="K224" s="82">
        <v>0.53549999999999998</v>
      </c>
    </row>
    <row r="225" spans="1:11" x14ac:dyDescent="0.2">
      <c r="A225" s="523">
        <v>42728</v>
      </c>
      <c r="B225" s="513" t="s">
        <v>726</v>
      </c>
      <c r="C225" s="512" t="s">
        <v>1295</v>
      </c>
      <c r="D225" s="65">
        <v>2.2604166666666665E-2</v>
      </c>
      <c r="E225" s="80" t="s">
        <v>5883</v>
      </c>
      <c r="F225" s="69" t="s">
        <v>781</v>
      </c>
      <c r="I225" s="2"/>
      <c r="K225" s="82">
        <v>0.49769999999999998</v>
      </c>
    </row>
    <row r="226" spans="1:11" x14ac:dyDescent="0.2">
      <c r="A226" s="33">
        <v>42721</v>
      </c>
      <c r="B226" s="513" t="s">
        <v>726</v>
      </c>
      <c r="C226" s="512" t="s">
        <v>1295</v>
      </c>
      <c r="D226" s="65">
        <v>1.9328703703703702E-2</v>
      </c>
      <c r="E226" s="5" t="s">
        <v>5883</v>
      </c>
      <c r="F226" s="97" t="s">
        <v>1113</v>
      </c>
      <c r="I226" s="2"/>
      <c r="K226" s="82">
        <v>0.58199999999999996</v>
      </c>
    </row>
    <row r="227" spans="1:11" x14ac:dyDescent="0.2">
      <c r="A227" s="33">
        <v>42714</v>
      </c>
      <c r="B227" s="513" t="s">
        <v>726</v>
      </c>
      <c r="C227" s="512" t="s">
        <v>1295</v>
      </c>
      <c r="D227" s="65">
        <v>2.0949074074074075E-2</v>
      </c>
      <c r="E227" s="5" t="s">
        <v>1982</v>
      </c>
      <c r="F227" s="108" t="s">
        <v>315</v>
      </c>
      <c r="I227" s="2"/>
      <c r="K227" s="82">
        <v>0.53700000000000003</v>
      </c>
    </row>
    <row r="228" spans="1:11" x14ac:dyDescent="0.2">
      <c r="A228" s="33">
        <v>42707</v>
      </c>
      <c r="B228" s="513" t="s">
        <v>726</v>
      </c>
      <c r="C228" s="512" t="s">
        <v>1295</v>
      </c>
      <c r="D228" s="65">
        <v>1.8310185185185186E-2</v>
      </c>
      <c r="E228" t="s">
        <v>5885</v>
      </c>
      <c r="F228" s="69" t="s">
        <v>6042</v>
      </c>
      <c r="I228" s="2"/>
      <c r="K228" s="82">
        <v>0.61439999999999995</v>
      </c>
    </row>
    <row r="229" spans="1:11" x14ac:dyDescent="0.2">
      <c r="A229" s="33">
        <v>42693</v>
      </c>
      <c r="B229" s="513" t="s">
        <v>726</v>
      </c>
      <c r="C229" s="512" t="s">
        <v>1295</v>
      </c>
      <c r="D229" s="65">
        <v>1.9074074074074073E-2</v>
      </c>
      <c r="E229" s="5" t="s">
        <v>5883</v>
      </c>
      <c r="F229" s="69"/>
      <c r="I229" s="2"/>
      <c r="K229" s="82">
        <v>0.58979999999999999</v>
      </c>
    </row>
    <row r="230" spans="1:11" x14ac:dyDescent="0.2">
      <c r="A230" s="33">
        <v>42686</v>
      </c>
      <c r="B230" s="513" t="s">
        <v>726</v>
      </c>
      <c r="C230" s="512" t="s">
        <v>1295</v>
      </c>
      <c r="D230" s="65">
        <v>1.9270833333333334E-2</v>
      </c>
      <c r="E230" t="s">
        <v>5883</v>
      </c>
      <c r="F230" s="69" t="s">
        <v>2268</v>
      </c>
      <c r="I230" s="2"/>
      <c r="K230" s="82">
        <v>0.58379999999999999</v>
      </c>
    </row>
    <row r="231" spans="1:11" x14ac:dyDescent="0.2">
      <c r="A231" s="33">
        <v>42679</v>
      </c>
      <c r="B231" s="513" t="s">
        <v>726</v>
      </c>
      <c r="C231" s="512" t="s">
        <v>1295</v>
      </c>
      <c r="D231" s="65">
        <v>2.0798611111111111E-2</v>
      </c>
      <c r="E231" t="s">
        <v>4161</v>
      </c>
      <c r="F231" s="69" t="s">
        <v>601</v>
      </c>
      <c r="I231" s="2"/>
      <c r="K231" s="82">
        <v>0.54239999999999999</v>
      </c>
    </row>
    <row r="232" spans="1:11" x14ac:dyDescent="0.2">
      <c r="A232" s="33">
        <v>42672</v>
      </c>
      <c r="B232" s="513" t="s">
        <v>726</v>
      </c>
      <c r="C232" s="512" t="s">
        <v>1295</v>
      </c>
      <c r="D232" s="65">
        <v>1.9895833333333331E-2</v>
      </c>
      <c r="E232" t="s">
        <v>5883</v>
      </c>
      <c r="F232" s="69" t="s">
        <v>2898</v>
      </c>
      <c r="I232" s="2"/>
      <c r="K232" s="82">
        <v>0.56540000000000001</v>
      </c>
    </row>
    <row r="233" spans="1:11" x14ac:dyDescent="0.2">
      <c r="A233" s="33">
        <v>42665</v>
      </c>
      <c r="B233" s="513" t="s">
        <v>726</v>
      </c>
      <c r="C233" s="512" t="s">
        <v>1295</v>
      </c>
      <c r="D233" s="65">
        <v>2.074074074074074E-2</v>
      </c>
      <c r="E233" t="s">
        <v>5267</v>
      </c>
      <c r="F233" s="69" t="s">
        <v>1255</v>
      </c>
      <c r="I233" s="2"/>
      <c r="K233" s="82">
        <v>0.54239999999999999</v>
      </c>
    </row>
    <row r="234" spans="1:11" x14ac:dyDescent="0.2">
      <c r="A234" s="33">
        <v>42658</v>
      </c>
      <c r="B234" s="513" t="s">
        <v>726</v>
      </c>
      <c r="C234" s="512" t="s">
        <v>1295</v>
      </c>
      <c r="D234" s="65" t="s">
        <v>787</v>
      </c>
      <c r="E234" t="s">
        <v>1978</v>
      </c>
      <c r="F234" s="69"/>
      <c r="I234" s="2"/>
      <c r="K234" s="82"/>
    </row>
    <row r="235" spans="1:11" x14ac:dyDescent="0.2">
      <c r="A235" s="33">
        <v>42651</v>
      </c>
      <c r="B235" s="513" t="s">
        <v>726</v>
      </c>
      <c r="C235" s="512" t="s">
        <v>1295</v>
      </c>
      <c r="D235" s="65" t="s">
        <v>787</v>
      </c>
      <c r="E235" t="s">
        <v>5883</v>
      </c>
      <c r="F235" s="69" t="s">
        <v>1081</v>
      </c>
      <c r="I235" s="2"/>
      <c r="K235" s="82"/>
    </row>
    <row r="236" spans="1:11" x14ac:dyDescent="0.2">
      <c r="A236" s="33">
        <v>42644</v>
      </c>
      <c r="B236" s="513" t="s">
        <v>726</v>
      </c>
      <c r="C236" s="512" t="s">
        <v>1295</v>
      </c>
      <c r="D236" s="65">
        <v>2.6990740740740742E-2</v>
      </c>
      <c r="E236" t="s">
        <v>5883</v>
      </c>
      <c r="F236" s="69" t="s">
        <v>4506</v>
      </c>
      <c r="I236" s="2"/>
      <c r="K236" s="82">
        <v>0.4168</v>
      </c>
    </row>
    <row r="237" spans="1:11" x14ac:dyDescent="0.2">
      <c r="A237" s="33">
        <v>42630</v>
      </c>
      <c r="B237" s="513" t="s">
        <v>726</v>
      </c>
      <c r="C237" s="512" t="s">
        <v>1295</v>
      </c>
      <c r="D237" s="65">
        <v>2.9930555555555557E-2</v>
      </c>
      <c r="E237" t="s">
        <v>5883</v>
      </c>
      <c r="F237" s="69" t="s">
        <v>3365</v>
      </c>
      <c r="I237" s="2"/>
      <c r="K237" s="82">
        <v>0.37590000000000001</v>
      </c>
    </row>
    <row r="238" spans="1:11" x14ac:dyDescent="0.2">
      <c r="A238" s="33">
        <v>42623</v>
      </c>
      <c r="B238" s="513" t="s">
        <v>726</v>
      </c>
      <c r="C238" s="512" t="s">
        <v>1295</v>
      </c>
      <c r="D238" s="65">
        <v>2.9444444444444443E-2</v>
      </c>
      <c r="E238" t="s">
        <v>5883</v>
      </c>
      <c r="F238" s="69" t="s">
        <v>5613</v>
      </c>
      <c r="I238" s="2"/>
      <c r="K238" s="82">
        <v>0.3821</v>
      </c>
    </row>
    <row r="239" spans="1:11" x14ac:dyDescent="0.2">
      <c r="A239" s="33">
        <v>42616</v>
      </c>
      <c r="B239" s="513" t="s">
        <v>726</v>
      </c>
      <c r="C239" s="512" t="s">
        <v>1295</v>
      </c>
      <c r="D239" s="65">
        <v>3.1307870370370368E-2</v>
      </c>
      <c r="E239" t="s">
        <v>5883</v>
      </c>
      <c r="F239" s="69" t="s">
        <v>4932</v>
      </c>
      <c r="I239" s="2"/>
      <c r="K239" s="82">
        <v>0.35930000000000001</v>
      </c>
    </row>
    <row r="240" spans="1:11" x14ac:dyDescent="0.2">
      <c r="A240" s="33">
        <v>42609</v>
      </c>
      <c r="B240" s="513" t="s">
        <v>726</v>
      </c>
      <c r="C240" s="512" t="s">
        <v>1295</v>
      </c>
      <c r="D240" s="65" t="s">
        <v>787</v>
      </c>
      <c r="E240" t="s">
        <v>5883</v>
      </c>
      <c r="F240" s="69" t="s">
        <v>94</v>
      </c>
      <c r="I240" s="2"/>
      <c r="K240" s="82"/>
    </row>
    <row r="241" spans="1:11" x14ac:dyDescent="0.2">
      <c r="A241" s="33">
        <v>42602</v>
      </c>
      <c r="B241" s="513" t="s">
        <v>726</v>
      </c>
      <c r="C241" s="512" t="s">
        <v>1295</v>
      </c>
      <c r="D241" s="65">
        <v>2.6863425925925926E-2</v>
      </c>
      <c r="E241" t="s">
        <v>998</v>
      </c>
      <c r="F241" s="69" t="s">
        <v>5397</v>
      </c>
      <c r="I241" s="2"/>
      <c r="K241" s="82">
        <v>0.41880000000000001</v>
      </c>
    </row>
    <row r="242" spans="1:11" x14ac:dyDescent="0.2">
      <c r="A242" s="33">
        <v>42595</v>
      </c>
      <c r="B242" s="513" t="s">
        <v>726</v>
      </c>
      <c r="C242" s="512" t="s">
        <v>1295</v>
      </c>
      <c r="D242" s="65">
        <v>3.7314814814814815E-2</v>
      </c>
      <c r="E242" t="s">
        <v>5883</v>
      </c>
      <c r="F242" s="69"/>
      <c r="I242" s="2"/>
      <c r="K242" s="82">
        <v>0.30149999999999999</v>
      </c>
    </row>
    <row r="243" spans="1:11" x14ac:dyDescent="0.2">
      <c r="A243" s="33">
        <v>42588</v>
      </c>
      <c r="B243" s="513" t="s">
        <v>726</v>
      </c>
      <c r="C243" s="512" t="s">
        <v>1295</v>
      </c>
      <c r="D243" s="543">
        <v>2.314814814814815E-2</v>
      </c>
      <c r="E243" s="5" t="s">
        <v>5883</v>
      </c>
      <c r="F243" s="108" t="s">
        <v>533</v>
      </c>
      <c r="G243" s="5"/>
      <c r="H243" s="5"/>
      <c r="I243" s="2"/>
      <c r="J243" s="5"/>
      <c r="K243" s="85">
        <v>0.48599999999999999</v>
      </c>
    </row>
    <row r="244" spans="1:11" x14ac:dyDescent="0.2">
      <c r="A244" s="33">
        <v>42581</v>
      </c>
      <c r="B244" s="513" t="s">
        <v>726</v>
      </c>
      <c r="C244" s="512" t="s">
        <v>1295</v>
      </c>
      <c r="D244" s="65">
        <v>3.5416666666666666E-2</v>
      </c>
      <c r="E244" t="s">
        <v>5883</v>
      </c>
      <c r="F244" s="69" t="s">
        <v>3171</v>
      </c>
      <c r="I244" s="2"/>
      <c r="K244" s="82">
        <v>0.3</v>
      </c>
    </row>
    <row r="245" spans="1:11" x14ac:dyDescent="0.2">
      <c r="A245" s="33">
        <v>42567</v>
      </c>
      <c r="B245" s="513" t="s">
        <v>726</v>
      </c>
      <c r="C245" s="512" t="s">
        <v>1295</v>
      </c>
      <c r="D245" s="65">
        <v>2.7175925925925926E-2</v>
      </c>
      <c r="E245" t="s">
        <v>5959</v>
      </c>
      <c r="F245" s="69" t="s">
        <v>4336</v>
      </c>
      <c r="I245" s="2"/>
      <c r="K245" s="82">
        <v>0.41039999999999999</v>
      </c>
    </row>
    <row r="246" spans="1:11" x14ac:dyDescent="0.2">
      <c r="A246" s="33">
        <v>42560</v>
      </c>
      <c r="B246" s="513" t="s">
        <v>726</v>
      </c>
      <c r="C246" s="512" t="s">
        <v>1295</v>
      </c>
      <c r="D246" s="65">
        <v>2.2627314814814819E-2</v>
      </c>
      <c r="E246" t="s">
        <v>785</v>
      </c>
      <c r="F246" s="69" t="s">
        <v>4337</v>
      </c>
      <c r="I246" s="2"/>
      <c r="K246" s="82">
        <v>0.49719999999999998</v>
      </c>
    </row>
    <row r="247" spans="1:11" x14ac:dyDescent="0.2">
      <c r="A247" s="33">
        <v>42546</v>
      </c>
      <c r="B247" s="513" t="s">
        <v>726</v>
      </c>
      <c r="C247" s="512" t="s">
        <v>1295</v>
      </c>
      <c r="D247" s="65">
        <v>3.0405092592592591E-2</v>
      </c>
      <c r="E247" t="s">
        <v>5883</v>
      </c>
      <c r="F247" s="69"/>
      <c r="I247" s="2"/>
      <c r="K247" s="82">
        <v>0.37</v>
      </c>
    </row>
    <row r="248" spans="1:11" x14ac:dyDescent="0.2">
      <c r="A248" s="33">
        <v>42539</v>
      </c>
      <c r="B248" s="513" t="s">
        <v>726</v>
      </c>
      <c r="C248" s="512" t="s">
        <v>1295</v>
      </c>
      <c r="D248" s="65">
        <v>3.5567129629629629E-2</v>
      </c>
      <c r="E248" t="s">
        <v>5883</v>
      </c>
      <c r="F248" s="69" t="s">
        <v>4754</v>
      </c>
      <c r="I248" s="2"/>
      <c r="K248" s="82">
        <v>0.31630000000000003</v>
      </c>
    </row>
    <row r="249" spans="1:11" x14ac:dyDescent="0.2">
      <c r="A249" s="33">
        <v>42532</v>
      </c>
      <c r="B249" s="513" t="s">
        <v>726</v>
      </c>
      <c r="C249" s="512" t="s">
        <v>1295</v>
      </c>
      <c r="D249" s="65">
        <v>2.9826388888888892E-2</v>
      </c>
      <c r="E249" t="s">
        <v>129</v>
      </c>
      <c r="F249" s="69" t="s">
        <v>3573</v>
      </c>
      <c r="I249" s="2"/>
      <c r="K249" s="82">
        <v>0.37719999999999998</v>
      </c>
    </row>
    <row r="250" spans="1:11" x14ac:dyDescent="0.2">
      <c r="A250" s="33">
        <v>42525</v>
      </c>
      <c r="B250" s="513" t="s">
        <v>726</v>
      </c>
      <c r="C250" s="512" t="s">
        <v>1295</v>
      </c>
      <c r="D250" s="543">
        <v>3.107638888888889E-2</v>
      </c>
      <c r="E250" s="5" t="s">
        <v>5883</v>
      </c>
      <c r="F250" s="108" t="s">
        <v>4026</v>
      </c>
      <c r="G250" s="5"/>
      <c r="H250" s="5"/>
      <c r="I250" s="2"/>
      <c r="J250" s="5"/>
      <c r="K250" s="85">
        <v>0.36199999999999999</v>
      </c>
    </row>
    <row r="251" spans="1:11" x14ac:dyDescent="0.2">
      <c r="A251" s="33">
        <v>42518</v>
      </c>
      <c r="B251" s="513" t="s">
        <v>726</v>
      </c>
      <c r="C251" s="512" t="s">
        <v>1295</v>
      </c>
      <c r="D251" s="543">
        <v>3.0902777777777779E-2</v>
      </c>
      <c r="E251" s="5" t="s">
        <v>843</v>
      </c>
      <c r="F251" s="108" t="s">
        <v>3789</v>
      </c>
      <c r="G251" s="5"/>
      <c r="H251" s="5"/>
      <c r="I251" s="2"/>
      <c r="J251" s="5"/>
      <c r="K251" s="85">
        <v>0.36399999999999999</v>
      </c>
    </row>
    <row r="252" spans="1:11" x14ac:dyDescent="0.2">
      <c r="A252" s="33">
        <v>42511</v>
      </c>
      <c r="B252" s="513" t="s">
        <v>726</v>
      </c>
      <c r="C252" s="512" t="s">
        <v>1295</v>
      </c>
      <c r="D252" s="543">
        <v>3.0578703703703702E-2</v>
      </c>
      <c r="E252" s="5" t="s">
        <v>5883</v>
      </c>
      <c r="F252" s="108" t="s">
        <v>2120</v>
      </c>
      <c r="G252" s="5"/>
      <c r="H252" s="5"/>
      <c r="I252" s="2"/>
      <c r="J252" s="5"/>
      <c r="K252" s="85">
        <v>0.3679</v>
      </c>
    </row>
    <row r="253" spans="1:11" x14ac:dyDescent="0.2">
      <c r="A253" s="33">
        <v>42504</v>
      </c>
      <c r="B253" s="513" t="s">
        <v>726</v>
      </c>
      <c r="C253" s="512" t="s">
        <v>1295</v>
      </c>
      <c r="D253" s="543">
        <v>1.8356481481481481E-2</v>
      </c>
      <c r="E253" s="5" t="s">
        <v>5883</v>
      </c>
      <c r="F253" s="108" t="s">
        <v>2777</v>
      </c>
      <c r="G253" s="5"/>
      <c r="H253" s="5"/>
      <c r="I253" s="5"/>
      <c r="J253" s="5"/>
      <c r="K253" s="85">
        <v>0.6129</v>
      </c>
    </row>
    <row r="254" spans="1:11" x14ac:dyDescent="0.2">
      <c r="A254" s="33">
        <v>42497</v>
      </c>
      <c r="B254" s="513" t="s">
        <v>726</v>
      </c>
      <c r="C254" s="512" t="s">
        <v>1295</v>
      </c>
      <c r="D254" s="543">
        <v>1.8888888888888889E-2</v>
      </c>
      <c r="E254" s="5" t="s">
        <v>1719</v>
      </c>
      <c r="F254" s="108" t="s">
        <v>2629</v>
      </c>
      <c r="G254" s="5"/>
      <c r="H254" s="5"/>
      <c r="I254" s="5"/>
      <c r="J254" s="5"/>
      <c r="K254" s="85">
        <v>0.59560000000000002</v>
      </c>
    </row>
    <row r="255" spans="1:11" x14ac:dyDescent="0.2">
      <c r="A255" s="33">
        <v>42490</v>
      </c>
      <c r="B255" s="513" t="s">
        <v>726</v>
      </c>
      <c r="C255" s="512" t="s">
        <v>1295</v>
      </c>
      <c r="D255" s="543">
        <v>2.8657407407407406E-2</v>
      </c>
      <c r="E255" s="5" t="s">
        <v>5883</v>
      </c>
      <c r="F255" s="108" t="s">
        <v>3148</v>
      </c>
      <c r="G255" s="5"/>
      <c r="H255" s="5"/>
      <c r="I255" s="5"/>
      <c r="J255" s="5"/>
      <c r="K255" s="85">
        <v>0.3926</v>
      </c>
    </row>
    <row r="256" spans="1:11" x14ac:dyDescent="0.2">
      <c r="A256" s="33">
        <v>42484</v>
      </c>
      <c r="B256" s="513" t="s">
        <v>726</v>
      </c>
      <c r="C256" s="512" t="s">
        <v>1295</v>
      </c>
      <c r="D256" s="543" t="s">
        <v>787</v>
      </c>
      <c r="E256" s="5" t="s">
        <v>5883</v>
      </c>
      <c r="F256" s="108" t="s">
        <v>6008</v>
      </c>
      <c r="G256" s="5"/>
      <c r="H256" s="5"/>
      <c r="I256" s="2"/>
      <c r="J256" s="5"/>
      <c r="K256" s="85"/>
    </row>
    <row r="257" spans="1:19" x14ac:dyDescent="0.2">
      <c r="A257" s="33">
        <v>42476</v>
      </c>
      <c r="B257" s="513" t="s">
        <v>726</v>
      </c>
      <c r="C257" s="512" t="s">
        <v>1295</v>
      </c>
      <c r="D257" s="65">
        <v>3.3113425925925928E-2</v>
      </c>
      <c r="E257" t="s">
        <v>5883</v>
      </c>
      <c r="F257" s="69"/>
      <c r="I257" s="2"/>
      <c r="K257" s="82">
        <v>0.3397</v>
      </c>
      <c r="S257" s="80"/>
    </row>
    <row r="258" spans="1:19" x14ac:dyDescent="0.2">
      <c r="A258" s="33">
        <v>42469</v>
      </c>
      <c r="B258" s="513" t="s">
        <v>726</v>
      </c>
      <c r="C258" s="512" t="s">
        <v>1295</v>
      </c>
      <c r="D258" s="65" t="s">
        <v>787</v>
      </c>
      <c r="E258" s="5" t="s">
        <v>5883</v>
      </c>
      <c r="F258" s="108" t="s">
        <v>4185</v>
      </c>
      <c r="G258" s="5"/>
      <c r="H258" s="2"/>
      <c r="I258" s="2"/>
      <c r="K258" s="82"/>
      <c r="S258" s="80"/>
    </row>
    <row r="259" spans="1:19" x14ac:dyDescent="0.2">
      <c r="A259" s="33">
        <v>42462</v>
      </c>
      <c r="B259" s="513" t="s">
        <v>726</v>
      </c>
      <c r="C259" s="512" t="s">
        <v>1295</v>
      </c>
      <c r="D259" s="10" t="s">
        <v>787</v>
      </c>
      <c r="E259" s="5" t="s">
        <v>5883</v>
      </c>
      <c r="F259" s="108" t="s">
        <v>4185</v>
      </c>
      <c r="G259" s="5"/>
      <c r="H259" s="2"/>
      <c r="I259" s="2"/>
      <c r="K259" s="82"/>
    </row>
    <row r="260" spans="1:19" x14ac:dyDescent="0.2">
      <c r="A260" s="33">
        <v>42455</v>
      </c>
      <c r="B260" s="513" t="s">
        <v>726</v>
      </c>
      <c r="C260" s="512" t="s">
        <v>1295</v>
      </c>
      <c r="D260" s="65">
        <v>2.0601851851851854E-2</v>
      </c>
      <c r="E260" t="s">
        <v>5883</v>
      </c>
      <c r="F260" s="69" t="s">
        <v>5998</v>
      </c>
      <c r="I260" s="2"/>
      <c r="K260" s="82">
        <v>0.54610000000000003</v>
      </c>
    </row>
    <row r="261" spans="1:19" x14ac:dyDescent="0.2">
      <c r="A261" s="33">
        <v>42448</v>
      </c>
      <c r="B261" s="513" t="s">
        <v>726</v>
      </c>
      <c r="C261" s="512" t="s">
        <v>1295</v>
      </c>
      <c r="D261" s="65">
        <v>2.3969907407407409E-2</v>
      </c>
      <c r="E261" t="s">
        <v>2147</v>
      </c>
      <c r="F261" s="69" t="s">
        <v>1362</v>
      </c>
      <c r="I261" s="2"/>
      <c r="K261" s="82">
        <v>0.46929999999999999</v>
      </c>
    </row>
    <row r="262" spans="1:19" x14ac:dyDescent="0.2">
      <c r="A262" s="33">
        <v>42441</v>
      </c>
      <c r="B262" s="513" t="s">
        <v>726</v>
      </c>
      <c r="C262" s="512" t="s">
        <v>1295</v>
      </c>
      <c r="D262" s="65">
        <v>2.7951388888888887E-2</v>
      </c>
      <c r="E262" t="s">
        <v>5885</v>
      </c>
      <c r="F262" s="69" t="s">
        <v>4446</v>
      </c>
      <c r="I262" s="2"/>
      <c r="K262" s="82">
        <v>0.50760000000000005</v>
      </c>
    </row>
    <row r="263" spans="1:19" x14ac:dyDescent="0.2">
      <c r="A263" s="33">
        <v>42434</v>
      </c>
      <c r="B263" s="513" t="s">
        <v>726</v>
      </c>
      <c r="C263" s="512" t="s">
        <v>1295</v>
      </c>
      <c r="D263" s="65">
        <v>2.631944444444444E-2</v>
      </c>
      <c r="E263" t="s">
        <v>5883</v>
      </c>
      <c r="F263" s="69" t="s">
        <v>1646</v>
      </c>
      <c r="I263" s="2"/>
      <c r="K263" s="82">
        <v>0.4274</v>
      </c>
    </row>
    <row r="264" spans="1:19" x14ac:dyDescent="0.2">
      <c r="A264" s="33">
        <v>42427</v>
      </c>
      <c r="B264" s="513" t="s">
        <v>726</v>
      </c>
      <c r="C264" s="512" t="s">
        <v>1295</v>
      </c>
      <c r="D264" s="65">
        <v>1.7997685185185186E-2</v>
      </c>
      <c r="E264" t="s">
        <v>4571</v>
      </c>
      <c r="F264" s="69" t="s">
        <v>3563</v>
      </c>
      <c r="I264" s="2"/>
      <c r="K264" s="82">
        <v>0.62509999999999999</v>
      </c>
    </row>
    <row r="265" spans="1:19" x14ac:dyDescent="0.2">
      <c r="A265" s="33">
        <v>42420</v>
      </c>
      <c r="B265" s="513" t="s">
        <v>726</v>
      </c>
      <c r="C265" s="512" t="s">
        <v>1295</v>
      </c>
      <c r="D265" s="65">
        <v>3.5046296296296298E-2</v>
      </c>
      <c r="E265" t="s">
        <v>5883</v>
      </c>
      <c r="F265" s="69" t="s">
        <v>3143</v>
      </c>
      <c r="I265" s="2"/>
      <c r="K265" s="82">
        <v>0.31769999999999998</v>
      </c>
    </row>
    <row r="266" spans="1:19" x14ac:dyDescent="0.2">
      <c r="A266" s="33">
        <v>42413</v>
      </c>
      <c r="B266" s="513" t="s">
        <v>726</v>
      </c>
      <c r="C266" s="512" t="s">
        <v>1295</v>
      </c>
      <c r="D266" s="65">
        <v>3.0393518518518518E-2</v>
      </c>
      <c r="E266" t="s">
        <v>5947</v>
      </c>
      <c r="F266" s="69" t="s">
        <v>3626</v>
      </c>
      <c r="I266" s="2"/>
      <c r="K266" s="82">
        <v>0.36630000000000001</v>
      </c>
    </row>
    <row r="267" spans="1:19" x14ac:dyDescent="0.2">
      <c r="A267" s="33">
        <v>42406</v>
      </c>
      <c r="B267" s="513" t="s">
        <v>726</v>
      </c>
      <c r="C267" s="512" t="s">
        <v>1295</v>
      </c>
      <c r="D267" s="65">
        <v>3.4050925925925922E-2</v>
      </c>
      <c r="E267" t="s">
        <v>5883</v>
      </c>
      <c r="F267" s="69" t="s">
        <v>5747</v>
      </c>
      <c r="I267" s="2"/>
      <c r="K267" s="82">
        <v>0.32700000000000001</v>
      </c>
      <c r="M267" s="6"/>
    </row>
    <row r="268" spans="1:19" x14ac:dyDescent="0.2">
      <c r="A268" s="33">
        <v>42399</v>
      </c>
      <c r="B268" s="513" t="s">
        <v>726</v>
      </c>
      <c r="C268" s="512" t="s">
        <v>1295</v>
      </c>
      <c r="D268" s="65">
        <v>2.9398148148148149E-2</v>
      </c>
      <c r="E268" t="s">
        <v>5267</v>
      </c>
      <c r="F268" s="69" t="s">
        <v>4442</v>
      </c>
      <c r="I268" s="2"/>
      <c r="K268" s="82">
        <v>0.37869999999999998</v>
      </c>
    </row>
    <row r="269" spans="1:19" x14ac:dyDescent="0.2">
      <c r="A269" s="33">
        <v>42392</v>
      </c>
      <c r="B269" s="513" t="s">
        <v>726</v>
      </c>
      <c r="C269" s="512" t="s">
        <v>1295</v>
      </c>
      <c r="D269" s="65" t="s">
        <v>787</v>
      </c>
      <c r="E269" t="s">
        <v>5883</v>
      </c>
      <c r="F269" s="69" t="s">
        <v>4185</v>
      </c>
      <c r="I269" s="2"/>
      <c r="K269" s="82"/>
    </row>
    <row r="270" spans="1:19" x14ac:dyDescent="0.2">
      <c r="A270" s="33">
        <v>42385</v>
      </c>
      <c r="B270" s="513" t="s">
        <v>726</v>
      </c>
      <c r="C270" s="512" t="s">
        <v>1295</v>
      </c>
      <c r="D270" s="65">
        <v>2.028935185185185E-2</v>
      </c>
      <c r="E270" t="s">
        <v>5885</v>
      </c>
      <c r="F270" s="69" t="s">
        <v>5422</v>
      </c>
      <c r="I270" s="2"/>
      <c r="K270" s="82">
        <v>0.54879999999999995</v>
      </c>
    </row>
    <row r="271" spans="1:19" x14ac:dyDescent="0.2">
      <c r="A271" s="33">
        <v>42371</v>
      </c>
      <c r="B271" s="513" t="s">
        <v>726</v>
      </c>
      <c r="C271" s="512" t="s">
        <v>1295</v>
      </c>
      <c r="D271" s="65">
        <v>2.7662037037037041E-2</v>
      </c>
      <c r="E271" s="5" t="s">
        <v>5883</v>
      </c>
      <c r="F271" s="69" t="s">
        <v>5339</v>
      </c>
      <c r="K271" s="82">
        <v>0.40250000000000002</v>
      </c>
    </row>
    <row r="272" spans="1:19" x14ac:dyDescent="0.2">
      <c r="A272" s="33">
        <v>42370</v>
      </c>
      <c r="B272" s="513" t="s">
        <v>726</v>
      </c>
      <c r="C272" s="512" t="s">
        <v>1295</v>
      </c>
      <c r="D272" s="65">
        <v>1.9837962962962963E-2</v>
      </c>
      <c r="E272" t="s">
        <v>5885</v>
      </c>
      <c r="F272" s="69"/>
      <c r="I272" s="2"/>
      <c r="K272" s="82">
        <v>0.56130000000000002</v>
      </c>
    </row>
    <row r="273" spans="1:11" x14ac:dyDescent="0.2">
      <c r="A273" s="33">
        <v>42370</v>
      </c>
      <c r="B273" s="513" t="s">
        <v>726</v>
      </c>
      <c r="C273" s="512" t="s">
        <v>1295</v>
      </c>
      <c r="D273" s="65">
        <v>2.1145833333333332E-2</v>
      </c>
      <c r="E273" t="s">
        <v>129</v>
      </c>
      <c r="F273" s="69" t="s">
        <v>18</v>
      </c>
      <c r="I273" s="2"/>
      <c r="K273" s="82">
        <v>0.52649999999999997</v>
      </c>
    </row>
    <row r="274" spans="1:11" x14ac:dyDescent="0.2">
      <c r="A274" s="33">
        <v>42735</v>
      </c>
      <c r="B274" s="80" t="s">
        <v>3508</v>
      </c>
      <c r="C274" s="334" t="s">
        <v>1295</v>
      </c>
      <c r="D274" s="65">
        <v>1.8275462962962962E-2</v>
      </c>
      <c r="E274" s="80" t="s">
        <v>4866</v>
      </c>
      <c r="F274" s="69" t="s">
        <v>6182</v>
      </c>
      <c r="I274" s="2"/>
      <c r="K274" s="82">
        <v>0.55600000000000005</v>
      </c>
    </row>
    <row r="275" spans="1:11" x14ac:dyDescent="0.2">
      <c r="A275" s="33">
        <v>42729</v>
      </c>
      <c r="B275" s="80" t="s">
        <v>3508</v>
      </c>
      <c r="C275" s="334" t="s">
        <v>1295</v>
      </c>
      <c r="D275" s="65">
        <v>1.6643518518518519E-2</v>
      </c>
      <c r="E275" s="80" t="s">
        <v>129</v>
      </c>
      <c r="F275" s="69" t="s">
        <v>6150</v>
      </c>
      <c r="I275" s="2"/>
      <c r="K275" s="82">
        <v>0.61060000000000003</v>
      </c>
    </row>
    <row r="276" spans="1:11" x14ac:dyDescent="0.2">
      <c r="A276" s="523">
        <v>42728</v>
      </c>
      <c r="B276" s="513" t="s">
        <v>3508</v>
      </c>
      <c r="C276" s="512" t="s">
        <v>1295</v>
      </c>
      <c r="D276" s="65">
        <v>1.653935185185185E-2</v>
      </c>
      <c r="E276" s="80" t="s">
        <v>5883</v>
      </c>
      <c r="F276" s="69" t="s">
        <v>6123</v>
      </c>
      <c r="I276" s="2"/>
      <c r="K276" s="82">
        <v>0.61439999999999995</v>
      </c>
    </row>
    <row r="277" spans="1:11" x14ac:dyDescent="0.2">
      <c r="A277" s="33">
        <v>42721</v>
      </c>
      <c r="B277" s="513" t="s">
        <v>3508</v>
      </c>
      <c r="C277" s="512" t="s">
        <v>1295</v>
      </c>
      <c r="D277" s="65">
        <v>1.9340277777777779E-2</v>
      </c>
      <c r="E277" s="5" t="s">
        <v>5883</v>
      </c>
      <c r="F277" s="108" t="s">
        <v>6108</v>
      </c>
      <c r="I277" s="2"/>
      <c r="K277" s="82">
        <v>0.52539999999999998</v>
      </c>
    </row>
    <row r="278" spans="1:11" x14ac:dyDescent="0.2">
      <c r="A278" s="33">
        <v>42714</v>
      </c>
      <c r="B278" s="513" t="s">
        <v>3508</v>
      </c>
      <c r="C278" s="512" t="s">
        <v>1295</v>
      </c>
      <c r="D278" s="65">
        <v>2.0960648148148148E-2</v>
      </c>
      <c r="E278" s="5" t="s">
        <v>1982</v>
      </c>
      <c r="F278" s="108" t="s">
        <v>3192</v>
      </c>
      <c r="I278" s="2"/>
      <c r="K278" s="82">
        <v>0.48480000000000001</v>
      </c>
    </row>
    <row r="279" spans="1:11" x14ac:dyDescent="0.2">
      <c r="A279" s="33">
        <v>42707</v>
      </c>
      <c r="B279" s="513" t="s">
        <v>3508</v>
      </c>
      <c r="C279" s="512" t="s">
        <v>1295</v>
      </c>
      <c r="D279" s="65">
        <v>1.832175925925926E-2</v>
      </c>
      <c r="E279" t="s">
        <v>5885</v>
      </c>
      <c r="F279" s="69" t="s">
        <v>6043</v>
      </c>
      <c r="I279" s="2"/>
      <c r="K279" s="82">
        <v>0.55459999999999998</v>
      </c>
    </row>
    <row r="280" spans="1:11" x14ac:dyDescent="0.2">
      <c r="A280" s="33">
        <v>42700</v>
      </c>
      <c r="B280" s="513" t="s">
        <v>3508</v>
      </c>
      <c r="C280" s="512" t="s">
        <v>1295</v>
      </c>
      <c r="D280" s="65">
        <v>1.653935185185185E-2</v>
      </c>
      <c r="E280" s="5" t="s">
        <v>5883</v>
      </c>
      <c r="F280" s="69"/>
      <c r="I280" s="2"/>
      <c r="K280" s="82">
        <v>0.61439999999999995</v>
      </c>
    </row>
    <row r="281" spans="1:11" x14ac:dyDescent="0.2">
      <c r="A281" s="33">
        <v>42686</v>
      </c>
      <c r="B281" s="513" t="s">
        <v>3508</v>
      </c>
      <c r="C281" s="512" t="s">
        <v>1295</v>
      </c>
      <c r="D281" s="65">
        <v>1.6736111111111111E-2</v>
      </c>
      <c r="E281" t="s">
        <v>5883</v>
      </c>
      <c r="F281" s="69" t="s">
        <v>1471</v>
      </c>
      <c r="I281" s="2"/>
      <c r="K281" s="82">
        <v>0.60719999999999996</v>
      </c>
    </row>
    <row r="282" spans="1:11" x14ac:dyDescent="0.2">
      <c r="A282" s="33">
        <v>42679</v>
      </c>
      <c r="B282" s="513" t="s">
        <v>3508</v>
      </c>
      <c r="C282" s="512" t="s">
        <v>1295</v>
      </c>
      <c r="D282" s="65">
        <v>2.0798611111111111E-2</v>
      </c>
      <c r="E282" t="s">
        <v>4161</v>
      </c>
      <c r="F282" s="69" t="s">
        <v>602</v>
      </c>
      <c r="I282" s="2"/>
      <c r="K282" s="82">
        <v>0.48859999999999998</v>
      </c>
    </row>
    <row r="283" spans="1:11" x14ac:dyDescent="0.2">
      <c r="A283" s="33">
        <v>42672</v>
      </c>
      <c r="B283" s="513" t="s">
        <v>3508</v>
      </c>
      <c r="C283" s="512" t="s">
        <v>1295</v>
      </c>
      <c r="D283" s="65" t="s">
        <v>787</v>
      </c>
      <c r="E283" t="s">
        <v>5883</v>
      </c>
      <c r="F283" s="69" t="s">
        <v>4155</v>
      </c>
      <c r="I283" s="2"/>
      <c r="K283" s="82"/>
    </row>
    <row r="284" spans="1:11" x14ac:dyDescent="0.2">
      <c r="A284" s="33">
        <v>42665</v>
      </c>
      <c r="B284" s="513" t="s">
        <v>3508</v>
      </c>
      <c r="C284" s="512" t="s">
        <v>1295</v>
      </c>
      <c r="D284" s="65">
        <v>1.7106481481481483E-2</v>
      </c>
      <c r="E284" t="s">
        <v>5267</v>
      </c>
      <c r="F284" s="69" t="s">
        <v>1254</v>
      </c>
      <c r="I284" s="2"/>
      <c r="K284" s="82">
        <v>0.59399999999999997</v>
      </c>
    </row>
    <row r="285" spans="1:11" x14ac:dyDescent="0.2">
      <c r="A285" s="33">
        <v>42658</v>
      </c>
      <c r="B285" s="513" t="s">
        <v>3508</v>
      </c>
      <c r="C285" s="512" t="s">
        <v>1295</v>
      </c>
      <c r="D285" s="65" t="s">
        <v>787</v>
      </c>
      <c r="E285" t="s">
        <v>1978</v>
      </c>
      <c r="F285" s="69"/>
      <c r="I285" s="2"/>
      <c r="K285" s="82"/>
    </row>
    <row r="286" spans="1:11" x14ac:dyDescent="0.2">
      <c r="A286" s="33">
        <v>42651</v>
      </c>
      <c r="B286" s="197" t="s">
        <v>3508</v>
      </c>
      <c r="C286" s="265" t="s">
        <v>1295</v>
      </c>
      <c r="D286" s="65">
        <v>1.7962962962962962E-2</v>
      </c>
      <c r="E286" t="s">
        <v>5883</v>
      </c>
      <c r="F286" s="69" t="s">
        <v>405</v>
      </c>
      <c r="I286" s="2"/>
      <c r="K286" s="82">
        <v>0.56669999999999998</v>
      </c>
    </row>
    <row r="287" spans="1:11" x14ac:dyDescent="0.2">
      <c r="A287" s="33">
        <v>42644</v>
      </c>
      <c r="B287" s="197" t="s">
        <v>3508</v>
      </c>
      <c r="C287" s="265" t="s">
        <v>1295</v>
      </c>
      <c r="D287" s="65">
        <v>1.7094907407407409E-2</v>
      </c>
      <c r="E287" t="s">
        <v>5883</v>
      </c>
      <c r="F287" s="69" t="s">
        <v>3052</v>
      </c>
      <c r="I287" s="2"/>
      <c r="K287" s="82">
        <v>0.58650000000000002</v>
      </c>
    </row>
    <row r="288" spans="1:11" x14ac:dyDescent="0.2">
      <c r="A288" s="33">
        <v>42637</v>
      </c>
      <c r="B288" s="197" t="s">
        <v>3508</v>
      </c>
      <c r="C288" s="265" t="s">
        <v>1295</v>
      </c>
      <c r="D288" s="65">
        <v>3.7118055555555557E-2</v>
      </c>
      <c r="E288" t="s">
        <v>5883</v>
      </c>
      <c r="F288" s="69" t="s">
        <v>5747</v>
      </c>
      <c r="I288" s="2"/>
      <c r="K288" s="82"/>
    </row>
    <row r="289" spans="1:11" x14ac:dyDescent="0.2">
      <c r="A289" s="33">
        <v>42630</v>
      </c>
      <c r="B289" s="197" t="s">
        <v>3508</v>
      </c>
      <c r="C289" s="265" t="s">
        <v>1295</v>
      </c>
      <c r="D289" s="65">
        <v>1.7152777777777777E-2</v>
      </c>
      <c r="E289" s="5" t="s">
        <v>5883</v>
      </c>
      <c r="F289" s="69" t="s">
        <v>2573</v>
      </c>
      <c r="I289" s="2"/>
      <c r="K289" s="82">
        <v>0.59240000000000004</v>
      </c>
    </row>
    <row r="290" spans="1:11" x14ac:dyDescent="0.2">
      <c r="A290" s="33">
        <v>42623</v>
      </c>
      <c r="B290" s="197" t="s">
        <v>3508</v>
      </c>
      <c r="C290" s="265" t="s">
        <v>1295</v>
      </c>
      <c r="D290" s="65">
        <v>1.9456018518518518E-2</v>
      </c>
      <c r="E290" t="s">
        <v>5883</v>
      </c>
      <c r="F290" s="69" t="s">
        <v>5826</v>
      </c>
      <c r="I290" s="2"/>
      <c r="K290" s="82">
        <v>0.52229999999999999</v>
      </c>
    </row>
    <row r="291" spans="1:11" x14ac:dyDescent="0.2">
      <c r="A291" s="33">
        <v>42616</v>
      </c>
      <c r="B291" s="197" t="s">
        <v>3508</v>
      </c>
      <c r="C291" s="265" t="s">
        <v>1295</v>
      </c>
      <c r="D291" s="65">
        <v>1.7766203703703704E-2</v>
      </c>
      <c r="E291" t="s">
        <v>5883</v>
      </c>
      <c r="F291" s="69" t="s">
        <v>1915</v>
      </c>
      <c r="I291" s="2"/>
      <c r="K291" s="82">
        <v>0.57199999999999995</v>
      </c>
    </row>
    <row r="292" spans="1:11" x14ac:dyDescent="0.2">
      <c r="A292" s="33">
        <v>42609</v>
      </c>
      <c r="B292" s="197" t="s">
        <v>3508</v>
      </c>
      <c r="C292" s="265" t="s">
        <v>1295</v>
      </c>
      <c r="D292" s="65">
        <v>1.8749999999999999E-2</v>
      </c>
      <c r="E292" t="s">
        <v>5883</v>
      </c>
      <c r="F292" s="69"/>
      <c r="I292" s="2"/>
      <c r="K292" s="82">
        <v>0.54200000000000004</v>
      </c>
    </row>
    <row r="293" spans="1:11" x14ac:dyDescent="0.2">
      <c r="A293" s="33">
        <v>42602</v>
      </c>
      <c r="B293" s="197" t="s">
        <v>3508</v>
      </c>
      <c r="C293" s="265" t="s">
        <v>1295</v>
      </c>
      <c r="D293" s="65">
        <v>1.7962962962962962E-2</v>
      </c>
      <c r="E293" t="s">
        <v>998</v>
      </c>
      <c r="F293" s="69" t="s">
        <v>5398</v>
      </c>
      <c r="I293" s="2"/>
      <c r="K293" s="82">
        <v>0.56569999999999998</v>
      </c>
    </row>
    <row r="294" spans="1:11" x14ac:dyDescent="0.2">
      <c r="A294" s="33">
        <v>42595</v>
      </c>
      <c r="B294" s="197" t="s">
        <v>3508</v>
      </c>
      <c r="C294" s="265" t="s">
        <v>1295</v>
      </c>
      <c r="D294" s="65" t="s">
        <v>787</v>
      </c>
      <c r="E294" t="s">
        <v>5883</v>
      </c>
      <c r="F294" s="69"/>
      <c r="I294" s="2"/>
      <c r="K294" s="82"/>
    </row>
    <row r="295" spans="1:11" x14ac:dyDescent="0.2">
      <c r="A295" s="33">
        <v>42588</v>
      </c>
      <c r="B295" s="197" t="s">
        <v>3508</v>
      </c>
      <c r="C295" s="265" t="s">
        <v>1295</v>
      </c>
      <c r="D295" s="543">
        <v>2.0104166666666666E-2</v>
      </c>
      <c r="E295" s="5" t="s">
        <v>5544</v>
      </c>
      <c r="F295" s="108" t="s">
        <v>3008</v>
      </c>
      <c r="G295" s="5"/>
      <c r="H295" s="5"/>
      <c r="I295" s="2"/>
      <c r="J295" s="5"/>
      <c r="K295" s="85">
        <v>0.50549999999999995</v>
      </c>
    </row>
    <row r="296" spans="1:11" x14ac:dyDescent="0.2">
      <c r="A296" s="33">
        <v>42581</v>
      </c>
      <c r="B296" s="197" t="s">
        <v>3508</v>
      </c>
      <c r="C296" s="265" t="s">
        <v>1295</v>
      </c>
      <c r="D296" s="65">
        <v>3.9016203703703699E-2</v>
      </c>
      <c r="E296" t="s">
        <v>5883</v>
      </c>
      <c r="F296" s="69" t="s">
        <v>5747</v>
      </c>
      <c r="I296" s="2"/>
      <c r="K296" s="82">
        <v>0.26050000000000001</v>
      </c>
    </row>
    <row r="297" spans="1:11" x14ac:dyDescent="0.2">
      <c r="A297" s="33">
        <v>42567</v>
      </c>
      <c r="B297" s="197" t="s">
        <v>3508</v>
      </c>
      <c r="C297" s="265" t="s">
        <v>1295</v>
      </c>
      <c r="D297" s="65">
        <v>1.8993055555555558E-2</v>
      </c>
      <c r="E297" t="s">
        <v>5959</v>
      </c>
      <c r="F297" s="69" t="s">
        <v>4336</v>
      </c>
      <c r="I297" s="2"/>
      <c r="K297" s="82">
        <v>0.53500000000000003</v>
      </c>
    </row>
    <row r="298" spans="1:11" x14ac:dyDescent="0.2">
      <c r="A298" s="33">
        <v>42560</v>
      </c>
      <c r="B298" s="197" t="s">
        <v>3508</v>
      </c>
      <c r="C298" s="265" t="s">
        <v>1295</v>
      </c>
      <c r="D298" s="65">
        <v>1.6527777777777777E-2</v>
      </c>
      <c r="E298" t="s">
        <v>785</v>
      </c>
      <c r="F298" s="69" t="s">
        <v>4337</v>
      </c>
      <c r="I298" s="2"/>
      <c r="K298" s="82">
        <v>0.61480000000000001</v>
      </c>
    </row>
    <row r="299" spans="1:11" x14ac:dyDescent="0.2">
      <c r="A299" s="33">
        <v>42546</v>
      </c>
      <c r="B299" s="197" t="s">
        <v>3508</v>
      </c>
      <c r="C299" s="265" t="s">
        <v>1295</v>
      </c>
      <c r="D299" s="65">
        <v>1.7175925925925924E-2</v>
      </c>
      <c r="E299" t="s">
        <v>5883</v>
      </c>
      <c r="F299" s="69" t="s">
        <v>717</v>
      </c>
      <c r="I299" s="2"/>
      <c r="K299" s="82">
        <v>0.58689999999999998</v>
      </c>
    </row>
    <row r="300" spans="1:11" x14ac:dyDescent="0.2">
      <c r="A300" s="33">
        <v>42539</v>
      </c>
      <c r="B300" s="197" t="s">
        <v>3508</v>
      </c>
      <c r="C300" s="265" t="s">
        <v>1295</v>
      </c>
      <c r="D300" s="65" t="s">
        <v>787</v>
      </c>
      <c r="E300" t="s">
        <v>5883</v>
      </c>
      <c r="F300" s="69" t="s">
        <v>4185</v>
      </c>
      <c r="I300" s="2"/>
      <c r="K300" s="82"/>
    </row>
    <row r="301" spans="1:11" x14ac:dyDescent="0.2">
      <c r="A301" s="33">
        <v>42532</v>
      </c>
      <c r="B301" s="197" t="s">
        <v>3508</v>
      </c>
      <c r="C301" s="265" t="s">
        <v>1295</v>
      </c>
      <c r="D301" s="65">
        <v>1.8807870370370371E-2</v>
      </c>
      <c r="E301" t="s">
        <v>129</v>
      </c>
      <c r="F301" s="69" t="s">
        <v>3573</v>
      </c>
      <c r="I301" s="2"/>
      <c r="K301" s="82">
        <v>0.53600000000000003</v>
      </c>
    </row>
    <row r="302" spans="1:11" x14ac:dyDescent="0.2">
      <c r="A302" s="33">
        <v>42525</v>
      </c>
      <c r="B302" s="197" t="s">
        <v>3508</v>
      </c>
      <c r="C302" s="265" t="s">
        <v>1295</v>
      </c>
      <c r="D302" s="543">
        <v>1.8449074074074073E-2</v>
      </c>
      <c r="E302" s="5" t="s">
        <v>5883</v>
      </c>
      <c r="F302" s="108" t="s">
        <v>2748</v>
      </c>
      <c r="G302" s="5"/>
      <c r="H302" s="5"/>
      <c r="I302" s="2"/>
      <c r="J302" s="5"/>
      <c r="K302" s="85">
        <v>0.5464</v>
      </c>
    </row>
    <row r="303" spans="1:11" x14ac:dyDescent="0.2">
      <c r="A303" s="33">
        <v>42518</v>
      </c>
      <c r="B303" s="197" t="s">
        <v>3508</v>
      </c>
      <c r="C303" s="265" t="s">
        <v>1295</v>
      </c>
      <c r="D303" s="543">
        <v>1.6724537037037034E-2</v>
      </c>
      <c r="E303" s="5" t="s">
        <v>843</v>
      </c>
      <c r="F303" s="108" t="s">
        <v>3789</v>
      </c>
      <c r="G303" s="5"/>
      <c r="H303" s="5"/>
      <c r="I303" s="2"/>
      <c r="J303" s="5"/>
      <c r="K303" s="85">
        <v>0.6028</v>
      </c>
    </row>
    <row r="304" spans="1:11" x14ac:dyDescent="0.2">
      <c r="A304" s="33">
        <v>42511</v>
      </c>
      <c r="B304" s="197" t="s">
        <v>3508</v>
      </c>
      <c r="C304" s="265" t="s">
        <v>1295</v>
      </c>
      <c r="D304" s="543">
        <v>1.7222222222222222E-2</v>
      </c>
      <c r="E304" s="5" t="s">
        <v>5883</v>
      </c>
      <c r="F304" s="108" t="s">
        <v>5261</v>
      </c>
      <c r="G304" s="5"/>
      <c r="H304" s="5"/>
      <c r="I304" s="2"/>
      <c r="J304" s="5"/>
      <c r="K304" s="85">
        <v>0.58530000000000004</v>
      </c>
    </row>
    <row r="305" spans="1:19" x14ac:dyDescent="0.2">
      <c r="A305" s="33">
        <v>42504</v>
      </c>
      <c r="B305" s="197" t="s">
        <v>3508</v>
      </c>
      <c r="C305" s="265" t="s">
        <v>1295</v>
      </c>
      <c r="D305" s="543">
        <v>1.7361111111111112E-2</v>
      </c>
      <c r="E305" s="5" t="s">
        <v>5883</v>
      </c>
      <c r="F305" s="108" t="s">
        <v>1605</v>
      </c>
      <c r="G305" s="5"/>
      <c r="H305" s="5"/>
      <c r="I305" s="5"/>
      <c r="J305" s="5"/>
      <c r="K305" s="85">
        <v>0.58069999999999999</v>
      </c>
    </row>
    <row r="306" spans="1:19" x14ac:dyDescent="0.2">
      <c r="A306" s="33">
        <v>42497</v>
      </c>
      <c r="B306" s="197" t="s">
        <v>3508</v>
      </c>
      <c r="C306" s="265" t="s">
        <v>1295</v>
      </c>
      <c r="D306" s="543">
        <v>1.7106481481481483E-2</v>
      </c>
      <c r="E306" s="5" t="s">
        <v>1719</v>
      </c>
      <c r="F306" s="108" t="s">
        <v>2742</v>
      </c>
      <c r="G306" s="5"/>
      <c r="H306" s="5"/>
      <c r="I306" s="5"/>
      <c r="J306" s="5"/>
      <c r="K306" s="85">
        <v>0.58930000000000005</v>
      </c>
    </row>
    <row r="307" spans="1:19" x14ac:dyDescent="0.2">
      <c r="A307" s="33">
        <v>42490</v>
      </c>
      <c r="B307" s="197" t="s">
        <v>3508</v>
      </c>
      <c r="C307" s="265" t="s">
        <v>1295</v>
      </c>
      <c r="D307" s="543">
        <v>1.9722222222222221E-2</v>
      </c>
      <c r="E307" s="5" t="s">
        <v>5883</v>
      </c>
      <c r="F307" s="108" t="s">
        <v>3151</v>
      </c>
      <c r="G307" s="5"/>
      <c r="H307" s="5"/>
      <c r="I307" s="5"/>
      <c r="J307" s="5"/>
      <c r="K307" s="85">
        <v>0.51119999999999999</v>
      </c>
    </row>
    <row r="308" spans="1:19" x14ac:dyDescent="0.2">
      <c r="A308" s="33">
        <v>42484</v>
      </c>
      <c r="B308" s="197" t="s">
        <v>3508</v>
      </c>
      <c r="C308" s="265" t="s">
        <v>1295</v>
      </c>
      <c r="D308" s="543" t="s">
        <v>787</v>
      </c>
      <c r="E308" s="5" t="s">
        <v>1622</v>
      </c>
      <c r="F308" s="108" t="s">
        <v>4185</v>
      </c>
      <c r="G308" s="5"/>
      <c r="H308" s="5"/>
      <c r="I308" s="2"/>
      <c r="J308" s="5"/>
      <c r="K308" s="85"/>
    </row>
    <row r="309" spans="1:19" x14ac:dyDescent="0.2">
      <c r="A309" s="33">
        <v>42729</v>
      </c>
      <c r="B309" s="80" t="s">
        <v>866</v>
      </c>
      <c r="C309" s="334" t="s">
        <v>867</v>
      </c>
      <c r="D309" s="65">
        <v>1.9293981481481485E-2</v>
      </c>
      <c r="E309" s="80" t="s">
        <v>5885</v>
      </c>
      <c r="F309" s="69" t="s">
        <v>6149</v>
      </c>
      <c r="I309" s="2"/>
      <c r="K309" s="82">
        <v>0.67069999999999996</v>
      </c>
    </row>
    <row r="310" spans="1:19" x14ac:dyDescent="0.2">
      <c r="A310" s="523">
        <v>42728</v>
      </c>
      <c r="B310" s="80" t="s">
        <v>866</v>
      </c>
      <c r="C310" s="334" t="s">
        <v>867</v>
      </c>
      <c r="D310" s="65">
        <v>1.8993055555555558E-2</v>
      </c>
      <c r="E310" t="s">
        <v>1982</v>
      </c>
      <c r="F310" s="69" t="s">
        <v>6117</v>
      </c>
      <c r="I310" s="2"/>
      <c r="K310" s="82">
        <v>0.68130000000000002</v>
      </c>
    </row>
    <row r="311" spans="1:19" x14ac:dyDescent="0.2">
      <c r="A311" s="33">
        <v>42714</v>
      </c>
      <c r="B311" s="5" t="s">
        <v>866</v>
      </c>
      <c r="C311" s="32" t="s">
        <v>867</v>
      </c>
      <c r="D311" s="65">
        <v>1.8587962962962962E-2</v>
      </c>
      <c r="E311" s="5" t="s">
        <v>1982</v>
      </c>
      <c r="F311" s="108" t="s">
        <v>6084</v>
      </c>
      <c r="I311" s="2"/>
      <c r="K311" s="82">
        <v>0.69610000000000005</v>
      </c>
    </row>
    <row r="312" spans="1:19" x14ac:dyDescent="0.2">
      <c r="A312" s="33">
        <v>42707</v>
      </c>
      <c r="B312" s="5" t="s">
        <v>866</v>
      </c>
      <c r="C312" s="32" t="s">
        <v>867</v>
      </c>
      <c r="D312" s="65">
        <v>1.8912037037037036E-2</v>
      </c>
      <c r="E312" t="s">
        <v>4161</v>
      </c>
      <c r="F312" s="69" t="s">
        <v>6050</v>
      </c>
      <c r="I312" s="2"/>
      <c r="K312" s="82">
        <v>0.68420000000000003</v>
      </c>
    </row>
    <row r="313" spans="1:19" x14ac:dyDescent="0.2">
      <c r="A313" s="33">
        <v>42700</v>
      </c>
      <c r="B313" s="5" t="s">
        <v>866</v>
      </c>
      <c r="C313" s="32" t="s">
        <v>867</v>
      </c>
      <c r="D313" s="65">
        <v>1.8402777777777778E-2</v>
      </c>
      <c r="E313" s="5" t="s">
        <v>4161</v>
      </c>
      <c r="F313" s="108" t="s">
        <v>2629</v>
      </c>
      <c r="I313" s="2"/>
      <c r="K313" s="82">
        <v>0.70309999999999995</v>
      </c>
    </row>
    <row r="314" spans="1:19" x14ac:dyDescent="0.2">
      <c r="A314" s="33">
        <v>42693</v>
      </c>
      <c r="B314" s="5" t="s">
        <v>866</v>
      </c>
      <c r="C314" s="32" t="s">
        <v>867</v>
      </c>
      <c r="D314" s="65">
        <v>1.8958333333333334E-2</v>
      </c>
      <c r="E314" s="5" t="s">
        <v>1982</v>
      </c>
      <c r="F314" s="69"/>
      <c r="I314" s="2"/>
      <c r="K314" s="82">
        <v>0.6825</v>
      </c>
    </row>
    <row r="315" spans="1:19" x14ac:dyDescent="0.2">
      <c r="A315" s="33">
        <v>42679</v>
      </c>
      <c r="B315" s="5" t="s">
        <v>866</v>
      </c>
      <c r="C315" s="32" t="s">
        <v>867</v>
      </c>
      <c r="D315" s="65">
        <v>1.8958333333333334E-2</v>
      </c>
      <c r="E315" t="s">
        <v>4161</v>
      </c>
      <c r="F315" s="69" t="s">
        <v>598</v>
      </c>
      <c r="I315" s="2"/>
      <c r="K315" s="82">
        <v>0.68500000000000005</v>
      </c>
      <c r="S315" s="80"/>
    </row>
    <row r="316" spans="1:19" x14ac:dyDescent="0.2">
      <c r="A316" s="33">
        <v>42672</v>
      </c>
      <c r="B316" s="5" t="s">
        <v>866</v>
      </c>
      <c r="C316" s="32" t="s">
        <v>867</v>
      </c>
      <c r="D316" s="65">
        <v>1.8692129629629631E-2</v>
      </c>
      <c r="E316" t="s">
        <v>4161</v>
      </c>
      <c r="F316" s="69" t="s">
        <v>4162</v>
      </c>
      <c r="I316" s="2"/>
      <c r="K316" s="82">
        <v>0.69230000000000003</v>
      </c>
    </row>
    <row r="317" spans="1:19" x14ac:dyDescent="0.2">
      <c r="A317" s="33">
        <v>42665</v>
      </c>
      <c r="B317" s="5" t="s">
        <v>866</v>
      </c>
      <c r="C317" s="32" t="s">
        <v>867</v>
      </c>
      <c r="D317" s="65">
        <v>1.9039351851851852E-2</v>
      </c>
      <c r="E317" t="s">
        <v>1982</v>
      </c>
      <c r="F317" s="69" t="s">
        <v>1242</v>
      </c>
      <c r="I317" s="2"/>
      <c r="K317" s="82">
        <v>0.67959999999999998</v>
      </c>
    </row>
    <row r="318" spans="1:19" x14ac:dyDescent="0.2">
      <c r="A318" s="33">
        <v>42658</v>
      </c>
      <c r="B318" s="5" t="s">
        <v>866</v>
      </c>
      <c r="C318" s="32" t="s">
        <v>867</v>
      </c>
      <c r="D318" s="65">
        <v>1.8935185185185183E-2</v>
      </c>
      <c r="E318" t="s">
        <v>1978</v>
      </c>
      <c r="F318" s="69"/>
      <c r="G318" t="s">
        <v>3730</v>
      </c>
      <c r="I318" s="2"/>
      <c r="K318" s="82">
        <v>0.68340000000000001</v>
      </c>
    </row>
    <row r="319" spans="1:19" x14ac:dyDescent="0.2">
      <c r="A319" s="33">
        <v>42623</v>
      </c>
      <c r="B319" s="5" t="s">
        <v>866</v>
      </c>
      <c r="C319" s="32" t="s">
        <v>867</v>
      </c>
      <c r="D319" s="65">
        <v>1.849537037037037E-2</v>
      </c>
      <c r="E319" t="s">
        <v>5885</v>
      </c>
      <c r="F319" s="69" t="s">
        <v>5829</v>
      </c>
      <c r="I319" s="2"/>
      <c r="K319" s="82">
        <v>0.6996</v>
      </c>
    </row>
    <row r="320" spans="1:19" x14ac:dyDescent="0.2">
      <c r="A320" s="33">
        <v>42616</v>
      </c>
      <c r="B320" s="5" t="s">
        <v>866</v>
      </c>
      <c r="C320" s="32" t="s">
        <v>867</v>
      </c>
      <c r="D320" s="65">
        <v>1.894675925925926E-2</v>
      </c>
      <c r="E320" t="s">
        <v>5885</v>
      </c>
      <c r="F320" s="69" t="s">
        <v>2564</v>
      </c>
      <c r="I320" s="2"/>
      <c r="K320" s="82">
        <v>0.68300000000000005</v>
      </c>
    </row>
    <row r="321" spans="1:27" x14ac:dyDescent="0.2">
      <c r="A321" s="33">
        <v>42497</v>
      </c>
      <c r="B321" s="5" t="s">
        <v>866</v>
      </c>
      <c r="C321" s="32" t="s">
        <v>867</v>
      </c>
      <c r="D321" s="543">
        <v>1.7696759259259259E-2</v>
      </c>
      <c r="E321" s="5" t="s">
        <v>5885</v>
      </c>
      <c r="F321" s="108" t="s">
        <v>18</v>
      </c>
      <c r="G321" s="5"/>
      <c r="H321" s="5"/>
      <c r="I321" s="5"/>
      <c r="J321" s="5"/>
      <c r="K321" s="85">
        <v>0.73119999999999996</v>
      </c>
    </row>
    <row r="322" spans="1:27" x14ac:dyDescent="0.2">
      <c r="A322" s="33">
        <v>42490</v>
      </c>
      <c r="B322" s="5" t="s">
        <v>866</v>
      </c>
      <c r="C322" s="32" t="s">
        <v>867</v>
      </c>
      <c r="D322" s="543">
        <v>1.8148148148148146E-2</v>
      </c>
      <c r="E322" s="5" t="s">
        <v>5947</v>
      </c>
      <c r="F322" s="108" t="s">
        <v>2798</v>
      </c>
      <c r="G322" s="5"/>
      <c r="H322" s="5"/>
      <c r="I322" s="5"/>
      <c r="J322" s="5"/>
      <c r="K322" s="85">
        <v>0.71299999999999997</v>
      </c>
    </row>
    <row r="323" spans="1:27" x14ac:dyDescent="0.2">
      <c r="A323" s="33">
        <v>42483</v>
      </c>
      <c r="B323" s="5" t="s">
        <v>866</v>
      </c>
      <c r="C323" s="32" t="s">
        <v>867</v>
      </c>
      <c r="D323" s="543">
        <v>1.849537037037037E-2</v>
      </c>
      <c r="E323" s="5" t="s">
        <v>5947</v>
      </c>
      <c r="F323" s="108" t="s">
        <v>2918</v>
      </c>
      <c r="G323" s="5"/>
      <c r="H323" s="5"/>
      <c r="I323" s="2"/>
      <c r="J323" s="5"/>
      <c r="K323" s="85">
        <v>0.6996</v>
      </c>
    </row>
    <row r="324" spans="1:27" x14ac:dyDescent="0.2">
      <c r="A324" s="33">
        <v>42462</v>
      </c>
      <c r="B324" t="s">
        <v>866</v>
      </c>
      <c r="C324" s="1" t="s">
        <v>867</v>
      </c>
      <c r="D324" s="65">
        <v>1.7557870370370373E-2</v>
      </c>
      <c r="E324" t="s">
        <v>5885</v>
      </c>
      <c r="F324" s="69" t="s">
        <v>3224</v>
      </c>
      <c r="I324" s="2"/>
      <c r="K324" s="82">
        <v>0.73699999999999999</v>
      </c>
    </row>
    <row r="325" spans="1:27" x14ac:dyDescent="0.2">
      <c r="A325" s="33">
        <v>42455</v>
      </c>
      <c r="B325" t="s">
        <v>866</v>
      </c>
      <c r="C325" s="1" t="s">
        <v>867</v>
      </c>
      <c r="D325" s="65">
        <v>1.8032407407407407E-2</v>
      </c>
      <c r="E325" t="s">
        <v>5885</v>
      </c>
      <c r="F325" s="69" t="s">
        <v>107</v>
      </c>
      <c r="I325" s="2"/>
      <c r="K325" s="82">
        <v>0.71760000000000002</v>
      </c>
    </row>
    <row r="326" spans="1:27" x14ac:dyDescent="0.2">
      <c r="A326" s="33">
        <v>42427</v>
      </c>
      <c r="B326" t="s">
        <v>866</v>
      </c>
      <c r="C326" s="1" t="s">
        <v>867</v>
      </c>
      <c r="D326" s="65">
        <v>1.8067129629629631E-2</v>
      </c>
      <c r="E326" s="5" t="s">
        <v>5198</v>
      </c>
      <c r="F326" s="69"/>
      <c r="I326" s="2"/>
      <c r="K326" s="82">
        <v>0.71619999999999995</v>
      </c>
    </row>
    <row r="327" spans="1:27" x14ac:dyDescent="0.2">
      <c r="A327" s="33">
        <v>42420</v>
      </c>
      <c r="B327" t="s">
        <v>866</v>
      </c>
      <c r="C327" s="1" t="s">
        <v>867</v>
      </c>
      <c r="D327" s="65">
        <v>1.7835648148148149E-2</v>
      </c>
      <c r="E327" t="s">
        <v>5885</v>
      </c>
      <c r="F327" s="69" t="s">
        <v>673</v>
      </c>
      <c r="I327" s="2"/>
      <c r="K327" s="82">
        <v>0.72550000000000003</v>
      </c>
      <c r="AA327" s="41"/>
    </row>
    <row r="328" spans="1:27" x14ac:dyDescent="0.2">
      <c r="A328" s="33">
        <v>42413</v>
      </c>
      <c r="B328" t="s">
        <v>866</v>
      </c>
      <c r="C328" s="1" t="s">
        <v>867</v>
      </c>
      <c r="D328" s="65">
        <v>1.7997685185185186E-2</v>
      </c>
      <c r="E328" t="s">
        <v>5885</v>
      </c>
      <c r="F328" s="69" t="s">
        <v>1630</v>
      </c>
      <c r="I328" s="2"/>
      <c r="K328" s="82">
        <v>0.71899999999999997</v>
      </c>
    </row>
    <row r="329" spans="1:27" x14ac:dyDescent="0.2">
      <c r="A329" s="33">
        <v>42406</v>
      </c>
      <c r="B329" t="s">
        <v>866</v>
      </c>
      <c r="C329" s="1" t="s">
        <v>867</v>
      </c>
      <c r="D329" s="65">
        <v>1.7893518518518517E-2</v>
      </c>
      <c r="E329" t="s">
        <v>5885</v>
      </c>
      <c r="F329" s="69" t="s">
        <v>1384</v>
      </c>
      <c r="I329" s="2"/>
      <c r="K329" s="82">
        <v>0.71220000000000006</v>
      </c>
    </row>
    <row r="330" spans="1:27" x14ac:dyDescent="0.2">
      <c r="A330" s="33">
        <v>42399</v>
      </c>
      <c r="B330" t="s">
        <v>866</v>
      </c>
      <c r="C330" s="1" t="s">
        <v>867</v>
      </c>
      <c r="D330" s="65">
        <v>1.7800925925925925E-2</v>
      </c>
      <c r="E330" t="s">
        <v>5885</v>
      </c>
      <c r="F330" s="69"/>
      <c r="I330" s="2"/>
      <c r="K330" s="82">
        <v>0.71589999999999998</v>
      </c>
    </row>
    <row r="331" spans="1:27" x14ac:dyDescent="0.2">
      <c r="A331" s="33">
        <v>42392</v>
      </c>
      <c r="B331" t="s">
        <v>866</v>
      </c>
      <c r="C331" s="1" t="s">
        <v>867</v>
      </c>
      <c r="D331" s="65">
        <v>1.7766203703703704E-2</v>
      </c>
      <c r="E331" t="s">
        <v>5885</v>
      </c>
      <c r="F331" s="97" t="s">
        <v>2130</v>
      </c>
      <c r="G331" s="2"/>
      <c r="I331" s="2"/>
      <c r="K331" s="82">
        <v>0.71730000000000005</v>
      </c>
    </row>
    <row r="332" spans="1:27" x14ac:dyDescent="0.2">
      <c r="A332" s="33">
        <v>42371</v>
      </c>
      <c r="B332" t="s">
        <v>866</v>
      </c>
      <c r="C332" s="1" t="s">
        <v>867</v>
      </c>
      <c r="D332" s="65">
        <v>1.7905092592592594E-2</v>
      </c>
      <c r="E332" s="5" t="s">
        <v>5885</v>
      </c>
      <c r="F332" s="69" t="s">
        <v>934</v>
      </c>
      <c r="K332" s="82">
        <v>0.7117</v>
      </c>
    </row>
    <row r="333" spans="1:27" x14ac:dyDescent="0.2">
      <c r="A333" s="33">
        <v>42370</v>
      </c>
      <c r="B333" t="s">
        <v>866</v>
      </c>
      <c r="C333" s="1" t="s">
        <v>867</v>
      </c>
      <c r="D333" s="65">
        <v>1.7592592592592594E-2</v>
      </c>
      <c r="E333" t="s">
        <v>5885</v>
      </c>
      <c r="F333" s="69" t="s">
        <v>4650</v>
      </c>
      <c r="I333" s="2"/>
      <c r="K333" s="82">
        <v>0.72430000000000005</v>
      </c>
    </row>
    <row r="334" spans="1:27" x14ac:dyDescent="0.2">
      <c r="A334" s="33">
        <v>42378</v>
      </c>
      <c r="B334" s="407" t="s">
        <v>1296</v>
      </c>
      <c r="C334" s="408" t="s">
        <v>867</v>
      </c>
      <c r="D334" s="544">
        <v>1.7743055555555557E-2</v>
      </c>
      <c r="E334" s="407" t="s">
        <v>5885</v>
      </c>
      <c r="F334" s="545" t="s">
        <v>940</v>
      </c>
      <c r="G334" s="407"/>
      <c r="H334" s="407"/>
      <c r="I334" s="348"/>
      <c r="J334" s="407"/>
      <c r="K334" s="546">
        <v>0.71819999999999995</v>
      </c>
    </row>
    <row r="335" spans="1:27" x14ac:dyDescent="0.2">
      <c r="A335" s="33">
        <v>42665</v>
      </c>
      <c r="B335" s="53" t="s">
        <v>2478</v>
      </c>
      <c r="C335" s="54" t="s">
        <v>3744</v>
      </c>
      <c r="D335" s="65">
        <v>2.6469907407407411E-2</v>
      </c>
      <c r="E335" t="s">
        <v>1982</v>
      </c>
      <c r="F335" s="69" t="s">
        <v>5175</v>
      </c>
      <c r="I335" s="2"/>
      <c r="K335" s="82">
        <v>0.46829999999999999</v>
      </c>
    </row>
    <row r="336" spans="1:27" x14ac:dyDescent="0.2">
      <c r="A336" s="33">
        <v>42721</v>
      </c>
      <c r="B336" s="5" t="s">
        <v>3837</v>
      </c>
      <c r="C336" s="32" t="s">
        <v>3838</v>
      </c>
      <c r="D336" s="65">
        <v>1.6875000000000001E-2</v>
      </c>
      <c r="E336" s="5" t="s">
        <v>129</v>
      </c>
      <c r="F336" s="108" t="s">
        <v>6107</v>
      </c>
      <c r="I336" s="2"/>
      <c r="K336" s="82">
        <v>0.63239999999999996</v>
      </c>
    </row>
    <row r="337" spans="1:11" x14ac:dyDescent="0.2">
      <c r="A337" s="33">
        <v>42700</v>
      </c>
      <c r="B337" s="5" t="s">
        <v>3837</v>
      </c>
      <c r="C337" s="32" t="s">
        <v>3838</v>
      </c>
      <c r="D337" s="65">
        <v>1.7222222222222222E-2</v>
      </c>
      <c r="E337" s="5" t="s">
        <v>129</v>
      </c>
      <c r="F337" s="108" t="s">
        <v>2851</v>
      </c>
      <c r="I337" s="2"/>
      <c r="K337" s="82">
        <v>0.61960000000000004</v>
      </c>
    </row>
    <row r="338" spans="1:11" x14ac:dyDescent="0.2">
      <c r="A338" s="33">
        <v>42686</v>
      </c>
      <c r="B338" s="5" t="s">
        <v>3837</v>
      </c>
      <c r="C338" s="32" t="s">
        <v>3838</v>
      </c>
      <c r="D338" s="65">
        <v>1.5636574074074074E-2</v>
      </c>
      <c r="E338" t="s">
        <v>5885</v>
      </c>
      <c r="F338" s="69" t="s">
        <v>1472</v>
      </c>
      <c r="I338" s="2"/>
      <c r="K338" s="82">
        <v>0.6825</v>
      </c>
    </row>
    <row r="339" spans="1:11" x14ac:dyDescent="0.2">
      <c r="A339" s="33">
        <v>42679</v>
      </c>
      <c r="B339" s="5" t="s">
        <v>3837</v>
      </c>
      <c r="C339" s="32" t="s">
        <v>3838</v>
      </c>
      <c r="D339" s="65">
        <v>1.5219907407407409E-2</v>
      </c>
      <c r="E339" t="s">
        <v>5885</v>
      </c>
      <c r="F339" s="69" t="s">
        <v>624</v>
      </c>
      <c r="I339" s="2"/>
      <c r="K339" s="82">
        <v>0.70109999999999995</v>
      </c>
    </row>
    <row r="340" spans="1:11" x14ac:dyDescent="0.2">
      <c r="A340" s="33">
        <v>42672</v>
      </c>
      <c r="B340" s="5" t="s">
        <v>3837</v>
      </c>
      <c r="C340" s="32" t="s">
        <v>3838</v>
      </c>
      <c r="D340" s="65">
        <v>1.4895833333333332E-2</v>
      </c>
      <c r="E340" t="s">
        <v>5885</v>
      </c>
      <c r="F340" s="69" t="s">
        <v>4166</v>
      </c>
      <c r="I340" s="2"/>
      <c r="K340" s="82">
        <v>0.71640000000000004</v>
      </c>
    </row>
    <row r="341" spans="1:11" x14ac:dyDescent="0.2">
      <c r="A341" s="33">
        <v>42665</v>
      </c>
      <c r="B341" s="5" t="s">
        <v>3837</v>
      </c>
      <c r="C341" s="32" t="s">
        <v>3838</v>
      </c>
      <c r="D341" s="65">
        <v>1.5138888888888889E-2</v>
      </c>
      <c r="E341" s="1" t="s">
        <v>5885</v>
      </c>
      <c r="F341" s="69" t="s">
        <v>4953</v>
      </c>
      <c r="I341" s="2"/>
      <c r="K341" s="82">
        <v>0.70489999999999997</v>
      </c>
    </row>
    <row r="342" spans="1:11" x14ac:dyDescent="0.2">
      <c r="A342" s="33">
        <v>42658</v>
      </c>
      <c r="B342" s="5" t="s">
        <v>3837</v>
      </c>
      <c r="C342" s="32" t="s">
        <v>3838</v>
      </c>
      <c r="D342" s="65">
        <v>1.5162037037037036E-2</v>
      </c>
      <c r="E342" t="s">
        <v>5885</v>
      </c>
      <c r="F342" s="69" t="s">
        <v>6012</v>
      </c>
      <c r="I342" s="2"/>
      <c r="K342" s="82">
        <v>0.70379999999999998</v>
      </c>
    </row>
    <row r="343" spans="1:11" x14ac:dyDescent="0.2">
      <c r="A343" s="33">
        <v>42651</v>
      </c>
      <c r="B343" s="197" t="s">
        <v>3837</v>
      </c>
      <c r="C343" s="265" t="s">
        <v>3838</v>
      </c>
      <c r="D343" s="65">
        <v>1.5729166666666666E-2</v>
      </c>
      <c r="E343" t="s">
        <v>5453</v>
      </c>
      <c r="F343" s="69" t="s">
        <v>5025</v>
      </c>
      <c r="I343" s="2"/>
      <c r="K343" s="82">
        <v>0.6784</v>
      </c>
    </row>
    <row r="344" spans="1:11" x14ac:dyDescent="0.2">
      <c r="A344" s="33">
        <v>42644</v>
      </c>
      <c r="B344" s="197" t="s">
        <v>3837</v>
      </c>
      <c r="C344" s="265" t="s">
        <v>3838</v>
      </c>
      <c r="D344" s="65">
        <v>1.5601851851851851E-2</v>
      </c>
      <c r="E344" t="s">
        <v>129</v>
      </c>
      <c r="F344" s="69" t="s">
        <v>4958</v>
      </c>
      <c r="I344" s="2"/>
      <c r="K344" s="82">
        <v>0.68400000000000005</v>
      </c>
    </row>
    <row r="345" spans="1:11" x14ac:dyDescent="0.2">
      <c r="A345" s="33">
        <v>42630</v>
      </c>
      <c r="B345" s="197" t="s">
        <v>3837</v>
      </c>
      <c r="C345" s="265" t="s">
        <v>3838</v>
      </c>
      <c r="D345" s="65">
        <v>1.5266203703703705E-2</v>
      </c>
      <c r="E345" t="s">
        <v>5885</v>
      </c>
      <c r="F345" s="69" t="s">
        <v>1422</v>
      </c>
      <c r="I345" s="2"/>
      <c r="K345" s="82">
        <v>0.69899999999999995</v>
      </c>
    </row>
    <row r="346" spans="1:11" x14ac:dyDescent="0.2">
      <c r="A346" s="33">
        <v>42616</v>
      </c>
      <c r="B346" s="197" t="s">
        <v>3837</v>
      </c>
      <c r="C346" s="265" t="s">
        <v>3838</v>
      </c>
      <c r="D346" s="65">
        <v>1.5844907407407408E-2</v>
      </c>
      <c r="E346" t="s">
        <v>129</v>
      </c>
      <c r="F346" s="69" t="s">
        <v>5</v>
      </c>
      <c r="I346" s="2"/>
      <c r="K346" s="82">
        <v>0.67349999999999999</v>
      </c>
    </row>
    <row r="347" spans="1:11" x14ac:dyDescent="0.2">
      <c r="A347" s="33">
        <v>42602</v>
      </c>
      <c r="B347" s="197" t="s">
        <v>3837</v>
      </c>
      <c r="C347" s="265" t="s">
        <v>3838</v>
      </c>
      <c r="D347" s="65" t="s">
        <v>787</v>
      </c>
      <c r="E347" s="5" t="s">
        <v>5885</v>
      </c>
      <c r="F347" s="69"/>
      <c r="I347" s="2"/>
      <c r="K347" s="82"/>
    </row>
    <row r="348" spans="1:11" x14ac:dyDescent="0.2">
      <c r="A348" s="33">
        <v>42595</v>
      </c>
      <c r="B348" s="197" t="s">
        <v>3837</v>
      </c>
      <c r="C348" s="265" t="s">
        <v>3838</v>
      </c>
      <c r="D348" s="65">
        <v>1.5196759259259259E-2</v>
      </c>
      <c r="E348" t="s">
        <v>5885</v>
      </c>
      <c r="F348" s="69" t="s">
        <v>2470</v>
      </c>
      <c r="I348" s="2"/>
      <c r="K348" s="82">
        <v>0.70220000000000005</v>
      </c>
    </row>
    <row r="349" spans="1:11" x14ac:dyDescent="0.2">
      <c r="A349" s="33">
        <v>42588</v>
      </c>
      <c r="B349" s="197" t="s">
        <v>3837</v>
      </c>
      <c r="C349" s="265" t="s">
        <v>3838</v>
      </c>
      <c r="D349" s="543">
        <v>1.5069444444444443E-2</v>
      </c>
      <c r="E349" s="5" t="s">
        <v>5885</v>
      </c>
      <c r="F349" s="108"/>
      <c r="G349" s="5"/>
      <c r="H349" s="5"/>
      <c r="I349" s="2"/>
      <c r="J349" s="5"/>
      <c r="K349" s="85">
        <v>0.70809999999999995</v>
      </c>
    </row>
    <row r="350" spans="1:11" x14ac:dyDescent="0.2">
      <c r="A350" s="33">
        <v>42581</v>
      </c>
      <c r="B350" s="197" t="s">
        <v>3837</v>
      </c>
      <c r="C350" s="265" t="s">
        <v>3838</v>
      </c>
      <c r="D350" s="65">
        <v>1.4999999999999999E-2</v>
      </c>
      <c r="E350" t="s">
        <v>5885</v>
      </c>
      <c r="F350" s="69" t="s">
        <v>4068</v>
      </c>
      <c r="I350" s="2"/>
      <c r="K350" s="82">
        <v>0.71140000000000003</v>
      </c>
    </row>
    <row r="351" spans="1:11" x14ac:dyDescent="0.2">
      <c r="A351" s="33">
        <v>42567</v>
      </c>
      <c r="B351" s="197" t="s">
        <v>3837</v>
      </c>
      <c r="C351" s="265" t="s">
        <v>3838</v>
      </c>
      <c r="D351" s="65">
        <v>1.4826388888888889E-2</v>
      </c>
      <c r="E351" t="s">
        <v>5885</v>
      </c>
      <c r="F351" s="69" t="s">
        <v>5132</v>
      </c>
      <c r="I351" s="2"/>
      <c r="K351" s="82">
        <v>0.7198</v>
      </c>
    </row>
    <row r="352" spans="1:11" x14ac:dyDescent="0.2">
      <c r="A352" s="33">
        <v>42560</v>
      </c>
      <c r="B352" s="197" t="s">
        <v>3837</v>
      </c>
      <c r="C352" s="265" t="s">
        <v>3838</v>
      </c>
      <c r="D352" s="65">
        <v>1.5300925925925926E-2</v>
      </c>
      <c r="E352" t="s">
        <v>5885</v>
      </c>
      <c r="F352" s="69"/>
      <c r="I352" s="2"/>
      <c r="K352" s="82">
        <v>0.69740000000000002</v>
      </c>
    </row>
    <row r="353" spans="1:27" x14ac:dyDescent="0.2">
      <c r="A353" s="33">
        <v>42553</v>
      </c>
      <c r="B353" s="197" t="s">
        <v>3837</v>
      </c>
      <c r="C353" s="265" t="s">
        <v>3838</v>
      </c>
      <c r="D353" s="65">
        <v>1.5266203703703705E-2</v>
      </c>
      <c r="E353" t="s">
        <v>5885</v>
      </c>
      <c r="F353" s="69" t="s">
        <v>4493</v>
      </c>
      <c r="I353" s="2"/>
      <c r="K353" s="82">
        <v>0.69899999999999995</v>
      </c>
    </row>
    <row r="354" spans="1:27" x14ac:dyDescent="0.2">
      <c r="A354" s="33">
        <v>42539</v>
      </c>
      <c r="B354" s="197" t="s">
        <v>3837</v>
      </c>
      <c r="C354" s="265" t="s">
        <v>3838</v>
      </c>
      <c r="D354" s="65">
        <v>1.5023148148148148E-2</v>
      </c>
      <c r="E354" t="s">
        <v>5885</v>
      </c>
      <c r="F354" s="69"/>
      <c r="I354" s="2"/>
      <c r="K354" s="82">
        <v>0.71030000000000004</v>
      </c>
    </row>
    <row r="355" spans="1:27" x14ac:dyDescent="0.2">
      <c r="A355" s="33">
        <v>42518</v>
      </c>
      <c r="B355" s="197" t="s">
        <v>3837</v>
      </c>
      <c r="C355" s="265" t="s">
        <v>3838</v>
      </c>
      <c r="D355" s="543">
        <v>1.486111111111111E-2</v>
      </c>
      <c r="E355" s="5" t="s">
        <v>5885</v>
      </c>
      <c r="F355" s="108" t="s">
        <v>3792</v>
      </c>
      <c r="G355" s="5"/>
      <c r="H355" s="5"/>
      <c r="I355" s="2"/>
      <c r="J355" s="5"/>
      <c r="K355" s="85">
        <v>0.71809999999999996</v>
      </c>
    </row>
    <row r="356" spans="1:27" x14ac:dyDescent="0.2">
      <c r="A356" s="33">
        <v>42511</v>
      </c>
      <c r="B356" s="197" t="s">
        <v>3837</v>
      </c>
      <c r="C356" s="265" t="s">
        <v>3838</v>
      </c>
      <c r="D356" s="65">
        <v>1.4745370370370372E-2</v>
      </c>
      <c r="E356" s="5" t="s">
        <v>5885</v>
      </c>
      <c r="F356" s="69" t="s">
        <v>3267</v>
      </c>
      <c r="I356" s="2"/>
      <c r="K356" s="82">
        <v>0.72370000000000001</v>
      </c>
    </row>
    <row r="357" spans="1:27" x14ac:dyDescent="0.2">
      <c r="A357" s="33">
        <v>42504</v>
      </c>
      <c r="B357" s="197" t="s">
        <v>3837</v>
      </c>
      <c r="C357" s="265" t="s">
        <v>3838</v>
      </c>
      <c r="D357" s="543">
        <v>1.4594907407407405E-2</v>
      </c>
      <c r="E357" s="5" t="s">
        <v>5885</v>
      </c>
      <c r="F357" s="108" t="s">
        <v>2352</v>
      </c>
      <c r="G357" s="5"/>
      <c r="H357" s="5"/>
      <c r="I357" s="5"/>
      <c r="J357" s="5"/>
      <c r="K357" s="85">
        <v>0.73119999999999996</v>
      </c>
    </row>
    <row r="358" spans="1:27" x14ac:dyDescent="0.2">
      <c r="A358" s="33">
        <v>42497</v>
      </c>
      <c r="B358" s="197" t="s">
        <v>3837</v>
      </c>
      <c r="C358" s="265" t="s">
        <v>3838</v>
      </c>
      <c r="D358" s="543">
        <v>1.5023148148148148E-2</v>
      </c>
      <c r="E358" s="5" t="s">
        <v>5885</v>
      </c>
      <c r="F358" s="108" t="s">
        <v>102</v>
      </c>
      <c r="G358" s="5"/>
      <c r="H358" s="5"/>
      <c r="I358" s="5"/>
      <c r="J358" s="5"/>
      <c r="K358" s="85">
        <v>0.71030000000000004</v>
      </c>
      <c r="S358" s="80"/>
    </row>
    <row r="359" spans="1:27" x14ac:dyDescent="0.2">
      <c r="A359" s="33">
        <v>42483</v>
      </c>
      <c r="B359" s="197" t="s">
        <v>3837</v>
      </c>
      <c r="C359" s="265" t="s">
        <v>3838</v>
      </c>
      <c r="D359" s="543">
        <v>1.4826388888888889E-2</v>
      </c>
      <c r="E359" s="5" t="s">
        <v>5885</v>
      </c>
      <c r="F359" s="108" t="s">
        <v>6010</v>
      </c>
      <c r="G359" s="5"/>
      <c r="H359" s="5"/>
      <c r="I359" s="2"/>
      <c r="J359" s="5"/>
      <c r="K359" s="85">
        <v>0.7198</v>
      </c>
    </row>
    <row r="360" spans="1:27" x14ac:dyDescent="0.2">
      <c r="A360" s="33">
        <v>42476</v>
      </c>
      <c r="B360" s="197" t="s">
        <v>3837</v>
      </c>
      <c r="C360" s="265" t="s">
        <v>3838</v>
      </c>
      <c r="D360" s="65">
        <v>1.554398148148148E-2</v>
      </c>
      <c r="E360" s="5" t="s">
        <v>129</v>
      </c>
      <c r="F360" s="69"/>
      <c r="I360" s="2"/>
      <c r="K360" s="82">
        <v>0.6865</v>
      </c>
    </row>
    <row r="361" spans="1:27" x14ac:dyDescent="0.2">
      <c r="A361" s="33">
        <v>42469</v>
      </c>
      <c r="B361" s="197" t="s">
        <v>3837</v>
      </c>
      <c r="C361" s="265" t="s">
        <v>3838</v>
      </c>
      <c r="D361" s="65">
        <v>1.5694444444444445E-2</v>
      </c>
      <c r="E361" t="s">
        <v>129</v>
      </c>
      <c r="F361" s="69"/>
      <c r="I361" s="2"/>
      <c r="K361" s="82">
        <v>0.67989999999999995</v>
      </c>
    </row>
    <row r="362" spans="1:27" x14ac:dyDescent="0.2">
      <c r="A362" s="33">
        <v>42462</v>
      </c>
      <c r="B362" s="197" t="s">
        <v>3837</v>
      </c>
      <c r="C362" s="265" t="s">
        <v>3838</v>
      </c>
      <c r="D362" s="65">
        <v>1.4918981481481483E-2</v>
      </c>
      <c r="E362" s="5" t="s">
        <v>5885</v>
      </c>
      <c r="F362" s="69" t="s">
        <v>1203</v>
      </c>
      <c r="I362" s="2"/>
      <c r="K362" s="82">
        <v>0.71530000000000005</v>
      </c>
    </row>
    <row r="363" spans="1:27" x14ac:dyDescent="0.2">
      <c r="A363" s="33">
        <v>42441</v>
      </c>
      <c r="B363" s="197" t="s">
        <v>3837</v>
      </c>
      <c r="C363" s="265" t="s">
        <v>3838</v>
      </c>
      <c r="D363" s="65">
        <v>1.5127314814814816E-2</v>
      </c>
      <c r="E363" t="s">
        <v>129</v>
      </c>
      <c r="F363" s="69" t="s">
        <v>2629</v>
      </c>
      <c r="I363" s="2"/>
      <c r="K363" s="82">
        <v>0.70540000000000003</v>
      </c>
      <c r="AA363" s="41"/>
    </row>
    <row r="364" spans="1:27" x14ac:dyDescent="0.2">
      <c r="A364" s="33">
        <v>42434</v>
      </c>
      <c r="B364" s="197" t="s">
        <v>3837</v>
      </c>
      <c r="C364" s="265" t="s">
        <v>3838</v>
      </c>
      <c r="D364" s="65">
        <v>1.5231481481481483E-2</v>
      </c>
      <c r="E364" t="s">
        <v>129</v>
      </c>
      <c r="F364" s="69" t="s">
        <v>188</v>
      </c>
      <c r="I364" s="2"/>
      <c r="K364" s="82">
        <v>0.7006</v>
      </c>
    </row>
    <row r="365" spans="1:27" x14ac:dyDescent="0.2">
      <c r="A365" s="33">
        <v>42427</v>
      </c>
      <c r="B365" s="197" t="s">
        <v>3837</v>
      </c>
      <c r="C365" s="265" t="s">
        <v>3838</v>
      </c>
      <c r="D365" s="65">
        <v>1.494212962962963E-2</v>
      </c>
      <c r="E365" s="5" t="s">
        <v>5885</v>
      </c>
      <c r="F365" s="69"/>
      <c r="I365" s="2"/>
      <c r="K365" s="82">
        <v>0.71419999999999995</v>
      </c>
    </row>
    <row r="366" spans="1:27" x14ac:dyDescent="0.2">
      <c r="A366" s="33">
        <v>42420</v>
      </c>
      <c r="B366" s="197" t="s">
        <v>3837</v>
      </c>
      <c r="C366" s="265" t="s">
        <v>3838</v>
      </c>
      <c r="D366" s="65">
        <v>1.5277777777777777E-2</v>
      </c>
      <c r="E366" t="s">
        <v>129</v>
      </c>
      <c r="F366" s="69" t="s">
        <v>3179</v>
      </c>
      <c r="I366" s="2"/>
      <c r="K366" s="82">
        <v>0.69850000000000001</v>
      </c>
    </row>
    <row r="367" spans="1:27" x14ac:dyDescent="0.2">
      <c r="A367" s="33">
        <v>42413</v>
      </c>
      <c r="B367" s="197" t="s">
        <v>3837</v>
      </c>
      <c r="C367" s="265" t="s">
        <v>3838</v>
      </c>
      <c r="D367" s="65">
        <v>1.5150462962962963E-2</v>
      </c>
      <c r="E367" t="s">
        <v>5885</v>
      </c>
      <c r="F367" s="69" t="s">
        <v>2157</v>
      </c>
      <c r="I367" s="2"/>
      <c r="K367" s="82">
        <v>0.70440000000000003</v>
      </c>
    </row>
    <row r="368" spans="1:27" x14ac:dyDescent="0.2">
      <c r="A368" s="33">
        <v>42406</v>
      </c>
      <c r="B368" s="197" t="s">
        <v>3837</v>
      </c>
      <c r="C368" s="265" t="s">
        <v>3838</v>
      </c>
      <c r="D368" s="65">
        <v>1.5405092592592593E-2</v>
      </c>
      <c r="E368" t="s">
        <v>129</v>
      </c>
      <c r="F368" s="69" t="s">
        <v>4803</v>
      </c>
      <c r="I368" s="2"/>
      <c r="K368" s="82">
        <v>0.69269999999999998</v>
      </c>
    </row>
    <row r="369" spans="1:13" x14ac:dyDescent="0.2">
      <c r="A369" s="33">
        <v>42385</v>
      </c>
      <c r="B369" s="197" t="s">
        <v>3837</v>
      </c>
      <c r="C369" s="265" t="s">
        <v>3838</v>
      </c>
      <c r="D369" s="65">
        <v>1.4780092592592595E-2</v>
      </c>
      <c r="E369" t="s">
        <v>5885</v>
      </c>
      <c r="F369" s="69" t="s">
        <v>164</v>
      </c>
      <c r="I369" s="2"/>
      <c r="K369" s="82">
        <v>0.72199999999999998</v>
      </c>
    </row>
    <row r="370" spans="1:13" x14ac:dyDescent="0.2">
      <c r="A370" s="33">
        <v>42378</v>
      </c>
      <c r="B370" s="197" t="s">
        <v>3837</v>
      </c>
      <c r="C370" s="265" t="s">
        <v>3838</v>
      </c>
      <c r="D370" s="544">
        <v>1.5347222222222222E-2</v>
      </c>
      <c r="E370" s="407" t="s">
        <v>5885</v>
      </c>
      <c r="F370" s="545" t="s">
        <v>2043</v>
      </c>
      <c r="G370" s="407"/>
      <c r="H370" s="407"/>
      <c r="I370" s="348"/>
      <c r="J370" s="407"/>
      <c r="K370" s="546">
        <v>0.69530000000000003</v>
      </c>
    </row>
    <row r="371" spans="1:13" x14ac:dyDescent="0.2">
      <c r="A371" s="33">
        <v>42371</v>
      </c>
      <c r="B371" s="197" t="s">
        <v>3837</v>
      </c>
      <c r="C371" s="265" t="s">
        <v>3838</v>
      </c>
      <c r="D371" s="65">
        <v>1.5428240740740741E-2</v>
      </c>
      <c r="E371" s="5" t="s">
        <v>5885</v>
      </c>
      <c r="F371" s="69" t="s">
        <v>5338</v>
      </c>
      <c r="K371" s="82">
        <v>0.68569999999999998</v>
      </c>
    </row>
    <row r="372" spans="1:13" x14ac:dyDescent="0.2">
      <c r="A372" s="33">
        <v>42370</v>
      </c>
      <c r="B372" s="197" t="s">
        <v>3837</v>
      </c>
      <c r="C372" s="265" t="s">
        <v>3838</v>
      </c>
      <c r="D372" s="65">
        <v>1.5196759259259259E-2</v>
      </c>
      <c r="E372" t="s">
        <v>5885</v>
      </c>
      <c r="F372" s="69"/>
      <c r="I372" s="2"/>
      <c r="K372" s="82">
        <v>0.69610000000000005</v>
      </c>
    </row>
    <row r="373" spans="1:13" x14ac:dyDescent="0.2">
      <c r="A373" s="33">
        <v>42735</v>
      </c>
      <c r="B373" s="80" t="s">
        <v>3508</v>
      </c>
      <c r="C373" s="334" t="s">
        <v>3632</v>
      </c>
      <c r="D373" s="65">
        <v>1.7615740740740741E-2</v>
      </c>
      <c r="E373" s="80" t="s">
        <v>5885</v>
      </c>
      <c r="F373" s="69" t="s">
        <v>6171</v>
      </c>
      <c r="I373" s="2"/>
      <c r="K373" s="82">
        <v>0.60050000000000003</v>
      </c>
      <c r="M373" s="80" t="s">
        <v>6167</v>
      </c>
    </row>
    <row r="374" spans="1:13" x14ac:dyDescent="0.2">
      <c r="A374" s="33">
        <v>42729</v>
      </c>
      <c r="B374" s="80" t="s">
        <v>3508</v>
      </c>
      <c r="C374" s="334" t="s">
        <v>3632</v>
      </c>
      <c r="D374" s="65">
        <v>1.6030092592592592E-2</v>
      </c>
      <c r="E374" s="80" t="s">
        <v>5885</v>
      </c>
      <c r="F374" s="69" t="s">
        <v>6148</v>
      </c>
      <c r="I374" s="2"/>
      <c r="K374" s="82">
        <v>0.69989999999999997</v>
      </c>
    </row>
    <row r="375" spans="1:13" x14ac:dyDescent="0.2">
      <c r="A375" s="523">
        <v>42728</v>
      </c>
      <c r="B375" s="80" t="s">
        <v>3508</v>
      </c>
      <c r="C375" s="334" t="s">
        <v>3632</v>
      </c>
      <c r="D375" s="65">
        <v>1.7199074074074071E-2</v>
      </c>
      <c r="E375" s="80" t="s">
        <v>1003</v>
      </c>
      <c r="F375" s="69" t="s">
        <v>1203</v>
      </c>
      <c r="I375" s="2"/>
      <c r="K375" s="82">
        <v>0.61509999999999998</v>
      </c>
    </row>
    <row r="376" spans="1:13" x14ac:dyDescent="0.2">
      <c r="A376" s="33">
        <v>42721</v>
      </c>
      <c r="B376" s="80" t="s">
        <v>3508</v>
      </c>
      <c r="C376" s="334" t="s">
        <v>3632</v>
      </c>
      <c r="D376" s="65">
        <v>1.8298611111111113E-2</v>
      </c>
      <c r="E376" s="5" t="s">
        <v>5885</v>
      </c>
      <c r="F376" s="108" t="s">
        <v>6110</v>
      </c>
      <c r="I376" s="2"/>
      <c r="K376" s="82">
        <v>0.57809999999999995</v>
      </c>
    </row>
    <row r="377" spans="1:13" x14ac:dyDescent="0.2">
      <c r="A377" s="33">
        <v>42714</v>
      </c>
      <c r="B377" s="80" t="s">
        <v>3508</v>
      </c>
      <c r="C377" s="334" t="s">
        <v>3632</v>
      </c>
      <c r="D377" s="65">
        <v>1.5474537037037038E-2</v>
      </c>
      <c r="E377" s="5" t="s">
        <v>5885</v>
      </c>
      <c r="F377" s="108" t="s">
        <v>1685</v>
      </c>
      <c r="I377" s="2"/>
      <c r="K377" s="82">
        <v>0.68359999999999999</v>
      </c>
    </row>
    <row r="378" spans="1:13" x14ac:dyDescent="0.2">
      <c r="A378" s="33">
        <v>42707</v>
      </c>
      <c r="B378" s="80" t="s">
        <v>3508</v>
      </c>
      <c r="C378" s="334" t="s">
        <v>3632</v>
      </c>
      <c r="D378" s="65">
        <v>1.4988425925925926E-2</v>
      </c>
      <c r="E378" t="s">
        <v>5885</v>
      </c>
      <c r="F378" s="108" t="s">
        <v>6038</v>
      </c>
      <c r="I378" s="2"/>
      <c r="K378" s="82">
        <v>0.70579999999999998</v>
      </c>
    </row>
    <row r="379" spans="1:13" x14ac:dyDescent="0.2">
      <c r="A379" s="33">
        <v>42700</v>
      </c>
      <c r="B379" s="80" t="s">
        <v>3508</v>
      </c>
      <c r="C379" s="334" t="s">
        <v>3632</v>
      </c>
      <c r="D379" s="65">
        <v>1.5231481481481483E-2</v>
      </c>
      <c r="E379" s="5" t="s">
        <v>5885</v>
      </c>
      <c r="F379" s="69"/>
      <c r="I379" s="2"/>
      <c r="K379" s="82">
        <v>0.70520000000000005</v>
      </c>
    </row>
    <row r="380" spans="1:13" x14ac:dyDescent="0.2">
      <c r="A380" s="33">
        <v>42693</v>
      </c>
      <c r="B380" s="80" t="s">
        <v>3508</v>
      </c>
      <c r="C380" s="334" t="s">
        <v>3632</v>
      </c>
      <c r="D380" s="65">
        <v>1.7152777777777777E-2</v>
      </c>
      <c r="E380" s="5" t="s">
        <v>5885</v>
      </c>
      <c r="F380" s="69"/>
      <c r="I380" s="2"/>
      <c r="K380" s="82">
        <v>0.61670000000000003</v>
      </c>
    </row>
    <row r="381" spans="1:13" x14ac:dyDescent="0.2">
      <c r="A381" s="33">
        <v>42679</v>
      </c>
      <c r="B381" s="80" t="s">
        <v>3508</v>
      </c>
      <c r="C381" s="334" t="s">
        <v>3632</v>
      </c>
      <c r="D381" s="65">
        <v>1.7164351851851851E-2</v>
      </c>
      <c r="E381" t="s">
        <v>5885</v>
      </c>
      <c r="F381" s="69" t="s">
        <v>4803</v>
      </c>
      <c r="I381" s="2"/>
      <c r="K381" s="82">
        <v>0.61629999999999996</v>
      </c>
      <c r="M381" s="80" t="s">
        <v>6166</v>
      </c>
    </row>
    <row r="382" spans="1:13" x14ac:dyDescent="0.2">
      <c r="A382" s="33">
        <v>42665</v>
      </c>
      <c r="B382" s="80" t="s">
        <v>3508</v>
      </c>
      <c r="C382" s="334" t="s">
        <v>3632</v>
      </c>
      <c r="D382" s="65">
        <v>1.6921296296296299E-2</v>
      </c>
      <c r="E382" t="s">
        <v>5885</v>
      </c>
      <c r="F382" s="69" t="s">
        <v>1256</v>
      </c>
      <c r="I382" s="2"/>
      <c r="K382" s="82">
        <v>0.62519999999999998</v>
      </c>
    </row>
    <row r="383" spans="1:13" x14ac:dyDescent="0.2">
      <c r="A383" s="33">
        <v>42658</v>
      </c>
      <c r="B383" s="80" t="s">
        <v>3508</v>
      </c>
      <c r="C383" s="334" t="s">
        <v>3632</v>
      </c>
      <c r="D383" s="65">
        <v>1.4999999999999999E-2</v>
      </c>
      <c r="E383" t="s">
        <v>5885</v>
      </c>
      <c r="F383" s="69" t="s">
        <v>1971</v>
      </c>
      <c r="I383" s="2"/>
      <c r="K383" s="82">
        <v>0.70520000000000005</v>
      </c>
    </row>
    <row r="384" spans="1:13" x14ac:dyDescent="0.2">
      <c r="A384" s="33">
        <v>42651</v>
      </c>
      <c r="B384" s="80" t="s">
        <v>3508</v>
      </c>
      <c r="C384" s="334" t="s">
        <v>3632</v>
      </c>
      <c r="D384" s="65">
        <v>1.5381944444444443E-2</v>
      </c>
      <c r="E384" t="s">
        <v>5885</v>
      </c>
      <c r="F384" s="69" t="s">
        <v>5338</v>
      </c>
      <c r="I384" s="2"/>
      <c r="K384" s="82">
        <v>0.68769999999999998</v>
      </c>
    </row>
    <row r="385" spans="1:13" x14ac:dyDescent="0.2">
      <c r="A385" s="33">
        <v>42644</v>
      </c>
      <c r="B385" s="80" t="s">
        <v>3508</v>
      </c>
      <c r="C385" s="334" t="s">
        <v>3632</v>
      </c>
      <c r="D385" s="65">
        <v>1.6168981481481482E-2</v>
      </c>
      <c r="E385" t="s">
        <v>5885</v>
      </c>
      <c r="F385" s="69" t="s">
        <v>5319</v>
      </c>
      <c r="I385" s="2"/>
      <c r="K385" s="82">
        <v>0.65429999999999999</v>
      </c>
    </row>
    <row r="386" spans="1:13" x14ac:dyDescent="0.2">
      <c r="A386" s="33">
        <v>42630</v>
      </c>
      <c r="B386" s="80" t="s">
        <v>3508</v>
      </c>
      <c r="C386" s="334" t="s">
        <v>3632</v>
      </c>
      <c r="D386" s="65">
        <v>1.6689814814814817E-2</v>
      </c>
      <c r="E386" t="s">
        <v>5885</v>
      </c>
      <c r="F386" s="69" t="s">
        <v>3367</v>
      </c>
      <c r="I386" s="2"/>
      <c r="K386" s="82">
        <v>0.63380000000000003</v>
      </c>
    </row>
    <row r="387" spans="1:13" x14ac:dyDescent="0.2">
      <c r="A387" s="33">
        <v>42623</v>
      </c>
      <c r="B387" s="80" t="s">
        <v>3508</v>
      </c>
      <c r="C387" s="334" t="s">
        <v>3632</v>
      </c>
      <c r="D387" s="65">
        <v>2.0601851851851854E-2</v>
      </c>
      <c r="E387" t="s">
        <v>5885</v>
      </c>
      <c r="F387" s="69" t="s">
        <v>5830</v>
      </c>
      <c r="I387" s="2"/>
      <c r="K387" s="82">
        <v>0.51349999999999996</v>
      </c>
    </row>
    <row r="388" spans="1:13" x14ac:dyDescent="0.2">
      <c r="A388" s="33">
        <v>42616</v>
      </c>
      <c r="B388" s="80" t="s">
        <v>3508</v>
      </c>
      <c r="C388" s="334" t="s">
        <v>3632</v>
      </c>
      <c r="D388" s="65">
        <v>1.7094907407407409E-2</v>
      </c>
      <c r="E388" t="s">
        <v>5885</v>
      </c>
      <c r="F388" s="69" t="s">
        <v>1</v>
      </c>
      <c r="I388" s="2"/>
      <c r="K388" s="82">
        <v>0.61880000000000002</v>
      </c>
    </row>
    <row r="389" spans="1:13" x14ac:dyDescent="0.2">
      <c r="A389" s="33">
        <v>42609</v>
      </c>
      <c r="B389" s="80" t="s">
        <v>3508</v>
      </c>
      <c r="C389" s="334" t="s">
        <v>3632</v>
      </c>
      <c r="D389" s="65">
        <v>2.0891203703703703E-2</v>
      </c>
      <c r="E389" t="s">
        <v>5885</v>
      </c>
      <c r="F389" s="69" t="s">
        <v>5378</v>
      </c>
      <c r="I389" s="2"/>
      <c r="K389" s="82">
        <v>0.50639999999999996</v>
      </c>
    </row>
    <row r="390" spans="1:13" x14ac:dyDescent="0.2">
      <c r="A390" s="33">
        <v>42602</v>
      </c>
      <c r="B390" s="80" t="s">
        <v>3508</v>
      </c>
      <c r="C390" s="334" t="s">
        <v>3632</v>
      </c>
      <c r="D390" s="65">
        <v>1.9456018518518518E-2</v>
      </c>
      <c r="E390" t="s">
        <v>5885</v>
      </c>
      <c r="F390" s="69" t="s">
        <v>2947</v>
      </c>
      <c r="I390" s="2"/>
      <c r="K390" s="82">
        <v>0.54369999999999996</v>
      </c>
    </row>
    <row r="391" spans="1:13" x14ac:dyDescent="0.2">
      <c r="A391" s="33">
        <v>42595</v>
      </c>
      <c r="B391" s="80" t="s">
        <v>3508</v>
      </c>
      <c r="C391" s="334" t="s">
        <v>3632</v>
      </c>
      <c r="D391" s="65">
        <v>1.5069444444444443E-2</v>
      </c>
      <c r="E391" t="s">
        <v>5885</v>
      </c>
      <c r="F391" s="69" t="s">
        <v>170</v>
      </c>
      <c r="I391" s="2"/>
      <c r="K391" s="82">
        <v>0.70199999999999996</v>
      </c>
      <c r="M391" s="80" t="s">
        <v>6168</v>
      </c>
    </row>
    <row r="392" spans="1:13" x14ac:dyDescent="0.2">
      <c r="A392" s="33">
        <v>42588</v>
      </c>
      <c r="B392" s="80" t="s">
        <v>3508</v>
      </c>
      <c r="C392" s="334" t="s">
        <v>3632</v>
      </c>
      <c r="D392" s="543">
        <v>1.6550925925925924E-2</v>
      </c>
      <c r="E392" s="5" t="s">
        <v>653</v>
      </c>
      <c r="F392" s="108" t="s">
        <v>4960</v>
      </c>
      <c r="G392" s="5"/>
      <c r="H392" s="5"/>
      <c r="I392" s="2"/>
      <c r="J392" s="5"/>
      <c r="K392" s="85">
        <v>0.63919999999999999</v>
      </c>
    </row>
    <row r="393" spans="1:13" x14ac:dyDescent="0.2">
      <c r="A393" s="33">
        <v>42581</v>
      </c>
      <c r="B393" s="80" t="s">
        <v>3508</v>
      </c>
      <c r="C393" s="334" t="s">
        <v>3632</v>
      </c>
      <c r="D393" s="65">
        <v>1.7199074074074071E-2</v>
      </c>
      <c r="E393" t="s">
        <v>5885</v>
      </c>
      <c r="F393" s="69" t="s">
        <v>1113</v>
      </c>
      <c r="I393" s="2"/>
      <c r="K393" s="82">
        <v>0.61509999999999998</v>
      </c>
    </row>
    <row r="394" spans="1:13" x14ac:dyDescent="0.2">
      <c r="A394" s="33">
        <v>42560</v>
      </c>
      <c r="B394" s="80" t="s">
        <v>3508</v>
      </c>
      <c r="C394" s="334" t="s">
        <v>3632</v>
      </c>
      <c r="D394" s="65">
        <v>2.1851851851851848E-2</v>
      </c>
      <c r="E394" t="s">
        <v>5885</v>
      </c>
      <c r="F394" s="69" t="s">
        <v>315</v>
      </c>
      <c r="I394" s="2"/>
      <c r="K394" s="82">
        <v>0.48039999999999999</v>
      </c>
    </row>
    <row r="395" spans="1:13" x14ac:dyDescent="0.2">
      <c r="A395" s="33">
        <v>42553</v>
      </c>
      <c r="B395" s="80" t="s">
        <v>3508</v>
      </c>
      <c r="C395" s="334" t="s">
        <v>3632</v>
      </c>
      <c r="D395" s="65" t="s">
        <v>787</v>
      </c>
      <c r="E395" t="s">
        <v>5885</v>
      </c>
      <c r="F395" s="69" t="s">
        <v>2052</v>
      </c>
      <c r="I395" s="2"/>
      <c r="K395" s="82"/>
    </row>
    <row r="396" spans="1:13" x14ac:dyDescent="0.2">
      <c r="A396" s="33">
        <v>42539</v>
      </c>
      <c r="B396" s="80" t="s">
        <v>3508</v>
      </c>
      <c r="C396" s="334" t="s">
        <v>3632</v>
      </c>
      <c r="D396" s="65">
        <v>1.8020833333333333E-2</v>
      </c>
      <c r="E396" t="s">
        <v>5885</v>
      </c>
      <c r="F396" s="69" t="s">
        <v>4752</v>
      </c>
      <c r="I396" s="2"/>
      <c r="K396" s="82">
        <v>0.58250000000000002</v>
      </c>
    </row>
    <row r="397" spans="1:13" x14ac:dyDescent="0.2">
      <c r="A397" s="33">
        <v>42532</v>
      </c>
      <c r="B397" s="80" t="s">
        <v>3508</v>
      </c>
      <c r="C397" s="334" t="s">
        <v>3632</v>
      </c>
      <c r="D397" s="65">
        <v>1.4745370370370372E-2</v>
      </c>
      <c r="E397" t="s">
        <v>5885</v>
      </c>
      <c r="F397" s="69" t="s">
        <v>5723</v>
      </c>
      <c r="I397" s="2"/>
      <c r="K397" s="82">
        <v>0.71189999999999998</v>
      </c>
    </row>
    <row r="398" spans="1:13" x14ac:dyDescent="0.2">
      <c r="A398" s="33">
        <v>42525</v>
      </c>
      <c r="B398" s="80" t="s">
        <v>3508</v>
      </c>
      <c r="C398" s="334" t="s">
        <v>3632</v>
      </c>
      <c r="D398" s="543">
        <v>1.6145833333333335E-2</v>
      </c>
      <c r="E398" s="5" t="s">
        <v>5885</v>
      </c>
      <c r="F398" s="108" t="s">
        <v>2850</v>
      </c>
      <c r="G398" s="5"/>
      <c r="H398" s="5"/>
      <c r="I398" s="2"/>
      <c r="J398" s="5"/>
      <c r="K398" s="85">
        <v>0.6502</v>
      </c>
    </row>
    <row r="399" spans="1:13" x14ac:dyDescent="0.2">
      <c r="A399" s="33">
        <v>42518</v>
      </c>
      <c r="B399" s="80" t="s">
        <v>3508</v>
      </c>
      <c r="C399" s="334" t="s">
        <v>3632</v>
      </c>
      <c r="D399" s="543">
        <v>1.6354166666666666E-2</v>
      </c>
      <c r="E399" s="5" t="s">
        <v>5885</v>
      </c>
      <c r="F399" s="108" t="s">
        <v>1054</v>
      </c>
      <c r="G399" s="5"/>
      <c r="H399" s="5"/>
      <c r="I399" s="2"/>
      <c r="J399" s="5"/>
      <c r="K399" s="85">
        <v>0.64190000000000003</v>
      </c>
    </row>
    <row r="400" spans="1:13" x14ac:dyDescent="0.2">
      <c r="A400" s="33">
        <v>42511</v>
      </c>
      <c r="B400" s="80" t="s">
        <v>3508</v>
      </c>
      <c r="C400" s="334" t="s">
        <v>3632</v>
      </c>
      <c r="D400" s="543">
        <v>1.6331018518518519E-2</v>
      </c>
      <c r="E400" s="5" t="s">
        <v>5885</v>
      </c>
      <c r="F400" s="108" t="s">
        <v>2898</v>
      </c>
      <c r="G400" s="5"/>
      <c r="H400" s="5"/>
      <c r="I400" s="2"/>
      <c r="J400" s="5"/>
      <c r="K400" s="85">
        <v>0.64280000000000004</v>
      </c>
    </row>
    <row r="401" spans="1:27" x14ac:dyDescent="0.2">
      <c r="A401" s="33">
        <v>42504</v>
      </c>
      <c r="B401" s="80" t="s">
        <v>3508</v>
      </c>
      <c r="C401" s="334" t="s">
        <v>3632</v>
      </c>
      <c r="D401" s="543">
        <v>2.0370370370370369E-2</v>
      </c>
      <c r="E401" s="5" t="s">
        <v>2244</v>
      </c>
      <c r="F401" s="108" t="s">
        <v>2377</v>
      </c>
      <c r="G401" s="5"/>
      <c r="H401" s="5"/>
      <c r="I401" s="5"/>
      <c r="J401" s="5"/>
      <c r="K401" s="85">
        <v>0.51529999999999998</v>
      </c>
    </row>
    <row r="402" spans="1:27" x14ac:dyDescent="0.2">
      <c r="A402" s="33">
        <v>42497</v>
      </c>
      <c r="B402" s="80" t="s">
        <v>3508</v>
      </c>
      <c r="C402" s="334" t="s">
        <v>3632</v>
      </c>
      <c r="D402" s="543">
        <v>1.4965277777777779E-2</v>
      </c>
      <c r="E402" s="5" t="s">
        <v>5885</v>
      </c>
      <c r="F402" s="108" t="s">
        <v>550</v>
      </c>
      <c r="G402" s="5"/>
      <c r="H402" s="5"/>
      <c r="I402" s="5"/>
      <c r="J402" s="5"/>
      <c r="K402" s="85">
        <v>0.70150000000000001</v>
      </c>
    </row>
    <row r="403" spans="1:27" x14ac:dyDescent="0.2">
      <c r="A403" s="33">
        <v>42483</v>
      </c>
      <c r="B403" s="80" t="s">
        <v>3508</v>
      </c>
      <c r="C403" s="334" t="s">
        <v>3632</v>
      </c>
      <c r="D403" s="543">
        <v>1.7372685185185185E-2</v>
      </c>
      <c r="E403" s="5" t="s">
        <v>5885</v>
      </c>
      <c r="F403" s="108" t="s">
        <v>2923</v>
      </c>
      <c r="G403" s="5"/>
      <c r="H403" s="5"/>
      <c r="I403" s="2"/>
      <c r="J403" s="5"/>
      <c r="K403" s="85">
        <v>0.60429999999999995</v>
      </c>
    </row>
    <row r="404" spans="1:27" x14ac:dyDescent="0.2">
      <c r="A404" s="33">
        <v>42476</v>
      </c>
      <c r="B404" s="80" t="s">
        <v>3508</v>
      </c>
      <c r="C404" s="334" t="s">
        <v>3632</v>
      </c>
      <c r="D404" s="65">
        <v>1.8206018518518517E-2</v>
      </c>
      <c r="E404" t="s">
        <v>5885</v>
      </c>
      <c r="F404" s="69" t="s">
        <v>5613</v>
      </c>
      <c r="I404" s="2"/>
      <c r="K404" s="82">
        <v>0.5766</v>
      </c>
    </row>
    <row r="405" spans="1:27" x14ac:dyDescent="0.2">
      <c r="A405" s="33">
        <v>42469</v>
      </c>
      <c r="B405" s="80" t="s">
        <v>3508</v>
      </c>
      <c r="C405" s="334" t="s">
        <v>3632</v>
      </c>
      <c r="D405" s="65">
        <v>1.6909722222222225E-2</v>
      </c>
      <c r="E405" t="s">
        <v>5947</v>
      </c>
      <c r="F405" s="69"/>
      <c r="I405" s="2"/>
      <c r="K405" s="82">
        <v>0.62080000000000002</v>
      </c>
    </row>
    <row r="406" spans="1:27" x14ac:dyDescent="0.2">
      <c r="A406" s="33">
        <v>42462</v>
      </c>
      <c r="B406" s="80" t="s">
        <v>3508</v>
      </c>
      <c r="C406" s="334" t="s">
        <v>3632</v>
      </c>
      <c r="D406" s="65">
        <v>1.6631944444444446E-2</v>
      </c>
      <c r="E406" t="s">
        <v>5885</v>
      </c>
      <c r="F406" s="69" t="s">
        <v>3823</v>
      </c>
      <c r="I406" s="2"/>
      <c r="K406" s="82">
        <v>0.63119999999999998</v>
      </c>
    </row>
    <row r="407" spans="1:27" x14ac:dyDescent="0.2">
      <c r="A407" s="33">
        <v>42455</v>
      </c>
      <c r="B407" s="80" t="s">
        <v>3508</v>
      </c>
      <c r="C407" s="334" t="s">
        <v>3632</v>
      </c>
      <c r="D407" s="65">
        <v>1.6238425925925924E-2</v>
      </c>
      <c r="E407" t="s">
        <v>5885</v>
      </c>
      <c r="F407" s="69" t="s">
        <v>4170</v>
      </c>
      <c r="I407" s="2"/>
      <c r="K407" s="82">
        <v>0.64649999999999996</v>
      </c>
    </row>
    <row r="408" spans="1:27" x14ac:dyDescent="0.2">
      <c r="A408" s="33">
        <v>42448</v>
      </c>
      <c r="B408" s="80" t="s">
        <v>3508</v>
      </c>
      <c r="C408" s="334" t="s">
        <v>3632</v>
      </c>
      <c r="D408" s="65">
        <v>1.5972222222222224E-2</v>
      </c>
      <c r="E408" t="s">
        <v>5885</v>
      </c>
      <c r="F408" s="69" t="s">
        <v>2609</v>
      </c>
      <c r="I408" s="2"/>
      <c r="K408" s="82">
        <v>0.65720000000000001</v>
      </c>
    </row>
    <row r="409" spans="1:27" x14ac:dyDescent="0.2">
      <c r="A409" s="33">
        <v>42441</v>
      </c>
      <c r="B409" s="80" t="s">
        <v>3508</v>
      </c>
      <c r="C409" s="334" t="s">
        <v>3632</v>
      </c>
      <c r="D409" s="65">
        <v>1.892361111111111E-2</v>
      </c>
      <c r="E409" t="s">
        <v>5885</v>
      </c>
      <c r="F409" s="69" t="s">
        <v>1265</v>
      </c>
      <c r="I409" s="2"/>
      <c r="K409" s="82">
        <v>0.55469999999999997</v>
      </c>
    </row>
    <row r="410" spans="1:27" x14ac:dyDescent="0.2">
      <c r="A410" s="33">
        <v>42434</v>
      </c>
      <c r="B410" s="80" t="s">
        <v>3508</v>
      </c>
      <c r="C410" s="334" t="s">
        <v>3632</v>
      </c>
      <c r="D410" s="65">
        <v>1.7002314814814814E-2</v>
      </c>
      <c r="E410" t="s">
        <v>5885</v>
      </c>
      <c r="F410" s="69" t="s">
        <v>924</v>
      </c>
      <c r="I410" s="2"/>
      <c r="K410" s="82">
        <v>0.61739999999999995</v>
      </c>
      <c r="AA410" s="41"/>
    </row>
    <row r="411" spans="1:27" x14ac:dyDescent="0.2">
      <c r="A411" s="33">
        <v>42427</v>
      </c>
      <c r="B411" s="80" t="s">
        <v>3508</v>
      </c>
      <c r="C411" s="334" t="s">
        <v>3632</v>
      </c>
      <c r="D411" s="65">
        <v>1.6898148148148148E-2</v>
      </c>
      <c r="E411" t="s">
        <v>5885</v>
      </c>
      <c r="F411" s="69" t="s">
        <v>4438</v>
      </c>
      <c r="I411" s="2"/>
      <c r="K411" s="82">
        <v>0.62119999999999997</v>
      </c>
    </row>
    <row r="412" spans="1:27" x14ac:dyDescent="0.2">
      <c r="A412" s="33">
        <v>42420</v>
      </c>
      <c r="B412" s="80" t="s">
        <v>3508</v>
      </c>
      <c r="C412" s="334" t="s">
        <v>3632</v>
      </c>
      <c r="D412" s="65">
        <v>1.5462962962962963E-2</v>
      </c>
      <c r="E412" t="s">
        <v>5885</v>
      </c>
      <c r="F412" s="69" t="s">
        <v>3142</v>
      </c>
      <c r="I412" s="2"/>
      <c r="K412" s="82">
        <v>0.67889999999999995</v>
      </c>
    </row>
    <row r="413" spans="1:27" x14ac:dyDescent="0.2">
      <c r="A413" s="33">
        <v>42413</v>
      </c>
      <c r="B413" s="80" t="s">
        <v>3508</v>
      </c>
      <c r="C413" s="334" t="s">
        <v>3632</v>
      </c>
      <c r="D413" s="65">
        <v>1.6331018518518519E-2</v>
      </c>
      <c r="E413" t="s">
        <v>5885</v>
      </c>
      <c r="F413" s="69" t="s">
        <v>1629</v>
      </c>
      <c r="I413" s="2"/>
      <c r="K413" s="82">
        <v>0.64280000000000004</v>
      </c>
    </row>
    <row r="414" spans="1:27" x14ac:dyDescent="0.2">
      <c r="A414" s="33">
        <v>42406</v>
      </c>
      <c r="B414" s="80" t="s">
        <v>3508</v>
      </c>
      <c r="C414" s="334" t="s">
        <v>3632</v>
      </c>
      <c r="D414" s="65">
        <v>1.6562500000000001E-2</v>
      </c>
      <c r="E414" t="s">
        <v>5947</v>
      </c>
      <c r="F414" s="69" t="s">
        <v>3880</v>
      </c>
      <c r="I414" s="2"/>
      <c r="K414" s="82">
        <v>0.63380000000000003</v>
      </c>
    </row>
    <row r="415" spans="1:27" x14ac:dyDescent="0.2">
      <c r="A415" s="33">
        <v>42399</v>
      </c>
      <c r="B415" s="80" t="s">
        <v>3508</v>
      </c>
      <c r="C415" s="334" t="s">
        <v>3632</v>
      </c>
      <c r="D415" s="65">
        <v>1.5613425925925926E-2</v>
      </c>
      <c r="E415" t="s">
        <v>5885</v>
      </c>
      <c r="F415" s="69"/>
      <c r="I415" s="2"/>
      <c r="K415" s="82">
        <v>0.67230000000000001</v>
      </c>
    </row>
    <row r="416" spans="1:27" x14ac:dyDescent="0.2">
      <c r="A416" s="33">
        <v>42392</v>
      </c>
      <c r="B416" s="80" t="s">
        <v>3508</v>
      </c>
      <c r="C416" s="334" t="s">
        <v>3632</v>
      </c>
      <c r="D416" s="65">
        <v>1.7025462962962961E-2</v>
      </c>
      <c r="E416" t="s">
        <v>5947</v>
      </c>
      <c r="F416" s="69" t="s">
        <v>2804</v>
      </c>
      <c r="I416" s="2"/>
      <c r="K416" s="82">
        <v>0.61560000000000004</v>
      </c>
    </row>
    <row r="417" spans="1:13" x14ac:dyDescent="0.2">
      <c r="A417" s="33">
        <v>42385</v>
      </c>
      <c r="B417" s="80" t="s">
        <v>3508</v>
      </c>
      <c r="C417" s="334" t="s">
        <v>3632</v>
      </c>
      <c r="D417" s="65">
        <v>1.8043981481481484E-2</v>
      </c>
      <c r="E417" t="s">
        <v>5885</v>
      </c>
      <c r="F417" s="69" t="s">
        <v>5014</v>
      </c>
      <c r="I417" s="2"/>
      <c r="K417" s="82">
        <v>0.58179999999999998</v>
      </c>
    </row>
    <row r="418" spans="1:13" x14ac:dyDescent="0.2">
      <c r="A418" s="33">
        <v>42378</v>
      </c>
      <c r="B418" s="80" t="s">
        <v>3508</v>
      </c>
      <c r="C418" s="334" t="s">
        <v>3632</v>
      </c>
      <c r="D418" s="544">
        <v>2.1331018518518517E-2</v>
      </c>
      <c r="E418" s="407" t="s">
        <v>5885</v>
      </c>
      <c r="F418" s="545" t="s">
        <v>2777</v>
      </c>
      <c r="G418" s="407"/>
      <c r="H418" s="407"/>
      <c r="I418" s="348"/>
      <c r="J418" s="407"/>
      <c r="K418" s="546">
        <v>0.63739999999999997</v>
      </c>
    </row>
    <row r="419" spans="1:13" x14ac:dyDescent="0.2">
      <c r="A419" s="33">
        <v>42371</v>
      </c>
      <c r="B419" s="80" t="s">
        <v>3508</v>
      </c>
      <c r="C419" s="334" t="s">
        <v>3632</v>
      </c>
      <c r="D419" s="65">
        <v>1.653935185185185E-2</v>
      </c>
      <c r="E419" s="5" t="s">
        <v>5885</v>
      </c>
      <c r="F419" s="69" t="s">
        <v>5343</v>
      </c>
      <c r="K419" s="82">
        <v>0.63470000000000004</v>
      </c>
    </row>
    <row r="420" spans="1:13" x14ac:dyDescent="0.2">
      <c r="A420" s="33">
        <v>42370</v>
      </c>
      <c r="B420" s="80" t="s">
        <v>3508</v>
      </c>
      <c r="C420" s="334" t="s">
        <v>3632</v>
      </c>
      <c r="D420" s="65">
        <v>1.6296296296296295E-2</v>
      </c>
      <c r="E420" t="s">
        <v>129</v>
      </c>
      <c r="F420" s="69" t="s">
        <v>3946</v>
      </c>
      <c r="I420" s="2"/>
      <c r="K420" s="82">
        <v>0.64419999999999999</v>
      </c>
    </row>
    <row r="421" spans="1:13" x14ac:dyDescent="0.2">
      <c r="A421" s="33">
        <v>42370</v>
      </c>
      <c r="B421" s="80" t="s">
        <v>3508</v>
      </c>
      <c r="C421" s="334" t="s">
        <v>3632</v>
      </c>
      <c r="D421" s="65">
        <v>1.7175925925925924E-2</v>
      </c>
      <c r="E421" t="s">
        <v>5885</v>
      </c>
      <c r="F421" s="69" t="s">
        <v>1601</v>
      </c>
      <c r="I421" s="2"/>
      <c r="K421" s="82">
        <v>0.61119999999999997</v>
      </c>
    </row>
    <row r="422" spans="1:13" x14ac:dyDescent="0.2">
      <c r="A422" s="33">
        <v>42609</v>
      </c>
      <c r="B422" s="53" t="s">
        <v>4259</v>
      </c>
      <c r="C422" s="54" t="s">
        <v>3632</v>
      </c>
      <c r="D422" s="65">
        <v>2.0868055555555556E-2</v>
      </c>
      <c r="E422" t="s">
        <v>5885</v>
      </c>
      <c r="F422" s="69" t="s">
        <v>3868</v>
      </c>
      <c r="I422" s="2"/>
      <c r="K422" s="82">
        <v>0.58679999999999999</v>
      </c>
    </row>
    <row r="423" spans="1:13" x14ac:dyDescent="0.2">
      <c r="A423" s="33">
        <v>42434</v>
      </c>
      <c r="B423" t="s">
        <v>4259</v>
      </c>
      <c r="C423" s="1" t="s">
        <v>3632</v>
      </c>
      <c r="D423" s="65" t="s">
        <v>787</v>
      </c>
      <c r="E423" t="s">
        <v>5885</v>
      </c>
      <c r="F423" s="69" t="s">
        <v>2052</v>
      </c>
      <c r="I423" s="2"/>
      <c r="K423" s="82"/>
    </row>
    <row r="424" spans="1:13" x14ac:dyDescent="0.2">
      <c r="A424" s="33">
        <v>42735</v>
      </c>
      <c r="B424" s="80" t="s">
        <v>4576</v>
      </c>
      <c r="C424" s="334" t="s">
        <v>4577</v>
      </c>
      <c r="D424" s="65">
        <v>1.6516203703703703E-2</v>
      </c>
      <c r="E424" s="80" t="s">
        <v>5883</v>
      </c>
      <c r="F424" s="69" t="s">
        <v>2538</v>
      </c>
      <c r="I424" s="2"/>
      <c r="K424" s="82">
        <v>0.59640000000000004</v>
      </c>
      <c r="M424" s="80" t="s">
        <v>6200</v>
      </c>
    </row>
    <row r="425" spans="1:13" x14ac:dyDescent="0.2">
      <c r="A425" s="523">
        <v>42728</v>
      </c>
      <c r="B425" s="80" t="s">
        <v>4576</v>
      </c>
      <c r="C425" s="334" t="s">
        <v>4577</v>
      </c>
      <c r="D425" s="65">
        <v>1.6249999999999997E-2</v>
      </c>
      <c r="E425" s="80" t="s">
        <v>5883</v>
      </c>
      <c r="F425" s="69" t="s">
        <v>2173</v>
      </c>
      <c r="I425" s="2"/>
      <c r="K425" s="82">
        <v>0.60609999999999997</v>
      </c>
      <c r="M425" s="80" t="s">
        <v>6167</v>
      </c>
    </row>
    <row r="426" spans="1:13" x14ac:dyDescent="0.2">
      <c r="A426" s="33">
        <v>42721</v>
      </c>
      <c r="B426" s="5" t="s">
        <v>4576</v>
      </c>
      <c r="C426" s="32" t="s">
        <v>4577</v>
      </c>
      <c r="D426" s="65">
        <v>1.6157407407407409E-2</v>
      </c>
      <c r="E426" s="5" t="s">
        <v>5883</v>
      </c>
      <c r="F426" s="108" t="s">
        <v>4028</v>
      </c>
      <c r="I426" s="2"/>
      <c r="K426" s="82">
        <v>0.60960000000000003</v>
      </c>
    </row>
    <row r="427" spans="1:13" x14ac:dyDescent="0.2">
      <c r="A427" s="33">
        <v>42714</v>
      </c>
      <c r="B427" s="5" t="s">
        <v>4576</v>
      </c>
      <c r="C427" s="32" t="s">
        <v>4577</v>
      </c>
      <c r="D427" s="65">
        <v>1.6018518518518519E-2</v>
      </c>
      <c r="E427" s="5" t="s">
        <v>5883</v>
      </c>
      <c r="F427" s="108" t="s">
        <v>4476</v>
      </c>
      <c r="I427" s="2"/>
      <c r="K427" s="82">
        <v>0.6149</v>
      </c>
    </row>
    <row r="428" spans="1:13" x14ac:dyDescent="0.2">
      <c r="A428" s="33">
        <v>42700</v>
      </c>
      <c r="B428" s="5" t="s">
        <v>4576</v>
      </c>
      <c r="C428" s="32" t="s">
        <v>4577</v>
      </c>
      <c r="D428" s="543">
        <v>1.681712962962963E-2</v>
      </c>
      <c r="E428" s="5" t="s">
        <v>5883</v>
      </c>
      <c r="F428" s="108" t="s">
        <v>6064</v>
      </c>
      <c r="I428" s="2"/>
      <c r="K428" s="82">
        <v>0.5857</v>
      </c>
    </row>
    <row r="429" spans="1:13" x14ac:dyDescent="0.2">
      <c r="A429" s="33">
        <v>42693</v>
      </c>
      <c r="B429" s="5" t="s">
        <v>4576</v>
      </c>
      <c r="C429" s="32" t="s">
        <v>4577</v>
      </c>
      <c r="D429" s="65">
        <v>1.6006944444444445E-2</v>
      </c>
      <c r="E429" s="5" t="s">
        <v>5883</v>
      </c>
      <c r="F429" s="69"/>
      <c r="I429" s="2"/>
      <c r="K429" s="82">
        <v>0.61529999999999996</v>
      </c>
    </row>
    <row r="430" spans="1:13" x14ac:dyDescent="0.2">
      <c r="A430" s="33">
        <v>42686</v>
      </c>
      <c r="B430" s="5" t="s">
        <v>4576</v>
      </c>
      <c r="C430" s="32" t="s">
        <v>4577</v>
      </c>
      <c r="D430" s="65">
        <v>1.638888888888889E-2</v>
      </c>
      <c r="E430" t="s">
        <v>5883</v>
      </c>
      <c r="F430" s="69" t="s">
        <v>412</v>
      </c>
      <c r="I430" s="2"/>
      <c r="K430" s="82">
        <v>0.60099999999999998</v>
      </c>
    </row>
    <row r="431" spans="1:13" x14ac:dyDescent="0.2">
      <c r="A431" s="33">
        <v>42679</v>
      </c>
      <c r="B431" s="5" t="s">
        <v>4576</v>
      </c>
      <c r="C431" s="32" t="s">
        <v>4577</v>
      </c>
      <c r="D431" s="65">
        <v>1.5856481481481482E-2</v>
      </c>
      <c r="E431" t="s">
        <v>5883</v>
      </c>
      <c r="F431" s="69" t="s">
        <v>608</v>
      </c>
      <c r="I431" s="2"/>
      <c r="K431" s="82">
        <v>0.62119999999999997</v>
      </c>
    </row>
    <row r="432" spans="1:13" x14ac:dyDescent="0.2">
      <c r="A432" s="33">
        <v>42672</v>
      </c>
      <c r="B432" s="5" t="s">
        <v>4576</v>
      </c>
      <c r="C432" s="32" t="s">
        <v>4577</v>
      </c>
      <c r="D432" s="65">
        <v>1.5671296296296298E-2</v>
      </c>
      <c r="E432" t="s">
        <v>5883</v>
      </c>
      <c r="F432" s="69" t="s">
        <v>4182</v>
      </c>
      <c r="I432" s="2"/>
      <c r="K432" s="82">
        <v>0.62849999999999995</v>
      </c>
    </row>
    <row r="433" spans="1:13" x14ac:dyDescent="0.2">
      <c r="A433" s="33">
        <v>42665</v>
      </c>
      <c r="B433" s="5" t="s">
        <v>4576</v>
      </c>
      <c r="C433" s="32" t="s">
        <v>4577</v>
      </c>
      <c r="D433" s="65">
        <v>1.7465277777777777E-2</v>
      </c>
      <c r="E433" t="s">
        <v>692</v>
      </c>
      <c r="F433" s="69" t="s">
        <v>4954</v>
      </c>
      <c r="I433" s="2"/>
      <c r="K433" s="82">
        <v>0.56389999999999996</v>
      </c>
      <c r="M433" s="80" t="s">
        <v>6166</v>
      </c>
    </row>
    <row r="434" spans="1:13" x14ac:dyDescent="0.2">
      <c r="A434" s="33">
        <v>42658</v>
      </c>
      <c r="B434" s="5" t="s">
        <v>4576</v>
      </c>
      <c r="C434" s="32" t="s">
        <v>4577</v>
      </c>
      <c r="D434" s="65">
        <v>1.6481481481481482E-2</v>
      </c>
      <c r="E434" t="s">
        <v>5883</v>
      </c>
      <c r="F434" s="69" t="s">
        <v>5572</v>
      </c>
      <c r="I434" s="2"/>
      <c r="K434" s="82">
        <v>0.59760000000000002</v>
      </c>
    </row>
    <row r="435" spans="1:13" x14ac:dyDescent="0.2">
      <c r="A435" s="33">
        <v>42651</v>
      </c>
      <c r="B435" s="5" t="s">
        <v>4576</v>
      </c>
      <c r="C435" s="32" t="s">
        <v>4577</v>
      </c>
      <c r="D435" s="65">
        <v>1.556712962962963E-2</v>
      </c>
      <c r="E435" t="s">
        <v>5883</v>
      </c>
      <c r="F435" s="69" t="s">
        <v>22</v>
      </c>
      <c r="I435" s="2"/>
      <c r="K435" s="82">
        <v>0.63270000000000004</v>
      </c>
    </row>
    <row r="436" spans="1:13" x14ac:dyDescent="0.2">
      <c r="A436" s="33">
        <v>42644</v>
      </c>
      <c r="B436" s="5" t="s">
        <v>4576</v>
      </c>
      <c r="C436" s="32" t="s">
        <v>4577</v>
      </c>
      <c r="D436" s="65">
        <v>1.5486111111111112E-2</v>
      </c>
      <c r="E436" t="s">
        <v>5883</v>
      </c>
      <c r="F436" s="69" t="s">
        <v>4648</v>
      </c>
      <c r="I436" s="2"/>
      <c r="K436" s="82">
        <v>0.63600000000000001</v>
      </c>
    </row>
    <row r="437" spans="1:13" x14ac:dyDescent="0.2">
      <c r="A437" s="33">
        <v>42637</v>
      </c>
      <c r="B437" s="5" t="s">
        <v>4576</v>
      </c>
      <c r="C437" s="32" t="s">
        <v>4577</v>
      </c>
      <c r="D437" s="65">
        <v>1.6238425925925924E-2</v>
      </c>
      <c r="E437" t="s">
        <v>5883</v>
      </c>
      <c r="F437" s="69" t="s">
        <v>2476</v>
      </c>
      <c r="I437" s="2"/>
      <c r="K437" s="82">
        <v>0.60660000000000003</v>
      </c>
    </row>
    <row r="438" spans="1:13" x14ac:dyDescent="0.2">
      <c r="A438" s="33">
        <v>42630</v>
      </c>
      <c r="B438" s="5" t="s">
        <v>4576</v>
      </c>
      <c r="C438" s="32" t="s">
        <v>4577</v>
      </c>
      <c r="D438" s="65">
        <v>1.6157407407407409E-2</v>
      </c>
      <c r="E438" t="s">
        <v>5883</v>
      </c>
      <c r="F438" s="69" t="s">
        <v>1200</v>
      </c>
      <c r="I438" s="2"/>
      <c r="K438" s="82">
        <v>0.60960000000000003</v>
      </c>
    </row>
    <row r="439" spans="1:13" x14ac:dyDescent="0.2">
      <c r="A439" s="33">
        <v>42623</v>
      </c>
      <c r="B439" s="5" t="s">
        <v>4576</v>
      </c>
      <c r="C439" s="32" t="s">
        <v>4577</v>
      </c>
      <c r="D439" s="65">
        <v>1.5891203703703703E-2</v>
      </c>
      <c r="E439" t="s">
        <v>5883</v>
      </c>
      <c r="F439" s="69" t="s">
        <v>2055</v>
      </c>
      <c r="I439" s="2"/>
      <c r="K439" s="82">
        <v>0.61980000000000002</v>
      </c>
    </row>
    <row r="440" spans="1:13" x14ac:dyDescent="0.2">
      <c r="A440" s="33">
        <v>42616</v>
      </c>
      <c r="B440" s="5" t="s">
        <v>4576</v>
      </c>
      <c r="C440" s="32" t="s">
        <v>4577</v>
      </c>
      <c r="D440" s="65">
        <v>1.7025462962962961E-2</v>
      </c>
      <c r="E440" t="s">
        <v>5883</v>
      </c>
      <c r="F440" s="69" t="s">
        <v>1916</v>
      </c>
      <c r="I440" s="2"/>
      <c r="K440" s="82">
        <v>0.57850000000000001</v>
      </c>
    </row>
    <row r="441" spans="1:13" x14ac:dyDescent="0.2">
      <c r="A441" s="33">
        <v>42602</v>
      </c>
      <c r="B441" s="5" t="s">
        <v>4576</v>
      </c>
      <c r="C441" s="32" t="s">
        <v>4577</v>
      </c>
      <c r="D441" s="65">
        <v>1.6481481481481482E-2</v>
      </c>
      <c r="E441" t="s">
        <v>5883</v>
      </c>
      <c r="F441" s="69" t="s">
        <v>2187</v>
      </c>
      <c r="I441" s="2"/>
      <c r="K441" s="82">
        <v>0.59760000000000002</v>
      </c>
    </row>
    <row r="442" spans="1:13" x14ac:dyDescent="0.2">
      <c r="A442" s="33">
        <v>42595</v>
      </c>
      <c r="B442" s="5" t="s">
        <v>4576</v>
      </c>
      <c r="C442" s="32" t="s">
        <v>4577</v>
      </c>
      <c r="D442" s="65">
        <v>1.6203703703703703E-2</v>
      </c>
      <c r="E442" s="531" t="s">
        <v>5456</v>
      </c>
      <c r="F442" s="69" t="s">
        <v>1442</v>
      </c>
      <c r="I442" s="2"/>
      <c r="K442" s="82">
        <v>0.60740000000000005</v>
      </c>
    </row>
    <row r="443" spans="1:13" x14ac:dyDescent="0.2">
      <c r="A443" s="33">
        <v>42588</v>
      </c>
      <c r="B443" s="5" t="s">
        <v>4576</v>
      </c>
      <c r="C443" s="32" t="s">
        <v>4577</v>
      </c>
      <c r="D443" s="543">
        <v>1.5833333333333335E-2</v>
      </c>
      <c r="E443" s="5" t="s">
        <v>5883</v>
      </c>
      <c r="F443" s="108" t="s">
        <v>5693</v>
      </c>
      <c r="G443" s="5"/>
      <c r="H443" s="5"/>
      <c r="I443" s="2"/>
      <c r="J443" s="5"/>
      <c r="K443" s="85">
        <v>0.62209999999999999</v>
      </c>
    </row>
    <row r="444" spans="1:13" x14ac:dyDescent="0.2">
      <c r="A444" s="33">
        <v>42581</v>
      </c>
      <c r="B444" s="5" t="s">
        <v>4576</v>
      </c>
      <c r="C444" s="32" t="s">
        <v>4577</v>
      </c>
      <c r="D444" s="65">
        <v>1.667824074074074E-2</v>
      </c>
      <c r="E444" t="s">
        <v>5883</v>
      </c>
      <c r="F444" s="69" t="s">
        <v>5743</v>
      </c>
      <c r="I444" s="2"/>
      <c r="K444" s="82">
        <v>0.56059999999999999</v>
      </c>
    </row>
    <row r="445" spans="1:13" x14ac:dyDescent="0.2">
      <c r="A445" s="33">
        <v>42574</v>
      </c>
      <c r="B445" s="5" t="s">
        <v>4576</v>
      </c>
      <c r="C445" s="32" t="s">
        <v>4577</v>
      </c>
      <c r="D445" s="65">
        <v>1.6342592592592593E-2</v>
      </c>
      <c r="E445" t="s">
        <v>5883</v>
      </c>
      <c r="F445" s="69" t="s">
        <v>5769</v>
      </c>
      <c r="I445" s="2"/>
      <c r="K445" s="82">
        <v>0.60270000000000001</v>
      </c>
    </row>
    <row r="446" spans="1:13" x14ac:dyDescent="0.2">
      <c r="A446" s="33">
        <v>42567</v>
      </c>
      <c r="B446" s="5" t="s">
        <v>4576</v>
      </c>
      <c r="C446" s="32" t="s">
        <v>4577</v>
      </c>
      <c r="D446" s="65">
        <v>1.5555555555555553E-2</v>
      </c>
      <c r="E446" t="s">
        <v>5883</v>
      </c>
      <c r="F446" s="69" t="s">
        <v>81</v>
      </c>
      <c r="I446" s="2"/>
      <c r="K446" s="82">
        <v>0.63319999999999999</v>
      </c>
    </row>
    <row r="447" spans="1:13" x14ac:dyDescent="0.2">
      <c r="A447" s="33">
        <v>42553</v>
      </c>
      <c r="B447" s="5" t="s">
        <v>4576</v>
      </c>
      <c r="C447" s="32" t="s">
        <v>4577</v>
      </c>
      <c r="D447" s="65">
        <v>1.5717592592592592E-2</v>
      </c>
      <c r="E447" t="s">
        <v>5883</v>
      </c>
      <c r="F447" s="69" t="s">
        <v>5866</v>
      </c>
      <c r="I447" s="2"/>
      <c r="K447" s="82">
        <v>0.62209999999999999</v>
      </c>
    </row>
    <row r="448" spans="1:13" x14ac:dyDescent="0.2">
      <c r="A448" s="33">
        <v>42546</v>
      </c>
      <c r="B448" s="5" t="s">
        <v>4576</v>
      </c>
      <c r="C448" s="32" t="s">
        <v>4577</v>
      </c>
      <c r="D448" s="65">
        <v>1.5497685185185186E-2</v>
      </c>
      <c r="E448" t="s">
        <v>5883</v>
      </c>
      <c r="F448" s="69" t="s">
        <v>1598</v>
      </c>
      <c r="I448" s="2"/>
      <c r="K448" s="82">
        <v>0.63549999999999995</v>
      </c>
    </row>
    <row r="449" spans="1:28" x14ac:dyDescent="0.2">
      <c r="A449" s="33">
        <v>42539</v>
      </c>
      <c r="B449" s="5" t="s">
        <v>4576</v>
      </c>
      <c r="C449" s="32" t="s">
        <v>4577</v>
      </c>
      <c r="D449" s="65">
        <v>1.5763888888888886E-2</v>
      </c>
      <c r="E449" t="s">
        <v>5883</v>
      </c>
      <c r="F449" s="69" t="s">
        <v>2477</v>
      </c>
      <c r="I449" s="2"/>
      <c r="K449" s="82">
        <v>0.62480000000000002</v>
      </c>
    </row>
    <row r="450" spans="1:28" x14ac:dyDescent="0.2">
      <c r="A450" s="33">
        <v>42532</v>
      </c>
      <c r="B450" s="5" t="s">
        <v>4576</v>
      </c>
      <c r="C450" s="32" t="s">
        <v>4577</v>
      </c>
      <c r="D450" s="65">
        <v>1.5833333333333335E-2</v>
      </c>
      <c r="E450" t="s">
        <v>5883</v>
      </c>
      <c r="F450" s="69" t="s">
        <v>210</v>
      </c>
      <c r="I450" s="2"/>
      <c r="K450" s="82">
        <v>0.62209999999999999</v>
      </c>
    </row>
    <row r="451" spans="1:28" x14ac:dyDescent="0.2">
      <c r="A451" s="33">
        <v>42525</v>
      </c>
      <c r="B451" s="5" t="s">
        <v>4576</v>
      </c>
      <c r="C451" s="32" t="s">
        <v>4577</v>
      </c>
      <c r="D451" s="543">
        <v>1.5300925925925926E-2</v>
      </c>
      <c r="E451" s="5" t="s">
        <v>129</v>
      </c>
      <c r="F451" s="108" t="s">
        <v>5219</v>
      </c>
      <c r="G451" s="5"/>
      <c r="H451" s="5"/>
      <c r="I451" s="2"/>
      <c r="J451" s="5"/>
      <c r="K451" s="85">
        <v>0.64370000000000005</v>
      </c>
    </row>
    <row r="452" spans="1:28" x14ac:dyDescent="0.2">
      <c r="A452" s="33">
        <v>42518</v>
      </c>
      <c r="B452" s="5" t="s">
        <v>4576</v>
      </c>
      <c r="C452" s="32" t="s">
        <v>4577</v>
      </c>
      <c r="D452" s="543">
        <v>1.545138888888889E-2</v>
      </c>
      <c r="E452" s="5" t="s">
        <v>5883</v>
      </c>
      <c r="F452" s="108" t="s">
        <v>5379</v>
      </c>
      <c r="G452" s="5"/>
      <c r="H452" s="5"/>
      <c r="I452" s="2"/>
      <c r="J452" s="5"/>
      <c r="K452" s="85">
        <v>0.63749999999999996</v>
      </c>
    </row>
    <row r="453" spans="1:28" x14ac:dyDescent="0.2">
      <c r="A453" s="33">
        <v>42511</v>
      </c>
      <c r="B453" s="5" t="s">
        <v>4576</v>
      </c>
      <c r="C453" s="32" t="s">
        <v>4577</v>
      </c>
      <c r="D453" s="543">
        <v>1.5439814814814816E-2</v>
      </c>
      <c r="E453" s="5" t="s">
        <v>5883</v>
      </c>
      <c r="F453" s="108" t="s">
        <v>4392</v>
      </c>
      <c r="G453" s="5"/>
      <c r="H453" s="5"/>
      <c r="I453" s="2"/>
      <c r="J453" s="5"/>
      <c r="K453" s="85">
        <v>0.63270000000000004</v>
      </c>
    </row>
    <row r="454" spans="1:28" x14ac:dyDescent="0.2">
      <c r="A454" s="33">
        <v>42504</v>
      </c>
      <c r="B454" s="5" t="s">
        <v>4576</v>
      </c>
      <c r="C454" s="32" t="s">
        <v>4577</v>
      </c>
      <c r="D454" s="543">
        <v>1.6319444444444445E-2</v>
      </c>
      <c r="E454" s="5" t="s">
        <v>5883</v>
      </c>
      <c r="F454" s="108" t="s">
        <v>79</v>
      </c>
      <c r="G454" s="5"/>
      <c r="H454" s="5"/>
      <c r="I454" s="5"/>
      <c r="J454" s="5"/>
      <c r="K454" s="85">
        <v>0.59860000000000002</v>
      </c>
    </row>
    <row r="455" spans="1:28" x14ac:dyDescent="0.2">
      <c r="A455" s="33">
        <v>42497</v>
      </c>
      <c r="B455" s="5" t="s">
        <v>4576</v>
      </c>
      <c r="C455" s="32" t="s">
        <v>4577</v>
      </c>
      <c r="D455" s="543">
        <v>1.5636574074074074E-2</v>
      </c>
      <c r="E455" s="5" t="s">
        <v>5883</v>
      </c>
      <c r="F455" s="108" t="s">
        <v>5371</v>
      </c>
      <c r="G455" s="5"/>
      <c r="H455" s="5"/>
      <c r="I455" s="5"/>
      <c r="J455" s="5"/>
      <c r="K455" s="85">
        <v>0.62470000000000003</v>
      </c>
    </row>
    <row r="456" spans="1:28" x14ac:dyDescent="0.2">
      <c r="A456" s="33">
        <v>42490</v>
      </c>
      <c r="B456" s="5" t="s">
        <v>4576</v>
      </c>
      <c r="C456" s="32" t="s">
        <v>4577</v>
      </c>
      <c r="D456" s="543">
        <v>1.5648148148148151E-2</v>
      </c>
      <c r="E456" s="5" t="s">
        <v>5883</v>
      </c>
      <c r="F456" s="108" t="s">
        <v>2642</v>
      </c>
      <c r="G456" s="5"/>
      <c r="H456" s="5"/>
      <c r="I456" s="5"/>
      <c r="J456" s="5"/>
      <c r="K456" s="85">
        <v>0.62429999999999997</v>
      </c>
    </row>
    <row r="457" spans="1:28" x14ac:dyDescent="0.2">
      <c r="A457" s="33">
        <v>42483</v>
      </c>
      <c r="B457" s="5" t="s">
        <v>4576</v>
      </c>
      <c r="C457" s="32" t="s">
        <v>4577</v>
      </c>
      <c r="D457" s="543">
        <v>1.8530092592592595E-2</v>
      </c>
      <c r="E457" s="5" t="s">
        <v>5883</v>
      </c>
      <c r="F457" s="108" t="s">
        <v>3244</v>
      </c>
      <c r="G457" s="5"/>
      <c r="H457" s="5"/>
      <c r="I457" s="2"/>
      <c r="J457" s="5"/>
      <c r="K457" s="85">
        <v>0.5272</v>
      </c>
    </row>
    <row r="458" spans="1:28" x14ac:dyDescent="0.2">
      <c r="A458" s="33">
        <v>42476</v>
      </c>
      <c r="B458" s="5" t="s">
        <v>4576</v>
      </c>
      <c r="C458" s="32" t="s">
        <v>4577</v>
      </c>
      <c r="D458" s="65">
        <v>1.6284722222222221E-2</v>
      </c>
      <c r="E458" t="s">
        <v>5885</v>
      </c>
      <c r="F458" s="69" t="s">
        <v>3471</v>
      </c>
      <c r="I458" s="2"/>
      <c r="K458" s="82">
        <v>0.59989999999999999</v>
      </c>
    </row>
    <row r="459" spans="1:28" x14ac:dyDescent="0.2">
      <c r="A459" s="33">
        <v>42469</v>
      </c>
      <c r="B459" s="5" t="s">
        <v>4576</v>
      </c>
      <c r="C459" s="32" t="s">
        <v>4577</v>
      </c>
      <c r="D459" s="65">
        <v>1.6724537037037034E-2</v>
      </c>
      <c r="E459" t="s">
        <v>5883</v>
      </c>
      <c r="F459" s="69" t="s">
        <v>5172</v>
      </c>
      <c r="I459" s="2"/>
      <c r="K459" s="82">
        <v>0.58409999999999995</v>
      </c>
      <c r="AB459" s="41"/>
    </row>
    <row r="460" spans="1:28" x14ac:dyDescent="0.2">
      <c r="A460" s="33">
        <v>42455</v>
      </c>
      <c r="B460" t="s">
        <v>4576</v>
      </c>
      <c r="C460" s="1" t="s">
        <v>4577</v>
      </c>
      <c r="D460" s="65">
        <v>1.6261574074074074E-2</v>
      </c>
      <c r="E460" t="s">
        <v>5883</v>
      </c>
      <c r="F460" s="69" t="s">
        <v>4075</v>
      </c>
      <c r="I460" s="2"/>
      <c r="K460" s="82">
        <v>0.60170000000000001</v>
      </c>
      <c r="AA460" s="41"/>
    </row>
    <row r="461" spans="1:28" x14ac:dyDescent="0.2">
      <c r="A461" s="33">
        <v>42448</v>
      </c>
      <c r="B461" t="s">
        <v>4576</v>
      </c>
      <c r="C461" s="1" t="s">
        <v>4577</v>
      </c>
      <c r="D461" s="65">
        <v>1.7523148148148149E-2</v>
      </c>
      <c r="E461" t="s">
        <v>5885</v>
      </c>
      <c r="F461" s="69" t="s">
        <v>4973</v>
      </c>
      <c r="I461" s="2"/>
      <c r="K461" s="82">
        <v>0.5575</v>
      </c>
    </row>
    <row r="462" spans="1:28" x14ac:dyDescent="0.2">
      <c r="A462" s="33">
        <v>42441</v>
      </c>
      <c r="B462" t="s">
        <v>4576</v>
      </c>
      <c r="C462" s="1" t="s">
        <v>4577</v>
      </c>
      <c r="D462" s="65">
        <v>1.9606481481481482E-2</v>
      </c>
      <c r="E462" t="s">
        <v>802</v>
      </c>
      <c r="F462" s="69" t="s">
        <v>2981</v>
      </c>
      <c r="I462" s="2"/>
      <c r="K462" s="82">
        <v>0.49819999999999998</v>
      </c>
    </row>
    <row r="463" spans="1:28" x14ac:dyDescent="0.2">
      <c r="A463" s="33">
        <v>42434</v>
      </c>
      <c r="B463" t="s">
        <v>4576</v>
      </c>
      <c r="C463" s="1" t="s">
        <v>4577</v>
      </c>
      <c r="D463" s="65">
        <v>1.6770833333333332E-2</v>
      </c>
      <c r="E463" t="s">
        <v>5883</v>
      </c>
      <c r="F463" s="69"/>
      <c r="I463" s="2"/>
      <c r="K463" s="82">
        <v>0.58250000000000002</v>
      </c>
    </row>
    <row r="464" spans="1:28" x14ac:dyDescent="0.2">
      <c r="A464" s="33">
        <v>42427</v>
      </c>
      <c r="B464" t="s">
        <v>4576</v>
      </c>
      <c r="C464" s="1" t="s">
        <v>4577</v>
      </c>
      <c r="D464" s="65">
        <v>1.7777777777777778E-2</v>
      </c>
      <c r="E464" t="s">
        <v>129</v>
      </c>
      <c r="F464" s="69"/>
      <c r="I464" s="2"/>
      <c r="K464" s="82">
        <v>0.54949999999999999</v>
      </c>
    </row>
    <row r="465" spans="1:11" x14ac:dyDescent="0.2">
      <c r="A465" s="33">
        <v>42420</v>
      </c>
      <c r="B465" t="s">
        <v>4576</v>
      </c>
      <c r="C465" s="1" t="s">
        <v>4577</v>
      </c>
      <c r="D465" s="65">
        <v>1.7245370370370369E-2</v>
      </c>
      <c r="E465" t="s">
        <v>5883</v>
      </c>
      <c r="F465" s="69" t="s">
        <v>699</v>
      </c>
      <c r="I465" s="2"/>
      <c r="K465" s="82">
        <v>0.56640000000000001</v>
      </c>
    </row>
    <row r="466" spans="1:11" x14ac:dyDescent="0.2">
      <c r="A466" s="33">
        <v>42406</v>
      </c>
      <c r="B466" t="s">
        <v>4576</v>
      </c>
      <c r="C466" s="1" t="s">
        <v>4577</v>
      </c>
      <c r="D466" s="65">
        <v>1.5833333333333335E-2</v>
      </c>
      <c r="E466" t="s">
        <v>5883</v>
      </c>
      <c r="F466" s="69" t="s">
        <v>2689</v>
      </c>
      <c r="I466" s="2"/>
      <c r="K466" s="82">
        <v>0.61699999999999999</v>
      </c>
    </row>
    <row r="467" spans="1:11" x14ac:dyDescent="0.2">
      <c r="A467" s="33">
        <v>42392</v>
      </c>
      <c r="B467" t="s">
        <v>4576</v>
      </c>
      <c r="C467" s="1" t="s">
        <v>4577</v>
      </c>
      <c r="D467" s="65">
        <v>1.5925925925925927E-2</v>
      </c>
      <c r="E467" t="s">
        <v>998</v>
      </c>
      <c r="F467" s="69" t="s">
        <v>4208</v>
      </c>
      <c r="I467" s="2"/>
      <c r="K467" s="82">
        <v>0.61339999999999995</v>
      </c>
    </row>
    <row r="468" spans="1:11" x14ac:dyDescent="0.2">
      <c r="A468" s="33">
        <v>42385</v>
      </c>
      <c r="B468" t="s">
        <v>4576</v>
      </c>
      <c r="C468" s="1" t="s">
        <v>4577</v>
      </c>
      <c r="D468" s="65">
        <v>1.5601851851851851E-2</v>
      </c>
      <c r="E468" t="s">
        <v>129</v>
      </c>
      <c r="F468" s="69" t="s">
        <v>5017</v>
      </c>
      <c r="I468" s="2"/>
      <c r="K468" s="82">
        <v>0.62609999999999999</v>
      </c>
    </row>
    <row r="469" spans="1:11" x14ac:dyDescent="0.2">
      <c r="A469" s="33">
        <v>42378</v>
      </c>
      <c r="B469" s="407" t="s">
        <v>4576</v>
      </c>
      <c r="C469" s="408" t="s">
        <v>4577</v>
      </c>
      <c r="D469" s="544">
        <v>1.6319444444444445E-2</v>
      </c>
      <c r="E469" s="407" t="s">
        <v>5883</v>
      </c>
      <c r="F469" s="545" t="s">
        <v>2779</v>
      </c>
      <c r="G469" s="407"/>
      <c r="H469" s="407"/>
      <c r="I469" s="348"/>
      <c r="J469" s="407"/>
      <c r="K469" s="546">
        <v>0.59860000000000002</v>
      </c>
    </row>
    <row r="470" spans="1:11" x14ac:dyDescent="0.2">
      <c r="A470" s="33">
        <v>42371</v>
      </c>
      <c r="B470" t="s">
        <v>4576</v>
      </c>
      <c r="C470" s="1" t="s">
        <v>4577</v>
      </c>
      <c r="D470" s="65">
        <v>1.653935185185185E-2</v>
      </c>
      <c r="E470" s="5" t="s">
        <v>5883</v>
      </c>
      <c r="F470" s="69" t="s">
        <v>935</v>
      </c>
      <c r="K470" s="82">
        <v>0.59899999999999998</v>
      </c>
    </row>
    <row r="471" spans="1:11" x14ac:dyDescent="0.2">
      <c r="A471" s="33">
        <v>42370</v>
      </c>
      <c r="B471" t="s">
        <v>4576</v>
      </c>
      <c r="C471" s="1" t="s">
        <v>4577</v>
      </c>
      <c r="D471" s="65">
        <v>1.5856481481481482E-2</v>
      </c>
      <c r="E471" s="5" t="s">
        <v>4004</v>
      </c>
      <c r="F471" s="69"/>
      <c r="K471" s="82">
        <v>0.61609999999999998</v>
      </c>
    </row>
    <row r="472" spans="1:11" x14ac:dyDescent="0.2">
      <c r="A472" s="33">
        <v>42370</v>
      </c>
      <c r="B472" t="s">
        <v>4576</v>
      </c>
      <c r="C472" s="1" t="s">
        <v>4577</v>
      </c>
      <c r="D472" s="65">
        <v>1.6608796296296299E-2</v>
      </c>
      <c r="E472" s="5" t="s">
        <v>5439</v>
      </c>
      <c r="F472" s="69" t="s">
        <v>3473</v>
      </c>
      <c r="K472" s="82">
        <v>0.58820000000000006</v>
      </c>
    </row>
    <row r="473" spans="1:11" x14ac:dyDescent="0.2">
      <c r="A473" s="33">
        <v>42441</v>
      </c>
      <c r="B473" s="53" t="s">
        <v>4316</v>
      </c>
      <c r="C473" s="54" t="s">
        <v>4317</v>
      </c>
      <c r="D473" s="65">
        <v>1.2488425925925925E-2</v>
      </c>
      <c r="E473" t="s">
        <v>5885</v>
      </c>
      <c r="F473" s="69" t="s">
        <v>4319</v>
      </c>
      <c r="I473" s="2"/>
      <c r="K473" s="82">
        <v>0.8619</v>
      </c>
    </row>
    <row r="474" spans="1:11" x14ac:dyDescent="0.2">
      <c r="A474" s="33">
        <v>42644</v>
      </c>
      <c r="B474" s="5" t="s">
        <v>859</v>
      </c>
      <c r="C474" s="32" t="s">
        <v>860</v>
      </c>
      <c r="D474" s="8">
        <v>1.2094907407407408E-2</v>
      </c>
      <c r="E474" t="s">
        <v>248</v>
      </c>
      <c r="F474" s="69" t="s">
        <v>3054</v>
      </c>
      <c r="I474" s="2"/>
      <c r="K474" s="82">
        <v>0.86029999999999995</v>
      </c>
    </row>
    <row r="475" spans="1:11" x14ac:dyDescent="0.2">
      <c r="A475" s="33">
        <v>42609</v>
      </c>
      <c r="B475" s="5" t="s">
        <v>859</v>
      </c>
      <c r="C475" s="32" t="s">
        <v>860</v>
      </c>
      <c r="D475" s="65">
        <v>1.2534722222222223E-2</v>
      </c>
      <c r="E475" t="s">
        <v>248</v>
      </c>
      <c r="F475" s="69" t="s">
        <v>92</v>
      </c>
      <c r="I475" s="2"/>
      <c r="K475" s="82">
        <v>0.83009999999999995</v>
      </c>
    </row>
    <row r="476" spans="1:11" x14ac:dyDescent="0.2">
      <c r="A476" s="33">
        <v>42735</v>
      </c>
      <c r="B476" s="80" t="s">
        <v>3755</v>
      </c>
      <c r="C476" s="334" t="s">
        <v>3799</v>
      </c>
      <c r="D476" s="65">
        <v>1.8310185185185186E-2</v>
      </c>
      <c r="E476" s="80" t="s">
        <v>4202</v>
      </c>
      <c r="F476" s="69" t="s">
        <v>6192</v>
      </c>
      <c r="I476" s="2"/>
      <c r="K476" s="82">
        <v>0.60240000000000005</v>
      </c>
    </row>
    <row r="477" spans="1:11" x14ac:dyDescent="0.2">
      <c r="A477" s="523">
        <v>42728</v>
      </c>
      <c r="B477" s="80" t="s">
        <v>3755</v>
      </c>
      <c r="C477" s="334" t="s">
        <v>3799</v>
      </c>
      <c r="D477" s="65">
        <v>1.8680555555555554E-2</v>
      </c>
      <c r="E477" s="80" t="s">
        <v>4834</v>
      </c>
      <c r="F477" s="69" t="s">
        <v>6134</v>
      </c>
      <c r="I477" s="2"/>
      <c r="K477" s="82">
        <v>0.59050000000000002</v>
      </c>
    </row>
    <row r="478" spans="1:11" x14ac:dyDescent="0.2">
      <c r="A478" s="33">
        <v>42721</v>
      </c>
      <c r="B478" s="5" t="s">
        <v>3755</v>
      </c>
      <c r="C478" s="32" t="s">
        <v>3799</v>
      </c>
      <c r="D478" s="65">
        <v>1.9629629629629629E-2</v>
      </c>
      <c r="E478" s="5" t="s">
        <v>4202</v>
      </c>
      <c r="F478" s="108" t="s">
        <v>5516</v>
      </c>
      <c r="I478" s="2"/>
      <c r="K478" s="82">
        <v>0.56189999999999996</v>
      </c>
    </row>
    <row r="479" spans="1:11" x14ac:dyDescent="0.2">
      <c r="A479" s="33">
        <v>42714</v>
      </c>
      <c r="B479" s="5" t="s">
        <v>3755</v>
      </c>
      <c r="C479" s="32" t="s">
        <v>3799</v>
      </c>
      <c r="D479" s="65">
        <v>1.8912037037037036E-2</v>
      </c>
      <c r="E479" s="5" t="s">
        <v>1805</v>
      </c>
      <c r="F479" s="108" t="s">
        <v>4113</v>
      </c>
      <c r="I479" s="2"/>
      <c r="K479" s="82">
        <v>0.58320000000000005</v>
      </c>
    </row>
    <row r="480" spans="1:11" x14ac:dyDescent="0.2">
      <c r="A480" s="33">
        <v>42707</v>
      </c>
      <c r="B480" s="5" t="s">
        <v>3755</v>
      </c>
      <c r="C480" s="32" t="s">
        <v>3799</v>
      </c>
      <c r="D480" s="65">
        <v>1.8564814814814815E-2</v>
      </c>
      <c r="E480" t="s">
        <v>4837</v>
      </c>
      <c r="F480" s="108" t="s">
        <v>6036</v>
      </c>
      <c r="I480" s="5" t="s">
        <v>6037</v>
      </c>
      <c r="J480" s="5"/>
      <c r="K480" s="82">
        <v>0.59409999999999996</v>
      </c>
    </row>
    <row r="481" spans="1:11" x14ac:dyDescent="0.2">
      <c r="A481" s="33">
        <v>42700</v>
      </c>
      <c r="B481" s="5" t="s">
        <v>3755</v>
      </c>
      <c r="C481" s="32" t="s">
        <v>3799</v>
      </c>
      <c r="D481" s="65">
        <v>1.9502314814814816E-2</v>
      </c>
      <c r="E481" s="5" t="s">
        <v>3225</v>
      </c>
      <c r="F481" s="69"/>
      <c r="I481" s="2"/>
      <c r="K481" s="82">
        <v>0.56559999999999999</v>
      </c>
    </row>
    <row r="482" spans="1:11" x14ac:dyDescent="0.2">
      <c r="A482" s="33">
        <v>42693</v>
      </c>
      <c r="B482" s="5" t="s">
        <v>3755</v>
      </c>
      <c r="C482" s="32" t="s">
        <v>3799</v>
      </c>
      <c r="D482" s="65">
        <v>2.1307870370370369E-2</v>
      </c>
      <c r="E482" s="5" t="s">
        <v>4202</v>
      </c>
      <c r="F482" s="69"/>
      <c r="I482" s="2"/>
      <c r="K482" s="82">
        <v>0.51770000000000005</v>
      </c>
    </row>
    <row r="483" spans="1:11" x14ac:dyDescent="0.2">
      <c r="A483" s="33">
        <v>42679</v>
      </c>
      <c r="B483" s="5" t="s">
        <v>3755</v>
      </c>
      <c r="C483" s="32" t="s">
        <v>3799</v>
      </c>
      <c r="D483" s="65">
        <v>1.8101851851851852E-2</v>
      </c>
      <c r="E483" t="s">
        <v>4202</v>
      </c>
      <c r="F483" s="69" t="s">
        <v>612</v>
      </c>
      <c r="I483" s="2"/>
      <c r="K483" s="82">
        <v>0.60740000000000005</v>
      </c>
    </row>
    <row r="484" spans="1:11" x14ac:dyDescent="0.2">
      <c r="A484" s="33">
        <v>42672</v>
      </c>
      <c r="B484" s="5" t="s">
        <v>3755</v>
      </c>
      <c r="C484" s="32" t="s">
        <v>3799</v>
      </c>
      <c r="D484" s="65">
        <v>2.028935185185185E-2</v>
      </c>
      <c r="E484" t="s">
        <v>353</v>
      </c>
      <c r="F484" s="69" t="s">
        <v>4152</v>
      </c>
      <c r="I484" s="2"/>
      <c r="K484" s="82">
        <v>0.54359999999999997</v>
      </c>
    </row>
    <row r="485" spans="1:11" x14ac:dyDescent="0.2">
      <c r="A485" s="33">
        <v>42665</v>
      </c>
      <c r="B485" s="5" t="s">
        <v>3755</v>
      </c>
      <c r="C485" s="32" t="s">
        <v>3799</v>
      </c>
      <c r="D485" s="65">
        <v>1.877314814814815E-2</v>
      </c>
      <c r="E485" t="s">
        <v>4835</v>
      </c>
      <c r="F485" s="69" t="s">
        <v>4113</v>
      </c>
      <c r="I485" s="2"/>
      <c r="K485" s="82">
        <v>0.58750000000000002</v>
      </c>
    </row>
    <row r="486" spans="1:11" x14ac:dyDescent="0.2">
      <c r="A486" s="33">
        <v>42658</v>
      </c>
      <c r="B486" s="5" t="s">
        <v>3755</v>
      </c>
      <c r="C486" s="32" t="s">
        <v>3799</v>
      </c>
      <c r="D486" s="65">
        <v>1.8587962962962962E-2</v>
      </c>
      <c r="E486" t="s">
        <v>5889</v>
      </c>
      <c r="F486" s="69" t="s">
        <v>2365</v>
      </c>
      <c r="I486" s="2"/>
      <c r="K486" s="82">
        <v>0.59340000000000004</v>
      </c>
    </row>
    <row r="487" spans="1:11" x14ac:dyDescent="0.2">
      <c r="A487" s="33">
        <v>42651</v>
      </c>
      <c r="B487" s="5" t="s">
        <v>3755</v>
      </c>
      <c r="C487" s="32" t="s">
        <v>3799</v>
      </c>
      <c r="D487" s="65">
        <v>1.8877314814814816E-2</v>
      </c>
      <c r="E487" t="s">
        <v>4202</v>
      </c>
      <c r="F487" s="69" t="s">
        <v>1086</v>
      </c>
      <c r="I487" s="2"/>
      <c r="K487" s="82">
        <v>0.57879999999999998</v>
      </c>
    </row>
    <row r="488" spans="1:11" x14ac:dyDescent="0.2">
      <c r="A488" s="33">
        <v>42644</v>
      </c>
      <c r="B488" s="5" t="s">
        <v>3755</v>
      </c>
      <c r="C488" s="32" t="s">
        <v>3799</v>
      </c>
      <c r="D488" s="65">
        <v>1.8587962962962962E-2</v>
      </c>
      <c r="E488" t="s">
        <v>3225</v>
      </c>
      <c r="F488" s="69" t="s">
        <v>1537</v>
      </c>
      <c r="I488" s="2"/>
      <c r="K488" s="82">
        <v>0.58779999999999999</v>
      </c>
    </row>
    <row r="489" spans="1:11" x14ac:dyDescent="0.2">
      <c r="A489" s="33">
        <v>42637</v>
      </c>
      <c r="B489" s="5" t="s">
        <v>3755</v>
      </c>
      <c r="C489" s="32" t="s">
        <v>3799</v>
      </c>
      <c r="D489" s="65">
        <v>3.847222222222222E-2</v>
      </c>
      <c r="E489" t="s">
        <v>4202</v>
      </c>
      <c r="F489" s="69" t="s">
        <v>5747</v>
      </c>
      <c r="I489" s="2"/>
      <c r="K489" s="82"/>
    </row>
    <row r="490" spans="1:11" x14ac:dyDescent="0.2">
      <c r="A490" s="33">
        <v>42630</v>
      </c>
      <c r="B490" s="5" t="s">
        <v>3755</v>
      </c>
      <c r="C490" s="32" t="s">
        <v>3799</v>
      </c>
      <c r="D490" s="65">
        <v>3.1539351851851853E-2</v>
      </c>
      <c r="E490" t="s">
        <v>3225</v>
      </c>
      <c r="F490" s="69" t="s">
        <v>2458</v>
      </c>
      <c r="I490" s="2"/>
      <c r="K490" s="82">
        <v>0.34639999999999999</v>
      </c>
    </row>
    <row r="491" spans="1:11" x14ac:dyDescent="0.2">
      <c r="A491" s="33">
        <v>42623</v>
      </c>
      <c r="B491" s="5" t="s">
        <v>3755</v>
      </c>
      <c r="C491" s="32" t="s">
        <v>3799</v>
      </c>
      <c r="D491" s="543" t="s">
        <v>787</v>
      </c>
      <c r="E491" s="5" t="s">
        <v>4202</v>
      </c>
      <c r="F491" s="69"/>
      <c r="I491" s="2"/>
      <c r="K491" s="82"/>
    </row>
    <row r="492" spans="1:11" x14ac:dyDescent="0.2">
      <c r="A492" s="33">
        <v>42616</v>
      </c>
      <c r="B492" s="5" t="s">
        <v>3755</v>
      </c>
      <c r="C492" s="32" t="s">
        <v>3799</v>
      </c>
      <c r="D492" s="65">
        <v>1.8796296296296297E-2</v>
      </c>
      <c r="E492" t="s">
        <v>5290</v>
      </c>
      <c r="F492" s="69" t="s">
        <v>1919</v>
      </c>
      <c r="I492" s="2"/>
      <c r="K492" s="82">
        <v>0.58130000000000004</v>
      </c>
    </row>
    <row r="493" spans="1:11" x14ac:dyDescent="0.2">
      <c r="A493" s="33">
        <v>42602</v>
      </c>
      <c r="B493" s="5" t="s">
        <v>3755</v>
      </c>
      <c r="C493" s="32" t="s">
        <v>3799</v>
      </c>
      <c r="D493" s="65">
        <v>1.8958333333333334E-2</v>
      </c>
      <c r="E493" t="s">
        <v>4202</v>
      </c>
      <c r="F493" s="69" t="s">
        <v>5731</v>
      </c>
      <c r="I493" s="2"/>
      <c r="K493" s="82">
        <v>0.57630000000000003</v>
      </c>
    </row>
    <row r="494" spans="1:11" x14ac:dyDescent="0.2">
      <c r="A494" s="33">
        <v>42595</v>
      </c>
      <c r="B494" s="5" t="s">
        <v>3755</v>
      </c>
      <c r="C494" s="32" t="s">
        <v>3799</v>
      </c>
      <c r="D494" s="65">
        <v>1.8229166666666668E-2</v>
      </c>
      <c r="E494" t="s">
        <v>1183</v>
      </c>
      <c r="F494" s="69" t="s">
        <v>1437</v>
      </c>
      <c r="I494" s="2"/>
      <c r="K494" s="82">
        <v>0.59940000000000004</v>
      </c>
    </row>
    <row r="495" spans="1:11" x14ac:dyDescent="0.2">
      <c r="A495" s="33">
        <v>42588</v>
      </c>
      <c r="B495" s="5" t="s">
        <v>3755</v>
      </c>
      <c r="C495" s="32" t="s">
        <v>3799</v>
      </c>
      <c r="D495" s="543">
        <v>1.8148148148148146E-2</v>
      </c>
      <c r="E495" s="5" t="s">
        <v>4367</v>
      </c>
      <c r="F495" s="108" t="s">
        <v>2176</v>
      </c>
      <c r="G495" s="5"/>
      <c r="H495" s="5"/>
      <c r="I495" s="2"/>
      <c r="J495" s="5"/>
      <c r="K495" s="85">
        <v>0.60199999999999998</v>
      </c>
    </row>
    <row r="496" spans="1:11" x14ac:dyDescent="0.2">
      <c r="A496" s="33">
        <v>42581</v>
      </c>
      <c r="B496" s="5" t="s">
        <v>3755</v>
      </c>
      <c r="C496" s="32" t="s">
        <v>3799</v>
      </c>
      <c r="D496" s="65">
        <v>1.8124999999999999E-2</v>
      </c>
      <c r="E496" t="s">
        <v>4202</v>
      </c>
      <c r="F496" s="69" t="s">
        <v>5673</v>
      </c>
      <c r="I496" s="2"/>
      <c r="K496" s="82">
        <v>0.6028</v>
      </c>
    </row>
    <row r="497" spans="1:28" x14ac:dyDescent="0.2">
      <c r="A497" s="33">
        <v>42574</v>
      </c>
      <c r="B497" s="5" t="s">
        <v>3755</v>
      </c>
      <c r="C497" s="32" t="s">
        <v>3799</v>
      </c>
      <c r="D497" s="65">
        <v>1.9618055555555555E-2</v>
      </c>
      <c r="E497" t="s">
        <v>3225</v>
      </c>
      <c r="F497" s="69" t="s">
        <v>1011</v>
      </c>
      <c r="I497" s="2"/>
      <c r="K497" s="82">
        <v>0.55689999999999995</v>
      </c>
    </row>
    <row r="498" spans="1:28" x14ac:dyDescent="0.2">
      <c r="A498" s="33">
        <v>42567</v>
      </c>
      <c r="B498" s="5" t="s">
        <v>3755</v>
      </c>
      <c r="C498" s="32" t="s">
        <v>3799</v>
      </c>
      <c r="D498" s="65">
        <v>1.9479166666666669E-2</v>
      </c>
      <c r="E498" t="s">
        <v>4202</v>
      </c>
      <c r="F498" s="69" t="s">
        <v>4333</v>
      </c>
      <c r="I498" s="2"/>
      <c r="K498" s="82">
        <v>0.56089999999999995</v>
      </c>
    </row>
    <row r="499" spans="1:28" x14ac:dyDescent="0.2">
      <c r="A499" s="33">
        <v>42546</v>
      </c>
      <c r="B499" s="5" t="s">
        <v>3755</v>
      </c>
      <c r="C499" s="32" t="s">
        <v>3799</v>
      </c>
      <c r="D499" s="65">
        <v>1.8113425925925925E-2</v>
      </c>
      <c r="E499" t="s">
        <v>3225</v>
      </c>
      <c r="F499" s="69" t="s">
        <v>720</v>
      </c>
      <c r="I499" s="2"/>
      <c r="K499" s="82">
        <v>0.60319999999999996</v>
      </c>
    </row>
    <row r="500" spans="1:28" x14ac:dyDescent="0.2">
      <c r="A500" s="33">
        <v>42539</v>
      </c>
      <c r="B500" s="5" t="s">
        <v>3755</v>
      </c>
      <c r="C500" s="32" t="s">
        <v>3799</v>
      </c>
      <c r="D500" s="65">
        <v>1.8020833333333333E-2</v>
      </c>
      <c r="E500" t="s">
        <v>4202</v>
      </c>
      <c r="F500" s="69" t="s">
        <v>4758</v>
      </c>
      <c r="I500" s="2"/>
      <c r="K500" s="82">
        <v>0.60629999999999995</v>
      </c>
    </row>
    <row r="501" spans="1:28" x14ac:dyDescent="0.2">
      <c r="A501" s="33">
        <v>42532</v>
      </c>
      <c r="B501" s="5" t="s">
        <v>3755</v>
      </c>
      <c r="C501" s="32" t="s">
        <v>3799</v>
      </c>
      <c r="D501" s="65">
        <v>1.8449074074074073E-2</v>
      </c>
      <c r="E501" t="s">
        <v>3683</v>
      </c>
      <c r="F501" s="69" t="s">
        <v>2629</v>
      </c>
      <c r="I501" s="2"/>
      <c r="K501" s="82">
        <v>0.59219999999999995</v>
      </c>
    </row>
    <row r="502" spans="1:28" x14ac:dyDescent="0.2">
      <c r="A502" s="33">
        <v>42525</v>
      </c>
      <c r="B502" s="5" t="s">
        <v>3755</v>
      </c>
      <c r="C502" s="32" t="s">
        <v>3799</v>
      </c>
      <c r="D502" s="543">
        <v>3.0138888888888885E-2</v>
      </c>
      <c r="E502" s="5" t="s">
        <v>4202</v>
      </c>
      <c r="F502" s="108" t="s">
        <v>1189</v>
      </c>
      <c r="G502" s="5"/>
      <c r="H502" s="5"/>
      <c r="I502" s="2"/>
      <c r="J502" s="5"/>
      <c r="K502" s="85">
        <v>0.36249999999999999</v>
      </c>
    </row>
    <row r="503" spans="1:28" x14ac:dyDescent="0.2">
      <c r="A503" s="33">
        <v>42518</v>
      </c>
      <c r="B503" s="5" t="s">
        <v>3755</v>
      </c>
      <c r="C503" s="32" t="s">
        <v>3799</v>
      </c>
      <c r="D503" s="543">
        <v>1.8888888888888889E-2</v>
      </c>
      <c r="E503" s="5" t="s">
        <v>161</v>
      </c>
      <c r="F503" s="108" t="s">
        <v>3796</v>
      </c>
      <c r="G503" s="5"/>
      <c r="H503" s="5"/>
      <c r="I503" s="2"/>
      <c r="J503" s="5"/>
      <c r="K503" s="85">
        <v>0.57840000000000003</v>
      </c>
    </row>
    <row r="504" spans="1:28" x14ac:dyDescent="0.2">
      <c r="A504" s="33">
        <v>42511</v>
      </c>
      <c r="B504" s="5" t="s">
        <v>3755</v>
      </c>
      <c r="C504" s="32" t="s">
        <v>3799</v>
      </c>
      <c r="D504" s="543">
        <v>1.7928240740740741E-2</v>
      </c>
      <c r="E504" s="5" t="s">
        <v>4202</v>
      </c>
      <c r="F504" s="108" t="s">
        <v>876</v>
      </c>
      <c r="G504" s="5"/>
      <c r="H504" s="5"/>
      <c r="I504" s="2"/>
      <c r="J504" s="5"/>
      <c r="K504" s="85">
        <v>0.60940000000000005</v>
      </c>
    </row>
    <row r="505" spans="1:28" x14ac:dyDescent="0.2">
      <c r="A505" s="33">
        <v>42504</v>
      </c>
      <c r="B505" s="5" t="s">
        <v>3755</v>
      </c>
      <c r="C505" s="32" t="s">
        <v>3799</v>
      </c>
      <c r="D505" s="543">
        <v>1.9050925925925926E-2</v>
      </c>
      <c r="E505" s="5" t="s">
        <v>3215</v>
      </c>
      <c r="F505" s="108" t="s">
        <v>2355</v>
      </c>
      <c r="G505" s="5"/>
      <c r="H505" s="5"/>
      <c r="I505" s="5"/>
      <c r="J505" s="5"/>
      <c r="K505" s="85">
        <v>0.57350000000000001</v>
      </c>
    </row>
    <row r="506" spans="1:28" x14ac:dyDescent="0.2">
      <c r="A506" s="33">
        <v>42497</v>
      </c>
      <c r="B506" s="5" t="s">
        <v>3755</v>
      </c>
      <c r="C506" s="32" t="s">
        <v>3799</v>
      </c>
      <c r="D506" s="543">
        <v>1.8460648148148146E-2</v>
      </c>
      <c r="E506" s="5" t="s">
        <v>3225</v>
      </c>
      <c r="F506" s="108" t="s">
        <v>96</v>
      </c>
      <c r="G506" s="5"/>
      <c r="H506" s="5"/>
      <c r="I506" s="5"/>
      <c r="J506" s="5"/>
      <c r="K506" s="85">
        <v>0.59179999999999999</v>
      </c>
    </row>
    <row r="507" spans="1:28" x14ac:dyDescent="0.2">
      <c r="A507" s="33">
        <v>42490</v>
      </c>
      <c r="B507" s="5" t="s">
        <v>3755</v>
      </c>
      <c r="C507" s="32" t="s">
        <v>3799</v>
      </c>
      <c r="D507" s="543" t="s">
        <v>787</v>
      </c>
      <c r="E507" s="5" t="s">
        <v>4202</v>
      </c>
      <c r="F507" s="108" t="s">
        <v>4854</v>
      </c>
      <c r="G507" s="5"/>
      <c r="H507" s="5"/>
      <c r="I507" s="5"/>
      <c r="J507" s="5"/>
      <c r="K507" s="85"/>
    </row>
    <row r="508" spans="1:28" x14ac:dyDescent="0.2">
      <c r="A508" s="33">
        <v>42476</v>
      </c>
      <c r="B508" s="5" t="s">
        <v>3755</v>
      </c>
      <c r="C508" s="32" t="s">
        <v>3799</v>
      </c>
      <c r="D508" s="65">
        <v>1.9479166666666669E-2</v>
      </c>
      <c r="E508" s="5" t="s">
        <v>4836</v>
      </c>
      <c r="F508" s="69" t="s">
        <v>3476</v>
      </c>
      <c r="I508" s="2"/>
      <c r="K508" s="82">
        <v>0.56089999999999995</v>
      </c>
    </row>
    <row r="509" spans="1:28" x14ac:dyDescent="0.2">
      <c r="A509" s="33">
        <v>42469</v>
      </c>
      <c r="B509" s="5" t="s">
        <v>3755</v>
      </c>
      <c r="C509" s="32" t="s">
        <v>3799</v>
      </c>
      <c r="D509" s="65">
        <v>1.8842592592592591E-2</v>
      </c>
      <c r="E509" t="s">
        <v>4835</v>
      </c>
      <c r="F509" s="69" t="s">
        <v>2629</v>
      </c>
      <c r="I509" s="2"/>
      <c r="K509" s="82">
        <v>0.57989999999999997</v>
      </c>
    </row>
    <row r="510" spans="1:28" x14ac:dyDescent="0.2">
      <c r="A510" s="33">
        <v>42455</v>
      </c>
      <c r="B510" t="s">
        <v>3755</v>
      </c>
      <c r="C510" s="1" t="s">
        <v>3799</v>
      </c>
      <c r="D510" s="65">
        <v>1.8842592592592591E-2</v>
      </c>
      <c r="E510" t="s">
        <v>3215</v>
      </c>
      <c r="F510" s="69" t="s">
        <v>544</v>
      </c>
      <c r="I510" s="2"/>
      <c r="K510" s="82">
        <v>0.57989999999999997</v>
      </c>
      <c r="AB510" s="41"/>
    </row>
    <row r="511" spans="1:28" x14ac:dyDescent="0.2">
      <c r="A511" s="33">
        <v>42448</v>
      </c>
      <c r="B511" t="s">
        <v>3755</v>
      </c>
      <c r="C511" s="1" t="s">
        <v>3799</v>
      </c>
      <c r="D511" s="65">
        <v>1.8518518518518521E-2</v>
      </c>
      <c r="E511" t="s">
        <v>4201</v>
      </c>
      <c r="F511" s="69" t="s">
        <v>5805</v>
      </c>
      <c r="I511" s="2"/>
      <c r="K511" s="82">
        <v>0.59</v>
      </c>
    </row>
    <row r="512" spans="1:28" x14ac:dyDescent="0.2">
      <c r="A512" s="33">
        <v>42441</v>
      </c>
      <c r="B512" t="s">
        <v>3755</v>
      </c>
      <c r="C512" s="1" t="s">
        <v>3799</v>
      </c>
      <c r="D512" s="65">
        <v>1.8553240740740742E-2</v>
      </c>
      <c r="E512" t="s">
        <v>668</v>
      </c>
      <c r="F512" s="69" t="s">
        <v>3201</v>
      </c>
      <c r="I512" s="2"/>
      <c r="K512" s="82">
        <v>0.58889999999999998</v>
      </c>
    </row>
    <row r="513" spans="1:13" x14ac:dyDescent="0.2">
      <c r="A513" s="33">
        <v>42434</v>
      </c>
      <c r="B513" t="s">
        <v>3755</v>
      </c>
      <c r="C513" s="1" t="s">
        <v>3799</v>
      </c>
      <c r="D513" s="65">
        <v>1.8391203703703705E-2</v>
      </c>
      <c r="E513" t="s">
        <v>4202</v>
      </c>
      <c r="F513" s="69" t="s">
        <v>29</v>
      </c>
      <c r="I513" s="2"/>
      <c r="K513" s="82">
        <v>0.59409999999999996</v>
      </c>
    </row>
    <row r="514" spans="1:13" x14ac:dyDescent="0.2">
      <c r="A514" s="33">
        <v>42427</v>
      </c>
      <c r="B514" t="s">
        <v>3755</v>
      </c>
      <c r="C514" s="1" t="s">
        <v>3799</v>
      </c>
      <c r="D514" s="65">
        <v>1.9791666666666666E-2</v>
      </c>
      <c r="E514" s="5" t="s">
        <v>4817</v>
      </c>
      <c r="F514" s="69" t="s">
        <v>2629</v>
      </c>
      <c r="I514" s="2"/>
      <c r="K514" s="82">
        <v>0.55200000000000005</v>
      </c>
    </row>
    <row r="515" spans="1:13" x14ac:dyDescent="0.2">
      <c r="A515" s="33">
        <v>42420</v>
      </c>
      <c r="B515" t="s">
        <v>3755</v>
      </c>
      <c r="C515" s="1" t="s">
        <v>3799</v>
      </c>
      <c r="D515" s="65">
        <v>1.877314814814815E-2</v>
      </c>
      <c r="E515" t="s">
        <v>4199</v>
      </c>
      <c r="F515" s="69" t="s">
        <v>5771</v>
      </c>
      <c r="I515" s="2"/>
      <c r="K515" s="82">
        <v>0.58199999999999996</v>
      </c>
    </row>
    <row r="516" spans="1:13" x14ac:dyDescent="0.2">
      <c r="A516" s="33">
        <v>42413</v>
      </c>
      <c r="B516" t="s">
        <v>3755</v>
      </c>
      <c r="C516" s="1" t="s">
        <v>3799</v>
      </c>
      <c r="D516" s="65">
        <v>2.074074074074074E-2</v>
      </c>
      <c r="E516" t="s">
        <v>3323</v>
      </c>
      <c r="F516" s="69" t="s">
        <v>3802</v>
      </c>
      <c r="I516" s="2"/>
      <c r="K516" s="82">
        <v>0.52680000000000005</v>
      </c>
    </row>
    <row r="517" spans="1:13" x14ac:dyDescent="0.2">
      <c r="A517" s="33">
        <v>42406</v>
      </c>
      <c r="B517" t="s">
        <v>3755</v>
      </c>
      <c r="C517" s="1" t="s">
        <v>3799</v>
      </c>
      <c r="D517" s="65">
        <v>1.9780092592592592E-2</v>
      </c>
      <c r="E517" t="s">
        <v>4202</v>
      </c>
      <c r="F517" s="69" t="s">
        <v>1382</v>
      </c>
      <c r="I517" s="2"/>
      <c r="K517" s="82">
        <v>0.5524</v>
      </c>
    </row>
    <row r="518" spans="1:13" x14ac:dyDescent="0.2">
      <c r="A518" s="33">
        <v>42399</v>
      </c>
      <c r="B518" t="s">
        <v>3755</v>
      </c>
      <c r="C518" s="1" t="s">
        <v>3799</v>
      </c>
      <c r="D518" s="65">
        <v>2.0312500000000001E-2</v>
      </c>
      <c r="E518" t="s">
        <v>3225</v>
      </c>
      <c r="F518" s="97" t="s">
        <v>1164</v>
      </c>
      <c r="I518" s="2"/>
      <c r="K518" s="82">
        <v>0.53790000000000004</v>
      </c>
    </row>
    <row r="519" spans="1:13" x14ac:dyDescent="0.2">
      <c r="A519" s="33">
        <v>42392</v>
      </c>
      <c r="B519" t="s">
        <v>3755</v>
      </c>
      <c r="C519" s="1" t="s">
        <v>3799</v>
      </c>
      <c r="D519" s="65">
        <v>1.9340277777777779E-2</v>
      </c>
      <c r="E519" t="s">
        <v>4202</v>
      </c>
      <c r="F519" s="69" t="s">
        <v>4042</v>
      </c>
      <c r="I519" s="2"/>
      <c r="K519" s="82">
        <v>0.56489999999999996</v>
      </c>
    </row>
    <row r="520" spans="1:13" x14ac:dyDescent="0.2">
      <c r="A520" s="33">
        <v>42385</v>
      </c>
      <c r="B520" t="s">
        <v>3755</v>
      </c>
      <c r="C520" s="1" t="s">
        <v>3799</v>
      </c>
      <c r="D520" s="65">
        <v>1.9618055555555555E-2</v>
      </c>
      <c r="E520" t="s">
        <v>3225</v>
      </c>
      <c r="F520" s="69" t="s">
        <v>5901</v>
      </c>
      <c r="I520" s="2"/>
      <c r="K520" s="82">
        <v>0.55689999999999995</v>
      </c>
    </row>
    <row r="521" spans="1:13" x14ac:dyDescent="0.2">
      <c r="A521" s="33">
        <v>42729</v>
      </c>
      <c r="B521" s="80" t="s">
        <v>680</v>
      </c>
      <c r="C521" s="334" t="s">
        <v>3799</v>
      </c>
      <c r="D521" s="65">
        <v>1.8668981481481481E-2</v>
      </c>
      <c r="E521" s="80" t="s">
        <v>4834</v>
      </c>
      <c r="F521" s="69" t="s">
        <v>6154</v>
      </c>
      <c r="I521" s="2"/>
      <c r="K521" s="82">
        <v>0.59079999999999999</v>
      </c>
      <c r="M521" s="80" t="s">
        <v>6155</v>
      </c>
    </row>
    <row r="522" spans="1:13" x14ac:dyDescent="0.2">
      <c r="A522" s="33">
        <v>42686</v>
      </c>
      <c r="B522" s="5" t="s">
        <v>680</v>
      </c>
      <c r="C522" s="32" t="s">
        <v>3799</v>
      </c>
      <c r="D522" s="65">
        <v>1.9143518518518518E-2</v>
      </c>
      <c r="E522" t="s">
        <v>3225</v>
      </c>
      <c r="F522" s="69" t="s">
        <v>1469</v>
      </c>
      <c r="I522" s="2"/>
      <c r="K522" s="82">
        <v>0.57620000000000005</v>
      </c>
    </row>
    <row r="523" spans="1:13" x14ac:dyDescent="0.2">
      <c r="A523" s="33">
        <v>42483</v>
      </c>
      <c r="B523" s="5" t="s">
        <v>680</v>
      </c>
      <c r="C523" s="32" t="s">
        <v>3799</v>
      </c>
      <c r="D523" s="543">
        <v>1.8217592592592594E-2</v>
      </c>
      <c r="E523" s="5" t="s">
        <v>3225</v>
      </c>
      <c r="F523" s="108" t="s">
        <v>876</v>
      </c>
      <c r="G523" s="5"/>
      <c r="H523" s="5"/>
      <c r="I523" s="2"/>
      <c r="J523" s="5"/>
      <c r="K523" s="85">
        <v>0.59970000000000001</v>
      </c>
    </row>
    <row r="524" spans="1:13" x14ac:dyDescent="0.2">
      <c r="A524" s="33">
        <v>42735</v>
      </c>
      <c r="B524" s="80" t="s">
        <v>1794</v>
      </c>
      <c r="C524" s="334" t="s">
        <v>3799</v>
      </c>
      <c r="D524" s="65">
        <v>1.5706018518518518E-2</v>
      </c>
      <c r="E524" s="80" t="s">
        <v>4202</v>
      </c>
      <c r="F524" s="69" t="s">
        <v>6178</v>
      </c>
      <c r="I524" s="2"/>
      <c r="K524" s="82">
        <v>0.67349999999999999</v>
      </c>
    </row>
    <row r="525" spans="1:13" x14ac:dyDescent="0.2">
      <c r="A525" s="33">
        <v>42729</v>
      </c>
      <c r="B525" s="80" t="s">
        <v>1794</v>
      </c>
      <c r="C525" s="334" t="s">
        <v>3799</v>
      </c>
      <c r="D525" s="65">
        <v>1.6597222222222222E-2</v>
      </c>
      <c r="E525" s="80" t="s">
        <v>4834</v>
      </c>
      <c r="F525" s="69" t="s">
        <v>3190</v>
      </c>
      <c r="I525" s="2"/>
      <c r="K525" s="82">
        <v>0.63739999999999997</v>
      </c>
    </row>
    <row r="526" spans="1:13" x14ac:dyDescent="0.2">
      <c r="A526" s="523">
        <v>42728</v>
      </c>
      <c r="B526" s="80" t="s">
        <v>1794</v>
      </c>
      <c r="C526" s="334" t="s">
        <v>3799</v>
      </c>
      <c r="D526" s="65">
        <v>1.6342592592592593E-2</v>
      </c>
      <c r="E526" s="80" t="s">
        <v>4834</v>
      </c>
      <c r="F526" s="69" t="s">
        <v>6134</v>
      </c>
      <c r="I526" s="2"/>
      <c r="K526" s="82">
        <v>0.64239999999999997</v>
      </c>
      <c r="M526" s="80" t="s">
        <v>6135</v>
      </c>
    </row>
    <row r="527" spans="1:13" x14ac:dyDescent="0.2">
      <c r="A527" s="33">
        <v>42721</v>
      </c>
      <c r="B527" s="5" t="s">
        <v>1794</v>
      </c>
      <c r="C527" s="32" t="s">
        <v>3799</v>
      </c>
      <c r="D527" s="65">
        <v>1.6620370370370372E-2</v>
      </c>
      <c r="E527" s="5" t="s">
        <v>4202</v>
      </c>
      <c r="F527" s="108" t="s">
        <v>5919</v>
      </c>
      <c r="I527" s="2"/>
      <c r="K527" s="82">
        <v>0.63160000000000005</v>
      </c>
    </row>
    <row r="528" spans="1:13" x14ac:dyDescent="0.2">
      <c r="A528" s="33">
        <v>42714</v>
      </c>
      <c r="B528" s="5" t="s">
        <v>1794</v>
      </c>
      <c r="C528" s="32" t="s">
        <v>3799</v>
      </c>
      <c r="D528" s="65">
        <v>1.6562500000000001E-2</v>
      </c>
      <c r="E528" s="5" t="s">
        <v>1805</v>
      </c>
      <c r="F528" s="108" t="s">
        <v>1236</v>
      </c>
      <c r="I528" s="2"/>
      <c r="K528" s="82">
        <v>0.63380000000000003</v>
      </c>
    </row>
    <row r="529" spans="1:13" x14ac:dyDescent="0.2">
      <c r="A529" s="33">
        <v>42707</v>
      </c>
      <c r="B529" s="5" t="s">
        <v>1794</v>
      </c>
      <c r="C529" s="32" t="s">
        <v>3799</v>
      </c>
      <c r="D529" s="65">
        <v>1.545138888888889E-2</v>
      </c>
      <c r="E529" t="s">
        <v>4837</v>
      </c>
      <c r="F529" s="69" t="s">
        <v>6033</v>
      </c>
      <c r="I529" s="2"/>
      <c r="K529" s="82">
        <v>0.6794</v>
      </c>
    </row>
    <row r="530" spans="1:13" x14ac:dyDescent="0.2">
      <c r="A530" s="33">
        <v>42700</v>
      </c>
      <c r="B530" s="5" t="s">
        <v>1794</v>
      </c>
      <c r="C530" s="32" t="s">
        <v>3799</v>
      </c>
      <c r="D530" s="65">
        <v>1.5706018518518518E-2</v>
      </c>
      <c r="E530" s="5" t="s">
        <v>3225</v>
      </c>
      <c r="F530" s="69" t="s">
        <v>363</v>
      </c>
      <c r="I530" s="2"/>
      <c r="K530" s="82">
        <v>0.66839999999999999</v>
      </c>
    </row>
    <row r="531" spans="1:13" x14ac:dyDescent="0.2">
      <c r="A531" s="33">
        <v>42693</v>
      </c>
      <c r="B531" s="5" t="s">
        <v>1794</v>
      </c>
      <c r="C531" s="32" t="s">
        <v>3799</v>
      </c>
      <c r="D531" s="65">
        <v>1.7152777777777777E-2</v>
      </c>
      <c r="E531" s="5" t="s">
        <v>4202</v>
      </c>
      <c r="F531" s="69"/>
      <c r="I531" s="2"/>
      <c r="K531" s="82">
        <v>0.61199999999999999</v>
      </c>
    </row>
    <row r="532" spans="1:13" x14ac:dyDescent="0.2">
      <c r="A532" s="33">
        <v>42686</v>
      </c>
      <c r="B532" s="5" t="s">
        <v>1794</v>
      </c>
      <c r="C532" s="32" t="s">
        <v>3799</v>
      </c>
      <c r="D532" s="65">
        <v>1.6134259259259261E-2</v>
      </c>
      <c r="E532" t="s">
        <v>3225</v>
      </c>
      <c r="F532" s="69" t="s">
        <v>1468</v>
      </c>
      <c r="I532" s="2"/>
      <c r="K532" s="82">
        <v>0.65059999999999996</v>
      </c>
    </row>
    <row r="533" spans="1:13" x14ac:dyDescent="0.2">
      <c r="A533" s="33">
        <v>42679</v>
      </c>
      <c r="B533" s="5" t="s">
        <v>1794</v>
      </c>
      <c r="C533" s="32" t="s">
        <v>3799</v>
      </c>
      <c r="D533" s="65">
        <v>1.5509259259259257E-2</v>
      </c>
      <c r="E533" t="s">
        <v>4202</v>
      </c>
      <c r="F533" s="69" t="s">
        <v>876</v>
      </c>
      <c r="I533" s="2"/>
      <c r="K533" s="82">
        <v>0.67689999999999995</v>
      </c>
    </row>
    <row r="534" spans="1:13" x14ac:dyDescent="0.2">
      <c r="A534" s="33">
        <v>42672</v>
      </c>
      <c r="B534" s="5" t="s">
        <v>1794</v>
      </c>
      <c r="C534" s="32" t="s">
        <v>3799</v>
      </c>
      <c r="D534" s="65">
        <v>1.650462962962963E-2</v>
      </c>
      <c r="E534" t="s">
        <v>353</v>
      </c>
      <c r="F534" s="69" t="s">
        <v>4151</v>
      </c>
      <c r="I534" s="2"/>
      <c r="K534" s="82">
        <v>0.63600000000000001</v>
      </c>
    </row>
    <row r="535" spans="1:13" x14ac:dyDescent="0.2">
      <c r="A535" s="33">
        <v>42665</v>
      </c>
      <c r="B535" s="5" t="s">
        <v>1794</v>
      </c>
      <c r="C535" s="32" t="s">
        <v>3799</v>
      </c>
      <c r="D535" s="65">
        <v>1.6099537037037037E-2</v>
      </c>
      <c r="E535" t="s">
        <v>4835</v>
      </c>
      <c r="F535" s="69" t="s">
        <v>1236</v>
      </c>
      <c r="I535" s="2"/>
      <c r="K535" s="82">
        <v>0.65200000000000002</v>
      </c>
    </row>
    <row r="536" spans="1:13" x14ac:dyDescent="0.2">
      <c r="A536" s="33">
        <v>42658</v>
      </c>
      <c r="B536" s="5" t="s">
        <v>1794</v>
      </c>
      <c r="C536" s="32" t="s">
        <v>3799</v>
      </c>
      <c r="D536" s="65">
        <v>1.5833333333333335E-2</v>
      </c>
      <c r="E536" t="s">
        <v>5889</v>
      </c>
      <c r="F536" s="69" t="s">
        <v>2365</v>
      </c>
      <c r="I536" s="2"/>
      <c r="K536" s="82">
        <v>0.66300000000000003</v>
      </c>
    </row>
    <row r="537" spans="1:13" x14ac:dyDescent="0.2">
      <c r="A537" s="33">
        <v>42651</v>
      </c>
      <c r="B537" s="5" t="s">
        <v>1794</v>
      </c>
      <c r="C537" s="32" t="s">
        <v>3799</v>
      </c>
      <c r="D537" s="65">
        <v>1.554398148148148E-2</v>
      </c>
      <c r="E537" t="s">
        <v>4202</v>
      </c>
      <c r="F537" s="69" t="s">
        <v>1085</v>
      </c>
      <c r="I537" s="2"/>
      <c r="K537" s="82">
        <v>0.6754</v>
      </c>
    </row>
    <row r="538" spans="1:13" x14ac:dyDescent="0.2">
      <c r="A538" s="33">
        <v>42644</v>
      </c>
      <c r="B538" s="5" t="s">
        <v>1794</v>
      </c>
      <c r="C538" s="32" t="s">
        <v>3799</v>
      </c>
      <c r="D538" s="65">
        <v>1.5810185185185184E-2</v>
      </c>
      <c r="E538" t="s">
        <v>3225</v>
      </c>
      <c r="F538" s="69" t="s">
        <v>3058</v>
      </c>
      <c r="I538" s="2"/>
      <c r="K538" s="82">
        <v>0.66400000000000003</v>
      </c>
    </row>
    <row r="539" spans="1:13" x14ac:dyDescent="0.2">
      <c r="A539" s="33">
        <v>42637</v>
      </c>
      <c r="B539" s="5" t="s">
        <v>1794</v>
      </c>
      <c r="C539" s="32" t="s">
        <v>3799</v>
      </c>
      <c r="D539" s="65">
        <v>1.636574074074074E-2</v>
      </c>
      <c r="E539" t="s">
        <v>4202</v>
      </c>
      <c r="F539" s="69" t="s">
        <v>4109</v>
      </c>
      <c r="I539" s="2"/>
      <c r="K539" s="82">
        <v>0.64139999999999997</v>
      </c>
    </row>
    <row r="540" spans="1:13" x14ac:dyDescent="0.2">
      <c r="A540" s="33">
        <v>42630</v>
      </c>
      <c r="B540" s="5" t="s">
        <v>1794</v>
      </c>
      <c r="C540" s="32" t="s">
        <v>3799</v>
      </c>
      <c r="D540" s="65">
        <v>1.6064814814814813E-2</v>
      </c>
      <c r="E540" t="s">
        <v>3225</v>
      </c>
      <c r="F540" s="69" t="s">
        <v>2457</v>
      </c>
      <c r="I540" s="2"/>
      <c r="K540" s="82">
        <v>0.65349999999999997</v>
      </c>
    </row>
    <row r="541" spans="1:13" x14ac:dyDescent="0.2">
      <c r="A541" s="33">
        <v>42623</v>
      </c>
      <c r="B541" s="5" t="s">
        <v>1794</v>
      </c>
      <c r="C541" s="32" t="s">
        <v>3799</v>
      </c>
      <c r="D541" s="543" t="s">
        <v>787</v>
      </c>
      <c r="E541" s="5" t="s">
        <v>4202</v>
      </c>
      <c r="F541" s="69"/>
      <c r="I541" s="2"/>
      <c r="K541" s="82"/>
    </row>
    <row r="542" spans="1:13" x14ac:dyDescent="0.2">
      <c r="A542" s="33">
        <v>42616</v>
      </c>
      <c r="B542" s="5" t="s">
        <v>1794</v>
      </c>
      <c r="C542" s="32" t="s">
        <v>3799</v>
      </c>
      <c r="D542" s="65">
        <v>1.6481481481481482E-2</v>
      </c>
      <c r="E542" t="s">
        <v>5290</v>
      </c>
      <c r="F542" s="69" t="s">
        <v>1919</v>
      </c>
      <c r="I542" s="2"/>
      <c r="K542" s="82">
        <v>0.63690000000000002</v>
      </c>
      <c r="M542" s="6"/>
    </row>
    <row r="543" spans="1:13" x14ac:dyDescent="0.2">
      <c r="A543" s="33">
        <v>42602</v>
      </c>
      <c r="B543" s="5" t="s">
        <v>1794</v>
      </c>
      <c r="C543" s="32" t="s">
        <v>3799</v>
      </c>
      <c r="D543" s="65">
        <v>1.6307870370370372E-2</v>
      </c>
      <c r="E543" t="s">
        <v>4202</v>
      </c>
      <c r="F543" s="69" t="s">
        <v>1537</v>
      </c>
      <c r="I543" s="2"/>
      <c r="K543" s="82">
        <v>0.64370000000000005</v>
      </c>
    </row>
    <row r="544" spans="1:13" x14ac:dyDescent="0.2">
      <c r="A544" s="33">
        <v>42595</v>
      </c>
      <c r="B544" s="5" t="s">
        <v>1794</v>
      </c>
      <c r="C544" s="32" t="s">
        <v>3799</v>
      </c>
      <c r="D544" s="65">
        <v>1.6087962962962964E-2</v>
      </c>
      <c r="E544" t="s">
        <v>1183</v>
      </c>
      <c r="F544" s="69" t="s">
        <v>1436</v>
      </c>
      <c r="I544" s="2"/>
      <c r="K544" s="82">
        <v>0.65249999999999997</v>
      </c>
    </row>
    <row r="545" spans="1:11" x14ac:dyDescent="0.2">
      <c r="A545" s="33">
        <v>42588</v>
      </c>
      <c r="B545" s="5" t="s">
        <v>1794</v>
      </c>
      <c r="C545" s="32" t="s">
        <v>3799</v>
      </c>
      <c r="D545" s="543">
        <v>1.6064814814814813E-2</v>
      </c>
      <c r="E545" s="5" t="s">
        <v>4367</v>
      </c>
      <c r="F545" s="108" t="s">
        <v>2175</v>
      </c>
      <c r="G545" s="5"/>
      <c r="H545" s="5"/>
      <c r="I545" s="2"/>
      <c r="J545" s="5"/>
      <c r="K545" s="85">
        <v>0.65349999999999997</v>
      </c>
    </row>
    <row r="546" spans="1:11" x14ac:dyDescent="0.2">
      <c r="A546" s="33">
        <v>42581</v>
      </c>
      <c r="B546" s="5" t="s">
        <v>1794</v>
      </c>
      <c r="C546" s="32" t="s">
        <v>3799</v>
      </c>
      <c r="D546" s="65">
        <v>1.5868055555555555E-2</v>
      </c>
      <c r="E546" t="s">
        <v>4202</v>
      </c>
      <c r="F546" s="69" t="s">
        <v>5993</v>
      </c>
      <c r="I546" s="2"/>
      <c r="K546" s="82">
        <v>0.66159999999999997</v>
      </c>
    </row>
    <row r="547" spans="1:11" x14ac:dyDescent="0.2">
      <c r="A547" s="33">
        <v>42574</v>
      </c>
      <c r="B547" s="5" t="s">
        <v>1794</v>
      </c>
      <c r="C547" s="32" t="s">
        <v>3799</v>
      </c>
      <c r="D547" s="65">
        <v>1.5914351851851853E-2</v>
      </c>
      <c r="E547" t="s">
        <v>3225</v>
      </c>
      <c r="F547" s="69" t="s">
        <v>3025</v>
      </c>
      <c r="I547" s="2"/>
      <c r="K547" s="82">
        <v>0.65959999999999996</v>
      </c>
    </row>
    <row r="548" spans="1:11" x14ac:dyDescent="0.2">
      <c r="A548" s="33">
        <v>42567</v>
      </c>
      <c r="B548" s="5" t="s">
        <v>1794</v>
      </c>
      <c r="C548" s="32" t="s">
        <v>3799</v>
      </c>
      <c r="D548" s="65">
        <v>1.6446759259259262E-2</v>
      </c>
      <c r="E548" t="s">
        <v>4202</v>
      </c>
      <c r="F548" s="69" t="s">
        <v>4332</v>
      </c>
      <c r="I548" s="2"/>
      <c r="K548" s="82">
        <v>0.63829999999999998</v>
      </c>
    </row>
    <row r="549" spans="1:11" x14ac:dyDescent="0.2">
      <c r="A549" s="33">
        <v>42546</v>
      </c>
      <c r="B549" s="5" t="s">
        <v>1794</v>
      </c>
      <c r="C549" s="32" t="s">
        <v>3799</v>
      </c>
      <c r="D549" s="65">
        <v>1.5983796296296295E-2</v>
      </c>
      <c r="E549" t="s">
        <v>3225</v>
      </c>
      <c r="F549" s="69" t="s">
        <v>1222</v>
      </c>
      <c r="I549" s="2"/>
      <c r="K549" s="82">
        <v>0.65680000000000005</v>
      </c>
    </row>
    <row r="550" spans="1:11" x14ac:dyDescent="0.2">
      <c r="A550" s="33">
        <v>42539</v>
      </c>
      <c r="B550" s="5" t="s">
        <v>1794</v>
      </c>
      <c r="C550" s="32" t="s">
        <v>3799</v>
      </c>
      <c r="D550" s="65">
        <v>1.5902777777777776E-2</v>
      </c>
      <c r="E550" t="s">
        <v>4202</v>
      </c>
      <c r="F550" s="69" t="s">
        <v>4757</v>
      </c>
      <c r="I550" s="2"/>
      <c r="K550" s="82">
        <v>0.66010000000000002</v>
      </c>
    </row>
    <row r="551" spans="1:11" x14ac:dyDescent="0.2">
      <c r="A551" s="33">
        <v>42532</v>
      </c>
      <c r="B551" s="5" t="s">
        <v>1794</v>
      </c>
      <c r="C551" s="32" t="s">
        <v>3799</v>
      </c>
      <c r="D551" s="65">
        <v>1.5983796296296295E-2</v>
      </c>
      <c r="E551" t="s">
        <v>3683</v>
      </c>
      <c r="F551" s="69" t="s">
        <v>1236</v>
      </c>
      <c r="I551" s="2"/>
      <c r="K551" s="82">
        <v>0.65680000000000005</v>
      </c>
    </row>
    <row r="552" spans="1:11" x14ac:dyDescent="0.2">
      <c r="A552" s="33">
        <v>42525</v>
      </c>
      <c r="B552" s="5" t="s">
        <v>1794</v>
      </c>
      <c r="C552" s="32" t="s">
        <v>3799</v>
      </c>
      <c r="D552" s="543">
        <v>1.5682870370370371E-2</v>
      </c>
      <c r="E552" s="5" t="s">
        <v>4202</v>
      </c>
      <c r="F552" s="108" t="s">
        <v>132</v>
      </c>
      <c r="G552" s="5"/>
      <c r="H552" s="5"/>
      <c r="I552" s="2"/>
      <c r="J552" s="5"/>
      <c r="K552" s="85">
        <v>0.6694</v>
      </c>
    </row>
    <row r="553" spans="1:11" x14ac:dyDescent="0.2">
      <c r="A553" s="33">
        <v>42518</v>
      </c>
      <c r="B553" s="5" t="s">
        <v>1794</v>
      </c>
      <c r="C553" s="32" t="s">
        <v>3799</v>
      </c>
      <c r="D553" s="543">
        <v>1.7210648148148149E-2</v>
      </c>
      <c r="E553" s="5" t="s">
        <v>161</v>
      </c>
      <c r="F553" s="108" t="s">
        <v>4960</v>
      </c>
      <c r="G553" s="5"/>
      <c r="H553" s="5"/>
      <c r="I553" s="2"/>
      <c r="J553" s="5"/>
      <c r="K553" s="85">
        <v>0.61</v>
      </c>
    </row>
    <row r="554" spans="1:11" x14ac:dyDescent="0.2">
      <c r="A554" s="33">
        <v>42511</v>
      </c>
      <c r="B554" s="5" t="s">
        <v>1794</v>
      </c>
      <c r="C554" s="32" t="s">
        <v>3799</v>
      </c>
      <c r="D554" s="543">
        <v>1.6331018518518519E-2</v>
      </c>
      <c r="E554" s="5" t="s">
        <v>4202</v>
      </c>
      <c r="F554" s="108" t="s">
        <v>3025</v>
      </c>
      <c r="G554" s="5"/>
      <c r="H554" s="5"/>
      <c r="I554" s="2"/>
      <c r="J554" s="5"/>
      <c r="K554" s="85">
        <v>0.64280000000000004</v>
      </c>
    </row>
    <row r="555" spans="1:11" x14ac:dyDescent="0.2">
      <c r="A555" s="33">
        <v>42504</v>
      </c>
      <c r="B555" s="5" t="s">
        <v>1794</v>
      </c>
      <c r="C555" s="32" t="s">
        <v>3799</v>
      </c>
      <c r="D555" s="543">
        <v>1.6597222222222222E-2</v>
      </c>
      <c r="E555" s="5" t="s">
        <v>3215</v>
      </c>
      <c r="F555" s="108" t="s">
        <v>2629</v>
      </c>
      <c r="G555" s="5"/>
      <c r="H555" s="5"/>
      <c r="I555" s="5"/>
      <c r="J555" s="5"/>
      <c r="K555" s="85">
        <v>0.63249999999999995</v>
      </c>
    </row>
    <row r="556" spans="1:11" x14ac:dyDescent="0.2">
      <c r="A556" s="33">
        <v>42497</v>
      </c>
      <c r="B556" s="5" t="s">
        <v>1794</v>
      </c>
      <c r="C556" s="32" t="s">
        <v>3799</v>
      </c>
      <c r="D556" s="543">
        <v>1.6030092592592592E-2</v>
      </c>
      <c r="E556" s="5" t="s">
        <v>3225</v>
      </c>
      <c r="F556" s="108" t="s">
        <v>2745</v>
      </c>
      <c r="G556" s="5"/>
      <c r="H556" s="5"/>
      <c r="I556" s="5"/>
      <c r="J556" s="5"/>
      <c r="K556" s="85">
        <v>0.65490000000000004</v>
      </c>
    </row>
    <row r="557" spans="1:11" x14ac:dyDescent="0.2">
      <c r="A557" s="33">
        <v>42490</v>
      </c>
      <c r="B557" s="5" t="s">
        <v>1794</v>
      </c>
      <c r="C557" s="32" t="s">
        <v>3799</v>
      </c>
      <c r="D557" s="543" t="s">
        <v>787</v>
      </c>
      <c r="E557" s="5" t="s">
        <v>4202</v>
      </c>
      <c r="F557" s="108" t="s">
        <v>4061</v>
      </c>
      <c r="G557" s="5"/>
      <c r="H557" s="5"/>
      <c r="I557" s="5"/>
      <c r="J557" s="5"/>
      <c r="K557" s="85"/>
    </row>
    <row r="558" spans="1:11" x14ac:dyDescent="0.2">
      <c r="A558" s="33">
        <v>42483</v>
      </c>
      <c r="B558" s="5" t="s">
        <v>1794</v>
      </c>
      <c r="C558" s="32" t="s">
        <v>3799</v>
      </c>
      <c r="D558" s="543">
        <v>1.6423611111111111E-2</v>
      </c>
      <c r="E558" s="5" t="s">
        <v>3225</v>
      </c>
      <c r="F558" s="108" t="s">
        <v>2629</v>
      </c>
      <c r="G558" s="5"/>
      <c r="H558" s="5"/>
      <c r="I558" s="2"/>
      <c r="J558" s="5"/>
      <c r="K558" s="85">
        <v>0.63919999999999999</v>
      </c>
    </row>
    <row r="559" spans="1:11" x14ac:dyDescent="0.2">
      <c r="A559" s="33">
        <v>42476</v>
      </c>
      <c r="B559" s="5" t="s">
        <v>1794</v>
      </c>
      <c r="C559" s="32" t="s">
        <v>3799</v>
      </c>
      <c r="D559" s="65">
        <v>1.6180555555555556E-2</v>
      </c>
      <c r="E559" s="5" t="s">
        <v>4836</v>
      </c>
      <c r="F559" s="69" t="s">
        <v>3476</v>
      </c>
      <c r="I559" s="2"/>
      <c r="K559" s="82">
        <v>0.64880000000000004</v>
      </c>
    </row>
    <row r="560" spans="1:11" x14ac:dyDescent="0.2">
      <c r="A560" s="33">
        <v>42469</v>
      </c>
      <c r="B560" s="5" t="s">
        <v>1794</v>
      </c>
      <c r="C560" s="32" t="s">
        <v>3799</v>
      </c>
      <c r="D560" s="65">
        <v>1.6701388888888887E-2</v>
      </c>
      <c r="E560" t="s">
        <v>4835</v>
      </c>
      <c r="F560" s="69" t="s">
        <v>4241</v>
      </c>
      <c r="I560" s="2"/>
      <c r="K560" s="82">
        <v>0.62860000000000005</v>
      </c>
    </row>
    <row r="561" spans="1:14" x14ac:dyDescent="0.2">
      <c r="A561" s="33">
        <v>42455</v>
      </c>
      <c r="B561" s="5" t="s">
        <v>1794</v>
      </c>
      <c r="C561" s="32" t="s">
        <v>3799</v>
      </c>
      <c r="D561" s="65">
        <v>1.8032407407407407E-2</v>
      </c>
      <c r="E561" t="s">
        <v>3215</v>
      </c>
      <c r="F561" s="69" t="s">
        <v>546</v>
      </c>
      <c r="I561" s="2"/>
      <c r="K561" s="82">
        <v>0.58220000000000005</v>
      </c>
    </row>
    <row r="562" spans="1:14" x14ac:dyDescent="0.2">
      <c r="A562" s="33">
        <v>42448</v>
      </c>
      <c r="B562" s="5" t="s">
        <v>1794</v>
      </c>
      <c r="C562" s="32" t="s">
        <v>3799</v>
      </c>
      <c r="D562" s="65">
        <v>1.7013888888888887E-2</v>
      </c>
      <c r="E562" t="s">
        <v>4201</v>
      </c>
      <c r="F562" s="69" t="s">
        <v>3109</v>
      </c>
      <c r="I562" s="2"/>
      <c r="K562" s="82">
        <v>0.61699999999999999</v>
      </c>
    </row>
    <row r="563" spans="1:14" x14ac:dyDescent="0.2">
      <c r="A563" s="33">
        <v>42441</v>
      </c>
      <c r="B563" s="5" t="s">
        <v>1794</v>
      </c>
      <c r="C563" s="32" t="s">
        <v>3799</v>
      </c>
      <c r="D563" s="65">
        <v>1.6724537037037034E-2</v>
      </c>
      <c r="E563" t="s">
        <v>668</v>
      </c>
      <c r="F563" s="69" t="s">
        <v>3201</v>
      </c>
      <c r="I563" s="2"/>
      <c r="K563" s="82">
        <v>0.62770000000000004</v>
      </c>
    </row>
    <row r="564" spans="1:14" x14ac:dyDescent="0.2">
      <c r="A564" s="33">
        <v>42434</v>
      </c>
      <c r="B564" s="5" t="s">
        <v>1794</v>
      </c>
      <c r="C564" s="32" t="s">
        <v>3799</v>
      </c>
      <c r="D564" s="65">
        <v>1.6608796296296299E-2</v>
      </c>
      <c r="E564" t="s">
        <v>4202</v>
      </c>
      <c r="F564" s="69" t="s">
        <v>751</v>
      </c>
      <c r="I564" s="2"/>
      <c r="K564" s="82">
        <v>0.6321</v>
      </c>
    </row>
    <row r="565" spans="1:14" x14ac:dyDescent="0.2">
      <c r="A565" s="33">
        <v>42427</v>
      </c>
      <c r="B565" s="53" t="s">
        <v>1794</v>
      </c>
      <c r="C565" s="54" t="s">
        <v>3799</v>
      </c>
      <c r="D565" s="65">
        <v>1.7372685185185185E-2</v>
      </c>
      <c r="E565" s="5" t="s">
        <v>4817</v>
      </c>
      <c r="F565" s="69" t="s">
        <v>5491</v>
      </c>
      <c r="I565" s="2"/>
      <c r="K565" s="82">
        <v>0.60429999999999995</v>
      </c>
    </row>
    <row r="566" spans="1:14" x14ac:dyDescent="0.2">
      <c r="A566" s="33">
        <v>42420</v>
      </c>
      <c r="B566" s="53" t="s">
        <v>1794</v>
      </c>
      <c r="C566" s="54" t="s">
        <v>3799</v>
      </c>
      <c r="D566" s="65">
        <v>1.712962962962963E-2</v>
      </c>
      <c r="E566" t="s">
        <v>4199</v>
      </c>
      <c r="F566" s="69" t="s">
        <v>660</v>
      </c>
      <c r="I566" s="2"/>
      <c r="K566" s="82">
        <v>0.61280000000000001</v>
      </c>
    </row>
    <row r="567" spans="1:14" x14ac:dyDescent="0.2">
      <c r="A567" s="33">
        <v>42413</v>
      </c>
      <c r="B567" s="53" t="s">
        <v>1794</v>
      </c>
      <c r="C567" s="54" t="s">
        <v>3799</v>
      </c>
      <c r="D567" s="65">
        <v>1.8877314814814816E-2</v>
      </c>
      <c r="E567" t="s">
        <v>3323</v>
      </c>
      <c r="F567" s="69" t="s">
        <v>3516</v>
      </c>
      <c r="I567" s="2"/>
      <c r="K567" s="82">
        <v>0.55610000000000004</v>
      </c>
    </row>
    <row r="568" spans="1:14" x14ac:dyDescent="0.2">
      <c r="A568" s="33">
        <v>42735</v>
      </c>
      <c r="B568" s="513" t="s">
        <v>922</v>
      </c>
      <c r="C568" s="512" t="s">
        <v>1530</v>
      </c>
      <c r="D568" s="65">
        <v>2.0034722222222221E-2</v>
      </c>
      <c r="E568" s="80" t="s">
        <v>5883</v>
      </c>
      <c r="F568" s="69" t="s">
        <v>2476</v>
      </c>
      <c r="I568" s="2"/>
      <c r="K568" s="82">
        <v>0.5373</v>
      </c>
      <c r="M568">
        <f>179-129</f>
        <v>50</v>
      </c>
      <c r="N568" s="80" t="s">
        <v>6201</v>
      </c>
    </row>
    <row r="569" spans="1:14" x14ac:dyDescent="0.2">
      <c r="A569" s="33">
        <v>42729</v>
      </c>
      <c r="B569" s="513" t="s">
        <v>922</v>
      </c>
      <c r="C569" s="512" t="s">
        <v>1530</v>
      </c>
      <c r="D569" s="65">
        <v>1.9988425925925927E-2</v>
      </c>
      <c r="E569" s="80" t="s">
        <v>129</v>
      </c>
      <c r="F569" s="69" t="s">
        <v>6152</v>
      </c>
      <c r="I569" s="2"/>
      <c r="K569" s="82">
        <v>0.53849999999999998</v>
      </c>
    </row>
    <row r="570" spans="1:14" x14ac:dyDescent="0.2">
      <c r="A570" s="523">
        <v>42728</v>
      </c>
      <c r="B570" s="513" t="s">
        <v>922</v>
      </c>
      <c r="C570" s="512" t="s">
        <v>1530</v>
      </c>
      <c r="D570" s="65">
        <v>1.9201388888888889E-2</v>
      </c>
      <c r="E570" s="80" t="s">
        <v>5883</v>
      </c>
      <c r="F570" s="69" t="s">
        <v>2055</v>
      </c>
      <c r="I570" s="2"/>
      <c r="K570" s="82">
        <v>0.56059999999999999</v>
      </c>
    </row>
    <row r="571" spans="1:14" x14ac:dyDescent="0.2">
      <c r="A571" s="33">
        <v>42721</v>
      </c>
      <c r="B571" s="513" t="s">
        <v>922</v>
      </c>
      <c r="C571" s="512" t="s">
        <v>1530</v>
      </c>
      <c r="D571" s="65">
        <v>2.1921296296296296E-2</v>
      </c>
      <c r="E571" s="5" t="s">
        <v>5883</v>
      </c>
      <c r="F571" s="108" t="s">
        <v>6109</v>
      </c>
      <c r="I571" s="2"/>
      <c r="K571" s="82">
        <v>0.49099999999999999</v>
      </c>
    </row>
    <row r="572" spans="1:14" x14ac:dyDescent="0.2">
      <c r="A572" s="33">
        <v>42714</v>
      </c>
      <c r="B572" s="513" t="s">
        <v>922</v>
      </c>
      <c r="C572" s="512" t="s">
        <v>1530</v>
      </c>
      <c r="D572" s="543" t="s">
        <v>787</v>
      </c>
      <c r="E572" s="5" t="s">
        <v>5883</v>
      </c>
      <c r="F572" s="108" t="s">
        <v>4185</v>
      </c>
      <c r="I572" s="2"/>
      <c r="K572" s="82"/>
    </row>
    <row r="573" spans="1:14" x14ac:dyDescent="0.2">
      <c r="A573" s="33">
        <v>42707</v>
      </c>
      <c r="B573" s="513" t="s">
        <v>922</v>
      </c>
      <c r="C573" s="512" t="s">
        <v>1530</v>
      </c>
      <c r="D573" s="65">
        <v>1.9814814814814816E-2</v>
      </c>
      <c r="E573" t="s">
        <v>2431</v>
      </c>
      <c r="F573" s="69" t="s">
        <v>6040</v>
      </c>
      <c r="I573" s="2"/>
      <c r="K573" s="82">
        <v>0.54320000000000002</v>
      </c>
    </row>
    <row r="574" spans="1:14" x14ac:dyDescent="0.2">
      <c r="A574" s="33">
        <v>42700</v>
      </c>
      <c r="B574" s="513" t="s">
        <v>922</v>
      </c>
      <c r="C574" s="512" t="s">
        <v>1530</v>
      </c>
      <c r="D574" s="65">
        <v>1.9814814814814816E-2</v>
      </c>
      <c r="E574" s="5" t="s">
        <v>5883</v>
      </c>
      <c r="F574" s="69"/>
      <c r="I574" s="2"/>
      <c r="K574" s="82">
        <v>0.54320000000000002</v>
      </c>
    </row>
    <row r="575" spans="1:14" x14ac:dyDescent="0.2">
      <c r="A575" s="33">
        <v>42693</v>
      </c>
      <c r="B575" s="513" t="s">
        <v>922</v>
      </c>
      <c r="C575" s="512" t="s">
        <v>1530</v>
      </c>
      <c r="D575" s="65">
        <v>1.9652777777777779E-2</v>
      </c>
      <c r="E575" s="5" t="s">
        <v>5883</v>
      </c>
      <c r="F575" s="69"/>
      <c r="I575" s="2"/>
      <c r="K575" s="82">
        <v>0.54769999999999996</v>
      </c>
    </row>
    <row r="576" spans="1:14" x14ac:dyDescent="0.2">
      <c r="A576" s="33">
        <v>42686</v>
      </c>
      <c r="B576" s="513" t="s">
        <v>922</v>
      </c>
      <c r="C576" s="512" t="s">
        <v>1530</v>
      </c>
      <c r="D576" s="65">
        <v>2.0613425925925927E-2</v>
      </c>
      <c r="E576" t="s">
        <v>5883</v>
      </c>
      <c r="F576" s="69" t="s">
        <v>5743</v>
      </c>
      <c r="I576" s="2"/>
      <c r="K576" s="82">
        <v>0.5222</v>
      </c>
    </row>
    <row r="577" spans="1:11" x14ac:dyDescent="0.2">
      <c r="A577" s="33">
        <v>42679</v>
      </c>
      <c r="B577" s="513" t="s">
        <v>922</v>
      </c>
      <c r="C577" s="512" t="s">
        <v>1530</v>
      </c>
      <c r="D577" s="65">
        <v>2.0277777777777777E-2</v>
      </c>
      <c r="E577" t="s">
        <v>4161</v>
      </c>
      <c r="F577" s="69" t="s">
        <v>600</v>
      </c>
      <c r="I577" s="2"/>
      <c r="K577" s="82">
        <v>0.53080000000000005</v>
      </c>
    </row>
    <row r="578" spans="1:11" x14ac:dyDescent="0.2">
      <c r="A578" s="33">
        <v>42672</v>
      </c>
      <c r="B578" s="513" t="s">
        <v>922</v>
      </c>
      <c r="C578" s="512" t="s">
        <v>1530</v>
      </c>
      <c r="D578" s="65">
        <v>1.9664351851851853E-2</v>
      </c>
      <c r="E578" t="s">
        <v>5883</v>
      </c>
      <c r="F578" s="69" t="s">
        <v>4156</v>
      </c>
      <c r="I578" s="2"/>
      <c r="K578" s="82">
        <v>0.5474</v>
      </c>
    </row>
    <row r="579" spans="1:11" x14ac:dyDescent="0.2">
      <c r="A579" s="33">
        <v>42665</v>
      </c>
      <c r="B579" s="513" t="s">
        <v>922</v>
      </c>
      <c r="C579" s="512" t="s">
        <v>1530</v>
      </c>
      <c r="D579" s="65">
        <v>1.9745370370370371E-2</v>
      </c>
      <c r="E579" s="1" t="s">
        <v>5883</v>
      </c>
      <c r="F579" s="69" t="s">
        <v>567</v>
      </c>
      <c r="I579" s="2"/>
      <c r="K579" s="82">
        <v>0.54510000000000003</v>
      </c>
    </row>
    <row r="580" spans="1:11" x14ac:dyDescent="0.2">
      <c r="A580" s="33">
        <v>42658</v>
      </c>
      <c r="B580" s="513" t="s">
        <v>922</v>
      </c>
      <c r="C580" s="512" t="s">
        <v>1530</v>
      </c>
      <c r="D580" s="65">
        <v>2.0543981481481479E-2</v>
      </c>
      <c r="E580" t="s">
        <v>5883</v>
      </c>
      <c r="F580" s="69" t="s">
        <v>1598</v>
      </c>
      <c r="I580" s="2"/>
      <c r="K580" s="82">
        <v>0.52690000000000003</v>
      </c>
    </row>
    <row r="581" spans="1:11" x14ac:dyDescent="0.2">
      <c r="A581" s="33">
        <v>42651</v>
      </c>
      <c r="B581" s="513" t="s">
        <v>922</v>
      </c>
      <c r="C581" s="512" t="s">
        <v>1530</v>
      </c>
      <c r="D581" s="65">
        <v>2.1608796296296296E-2</v>
      </c>
      <c r="E581" t="s">
        <v>5883</v>
      </c>
      <c r="F581" s="69" t="s">
        <v>1082</v>
      </c>
      <c r="I581" s="2"/>
      <c r="K581" s="82">
        <v>0.49809999999999999</v>
      </c>
    </row>
    <row r="582" spans="1:11" x14ac:dyDescent="0.2">
      <c r="A582" s="33">
        <v>42644</v>
      </c>
      <c r="B582" s="513" t="s">
        <v>922</v>
      </c>
      <c r="C582" s="512" t="s">
        <v>1530</v>
      </c>
      <c r="D582" s="65">
        <v>1.9189814814814816E-2</v>
      </c>
      <c r="E582" t="s">
        <v>5883</v>
      </c>
      <c r="F582" s="69" t="s">
        <v>210</v>
      </c>
      <c r="I582" s="2"/>
      <c r="K582" s="82">
        <v>0.56089999999999995</v>
      </c>
    </row>
    <row r="583" spans="1:11" x14ac:dyDescent="0.2">
      <c r="A583" s="33">
        <v>42637</v>
      </c>
      <c r="B583" s="513" t="s">
        <v>922</v>
      </c>
      <c r="C583" s="512" t="s">
        <v>1530</v>
      </c>
      <c r="D583" s="65">
        <v>2.0555555555555556E-2</v>
      </c>
      <c r="E583" t="s">
        <v>998</v>
      </c>
      <c r="F583" s="69" t="s">
        <v>4110</v>
      </c>
      <c r="I583" s="2"/>
      <c r="K583" s="82">
        <v>0.55389999999999995</v>
      </c>
    </row>
    <row r="584" spans="1:11" x14ac:dyDescent="0.2">
      <c r="A584" s="33">
        <v>42623</v>
      </c>
      <c r="B584" s="513" t="s">
        <v>922</v>
      </c>
      <c r="C584" s="512" t="s">
        <v>1530</v>
      </c>
      <c r="D584" s="65">
        <v>1.9803240740740739E-2</v>
      </c>
      <c r="E584" t="s">
        <v>5883</v>
      </c>
      <c r="F584" s="69" t="s">
        <v>5825</v>
      </c>
      <c r="I584" s="2"/>
      <c r="K584" s="82">
        <v>0.54349999999999998</v>
      </c>
    </row>
    <row r="585" spans="1:11" x14ac:dyDescent="0.2">
      <c r="A585" s="33">
        <v>42616</v>
      </c>
      <c r="B585" s="513" t="s">
        <v>922</v>
      </c>
      <c r="C585" s="512" t="s">
        <v>1530</v>
      </c>
      <c r="D585" s="65">
        <v>2.0358796296296295E-2</v>
      </c>
      <c r="E585" t="s">
        <v>5883</v>
      </c>
      <c r="F585" s="69" t="s">
        <v>4392</v>
      </c>
      <c r="I585" s="2"/>
      <c r="K585" s="82">
        <v>0.52869999999999995</v>
      </c>
    </row>
    <row r="586" spans="1:11" x14ac:dyDescent="0.2">
      <c r="A586" s="33">
        <v>42609</v>
      </c>
      <c r="B586" s="513" t="s">
        <v>922</v>
      </c>
      <c r="C586" s="512" t="s">
        <v>1530</v>
      </c>
      <c r="D586" s="65">
        <v>2.3217592592592592E-2</v>
      </c>
      <c r="E586" t="s">
        <v>5883</v>
      </c>
      <c r="F586" s="69"/>
      <c r="I586" s="2"/>
      <c r="K586" s="82">
        <v>0.46360000000000001</v>
      </c>
    </row>
    <row r="587" spans="1:11" x14ac:dyDescent="0.2">
      <c r="A587" s="33">
        <v>42602</v>
      </c>
      <c r="B587" s="513" t="s">
        <v>922</v>
      </c>
      <c r="C587" s="512" t="s">
        <v>1530</v>
      </c>
      <c r="D587" s="65">
        <v>2.1377314814814818E-2</v>
      </c>
      <c r="E587" t="s">
        <v>5883</v>
      </c>
      <c r="F587" s="69" t="s">
        <v>5371</v>
      </c>
      <c r="I587" s="2"/>
      <c r="K587" s="82">
        <v>0.50349999999999995</v>
      </c>
    </row>
    <row r="588" spans="1:11" x14ac:dyDescent="0.2">
      <c r="A588" s="33">
        <v>42595</v>
      </c>
      <c r="B588" s="513" t="s">
        <v>922</v>
      </c>
      <c r="C588" s="512" t="s">
        <v>1530</v>
      </c>
      <c r="D588" s="65">
        <v>2.0659722222222222E-2</v>
      </c>
      <c r="E588" t="s">
        <v>5883</v>
      </c>
      <c r="F588" s="69" t="s">
        <v>172</v>
      </c>
      <c r="I588" s="2"/>
      <c r="K588" s="82">
        <v>0.52100000000000002</v>
      </c>
    </row>
    <row r="589" spans="1:11" x14ac:dyDescent="0.2">
      <c r="A589" s="33">
        <v>42588</v>
      </c>
      <c r="B589" s="513" t="s">
        <v>922</v>
      </c>
      <c r="C589" s="512" t="s">
        <v>1530</v>
      </c>
      <c r="D589" s="543">
        <v>1.9583333333333331E-2</v>
      </c>
      <c r="E589" s="5" t="s">
        <v>5883</v>
      </c>
      <c r="F589" s="108" t="s">
        <v>3244</v>
      </c>
      <c r="G589" s="5"/>
      <c r="H589" s="5"/>
      <c r="I589" s="2"/>
      <c r="J589" s="5"/>
      <c r="K589" s="85">
        <v>0.54959999999999998</v>
      </c>
    </row>
    <row r="590" spans="1:11" x14ac:dyDescent="0.2">
      <c r="A590" s="33">
        <v>42581</v>
      </c>
      <c r="B590" s="513" t="s">
        <v>922</v>
      </c>
      <c r="C590" s="512" t="s">
        <v>1530</v>
      </c>
      <c r="D590" s="65">
        <v>2.0104166666666666E-2</v>
      </c>
      <c r="E590" t="s">
        <v>5883</v>
      </c>
      <c r="F590" s="69" t="s">
        <v>4918</v>
      </c>
      <c r="I590" s="2"/>
      <c r="K590" s="82">
        <v>0.53939999999999999</v>
      </c>
    </row>
    <row r="591" spans="1:11" x14ac:dyDescent="0.2">
      <c r="A591" s="33">
        <v>42574</v>
      </c>
      <c r="B591" s="513" t="s">
        <v>922</v>
      </c>
      <c r="C591" s="512" t="s">
        <v>1530</v>
      </c>
      <c r="D591" s="65">
        <v>2.1585648148148145E-2</v>
      </c>
      <c r="E591" t="s">
        <v>5883</v>
      </c>
      <c r="F591" s="69"/>
      <c r="I591" s="2"/>
      <c r="K591" s="82">
        <v>0.49869999999999998</v>
      </c>
    </row>
    <row r="592" spans="1:11" x14ac:dyDescent="0.2">
      <c r="A592" s="33">
        <v>42567</v>
      </c>
      <c r="B592" s="513" t="s">
        <v>922</v>
      </c>
      <c r="C592" s="512" t="s">
        <v>1530</v>
      </c>
      <c r="D592" s="65">
        <v>2.5752314814814815E-2</v>
      </c>
      <c r="E592" t="s">
        <v>5959</v>
      </c>
      <c r="F592" s="69" t="s">
        <v>4334</v>
      </c>
      <c r="I592" s="2"/>
      <c r="K592" s="82">
        <v>0.41799999999999998</v>
      </c>
    </row>
    <row r="593" spans="1:28" x14ac:dyDescent="0.2">
      <c r="A593" s="33">
        <v>42560</v>
      </c>
      <c r="B593" s="513" t="s">
        <v>922</v>
      </c>
      <c r="C593" s="512" t="s">
        <v>1530</v>
      </c>
      <c r="D593" s="65">
        <v>1.9652777777777779E-2</v>
      </c>
      <c r="E593" t="s">
        <v>5883</v>
      </c>
      <c r="F593" s="69" t="s">
        <v>4335</v>
      </c>
      <c r="I593" s="2"/>
      <c r="K593" s="82">
        <v>0.54769999999999996</v>
      </c>
    </row>
    <row r="594" spans="1:28" x14ac:dyDescent="0.2">
      <c r="A594" s="33">
        <v>42553</v>
      </c>
      <c r="B594" s="513" t="s">
        <v>922</v>
      </c>
      <c r="C594" s="512" t="s">
        <v>1530</v>
      </c>
      <c r="D594" s="65">
        <v>1.9525462962962963E-2</v>
      </c>
      <c r="E594" t="s">
        <v>5883</v>
      </c>
      <c r="F594" s="69" t="s">
        <v>520</v>
      </c>
      <c r="I594" s="2"/>
      <c r="K594" s="82">
        <v>0.55130000000000001</v>
      </c>
    </row>
    <row r="595" spans="1:28" x14ac:dyDescent="0.2">
      <c r="A595" s="33">
        <v>42546</v>
      </c>
      <c r="B595" s="513" t="s">
        <v>922</v>
      </c>
      <c r="C595" s="512" t="s">
        <v>1530</v>
      </c>
      <c r="D595" s="65">
        <v>1.954861111111111E-2</v>
      </c>
      <c r="E595" t="s">
        <v>5883</v>
      </c>
      <c r="F595" s="69" t="s">
        <v>2121</v>
      </c>
      <c r="I595" s="2"/>
      <c r="K595" s="82">
        <v>0.55059999999999998</v>
      </c>
    </row>
    <row r="596" spans="1:28" x14ac:dyDescent="0.2">
      <c r="A596" s="33">
        <v>42539</v>
      </c>
      <c r="B596" s="513" t="s">
        <v>922</v>
      </c>
      <c r="C596" s="512" t="s">
        <v>1530</v>
      </c>
      <c r="D596" s="65">
        <v>2.4166666666666666E-2</v>
      </c>
      <c r="E596" t="s">
        <v>5883</v>
      </c>
      <c r="F596" s="69" t="s">
        <v>342</v>
      </c>
      <c r="I596" s="2"/>
      <c r="K596" s="82">
        <v>0.44540000000000002</v>
      </c>
    </row>
    <row r="597" spans="1:28" x14ac:dyDescent="0.2">
      <c r="A597" s="33">
        <v>42532</v>
      </c>
      <c r="B597" s="513" t="s">
        <v>922</v>
      </c>
      <c r="C597" s="512" t="s">
        <v>1530</v>
      </c>
      <c r="D597" s="65">
        <v>1.8993055555555558E-2</v>
      </c>
      <c r="E597" t="s">
        <v>129</v>
      </c>
      <c r="F597" s="69" t="s">
        <v>3572</v>
      </c>
      <c r="I597" s="2"/>
      <c r="K597" s="82">
        <v>0.56669999999999998</v>
      </c>
    </row>
    <row r="598" spans="1:28" x14ac:dyDescent="0.2">
      <c r="A598" s="33">
        <v>42525</v>
      </c>
      <c r="B598" s="513" t="s">
        <v>922</v>
      </c>
      <c r="C598" s="512" t="s">
        <v>1530</v>
      </c>
      <c r="D598" s="543">
        <v>1.982638888888889E-2</v>
      </c>
      <c r="E598" s="5" t="s">
        <v>5883</v>
      </c>
      <c r="F598" s="108" t="s">
        <v>2849</v>
      </c>
      <c r="G598" s="5"/>
      <c r="H598" s="5"/>
      <c r="I598" s="2"/>
      <c r="J598" s="5"/>
      <c r="K598" s="85">
        <v>0.54290000000000005</v>
      </c>
    </row>
    <row r="599" spans="1:28" x14ac:dyDescent="0.2">
      <c r="A599" s="33">
        <v>42518</v>
      </c>
      <c r="B599" s="513" t="s">
        <v>922</v>
      </c>
      <c r="C599" s="512" t="s">
        <v>1530</v>
      </c>
      <c r="D599" s="543">
        <v>0.02</v>
      </c>
      <c r="E599" s="5" t="s">
        <v>843</v>
      </c>
      <c r="F599" s="108" t="s">
        <v>2211</v>
      </c>
      <c r="G599" s="5"/>
      <c r="H599" s="5"/>
      <c r="I599" s="2"/>
      <c r="J599" s="5"/>
      <c r="K599" s="85">
        <v>0.53820000000000001</v>
      </c>
    </row>
    <row r="600" spans="1:28" x14ac:dyDescent="0.2">
      <c r="A600" s="33">
        <v>42511</v>
      </c>
      <c r="B600" s="513" t="s">
        <v>922</v>
      </c>
      <c r="C600" s="512" t="s">
        <v>1530</v>
      </c>
      <c r="D600" s="543">
        <v>2.074074074074074E-2</v>
      </c>
      <c r="E600" s="5" t="s">
        <v>5883</v>
      </c>
      <c r="F600" s="108" t="s">
        <v>253</v>
      </c>
      <c r="G600" s="5"/>
      <c r="H600" s="5"/>
      <c r="I600" s="2"/>
      <c r="J600" s="5"/>
      <c r="K600" s="85">
        <v>0.51900000000000002</v>
      </c>
    </row>
    <row r="601" spans="1:28" x14ac:dyDescent="0.2">
      <c r="A601" s="33">
        <v>42504</v>
      </c>
      <c r="B601" s="513" t="s">
        <v>922</v>
      </c>
      <c r="C601" s="512" t="s">
        <v>1530</v>
      </c>
      <c r="D601" s="543">
        <v>1.877314814814815E-2</v>
      </c>
      <c r="E601" s="5" t="s">
        <v>5883</v>
      </c>
      <c r="F601" s="108" t="s">
        <v>2346</v>
      </c>
      <c r="G601" s="5"/>
      <c r="H601" s="5"/>
      <c r="I601" s="5"/>
      <c r="J601" s="5"/>
      <c r="K601" s="85">
        <v>0.57340000000000002</v>
      </c>
    </row>
    <row r="602" spans="1:28" x14ac:dyDescent="0.2">
      <c r="A602" s="33">
        <v>42497</v>
      </c>
      <c r="B602" s="513" t="s">
        <v>922</v>
      </c>
      <c r="C602" s="512" t="s">
        <v>1530</v>
      </c>
      <c r="D602" s="543">
        <v>1.8831018518518518E-2</v>
      </c>
      <c r="E602" s="5" t="s">
        <v>1719</v>
      </c>
      <c r="F602" s="108" t="s">
        <v>2629</v>
      </c>
      <c r="G602" s="5"/>
      <c r="H602" s="5"/>
      <c r="I602" s="5"/>
      <c r="J602" s="5"/>
      <c r="K602" s="85">
        <v>0.5716</v>
      </c>
    </row>
    <row r="603" spans="1:28" x14ac:dyDescent="0.2">
      <c r="A603" s="33">
        <v>42497</v>
      </c>
      <c r="B603" s="513" t="s">
        <v>922</v>
      </c>
      <c r="C603" s="512" t="s">
        <v>1530</v>
      </c>
      <c r="D603" s="543" t="s">
        <v>787</v>
      </c>
      <c r="E603" s="5" t="s">
        <v>5883</v>
      </c>
      <c r="F603" s="108" t="s">
        <v>5488</v>
      </c>
      <c r="G603" s="5"/>
      <c r="H603" s="5"/>
      <c r="I603" s="5"/>
      <c r="J603" s="5"/>
      <c r="K603" s="85"/>
    </row>
    <row r="604" spans="1:28" x14ac:dyDescent="0.2">
      <c r="A604" s="33">
        <v>42490</v>
      </c>
      <c r="B604" s="513" t="s">
        <v>922</v>
      </c>
      <c r="C604" s="512" t="s">
        <v>1530</v>
      </c>
      <c r="D604" s="543" t="s">
        <v>787</v>
      </c>
      <c r="E604" s="5" t="s">
        <v>5883</v>
      </c>
      <c r="F604" s="108" t="s">
        <v>2645</v>
      </c>
      <c r="G604" s="5"/>
      <c r="H604" s="5"/>
      <c r="I604" s="5"/>
      <c r="J604" s="5"/>
      <c r="K604" s="85"/>
    </row>
    <row r="605" spans="1:28" x14ac:dyDescent="0.2">
      <c r="A605" s="33">
        <v>42483</v>
      </c>
      <c r="B605" s="513" t="s">
        <v>922</v>
      </c>
      <c r="C605" s="512" t="s">
        <v>1530</v>
      </c>
      <c r="D605" s="543">
        <v>2.1759259259259259E-2</v>
      </c>
      <c r="E605" s="5" t="s">
        <v>5883</v>
      </c>
      <c r="F605" s="108" t="s">
        <v>4594</v>
      </c>
      <c r="G605" s="5"/>
      <c r="H605" s="5"/>
      <c r="I605" s="2"/>
      <c r="J605" s="5"/>
      <c r="K605" s="85">
        <v>0.49469999999999997</v>
      </c>
      <c r="M605" s="6"/>
    </row>
    <row r="606" spans="1:28" x14ac:dyDescent="0.2">
      <c r="A606" s="33">
        <v>42476</v>
      </c>
      <c r="B606" s="513" t="s">
        <v>922</v>
      </c>
      <c r="C606" s="512" t="s">
        <v>1530</v>
      </c>
      <c r="D606" s="65">
        <v>2.0891203703703703E-2</v>
      </c>
      <c r="E606" t="s">
        <v>5883</v>
      </c>
      <c r="F606" s="69" t="s">
        <v>3473</v>
      </c>
      <c r="I606" s="2"/>
      <c r="K606" s="82">
        <v>0.51519999999999999</v>
      </c>
    </row>
    <row r="607" spans="1:28" x14ac:dyDescent="0.2">
      <c r="A607" s="33">
        <v>42469</v>
      </c>
      <c r="B607" s="513" t="s">
        <v>922</v>
      </c>
      <c r="C607" s="512" t="s">
        <v>1530</v>
      </c>
      <c r="D607" s="65">
        <v>1.8888888888888889E-2</v>
      </c>
      <c r="E607" t="s">
        <v>5883</v>
      </c>
      <c r="F607" s="69" t="s">
        <v>4959</v>
      </c>
      <c r="I607" s="2"/>
      <c r="K607" s="82">
        <v>0.56989999999999996</v>
      </c>
      <c r="AB607" s="41"/>
    </row>
    <row r="608" spans="1:28" x14ac:dyDescent="0.2">
      <c r="A608" s="33">
        <v>42462</v>
      </c>
      <c r="B608" s="513" t="s">
        <v>922</v>
      </c>
      <c r="C608" s="512" t="s">
        <v>1530</v>
      </c>
      <c r="D608" s="65">
        <v>1.9525462962962963E-2</v>
      </c>
      <c r="E608" t="s">
        <v>5883</v>
      </c>
      <c r="F608" s="69" t="s">
        <v>1607</v>
      </c>
      <c r="I608" s="2"/>
      <c r="K608" s="82">
        <v>0.55130000000000001</v>
      </c>
    </row>
    <row r="609" spans="1:19" x14ac:dyDescent="0.2">
      <c r="A609" s="33">
        <v>42455</v>
      </c>
      <c r="B609" s="513" t="s">
        <v>922</v>
      </c>
      <c r="C609" s="512" t="s">
        <v>1530</v>
      </c>
      <c r="D609" s="65">
        <v>2.0405092592592593E-2</v>
      </c>
      <c r="E609" t="s">
        <v>5883</v>
      </c>
      <c r="F609" s="69" t="s">
        <v>5841</v>
      </c>
      <c r="I609" s="2"/>
      <c r="K609" s="82">
        <v>0.52749999999999997</v>
      </c>
      <c r="S609" s="80"/>
    </row>
    <row r="610" spans="1:19" x14ac:dyDescent="0.2">
      <c r="A610" s="33">
        <v>42448</v>
      </c>
      <c r="B610" s="513" t="s">
        <v>922</v>
      </c>
      <c r="C610" s="512" t="s">
        <v>1530</v>
      </c>
      <c r="D610" s="65">
        <v>2.0844907407407406E-2</v>
      </c>
      <c r="E610" t="s">
        <v>5883</v>
      </c>
      <c r="F610" s="69" t="s">
        <v>2469</v>
      </c>
      <c r="I610" s="2"/>
      <c r="K610" s="82">
        <v>0.51639999999999997</v>
      </c>
    </row>
    <row r="611" spans="1:19" x14ac:dyDescent="0.2">
      <c r="A611" s="33">
        <v>42441</v>
      </c>
      <c r="B611" s="513" t="s">
        <v>922</v>
      </c>
      <c r="C611" s="512" t="s">
        <v>1530</v>
      </c>
      <c r="D611" s="65" t="s">
        <v>787</v>
      </c>
      <c r="E611" s="5" t="s">
        <v>5883</v>
      </c>
      <c r="F611" s="108" t="s">
        <v>5488</v>
      </c>
      <c r="G611" s="5"/>
      <c r="H611" s="2"/>
      <c r="I611" s="2"/>
    </row>
    <row r="612" spans="1:19" x14ac:dyDescent="0.2">
      <c r="A612" s="33">
        <v>42434</v>
      </c>
      <c r="B612" s="513" t="s">
        <v>922</v>
      </c>
      <c r="C612" s="512" t="s">
        <v>1530</v>
      </c>
      <c r="D612" s="65">
        <v>2.0625000000000001E-2</v>
      </c>
      <c r="E612" t="s">
        <v>5883</v>
      </c>
      <c r="F612" s="69" t="s">
        <v>928</v>
      </c>
      <c r="I612" s="2"/>
      <c r="K612" s="82">
        <v>0.52190000000000003</v>
      </c>
    </row>
    <row r="613" spans="1:19" x14ac:dyDescent="0.2">
      <c r="A613" s="33">
        <v>42427</v>
      </c>
      <c r="B613" s="513" t="s">
        <v>922</v>
      </c>
      <c r="C613" s="512" t="s">
        <v>1530</v>
      </c>
      <c r="D613" s="65">
        <v>2.0902777777777781E-2</v>
      </c>
      <c r="E613" t="s">
        <v>5544</v>
      </c>
      <c r="F613" s="69" t="s">
        <v>1846</v>
      </c>
      <c r="I613" s="2"/>
      <c r="K613" s="82">
        <v>0.51500000000000001</v>
      </c>
    </row>
    <row r="614" spans="1:19" x14ac:dyDescent="0.2">
      <c r="A614" s="33">
        <v>42420</v>
      </c>
      <c r="B614" s="513" t="s">
        <v>922</v>
      </c>
      <c r="C614" s="512" t="s">
        <v>1530</v>
      </c>
      <c r="D614" s="65">
        <v>1.9907407407407408E-2</v>
      </c>
      <c r="E614" t="s">
        <v>5883</v>
      </c>
      <c r="F614" s="69" t="s">
        <v>698</v>
      </c>
      <c r="H614" t="s">
        <v>700</v>
      </c>
      <c r="I614" s="2"/>
      <c r="K614" s="82">
        <v>0.54069999999999996</v>
      </c>
    </row>
    <row r="615" spans="1:19" x14ac:dyDescent="0.2">
      <c r="A615" s="33">
        <v>42413</v>
      </c>
      <c r="B615" s="513" t="s">
        <v>922</v>
      </c>
      <c r="C615" s="512" t="s">
        <v>1530</v>
      </c>
      <c r="D615" s="65">
        <v>1.9722222222222221E-2</v>
      </c>
      <c r="E615" t="s">
        <v>129</v>
      </c>
      <c r="F615" s="69" t="s">
        <v>5008</v>
      </c>
      <c r="I615" s="2"/>
      <c r="K615" s="82">
        <v>0.54579999999999995</v>
      </c>
    </row>
    <row r="616" spans="1:19" x14ac:dyDescent="0.2">
      <c r="A616" s="33">
        <v>42406</v>
      </c>
      <c r="B616" s="513" t="s">
        <v>922</v>
      </c>
      <c r="C616" s="512" t="s">
        <v>1530</v>
      </c>
      <c r="D616" s="65">
        <v>1.8599537037037036E-2</v>
      </c>
      <c r="E616" t="s">
        <v>129</v>
      </c>
      <c r="F616" s="69" t="s">
        <v>5084</v>
      </c>
      <c r="I616" s="2"/>
      <c r="K616" s="82">
        <v>0.57869999999999999</v>
      </c>
    </row>
    <row r="617" spans="1:19" x14ac:dyDescent="0.2">
      <c r="A617" s="33">
        <v>42399</v>
      </c>
      <c r="B617" s="513" t="s">
        <v>922</v>
      </c>
      <c r="C617" s="512" t="s">
        <v>1530</v>
      </c>
      <c r="D617" s="65">
        <v>1.9571759259259257E-2</v>
      </c>
      <c r="E617" t="s">
        <v>5883</v>
      </c>
      <c r="F617" s="69"/>
      <c r="I617" s="2"/>
      <c r="K617" s="82">
        <v>0.55000000000000004</v>
      </c>
    </row>
    <row r="618" spans="1:19" x14ac:dyDescent="0.2">
      <c r="A618" s="33">
        <v>42392</v>
      </c>
      <c r="B618" s="513" t="s">
        <v>922</v>
      </c>
      <c r="C618" s="512" t="s">
        <v>1530</v>
      </c>
      <c r="D618" s="65">
        <v>2.8703703703703703E-2</v>
      </c>
      <c r="E618" t="s">
        <v>5883</v>
      </c>
      <c r="F618" s="69" t="s">
        <v>3349</v>
      </c>
      <c r="I618" s="2"/>
      <c r="K618" s="82">
        <v>0.37180000000000002</v>
      </c>
      <c r="M618" s="6"/>
    </row>
    <row r="619" spans="1:19" x14ac:dyDescent="0.2">
      <c r="A619" s="33">
        <v>42385</v>
      </c>
      <c r="B619" s="513" t="s">
        <v>922</v>
      </c>
      <c r="C619" s="512" t="s">
        <v>1530</v>
      </c>
      <c r="D619" s="65">
        <v>2.0057870370370368E-2</v>
      </c>
      <c r="E619" t="s">
        <v>5544</v>
      </c>
      <c r="F619" s="69" t="s">
        <v>5013</v>
      </c>
      <c r="I619" s="2"/>
      <c r="K619" s="82">
        <v>0.54139999999999999</v>
      </c>
    </row>
    <row r="620" spans="1:19" x14ac:dyDescent="0.2">
      <c r="A620" s="33">
        <v>42378</v>
      </c>
      <c r="B620" s="513" t="s">
        <v>922</v>
      </c>
      <c r="C620" s="512" t="s">
        <v>1530</v>
      </c>
      <c r="D620" s="544" t="s">
        <v>787</v>
      </c>
      <c r="E620" s="407" t="s">
        <v>5883</v>
      </c>
      <c r="F620" s="545" t="s">
        <v>4685</v>
      </c>
      <c r="G620" s="407"/>
      <c r="H620" s="348"/>
      <c r="I620" s="348"/>
      <c r="J620" s="407"/>
      <c r="K620" s="546"/>
    </row>
    <row r="621" spans="1:19" x14ac:dyDescent="0.2">
      <c r="A621" s="33">
        <v>42371</v>
      </c>
      <c r="B621" s="513" t="s">
        <v>922</v>
      </c>
      <c r="C621" s="512" t="s">
        <v>1530</v>
      </c>
      <c r="D621" s="65">
        <v>2.7627314814814813E-2</v>
      </c>
      <c r="E621" s="5" t="s">
        <v>5883</v>
      </c>
      <c r="F621" s="69" t="s">
        <v>1363</v>
      </c>
      <c r="K621" s="82">
        <v>0.38529999999999998</v>
      </c>
    </row>
    <row r="622" spans="1:19" x14ac:dyDescent="0.2">
      <c r="A622" s="33">
        <v>42370</v>
      </c>
      <c r="B622" s="513" t="s">
        <v>922</v>
      </c>
      <c r="C622" s="512" t="s">
        <v>1530</v>
      </c>
      <c r="D622" s="65">
        <v>1.8761574074074073E-2</v>
      </c>
      <c r="E622" s="5" t="s">
        <v>2593</v>
      </c>
      <c r="F622" s="69" t="s">
        <v>517</v>
      </c>
      <c r="G622" s="5"/>
      <c r="I622" s="2"/>
      <c r="K622" s="82">
        <v>0.56879999999999997</v>
      </c>
    </row>
    <row r="623" spans="1:19" x14ac:dyDescent="0.2">
      <c r="A623" s="33">
        <v>42370</v>
      </c>
      <c r="B623" s="513" t="s">
        <v>922</v>
      </c>
      <c r="C623" s="512" t="s">
        <v>1530</v>
      </c>
      <c r="D623" s="65">
        <v>2.1145833333333332E-2</v>
      </c>
      <c r="E623" t="s">
        <v>129</v>
      </c>
      <c r="F623" s="69" t="s">
        <v>1272</v>
      </c>
      <c r="I623" s="2"/>
      <c r="K623" s="82">
        <v>0.50470000000000004</v>
      </c>
    </row>
    <row r="624" spans="1:19" x14ac:dyDescent="0.2">
      <c r="A624" s="33">
        <v>42735</v>
      </c>
      <c r="B624" s="80" t="s">
        <v>2478</v>
      </c>
      <c r="C624" s="334" t="s">
        <v>4439</v>
      </c>
      <c r="D624" s="65">
        <v>1.9050925925925926E-2</v>
      </c>
      <c r="E624" s="80" t="s">
        <v>5883</v>
      </c>
      <c r="F624" s="69" t="s">
        <v>342</v>
      </c>
      <c r="I624" s="2"/>
      <c r="K624" s="82">
        <v>0.54190000000000005</v>
      </c>
    </row>
    <row r="625" spans="1:11" x14ac:dyDescent="0.2">
      <c r="A625" s="523">
        <v>42728</v>
      </c>
      <c r="B625" s="80" t="s">
        <v>2478</v>
      </c>
      <c r="C625" s="334" t="s">
        <v>4439</v>
      </c>
      <c r="D625" s="65">
        <v>2.0092592592592592E-2</v>
      </c>
      <c r="E625" s="80" t="s">
        <v>5883</v>
      </c>
      <c r="F625" s="69" t="s">
        <v>699</v>
      </c>
      <c r="I625" s="2"/>
      <c r="K625" s="82">
        <v>0.51380000000000003</v>
      </c>
    </row>
    <row r="626" spans="1:11" x14ac:dyDescent="0.2">
      <c r="A626" s="33">
        <v>42721</v>
      </c>
      <c r="B626" s="5" t="s">
        <v>2478</v>
      </c>
      <c r="C626" s="32" t="s">
        <v>4439</v>
      </c>
      <c r="D626" s="65">
        <v>1.8159722222222219E-2</v>
      </c>
      <c r="E626" s="5" t="s">
        <v>5883</v>
      </c>
      <c r="F626" s="108" t="s">
        <v>2689</v>
      </c>
      <c r="I626" s="2"/>
      <c r="K626" s="82">
        <v>0.56850000000000001</v>
      </c>
    </row>
    <row r="627" spans="1:11" x14ac:dyDescent="0.2">
      <c r="A627" s="33">
        <v>42714</v>
      </c>
      <c r="B627" s="5" t="s">
        <v>2478</v>
      </c>
      <c r="C627" s="32" t="s">
        <v>4439</v>
      </c>
      <c r="D627" s="65">
        <v>1.8587962962962962E-2</v>
      </c>
      <c r="E627" s="5" t="s">
        <v>5883</v>
      </c>
      <c r="F627" s="108" t="s">
        <v>6089</v>
      </c>
      <c r="I627" s="2"/>
      <c r="K627" s="82">
        <v>0.5554</v>
      </c>
    </row>
    <row r="628" spans="1:11" x14ac:dyDescent="0.2">
      <c r="A628" s="33">
        <v>42707</v>
      </c>
      <c r="B628" s="5" t="s">
        <v>2478</v>
      </c>
      <c r="C628" s="32" t="s">
        <v>4439</v>
      </c>
      <c r="D628" s="65">
        <v>1.90625E-2</v>
      </c>
      <c r="E628" t="s">
        <v>5883</v>
      </c>
      <c r="F628" s="108" t="s">
        <v>253</v>
      </c>
      <c r="I628" s="2"/>
      <c r="K628" s="82">
        <v>0.54159999999999997</v>
      </c>
    </row>
    <row r="629" spans="1:11" x14ac:dyDescent="0.2">
      <c r="A629" s="33">
        <v>42532</v>
      </c>
      <c r="B629" s="197" t="s">
        <v>2478</v>
      </c>
      <c r="C629" s="265" t="s">
        <v>4439</v>
      </c>
      <c r="D629" s="65">
        <v>1.6631944444444446E-2</v>
      </c>
      <c r="E629" t="s">
        <v>5883</v>
      </c>
      <c r="F629" s="69" t="s">
        <v>2779</v>
      </c>
      <c r="I629" s="2"/>
      <c r="K629" s="82">
        <v>0.6159</v>
      </c>
    </row>
    <row r="630" spans="1:11" x14ac:dyDescent="0.2">
      <c r="A630" s="33">
        <v>42525</v>
      </c>
      <c r="B630" s="197" t="s">
        <v>2478</v>
      </c>
      <c r="C630" s="265" t="s">
        <v>4439</v>
      </c>
      <c r="D630" s="543">
        <v>1.6631944444444446E-2</v>
      </c>
      <c r="E630" s="5" t="s">
        <v>5883</v>
      </c>
      <c r="F630" s="108" t="s">
        <v>4025</v>
      </c>
      <c r="G630" s="5"/>
      <c r="H630" s="5"/>
      <c r="I630" s="2"/>
      <c r="J630" s="5"/>
      <c r="K630" s="85">
        <v>0.6159</v>
      </c>
    </row>
    <row r="631" spans="1:11" x14ac:dyDescent="0.2">
      <c r="A631" s="33">
        <v>42511</v>
      </c>
      <c r="B631" s="197" t="s">
        <v>2478</v>
      </c>
      <c r="C631" s="265" t="s">
        <v>4439</v>
      </c>
      <c r="D631" s="543">
        <v>1.636574074074074E-2</v>
      </c>
      <c r="E631" s="5" t="s">
        <v>5883</v>
      </c>
      <c r="F631" s="108" t="s">
        <v>4594</v>
      </c>
      <c r="G631" s="5"/>
      <c r="H631" s="5"/>
      <c r="I631" s="2"/>
      <c r="J631" s="5"/>
      <c r="K631" s="85">
        <v>0.62590000000000001</v>
      </c>
    </row>
    <row r="632" spans="1:11" x14ac:dyDescent="0.2">
      <c r="A632" s="33">
        <v>42504</v>
      </c>
      <c r="B632" s="197" t="s">
        <v>2478</v>
      </c>
      <c r="C632" s="265" t="s">
        <v>4439</v>
      </c>
      <c r="D632" s="543" t="s">
        <v>787</v>
      </c>
      <c r="E632" s="5" t="s">
        <v>5883</v>
      </c>
      <c r="F632" s="108" t="s">
        <v>1544</v>
      </c>
      <c r="G632" s="5"/>
      <c r="H632" s="5"/>
      <c r="I632" s="5"/>
      <c r="J632" s="5"/>
      <c r="K632" s="85"/>
    </row>
    <row r="633" spans="1:11" x14ac:dyDescent="0.2">
      <c r="A633" s="33">
        <v>42497</v>
      </c>
      <c r="B633" s="197" t="s">
        <v>2478</v>
      </c>
      <c r="C633" s="265" t="s">
        <v>4439</v>
      </c>
      <c r="D633" s="543">
        <v>1.6620370370370372E-2</v>
      </c>
      <c r="E633" s="5" t="s">
        <v>5883</v>
      </c>
      <c r="F633" s="108" t="s">
        <v>3473</v>
      </c>
      <c r="G633" s="5"/>
      <c r="H633" s="5"/>
      <c r="I633" s="5"/>
      <c r="J633" s="5"/>
      <c r="K633" s="85">
        <v>0.61629999999999996</v>
      </c>
    </row>
    <row r="634" spans="1:11" x14ac:dyDescent="0.2">
      <c r="A634" s="33">
        <v>42483</v>
      </c>
      <c r="B634" s="197" t="s">
        <v>2478</v>
      </c>
      <c r="C634" s="265" t="s">
        <v>4439</v>
      </c>
      <c r="D634" s="543">
        <v>1.650462962962963E-2</v>
      </c>
      <c r="E634" s="5" t="s">
        <v>5883</v>
      </c>
      <c r="F634" s="108" t="s">
        <v>6009</v>
      </c>
      <c r="G634" s="5"/>
      <c r="H634" s="5"/>
      <c r="I634" s="2"/>
      <c r="J634" s="5"/>
      <c r="K634" s="85">
        <v>0.62060000000000004</v>
      </c>
    </row>
    <row r="635" spans="1:11" x14ac:dyDescent="0.2">
      <c r="A635" s="33">
        <v>42469</v>
      </c>
      <c r="B635" s="197" t="s">
        <v>2478</v>
      </c>
      <c r="C635" s="265" t="s">
        <v>4439</v>
      </c>
      <c r="D635" s="65">
        <v>1.6921296296296299E-2</v>
      </c>
      <c r="E635" t="s">
        <v>5883</v>
      </c>
      <c r="F635" s="69" t="s">
        <v>2553</v>
      </c>
      <c r="I635" s="2"/>
      <c r="K635" s="82">
        <v>0.60529999999999995</v>
      </c>
    </row>
    <row r="636" spans="1:11" x14ac:dyDescent="0.2">
      <c r="A636" s="33">
        <v>42462</v>
      </c>
      <c r="B636" s="197" t="s">
        <v>2478</v>
      </c>
      <c r="C636" s="265" t="s">
        <v>4439</v>
      </c>
      <c r="D636" s="65">
        <v>1.6921296296296299E-2</v>
      </c>
      <c r="E636" t="s">
        <v>5883</v>
      </c>
      <c r="F636" s="69" t="s">
        <v>2469</v>
      </c>
      <c r="I636" s="2"/>
      <c r="K636" s="82">
        <v>0.60529999999999995</v>
      </c>
    </row>
    <row r="637" spans="1:11" x14ac:dyDescent="0.2">
      <c r="A637" s="33">
        <v>42455</v>
      </c>
      <c r="B637" s="197" t="s">
        <v>2478</v>
      </c>
      <c r="C637" s="265" t="s">
        <v>4439</v>
      </c>
      <c r="D637" s="65">
        <v>1.699074074074074E-2</v>
      </c>
      <c r="E637" t="s">
        <v>5883</v>
      </c>
      <c r="F637" s="69" t="s">
        <v>955</v>
      </c>
      <c r="I637" s="2"/>
      <c r="K637" s="82">
        <v>0.60289999999999999</v>
      </c>
    </row>
    <row r="638" spans="1:11" x14ac:dyDescent="0.2">
      <c r="A638" s="33">
        <v>42434</v>
      </c>
      <c r="B638" s="197" t="s">
        <v>2478</v>
      </c>
      <c r="C638" s="265" t="s">
        <v>4439</v>
      </c>
      <c r="D638" s="65">
        <v>1.6932870370370369E-2</v>
      </c>
      <c r="E638" t="s">
        <v>5883</v>
      </c>
      <c r="F638" s="69"/>
      <c r="I638" s="2"/>
      <c r="K638" s="82">
        <v>0.60489999999999999</v>
      </c>
    </row>
    <row r="639" spans="1:11" x14ac:dyDescent="0.2">
      <c r="A639" s="33">
        <v>42427</v>
      </c>
      <c r="B639" s="197" t="s">
        <v>2478</v>
      </c>
      <c r="C639" s="265" t="s">
        <v>4439</v>
      </c>
      <c r="D639" s="65">
        <v>1.6979166666666667E-2</v>
      </c>
      <c r="E639" t="s">
        <v>5883</v>
      </c>
      <c r="F639" s="69" t="s">
        <v>4440</v>
      </c>
      <c r="I639" s="2"/>
      <c r="K639" s="82">
        <v>0.60329999999999995</v>
      </c>
    </row>
    <row r="640" spans="1:11" x14ac:dyDescent="0.2">
      <c r="A640" s="33">
        <v>42490</v>
      </c>
      <c r="B640" s="197" t="s">
        <v>2641</v>
      </c>
      <c r="C640" s="265" t="s">
        <v>4439</v>
      </c>
      <c r="D640" s="543">
        <v>1.6469907407407405E-2</v>
      </c>
      <c r="E640" s="5" t="s">
        <v>5883</v>
      </c>
      <c r="F640" s="108" t="s">
        <v>2643</v>
      </c>
      <c r="G640" s="5"/>
      <c r="H640" s="5"/>
      <c r="I640" s="5"/>
      <c r="J640" s="5"/>
      <c r="K640" s="85">
        <v>0.62190000000000001</v>
      </c>
    </row>
    <row r="641" spans="1:11" x14ac:dyDescent="0.2">
      <c r="A641" s="33">
        <v>42539</v>
      </c>
      <c r="B641" s="53" t="s">
        <v>3960</v>
      </c>
      <c r="C641" s="54" t="s">
        <v>3656</v>
      </c>
      <c r="D641" s="65">
        <v>1.5219907407407409E-2</v>
      </c>
      <c r="E641" t="s">
        <v>5885</v>
      </c>
      <c r="F641" s="69" t="s">
        <v>4750</v>
      </c>
      <c r="I641" s="2"/>
      <c r="K641" s="82">
        <v>0.71940000000000004</v>
      </c>
    </row>
    <row r="642" spans="1:11" x14ac:dyDescent="0.2">
      <c r="A642" s="33">
        <v>42532</v>
      </c>
      <c r="B642" s="53" t="s">
        <v>3960</v>
      </c>
      <c r="C642" s="54" t="s">
        <v>3656</v>
      </c>
      <c r="D642" s="65">
        <v>1.5208333333333332E-2</v>
      </c>
      <c r="E642" t="s">
        <v>5885</v>
      </c>
      <c r="F642" s="69" t="s">
        <v>2183</v>
      </c>
      <c r="I642" s="2"/>
      <c r="K642" s="82">
        <v>0.71989999999999998</v>
      </c>
    </row>
    <row r="643" spans="1:11" x14ac:dyDescent="0.2">
      <c r="A643" s="33">
        <v>42735</v>
      </c>
      <c r="B643" s="80" t="s">
        <v>1589</v>
      </c>
      <c r="C643" s="334" t="s">
        <v>1590</v>
      </c>
      <c r="D643" s="65">
        <v>1.7824074074074076E-2</v>
      </c>
      <c r="E643" s="80" t="s">
        <v>1719</v>
      </c>
      <c r="F643" s="69" t="s">
        <v>6179</v>
      </c>
      <c r="I643" s="2"/>
      <c r="K643" s="82">
        <v>0.66559999999999997</v>
      </c>
    </row>
    <row r="644" spans="1:11" x14ac:dyDescent="0.2">
      <c r="A644" s="33">
        <v>42729</v>
      </c>
      <c r="B644" s="80" t="s">
        <v>1589</v>
      </c>
      <c r="C644" s="334" t="s">
        <v>1590</v>
      </c>
      <c r="D644" s="65">
        <v>1.8877314814814816E-2</v>
      </c>
      <c r="E644" s="80" t="s">
        <v>1401</v>
      </c>
      <c r="F644" s="69" t="s">
        <v>5746</v>
      </c>
      <c r="I644" s="2"/>
      <c r="K644" s="82">
        <v>0.62839999999999996</v>
      </c>
    </row>
    <row r="645" spans="1:11" x14ac:dyDescent="0.2">
      <c r="A645" s="523">
        <v>42728</v>
      </c>
      <c r="B645" s="80" t="s">
        <v>1589</v>
      </c>
      <c r="C645" s="334" t="s">
        <v>1590</v>
      </c>
      <c r="D645" s="547">
        <v>1.8252314814814815E-2</v>
      </c>
      <c r="E645" s="80" t="s">
        <v>1719</v>
      </c>
      <c r="F645" s="69" t="s">
        <v>3516</v>
      </c>
      <c r="I645" s="2"/>
      <c r="K645" s="82">
        <v>0.65</v>
      </c>
    </row>
    <row r="646" spans="1:11" x14ac:dyDescent="0.2">
      <c r="A646" s="33">
        <v>42721</v>
      </c>
      <c r="B646" s="5" t="s">
        <v>1589</v>
      </c>
      <c r="C646" s="32" t="s">
        <v>1590</v>
      </c>
      <c r="D646" s="65">
        <v>1.8113425925925925E-2</v>
      </c>
      <c r="E646" s="5" t="s">
        <v>1719</v>
      </c>
      <c r="F646" s="108" t="s">
        <v>2806</v>
      </c>
      <c r="I646" s="2"/>
      <c r="K646" s="82">
        <v>0.65500000000000003</v>
      </c>
    </row>
    <row r="647" spans="1:11" x14ac:dyDescent="0.2">
      <c r="A647" s="33">
        <v>42714</v>
      </c>
      <c r="B647" s="5" t="s">
        <v>1589</v>
      </c>
      <c r="C647" s="32" t="s">
        <v>1590</v>
      </c>
      <c r="D647" s="65">
        <v>1.8217592592592594E-2</v>
      </c>
      <c r="E647" s="5" t="s">
        <v>1719</v>
      </c>
      <c r="F647" s="108" t="s">
        <v>2654</v>
      </c>
      <c r="I647" s="2"/>
      <c r="K647" s="82">
        <v>0.6512</v>
      </c>
    </row>
    <row r="648" spans="1:11" x14ac:dyDescent="0.2">
      <c r="A648" s="33">
        <v>42707</v>
      </c>
      <c r="B648" s="5" t="s">
        <v>1589</v>
      </c>
      <c r="C648" s="32" t="s">
        <v>1590</v>
      </c>
      <c r="D648" s="543" t="s">
        <v>787</v>
      </c>
      <c r="E648" s="5" t="s">
        <v>1719</v>
      </c>
      <c r="F648" s="108" t="s">
        <v>4185</v>
      </c>
      <c r="I648" s="2"/>
      <c r="K648" s="82"/>
    </row>
    <row r="649" spans="1:11" x14ac:dyDescent="0.2">
      <c r="A649" s="33">
        <v>42700</v>
      </c>
      <c r="B649" s="5" t="s">
        <v>1589</v>
      </c>
      <c r="C649" s="32" t="s">
        <v>1590</v>
      </c>
      <c r="D649" s="65">
        <v>1.8194444444444444E-2</v>
      </c>
      <c r="E649" s="5" t="s">
        <v>1719</v>
      </c>
      <c r="F649" s="108" t="s">
        <v>6062</v>
      </c>
      <c r="I649" s="2"/>
      <c r="K649" s="82">
        <v>0.65200000000000002</v>
      </c>
    </row>
    <row r="650" spans="1:11" x14ac:dyDescent="0.2">
      <c r="A650" s="33">
        <v>42693</v>
      </c>
      <c r="B650" s="5" t="s">
        <v>1589</v>
      </c>
      <c r="C650" s="32" t="s">
        <v>1590</v>
      </c>
      <c r="D650" s="65">
        <v>1.7986111111111109E-2</v>
      </c>
      <c r="E650" s="5" t="s">
        <v>1719</v>
      </c>
      <c r="F650" s="108" t="s">
        <v>6063</v>
      </c>
      <c r="I650" s="2"/>
      <c r="K650" s="82">
        <v>0.65920000000000001</v>
      </c>
    </row>
    <row r="651" spans="1:11" x14ac:dyDescent="0.2">
      <c r="A651" s="33">
        <v>42686</v>
      </c>
      <c r="B651" s="5" t="s">
        <v>1589</v>
      </c>
      <c r="C651" s="32" t="s">
        <v>1590</v>
      </c>
      <c r="D651" s="65" t="s">
        <v>787</v>
      </c>
      <c r="E651" t="s">
        <v>1719</v>
      </c>
      <c r="F651" s="69" t="s">
        <v>5508</v>
      </c>
      <c r="I651" s="2"/>
      <c r="K651" s="82"/>
    </row>
    <row r="652" spans="1:11" x14ac:dyDescent="0.2">
      <c r="A652" s="33">
        <v>42679</v>
      </c>
      <c r="B652" s="5" t="s">
        <v>1589</v>
      </c>
      <c r="C652" s="32" t="s">
        <v>1590</v>
      </c>
      <c r="D652" s="65">
        <v>1.8599537037037036E-2</v>
      </c>
      <c r="E652" t="s">
        <v>1719</v>
      </c>
      <c r="F652" s="69" t="s">
        <v>605</v>
      </c>
      <c r="I652" s="2"/>
      <c r="K652" s="82">
        <v>0.63780000000000003</v>
      </c>
    </row>
    <row r="653" spans="1:11" x14ac:dyDescent="0.2">
      <c r="A653" s="33">
        <v>42665</v>
      </c>
      <c r="B653" s="5" t="s">
        <v>1589</v>
      </c>
      <c r="C653" s="32" t="s">
        <v>1590</v>
      </c>
      <c r="D653" s="65">
        <v>1.9247685185185184E-2</v>
      </c>
      <c r="E653" t="s">
        <v>1569</v>
      </c>
      <c r="F653" s="69" t="s">
        <v>1239</v>
      </c>
      <c r="I653" s="2"/>
      <c r="K653" s="82">
        <v>0.61639999999999995</v>
      </c>
    </row>
    <row r="654" spans="1:11" x14ac:dyDescent="0.2">
      <c r="A654" s="33">
        <v>42644</v>
      </c>
      <c r="B654" s="5" t="s">
        <v>1589</v>
      </c>
      <c r="C654" s="32" t="s">
        <v>1590</v>
      </c>
      <c r="D654" s="65">
        <v>1.7060185185185185E-2</v>
      </c>
      <c r="E654" t="s">
        <v>1719</v>
      </c>
      <c r="F654" s="97" t="s">
        <v>2519</v>
      </c>
      <c r="I654" s="2"/>
      <c r="K654" s="82">
        <v>0.69540000000000002</v>
      </c>
    </row>
    <row r="655" spans="1:11" x14ac:dyDescent="0.2">
      <c r="A655" s="33">
        <v>42637</v>
      </c>
      <c r="B655" s="5" t="s">
        <v>1589</v>
      </c>
      <c r="C655" s="32" t="s">
        <v>1590</v>
      </c>
      <c r="D655" s="65">
        <v>1.7754629629629631E-2</v>
      </c>
      <c r="E655" t="s">
        <v>1719</v>
      </c>
      <c r="F655" s="69" t="s">
        <v>2242</v>
      </c>
      <c r="I655" s="2"/>
      <c r="K655" s="82">
        <v>0.66820000000000002</v>
      </c>
    </row>
    <row r="656" spans="1:11" x14ac:dyDescent="0.2">
      <c r="A656" s="33">
        <v>42630</v>
      </c>
      <c r="B656" s="5" t="s">
        <v>1589</v>
      </c>
      <c r="C656" s="32" t="s">
        <v>1590</v>
      </c>
      <c r="D656" s="65">
        <v>1.7430555555555557E-2</v>
      </c>
      <c r="E656" t="s">
        <v>1719</v>
      </c>
      <c r="F656" s="69" t="s">
        <v>2104</v>
      </c>
      <c r="I656" s="2"/>
      <c r="K656" s="82">
        <v>0.68059999999999998</v>
      </c>
    </row>
    <row r="657" spans="1:28" x14ac:dyDescent="0.2">
      <c r="A657" s="33">
        <v>42623</v>
      </c>
      <c r="B657" s="5" t="s">
        <v>1589</v>
      </c>
      <c r="C657" s="32" t="s">
        <v>1590</v>
      </c>
      <c r="D657" s="65">
        <v>1.7164351851851851E-2</v>
      </c>
      <c r="E657" t="s">
        <v>1719</v>
      </c>
      <c r="F657" s="69" t="s">
        <v>821</v>
      </c>
      <c r="I657" s="2"/>
      <c r="K657" s="82">
        <v>0.69120000000000004</v>
      </c>
    </row>
    <row r="658" spans="1:28" x14ac:dyDescent="0.2">
      <c r="A658" s="33">
        <v>42616</v>
      </c>
      <c r="B658" s="5" t="s">
        <v>1589</v>
      </c>
      <c r="C658" s="32" t="s">
        <v>1590</v>
      </c>
      <c r="D658" s="65">
        <v>1.7974537037037035E-2</v>
      </c>
      <c r="E658" t="s">
        <v>1719</v>
      </c>
      <c r="F658" s="69" t="s">
        <v>6</v>
      </c>
      <c r="I658" s="2"/>
      <c r="K658" s="82">
        <v>0.66</v>
      </c>
    </row>
    <row r="659" spans="1:28" x14ac:dyDescent="0.2">
      <c r="A659" s="33">
        <v>42602</v>
      </c>
      <c r="B659" s="5" t="s">
        <v>1589</v>
      </c>
      <c r="C659" s="32" t="s">
        <v>1590</v>
      </c>
      <c r="D659" s="65">
        <v>1.8136574074074072E-2</v>
      </c>
      <c r="E659" t="s">
        <v>1719</v>
      </c>
      <c r="F659" s="69" t="s">
        <v>4480</v>
      </c>
      <c r="I659" s="2"/>
      <c r="K659" s="82">
        <v>0.65410000000000001</v>
      </c>
    </row>
    <row r="660" spans="1:28" x14ac:dyDescent="0.2">
      <c r="A660" s="33">
        <v>42588</v>
      </c>
      <c r="B660" s="5" t="s">
        <v>1589</v>
      </c>
      <c r="C660" s="32" t="s">
        <v>1590</v>
      </c>
      <c r="D660" s="543">
        <v>1.8587962962962962E-2</v>
      </c>
      <c r="E660" s="5" t="s">
        <v>1719</v>
      </c>
      <c r="F660" s="108" t="s">
        <v>5808</v>
      </c>
      <c r="G660" s="5"/>
      <c r="H660" s="5"/>
      <c r="I660" s="2"/>
      <c r="J660" s="5"/>
      <c r="K660" s="85">
        <v>0.63819999999999999</v>
      </c>
    </row>
    <row r="661" spans="1:28" x14ac:dyDescent="0.2">
      <c r="A661" s="33">
        <v>42581</v>
      </c>
      <c r="B661" s="5" t="s">
        <v>1589</v>
      </c>
      <c r="C661" s="32" t="s">
        <v>1590</v>
      </c>
      <c r="D661" s="65">
        <v>1.818287037037037E-2</v>
      </c>
      <c r="E661" t="s">
        <v>1719</v>
      </c>
      <c r="F661" s="69" t="s">
        <v>382</v>
      </c>
      <c r="I661" s="2"/>
      <c r="K661" s="82">
        <v>0.65249999999999997</v>
      </c>
    </row>
    <row r="662" spans="1:28" x14ac:dyDescent="0.2">
      <c r="A662" s="33">
        <v>42574</v>
      </c>
      <c r="B662" s="5" t="s">
        <v>1589</v>
      </c>
      <c r="C662" s="32" t="s">
        <v>1590</v>
      </c>
      <c r="D662" s="65">
        <v>1.8368055555555554E-2</v>
      </c>
      <c r="E662" t="s">
        <v>1719</v>
      </c>
      <c r="F662" s="69" t="s">
        <v>1016</v>
      </c>
      <c r="I662" s="2"/>
      <c r="K662" s="82">
        <v>0.64590000000000003</v>
      </c>
    </row>
    <row r="663" spans="1:28" x14ac:dyDescent="0.2">
      <c r="A663" s="33">
        <v>42560</v>
      </c>
      <c r="B663" s="5" t="s">
        <v>1589</v>
      </c>
      <c r="C663" s="32" t="s">
        <v>1590</v>
      </c>
      <c r="D663" s="65">
        <v>1.7789351851851851E-2</v>
      </c>
      <c r="E663" t="s">
        <v>1719</v>
      </c>
      <c r="F663" s="69" t="s">
        <v>461</v>
      </c>
      <c r="I663" s="2"/>
      <c r="K663" s="82">
        <v>0.66690000000000005</v>
      </c>
    </row>
    <row r="664" spans="1:28" x14ac:dyDescent="0.2">
      <c r="A664" s="33">
        <v>42546</v>
      </c>
      <c r="B664" s="5" t="s">
        <v>1589</v>
      </c>
      <c r="C664" s="32" t="s">
        <v>1590</v>
      </c>
      <c r="D664" s="65" t="s">
        <v>787</v>
      </c>
      <c r="E664" t="s">
        <v>1719</v>
      </c>
      <c r="F664" s="69" t="s">
        <v>4061</v>
      </c>
      <c r="I664" s="2"/>
      <c r="K664" s="82"/>
    </row>
    <row r="665" spans="1:28" x14ac:dyDescent="0.2">
      <c r="A665" s="33">
        <v>42539</v>
      </c>
      <c r="B665" s="5" t="s">
        <v>1589</v>
      </c>
      <c r="C665" s="32" t="s">
        <v>1590</v>
      </c>
      <c r="D665" s="65">
        <v>1.8553240740740742E-2</v>
      </c>
      <c r="E665" t="s">
        <v>1719</v>
      </c>
      <c r="F665" s="69" t="s">
        <v>4759</v>
      </c>
      <c r="I665" s="2"/>
      <c r="K665" s="82">
        <v>0.63939999999999997</v>
      </c>
    </row>
    <row r="666" spans="1:28" x14ac:dyDescent="0.2">
      <c r="A666" s="33">
        <v>42532</v>
      </c>
      <c r="B666" s="5" t="s">
        <v>1589</v>
      </c>
      <c r="C666" s="32" t="s">
        <v>1590</v>
      </c>
      <c r="D666" s="65">
        <v>1.7916666666666668E-2</v>
      </c>
      <c r="E666" t="s">
        <v>1719</v>
      </c>
      <c r="F666" s="69" t="s">
        <v>4885</v>
      </c>
      <c r="I666" s="2"/>
      <c r="K666" s="82">
        <v>0.66210000000000002</v>
      </c>
    </row>
    <row r="667" spans="1:28" x14ac:dyDescent="0.2">
      <c r="A667" s="33">
        <v>42525</v>
      </c>
      <c r="B667" s="5" t="s">
        <v>1589</v>
      </c>
      <c r="C667" s="32" t="s">
        <v>1590</v>
      </c>
      <c r="D667" s="543">
        <v>1.8020833333333333E-2</v>
      </c>
      <c r="E667" s="5" t="s">
        <v>1719</v>
      </c>
      <c r="F667" s="108" t="s">
        <v>1068</v>
      </c>
      <c r="G667" s="5"/>
      <c r="H667" s="5"/>
      <c r="I667" s="2"/>
      <c r="J667" s="5"/>
      <c r="K667" s="85">
        <v>0.6583</v>
      </c>
    </row>
    <row r="668" spans="1:28" x14ac:dyDescent="0.2">
      <c r="A668" s="33">
        <v>42518</v>
      </c>
      <c r="B668" s="5" t="s">
        <v>1589</v>
      </c>
      <c r="C668" s="32" t="s">
        <v>1590</v>
      </c>
      <c r="D668" s="65" t="s">
        <v>787</v>
      </c>
      <c r="E668" s="5" t="s">
        <v>1719</v>
      </c>
      <c r="F668" s="69"/>
      <c r="I668" s="2"/>
      <c r="K668" s="82"/>
      <c r="S668" s="80"/>
    </row>
    <row r="669" spans="1:28" x14ac:dyDescent="0.2">
      <c r="A669" s="33">
        <v>42504</v>
      </c>
      <c r="B669" s="5" t="s">
        <v>1589</v>
      </c>
      <c r="C669" s="32" t="s">
        <v>1590</v>
      </c>
      <c r="D669" s="543" t="s">
        <v>787</v>
      </c>
      <c r="E669" s="5" t="s">
        <v>1719</v>
      </c>
      <c r="F669" s="108" t="s">
        <v>5508</v>
      </c>
      <c r="G669" s="5"/>
      <c r="H669" s="5"/>
      <c r="I669" s="5"/>
      <c r="J669" s="5"/>
      <c r="K669" s="85"/>
    </row>
    <row r="670" spans="1:28" x14ac:dyDescent="0.2">
      <c r="A670" s="33">
        <v>42497</v>
      </c>
      <c r="B670" s="5" t="s">
        <v>1589</v>
      </c>
      <c r="C670" s="32" t="s">
        <v>1590</v>
      </c>
      <c r="D670" s="543">
        <v>1.7650462962962962E-2</v>
      </c>
      <c r="E670" s="5" t="s">
        <v>1719</v>
      </c>
      <c r="F670" s="108" t="s">
        <v>3544</v>
      </c>
      <c r="G670" s="5"/>
      <c r="H670" s="5"/>
      <c r="I670" s="5"/>
      <c r="J670" s="5"/>
      <c r="K670" s="85">
        <v>0.67210000000000003</v>
      </c>
      <c r="AB670" s="41"/>
    </row>
    <row r="671" spans="1:28" x14ac:dyDescent="0.2">
      <c r="A671" s="33">
        <v>42490</v>
      </c>
      <c r="B671" s="5" t="s">
        <v>1589</v>
      </c>
      <c r="C671" s="32" t="s">
        <v>1590</v>
      </c>
      <c r="D671" s="543">
        <v>1.7812499999999998E-2</v>
      </c>
      <c r="E671" s="5" t="s">
        <v>1719</v>
      </c>
      <c r="F671" s="108" t="s">
        <v>2418</v>
      </c>
      <c r="G671" s="5"/>
      <c r="H671" s="5"/>
      <c r="I671" s="5"/>
      <c r="J671" s="5"/>
      <c r="K671" s="85">
        <v>0.66600000000000004</v>
      </c>
      <c r="AA671" s="41"/>
    </row>
    <row r="672" spans="1:28" x14ac:dyDescent="0.2">
      <c r="A672" s="33">
        <v>42484</v>
      </c>
      <c r="B672" t="s">
        <v>1589</v>
      </c>
      <c r="C672" s="1" t="s">
        <v>1590</v>
      </c>
      <c r="D672" s="10" t="s">
        <v>787</v>
      </c>
      <c r="E672" s="5" t="s">
        <v>1719</v>
      </c>
      <c r="F672" s="108" t="s">
        <v>4185</v>
      </c>
      <c r="G672" s="5"/>
      <c r="H672" s="5"/>
      <c r="I672" s="2"/>
      <c r="J672" s="5"/>
      <c r="K672" s="85"/>
    </row>
    <row r="673" spans="1:19" x14ac:dyDescent="0.2">
      <c r="A673" s="33">
        <v>42476</v>
      </c>
      <c r="B673" s="5" t="s">
        <v>1589</v>
      </c>
      <c r="C673" s="32" t="s">
        <v>1590</v>
      </c>
      <c r="D673" s="65">
        <v>1.7905092592592594E-2</v>
      </c>
      <c r="E673" t="s">
        <v>1719</v>
      </c>
      <c r="F673" s="69" t="s">
        <v>1762</v>
      </c>
      <c r="I673" s="2"/>
      <c r="K673" s="82">
        <v>0.66259999999999997</v>
      </c>
    </row>
    <row r="674" spans="1:19" x14ac:dyDescent="0.2">
      <c r="A674" s="33">
        <v>42469</v>
      </c>
      <c r="B674" s="5" t="s">
        <v>1589</v>
      </c>
      <c r="C674" s="32" t="s">
        <v>1590</v>
      </c>
      <c r="D674" s="65" t="s">
        <v>787</v>
      </c>
      <c r="E674" t="s">
        <v>1719</v>
      </c>
      <c r="F674" s="69" t="s">
        <v>4185</v>
      </c>
      <c r="I674" s="2"/>
      <c r="K674" s="82"/>
    </row>
    <row r="675" spans="1:19" x14ac:dyDescent="0.2">
      <c r="A675" s="33">
        <v>42462</v>
      </c>
      <c r="B675" t="s">
        <v>1589</v>
      </c>
      <c r="C675" s="1" t="s">
        <v>1590</v>
      </c>
      <c r="D675" s="65" t="s">
        <v>787</v>
      </c>
      <c r="E675" s="5" t="s">
        <v>1719</v>
      </c>
      <c r="F675" s="69" t="s">
        <v>4061</v>
      </c>
      <c r="I675" s="2"/>
      <c r="K675" s="82"/>
    </row>
    <row r="676" spans="1:19" x14ac:dyDescent="0.2">
      <c r="A676" s="33">
        <v>42455</v>
      </c>
      <c r="B676" t="s">
        <v>1589</v>
      </c>
      <c r="C676" s="1" t="s">
        <v>1590</v>
      </c>
      <c r="D676" s="65" t="s">
        <v>787</v>
      </c>
      <c r="E676" t="s">
        <v>1719</v>
      </c>
      <c r="F676" s="69" t="s">
        <v>5270</v>
      </c>
      <c r="I676" s="2"/>
      <c r="K676" s="82"/>
    </row>
    <row r="677" spans="1:19" x14ac:dyDescent="0.2">
      <c r="A677" s="33">
        <v>42448</v>
      </c>
      <c r="B677" t="s">
        <v>1589</v>
      </c>
      <c r="C677" s="1" t="s">
        <v>1590</v>
      </c>
      <c r="D677" s="65">
        <v>1.8090277777777778E-2</v>
      </c>
      <c r="E677" t="s">
        <v>1719</v>
      </c>
      <c r="F677" s="69" t="s">
        <v>2500</v>
      </c>
      <c r="I677" s="2"/>
      <c r="K677" s="82">
        <v>0.65</v>
      </c>
    </row>
    <row r="678" spans="1:19" x14ac:dyDescent="0.2">
      <c r="A678" s="33">
        <v>42441</v>
      </c>
      <c r="B678" t="s">
        <v>1589</v>
      </c>
      <c r="C678" s="1" t="s">
        <v>1590</v>
      </c>
      <c r="D678" s="65">
        <v>1.7962962962962962E-2</v>
      </c>
      <c r="E678" t="s">
        <v>1719</v>
      </c>
      <c r="F678" s="69" t="s">
        <v>4309</v>
      </c>
      <c r="I678" s="2"/>
      <c r="K678" s="82">
        <v>0.65459999999999996</v>
      </c>
    </row>
    <row r="679" spans="1:19" x14ac:dyDescent="0.2">
      <c r="A679" s="33">
        <v>42434</v>
      </c>
      <c r="B679" t="s">
        <v>1589</v>
      </c>
      <c r="C679" s="1" t="s">
        <v>1590</v>
      </c>
      <c r="D679" s="65">
        <v>1.8541666666666668E-2</v>
      </c>
      <c r="E679" t="s">
        <v>1719</v>
      </c>
      <c r="F679" s="69" t="s">
        <v>5264</v>
      </c>
      <c r="I679" s="2"/>
      <c r="K679" s="82">
        <v>0.63419999999999999</v>
      </c>
    </row>
    <row r="680" spans="1:19" x14ac:dyDescent="0.2">
      <c r="A680" s="33">
        <v>42427</v>
      </c>
      <c r="B680" t="s">
        <v>1589</v>
      </c>
      <c r="C680" s="1" t="s">
        <v>1590</v>
      </c>
      <c r="D680" s="65" t="s">
        <v>787</v>
      </c>
      <c r="E680" t="s">
        <v>1719</v>
      </c>
      <c r="F680" s="69" t="s">
        <v>5488</v>
      </c>
      <c r="I680" s="2"/>
      <c r="K680" s="82"/>
    </row>
    <row r="681" spans="1:19" x14ac:dyDescent="0.2">
      <c r="A681" s="33">
        <v>42413</v>
      </c>
      <c r="B681" t="s">
        <v>1589</v>
      </c>
      <c r="C681" s="1" t="s">
        <v>1590</v>
      </c>
      <c r="D681" s="65">
        <v>1.8796296296296297E-2</v>
      </c>
      <c r="E681" t="s">
        <v>1719</v>
      </c>
      <c r="F681" s="69" t="s">
        <v>4879</v>
      </c>
      <c r="I681" s="2"/>
      <c r="K681" s="82">
        <v>0.62560000000000004</v>
      </c>
    </row>
    <row r="682" spans="1:19" x14ac:dyDescent="0.2">
      <c r="A682" s="33">
        <v>42406</v>
      </c>
      <c r="B682" t="s">
        <v>1589</v>
      </c>
      <c r="C682" s="1" t="s">
        <v>1590</v>
      </c>
      <c r="D682" s="65" t="s">
        <v>787</v>
      </c>
      <c r="E682" t="s">
        <v>1719</v>
      </c>
      <c r="F682" s="69" t="s">
        <v>2052</v>
      </c>
      <c r="I682" s="2"/>
      <c r="K682" s="82"/>
    </row>
    <row r="683" spans="1:19" x14ac:dyDescent="0.2">
      <c r="A683" s="33">
        <v>42392</v>
      </c>
      <c r="B683" t="s">
        <v>1589</v>
      </c>
      <c r="C683" s="1" t="s">
        <v>1590</v>
      </c>
      <c r="D683" s="65">
        <v>1.7708333333333333E-2</v>
      </c>
      <c r="E683" t="s">
        <v>1719</v>
      </c>
      <c r="F683" s="69" t="s">
        <v>4044</v>
      </c>
      <c r="I683" s="2"/>
      <c r="K683" s="82">
        <v>0.66410000000000002</v>
      </c>
    </row>
    <row r="684" spans="1:19" x14ac:dyDescent="0.2">
      <c r="A684" s="33">
        <v>42385</v>
      </c>
      <c r="B684" t="s">
        <v>1589</v>
      </c>
      <c r="C684" s="1" t="s">
        <v>1590</v>
      </c>
      <c r="D684" s="65">
        <v>1.7604166666666667E-2</v>
      </c>
      <c r="E684" t="s">
        <v>1719</v>
      </c>
      <c r="F684" s="69" t="s">
        <v>1792</v>
      </c>
      <c r="I684" s="2"/>
      <c r="K684" s="82">
        <v>0.66800000000000004</v>
      </c>
    </row>
    <row r="685" spans="1:19" x14ac:dyDescent="0.2">
      <c r="A685" s="33">
        <v>42378</v>
      </c>
      <c r="B685" s="407" t="s">
        <v>1589</v>
      </c>
      <c r="C685" s="408" t="s">
        <v>1590</v>
      </c>
      <c r="D685" s="544">
        <v>1.7731481481481483E-2</v>
      </c>
      <c r="E685" s="407" t="s">
        <v>1719</v>
      </c>
      <c r="F685" s="545" t="s">
        <v>4057</v>
      </c>
      <c r="G685" s="407"/>
      <c r="H685" s="407"/>
      <c r="I685" s="348"/>
      <c r="J685" s="407"/>
      <c r="K685" s="546">
        <v>0.66320000000000001</v>
      </c>
      <c r="S685" s="80"/>
    </row>
    <row r="686" spans="1:19" x14ac:dyDescent="0.2">
      <c r="A686" s="33">
        <v>42371</v>
      </c>
      <c r="B686" t="s">
        <v>1589</v>
      </c>
      <c r="C686" s="1" t="s">
        <v>1590</v>
      </c>
      <c r="D686" s="65" t="s">
        <v>787</v>
      </c>
      <c r="E686" s="5" t="s">
        <v>1719</v>
      </c>
      <c r="F686" s="108" t="s">
        <v>5508</v>
      </c>
      <c r="G686" s="5"/>
      <c r="H686" s="2"/>
      <c r="K686" s="82"/>
    </row>
    <row r="687" spans="1:19" x14ac:dyDescent="0.2">
      <c r="A687" s="33">
        <v>42707</v>
      </c>
      <c r="B687" s="5" t="s">
        <v>3542</v>
      </c>
      <c r="C687" s="32" t="s">
        <v>1590</v>
      </c>
      <c r="D687" s="543" t="s">
        <v>787</v>
      </c>
      <c r="E687" s="5" t="s">
        <v>1719</v>
      </c>
      <c r="F687" s="108" t="s">
        <v>6065</v>
      </c>
      <c r="I687" s="2"/>
      <c r="K687" s="82"/>
    </row>
    <row r="688" spans="1:19" x14ac:dyDescent="0.2">
      <c r="A688" s="33">
        <v>42700</v>
      </c>
      <c r="B688" s="5" t="s">
        <v>3542</v>
      </c>
      <c r="C688" s="32" t="s">
        <v>1590</v>
      </c>
      <c r="D688" s="65">
        <v>2.525462962962963E-2</v>
      </c>
      <c r="E688" s="5" t="s">
        <v>1719</v>
      </c>
      <c r="F688" s="548" t="s">
        <v>1164</v>
      </c>
      <c r="G688" s="549"/>
      <c r="I688" s="2"/>
      <c r="K688" s="82">
        <v>0.58340000000000003</v>
      </c>
    </row>
    <row r="689" spans="1:27" x14ac:dyDescent="0.2">
      <c r="A689" s="33">
        <v>42693</v>
      </c>
      <c r="B689" s="5" t="s">
        <v>3542</v>
      </c>
      <c r="C689" s="32" t="s">
        <v>1590</v>
      </c>
      <c r="D689" s="543">
        <v>2.5613425925925925E-2</v>
      </c>
      <c r="E689" s="5" t="s">
        <v>1719</v>
      </c>
      <c r="F689" s="108" t="s">
        <v>2242</v>
      </c>
      <c r="G689" s="549"/>
      <c r="I689" s="2"/>
      <c r="K689" s="82">
        <v>0.57520000000000004</v>
      </c>
    </row>
    <row r="690" spans="1:27" x14ac:dyDescent="0.2">
      <c r="A690" s="33">
        <v>42686</v>
      </c>
      <c r="B690" s="5" t="s">
        <v>3542</v>
      </c>
      <c r="C690" s="32" t="s">
        <v>1590</v>
      </c>
      <c r="D690" s="65" t="s">
        <v>787</v>
      </c>
      <c r="E690" t="s">
        <v>1719</v>
      </c>
      <c r="F690" s="69" t="s">
        <v>1474</v>
      </c>
      <c r="I690" s="2"/>
      <c r="K690" s="82"/>
    </row>
    <row r="691" spans="1:27" x14ac:dyDescent="0.2">
      <c r="A691" s="33">
        <v>42679</v>
      </c>
      <c r="B691" s="53" t="s">
        <v>3542</v>
      </c>
      <c r="C691" s="54" t="s">
        <v>1590</v>
      </c>
      <c r="D691" s="65">
        <v>2.568287037037037E-2</v>
      </c>
      <c r="E691" t="s">
        <v>1719</v>
      </c>
      <c r="F691" s="69" t="s">
        <v>3987</v>
      </c>
      <c r="I691" s="2"/>
      <c r="K691" s="82">
        <v>0.57369999999999999</v>
      </c>
    </row>
    <row r="692" spans="1:27" x14ac:dyDescent="0.2">
      <c r="A692" s="33">
        <v>42644</v>
      </c>
      <c r="B692" s="5" t="s">
        <v>3542</v>
      </c>
      <c r="C692" s="32" t="s">
        <v>1590</v>
      </c>
      <c r="D692" s="65">
        <v>2.7118055555555552E-2</v>
      </c>
      <c r="E692" t="s">
        <v>1719</v>
      </c>
      <c r="F692" s="69" t="s">
        <v>5318</v>
      </c>
      <c r="I692" s="2"/>
      <c r="K692" s="82">
        <v>0.54330000000000001</v>
      </c>
    </row>
    <row r="693" spans="1:27" x14ac:dyDescent="0.2">
      <c r="A693" s="33">
        <v>42637</v>
      </c>
      <c r="B693" s="53" t="s">
        <v>3542</v>
      </c>
      <c r="C693" s="54" t="s">
        <v>1590</v>
      </c>
      <c r="D693" s="65">
        <v>3.4571759259259253E-2</v>
      </c>
      <c r="E693" t="s">
        <v>1719</v>
      </c>
      <c r="F693" s="69" t="s">
        <v>5747</v>
      </c>
      <c r="I693" s="2"/>
      <c r="K693" s="82"/>
    </row>
    <row r="694" spans="1:27" x14ac:dyDescent="0.2">
      <c r="A694" s="33">
        <v>42630</v>
      </c>
      <c r="B694" s="5" t="s">
        <v>3542</v>
      </c>
      <c r="C694" s="32" t="s">
        <v>1590</v>
      </c>
      <c r="D694" s="65">
        <v>2.4814814814814817E-2</v>
      </c>
      <c r="E694" t="s">
        <v>1719</v>
      </c>
      <c r="F694" s="69" t="s">
        <v>5808</v>
      </c>
      <c r="I694" s="2"/>
      <c r="K694" s="82">
        <v>0.59379999999999999</v>
      </c>
    </row>
    <row r="695" spans="1:27" x14ac:dyDescent="0.2">
      <c r="A695" s="33">
        <v>42623</v>
      </c>
      <c r="B695" s="53" t="s">
        <v>3542</v>
      </c>
      <c r="C695" s="54" t="s">
        <v>1590</v>
      </c>
      <c r="D695" s="65">
        <v>2.508101851851852E-2</v>
      </c>
      <c r="E695" t="s">
        <v>1719</v>
      </c>
      <c r="F695" s="69"/>
      <c r="I695" s="2"/>
      <c r="K695" s="82">
        <v>0.58740000000000003</v>
      </c>
    </row>
    <row r="696" spans="1:27" x14ac:dyDescent="0.2">
      <c r="A696" s="33">
        <v>42616</v>
      </c>
      <c r="B696" s="53" t="s">
        <v>3542</v>
      </c>
      <c r="C696" s="54" t="s">
        <v>1590</v>
      </c>
      <c r="D696" s="65">
        <v>2.5034722222222222E-2</v>
      </c>
      <c r="E696" t="s">
        <v>1719</v>
      </c>
      <c r="F696" s="69" t="s">
        <v>7</v>
      </c>
      <c r="I696" s="2"/>
      <c r="K696" s="82">
        <v>0.58850000000000002</v>
      </c>
    </row>
    <row r="697" spans="1:27" x14ac:dyDescent="0.2">
      <c r="A697" s="33">
        <v>42609</v>
      </c>
      <c r="B697" s="5" t="s">
        <v>3542</v>
      </c>
      <c r="C697" s="32" t="s">
        <v>1590</v>
      </c>
      <c r="D697" s="65">
        <v>2.5266203703703704E-2</v>
      </c>
      <c r="E697" t="s">
        <v>1719</v>
      </c>
      <c r="F697" s="69" t="s">
        <v>461</v>
      </c>
      <c r="I697" s="2"/>
      <c r="K697" s="82">
        <v>0.58309999999999995</v>
      </c>
    </row>
    <row r="698" spans="1:27" x14ac:dyDescent="0.2">
      <c r="A698" s="33">
        <v>42602</v>
      </c>
      <c r="B698" s="53" t="s">
        <v>3542</v>
      </c>
      <c r="C698" s="54" t="s">
        <v>1590</v>
      </c>
      <c r="D698" s="65">
        <v>2.480324074074074E-2</v>
      </c>
      <c r="E698" s="5" t="s">
        <v>1719</v>
      </c>
      <c r="F698" s="108" t="s">
        <v>1067</v>
      </c>
      <c r="G698" s="5"/>
      <c r="I698" s="2"/>
      <c r="K698" s="82">
        <v>0.59399999999999997</v>
      </c>
      <c r="S698" s="80"/>
    </row>
    <row r="699" spans="1:27" x14ac:dyDescent="0.2">
      <c r="A699" s="33">
        <v>42588</v>
      </c>
      <c r="B699" s="53" t="s">
        <v>3542</v>
      </c>
      <c r="C699" s="54" t="s">
        <v>1590</v>
      </c>
      <c r="D699" s="543">
        <v>2.4583333333333332E-2</v>
      </c>
      <c r="E699" s="5" t="s">
        <v>1719</v>
      </c>
      <c r="F699" s="108" t="s">
        <v>4885</v>
      </c>
      <c r="G699" s="5"/>
      <c r="H699" s="5"/>
      <c r="I699" s="2"/>
      <c r="J699" s="5"/>
      <c r="K699" s="85">
        <v>0.59930000000000005</v>
      </c>
    </row>
    <row r="700" spans="1:27" x14ac:dyDescent="0.2">
      <c r="A700" s="33">
        <v>42581</v>
      </c>
      <c r="B700" s="53" t="s">
        <v>3542</v>
      </c>
      <c r="C700" s="54" t="s">
        <v>1590</v>
      </c>
      <c r="D700" s="65">
        <v>2.4687500000000001E-2</v>
      </c>
      <c r="E700" t="s">
        <v>1719</v>
      </c>
      <c r="F700" s="69" t="s">
        <v>1068</v>
      </c>
      <c r="I700" s="2"/>
      <c r="K700" s="82">
        <v>0.5968</v>
      </c>
    </row>
    <row r="701" spans="1:27" x14ac:dyDescent="0.2">
      <c r="A701" s="33">
        <v>42574</v>
      </c>
      <c r="B701" s="53" t="s">
        <v>3542</v>
      </c>
      <c r="C701" s="54" t="s">
        <v>1590</v>
      </c>
      <c r="D701" s="65">
        <v>2.5069444444444446E-2</v>
      </c>
      <c r="E701" t="s">
        <v>1719</v>
      </c>
      <c r="F701" s="69" t="s">
        <v>3544</v>
      </c>
      <c r="I701" s="2"/>
      <c r="K701" s="82">
        <v>0.5877</v>
      </c>
    </row>
    <row r="702" spans="1:27" x14ac:dyDescent="0.2">
      <c r="A702" s="33">
        <v>42553</v>
      </c>
      <c r="B702" s="53" t="s">
        <v>3542</v>
      </c>
      <c r="C702" s="54" t="s">
        <v>1590</v>
      </c>
      <c r="D702" s="65">
        <v>2.5972222222222219E-2</v>
      </c>
      <c r="E702" t="s">
        <v>1719</v>
      </c>
      <c r="F702" s="69" t="s">
        <v>2500</v>
      </c>
      <c r="I702" s="2"/>
      <c r="K702" s="82">
        <v>0.56730000000000003</v>
      </c>
    </row>
    <row r="703" spans="1:27" x14ac:dyDescent="0.2">
      <c r="A703" s="33">
        <v>42546</v>
      </c>
      <c r="B703" s="53" t="s">
        <v>3542</v>
      </c>
      <c r="C703" s="54" t="s">
        <v>1590</v>
      </c>
      <c r="D703" s="65">
        <v>3.2858796296296296E-2</v>
      </c>
      <c r="E703" t="s">
        <v>1719</v>
      </c>
      <c r="F703" s="69" t="s">
        <v>5747</v>
      </c>
      <c r="I703" s="2"/>
      <c r="K703" s="82">
        <v>0.44840000000000002</v>
      </c>
      <c r="AA703" s="41"/>
    </row>
    <row r="704" spans="1:27" x14ac:dyDescent="0.2">
      <c r="A704" s="33">
        <v>42518</v>
      </c>
      <c r="B704" s="53" t="s">
        <v>3542</v>
      </c>
      <c r="C704" s="54" t="s">
        <v>1590</v>
      </c>
      <c r="D704" s="65">
        <v>2.4189814814814817E-2</v>
      </c>
      <c r="E704" s="5" t="s">
        <v>1719</v>
      </c>
      <c r="F704" s="69" t="s">
        <v>3515</v>
      </c>
      <c r="I704" s="2"/>
      <c r="K704" s="82">
        <v>0.60909999999999997</v>
      </c>
    </row>
    <row r="705" spans="1:13" x14ac:dyDescent="0.2">
      <c r="A705" s="33">
        <v>42511</v>
      </c>
      <c r="B705" s="53" t="s">
        <v>3542</v>
      </c>
      <c r="C705" s="54" t="s">
        <v>1590</v>
      </c>
      <c r="D705" s="543">
        <v>2.4328703703703703E-2</v>
      </c>
      <c r="E705" s="5" t="s">
        <v>1719</v>
      </c>
      <c r="F705" s="108" t="s">
        <v>4879</v>
      </c>
      <c r="G705" s="5"/>
      <c r="H705" s="5"/>
      <c r="I705" s="2"/>
      <c r="J705" s="5"/>
      <c r="K705" s="85">
        <v>0.60560000000000003</v>
      </c>
    </row>
    <row r="706" spans="1:13" x14ac:dyDescent="0.2">
      <c r="A706" s="33">
        <v>42504</v>
      </c>
      <c r="B706" s="53" t="s">
        <v>3542</v>
      </c>
      <c r="C706" s="54" t="s">
        <v>1590</v>
      </c>
      <c r="D706" s="543" t="s">
        <v>787</v>
      </c>
      <c r="E706" s="5" t="s">
        <v>1719</v>
      </c>
      <c r="F706" s="108" t="s">
        <v>4854</v>
      </c>
      <c r="G706" s="5"/>
      <c r="H706" s="5"/>
      <c r="I706" s="5"/>
      <c r="J706" s="5"/>
      <c r="K706" s="85"/>
    </row>
    <row r="707" spans="1:13" x14ac:dyDescent="0.2">
      <c r="A707" s="33">
        <v>42497</v>
      </c>
      <c r="B707" s="53" t="s">
        <v>3542</v>
      </c>
      <c r="C707" s="54" t="s">
        <v>1590</v>
      </c>
      <c r="D707" s="543">
        <v>2.4745370370370372E-2</v>
      </c>
      <c r="E707" s="5" t="s">
        <v>1719</v>
      </c>
      <c r="F707" s="108" t="s">
        <v>2540</v>
      </c>
      <c r="G707" s="5"/>
      <c r="H707" s="5"/>
      <c r="I707" s="5"/>
      <c r="J707" s="5"/>
      <c r="K707" s="85">
        <v>0.59540000000000004</v>
      </c>
    </row>
    <row r="708" spans="1:13" x14ac:dyDescent="0.2">
      <c r="A708" s="33">
        <v>42490</v>
      </c>
      <c r="B708" s="53" t="s">
        <v>3542</v>
      </c>
      <c r="C708" s="54" t="s">
        <v>1590</v>
      </c>
      <c r="D708" s="543">
        <v>2.4675925925925924E-2</v>
      </c>
      <c r="E708" s="5" t="s">
        <v>1719</v>
      </c>
      <c r="F708" s="108" t="s">
        <v>1792</v>
      </c>
      <c r="G708" s="5"/>
      <c r="H708" s="5"/>
      <c r="I708" s="5"/>
      <c r="J708" s="5"/>
      <c r="K708" s="85">
        <v>0.59709999999999996</v>
      </c>
    </row>
    <row r="709" spans="1:13" x14ac:dyDescent="0.2">
      <c r="A709" s="33">
        <v>42483</v>
      </c>
      <c r="B709" s="53" t="s">
        <v>3542</v>
      </c>
      <c r="C709" s="54" t="s">
        <v>1590</v>
      </c>
      <c r="D709" s="543">
        <v>2.4710648148148148E-2</v>
      </c>
      <c r="E709" s="5" t="s">
        <v>1719</v>
      </c>
      <c r="F709" s="108" t="s">
        <v>6014</v>
      </c>
      <c r="G709" s="5"/>
      <c r="H709" s="5"/>
      <c r="I709" s="2"/>
      <c r="J709" s="5"/>
      <c r="K709" s="85">
        <v>0.59630000000000005</v>
      </c>
    </row>
    <row r="710" spans="1:13" x14ac:dyDescent="0.2">
      <c r="A710" s="33">
        <v>42476</v>
      </c>
      <c r="B710" s="53" t="s">
        <v>3542</v>
      </c>
      <c r="C710" s="54" t="s">
        <v>1590</v>
      </c>
      <c r="D710" s="10" t="s">
        <v>787</v>
      </c>
      <c r="E710" s="5" t="s">
        <v>1719</v>
      </c>
      <c r="F710" s="108" t="s">
        <v>4854</v>
      </c>
      <c r="G710" s="5"/>
      <c r="H710" s="2"/>
      <c r="I710" s="2"/>
    </row>
    <row r="711" spans="1:13" x14ac:dyDescent="0.2">
      <c r="A711" s="33">
        <v>42469</v>
      </c>
      <c r="B711" s="53" t="s">
        <v>3542</v>
      </c>
      <c r="C711" s="54" t="s">
        <v>1590</v>
      </c>
      <c r="D711" s="65">
        <v>2.4583333333333332E-2</v>
      </c>
      <c r="E711" t="s">
        <v>1719</v>
      </c>
      <c r="F711" s="69"/>
      <c r="I711" s="2"/>
      <c r="K711" s="82">
        <v>0.59930000000000005</v>
      </c>
    </row>
    <row r="712" spans="1:13" x14ac:dyDescent="0.2">
      <c r="A712" s="33">
        <v>42455</v>
      </c>
      <c r="B712" s="53" t="s">
        <v>3542</v>
      </c>
      <c r="C712" s="54" t="s">
        <v>1590</v>
      </c>
      <c r="D712" s="65">
        <v>2.4976851851851851E-2</v>
      </c>
      <c r="E712" t="s">
        <v>1719</v>
      </c>
      <c r="F712" s="69" t="s">
        <v>4051</v>
      </c>
      <c r="I712" s="2"/>
      <c r="K712" s="82">
        <v>0.58989999999999998</v>
      </c>
    </row>
    <row r="713" spans="1:13" x14ac:dyDescent="0.2">
      <c r="A713" s="33">
        <v>42448</v>
      </c>
      <c r="B713" s="53" t="s">
        <v>3542</v>
      </c>
      <c r="C713" s="54" t="s">
        <v>1590</v>
      </c>
      <c r="D713" s="65">
        <v>2.5231481481481483E-2</v>
      </c>
      <c r="E713" t="s">
        <v>1719</v>
      </c>
      <c r="F713" s="69" t="s">
        <v>3260</v>
      </c>
      <c r="I713" s="2"/>
      <c r="K713" s="82">
        <v>0.58389999999999997</v>
      </c>
      <c r="M713" t="s">
        <v>5827</v>
      </c>
    </row>
    <row r="714" spans="1:13" x14ac:dyDescent="0.2">
      <c r="A714" s="33">
        <v>42420</v>
      </c>
      <c r="B714" s="53" t="s">
        <v>3542</v>
      </c>
      <c r="C714" s="54" t="s">
        <v>1590</v>
      </c>
      <c r="D714" s="65" t="s">
        <v>787</v>
      </c>
      <c r="E714" t="s">
        <v>1719</v>
      </c>
      <c r="F714" s="69" t="s">
        <v>4854</v>
      </c>
      <c r="I714" s="2"/>
      <c r="K714" s="82"/>
    </row>
    <row r="715" spans="1:13" x14ac:dyDescent="0.2">
      <c r="A715" s="33">
        <v>42406</v>
      </c>
      <c r="B715" s="53" t="s">
        <v>3542</v>
      </c>
      <c r="C715" s="54" t="s">
        <v>1590</v>
      </c>
      <c r="D715" s="65" t="s">
        <v>787</v>
      </c>
      <c r="E715" t="s">
        <v>1719</v>
      </c>
      <c r="F715" s="69" t="s">
        <v>2052</v>
      </c>
      <c r="I715" s="2"/>
      <c r="K715" s="82"/>
    </row>
    <row r="716" spans="1:13" x14ac:dyDescent="0.2">
      <c r="A716" s="33">
        <v>42392</v>
      </c>
      <c r="B716" s="53" t="s">
        <v>3542</v>
      </c>
      <c r="C716" s="54" t="s">
        <v>1590</v>
      </c>
      <c r="D716" s="65">
        <v>1.6805555555555556E-2</v>
      </c>
      <c r="E716" t="s">
        <v>1719</v>
      </c>
      <c r="F716" s="69" t="s">
        <v>4043</v>
      </c>
      <c r="I716" s="2"/>
      <c r="K716" s="82">
        <v>0.62039999999999995</v>
      </c>
    </row>
    <row r="717" spans="1:13" x14ac:dyDescent="0.2">
      <c r="A717" s="33">
        <v>42378</v>
      </c>
      <c r="B717" s="53" t="s">
        <v>3542</v>
      </c>
      <c r="C717" s="54" t="s">
        <v>1590</v>
      </c>
      <c r="D717" s="544">
        <v>2.4027777777777776E-2</v>
      </c>
      <c r="E717" s="407" t="s">
        <v>1719</v>
      </c>
      <c r="F717" s="545" t="s">
        <v>3290</v>
      </c>
      <c r="G717" s="407"/>
      <c r="H717" s="407"/>
      <c r="I717" s="348"/>
      <c r="J717" s="407"/>
      <c r="K717" s="546">
        <v>0.61319999999999997</v>
      </c>
    </row>
    <row r="718" spans="1:13" x14ac:dyDescent="0.2">
      <c r="A718" s="33">
        <v>42371</v>
      </c>
      <c r="B718" s="53" t="s">
        <v>3542</v>
      </c>
      <c r="C718" s="54" t="s">
        <v>1590</v>
      </c>
      <c r="D718" s="65">
        <v>3.1736111111111111E-2</v>
      </c>
      <c r="E718" s="5" t="s">
        <v>1719</v>
      </c>
      <c r="F718" s="69" t="s">
        <v>5747</v>
      </c>
      <c r="K718" s="82">
        <v>0.46729999999999999</v>
      </c>
    </row>
    <row r="719" spans="1:13" x14ac:dyDescent="0.2">
      <c r="A719" s="33">
        <v>42729</v>
      </c>
      <c r="B719" s="80" t="s">
        <v>1796</v>
      </c>
      <c r="C719" s="334" t="s">
        <v>1797</v>
      </c>
      <c r="D719" s="65">
        <v>1.6689814814814817E-2</v>
      </c>
      <c r="E719" s="80" t="s">
        <v>5885</v>
      </c>
      <c r="F719" s="69" t="s">
        <v>6147</v>
      </c>
      <c r="I719" s="2"/>
      <c r="K719" s="82">
        <v>0.66159999999999997</v>
      </c>
    </row>
    <row r="720" spans="1:13" x14ac:dyDescent="0.2">
      <c r="A720" s="33">
        <v>42721</v>
      </c>
      <c r="B720" s="5" t="s">
        <v>1796</v>
      </c>
      <c r="C720" s="32" t="s">
        <v>1797</v>
      </c>
      <c r="D720" s="65">
        <v>2.0590277777777777E-2</v>
      </c>
      <c r="E720" s="5" t="s">
        <v>5883</v>
      </c>
      <c r="F720" s="108" t="s">
        <v>3244</v>
      </c>
      <c r="I720" s="2"/>
      <c r="K720" s="82">
        <v>0.5363</v>
      </c>
    </row>
    <row r="721" spans="1:11" x14ac:dyDescent="0.2">
      <c r="A721" s="33">
        <v>42707</v>
      </c>
      <c r="B721" s="5" t="s">
        <v>1796</v>
      </c>
      <c r="C721" s="32" t="s">
        <v>1797</v>
      </c>
      <c r="D721" s="543" t="s">
        <v>787</v>
      </c>
      <c r="E721" s="5" t="s">
        <v>5883</v>
      </c>
      <c r="F721" s="108" t="s">
        <v>4524</v>
      </c>
      <c r="I721" s="2"/>
      <c r="K721" s="82"/>
    </row>
    <row r="722" spans="1:11" x14ac:dyDescent="0.2">
      <c r="A722" s="33">
        <v>42700</v>
      </c>
      <c r="B722" s="5" t="s">
        <v>1796</v>
      </c>
      <c r="C722" s="32" t="s">
        <v>1797</v>
      </c>
      <c r="D722" s="65">
        <v>1.9953703703703706E-2</v>
      </c>
      <c r="E722" s="5" t="s">
        <v>5883</v>
      </c>
      <c r="F722" s="69"/>
      <c r="I722" s="2"/>
      <c r="K722" s="82">
        <v>0.5534</v>
      </c>
    </row>
    <row r="723" spans="1:11" x14ac:dyDescent="0.2">
      <c r="A723" s="33">
        <v>42693</v>
      </c>
      <c r="B723" s="5" t="s">
        <v>1796</v>
      </c>
      <c r="C723" s="32" t="s">
        <v>1797</v>
      </c>
      <c r="D723" s="65">
        <v>1.6377314814814813E-2</v>
      </c>
      <c r="E723" s="5" t="s">
        <v>5883</v>
      </c>
      <c r="F723" s="108" t="s">
        <v>2629</v>
      </c>
      <c r="I723" s="2"/>
      <c r="K723" s="82">
        <v>0.67420000000000002</v>
      </c>
    </row>
    <row r="724" spans="1:11" x14ac:dyDescent="0.2">
      <c r="A724" s="33">
        <v>42679</v>
      </c>
      <c r="B724" s="5" t="s">
        <v>1796</v>
      </c>
      <c r="C724" s="32" t="s">
        <v>1797</v>
      </c>
      <c r="D724" s="65">
        <v>1.7187500000000001E-2</v>
      </c>
      <c r="E724" t="s">
        <v>4161</v>
      </c>
      <c r="F724" s="69" t="s">
        <v>597</v>
      </c>
      <c r="I724" s="2"/>
      <c r="K724" s="82">
        <v>0.64419999999999999</v>
      </c>
    </row>
    <row r="725" spans="1:11" x14ac:dyDescent="0.2">
      <c r="A725" s="33">
        <v>42665</v>
      </c>
      <c r="B725" s="5" t="s">
        <v>1796</v>
      </c>
      <c r="C725" s="32" t="s">
        <v>1797</v>
      </c>
      <c r="D725" s="65">
        <v>2.0335648148148148E-2</v>
      </c>
      <c r="E725" s="1" t="s">
        <v>5883</v>
      </c>
      <c r="F725" s="69" t="s">
        <v>1257</v>
      </c>
      <c r="I725" s="2"/>
      <c r="K725" s="82">
        <v>0.54300000000000004</v>
      </c>
    </row>
    <row r="726" spans="1:11" x14ac:dyDescent="0.2">
      <c r="A726" s="33">
        <v>42651</v>
      </c>
      <c r="B726" s="5" t="s">
        <v>1796</v>
      </c>
      <c r="C726" s="32" t="s">
        <v>1797</v>
      </c>
      <c r="D726" s="65">
        <v>1.9074074074074073E-2</v>
      </c>
      <c r="E726" t="s">
        <v>5883</v>
      </c>
      <c r="F726" s="69" t="s">
        <v>1029</v>
      </c>
      <c r="I726" s="2"/>
      <c r="K726" s="82">
        <v>0.57889999999999997</v>
      </c>
    </row>
    <row r="727" spans="1:11" x14ac:dyDescent="0.2">
      <c r="A727" s="33">
        <v>42644</v>
      </c>
      <c r="B727" s="5" t="s">
        <v>1796</v>
      </c>
      <c r="C727" s="32" t="s">
        <v>1797</v>
      </c>
      <c r="D727" s="65">
        <v>1.6620370370370372E-2</v>
      </c>
      <c r="E727" t="s">
        <v>4837</v>
      </c>
      <c r="F727" s="69" t="s">
        <v>3055</v>
      </c>
      <c r="I727" s="2"/>
      <c r="K727" s="82">
        <v>0.6643</v>
      </c>
    </row>
    <row r="728" spans="1:11" x14ac:dyDescent="0.2">
      <c r="A728" s="33">
        <v>42630</v>
      </c>
      <c r="B728" s="5" t="s">
        <v>1796</v>
      </c>
      <c r="C728" s="32" t="s">
        <v>1797</v>
      </c>
      <c r="D728" s="65">
        <v>1.6701388888888887E-2</v>
      </c>
      <c r="E728" t="s">
        <v>5883</v>
      </c>
      <c r="F728" s="69" t="s">
        <v>2958</v>
      </c>
      <c r="I728" s="2"/>
      <c r="K728" s="82">
        <v>0.66110000000000002</v>
      </c>
    </row>
    <row r="729" spans="1:11" x14ac:dyDescent="0.2">
      <c r="A729" s="33">
        <v>42623</v>
      </c>
      <c r="B729" s="5" t="s">
        <v>1796</v>
      </c>
      <c r="C729" s="32" t="s">
        <v>1797</v>
      </c>
      <c r="D729" s="65">
        <v>1.8796296296296297E-2</v>
      </c>
      <c r="E729" t="s">
        <v>5883</v>
      </c>
      <c r="F729" s="69" t="s">
        <v>820</v>
      </c>
      <c r="I729" s="2"/>
      <c r="K729" s="82">
        <v>0.58740000000000003</v>
      </c>
    </row>
    <row r="730" spans="1:11" x14ac:dyDescent="0.2">
      <c r="A730" s="33">
        <v>42616</v>
      </c>
      <c r="B730" s="5" t="s">
        <v>1796</v>
      </c>
      <c r="C730" s="32" t="s">
        <v>1797</v>
      </c>
      <c r="D730" s="65">
        <v>3.3043981481481487E-2</v>
      </c>
      <c r="E730" t="s">
        <v>5883</v>
      </c>
      <c r="F730" s="69" t="s">
        <v>5292</v>
      </c>
      <c r="I730" s="2"/>
      <c r="K730" s="82">
        <v>0.3342</v>
      </c>
    </row>
    <row r="731" spans="1:11" x14ac:dyDescent="0.2">
      <c r="A731" s="33">
        <v>42609</v>
      </c>
      <c r="B731" s="5" t="s">
        <v>1796</v>
      </c>
      <c r="C731" s="32" t="s">
        <v>1797</v>
      </c>
      <c r="D731" s="65">
        <v>1.8206018518518517E-2</v>
      </c>
      <c r="E731" t="s">
        <v>5883</v>
      </c>
      <c r="F731" s="69" t="s">
        <v>2688</v>
      </c>
      <c r="I731" s="2"/>
      <c r="K731" s="82">
        <v>0.60650000000000004</v>
      </c>
    </row>
    <row r="732" spans="1:11" x14ac:dyDescent="0.2">
      <c r="A732" s="33">
        <v>42595</v>
      </c>
      <c r="B732" s="5" t="s">
        <v>1796</v>
      </c>
      <c r="C732" s="32" t="s">
        <v>1797</v>
      </c>
      <c r="D732" s="65">
        <v>1.7141203703703704E-2</v>
      </c>
      <c r="E732" t="s">
        <v>5883</v>
      </c>
      <c r="F732" s="69" t="s">
        <v>171</v>
      </c>
      <c r="I732" s="2"/>
      <c r="K732" s="82">
        <v>0.64419999999999999</v>
      </c>
    </row>
    <row r="733" spans="1:11" x14ac:dyDescent="0.2">
      <c r="A733" s="33">
        <v>42588</v>
      </c>
      <c r="B733" s="5" t="s">
        <v>1796</v>
      </c>
      <c r="C733" s="32" t="s">
        <v>1797</v>
      </c>
      <c r="D733" s="543">
        <v>1.9537037037037037E-2</v>
      </c>
      <c r="E733" s="5" t="s">
        <v>5883</v>
      </c>
      <c r="F733" s="108" t="s">
        <v>2779</v>
      </c>
      <c r="G733" s="5"/>
      <c r="H733" s="5"/>
      <c r="I733" s="2"/>
      <c r="J733" s="5"/>
      <c r="K733" s="85">
        <v>0.55620000000000003</v>
      </c>
    </row>
    <row r="734" spans="1:11" x14ac:dyDescent="0.2">
      <c r="A734" s="33">
        <v>42581</v>
      </c>
      <c r="B734" s="5" t="s">
        <v>1796</v>
      </c>
      <c r="C734" s="32" t="s">
        <v>1797</v>
      </c>
      <c r="D734" s="65">
        <v>1.8483796296296297E-2</v>
      </c>
      <c r="E734" t="s">
        <v>5885</v>
      </c>
      <c r="F734" s="69" t="s">
        <v>4067</v>
      </c>
      <c r="I734" s="2"/>
      <c r="K734" s="82">
        <v>0.59740000000000004</v>
      </c>
    </row>
    <row r="735" spans="1:11" x14ac:dyDescent="0.2">
      <c r="A735" s="33">
        <v>42546</v>
      </c>
      <c r="B735" s="5" t="s">
        <v>1796</v>
      </c>
      <c r="C735" s="32" t="s">
        <v>1797</v>
      </c>
      <c r="D735" s="65">
        <v>1.861111111111111E-2</v>
      </c>
      <c r="E735" t="s">
        <v>5883</v>
      </c>
      <c r="F735" s="69" t="s">
        <v>4594</v>
      </c>
      <c r="I735" s="2"/>
      <c r="K735" s="82">
        <v>0.59330000000000005</v>
      </c>
    </row>
    <row r="736" spans="1:11" x14ac:dyDescent="0.2">
      <c r="A736" s="33">
        <v>42539</v>
      </c>
      <c r="B736" s="5" t="s">
        <v>1796</v>
      </c>
      <c r="C736" s="32" t="s">
        <v>1797</v>
      </c>
      <c r="D736" s="65">
        <v>1.6446759259259262E-2</v>
      </c>
      <c r="E736" t="s">
        <v>1401</v>
      </c>
      <c r="F736" s="69" t="s">
        <v>4762</v>
      </c>
      <c r="I736" s="2"/>
      <c r="K736" s="82">
        <v>0.6714</v>
      </c>
    </row>
    <row r="737" spans="1:11" x14ac:dyDescent="0.2">
      <c r="A737" s="33">
        <v>42525</v>
      </c>
      <c r="B737" s="5" t="s">
        <v>1796</v>
      </c>
      <c r="C737" s="32" t="s">
        <v>1797</v>
      </c>
      <c r="D737" s="543">
        <v>2.0636574074074075E-2</v>
      </c>
      <c r="E737" s="5" t="s">
        <v>5633</v>
      </c>
      <c r="F737" s="108" t="s">
        <v>5218</v>
      </c>
      <c r="G737" s="5"/>
      <c r="H737" s="5"/>
      <c r="I737" s="2"/>
      <c r="J737" s="5"/>
      <c r="K737" s="85">
        <v>0.53510000000000002</v>
      </c>
    </row>
    <row r="738" spans="1:11" x14ac:dyDescent="0.2">
      <c r="A738" s="33">
        <v>42497</v>
      </c>
      <c r="B738" s="5" t="s">
        <v>1796</v>
      </c>
      <c r="C738" s="32" t="s">
        <v>1797</v>
      </c>
      <c r="D738" s="543">
        <v>1.9953703703703706E-2</v>
      </c>
      <c r="E738" s="5" t="s">
        <v>5883</v>
      </c>
      <c r="F738" s="108" t="s">
        <v>1607</v>
      </c>
      <c r="G738" s="5"/>
      <c r="H738" s="5"/>
      <c r="I738" s="5"/>
      <c r="J738" s="5"/>
      <c r="K738" s="85">
        <v>0.5534</v>
      </c>
    </row>
    <row r="739" spans="1:11" x14ac:dyDescent="0.2">
      <c r="A739" s="33">
        <v>42490</v>
      </c>
      <c r="B739" s="5" t="s">
        <v>1796</v>
      </c>
      <c r="C739" s="32" t="s">
        <v>1797</v>
      </c>
      <c r="D739" s="543" t="s">
        <v>787</v>
      </c>
      <c r="E739" s="5" t="s">
        <v>5883</v>
      </c>
      <c r="F739" s="108" t="s">
        <v>4000</v>
      </c>
      <c r="G739" s="5"/>
      <c r="H739" s="5"/>
      <c r="I739" s="5"/>
      <c r="J739" s="5"/>
      <c r="K739" s="85"/>
    </row>
    <row r="740" spans="1:11" x14ac:dyDescent="0.2">
      <c r="A740" s="33">
        <v>42469</v>
      </c>
      <c r="B740" s="5" t="s">
        <v>1796</v>
      </c>
      <c r="C740" s="32" t="s">
        <v>1797</v>
      </c>
      <c r="D740" s="65">
        <v>1.744212962962963E-2</v>
      </c>
      <c r="E740" t="s">
        <v>5883</v>
      </c>
      <c r="F740" s="69" t="s">
        <v>2553</v>
      </c>
      <c r="I740" s="2"/>
      <c r="K740" s="82">
        <v>0.63300000000000001</v>
      </c>
    </row>
    <row r="741" spans="1:11" x14ac:dyDescent="0.2">
      <c r="A741" s="33">
        <v>42455</v>
      </c>
      <c r="B741" s="5" t="s">
        <v>1796</v>
      </c>
      <c r="C741" s="32" t="s">
        <v>1797</v>
      </c>
      <c r="D741" s="65">
        <v>2.525462962962963E-2</v>
      </c>
      <c r="E741" t="s">
        <v>768</v>
      </c>
      <c r="F741" s="69" t="s">
        <v>277</v>
      </c>
      <c r="I741" s="2"/>
      <c r="K741" s="82">
        <v>0.43719999999999998</v>
      </c>
    </row>
    <row r="742" spans="1:11" x14ac:dyDescent="0.2">
      <c r="A742" s="33">
        <v>42448</v>
      </c>
      <c r="B742" s="5" t="s">
        <v>1796</v>
      </c>
      <c r="C742" s="32" t="s">
        <v>1797</v>
      </c>
      <c r="D742" s="65">
        <v>2.0578703703703703E-2</v>
      </c>
      <c r="E742" t="s">
        <v>5883</v>
      </c>
      <c r="F742" s="69" t="s">
        <v>4232</v>
      </c>
      <c r="I742" s="2"/>
      <c r="K742" s="82">
        <v>0.53659999999999997</v>
      </c>
    </row>
    <row r="743" spans="1:11" x14ac:dyDescent="0.2">
      <c r="A743" s="33">
        <v>42441</v>
      </c>
      <c r="B743" s="5" t="s">
        <v>1796</v>
      </c>
      <c r="C743" s="32" t="s">
        <v>1797</v>
      </c>
      <c r="D743" s="65">
        <v>2.3182870370370371E-2</v>
      </c>
      <c r="E743" t="s">
        <v>5883</v>
      </c>
      <c r="F743" s="69" t="s">
        <v>4447</v>
      </c>
      <c r="I743" s="2"/>
      <c r="K743" s="82">
        <v>0.4763</v>
      </c>
    </row>
    <row r="744" spans="1:11" x14ac:dyDescent="0.2">
      <c r="A744" s="33">
        <v>42420</v>
      </c>
      <c r="B744" s="5" t="s">
        <v>1796</v>
      </c>
      <c r="C744" s="32" t="s">
        <v>1797</v>
      </c>
      <c r="D744" s="65">
        <v>1.9791666666666666E-2</v>
      </c>
      <c r="E744" t="s">
        <v>5883</v>
      </c>
      <c r="F744" s="69" t="s">
        <v>698</v>
      </c>
      <c r="H744" t="s">
        <v>700</v>
      </c>
      <c r="I744" s="2"/>
      <c r="K744" s="82">
        <v>0.55789999999999995</v>
      </c>
    </row>
    <row r="745" spans="1:11" x14ac:dyDescent="0.2">
      <c r="A745" s="33">
        <v>42406</v>
      </c>
      <c r="B745" s="5" t="s">
        <v>1796</v>
      </c>
      <c r="C745" s="32" t="s">
        <v>1797</v>
      </c>
      <c r="D745" s="65">
        <v>1.9328703703703702E-2</v>
      </c>
      <c r="E745" t="s">
        <v>5883</v>
      </c>
      <c r="F745" s="69"/>
      <c r="I745" s="2"/>
      <c r="K745" s="82">
        <v>0.57130000000000003</v>
      </c>
    </row>
    <row r="746" spans="1:11" x14ac:dyDescent="0.2">
      <c r="A746" s="33">
        <v>42392</v>
      </c>
      <c r="B746" s="5" t="s">
        <v>1796</v>
      </c>
      <c r="C746" s="32" t="s">
        <v>1797</v>
      </c>
      <c r="D746" s="65">
        <v>2.1805555555555554E-2</v>
      </c>
      <c r="E746" t="s">
        <v>5883</v>
      </c>
      <c r="F746" s="69" t="s">
        <v>3350</v>
      </c>
      <c r="I746" s="2"/>
      <c r="K746" s="82">
        <v>0.50209999999999999</v>
      </c>
    </row>
    <row r="747" spans="1:11" x14ac:dyDescent="0.2">
      <c r="A747" s="33">
        <v>42370</v>
      </c>
      <c r="B747" s="5" t="s">
        <v>1796</v>
      </c>
      <c r="C747" s="32" t="s">
        <v>1797</v>
      </c>
      <c r="D747" s="65">
        <v>2.0312500000000001E-2</v>
      </c>
      <c r="E747" s="5" t="s">
        <v>2593</v>
      </c>
      <c r="F747" s="69" t="s">
        <v>960</v>
      </c>
      <c r="I747" s="2"/>
      <c r="K747" s="82">
        <v>0.53900000000000003</v>
      </c>
    </row>
    <row r="748" spans="1:11" x14ac:dyDescent="0.2">
      <c r="A748" s="33">
        <v>42370</v>
      </c>
      <c r="B748" s="5" t="s">
        <v>1796</v>
      </c>
      <c r="C748" s="32" t="s">
        <v>1797</v>
      </c>
      <c r="D748" s="65" t="s">
        <v>1274</v>
      </c>
      <c r="E748" t="s">
        <v>129</v>
      </c>
      <c r="F748" s="69" t="s">
        <v>959</v>
      </c>
      <c r="I748" s="2"/>
      <c r="K748" s="82"/>
    </row>
    <row r="749" spans="1:11" x14ac:dyDescent="0.2">
      <c r="A749" s="523">
        <v>42728</v>
      </c>
      <c r="B749" s="80" t="s">
        <v>2845</v>
      </c>
      <c r="C749" s="334" t="s">
        <v>1797</v>
      </c>
      <c r="D749" s="65">
        <v>1.6168981481481482E-2</v>
      </c>
      <c r="E749" s="80" t="s">
        <v>5883</v>
      </c>
      <c r="F749" s="69" t="s">
        <v>2629</v>
      </c>
      <c r="I749" s="2"/>
      <c r="K749" s="82">
        <v>0.68289999999999995</v>
      </c>
    </row>
    <row r="750" spans="1:11" x14ac:dyDescent="0.2">
      <c r="A750" s="33">
        <v>42735</v>
      </c>
      <c r="B750" s="80" t="s">
        <v>868</v>
      </c>
      <c r="C750" s="334" t="s">
        <v>2480</v>
      </c>
      <c r="D750" s="65">
        <v>1.996527777777778E-2</v>
      </c>
      <c r="E750" s="80" t="s">
        <v>3167</v>
      </c>
      <c r="F750" s="69" t="s">
        <v>1601</v>
      </c>
      <c r="I750" s="2"/>
      <c r="K750" s="82">
        <v>0.629</v>
      </c>
    </row>
    <row r="751" spans="1:11" x14ac:dyDescent="0.2">
      <c r="A751" s="523">
        <v>42728</v>
      </c>
      <c r="B751" s="80" t="s">
        <v>868</v>
      </c>
      <c r="C751" s="334" t="s">
        <v>2480</v>
      </c>
      <c r="D751" s="65">
        <v>1.9467592592592595E-2</v>
      </c>
      <c r="E751" s="80" t="s">
        <v>3167</v>
      </c>
      <c r="F751" s="69" t="s">
        <v>5169</v>
      </c>
      <c r="I751" s="2"/>
      <c r="K751" s="82">
        <v>0.64510000000000001</v>
      </c>
    </row>
    <row r="752" spans="1:11" x14ac:dyDescent="0.2">
      <c r="A752" s="33">
        <v>42721</v>
      </c>
      <c r="B752" s="80" t="s">
        <v>868</v>
      </c>
      <c r="C752" s="334" t="s">
        <v>2480</v>
      </c>
      <c r="D752" s="65">
        <v>1.9490740740740743E-2</v>
      </c>
      <c r="E752" s="5" t="s">
        <v>3167</v>
      </c>
      <c r="F752" s="108" t="s">
        <v>6112</v>
      </c>
      <c r="I752" s="2"/>
      <c r="K752" s="82">
        <v>0.64429999999999998</v>
      </c>
    </row>
    <row r="753" spans="1:11" x14ac:dyDescent="0.2">
      <c r="A753" s="33">
        <v>42714</v>
      </c>
      <c r="B753" s="80" t="s">
        <v>868</v>
      </c>
      <c r="C753" s="334" t="s">
        <v>2480</v>
      </c>
      <c r="D753" s="65">
        <v>1.9537037037037037E-2</v>
      </c>
      <c r="E753" s="5" t="s">
        <v>3167</v>
      </c>
      <c r="F753" s="69" t="s">
        <v>6099</v>
      </c>
      <c r="I753" s="2"/>
      <c r="K753" s="82">
        <v>0.64280000000000004</v>
      </c>
    </row>
    <row r="754" spans="1:11" x14ac:dyDescent="0.2">
      <c r="A754" s="33">
        <v>42707</v>
      </c>
      <c r="B754" s="80" t="s">
        <v>868</v>
      </c>
      <c r="C754" s="334" t="s">
        <v>2480</v>
      </c>
      <c r="D754" s="65">
        <v>1.9201388888888889E-2</v>
      </c>
      <c r="E754" t="s">
        <v>3167</v>
      </c>
      <c r="F754" s="69" t="s">
        <v>6046</v>
      </c>
      <c r="I754" s="2"/>
      <c r="K754" s="82">
        <v>0.65400000000000003</v>
      </c>
    </row>
    <row r="755" spans="1:11" x14ac:dyDescent="0.2">
      <c r="A755" s="33">
        <v>42700</v>
      </c>
      <c r="B755" s="80" t="s">
        <v>868</v>
      </c>
      <c r="C755" s="334" t="s">
        <v>2480</v>
      </c>
      <c r="D755" s="543">
        <v>1.9143518518518518E-2</v>
      </c>
      <c r="E755" s="5" t="s">
        <v>3167</v>
      </c>
      <c r="F755" s="69"/>
      <c r="I755" s="2"/>
      <c r="K755" s="82">
        <v>0.65600000000000003</v>
      </c>
    </row>
    <row r="756" spans="1:11" x14ac:dyDescent="0.2">
      <c r="A756" s="33">
        <v>42693</v>
      </c>
      <c r="B756" s="80" t="s">
        <v>868</v>
      </c>
      <c r="C756" s="334" t="s">
        <v>2480</v>
      </c>
      <c r="D756" s="65">
        <v>1.9085648148148147E-2</v>
      </c>
      <c r="E756" s="5" t="s">
        <v>3167</v>
      </c>
      <c r="F756" s="69"/>
      <c r="I756" s="2"/>
      <c r="K756" s="82">
        <v>0.65800000000000003</v>
      </c>
    </row>
    <row r="757" spans="1:11" x14ac:dyDescent="0.2">
      <c r="A757" s="33">
        <v>42679</v>
      </c>
      <c r="B757" s="80" t="s">
        <v>868</v>
      </c>
      <c r="C757" s="334" t="s">
        <v>2480</v>
      </c>
      <c r="D757" s="65">
        <v>1.9016203703703705E-2</v>
      </c>
      <c r="E757" t="s">
        <v>3167</v>
      </c>
      <c r="F757" s="69" t="s">
        <v>610</v>
      </c>
      <c r="I757" s="2"/>
      <c r="K757" s="82">
        <v>0.66039999999999999</v>
      </c>
    </row>
    <row r="758" spans="1:11" x14ac:dyDescent="0.2">
      <c r="A758" s="33">
        <v>42672</v>
      </c>
      <c r="B758" s="80" t="s">
        <v>868</v>
      </c>
      <c r="C758" s="334" t="s">
        <v>2480</v>
      </c>
      <c r="D758" s="65">
        <v>1.90625E-2</v>
      </c>
      <c r="E758" t="s">
        <v>3167</v>
      </c>
      <c r="F758" s="69" t="s">
        <v>4157</v>
      </c>
      <c r="I758" s="2"/>
      <c r="K758" s="82">
        <v>0.65880000000000005</v>
      </c>
    </row>
    <row r="759" spans="1:11" x14ac:dyDescent="0.2">
      <c r="A759" s="33">
        <v>42665</v>
      </c>
      <c r="B759" s="80" t="s">
        <v>868</v>
      </c>
      <c r="C759" s="334" t="s">
        <v>2480</v>
      </c>
      <c r="D759" s="65">
        <v>1.4733796296296295E-2</v>
      </c>
      <c r="E759" s="1" t="s">
        <v>3167</v>
      </c>
      <c r="F759" s="69" t="s">
        <v>1260</v>
      </c>
      <c r="I759" s="2"/>
      <c r="K759" s="82">
        <v>0.66439999999999999</v>
      </c>
    </row>
    <row r="760" spans="1:11" x14ac:dyDescent="0.2">
      <c r="A760" s="33">
        <v>42658</v>
      </c>
      <c r="B760" s="80" t="s">
        <v>868</v>
      </c>
      <c r="C760" s="334" t="s">
        <v>2480</v>
      </c>
      <c r="D760" s="65">
        <v>1.9050925925925926E-2</v>
      </c>
      <c r="E760" t="s">
        <v>3167</v>
      </c>
      <c r="F760" s="69" t="s">
        <v>5422</v>
      </c>
      <c r="I760" s="2"/>
      <c r="K760" s="82">
        <v>0.65920000000000001</v>
      </c>
    </row>
    <row r="761" spans="1:11" x14ac:dyDescent="0.2">
      <c r="A761" s="33">
        <v>42651</v>
      </c>
      <c r="B761" s="80" t="s">
        <v>868</v>
      </c>
      <c r="C761" s="334" t="s">
        <v>2480</v>
      </c>
      <c r="D761" s="65">
        <v>1.9166666666666669E-2</v>
      </c>
      <c r="E761" t="s">
        <v>3167</v>
      </c>
      <c r="F761" s="69" t="s">
        <v>1084</v>
      </c>
      <c r="I761" s="2"/>
      <c r="K761" s="82">
        <v>0.6552</v>
      </c>
    </row>
    <row r="762" spans="1:11" x14ac:dyDescent="0.2">
      <c r="A762" s="33">
        <v>42630</v>
      </c>
      <c r="B762" s="80" t="s">
        <v>868</v>
      </c>
      <c r="C762" s="334" t="s">
        <v>2480</v>
      </c>
      <c r="D762" s="65">
        <v>1.8055555555555557E-2</v>
      </c>
      <c r="E762" t="s">
        <v>1214</v>
      </c>
      <c r="F762" s="69" t="s">
        <v>2461</v>
      </c>
      <c r="I762" s="2"/>
      <c r="K762" s="82">
        <v>0.69550000000000001</v>
      </c>
    </row>
    <row r="763" spans="1:11" x14ac:dyDescent="0.2">
      <c r="A763" s="33">
        <v>42623</v>
      </c>
      <c r="B763" s="80" t="s">
        <v>868</v>
      </c>
      <c r="C763" s="334" t="s">
        <v>2480</v>
      </c>
      <c r="D763" s="65">
        <v>1.8402777777777778E-2</v>
      </c>
      <c r="E763" t="s">
        <v>1214</v>
      </c>
      <c r="F763" s="69" t="s">
        <v>886</v>
      </c>
      <c r="I763" s="2"/>
      <c r="K763" s="82">
        <v>0.67359999999999998</v>
      </c>
    </row>
    <row r="764" spans="1:11" x14ac:dyDescent="0.2">
      <c r="A764" s="33">
        <v>42616</v>
      </c>
      <c r="B764" s="80" t="s">
        <v>868</v>
      </c>
      <c r="C764" s="334" t="s">
        <v>2480</v>
      </c>
      <c r="D764" s="65">
        <v>1.8680555555555554E-2</v>
      </c>
      <c r="E764" t="s">
        <v>3167</v>
      </c>
      <c r="F764" s="69" t="s">
        <v>4</v>
      </c>
      <c r="I764" s="2"/>
      <c r="K764" s="82">
        <v>0.66359999999999997</v>
      </c>
    </row>
    <row r="765" spans="1:11" x14ac:dyDescent="0.2">
      <c r="A765" s="33">
        <v>42609</v>
      </c>
      <c r="B765" s="80" t="s">
        <v>868</v>
      </c>
      <c r="C765" s="334" t="s">
        <v>2480</v>
      </c>
      <c r="D765" s="65">
        <v>1.8958333333333334E-2</v>
      </c>
      <c r="E765" t="s">
        <v>3167</v>
      </c>
      <c r="F765" s="69" t="s">
        <v>322</v>
      </c>
      <c r="I765" s="2"/>
      <c r="K765" s="82">
        <v>0.65380000000000005</v>
      </c>
    </row>
    <row r="766" spans="1:11" x14ac:dyDescent="0.2">
      <c r="A766" s="33">
        <v>42581</v>
      </c>
      <c r="B766" s="80" t="s">
        <v>868</v>
      </c>
      <c r="C766" s="334" t="s">
        <v>2480</v>
      </c>
      <c r="D766" s="65">
        <v>1.9525462962962963E-2</v>
      </c>
      <c r="E766" t="s">
        <v>3167</v>
      </c>
      <c r="F766" s="69" t="s">
        <v>4085</v>
      </c>
      <c r="I766" s="2"/>
      <c r="K766" s="82">
        <v>0.63490000000000002</v>
      </c>
    </row>
    <row r="767" spans="1:11" x14ac:dyDescent="0.2">
      <c r="A767" s="33">
        <v>42574</v>
      </c>
      <c r="B767" s="80" t="s">
        <v>868</v>
      </c>
      <c r="C767" s="334" t="s">
        <v>2480</v>
      </c>
      <c r="D767" s="65">
        <v>1.9120370370370371E-2</v>
      </c>
      <c r="E767" t="s">
        <v>3167</v>
      </c>
      <c r="F767" s="69"/>
      <c r="I767" s="2"/>
      <c r="K767" s="82">
        <v>0.64829999999999999</v>
      </c>
    </row>
    <row r="768" spans="1:11" x14ac:dyDescent="0.2">
      <c r="A768" s="33">
        <v>42567</v>
      </c>
      <c r="B768" s="80" t="s">
        <v>868</v>
      </c>
      <c r="C768" s="334" t="s">
        <v>2480</v>
      </c>
      <c r="D768" s="65">
        <v>1.9490740740740743E-2</v>
      </c>
      <c r="E768" t="s">
        <v>3167</v>
      </c>
      <c r="F768" s="69" t="s">
        <v>4330</v>
      </c>
      <c r="I768" s="2"/>
      <c r="K768" s="82">
        <v>0.63600000000000001</v>
      </c>
    </row>
    <row r="769" spans="1:19" x14ac:dyDescent="0.2">
      <c r="A769" s="33">
        <v>42560</v>
      </c>
      <c r="B769" s="80" t="s">
        <v>868</v>
      </c>
      <c r="C769" s="334" t="s">
        <v>2480</v>
      </c>
      <c r="D769" s="65">
        <v>1.8634259259259257E-2</v>
      </c>
      <c r="E769" t="s">
        <v>3167</v>
      </c>
      <c r="F769" s="69"/>
      <c r="I769" s="2"/>
      <c r="K769" s="82">
        <v>0.66520000000000001</v>
      </c>
    </row>
    <row r="770" spans="1:19" x14ac:dyDescent="0.2">
      <c r="A770" s="33">
        <v>42553</v>
      </c>
      <c r="B770" s="80" t="s">
        <v>868</v>
      </c>
      <c r="C770" s="334" t="s">
        <v>2480</v>
      </c>
      <c r="D770" s="65">
        <v>1.8564814814814815E-2</v>
      </c>
      <c r="E770" t="s">
        <v>3167</v>
      </c>
      <c r="F770" s="69" t="s">
        <v>1630</v>
      </c>
      <c r="I770" s="2"/>
      <c r="K770" s="82">
        <v>0.66769999999999996</v>
      </c>
    </row>
    <row r="771" spans="1:19" x14ac:dyDescent="0.2">
      <c r="A771" s="33">
        <v>42539</v>
      </c>
      <c r="B771" s="80" t="s">
        <v>868</v>
      </c>
      <c r="C771" s="334" t="s">
        <v>2480</v>
      </c>
      <c r="D771" s="65">
        <v>1.8229166666666668E-2</v>
      </c>
      <c r="E771" t="s">
        <v>1214</v>
      </c>
      <c r="F771" s="69" t="s">
        <v>4761</v>
      </c>
      <c r="I771" s="2"/>
      <c r="K771" s="82">
        <v>0.68</v>
      </c>
    </row>
    <row r="772" spans="1:19" x14ac:dyDescent="0.2">
      <c r="A772" s="33">
        <v>42532</v>
      </c>
      <c r="B772" s="80" t="s">
        <v>868</v>
      </c>
      <c r="C772" s="334" t="s">
        <v>2480</v>
      </c>
      <c r="D772" s="65">
        <v>1.8726851851851852E-2</v>
      </c>
      <c r="E772" t="s">
        <v>3167</v>
      </c>
      <c r="F772" s="69" t="s">
        <v>2547</v>
      </c>
      <c r="I772" s="2"/>
      <c r="K772" s="82">
        <v>0.66190000000000004</v>
      </c>
    </row>
    <row r="773" spans="1:19" x14ac:dyDescent="0.2">
      <c r="A773" s="33">
        <v>42525</v>
      </c>
      <c r="B773" s="80" t="s">
        <v>868</v>
      </c>
      <c r="C773" s="334" t="s">
        <v>2480</v>
      </c>
      <c r="D773" s="543">
        <v>1.9664351851851853E-2</v>
      </c>
      <c r="E773" s="5" t="s">
        <v>3167</v>
      </c>
      <c r="F773" s="97" t="s">
        <v>2852</v>
      </c>
      <c r="G773" s="5"/>
      <c r="H773" s="5"/>
      <c r="I773" s="2"/>
      <c r="J773" s="5"/>
      <c r="K773" s="85">
        <v>0.63039999999999996</v>
      </c>
    </row>
    <row r="774" spans="1:19" x14ac:dyDescent="0.2">
      <c r="A774" s="33">
        <v>42518</v>
      </c>
      <c r="B774" s="80" t="s">
        <v>868</v>
      </c>
      <c r="C774" s="334" t="s">
        <v>2480</v>
      </c>
      <c r="D774" s="543">
        <v>1.8333333333333333E-2</v>
      </c>
      <c r="E774" s="5" t="s">
        <v>1214</v>
      </c>
      <c r="F774" s="108" t="s">
        <v>3794</v>
      </c>
      <c r="G774" s="5"/>
      <c r="H774" s="5"/>
      <c r="I774" s="2"/>
      <c r="J774" s="5"/>
      <c r="K774" s="85">
        <v>0.67610000000000003</v>
      </c>
    </row>
    <row r="775" spans="1:19" x14ac:dyDescent="0.2">
      <c r="A775" s="33">
        <v>42504</v>
      </c>
      <c r="B775" s="80" t="s">
        <v>868</v>
      </c>
      <c r="C775" s="334" t="s">
        <v>2480</v>
      </c>
      <c r="D775" s="543">
        <v>1.8668981481481481E-2</v>
      </c>
      <c r="E775" s="5" t="s">
        <v>1214</v>
      </c>
      <c r="F775" s="108" t="s">
        <v>2359</v>
      </c>
      <c r="G775" s="5"/>
      <c r="H775" s="5"/>
      <c r="I775" s="5"/>
      <c r="J775" s="5"/>
      <c r="K775" s="85">
        <v>0.66400000000000003</v>
      </c>
    </row>
    <row r="776" spans="1:19" x14ac:dyDescent="0.2">
      <c r="A776" s="33">
        <v>42497</v>
      </c>
      <c r="B776" s="80" t="s">
        <v>868</v>
      </c>
      <c r="C776" s="334" t="s">
        <v>2480</v>
      </c>
      <c r="D776" s="543">
        <v>1.8703703703703705E-2</v>
      </c>
      <c r="E776" s="5" t="s">
        <v>1214</v>
      </c>
      <c r="F776" s="108" t="s">
        <v>98</v>
      </c>
      <c r="G776" s="5"/>
      <c r="H776" s="5"/>
      <c r="I776" s="5"/>
      <c r="J776" s="5"/>
      <c r="K776" s="85">
        <v>0.66269999999999996</v>
      </c>
    </row>
    <row r="777" spans="1:19" x14ac:dyDescent="0.2">
      <c r="A777" s="33">
        <v>42490</v>
      </c>
      <c r="B777" s="80" t="s">
        <v>868</v>
      </c>
      <c r="C777" s="334" t="s">
        <v>2480</v>
      </c>
      <c r="D777" s="543">
        <v>1.8692129629629631E-2</v>
      </c>
      <c r="E777" s="5" t="s">
        <v>1214</v>
      </c>
      <c r="F777" s="108" t="s">
        <v>4380</v>
      </c>
      <c r="G777" s="5"/>
      <c r="H777" s="5"/>
      <c r="I777" s="5"/>
      <c r="J777" s="5"/>
      <c r="K777" s="85">
        <v>0.59260000000000002</v>
      </c>
    </row>
    <row r="778" spans="1:19" x14ac:dyDescent="0.2">
      <c r="A778" s="33">
        <v>42483</v>
      </c>
      <c r="B778" s="80" t="s">
        <v>868</v>
      </c>
      <c r="C778" s="334" t="s">
        <v>2480</v>
      </c>
      <c r="D778" s="543">
        <v>1.9282407407407408E-2</v>
      </c>
      <c r="E778" s="5" t="s">
        <v>1214</v>
      </c>
      <c r="F778" s="108" t="s">
        <v>6006</v>
      </c>
      <c r="G778" s="5"/>
      <c r="H778" s="5"/>
      <c r="I778" s="2"/>
      <c r="J778" s="5"/>
      <c r="K778" s="85">
        <v>0.64290000000000003</v>
      </c>
    </row>
    <row r="779" spans="1:19" x14ac:dyDescent="0.2">
      <c r="A779" s="33">
        <v>42476</v>
      </c>
      <c r="B779" s="80" t="s">
        <v>868</v>
      </c>
      <c r="C779" s="334" t="s">
        <v>2480</v>
      </c>
      <c r="D779" s="65">
        <v>2.0011574074074074E-2</v>
      </c>
      <c r="E779" s="5" t="s">
        <v>1214</v>
      </c>
      <c r="F779" s="69" t="s">
        <v>1761</v>
      </c>
      <c r="I779" s="2"/>
      <c r="K779" s="82">
        <v>0.61939999999999995</v>
      </c>
    </row>
    <row r="780" spans="1:19" x14ac:dyDescent="0.2">
      <c r="A780" s="33">
        <v>42462</v>
      </c>
      <c r="B780" s="80" t="s">
        <v>868</v>
      </c>
      <c r="C780" s="334" t="s">
        <v>2480</v>
      </c>
      <c r="D780" s="65">
        <v>1.9444444444444445E-2</v>
      </c>
      <c r="E780" t="s">
        <v>1214</v>
      </c>
      <c r="F780" s="69" t="s">
        <v>5583</v>
      </c>
      <c r="I780" s="2"/>
      <c r="K780" s="82">
        <v>0.63749999999999996</v>
      </c>
      <c r="S780" s="80"/>
    </row>
    <row r="781" spans="1:19" x14ac:dyDescent="0.2">
      <c r="A781" s="33">
        <v>42441</v>
      </c>
      <c r="B781" s="80" t="s">
        <v>868</v>
      </c>
      <c r="C781" s="334" t="s">
        <v>2480</v>
      </c>
      <c r="D781" s="65">
        <v>1.892361111111111E-2</v>
      </c>
      <c r="E781" t="s">
        <v>1214</v>
      </c>
      <c r="F781" s="69" t="s">
        <v>2980</v>
      </c>
      <c r="I781" s="2"/>
      <c r="K781" s="82">
        <v>0.65500000000000003</v>
      </c>
    </row>
    <row r="782" spans="1:19" x14ac:dyDescent="0.2">
      <c r="A782" s="33">
        <v>42434</v>
      </c>
      <c r="B782" s="80" t="s">
        <v>868</v>
      </c>
      <c r="C782" s="334" t="s">
        <v>2480</v>
      </c>
      <c r="D782" s="65">
        <v>1.9259259259259261E-2</v>
      </c>
      <c r="E782" t="s">
        <v>1214</v>
      </c>
      <c r="F782" s="69" t="s">
        <v>2076</v>
      </c>
      <c r="I782" s="2"/>
      <c r="K782" s="82">
        <v>0.64359999999999995</v>
      </c>
    </row>
    <row r="783" spans="1:19" x14ac:dyDescent="0.2">
      <c r="A783" s="33">
        <v>42427</v>
      </c>
      <c r="B783" s="80" t="s">
        <v>868</v>
      </c>
      <c r="C783" s="334" t="s">
        <v>2480</v>
      </c>
      <c r="D783" s="65">
        <v>1.9259259259259261E-2</v>
      </c>
      <c r="E783" s="5" t="s">
        <v>1214</v>
      </c>
      <c r="F783" s="69" t="s">
        <v>5490</v>
      </c>
      <c r="I783" s="2"/>
      <c r="K783" s="82">
        <v>0.64359999999999995</v>
      </c>
    </row>
    <row r="784" spans="1:19" x14ac:dyDescent="0.2">
      <c r="A784" s="33">
        <v>42413</v>
      </c>
      <c r="B784" s="80" t="s">
        <v>868</v>
      </c>
      <c r="C784" s="334" t="s">
        <v>2480</v>
      </c>
      <c r="D784" s="65">
        <v>1.9363425925925926E-2</v>
      </c>
      <c r="E784" t="s">
        <v>1214</v>
      </c>
      <c r="F784" s="69" t="s">
        <v>2155</v>
      </c>
      <c r="I784" s="2"/>
      <c r="K784" s="82">
        <v>0.64019999999999999</v>
      </c>
    </row>
    <row r="785" spans="1:11" x14ac:dyDescent="0.2">
      <c r="A785" s="33">
        <v>42406</v>
      </c>
      <c r="B785" s="80" t="s">
        <v>868</v>
      </c>
      <c r="C785" s="334" t="s">
        <v>2480</v>
      </c>
      <c r="D785" s="65">
        <v>2.0127314814814817E-2</v>
      </c>
      <c r="E785" t="s">
        <v>1214</v>
      </c>
      <c r="F785" s="69" t="s">
        <v>1271</v>
      </c>
      <c r="I785" s="2"/>
      <c r="K785" s="82">
        <v>0.6159</v>
      </c>
    </row>
    <row r="786" spans="1:11" x14ac:dyDescent="0.2">
      <c r="A786" s="33">
        <v>42399</v>
      </c>
      <c r="B786" s="80" t="s">
        <v>868</v>
      </c>
      <c r="C786" s="334" t="s">
        <v>2480</v>
      </c>
      <c r="D786" s="65">
        <v>1.9641203703703706E-2</v>
      </c>
      <c r="E786" t="s">
        <v>1214</v>
      </c>
      <c r="F786" s="69"/>
      <c r="I786" s="2"/>
      <c r="K786" s="82">
        <v>0.63109999999999999</v>
      </c>
    </row>
    <row r="787" spans="1:11" x14ac:dyDescent="0.2">
      <c r="A787" s="33">
        <v>42392</v>
      </c>
      <c r="B787" s="80" t="s">
        <v>868</v>
      </c>
      <c r="C787" s="334" t="s">
        <v>2480</v>
      </c>
      <c r="D787" s="65">
        <v>1.8969907407407408E-2</v>
      </c>
      <c r="E787" t="s">
        <v>1214</v>
      </c>
      <c r="F787" s="69" t="s">
        <v>310</v>
      </c>
      <c r="I787" s="2"/>
      <c r="K787" s="82">
        <v>0.65339999999999998</v>
      </c>
    </row>
    <row r="788" spans="1:11" x14ac:dyDescent="0.2">
      <c r="A788" s="33">
        <v>42679</v>
      </c>
      <c r="B788" s="5" t="s">
        <v>5540</v>
      </c>
      <c r="C788" s="32" t="s">
        <v>5541</v>
      </c>
      <c r="D788" s="65">
        <v>1.8414351851851852E-2</v>
      </c>
      <c r="E788" t="s">
        <v>2596</v>
      </c>
      <c r="F788" s="69" t="s">
        <v>621</v>
      </c>
      <c r="I788" s="2"/>
      <c r="K788" s="82">
        <v>0.64419999999999999</v>
      </c>
    </row>
    <row r="789" spans="1:11" x14ac:dyDescent="0.2">
      <c r="A789" s="33">
        <v>42665</v>
      </c>
      <c r="B789" s="5" t="s">
        <v>5540</v>
      </c>
      <c r="C789" s="32" t="s">
        <v>5541</v>
      </c>
      <c r="D789" s="65">
        <v>1.9189814814814816E-2</v>
      </c>
      <c r="E789" s="1" t="s">
        <v>5095</v>
      </c>
      <c r="F789" s="69" t="s">
        <v>5920</v>
      </c>
      <c r="I789" s="2"/>
      <c r="K789" s="82">
        <v>0.61819999999999997</v>
      </c>
    </row>
    <row r="790" spans="1:11" x14ac:dyDescent="0.2">
      <c r="A790" s="33">
        <v>42609</v>
      </c>
      <c r="B790" s="5" t="s">
        <v>5540</v>
      </c>
      <c r="C790" s="32" t="s">
        <v>5541</v>
      </c>
      <c r="D790" s="65">
        <v>1.7488425925925925E-2</v>
      </c>
      <c r="E790" t="s">
        <v>1401</v>
      </c>
      <c r="F790" s="69" t="s">
        <v>2629</v>
      </c>
      <c r="I790" s="2"/>
      <c r="K790" s="82">
        <v>0.6784</v>
      </c>
    </row>
    <row r="791" spans="1:11" x14ac:dyDescent="0.2">
      <c r="A791" s="33">
        <v>42602</v>
      </c>
      <c r="B791" s="5" t="s">
        <v>5540</v>
      </c>
      <c r="C791" s="32" t="s">
        <v>5541</v>
      </c>
      <c r="D791" s="65">
        <v>1.7673611111111109E-2</v>
      </c>
      <c r="E791" t="s">
        <v>1401</v>
      </c>
      <c r="F791" s="69" t="s">
        <v>3982</v>
      </c>
      <c r="I791" s="2"/>
      <c r="K791" s="82">
        <v>0.67130000000000001</v>
      </c>
    </row>
    <row r="792" spans="1:11" x14ac:dyDescent="0.2">
      <c r="A792" s="33">
        <v>42581</v>
      </c>
      <c r="B792" s="5" t="s">
        <v>5540</v>
      </c>
      <c r="C792" s="32" t="s">
        <v>5541</v>
      </c>
      <c r="D792" s="65">
        <v>1.8356481481481481E-2</v>
      </c>
      <c r="E792" t="s">
        <v>3773</v>
      </c>
      <c r="F792" s="69" t="s">
        <v>4088</v>
      </c>
      <c r="I792" s="2"/>
      <c r="K792" s="82">
        <v>0.64629999999999999</v>
      </c>
    </row>
    <row r="793" spans="1:11" x14ac:dyDescent="0.2">
      <c r="A793" s="33">
        <v>42525</v>
      </c>
      <c r="B793" s="5" t="s">
        <v>5540</v>
      </c>
      <c r="C793" s="32" t="s">
        <v>5541</v>
      </c>
      <c r="D793" s="543">
        <v>1.8333333333333333E-2</v>
      </c>
      <c r="E793" s="5" t="s">
        <v>4137</v>
      </c>
      <c r="F793" s="108" t="s">
        <v>5222</v>
      </c>
      <c r="G793" s="5"/>
      <c r="H793" s="5"/>
      <c r="I793" s="2"/>
      <c r="J793" s="5"/>
      <c r="K793" s="85">
        <v>0.64710000000000001</v>
      </c>
    </row>
    <row r="794" spans="1:11" x14ac:dyDescent="0.2">
      <c r="A794" s="33">
        <v>42511</v>
      </c>
      <c r="B794" s="5" t="s">
        <v>5540</v>
      </c>
      <c r="C794" s="32" t="s">
        <v>5541</v>
      </c>
      <c r="D794" s="543">
        <v>1.8333333333333333E-2</v>
      </c>
      <c r="E794" s="5" t="s">
        <v>5095</v>
      </c>
      <c r="F794" s="108" t="s">
        <v>5623</v>
      </c>
      <c r="G794" s="5"/>
      <c r="H794" s="5"/>
      <c r="I794" s="2"/>
      <c r="J794" s="5"/>
      <c r="K794" s="85">
        <v>0.64710000000000001</v>
      </c>
    </row>
    <row r="795" spans="1:11" x14ac:dyDescent="0.2">
      <c r="A795" s="33">
        <v>42497</v>
      </c>
      <c r="B795" s="5" t="s">
        <v>5540</v>
      </c>
      <c r="C795" s="32" t="s">
        <v>5541</v>
      </c>
      <c r="D795" s="543">
        <v>1.8148148148148146E-2</v>
      </c>
      <c r="E795" s="5" t="s">
        <v>3072</v>
      </c>
      <c r="F795" s="108" t="s">
        <v>5383</v>
      </c>
      <c r="G795" s="5"/>
      <c r="H795" s="5"/>
      <c r="I795" s="5"/>
      <c r="J795" s="5"/>
      <c r="K795" s="85">
        <v>0.65369999999999995</v>
      </c>
    </row>
    <row r="796" spans="1:11" x14ac:dyDescent="0.2">
      <c r="A796" s="33">
        <v>42427</v>
      </c>
      <c r="B796" t="s">
        <v>5540</v>
      </c>
      <c r="C796" s="1" t="s">
        <v>5541</v>
      </c>
      <c r="D796" s="65">
        <v>1.8645833333333334E-2</v>
      </c>
      <c r="E796" t="s">
        <v>5544</v>
      </c>
      <c r="F796" s="69"/>
      <c r="I796" s="2"/>
      <c r="K796" s="82">
        <v>0.63629999999999998</v>
      </c>
    </row>
    <row r="797" spans="1:11" x14ac:dyDescent="0.2">
      <c r="A797" s="33">
        <v>42406</v>
      </c>
      <c r="B797" t="s">
        <v>5540</v>
      </c>
      <c r="C797" s="1" t="s">
        <v>5541</v>
      </c>
      <c r="D797" s="65">
        <v>1.8530092592592595E-2</v>
      </c>
      <c r="E797" t="s">
        <v>3072</v>
      </c>
      <c r="F797" s="69" t="s">
        <v>5083</v>
      </c>
      <c r="I797" s="2"/>
      <c r="K797" s="82">
        <v>0.64019999999999999</v>
      </c>
    </row>
    <row r="798" spans="1:11" x14ac:dyDescent="0.2">
      <c r="A798" s="33">
        <v>42378</v>
      </c>
      <c r="B798" s="407" t="s">
        <v>5540</v>
      </c>
      <c r="C798" s="408" t="s">
        <v>5541</v>
      </c>
      <c r="D798" s="544">
        <v>2.2187499999999999E-2</v>
      </c>
      <c r="E798" s="407" t="s">
        <v>5095</v>
      </c>
      <c r="F798" s="545" t="s">
        <v>2607</v>
      </c>
      <c r="G798" s="407"/>
      <c r="H798" s="407"/>
      <c r="I798" s="348"/>
      <c r="J798" s="407"/>
      <c r="K798" s="546">
        <v>0.53469999999999995</v>
      </c>
    </row>
    <row r="799" spans="1:11" x14ac:dyDescent="0.2">
      <c r="A799" s="33">
        <v>42504</v>
      </c>
      <c r="B799" s="5" t="s">
        <v>3543</v>
      </c>
      <c r="C799" s="32" t="s">
        <v>3100</v>
      </c>
      <c r="D799" s="543">
        <v>1.6759259259259258E-2</v>
      </c>
      <c r="E799" s="5" t="s">
        <v>3299</v>
      </c>
      <c r="F799" s="108" t="s">
        <v>2358</v>
      </c>
      <c r="G799" s="5"/>
      <c r="H799" s="5"/>
      <c r="I799" s="5"/>
      <c r="J799" s="5"/>
      <c r="K799" s="85">
        <v>0.61119999999999997</v>
      </c>
    </row>
    <row r="800" spans="1:11" x14ac:dyDescent="0.2">
      <c r="A800" s="33">
        <v>42497</v>
      </c>
      <c r="B800" s="5" t="s">
        <v>3543</v>
      </c>
      <c r="C800" s="32" t="s">
        <v>3100</v>
      </c>
      <c r="D800" s="543">
        <v>1.7233796296296296E-2</v>
      </c>
      <c r="E800" s="5" t="s">
        <v>3299</v>
      </c>
      <c r="F800" s="108" t="s">
        <v>97</v>
      </c>
      <c r="G800" s="5"/>
      <c r="H800" s="5"/>
      <c r="I800" s="5"/>
      <c r="J800" s="5"/>
      <c r="K800" s="85">
        <v>0.59440000000000004</v>
      </c>
    </row>
    <row r="801" spans="1:20" x14ac:dyDescent="0.2">
      <c r="A801" s="33">
        <v>42490</v>
      </c>
      <c r="B801" s="5" t="s">
        <v>3543</v>
      </c>
      <c r="C801" s="32" t="s">
        <v>3100</v>
      </c>
      <c r="D801" s="543">
        <v>1.5995370370370372E-2</v>
      </c>
      <c r="E801" s="5" t="s">
        <v>5947</v>
      </c>
      <c r="F801" s="108" t="s">
        <v>2797</v>
      </c>
      <c r="G801" s="5"/>
      <c r="H801" s="5"/>
      <c r="I801" s="5"/>
      <c r="J801" s="5"/>
      <c r="K801" s="85">
        <v>0.64039999999999997</v>
      </c>
    </row>
    <row r="802" spans="1:20" x14ac:dyDescent="0.2">
      <c r="A802" s="33">
        <v>42476</v>
      </c>
      <c r="B802" s="5" t="s">
        <v>3543</v>
      </c>
      <c r="C802" s="1" t="s">
        <v>3100</v>
      </c>
      <c r="D802" s="65">
        <v>1.7013888888888887E-2</v>
      </c>
      <c r="E802" s="5" t="s">
        <v>5947</v>
      </c>
      <c r="F802" s="108" t="s">
        <v>1753</v>
      </c>
      <c r="G802" s="5"/>
      <c r="H802" s="2"/>
      <c r="I802" s="2"/>
      <c r="K802" s="82">
        <v>0.60199999999999998</v>
      </c>
    </row>
    <row r="803" spans="1:20" x14ac:dyDescent="0.2">
      <c r="A803" s="33">
        <v>42455</v>
      </c>
      <c r="B803" s="53" t="s">
        <v>1726</v>
      </c>
      <c r="C803" s="54" t="s">
        <v>4818</v>
      </c>
      <c r="D803" s="65">
        <v>1.6805555555555556E-2</v>
      </c>
      <c r="E803" s="5" t="s">
        <v>358</v>
      </c>
      <c r="F803" s="69" t="s">
        <v>275</v>
      </c>
      <c r="I803" s="2"/>
      <c r="K803" s="82">
        <v>0.61160000000000003</v>
      </c>
      <c r="L803" s="5"/>
      <c r="M803" s="5"/>
      <c r="N803" s="5"/>
      <c r="O803" s="5"/>
      <c r="P803" s="5"/>
      <c r="Q803" s="5"/>
      <c r="R803" s="5"/>
      <c r="S803" s="5"/>
      <c r="T803" s="5"/>
    </row>
    <row r="804" spans="1:20" x14ac:dyDescent="0.2">
      <c r="A804" s="33">
        <v>42735</v>
      </c>
      <c r="B804" s="513" t="s">
        <v>5980</v>
      </c>
      <c r="C804" s="512" t="s">
        <v>4818</v>
      </c>
      <c r="D804" s="65">
        <v>2.4421296296296292E-2</v>
      </c>
      <c r="E804" s="80" t="s">
        <v>5656</v>
      </c>
      <c r="F804" s="69" t="s">
        <v>6189</v>
      </c>
      <c r="I804" s="2"/>
      <c r="K804" s="82">
        <v>0.53649999999999998</v>
      </c>
    </row>
    <row r="805" spans="1:20" x14ac:dyDescent="0.2">
      <c r="A805" s="33">
        <v>42729</v>
      </c>
      <c r="B805" s="513" t="s">
        <v>5980</v>
      </c>
      <c r="C805" s="512" t="s">
        <v>4818</v>
      </c>
      <c r="D805" s="65">
        <v>2.4872685185185189E-2</v>
      </c>
      <c r="E805" s="80" t="s">
        <v>5656</v>
      </c>
      <c r="F805" s="69" t="s">
        <v>2949</v>
      </c>
      <c r="I805" s="2"/>
      <c r="K805" s="82">
        <v>0.52680000000000005</v>
      </c>
    </row>
    <row r="806" spans="1:20" x14ac:dyDescent="0.2">
      <c r="A806" s="523">
        <v>42728</v>
      </c>
      <c r="B806" s="513" t="s">
        <v>5980</v>
      </c>
      <c r="C806" s="512" t="s">
        <v>4818</v>
      </c>
      <c r="D806" s="65">
        <v>2.5810185185185183E-2</v>
      </c>
      <c r="E806" s="80" t="s">
        <v>358</v>
      </c>
      <c r="F806" s="69" t="s">
        <v>6130</v>
      </c>
      <c r="I806" s="2"/>
      <c r="K806" s="82">
        <v>0.50760000000000005</v>
      </c>
    </row>
    <row r="807" spans="1:20" x14ac:dyDescent="0.2">
      <c r="A807" s="33">
        <v>42721</v>
      </c>
      <c r="B807" s="513" t="s">
        <v>5980</v>
      </c>
      <c r="C807" s="512" t="s">
        <v>4818</v>
      </c>
      <c r="D807" s="65">
        <v>2.5277777777777777E-2</v>
      </c>
      <c r="E807" s="5" t="s">
        <v>6075</v>
      </c>
      <c r="F807" s="69" t="s">
        <v>6116</v>
      </c>
      <c r="I807" s="2"/>
      <c r="K807" s="82">
        <v>0.51829999999999998</v>
      </c>
    </row>
    <row r="808" spans="1:20" x14ac:dyDescent="0.2">
      <c r="A808" s="33">
        <v>42714</v>
      </c>
      <c r="B808" s="513" t="s">
        <v>5980</v>
      </c>
      <c r="C808" s="512" t="s">
        <v>4818</v>
      </c>
      <c r="D808" s="65">
        <v>1.7013888888888887E-2</v>
      </c>
      <c r="E808" s="5" t="s">
        <v>5656</v>
      </c>
      <c r="F808" s="69" t="s">
        <v>6095</v>
      </c>
      <c r="I808" s="2"/>
      <c r="K808" s="82">
        <v>0.54690000000000005</v>
      </c>
    </row>
    <row r="809" spans="1:20" x14ac:dyDescent="0.2">
      <c r="A809" s="33">
        <v>42707</v>
      </c>
      <c r="B809" s="513" t="s">
        <v>5980</v>
      </c>
      <c r="C809" s="512" t="s">
        <v>4818</v>
      </c>
      <c r="D809" s="65">
        <v>2.6238425925925925E-2</v>
      </c>
      <c r="E809" t="s">
        <v>282</v>
      </c>
      <c r="F809" s="69" t="s">
        <v>6044</v>
      </c>
      <c r="I809" s="2"/>
      <c r="K809" s="82">
        <v>0.49930000000000002</v>
      </c>
    </row>
    <row r="810" spans="1:20" x14ac:dyDescent="0.2">
      <c r="A810" s="33">
        <v>42700</v>
      </c>
      <c r="B810" s="513" t="s">
        <v>5980</v>
      </c>
      <c r="C810" s="512" t="s">
        <v>4818</v>
      </c>
      <c r="D810" s="65">
        <v>2.3993055555555556E-2</v>
      </c>
      <c r="E810" s="5" t="s">
        <v>358</v>
      </c>
      <c r="F810" s="69" t="s">
        <v>6071</v>
      </c>
      <c r="I810" s="2"/>
      <c r="K810" s="82">
        <v>0.54610000000000003</v>
      </c>
    </row>
    <row r="811" spans="1:20" x14ac:dyDescent="0.2">
      <c r="A811" s="33">
        <v>42679</v>
      </c>
      <c r="B811" s="513" t="s">
        <v>5980</v>
      </c>
      <c r="C811" s="512" t="s">
        <v>4818</v>
      </c>
      <c r="D811" s="65">
        <v>2.7002314814814812E-2</v>
      </c>
      <c r="E811" t="s">
        <v>615</v>
      </c>
      <c r="F811" s="69" t="s">
        <v>6115</v>
      </c>
      <c r="I811" s="2"/>
      <c r="K811" s="82">
        <v>0.48520000000000002</v>
      </c>
    </row>
    <row r="812" spans="1:20" x14ac:dyDescent="0.2">
      <c r="A812" s="33">
        <v>42672</v>
      </c>
      <c r="B812" s="513" t="s">
        <v>5980</v>
      </c>
      <c r="C812" s="512" t="s">
        <v>4818</v>
      </c>
      <c r="D812" s="65">
        <v>2.5162037037037038E-2</v>
      </c>
      <c r="E812" t="s">
        <v>1810</v>
      </c>
      <c r="F812" s="69" t="s">
        <v>4158</v>
      </c>
      <c r="I812" s="2"/>
      <c r="K812" s="82">
        <v>0.52070000000000005</v>
      </c>
    </row>
    <row r="813" spans="1:20" x14ac:dyDescent="0.2">
      <c r="A813" s="33">
        <v>42658</v>
      </c>
      <c r="B813" s="513" t="s">
        <v>5980</v>
      </c>
      <c r="C813" s="512" t="s">
        <v>4818</v>
      </c>
      <c r="D813" s="65">
        <v>2.4826388888888887E-2</v>
      </c>
      <c r="E813" t="s">
        <v>5656</v>
      </c>
      <c r="F813" s="69" t="s">
        <v>1973</v>
      </c>
      <c r="I813" s="2"/>
      <c r="K813" s="82">
        <v>0.52769999999999995</v>
      </c>
    </row>
    <row r="814" spans="1:20" x14ac:dyDescent="0.2">
      <c r="A814" s="33">
        <v>42651</v>
      </c>
      <c r="B814" s="513" t="s">
        <v>5980</v>
      </c>
      <c r="C814" s="512" t="s">
        <v>4818</v>
      </c>
      <c r="D814" s="65">
        <v>2.4930555555555553E-2</v>
      </c>
      <c r="E814" t="s">
        <v>2295</v>
      </c>
      <c r="F814" s="69" t="s">
        <v>5021</v>
      </c>
      <c r="I814" s="2"/>
      <c r="K814" s="82">
        <v>0.52549999999999997</v>
      </c>
    </row>
    <row r="815" spans="1:20" x14ac:dyDescent="0.2">
      <c r="A815" s="33">
        <v>42644</v>
      </c>
      <c r="B815" s="513" t="s">
        <v>5980</v>
      </c>
      <c r="C815" s="512" t="s">
        <v>4818</v>
      </c>
      <c r="D815" s="65">
        <v>2.4594907407407409E-2</v>
      </c>
      <c r="E815" t="s">
        <v>5453</v>
      </c>
      <c r="F815" s="69" t="s">
        <v>3060</v>
      </c>
      <c r="I815" s="2"/>
      <c r="K815" s="82">
        <v>0.53269999999999995</v>
      </c>
    </row>
    <row r="816" spans="1:20" x14ac:dyDescent="0.2">
      <c r="A816" s="33">
        <v>42637</v>
      </c>
      <c r="B816" s="513" t="s">
        <v>5980</v>
      </c>
      <c r="C816" s="512" t="s">
        <v>4818</v>
      </c>
      <c r="D816" s="65">
        <v>2.6446759259259264E-2</v>
      </c>
      <c r="E816" t="s">
        <v>4117</v>
      </c>
      <c r="F816" s="69" t="s">
        <v>4114</v>
      </c>
      <c r="I816" s="2"/>
      <c r="K816" s="82">
        <v>0.49540000000000001</v>
      </c>
    </row>
    <row r="817" spans="1:11" x14ac:dyDescent="0.2">
      <c r="A817" s="33">
        <v>42630</v>
      </c>
      <c r="B817" s="513" t="s">
        <v>5980</v>
      </c>
      <c r="C817" s="512" t="s">
        <v>4818</v>
      </c>
      <c r="D817" s="65">
        <v>2.5104166666666664E-2</v>
      </c>
      <c r="E817" t="s">
        <v>2312</v>
      </c>
      <c r="F817" s="69" t="s">
        <v>2462</v>
      </c>
      <c r="I817" s="2"/>
      <c r="K817" s="82">
        <v>0.52290000000000003</v>
      </c>
    </row>
    <row r="818" spans="1:11" x14ac:dyDescent="0.2">
      <c r="A818" s="33">
        <v>42623</v>
      </c>
      <c r="B818" s="513" t="s">
        <v>5980</v>
      </c>
      <c r="C818" s="512" t="s">
        <v>4818</v>
      </c>
      <c r="D818" s="65">
        <v>2.7800925925925923E-2</v>
      </c>
      <c r="E818" t="s">
        <v>5055</v>
      </c>
      <c r="F818" s="69" t="s">
        <v>1839</v>
      </c>
      <c r="I818" s="2"/>
      <c r="K818" s="82">
        <v>0.4713</v>
      </c>
    </row>
    <row r="819" spans="1:11" x14ac:dyDescent="0.2">
      <c r="A819" s="33">
        <v>42616</v>
      </c>
      <c r="B819" s="513" t="s">
        <v>5980</v>
      </c>
      <c r="C819" s="512" t="s">
        <v>4818</v>
      </c>
      <c r="D819" s="65">
        <v>2.5381944444444443E-2</v>
      </c>
      <c r="E819" t="s">
        <v>5289</v>
      </c>
      <c r="F819" s="69" t="s">
        <v>2</v>
      </c>
      <c r="I819" s="2"/>
      <c r="K819" s="82">
        <v>0.51619999999999999</v>
      </c>
    </row>
    <row r="820" spans="1:11" x14ac:dyDescent="0.2">
      <c r="A820" s="33">
        <v>42609</v>
      </c>
      <c r="B820" s="513" t="s">
        <v>5980</v>
      </c>
      <c r="C820" s="512" t="s">
        <v>4818</v>
      </c>
      <c r="D820" s="65">
        <v>2.4756944444444443E-2</v>
      </c>
      <c r="E820" t="s">
        <v>3375</v>
      </c>
      <c r="F820" s="69" t="s">
        <v>90</v>
      </c>
      <c r="I820" s="2"/>
      <c r="K820" s="82">
        <v>0.5292</v>
      </c>
    </row>
    <row r="821" spans="1:11" x14ac:dyDescent="0.2">
      <c r="A821" s="33">
        <v>42602</v>
      </c>
      <c r="B821" s="197" t="s">
        <v>5980</v>
      </c>
      <c r="C821" s="265" t="s">
        <v>4818</v>
      </c>
      <c r="D821" s="65">
        <v>2.5613425925925925E-2</v>
      </c>
      <c r="E821" t="s">
        <v>5402</v>
      </c>
      <c r="F821" s="69" t="s">
        <v>3985</v>
      </c>
      <c r="I821" s="2"/>
      <c r="K821" s="82">
        <v>0.51149999999999995</v>
      </c>
    </row>
    <row r="822" spans="1:11" x14ac:dyDescent="0.2">
      <c r="A822" s="33">
        <v>42595</v>
      </c>
      <c r="B822" s="197" t="s">
        <v>5980</v>
      </c>
      <c r="C822" s="265" t="s">
        <v>4818</v>
      </c>
      <c r="D822" s="65">
        <v>2.4328703703703703E-2</v>
      </c>
      <c r="E822" t="s">
        <v>358</v>
      </c>
      <c r="F822" s="69" t="s">
        <v>1435</v>
      </c>
      <c r="I822" s="2"/>
      <c r="K822" s="82">
        <v>0.53849999999999998</v>
      </c>
    </row>
    <row r="823" spans="1:11" x14ac:dyDescent="0.2">
      <c r="A823" s="33">
        <v>42588</v>
      </c>
      <c r="B823" s="197" t="s">
        <v>5980</v>
      </c>
      <c r="C823" s="265" t="s">
        <v>4818</v>
      </c>
      <c r="D823" s="543">
        <v>2.4293981481481482E-2</v>
      </c>
      <c r="E823" s="5" t="s">
        <v>5554</v>
      </c>
      <c r="F823" s="108" t="s">
        <v>1992</v>
      </c>
      <c r="G823" s="5"/>
      <c r="H823" s="5"/>
      <c r="I823" s="2"/>
      <c r="J823" s="5"/>
      <c r="K823" s="85">
        <v>0.5393</v>
      </c>
    </row>
    <row r="824" spans="1:11" x14ac:dyDescent="0.2">
      <c r="A824" s="33">
        <v>42574</v>
      </c>
      <c r="B824" s="197" t="s">
        <v>5980</v>
      </c>
      <c r="C824" s="265" t="s">
        <v>4818</v>
      </c>
      <c r="D824" s="65">
        <v>2.6157407407407407E-2</v>
      </c>
      <c r="E824" t="s">
        <v>2192</v>
      </c>
      <c r="F824" s="69" t="s">
        <v>5349</v>
      </c>
      <c r="I824" s="2"/>
      <c r="K824" s="82">
        <v>0.50090000000000001</v>
      </c>
    </row>
    <row r="825" spans="1:11" x14ac:dyDescent="0.2">
      <c r="A825" s="33">
        <v>42567</v>
      </c>
      <c r="B825" s="197" t="s">
        <v>5980</v>
      </c>
      <c r="C825" s="265" t="s">
        <v>4818</v>
      </c>
      <c r="D825" s="65">
        <v>2.5381944444444443E-2</v>
      </c>
      <c r="E825" t="s">
        <v>5656</v>
      </c>
      <c r="F825" s="69" t="s">
        <v>4338</v>
      </c>
      <c r="I825" s="2"/>
      <c r="K825" s="82">
        <v>0.51619999999999999</v>
      </c>
    </row>
    <row r="826" spans="1:11" x14ac:dyDescent="0.2">
      <c r="A826" s="33">
        <v>42560</v>
      </c>
      <c r="B826" s="197" t="s">
        <v>5980</v>
      </c>
      <c r="C826" s="265" t="s">
        <v>4818</v>
      </c>
      <c r="D826" s="65">
        <v>2.4814814814814817E-2</v>
      </c>
      <c r="E826" t="s">
        <v>4339</v>
      </c>
      <c r="F826" s="69" t="s">
        <v>4340</v>
      </c>
      <c r="I826" s="2"/>
      <c r="K826" s="82">
        <v>0.52800000000000002</v>
      </c>
    </row>
    <row r="827" spans="1:11" x14ac:dyDescent="0.2">
      <c r="A827" s="33">
        <v>42553</v>
      </c>
      <c r="B827" s="197" t="s">
        <v>5980</v>
      </c>
      <c r="C827" s="265" t="s">
        <v>4818</v>
      </c>
      <c r="D827" s="65">
        <v>2.5983796296296297E-2</v>
      </c>
      <c r="E827" t="s">
        <v>1121</v>
      </c>
      <c r="F827" s="69" t="s">
        <v>5862</v>
      </c>
      <c r="I827" s="2"/>
      <c r="K827" s="82">
        <v>0.50419999999999998</v>
      </c>
    </row>
    <row r="828" spans="1:11" x14ac:dyDescent="0.2">
      <c r="A828" s="33">
        <v>42546</v>
      </c>
      <c r="B828" s="197" t="s">
        <v>5980</v>
      </c>
      <c r="C828" s="265" t="s">
        <v>4818</v>
      </c>
      <c r="D828" s="65">
        <v>2.5150462962962961E-2</v>
      </c>
      <c r="E828" t="s">
        <v>282</v>
      </c>
      <c r="F828" s="69" t="s">
        <v>719</v>
      </c>
      <c r="I828" s="2"/>
      <c r="K828" s="82">
        <v>0.52090000000000003</v>
      </c>
    </row>
    <row r="829" spans="1:11" x14ac:dyDescent="0.2">
      <c r="A829" s="33">
        <v>42532</v>
      </c>
      <c r="B829" s="197" t="s">
        <v>5980</v>
      </c>
      <c r="C829" s="265" t="s">
        <v>4818</v>
      </c>
      <c r="D829" s="65">
        <v>2.4479166666666666E-2</v>
      </c>
      <c r="E829" t="s">
        <v>5656</v>
      </c>
      <c r="F829" s="69" t="s">
        <v>1342</v>
      </c>
      <c r="I829" s="2"/>
      <c r="K829" s="82">
        <v>0.53520000000000001</v>
      </c>
    </row>
    <row r="830" spans="1:11" x14ac:dyDescent="0.2">
      <c r="A830" s="33">
        <v>42525</v>
      </c>
      <c r="B830" s="197" t="s">
        <v>5980</v>
      </c>
      <c r="C830" s="265" t="s">
        <v>4818</v>
      </c>
      <c r="D830" s="543">
        <v>2.4560185185185185E-2</v>
      </c>
      <c r="E830" s="5" t="s">
        <v>282</v>
      </c>
      <c r="F830" s="108" t="s">
        <v>5221</v>
      </c>
      <c r="G830" s="5"/>
      <c r="H830" s="5"/>
      <c r="I830" s="2"/>
      <c r="J830" s="5"/>
      <c r="K830" s="85">
        <v>0.53349999999999997</v>
      </c>
    </row>
    <row r="831" spans="1:11" x14ac:dyDescent="0.2">
      <c r="A831" s="33">
        <v>42518</v>
      </c>
      <c r="B831" s="197" t="s">
        <v>5980</v>
      </c>
      <c r="C831" s="265" t="s">
        <v>4818</v>
      </c>
      <c r="D831" s="543">
        <v>2.4270833333333335E-2</v>
      </c>
      <c r="E831" s="5" t="s">
        <v>373</v>
      </c>
      <c r="F831" s="108" t="s">
        <v>3797</v>
      </c>
      <c r="G831" s="5"/>
      <c r="H831" s="5"/>
      <c r="I831" s="2"/>
      <c r="J831" s="5"/>
      <c r="K831" s="85">
        <v>0.53979999999999995</v>
      </c>
    </row>
    <row r="832" spans="1:11" x14ac:dyDescent="0.2">
      <c r="A832" s="33">
        <v>42511</v>
      </c>
      <c r="B832" s="197" t="s">
        <v>5980</v>
      </c>
      <c r="C832" s="265" t="s">
        <v>4818</v>
      </c>
      <c r="D832" s="543">
        <v>2.49537037037037E-2</v>
      </c>
      <c r="E832" s="5" t="s">
        <v>355</v>
      </c>
      <c r="F832" s="108" t="s">
        <v>3269</v>
      </c>
      <c r="G832" s="5"/>
      <c r="H832" s="5"/>
      <c r="I832" s="2"/>
      <c r="J832" s="5"/>
      <c r="K832" s="85">
        <v>0.52500000000000002</v>
      </c>
    </row>
    <row r="833" spans="1:19" x14ac:dyDescent="0.2">
      <c r="A833" s="33">
        <v>42504</v>
      </c>
      <c r="B833" s="197" t="s">
        <v>5980</v>
      </c>
      <c r="C833" s="265" t="s">
        <v>4818</v>
      </c>
      <c r="D833" s="543">
        <v>2.3877314814814813E-2</v>
      </c>
      <c r="E833" s="5" t="s">
        <v>358</v>
      </c>
      <c r="F833" s="108" t="s">
        <v>2362</v>
      </c>
      <c r="G833" s="5"/>
      <c r="H833" s="5"/>
      <c r="I833" s="5"/>
      <c r="J833" s="5"/>
      <c r="K833" s="85">
        <v>0.54869999999999997</v>
      </c>
    </row>
    <row r="834" spans="1:19" x14ac:dyDescent="0.2">
      <c r="A834" s="33">
        <v>42490</v>
      </c>
      <c r="B834" s="197" t="s">
        <v>5980</v>
      </c>
      <c r="C834" s="265" t="s">
        <v>4818</v>
      </c>
      <c r="D834" s="543">
        <v>2.4050925925925924E-2</v>
      </c>
      <c r="E834" s="5" t="s">
        <v>2392</v>
      </c>
      <c r="F834" s="108" t="s">
        <v>2796</v>
      </c>
      <c r="G834" s="5"/>
      <c r="H834" s="5"/>
      <c r="I834" s="5"/>
      <c r="J834" s="5"/>
      <c r="K834" s="85">
        <v>0.54479999999999995</v>
      </c>
    </row>
    <row r="835" spans="1:19" x14ac:dyDescent="0.2">
      <c r="A835" s="33">
        <v>42483</v>
      </c>
      <c r="B835" s="197" t="s">
        <v>5980</v>
      </c>
      <c r="C835" s="265" t="s">
        <v>4818</v>
      </c>
      <c r="D835" s="543">
        <v>2.3935185185185184E-2</v>
      </c>
      <c r="E835" s="5" t="s">
        <v>230</v>
      </c>
      <c r="F835" s="108" t="s">
        <v>6013</v>
      </c>
      <c r="G835" s="5"/>
      <c r="H835" s="5"/>
      <c r="I835" s="2"/>
      <c r="J835" s="5"/>
      <c r="K835" s="85">
        <v>0.5474</v>
      </c>
    </row>
    <row r="836" spans="1:19" x14ac:dyDescent="0.2">
      <c r="A836" s="33">
        <v>42476</v>
      </c>
      <c r="B836" s="197" t="s">
        <v>5980</v>
      </c>
      <c r="C836" s="265" t="s">
        <v>4818</v>
      </c>
      <c r="D836" s="65">
        <v>2.3043981481481481E-2</v>
      </c>
      <c r="E836" s="5" t="s">
        <v>358</v>
      </c>
      <c r="F836" s="69" t="s">
        <v>2629</v>
      </c>
      <c r="I836" s="2"/>
      <c r="K836" s="82">
        <v>0.56859999999999999</v>
      </c>
    </row>
    <row r="837" spans="1:19" x14ac:dyDescent="0.2">
      <c r="A837" s="33">
        <v>42469</v>
      </c>
      <c r="B837" s="197" t="s">
        <v>5980</v>
      </c>
      <c r="C837" s="265" t="s">
        <v>4818</v>
      </c>
      <c r="D837" s="65">
        <v>2.3553240740740739E-2</v>
      </c>
      <c r="E837" t="s">
        <v>358</v>
      </c>
      <c r="F837" s="69" t="s">
        <v>4104</v>
      </c>
      <c r="I837" s="2"/>
      <c r="K837" s="82">
        <v>0.55630000000000002</v>
      </c>
    </row>
    <row r="838" spans="1:19" x14ac:dyDescent="0.2">
      <c r="A838" s="33">
        <v>42462</v>
      </c>
      <c r="B838" s="197" t="s">
        <v>5980</v>
      </c>
      <c r="C838" s="265" t="s">
        <v>4818</v>
      </c>
      <c r="D838" s="65">
        <v>2.361111111111111E-2</v>
      </c>
      <c r="E838" t="s">
        <v>358</v>
      </c>
      <c r="F838" s="69" t="s">
        <v>5586</v>
      </c>
      <c r="I838" s="2"/>
      <c r="K838" s="82">
        <v>0.55489999999999995</v>
      </c>
      <c r="S838" s="5"/>
    </row>
    <row r="839" spans="1:19" x14ac:dyDescent="0.2">
      <c r="A839" s="33">
        <v>42455</v>
      </c>
      <c r="B839" s="206" t="s">
        <v>5980</v>
      </c>
      <c r="C839" s="254" t="s">
        <v>4818</v>
      </c>
      <c r="D839" s="65">
        <v>2.326388888888889E-2</v>
      </c>
      <c r="E839" t="s">
        <v>358</v>
      </c>
      <c r="F839" s="69" t="s">
        <v>4052</v>
      </c>
      <c r="I839" s="2"/>
      <c r="K839" s="82">
        <v>0.56320000000000003</v>
      </c>
    </row>
    <row r="840" spans="1:19" x14ac:dyDescent="0.2">
      <c r="A840" s="33">
        <v>42448</v>
      </c>
      <c r="B840" s="53" t="s">
        <v>5980</v>
      </c>
      <c r="C840" s="54" t="s">
        <v>4818</v>
      </c>
      <c r="D840" s="65">
        <v>2.4027777777777776E-2</v>
      </c>
      <c r="E840" t="s">
        <v>475</v>
      </c>
      <c r="F840" s="69" t="s">
        <v>281</v>
      </c>
      <c r="I840" s="2"/>
      <c r="K840" s="82">
        <v>0.54530000000000001</v>
      </c>
    </row>
    <row r="841" spans="1:19" x14ac:dyDescent="0.2">
      <c r="A841" s="33">
        <v>42693</v>
      </c>
      <c r="B841" s="5" t="s">
        <v>73</v>
      </c>
      <c r="C841" s="32" t="s">
        <v>4818</v>
      </c>
      <c r="D841" s="65">
        <v>2.5659722222222223E-2</v>
      </c>
      <c r="E841" s="5" t="s">
        <v>5656</v>
      </c>
      <c r="F841" s="69"/>
      <c r="I841" s="2"/>
      <c r="K841" s="82">
        <v>0.51060000000000005</v>
      </c>
    </row>
    <row r="842" spans="1:19" x14ac:dyDescent="0.2">
      <c r="A842" s="33">
        <v>42434</v>
      </c>
      <c r="B842" s="53" t="s">
        <v>73</v>
      </c>
      <c r="C842" s="54" t="s">
        <v>4818</v>
      </c>
      <c r="D842" s="65">
        <v>1.6840277777777777E-2</v>
      </c>
      <c r="E842" t="s">
        <v>2465</v>
      </c>
      <c r="F842" s="69" t="s">
        <v>3190</v>
      </c>
      <c r="I842" s="2"/>
      <c r="K842" s="82">
        <v>0.55089999999999995</v>
      </c>
    </row>
    <row r="843" spans="1:19" x14ac:dyDescent="0.2">
      <c r="A843" s="33">
        <v>42434</v>
      </c>
      <c r="B843" s="53" t="s">
        <v>4071</v>
      </c>
      <c r="C843" s="54" t="s">
        <v>1691</v>
      </c>
      <c r="D843" s="65">
        <v>2.4097222222222225E-2</v>
      </c>
      <c r="E843" t="s">
        <v>2465</v>
      </c>
      <c r="F843" s="69" t="s">
        <v>589</v>
      </c>
      <c r="I843" s="2"/>
      <c r="K843" s="82">
        <v>0.49519999999999997</v>
      </c>
    </row>
    <row r="844" spans="1:19" x14ac:dyDescent="0.2">
      <c r="A844" s="33">
        <v>42735</v>
      </c>
      <c r="B844" s="5" t="s">
        <v>6048</v>
      </c>
      <c r="C844" s="32" t="s">
        <v>3012</v>
      </c>
      <c r="D844" s="65">
        <v>1.2314814814814815E-2</v>
      </c>
      <c r="E844" s="80" t="s">
        <v>5885</v>
      </c>
      <c r="F844" s="69" t="s">
        <v>6172</v>
      </c>
      <c r="I844" s="2"/>
      <c r="K844" s="82">
        <v>0.82520000000000004</v>
      </c>
    </row>
    <row r="845" spans="1:19" x14ac:dyDescent="0.2">
      <c r="A845" s="33">
        <v>42693</v>
      </c>
      <c r="B845" s="5" t="s">
        <v>6048</v>
      </c>
      <c r="C845" s="32" t="s">
        <v>3012</v>
      </c>
      <c r="D845" s="65">
        <v>1.8564814814814815E-2</v>
      </c>
      <c r="E845" s="5" t="s">
        <v>4817</v>
      </c>
      <c r="F845" s="69" t="s">
        <v>6054</v>
      </c>
      <c r="I845" s="2"/>
      <c r="K845" s="82">
        <v>0.5474</v>
      </c>
    </row>
    <row r="846" spans="1:19" x14ac:dyDescent="0.2">
      <c r="A846" s="33">
        <v>42679</v>
      </c>
      <c r="B846" s="5" t="s">
        <v>6048</v>
      </c>
      <c r="C846" s="32" t="s">
        <v>3012</v>
      </c>
      <c r="D846" s="65">
        <v>1.2777777777777777E-2</v>
      </c>
      <c r="E846" t="s">
        <v>840</v>
      </c>
      <c r="F846" s="69" t="s">
        <v>626</v>
      </c>
      <c r="I846" s="2"/>
      <c r="K846" s="82">
        <v>0.79530000000000001</v>
      </c>
    </row>
    <row r="847" spans="1:19" x14ac:dyDescent="0.2">
      <c r="A847" s="33">
        <v>42672</v>
      </c>
      <c r="B847" s="5" t="s">
        <v>6048</v>
      </c>
      <c r="C847" s="32" t="s">
        <v>3012</v>
      </c>
      <c r="D847" s="65">
        <v>1.2731481481481481E-2</v>
      </c>
      <c r="E847" t="s">
        <v>840</v>
      </c>
      <c r="F847" s="69" t="s">
        <v>2790</v>
      </c>
      <c r="I847" s="2"/>
      <c r="K847" s="82">
        <v>0.79820000000000002</v>
      </c>
    </row>
    <row r="848" spans="1:19" x14ac:dyDescent="0.2">
      <c r="A848" s="33">
        <v>42658</v>
      </c>
      <c r="B848" s="5" t="s">
        <v>6048</v>
      </c>
      <c r="C848" s="32" t="s">
        <v>3012</v>
      </c>
      <c r="D848" s="65">
        <v>1.2893518518518519E-2</v>
      </c>
      <c r="E848" t="s">
        <v>3009</v>
      </c>
      <c r="F848" s="69" t="s">
        <v>5176</v>
      </c>
      <c r="I848" s="2"/>
      <c r="K848" s="82">
        <v>0.78820000000000001</v>
      </c>
    </row>
    <row r="849" spans="1:19" x14ac:dyDescent="0.2">
      <c r="A849" s="33">
        <v>42644</v>
      </c>
      <c r="B849" s="5" t="s">
        <v>6048</v>
      </c>
      <c r="C849" s="32" t="s">
        <v>3012</v>
      </c>
      <c r="D849" s="65">
        <v>1.3136574074074077E-2</v>
      </c>
      <c r="E849" t="s">
        <v>3009</v>
      </c>
      <c r="F849" s="69" t="s">
        <v>3063</v>
      </c>
      <c r="I849" s="2"/>
      <c r="K849" s="82">
        <v>0.77359999999999995</v>
      </c>
    </row>
    <row r="850" spans="1:19" x14ac:dyDescent="0.2">
      <c r="A850" s="33">
        <v>42518</v>
      </c>
      <c r="B850" s="5" t="s">
        <v>6048</v>
      </c>
      <c r="C850" s="32" t="s">
        <v>3012</v>
      </c>
      <c r="D850" s="543">
        <v>1.4236111111111111E-2</v>
      </c>
      <c r="E850" s="5" t="s">
        <v>280</v>
      </c>
      <c r="F850" s="108" t="s">
        <v>4644</v>
      </c>
      <c r="G850" s="5"/>
      <c r="H850" s="5"/>
      <c r="I850" s="2"/>
      <c r="J850" s="5"/>
      <c r="K850" s="85">
        <v>0.71379999999999999</v>
      </c>
    </row>
    <row r="851" spans="1:19" x14ac:dyDescent="0.2">
      <c r="A851" s="33">
        <v>42504</v>
      </c>
      <c r="B851" s="5" t="s">
        <v>6048</v>
      </c>
      <c r="C851" s="32" t="s">
        <v>3012</v>
      </c>
      <c r="D851" s="543">
        <v>1.9282407407407408E-2</v>
      </c>
      <c r="E851" s="5" t="s">
        <v>317</v>
      </c>
      <c r="F851" s="108" t="s">
        <v>2348</v>
      </c>
      <c r="G851" s="5"/>
      <c r="H851" s="5"/>
      <c r="I851" s="5"/>
      <c r="J851" s="5"/>
      <c r="K851" s="85">
        <v>0.52700000000000002</v>
      </c>
    </row>
    <row r="852" spans="1:19" x14ac:dyDescent="0.2">
      <c r="A852" s="33">
        <v>42574</v>
      </c>
      <c r="B852" s="5" t="s">
        <v>5369</v>
      </c>
      <c r="C852" s="32" t="s">
        <v>2117</v>
      </c>
      <c r="D852" s="65">
        <v>1.9490740740740743E-2</v>
      </c>
      <c r="E852" t="s">
        <v>5348</v>
      </c>
      <c r="F852" s="69" t="s">
        <v>5350</v>
      </c>
      <c r="I852" s="2"/>
      <c r="K852" s="82">
        <v>0.64429999999999998</v>
      </c>
    </row>
    <row r="853" spans="1:19" x14ac:dyDescent="0.2">
      <c r="A853" s="33">
        <v>42567</v>
      </c>
      <c r="B853" s="5" t="s">
        <v>5369</v>
      </c>
      <c r="C853" s="32" t="s">
        <v>2117</v>
      </c>
      <c r="D853" s="65">
        <v>1.9131944444444444E-2</v>
      </c>
      <c r="E853" t="s">
        <v>3706</v>
      </c>
      <c r="F853" s="69" t="s">
        <v>5607</v>
      </c>
      <c r="I853" s="2"/>
      <c r="K853" s="82">
        <v>0.65639999999999998</v>
      </c>
      <c r="S853" s="5"/>
    </row>
    <row r="854" spans="1:19" x14ac:dyDescent="0.2">
      <c r="A854" s="33">
        <v>42546</v>
      </c>
      <c r="B854" s="5" t="s">
        <v>5369</v>
      </c>
      <c r="C854" s="32" t="s">
        <v>2117</v>
      </c>
      <c r="D854" s="65">
        <v>2.0405092592592593E-2</v>
      </c>
      <c r="E854" t="s">
        <v>653</v>
      </c>
      <c r="F854" s="69" t="s">
        <v>3348</v>
      </c>
      <c r="I854" s="2"/>
      <c r="K854" s="82">
        <v>0.61539999999999995</v>
      </c>
    </row>
    <row r="855" spans="1:19" x14ac:dyDescent="0.2">
      <c r="A855" s="33">
        <v>42581</v>
      </c>
      <c r="B855" s="53" t="s">
        <v>866</v>
      </c>
      <c r="C855" s="54" t="s">
        <v>548</v>
      </c>
      <c r="D855" s="65">
        <v>3.5023148148148144E-2</v>
      </c>
      <c r="E855" t="s">
        <v>5885</v>
      </c>
      <c r="F855" s="69" t="s">
        <v>3001</v>
      </c>
      <c r="I855" s="2"/>
      <c r="K855" s="82">
        <v>0.41670000000000001</v>
      </c>
    </row>
    <row r="856" spans="1:19" x14ac:dyDescent="0.2">
      <c r="A856" s="33">
        <v>42504</v>
      </c>
      <c r="B856" s="53" t="s">
        <v>866</v>
      </c>
      <c r="C856" s="54" t="s">
        <v>548</v>
      </c>
      <c r="D856" s="543">
        <v>3.5659722222222225E-2</v>
      </c>
      <c r="E856" s="5" t="s">
        <v>5885</v>
      </c>
      <c r="F856" s="108" t="s">
        <v>2345</v>
      </c>
      <c r="G856" s="5"/>
      <c r="H856" s="5"/>
      <c r="I856" s="5"/>
      <c r="J856" s="5"/>
      <c r="K856" s="85">
        <v>0.4093</v>
      </c>
    </row>
    <row r="857" spans="1:19" x14ac:dyDescent="0.2">
      <c r="A857" s="33">
        <v>42476</v>
      </c>
      <c r="B857" s="53" t="s">
        <v>866</v>
      </c>
      <c r="C857" s="54" t="s">
        <v>548</v>
      </c>
      <c r="D857" s="65">
        <v>3.4664351851851849E-2</v>
      </c>
      <c r="E857" t="s">
        <v>5885</v>
      </c>
      <c r="F857" s="69" t="s">
        <v>3472</v>
      </c>
      <c r="I857" s="2"/>
      <c r="K857" s="82">
        <v>0.42099999999999999</v>
      </c>
    </row>
    <row r="858" spans="1:19" x14ac:dyDescent="0.2">
      <c r="A858" s="33">
        <v>42455</v>
      </c>
      <c r="B858" s="53" t="s">
        <v>866</v>
      </c>
      <c r="C858" s="54" t="s">
        <v>548</v>
      </c>
      <c r="D858" s="65">
        <v>3.4467592592592591E-2</v>
      </c>
      <c r="E858" t="s">
        <v>5885</v>
      </c>
      <c r="F858" s="69" t="s">
        <v>954</v>
      </c>
      <c r="I858" s="2"/>
      <c r="K858" s="82">
        <v>0.4234</v>
      </c>
    </row>
    <row r="859" spans="1:19" x14ac:dyDescent="0.2">
      <c r="A859" s="33">
        <v>42441</v>
      </c>
      <c r="B859" s="53" t="s">
        <v>3746</v>
      </c>
      <c r="C859" s="54" t="s">
        <v>3747</v>
      </c>
      <c r="D859" s="65">
        <v>1.2060185185185186E-2</v>
      </c>
      <c r="E859" t="s">
        <v>129</v>
      </c>
      <c r="F859" s="69" t="s">
        <v>4318</v>
      </c>
      <c r="I859" s="2"/>
      <c r="K859" s="82">
        <v>0.76870000000000005</v>
      </c>
    </row>
    <row r="860" spans="1:19" x14ac:dyDescent="0.2">
      <c r="A860" s="523">
        <v>42728</v>
      </c>
      <c r="B860" s="80" t="s">
        <v>1308</v>
      </c>
      <c r="C860" s="334" t="s">
        <v>428</v>
      </c>
      <c r="D860" s="65">
        <v>1.3668981481481482E-2</v>
      </c>
      <c r="E860" s="80" t="s">
        <v>1120</v>
      </c>
      <c r="F860" s="69" t="s">
        <v>5504</v>
      </c>
      <c r="I860" s="2"/>
      <c r="K860" s="82">
        <v>0.73160000000000003</v>
      </c>
    </row>
    <row r="861" spans="1:19" x14ac:dyDescent="0.2">
      <c r="A861" s="33">
        <v>42714</v>
      </c>
      <c r="B861" s="5" t="s">
        <v>1308</v>
      </c>
      <c r="C861" s="32" t="s">
        <v>428</v>
      </c>
      <c r="D861" s="65">
        <v>1.3495370370370371E-2</v>
      </c>
      <c r="E861" s="5" t="s">
        <v>5885</v>
      </c>
      <c r="F861" s="108" t="s">
        <v>6091</v>
      </c>
      <c r="I861" s="2"/>
      <c r="K861" s="82">
        <v>0.74099999999999999</v>
      </c>
    </row>
    <row r="862" spans="1:19" x14ac:dyDescent="0.2">
      <c r="A862" s="33">
        <v>42532</v>
      </c>
      <c r="B862" s="5" t="s">
        <v>1308</v>
      </c>
      <c r="C862" s="32" t="s">
        <v>428</v>
      </c>
      <c r="D862" s="543">
        <v>1.3171296296296294E-2</v>
      </c>
      <c r="E862" t="s">
        <v>5885</v>
      </c>
      <c r="F862" s="69" t="s">
        <v>3655</v>
      </c>
      <c r="I862" s="2"/>
      <c r="K862" s="82">
        <v>0.75919999999999999</v>
      </c>
    </row>
    <row r="863" spans="1:19" x14ac:dyDescent="0.2">
      <c r="A863" s="33">
        <v>42539</v>
      </c>
      <c r="B863" s="5" t="s">
        <v>3508</v>
      </c>
      <c r="C863" s="32" t="s">
        <v>428</v>
      </c>
      <c r="D863" s="65">
        <v>1.3784722222222224E-2</v>
      </c>
      <c r="E863" t="s">
        <v>5885</v>
      </c>
      <c r="F863" s="69" t="s">
        <v>2547</v>
      </c>
      <c r="I863" s="2"/>
      <c r="K863" s="82">
        <v>0.71450000000000002</v>
      </c>
    </row>
    <row r="864" spans="1:19" x14ac:dyDescent="0.2">
      <c r="A864" s="33">
        <v>42581</v>
      </c>
      <c r="B864" s="5" t="s">
        <v>4062</v>
      </c>
      <c r="C864" s="32" t="s">
        <v>4063</v>
      </c>
      <c r="D864" s="65">
        <v>1.5717592592592592E-2</v>
      </c>
      <c r="E864" t="s">
        <v>5885</v>
      </c>
      <c r="F864" s="69" t="s">
        <v>2057</v>
      </c>
      <c r="I864" s="2"/>
      <c r="K864" s="82">
        <v>0.67159999999999997</v>
      </c>
    </row>
    <row r="865" spans="1:28" x14ac:dyDescent="0.2">
      <c r="A865" s="33">
        <v>42735</v>
      </c>
      <c r="B865" t="s">
        <v>4640</v>
      </c>
      <c r="C865" s="1" t="s">
        <v>4641</v>
      </c>
      <c r="D865" s="10" t="s">
        <v>787</v>
      </c>
      <c r="E865" s="5" t="s">
        <v>5947</v>
      </c>
      <c r="F865" s="108" t="s">
        <v>6083</v>
      </c>
      <c r="G865" s="5"/>
      <c r="H865" s="2"/>
      <c r="I865" s="2"/>
    </row>
    <row r="866" spans="1:28" x14ac:dyDescent="0.2">
      <c r="A866" s="33">
        <v>42721</v>
      </c>
      <c r="B866" s="5" t="s">
        <v>4640</v>
      </c>
      <c r="C866" s="32" t="s">
        <v>4641</v>
      </c>
      <c r="D866" s="543" t="s">
        <v>787</v>
      </c>
      <c r="E866" s="5" t="s">
        <v>5947</v>
      </c>
      <c r="F866" s="108" t="s">
        <v>5508</v>
      </c>
      <c r="I866" s="2"/>
      <c r="K866" s="82"/>
    </row>
    <row r="867" spans="1:28" x14ac:dyDescent="0.2">
      <c r="A867" s="33">
        <v>42714</v>
      </c>
      <c r="B867" s="5" t="s">
        <v>4640</v>
      </c>
      <c r="C867" s="32" t="s">
        <v>4641</v>
      </c>
      <c r="D867" s="543" t="s">
        <v>787</v>
      </c>
      <c r="E867" s="5" t="s">
        <v>5947</v>
      </c>
      <c r="F867" s="108" t="s">
        <v>1549</v>
      </c>
      <c r="I867" s="2"/>
      <c r="K867" s="82"/>
    </row>
    <row r="868" spans="1:28" x14ac:dyDescent="0.2">
      <c r="A868" s="33">
        <v>42686</v>
      </c>
      <c r="B868" s="5" t="s">
        <v>4640</v>
      </c>
      <c r="C868" s="32" t="s">
        <v>4641</v>
      </c>
      <c r="D868" s="65" t="s">
        <v>787</v>
      </c>
      <c r="E868" t="s">
        <v>5947</v>
      </c>
      <c r="F868" s="69" t="s">
        <v>5508</v>
      </c>
      <c r="I868" s="2"/>
      <c r="K868" s="82"/>
    </row>
    <row r="869" spans="1:28" x14ac:dyDescent="0.2">
      <c r="A869" s="33">
        <v>42665</v>
      </c>
      <c r="B869" s="5" t="s">
        <v>4640</v>
      </c>
      <c r="C869" s="32" t="s">
        <v>4641</v>
      </c>
      <c r="D869" s="65">
        <v>3.1342592592592596E-2</v>
      </c>
      <c r="E869" s="1" t="s">
        <v>5947</v>
      </c>
      <c r="F869" s="69" t="s">
        <v>4952</v>
      </c>
      <c r="I869" s="2"/>
      <c r="K869" s="82">
        <v>0.36480000000000001</v>
      </c>
    </row>
    <row r="870" spans="1:28" x14ac:dyDescent="0.2">
      <c r="A870" s="33">
        <v>42658</v>
      </c>
      <c r="B870" t="s">
        <v>4640</v>
      </c>
      <c r="C870" s="1" t="s">
        <v>4641</v>
      </c>
      <c r="D870" s="10" t="s">
        <v>787</v>
      </c>
      <c r="E870" s="5" t="s">
        <v>5947</v>
      </c>
      <c r="F870" s="108" t="s">
        <v>528</v>
      </c>
      <c r="G870" s="5"/>
      <c r="I870" s="2"/>
      <c r="K870" s="82"/>
    </row>
    <row r="871" spans="1:28" x14ac:dyDescent="0.2">
      <c r="A871" s="33">
        <v>42651</v>
      </c>
      <c r="B871" t="s">
        <v>4640</v>
      </c>
      <c r="C871" s="1" t="s">
        <v>4641</v>
      </c>
      <c r="D871" s="10" t="s">
        <v>787</v>
      </c>
      <c r="E871" s="5" t="s">
        <v>5947</v>
      </c>
      <c r="F871" s="108" t="s">
        <v>4854</v>
      </c>
      <c r="G871" s="5"/>
      <c r="H871" s="2"/>
      <c r="J871" s="82"/>
    </row>
    <row r="872" spans="1:28" x14ac:dyDescent="0.2">
      <c r="A872" s="33">
        <v>42637</v>
      </c>
      <c r="B872" s="5" t="s">
        <v>4640</v>
      </c>
      <c r="C872" s="32" t="s">
        <v>4641</v>
      </c>
      <c r="D872" s="550">
        <v>4.2280092592592598E-2</v>
      </c>
      <c r="E872" t="s">
        <v>5947</v>
      </c>
      <c r="F872" s="69" t="s">
        <v>5747</v>
      </c>
      <c r="I872" s="2"/>
      <c r="K872" s="82"/>
    </row>
    <row r="873" spans="1:28" x14ac:dyDescent="0.2">
      <c r="A873" s="33">
        <v>42630</v>
      </c>
      <c r="B873" t="s">
        <v>4640</v>
      </c>
      <c r="C873" s="1" t="s">
        <v>4641</v>
      </c>
      <c r="D873" s="10" t="s">
        <v>787</v>
      </c>
      <c r="E873" s="5" t="s">
        <v>5947</v>
      </c>
      <c r="F873" s="108" t="s">
        <v>325</v>
      </c>
      <c r="G873" s="5"/>
      <c r="H873" s="2"/>
      <c r="I873" s="2"/>
      <c r="K873" s="82"/>
      <c r="AB873" s="41"/>
    </row>
    <row r="874" spans="1:28" x14ac:dyDescent="0.2">
      <c r="A874" s="33">
        <v>42609</v>
      </c>
      <c r="B874" s="5" t="s">
        <v>4640</v>
      </c>
      <c r="C874" s="32" t="s">
        <v>4641</v>
      </c>
      <c r="D874" s="65">
        <v>3.1747685185185184E-2</v>
      </c>
      <c r="E874" t="s">
        <v>5947</v>
      </c>
      <c r="F874" s="69" t="s">
        <v>324</v>
      </c>
      <c r="I874" s="2"/>
      <c r="K874" s="82">
        <v>0.36020000000000002</v>
      </c>
    </row>
    <row r="875" spans="1:28" x14ac:dyDescent="0.2">
      <c r="A875" s="33">
        <v>42602</v>
      </c>
      <c r="B875" t="s">
        <v>4640</v>
      </c>
      <c r="C875" s="1" t="s">
        <v>4641</v>
      </c>
      <c r="D875" s="10" t="s">
        <v>787</v>
      </c>
      <c r="E875" s="5" t="s">
        <v>5947</v>
      </c>
      <c r="F875" s="108" t="s">
        <v>5508</v>
      </c>
      <c r="G875" s="5"/>
      <c r="I875" s="2"/>
      <c r="K875" s="82"/>
    </row>
    <row r="876" spans="1:28" x14ac:dyDescent="0.2">
      <c r="A876" s="33">
        <v>42595</v>
      </c>
      <c r="B876" s="5" t="s">
        <v>4640</v>
      </c>
      <c r="C876" s="32" t="s">
        <v>4641</v>
      </c>
      <c r="D876" s="65" t="s">
        <v>787</v>
      </c>
      <c r="E876" t="s">
        <v>5947</v>
      </c>
      <c r="F876" s="69" t="s">
        <v>1549</v>
      </c>
      <c r="I876" s="2"/>
      <c r="K876" s="82"/>
    </row>
    <row r="877" spans="1:28" x14ac:dyDescent="0.2">
      <c r="A877" s="33">
        <v>42574</v>
      </c>
      <c r="B877" t="s">
        <v>4640</v>
      </c>
      <c r="C877" s="1" t="s">
        <v>4641</v>
      </c>
      <c r="D877" s="10" t="s">
        <v>787</v>
      </c>
      <c r="E877" s="5" t="s">
        <v>5947</v>
      </c>
      <c r="F877" s="108" t="s">
        <v>1549</v>
      </c>
      <c r="G877" s="5"/>
      <c r="H877" s="2"/>
      <c r="I877" s="2"/>
      <c r="K877" s="82"/>
    </row>
    <row r="878" spans="1:28" x14ac:dyDescent="0.2">
      <c r="A878" s="33">
        <v>42574</v>
      </c>
      <c r="B878" t="s">
        <v>4640</v>
      </c>
      <c r="C878" s="1" t="s">
        <v>4641</v>
      </c>
      <c r="D878" s="10" t="s">
        <v>787</v>
      </c>
      <c r="E878" s="5" t="s">
        <v>5947</v>
      </c>
      <c r="F878" s="108" t="s">
        <v>1549</v>
      </c>
      <c r="G878" s="5"/>
      <c r="H878" s="2"/>
      <c r="I878" s="2"/>
      <c r="K878" s="82"/>
    </row>
    <row r="879" spans="1:28" x14ac:dyDescent="0.2">
      <c r="A879" s="33">
        <v>42567</v>
      </c>
      <c r="B879" t="s">
        <v>4640</v>
      </c>
      <c r="C879" s="1" t="s">
        <v>4641</v>
      </c>
      <c r="D879" s="10" t="s">
        <v>787</v>
      </c>
      <c r="E879" s="5" t="s">
        <v>5947</v>
      </c>
      <c r="F879" s="108" t="s">
        <v>5508</v>
      </c>
      <c r="G879" s="5"/>
      <c r="H879" s="2"/>
      <c r="I879" s="2"/>
      <c r="K879" s="82"/>
    </row>
    <row r="880" spans="1:28" x14ac:dyDescent="0.2">
      <c r="A880" s="33">
        <v>42560</v>
      </c>
      <c r="B880" t="s">
        <v>4640</v>
      </c>
      <c r="C880" s="1" t="s">
        <v>4641</v>
      </c>
      <c r="D880" s="10" t="s">
        <v>787</v>
      </c>
      <c r="E880" s="5" t="s">
        <v>5947</v>
      </c>
      <c r="F880" s="108" t="s">
        <v>5508</v>
      </c>
      <c r="G880" s="5"/>
      <c r="H880" s="2"/>
      <c r="I880" s="2"/>
      <c r="K880" s="82"/>
    </row>
    <row r="881" spans="1:11" x14ac:dyDescent="0.2">
      <c r="A881" s="33">
        <v>42539</v>
      </c>
      <c r="B881" t="s">
        <v>4640</v>
      </c>
      <c r="C881" s="1" t="s">
        <v>4641</v>
      </c>
      <c r="D881" s="10" t="s">
        <v>787</v>
      </c>
      <c r="E881" s="5" t="s">
        <v>5947</v>
      </c>
      <c r="F881" s="108" t="s">
        <v>5508</v>
      </c>
      <c r="G881" s="5"/>
      <c r="I881" s="2"/>
      <c r="K881" s="82"/>
    </row>
    <row r="882" spans="1:11" x14ac:dyDescent="0.2">
      <c r="A882" s="33">
        <v>42511</v>
      </c>
      <c r="B882" s="5" t="s">
        <v>4640</v>
      </c>
      <c r="C882" s="32" t="s">
        <v>4641</v>
      </c>
      <c r="D882" s="543" t="s">
        <v>787</v>
      </c>
      <c r="E882" s="5" t="s">
        <v>5947</v>
      </c>
      <c r="F882" s="108" t="s">
        <v>1549</v>
      </c>
      <c r="G882" s="5"/>
      <c r="H882" s="5"/>
      <c r="I882" s="2"/>
      <c r="J882" s="5"/>
      <c r="K882" s="85"/>
    </row>
    <row r="883" spans="1:11" x14ac:dyDescent="0.2">
      <c r="A883" s="33">
        <v>42484</v>
      </c>
      <c r="B883" s="5" t="s">
        <v>4640</v>
      </c>
      <c r="C883" s="32" t="s">
        <v>4641</v>
      </c>
      <c r="D883" s="543" t="s">
        <v>787</v>
      </c>
      <c r="E883" s="5" t="s">
        <v>5947</v>
      </c>
      <c r="F883" s="108" t="s">
        <v>4854</v>
      </c>
      <c r="G883" s="5"/>
      <c r="H883" s="5"/>
      <c r="I883" s="2"/>
      <c r="J883" s="5"/>
      <c r="K883" s="85"/>
    </row>
    <row r="884" spans="1:11" x14ac:dyDescent="0.2">
      <c r="A884" s="33">
        <v>42476</v>
      </c>
      <c r="B884" t="s">
        <v>4640</v>
      </c>
      <c r="C884" s="1" t="s">
        <v>4641</v>
      </c>
      <c r="D884" s="10" t="s">
        <v>787</v>
      </c>
      <c r="E884" s="5" t="s">
        <v>5947</v>
      </c>
      <c r="F884" s="108" t="s">
        <v>4101</v>
      </c>
      <c r="G884" s="5"/>
      <c r="H884" s="2"/>
      <c r="I884" s="2"/>
    </row>
    <row r="885" spans="1:11" x14ac:dyDescent="0.2">
      <c r="A885" s="33">
        <v>42469</v>
      </c>
      <c r="B885" s="5" t="s">
        <v>4640</v>
      </c>
      <c r="C885" s="32" t="s">
        <v>4641</v>
      </c>
      <c r="D885" s="65" t="s">
        <v>787</v>
      </c>
      <c r="E885" t="s">
        <v>5947</v>
      </c>
      <c r="F885" s="69" t="s">
        <v>5508</v>
      </c>
      <c r="I885" s="2"/>
      <c r="K885" s="82"/>
    </row>
    <row r="886" spans="1:11" x14ac:dyDescent="0.2">
      <c r="A886" s="33">
        <v>42455</v>
      </c>
      <c r="B886" t="s">
        <v>4640</v>
      </c>
      <c r="C886" s="1" t="s">
        <v>4641</v>
      </c>
      <c r="D886" s="65" t="s">
        <v>787</v>
      </c>
      <c r="E886" s="5" t="s">
        <v>5947</v>
      </c>
      <c r="F886" s="108" t="s">
        <v>4854</v>
      </c>
      <c r="G886" s="5"/>
      <c r="H886" s="2"/>
      <c r="I886" s="2"/>
      <c r="K886" s="82"/>
    </row>
    <row r="887" spans="1:11" x14ac:dyDescent="0.2">
      <c r="A887" s="33">
        <v>42448</v>
      </c>
      <c r="B887" t="s">
        <v>4640</v>
      </c>
      <c r="C887" s="1" t="s">
        <v>4641</v>
      </c>
      <c r="D887" s="65" t="s">
        <v>787</v>
      </c>
      <c r="E887" s="5" t="s">
        <v>5947</v>
      </c>
      <c r="F887" s="108" t="s">
        <v>1549</v>
      </c>
      <c r="G887" s="5"/>
      <c r="H887" s="2"/>
      <c r="I887" s="2"/>
      <c r="K887" s="82"/>
    </row>
    <row r="888" spans="1:11" x14ac:dyDescent="0.2">
      <c r="A888" s="33">
        <v>42427</v>
      </c>
      <c r="B888" t="s">
        <v>4640</v>
      </c>
      <c r="C888" s="1" t="s">
        <v>4641</v>
      </c>
      <c r="D888" s="65" t="s">
        <v>787</v>
      </c>
      <c r="E888" s="5" t="s">
        <v>5947</v>
      </c>
      <c r="F888" s="108" t="s">
        <v>5508</v>
      </c>
      <c r="G888" s="5"/>
      <c r="I888" s="2"/>
      <c r="K888" s="82"/>
    </row>
    <row r="889" spans="1:11" x14ac:dyDescent="0.2">
      <c r="A889" s="33">
        <v>42420</v>
      </c>
      <c r="B889" t="s">
        <v>4640</v>
      </c>
      <c r="C889" s="1" t="s">
        <v>4641</v>
      </c>
      <c r="D889" s="65" t="s">
        <v>787</v>
      </c>
      <c r="E889" s="5" t="s">
        <v>5947</v>
      </c>
      <c r="F889" s="108" t="s">
        <v>5508</v>
      </c>
      <c r="G889" s="5"/>
      <c r="I889" s="2"/>
      <c r="K889" s="82"/>
    </row>
    <row r="890" spans="1:11" x14ac:dyDescent="0.2">
      <c r="A890" s="33">
        <v>42392</v>
      </c>
      <c r="B890" t="s">
        <v>4640</v>
      </c>
      <c r="C890" s="1" t="s">
        <v>4641</v>
      </c>
      <c r="D890" s="65" t="s">
        <v>787</v>
      </c>
      <c r="E890" t="s">
        <v>5947</v>
      </c>
      <c r="F890" s="69" t="s">
        <v>4854</v>
      </c>
      <c r="I890" s="2"/>
      <c r="K890" s="82"/>
    </row>
    <row r="891" spans="1:11" x14ac:dyDescent="0.2">
      <c r="A891" s="33">
        <v>42385</v>
      </c>
      <c r="B891" t="s">
        <v>4640</v>
      </c>
      <c r="C891" s="1" t="s">
        <v>4641</v>
      </c>
      <c r="D891" s="65" t="s">
        <v>787</v>
      </c>
      <c r="E891" s="5" t="s">
        <v>5947</v>
      </c>
      <c r="F891" s="108" t="s">
        <v>3596</v>
      </c>
      <c r="G891" s="5"/>
      <c r="H891" s="2"/>
      <c r="I891" s="2"/>
      <c r="K891" s="82"/>
    </row>
    <row r="892" spans="1:11" x14ac:dyDescent="0.2">
      <c r="A892" s="33">
        <v>42378</v>
      </c>
      <c r="B892" s="407" t="s">
        <v>4640</v>
      </c>
      <c r="C892" s="408" t="s">
        <v>4641</v>
      </c>
      <c r="D892" s="544" t="s">
        <v>787</v>
      </c>
      <c r="E892" s="407" t="s">
        <v>5947</v>
      </c>
      <c r="F892" s="545" t="s">
        <v>1549</v>
      </c>
      <c r="G892" s="407"/>
      <c r="H892" s="348"/>
      <c r="I892" s="348"/>
      <c r="J892" s="407"/>
      <c r="K892" s="546"/>
    </row>
    <row r="893" spans="1:11" x14ac:dyDescent="0.2">
      <c r="A893" s="33">
        <v>42370</v>
      </c>
      <c r="B893" t="s">
        <v>4640</v>
      </c>
      <c r="C893" s="1" t="s">
        <v>4641</v>
      </c>
      <c r="D893" s="65" t="s">
        <v>787</v>
      </c>
      <c r="E893" s="5" t="s">
        <v>5947</v>
      </c>
      <c r="F893" s="69" t="s">
        <v>5508</v>
      </c>
    </row>
    <row r="894" spans="1:11" x14ac:dyDescent="0.2">
      <c r="A894" s="33">
        <v>42665</v>
      </c>
      <c r="B894" s="53" t="s">
        <v>4071</v>
      </c>
      <c r="C894" s="54" t="s">
        <v>4641</v>
      </c>
      <c r="D894" s="65">
        <v>3.1331018518518515E-2</v>
      </c>
      <c r="E894" s="1" t="s">
        <v>5947</v>
      </c>
      <c r="F894" s="69" t="s">
        <v>2057</v>
      </c>
      <c r="I894" s="2"/>
      <c r="K894" s="82">
        <v>0.32800000000000001</v>
      </c>
    </row>
    <row r="895" spans="1:11" x14ac:dyDescent="0.2">
      <c r="A895" s="33">
        <v>42413</v>
      </c>
      <c r="B895" t="s">
        <v>4640</v>
      </c>
      <c r="C895" s="1" t="s">
        <v>1633</v>
      </c>
      <c r="D895" s="65" t="s">
        <v>787</v>
      </c>
      <c r="E895" t="s">
        <v>5947</v>
      </c>
      <c r="F895" s="69" t="s">
        <v>1549</v>
      </c>
      <c r="I895" s="2"/>
      <c r="K895" s="82"/>
    </row>
    <row r="896" spans="1:11" x14ac:dyDescent="0.2">
      <c r="A896" s="33">
        <v>42609</v>
      </c>
      <c r="B896" s="5" t="s">
        <v>3898</v>
      </c>
      <c r="C896" s="32" t="s">
        <v>1543</v>
      </c>
      <c r="D896" s="65">
        <v>1.861111111111111E-2</v>
      </c>
      <c r="E896" t="s">
        <v>3167</v>
      </c>
      <c r="F896" s="69" t="s">
        <v>255</v>
      </c>
      <c r="I896" s="2"/>
      <c r="K896" s="82">
        <v>0.52110000000000001</v>
      </c>
    </row>
    <row r="897" spans="1:13" x14ac:dyDescent="0.2">
      <c r="A897" s="33">
        <v>42588</v>
      </c>
      <c r="B897" s="5" t="s">
        <v>3898</v>
      </c>
      <c r="C897" s="32" t="s">
        <v>1543</v>
      </c>
      <c r="D897" s="543">
        <v>1.8043981481481484E-2</v>
      </c>
      <c r="E897" s="5" t="s">
        <v>3167</v>
      </c>
      <c r="F897" s="108" t="s">
        <v>4098</v>
      </c>
      <c r="G897" s="5"/>
      <c r="H897" s="5"/>
      <c r="I897" s="2"/>
      <c r="J897" s="5"/>
      <c r="K897" s="85">
        <v>0.53749999999999998</v>
      </c>
    </row>
    <row r="898" spans="1:13" x14ac:dyDescent="0.2">
      <c r="A898" s="33">
        <v>42581</v>
      </c>
      <c r="B898" s="5" t="s">
        <v>3898</v>
      </c>
      <c r="C898" s="32" t="s">
        <v>1543</v>
      </c>
      <c r="D898" s="65">
        <v>1.8287037037037036E-2</v>
      </c>
      <c r="E898" t="s">
        <v>3167</v>
      </c>
      <c r="F898" s="69" t="s">
        <v>4921</v>
      </c>
      <c r="I898" s="2"/>
      <c r="K898" s="82">
        <v>0.53039999999999998</v>
      </c>
    </row>
    <row r="899" spans="1:13" x14ac:dyDescent="0.2">
      <c r="A899" s="33">
        <v>42735</v>
      </c>
      <c r="B899" s="80" t="s">
        <v>665</v>
      </c>
      <c r="C899" s="334" t="s">
        <v>666</v>
      </c>
      <c r="D899" s="65">
        <v>1.9085648148148147E-2</v>
      </c>
      <c r="E899" s="80" t="s">
        <v>1696</v>
      </c>
      <c r="F899" s="69" t="s">
        <v>6202</v>
      </c>
      <c r="I899" s="2"/>
      <c r="K899" s="82">
        <v>0.56399999999999995</v>
      </c>
      <c r="M899">
        <f>235-186</f>
        <v>49</v>
      </c>
    </row>
    <row r="900" spans="1:13" x14ac:dyDescent="0.2">
      <c r="A900" s="33">
        <v>42729</v>
      </c>
      <c r="B900" s="80" t="s">
        <v>665</v>
      </c>
      <c r="C900" s="334" t="s">
        <v>666</v>
      </c>
      <c r="D900" s="547" t="s">
        <v>787</v>
      </c>
      <c r="E900" s="80" t="s">
        <v>1401</v>
      </c>
      <c r="F900" s="69" t="s">
        <v>5508</v>
      </c>
      <c r="I900" s="2"/>
      <c r="K900" s="82"/>
    </row>
    <row r="901" spans="1:13" x14ac:dyDescent="0.2">
      <c r="A901" s="523">
        <v>42728</v>
      </c>
      <c r="B901" s="80" t="s">
        <v>665</v>
      </c>
      <c r="C901" s="334" t="s">
        <v>666</v>
      </c>
      <c r="D901" s="65">
        <v>2.0243055555555552E-2</v>
      </c>
      <c r="E901" t="s">
        <v>1982</v>
      </c>
      <c r="F901" s="69" t="s">
        <v>1243</v>
      </c>
      <c r="I901" s="2"/>
      <c r="K901" s="82">
        <v>0.53169999999999995</v>
      </c>
    </row>
    <row r="902" spans="1:13" x14ac:dyDescent="0.2">
      <c r="A902" s="33">
        <v>42714</v>
      </c>
      <c r="B902" s="5" t="s">
        <v>665</v>
      </c>
      <c r="C902" s="32" t="s">
        <v>666</v>
      </c>
      <c r="D902" s="65">
        <v>1.8993055555555558E-2</v>
      </c>
      <c r="E902" s="5" t="s">
        <v>2963</v>
      </c>
      <c r="F902" s="108" t="s">
        <v>6080</v>
      </c>
      <c r="I902" s="2"/>
      <c r="K902" s="82">
        <v>0.56669999999999998</v>
      </c>
    </row>
    <row r="903" spans="1:13" x14ac:dyDescent="0.2">
      <c r="A903" s="33">
        <v>42707</v>
      </c>
      <c r="B903" s="5" t="s">
        <v>665</v>
      </c>
      <c r="C903" s="32" t="s">
        <v>666</v>
      </c>
      <c r="D903" s="65">
        <v>1.9837962962962963E-2</v>
      </c>
      <c r="E903" t="s">
        <v>282</v>
      </c>
      <c r="F903" s="108" t="s">
        <v>6061</v>
      </c>
      <c r="I903" s="2"/>
      <c r="K903" s="82">
        <v>0.54259999999999997</v>
      </c>
    </row>
    <row r="904" spans="1:13" x14ac:dyDescent="0.2">
      <c r="A904" s="33">
        <v>42700</v>
      </c>
      <c r="B904" s="5" t="s">
        <v>665</v>
      </c>
      <c r="C904" s="32" t="s">
        <v>666</v>
      </c>
      <c r="D904" s="65">
        <v>2.0532407407407405E-2</v>
      </c>
      <c r="E904" s="5" t="s">
        <v>3947</v>
      </c>
      <c r="F904" s="69"/>
      <c r="G904" t="s">
        <v>6098</v>
      </c>
      <c r="I904" s="2"/>
      <c r="K904" s="82">
        <v>0.5242</v>
      </c>
      <c r="M904" s="80" t="s">
        <v>820</v>
      </c>
    </row>
    <row r="905" spans="1:13" x14ac:dyDescent="0.2">
      <c r="A905" s="33">
        <v>42686</v>
      </c>
      <c r="B905" s="5" t="s">
        <v>665</v>
      </c>
      <c r="C905" s="32" t="s">
        <v>666</v>
      </c>
      <c r="D905" s="65">
        <v>1.8437499999999999E-2</v>
      </c>
      <c r="E905" t="s">
        <v>1460</v>
      </c>
      <c r="F905" s="69" t="s">
        <v>1480</v>
      </c>
      <c r="I905" s="2"/>
      <c r="K905" s="82">
        <v>0.58379999999999999</v>
      </c>
    </row>
    <row r="906" spans="1:13" x14ac:dyDescent="0.2">
      <c r="A906" s="33">
        <v>42679</v>
      </c>
      <c r="B906" s="5" t="s">
        <v>665</v>
      </c>
      <c r="C906" s="32" t="s">
        <v>666</v>
      </c>
      <c r="D906" s="65">
        <v>1.8981481481481481E-2</v>
      </c>
      <c r="E906" t="s">
        <v>4861</v>
      </c>
      <c r="F906" s="69" t="s">
        <v>616</v>
      </c>
      <c r="I906" s="2"/>
      <c r="K906" s="82">
        <v>0.56710000000000005</v>
      </c>
    </row>
    <row r="907" spans="1:13" x14ac:dyDescent="0.2">
      <c r="A907" s="33">
        <v>42672</v>
      </c>
      <c r="B907" s="5" t="s">
        <v>665</v>
      </c>
      <c r="C907" s="32" t="s">
        <v>666</v>
      </c>
      <c r="D907" s="65">
        <v>1.8935185185185183E-2</v>
      </c>
      <c r="E907" t="s">
        <v>74</v>
      </c>
      <c r="F907" s="69" t="s">
        <v>4149</v>
      </c>
      <c r="I907" s="2"/>
      <c r="K907" s="82">
        <v>0.56850000000000001</v>
      </c>
    </row>
    <row r="908" spans="1:13" x14ac:dyDescent="0.2">
      <c r="A908" s="33">
        <v>42665</v>
      </c>
      <c r="B908" s="5" t="s">
        <v>665</v>
      </c>
      <c r="C908" s="32" t="s">
        <v>666</v>
      </c>
      <c r="D908" s="65">
        <v>1.8518518518518521E-2</v>
      </c>
      <c r="E908" t="s">
        <v>1678</v>
      </c>
      <c r="F908" s="69" t="s">
        <v>1252</v>
      </c>
      <c r="I908" s="2"/>
      <c r="K908" s="82">
        <v>0.58130000000000004</v>
      </c>
    </row>
    <row r="909" spans="1:13" x14ac:dyDescent="0.2">
      <c r="A909" s="33">
        <v>42658</v>
      </c>
      <c r="B909" s="5" t="s">
        <v>665</v>
      </c>
      <c r="C909" s="32" t="s">
        <v>666</v>
      </c>
      <c r="D909" s="65">
        <v>1.8935185185185183E-2</v>
      </c>
      <c r="E909" t="s">
        <v>1970</v>
      </c>
      <c r="F909" s="69" t="s">
        <v>3729</v>
      </c>
      <c r="I909" s="2"/>
      <c r="K909" s="82">
        <v>0.56850000000000001</v>
      </c>
    </row>
    <row r="910" spans="1:13" x14ac:dyDescent="0.2">
      <c r="A910" s="33">
        <v>42651</v>
      </c>
      <c r="B910" s="5" t="s">
        <v>665</v>
      </c>
      <c r="C910" s="32" t="s">
        <v>666</v>
      </c>
      <c r="D910" s="65">
        <v>1.8969907407407408E-2</v>
      </c>
      <c r="E910" t="s">
        <v>2295</v>
      </c>
      <c r="F910" s="69" t="s">
        <v>5019</v>
      </c>
      <c r="I910" s="2"/>
      <c r="K910" s="82">
        <v>0.56740000000000002</v>
      </c>
    </row>
    <row r="911" spans="1:13" x14ac:dyDescent="0.2">
      <c r="A911" s="33">
        <v>42644</v>
      </c>
      <c r="B911" s="5" t="s">
        <v>665</v>
      </c>
      <c r="C911" s="32" t="s">
        <v>666</v>
      </c>
      <c r="D911" s="65">
        <v>1.9108796296296294E-2</v>
      </c>
      <c r="E911" t="s">
        <v>5153</v>
      </c>
      <c r="F911" s="69" t="s">
        <v>3053</v>
      </c>
      <c r="I911" s="2"/>
      <c r="K911" s="82">
        <v>0.56330000000000002</v>
      </c>
      <c r="M911" s="6"/>
    </row>
    <row r="912" spans="1:13" x14ac:dyDescent="0.2">
      <c r="A912" s="33">
        <v>42630</v>
      </c>
      <c r="B912" s="5" t="s">
        <v>665</v>
      </c>
      <c r="C912" s="32" t="s">
        <v>666</v>
      </c>
      <c r="D912" s="65">
        <v>1.8043981481481484E-2</v>
      </c>
      <c r="E912" t="s">
        <v>2830</v>
      </c>
      <c r="F912" s="69" t="s">
        <v>2453</v>
      </c>
      <c r="I912" s="2"/>
      <c r="K912" s="82">
        <v>0.59650000000000003</v>
      </c>
    </row>
    <row r="913" spans="1:28" x14ac:dyDescent="0.2">
      <c r="A913" s="33">
        <v>42623</v>
      </c>
      <c r="B913" s="5" t="s">
        <v>665</v>
      </c>
      <c r="C913" s="32" t="s">
        <v>666</v>
      </c>
      <c r="D913" s="65">
        <v>1.9305555555555555E-2</v>
      </c>
      <c r="E913" t="s">
        <v>4544</v>
      </c>
      <c r="F913" s="69" t="s">
        <v>822</v>
      </c>
      <c r="I913" s="2"/>
      <c r="K913" s="82">
        <v>0.55759999999999998</v>
      </c>
    </row>
    <row r="914" spans="1:28" x14ac:dyDescent="0.2">
      <c r="A914" s="33">
        <v>42616</v>
      </c>
      <c r="B914" s="5" t="s">
        <v>665</v>
      </c>
      <c r="C914" s="32" t="s">
        <v>666</v>
      </c>
      <c r="D914" s="65">
        <v>2.0601851851851854E-2</v>
      </c>
      <c r="E914" t="s">
        <v>1656</v>
      </c>
      <c r="F914" s="69" t="s">
        <v>1657</v>
      </c>
      <c r="I914" s="2"/>
      <c r="K914" s="82">
        <v>0.52249999999999996</v>
      </c>
    </row>
    <row r="915" spans="1:28" x14ac:dyDescent="0.2">
      <c r="A915" s="33">
        <v>42609</v>
      </c>
      <c r="B915" s="5" t="s">
        <v>665</v>
      </c>
      <c r="C915" s="32" t="s">
        <v>666</v>
      </c>
      <c r="D915" s="65">
        <v>2.0949074074074075E-2</v>
      </c>
      <c r="E915" t="s">
        <v>1569</v>
      </c>
      <c r="F915" s="69" t="s">
        <v>326</v>
      </c>
      <c r="I915" s="2"/>
      <c r="K915" s="82">
        <v>0.51380000000000003</v>
      </c>
    </row>
    <row r="916" spans="1:28" x14ac:dyDescent="0.2">
      <c r="A916" s="33">
        <v>42602</v>
      </c>
      <c r="B916" s="5" t="s">
        <v>665</v>
      </c>
      <c r="C916" s="32" t="s">
        <v>666</v>
      </c>
      <c r="D916" s="65">
        <v>1.9317129629629629E-2</v>
      </c>
      <c r="E916" t="s">
        <v>3338</v>
      </c>
      <c r="F916" s="69" t="s">
        <v>3984</v>
      </c>
      <c r="I916" s="2"/>
      <c r="K916" s="82">
        <v>0.55720000000000003</v>
      </c>
    </row>
    <row r="917" spans="1:28" x14ac:dyDescent="0.2">
      <c r="A917" s="33">
        <v>42595</v>
      </c>
      <c r="B917" s="5" t="s">
        <v>665</v>
      </c>
      <c r="C917" s="32" t="s">
        <v>666</v>
      </c>
      <c r="D917" s="65">
        <v>1.9849537037037037E-2</v>
      </c>
      <c r="E917" t="s">
        <v>4294</v>
      </c>
      <c r="F917" s="69" t="s">
        <v>1443</v>
      </c>
      <c r="I917" s="2"/>
      <c r="K917" s="82">
        <v>0.5423</v>
      </c>
    </row>
    <row r="918" spans="1:28" x14ac:dyDescent="0.2">
      <c r="A918" s="33">
        <v>42588</v>
      </c>
      <c r="B918" s="5" t="s">
        <v>665</v>
      </c>
      <c r="C918" s="32" t="s">
        <v>666</v>
      </c>
      <c r="D918" s="543">
        <v>1.8356481481481481E-2</v>
      </c>
      <c r="E918" s="5" t="s">
        <v>5554</v>
      </c>
      <c r="F918" s="108" t="s">
        <v>532</v>
      </c>
      <c r="G918" s="5"/>
      <c r="H918" s="5"/>
      <c r="I918" s="2"/>
      <c r="J918" s="5"/>
      <c r="K918" s="85">
        <v>0.58640000000000003</v>
      </c>
    </row>
    <row r="919" spans="1:28" x14ac:dyDescent="0.2">
      <c r="A919" s="33">
        <v>42581</v>
      </c>
      <c r="B919" s="5" t="s">
        <v>665</v>
      </c>
      <c r="C919" s="32" t="s">
        <v>666</v>
      </c>
      <c r="D919" s="65">
        <v>1.9224537037037037E-2</v>
      </c>
      <c r="E919" t="s">
        <v>5885</v>
      </c>
      <c r="F919" s="69" t="s">
        <v>4069</v>
      </c>
      <c r="I919" s="2"/>
      <c r="K919" s="82">
        <v>0.55989999999999995</v>
      </c>
    </row>
    <row r="920" spans="1:28" x14ac:dyDescent="0.2">
      <c r="A920" s="33">
        <v>42574</v>
      </c>
      <c r="B920" s="5" t="s">
        <v>665</v>
      </c>
      <c r="C920" s="32" t="s">
        <v>666</v>
      </c>
      <c r="D920" s="65">
        <v>1.9710648148148147E-2</v>
      </c>
      <c r="E920" t="s">
        <v>1013</v>
      </c>
      <c r="F920" s="69" t="s">
        <v>1014</v>
      </c>
      <c r="I920" s="2"/>
      <c r="K920" s="82">
        <v>0.54610000000000003</v>
      </c>
    </row>
    <row r="921" spans="1:28" x14ac:dyDescent="0.2">
      <c r="A921" s="33">
        <v>42574</v>
      </c>
      <c r="B921" s="5" t="s">
        <v>665</v>
      </c>
      <c r="C921" s="32" t="s">
        <v>666</v>
      </c>
      <c r="D921" s="65" t="s">
        <v>787</v>
      </c>
      <c r="E921" t="s">
        <v>1013</v>
      </c>
      <c r="F921" s="69" t="s">
        <v>5201</v>
      </c>
      <c r="K921" s="82"/>
    </row>
    <row r="922" spans="1:28" x14ac:dyDescent="0.2">
      <c r="A922" s="33">
        <v>42567</v>
      </c>
      <c r="B922" s="5" t="s">
        <v>665</v>
      </c>
      <c r="C922" s="32" t="s">
        <v>666</v>
      </c>
      <c r="D922" s="65">
        <v>1.8935185185185183E-2</v>
      </c>
      <c r="E922" t="s">
        <v>203</v>
      </c>
      <c r="F922" s="69" t="s">
        <v>4345</v>
      </c>
      <c r="I922" s="2"/>
      <c r="K922" s="82">
        <v>0.56359999999999999</v>
      </c>
    </row>
    <row r="923" spans="1:28" x14ac:dyDescent="0.2">
      <c r="A923" s="33">
        <v>42560</v>
      </c>
      <c r="B923" s="5" t="s">
        <v>665</v>
      </c>
      <c r="C923" s="32" t="s">
        <v>666</v>
      </c>
      <c r="D923" s="65">
        <v>1.9039351851851852E-2</v>
      </c>
      <c r="E923" t="s">
        <v>4339</v>
      </c>
      <c r="F923" s="69" t="s">
        <v>4346</v>
      </c>
      <c r="I923" s="2"/>
      <c r="K923" s="82">
        <v>0.5605</v>
      </c>
    </row>
    <row r="924" spans="1:28" x14ac:dyDescent="0.2">
      <c r="A924" s="33">
        <v>42553</v>
      </c>
      <c r="B924" s="5" t="s">
        <v>665</v>
      </c>
      <c r="C924" s="32" t="s">
        <v>666</v>
      </c>
      <c r="D924" s="65">
        <v>1.8703703703703705E-2</v>
      </c>
      <c r="E924" t="s">
        <v>2711</v>
      </c>
      <c r="F924" s="69" t="s">
        <v>5865</v>
      </c>
      <c r="I924" s="2"/>
      <c r="K924" s="82">
        <v>0.57050000000000001</v>
      </c>
    </row>
    <row r="925" spans="1:28" x14ac:dyDescent="0.2">
      <c r="A925" s="33">
        <v>42546</v>
      </c>
      <c r="B925" s="5" t="s">
        <v>665</v>
      </c>
      <c r="C925" s="32" t="s">
        <v>666</v>
      </c>
      <c r="D925" s="65">
        <v>1.8865740740740742E-2</v>
      </c>
      <c r="E925" t="s">
        <v>559</v>
      </c>
      <c r="F925" s="69" t="s">
        <v>4924</v>
      </c>
      <c r="I925" s="2"/>
      <c r="K925" s="82">
        <v>0.56559999999999999</v>
      </c>
    </row>
    <row r="926" spans="1:28" x14ac:dyDescent="0.2">
      <c r="A926" s="33">
        <v>42539</v>
      </c>
      <c r="B926" s="5" t="s">
        <v>665</v>
      </c>
      <c r="C926" s="32" t="s">
        <v>666</v>
      </c>
      <c r="D926" s="65">
        <v>1.9375E-2</v>
      </c>
      <c r="E926" t="s">
        <v>4764</v>
      </c>
      <c r="F926" s="69" t="s">
        <v>4763</v>
      </c>
      <c r="I926" s="2"/>
      <c r="K926" s="82">
        <v>0.55079999999999996</v>
      </c>
    </row>
    <row r="927" spans="1:28" x14ac:dyDescent="0.2">
      <c r="A927" s="33">
        <v>42532</v>
      </c>
      <c r="B927" s="5" t="s">
        <v>665</v>
      </c>
      <c r="C927" s="32" t="s">
        <v>666</v>
      </c>
      <c r="D927" s="65">
        <v>2.1053240740740744E-2</v>
      </c>
      <c r="E927" t="s">
        <v>5055</v>
      </c>
      <c r="F927" s="69" t="s">
        <v>1343</v>
      </c>
      <c r="I927" s="2"/>
      <c r="K927" s="82">
        <v>0.50690000000000002</v>
      </c>
      <c r="AB927" s="41"/>
    </row>
    <row r="928" spans="1:28" x14ac:dyDescent="0.2">
      <c r="A928" s="33">
        <v>42525</v>
      </c>
      <c r="B928" s="5" t="s">
        <v>665</v>
      </c>
      <c r="C928" s="32" t="s">
        <v>666</v>
      </c>
      <c r="D928" s="543">
        <v>1.8703703703703705E-2</v>
      </c>
      <c r="E928" s="5" t="s">
        <v>6021</v>
      </c>
      <c r="F928" s="108" t="s">
        <v>5216</v>
      </c>
      <c r="G928" s="5"/>
      <c r="H928" s="5"/>
      <c r="I928" s="2"/>
      <c r="J928" s="5"/>
      <c r="K928" s="85">
        <v>0.57050000000000001</v>
      </c>
      <c r="AA928" s="41"/>
    </row>
    <row r="929" spans="1:19" x14ac:dyDescent="0.2">
      <c r="A929" s="33">
        <v>42518</v>
      </c>
      <c r="B929" s="5" t="s">
        <v>665</v>
      </c>
      <c r="C929" s="32" t="s">
        <v>666</v>
      </c>
      <c r="D929" s="543">
        <v>1.8194444444444444E-2</v>
      </c>
      <c r="E929" s="5" t="s">
        <v>3470</v>
      </c>
      <c r="F929" s="108" t="s">
        <v>5442</v>
      </c>
      <c r="G929" s="5"/>
      <c r="H929" s="5"/>
      <c r="I929" s="2"/>
      <c r="J929" s="5"/>
      <c r="K929" s="85">
        <v>0.58650000000000002</v>
      </c>
    </row>
    <row r="930" spans="1:19" x14ac:dyDescent="0.2">
      <c r="A930" s="33">
        <v>42511</v>
      </c>
      <c r="B930" s="5" t="s">
        <v>665</v>
      </c>
      <c r="C930" s="32" t="s">
        <v>666</v>
      </c>
      <c r="D930" s="543" t="s">
        <v>787</v>
      </c>
      <c r="E930" s="5" t="s">
        <v>1401</v>
      </c>
      <c r="F930" s="108" t="s">
        <v>5699</v>
      </c>
      <c r="G930" s="5"/>
      <c r="H930" s="5"/>
      <c r="I930" s="2"/>
      <c r="J930" s="5"/>
      <c r="K930" s="85"/>
    </row>
    <row r="931" spans="1:19" x14ac:dyDescent="0.2">
      <c r="A931" s="33">
        <v>42504</v>
      </c>
      <c r="B931" s="5" t="s">
        <v>665</v>
      </c>
      <c r="C931" s="32" t="s">
        <v>666</v>
      </c>
      <c r="D931" s="543">
        <v>1.9305555555555555E-2</v>
      </c>
      <c r="E931" s="5" t="s">
        <v>785</v>
      </c>
      <c r="F931" s="108" t="s">
        <v>2375</v>
      </c>
      <c r="G931" s="5"/>
      <c r="H931" s="5"/>
      <c r="I931" s="5"/>
      <c r="J931" s="5"/>
      <c r="K931" s="85">
        <v>0.55279999999999996</v>
      </c>
    </row>
    <row r="932" spans="1:19" x14ac:dyDescent="0.2">
      <c r="A932" s="33">
        <v>42497</v>
      </c>
      <c r="B932" s="5" t="s">
        <v>665</v>
      </c>
      <c r="C932" s="32" t="s">
        <v>666</v>
      </c>
      <c r="D932" s="543">
        <v>1.9398148148148147E-2</v>
      </c>
      <c r="E932" s="5" t="s">
        <v>5267</v>
      </c>
      <c r="F932" s="108" t="s">
        <v>3092</v>
      </c>
      <c r="G932" s="5"/>
      <c r="H932" s="5"/>
      <c r="I932" s="5"/>
      <c r="J932" s="5"/>
      <c r="K932" s="85">
        <v>0.55010000000000003</v>
      </c>
    </row>
    <row r="933" spans="1:19" x14ac:dyDescent="0.2">
      <c r="A933" s="33">
        <v>42490</v>
      </c>
      <c r="B933" s="5" t="s">
        <v>665</v>
      </c>
      <c r="C933" s="32" t="s">
        <v>666</v>
      </c>
      <c r="D933" s="543">
        <v>1.9131944444444444E-2</v>
      </c>
      <c r="E933" s="5" t="s">
        <v>1116</v>
      </c>
      <c r="F933" s="108" t="s">
        <v>5800</v>
      </c>
      <c r="G933" s="5"/>
      <c r="H933" s="5"/>
      <c r="I933" s="5"/>
      <c r="J933" s="5"/>
      <c r="K933" s="85">
        <v>0.55779999999999996</v>
      </c>
    </row>
    <row r="934" spans="1:19" x14ac:dyDescent="0.2">
      <c r="A934" s="33">
        <v>42483</v>
      </c>
      <c r="B934" s="5" t="s">
        <v>665</v>
      </c>
      <c r="C934" s="32" t="s">
        <v>666</v>
      </c>
      <c r="D934" s="543">
        <v>1.8877314814814816E-2</v>
      </c>
      <c r="E934" s="5" t="s">
        <v>2464</v>
      </c>
      <c r="F934" s="108" t="s">
        <v>231</v>
      </c>
      <c r="G934" s="5"/>
      <c r="H934" s="5"/>
      <c r="I934" s="2"/>
      <c r="J934" s="5"/>
      <c r="K934" s="85">
        <v>0.56530000000000002</v>
      </c>
    </row>
    <row r="935" spans="1:19" x14ac:dyDescent="0.2">
      <c r="A935" s="33">
        <v>42476</v>
      </c>
      <c r="B935" s="5" t="s">
        <v>665</v>
      </c>
      <c r="C935" s="32" t="s">
        <v>666</v>
      </c>
      <c r="D935" s="65">
        <v>2.2800925925925929E-2</v>
      </c>
      <c r="E935" s="5" t="s">
        <v>280</v>
      </c>
      <c r="F935" s="69" t="s">
        <v>3478</v>
      </c>
      <c r="I935" s="2"/>
      <c r="K935" s="82">
        <v>0.46800000000000003</v>
      </c>
    </row>
    <row r="936" spans="1:19" x14ac:dyDescent="0.2">
      <c r="A936" s="33">
        <v>42469</v>
      </c>
      <c r="B936" s="5" t="s">
        <v>665</v>
      </c>
      <c r="C936" s="32" t="s">
        <v>666</v>
      </c>
      <c r="D936" s="65">
        <v>1.8877314814814816E-2</v>
      </c>
      <c r="E936" t="s">
        <v>4835</v>
      </c>
      <c r="F936" s="69" t="s">
        <v>4240</v>
      </c>
      <c r="I936" s="2"/>
      <c r="K936" s="82">
        <v>0.56530000000000002</v>
      </c>
    </row>
    <row r="937" spans="1:19" x14ac:dyDescent="0.2">
      <c r="A937" s="33">
        <v>42462</v>
      </c>
      <c r="B937" s="5" t="s">
        <v>665</v>
      </c>
      <c r="C937" s="32" t="s">
        <v>666</v>
      </c>
      <c r="D937" s="65">
        <v>1.8506944444444444E-2</v>
      </c>
      <c r="E937" t="s">
        <v>6020</v>
      </c>
      <c r="F937" s="69" t="s">
        <v>2130</v>
      </c>
      <c r="I937" s="2"/>
      <c r="K937" s="82">
        <v>0.5766</v>
      </c>
    </row>
    <row r="938" spans="1:19" x14ac:dyDescent="0.2">
      <c r="A938" s="33">
        <v>42455</v>
      </c>
      <c r="B938" s="5" t="s">
        <v>665</v>
      </c>
      <c r="C938" s="32" t="s">
        <v>666</v>
      </c>
      <c r="D938" s="65">
        <v>1.8865740740740742E-2</v>
      </c>
      <c r="E938" t="s">
        <v>358</v>
      </c>
      <c r="F938" s="69" t="s">
        <v>1725</v>
      </c>
      <c r="I938" s="2"/>
      <c r="K938" s="82">
        <v>0.56559999999999999</v>
      </c>
    </row>
    <row r="939" spans="1:19" x14ac:dyDescent="0.2">
      <c r="A939" s="33">
        <v>42448</v>
      </c>
      <c r="B939" s="5" t="s">
        <v>665</v>
      </c>
      <c r="C939" s="32" t="s">
        <v>666</v>
      </c>
      <c r="D939" s="65">
        <v>1.9201388888888889E-2</v>
      </c>
      <c r="E939" t="s">
        <v>2473</v>
      </c>
      <c r="F939" s="69" t="s">
        <v>2474</v>
      </c>
      <c r="I939" s="2"/>
      <c r="K939" s="82">
        <v>0.55579999999999996</v>
      </c>
    </row>
    <row r="940" spans="1:19" x14ac:dyDescent="0.2">
      <c r="A940" s="33">
        <v>42434</v>
      </c>
      <c r="B940" s="5" t="s">
        <v>665</v>
      </c>
      <c r="C940" s="32" t="s">
        <v>666</v>
      </c>
      <c r="D940" s="65">
        <v>1.832175925925926E-2</v>
      </c>
      <c r="E940" t="s">
        <v>2465</v>
      </c>
      <c r="F940" s="69" t="s">
        <v>166</v>
      </c>
      <c r="I940" s="2"/>
      <c r="K940" s="82">
        <v>0.58240000000000003</v>
      </c>
    </row>
    <row r="941" spans="1:19" x14ac:dyDescent="0.2">
      <c r="A941" s="33">
        <v>42420</v>
      </c>
      <c r="B941" s="5" t="s">
        <v>665</v>
      </c>
      <c r="C941" s="32" t="s">
        <v>666</v>
      </c>
      <c r="D941" s="65">
        <v>1.9108796296296294E-2</v>
      </c>
      <c r="E941" t="s">
        <v>2732</v>
      </c>
      <c r="F941" s="69" t="s">
        <v>5772</v>
      </c>
      <c r="I941" s="2"/>
      <c r="K941" s="82">
        <v>0.55840000000000001</v>
      </c>
      <c r="S941" s="80"/>
    </row>
    <row r="942" spans="1:19" x14ac:dyDescent="0.2">
      <c r="A942" s="33">
        <v>42413</v>
      </c>
      <c r="B942" s="5" t="s">
        <v>665</v>
      </c>
      <c r="C942" s="32" t="s">
        <v>666</v>
      </c>
      <c r="D942" s="65">
        <v>1.8391203703703705E-2</v>
      </c>
      <c r="E942" t="s">
        <v>2638</v>
      </c>
      <c r="F942" s="69" t="s">
        <v>2156</v>
      </c>
      <c r="I942" s="2"/>
      <c r="K942" s="82">
        <v>0.58020000000000005</v>
      </c>
    </row>
    <row r="943" spans="1:19" x14ac:dyDescent="0.2">
      <c r="A943" s="33">
        <v>42406</v>
      </c>
      <c r="B943" s="5" t="s">
        <v>665</v>
      </c>
      <c r="C943" s="32" t="s">
        <v>666</v>
      </c>
      <c r="D943" s="65">
        <v>1.9155092592592592E-2</v>
      </c>
      <c r="E943" t="s">
        <v>4845</v>
      </c>
      <c r="F943" s="69" t="s">
        <v>1385</v>
      </c>
      <c r="I943" s="2"/>
      <c r="K943" s="82">
        <v>0.55710000000000004</v>
      </c>
    </row>
    <row r="944" spans="1:19" x14ac:dyDescent="0.2">
      <c r="A944" s="33">
        <v>42399</v>
      </c>
      <c r="B944" s="5" t="s">
        <v>665</v>
      </c>
      <c r="C944" s="32" t="s">
        <v>666</v>
      </c>
      <c r="D944" s="65">
        <v>2.011574074074074E-2</v>
      </c>
      <c r="E944" t="s">
        <v>5821</v>
      </c>
      <c r="F944" s="69" t="s">
        <v>815</v>
      </c>
      <c r="G944" t="s">
        <v>816</v>
      </c>
      <c r="I944" s="2"/>
      <c r="K944" s="82">
        <v>0.53049999999999997</v>
      </c>
    </row>
    <row r="945" spans="1:13" x14ac:dyDescent="0.2">
      <c r="A945" s="33">
        <v>42392</v>
      </c>
      <c r="B945" s="5" t="s">
        <v>665</v>
      </c>
      <c r="C945" s="32" t="s">
        <v>666</v>
      </c>
      <c r="D945" s="65">
        <v>2.0057870370370368E-2</v>
      </c>
      <c r="E945" t="s">
        <v>1211</v>
      </c>
      <c r="F945" s="69" t="s">
        <v>3468</v>
      </c>
      <c r="I945" s="2"/>
      <c r="K945" s="82">
        <v>0.53200000000000003</v>
      </c>
    </row>
    <row r="946" spans="1:13" x14ac:dyDescent="0.2">
      <c r="A946" s="33">
        <v>42385</v>
      </c>
      <c r="B946" s="5" t="s">
        <v>665</v>
      </c>
      <c r="C946" s="32" t="s">
        <v>666</v>
      </c>
      <c r="D946" s="65">
        <v>1.8969907407407408E-2</v>
      </c>
      <c r="E946" t="s">
        <v>1805</v>
      </c>
      <c r="F946" s="69" t="s">
        <v>1227</v>
      </c>
      <c r="I946" s="2"/>
      <c r="K946" s="82">
        <v>0.5625</v>
      </c>
    </row>
    <row r="947" spans="1:13" x14ac:dyDescent="0.2">
      <c r="A947" s="33">
        <v>42378</v>
      </c>
      <c r="B947" s="5" t="s">
        <v>665</v>
      </c>
      <c r="C947" s="32" t="s">
        <v>666</v>
      </c>
      <c r="D947" s="544">
        <v>1.9710648148148147E-2</v>
      </c>
      <c r="E947" s="407" t="s">
        <v>5095</v>
      </c>
      <c r="F947" s="545" t="s">
        <v>4028</v>
      </c>
      <c r="G947" s="407"/>
      <c r="H947" s="407"/>
      <c r="I947" s="348"/>
      <c r="J947" s="407"/>
      <c r="K947" s="546">
        <v>0.54139999999999999</v>
      </c>
    </row>
    <row r="948" spans="1:13" x14ac:dyDescent="0.2">
      <c r="A948" s="33">
        <v>42371</v>
      </c>
      <c r="B948" s="5" t="s">
        <v>665</v>
      </c>
      <c r="C948" s="32" t="s">
        <v>666</v>
      </c>
      <c r="D948" s="65">
        <v>1.7777777777777778E-2</v>
      </c>
      <c r="E948" s="5" t="s">
        <v>715</v>
      </c>
      <c r="F948" s="69" t="s">
        <v>5340</v>
      </c>
      <c r="K948" s="82">
        <v>0.6</v>
      </c>
    </row>
    <row r="949" spans="1:13" x14ac:dyDescent="0.2">
      <c r="A949" s="33">
        <v>42370</v>
      </c>
      <c r="B949" s="5" t="s">
        <v>665</v>
      </c>
      <c r="C949" s="32" t="s">
        <v>666</v>
      </c>
      <c r="D949" s="65">
        <v>1.7997685185185186E-2</v>
      </c>
      <c r="E949" s="5" t="s">
        <v>1405</v>
      </c>
      <c r="F949" s="69" t="s">
        <v>518</v>
      </c>
      <c r="I949" s="2"/>
      <c r="K949" s="82">
        <v>0.59289999999999998</v>
      </c>
    </row>
    <row r="950" spans="1:13" x14ac:dyDescent="0.2">
      <c r="A950" s="33">
        <v>42370</v>
      </c>
      <c r="B950" s="5" t="s">
        <v>665</v>
      </c>
      <c r="C950" s="32" t="s">
        <v>666</v>
      </c>
      <c r="D950" s="65">
        <v>1.8842592592592591E-2</v>
      </c>
      <c r="E950" s="5" t="s">
        <v>2827</v>
      </c>
      <c r="F950" s="69" t="s">
        <v>516</v>
      </c>
      <c r="I950" s="2"/>
      <c r="K950" s="82">
        <v>0.56630000000000003</v>
      </c>
      <c r="M950" s="80" t="s">
        <v>1896</v>
      </c>
    </row>
    <row r="951" spans="1:13" x14ac:dyDescent="0.2">
      <c r="A951" s="33">
        <v>42735</v>
      </c>
      <c r="B951" s="80" t="s">
        <v>4677</v>
      </c>
      <c r="C951" s="334" t="s">
        <v>4678</v>
      </c>
      <c r="D951" s="65">
        <v>2.1770833333333336E-2</v>
      </c>
      <c r="E951" s="80" t="s">
        <v>5198</v>
      </c>
      <c r="F951" s="69" t="s">
        <v>5383</v>
      </c>
      <c r="I951" s="2"/>
      <c r="K951" s="82">
        <v>0.55020000000000002</v>
      </c>
    </row>
    <row r="952" spans="1:13" x14ac:dyDescent="0.2">
      <c r="A952" s="523">
        <v>42728</v>
      </c>
      <c r="B952" s="80" t="s">
        <v>4677</v>
      </c>
      <c r="C952" s="334" t="s">
        <v>4678</v>
      </c>
      <c r="D952" s="65">
        <v>2.1817129629629631E-2</v>
      </c>
      <c r="E952" s="80" t="s">
        <v>5198</v>
      </c>
      <c r="F952" s="69" t="s">
        <v>6133</v>
      </c>
      <c r="I952" s="2"/>
      <c r="K952" s="82">
        <v>0.54910000000000003</v>
      </c>
    </row>
    <row r="953" spans="1:13" x14ac:dyDescent="0.2">
      <c r="A953" s="33">
        <v>42714</v>
      </c>
      <c r="B953" s="5" t="s">
        <v>4677</v>
      </c>
      <c r="C953" s="32" t="s">
        <v>4678</v>
      </c>
      <c r="D953" s="65">
        <v>2.1423611111111112E-2</v>
      </c>
      <c r="E953" s="5" t="s">
        <v>1788</v>
      </c>
      <c r="F953" s="69" t="s">
        <v>6096</v>
      </c>
      <c r="I953" s="2"/>
      <c r="K953" s="82">
        <v>0.55920000000000003</v>
      </c>
    </row>
    <row r="954" spans="1:13" x14ac:dyDescent="0.2">
      <c r="A954" s="33">
        <v>42707</v>
      </c>
      <c r="B954" s="5" t="s">
        <v>4677</v>
      </c>
      <c r="C954" s="32" t="s">
        <v>4678</v>
      </c>
      <c r="D954" s="65">
        <v>2.1446759259259259E-2</v>
      </c>
      <c r="E954" t="s">
        <v>5198</v>
      </c>
      <c r="F954" s="69" t="s">
        <v>6049</v>
      </c>
      <c r="I954" s="2"/>
      <c r="K954" s="82">
        <v>0.55859999999999999</v>
      </c>
    </row>
    <row r="955" spans="1:13" x14ac:dyDescent="0.2">
      <c r="A955" s="33">
        <v>42700</v>
      </c>
      <c r="B955" s="5" t="s">
        <v>4677</v>
      </c>
      <c r="C955" s="32" t="s">
        <v>4678</v>
      </c>
      <c r="D955" s="65">
        <v>2.1898148148148149E-2</v>
      </c>
      <c r="E955" s="5" t="s">
        <v>4161</v>
      </c>
      <c r="F955" s="108" t="s">
        <v>6066</v>
      </c>
      <c r="I955" s="2"/>
      <c r="K955" s="82">
        <v>0.54700000000000004</v>
      </c>
    </row>
    <row r="956" spans="1:13" x14ac:dyDescent="0.2">
      <c r="A956" s="33">
        <v>42679</v>
      </c>
      <c r="B956" s="5" t="s">
        <v>4677</v>
      </c>
      <c r="C956" s="32" t="s">
        <v>4678</v>
      </c>
      <c r="D956" s="65">
        <v>2.2326388888888885E-2</v>
      </c>
      <c r="E956" t="s">
        <v>4161</v>
      </c>
      <c r="F956" s="69" t="s">
        <v>603</v>
      </c>
      <c r="I956" s="2"/>
      <c r="K956" s="82">
        <v>0.53910000000000002</v>
      </c>
    </row>
    <row r="957" spans="1:13" x14ac:dyDescent="0.2">
      <c r="A957" s="33">
        <v>42672</v>
      </c>
      <c r="B957" s="5" t="s">
        <v>4677</v>
      </c>
      <c r="C957" s="32" t="s">
        <v>4678</v>
      </c>
      <c r="D957" s="65">
        <v>2.1446759259259259E-2</v>
      </c>
      <c r="E957" t="s">
        <v>5198</v>
      </c>
      <c r="F957" s="69" t="s">
        <v>4165</v>
      </c>
      <c r="I957" s="2"/>
      <c r="K957" s="82">
        <v>0.55859999999999999</v>
      </c>
    </row>
    <row r="958" spans="1:13" x14ac:dyDescent="0.2">
      <c r="A958" s="33">
        <v>42665</v>
      </c>
      <c r="B958" s="5" t="s">
        <v>4677</v>
      </c>
      <c r="C958" s="32" t="s">
        <v>4678</v>
      </c>
      <c r="D958" s="65">
        <v>2.1631944444444443E-2</v>
      </c>
      <c r="E958" t="s">
        <v>1788</v>
      </c>
      <c r="F958" s="69" t="s">
        <v>1247</v>
      </c>
      <c r="I958" s="2"/>
      <c r="K958" s="82">
        <v>0.55379999999999996</v>
      </c>
    </row>
    <row r="959" spans="1:13" x14ac:dyDescent="0.2">
      <c r="A959" s="33">
        <v>42616</v>
      </c>
      <c r="B959" s="5" t="s">
        <v>4677</v>
      </c>
      <c r="C959" s="32" t="s">
        <v>4678</v>
      </c>
      <c r="D959" s="65">
        <v>2.1608796296296296E-2</v>
      </c>
      <c r="E959" t="s">
        <v>1788</v>
      </c>
      <c r="F959" s="69" t="s">
        <v>5294</v>
      </c>
      <c r="I959" s="2"/>
      <c r="K959" s="82">
        <v>0.5544</v>
      </c>
    </row>
    <row r="960" spans="1:13" x14ac:dyDescent="0.2">
      <c r="A960" s="33">
        <v>42609</v>
      </c>
      <c r="B960" s="5" t="s">
        <v>4677</v>
      </c>
      <c r="C960" s="32" t="s">
        <v>4678</v>
      </c>
      <c r="D960" s="65">
        <v>2.1678240740740738E-2</v>
      </c>
      <c r="E960" t="s">
        <v>5198</v>
      </c>
      <c r="F960" s="69" t="s">
        <v>88</v>
      </c>
      <c r="I960" s="2"/>
      <c r="K960" s="82">
        <v>0.55259999999999998</v>
      </c>
    </row>
    <row r="961" spans="1:28" x14ac:dyDescent="0.2">
      <c r="A961" s="33">
        <v>42602</v>
      </c>
      <c r="B961" s="5" t="s">
        <v>4677</v>
      </c>
      <c r="C961" s="32" t="s">
        <v>4678</v>
      </c>
      <c r="D961" s="65">
        <v>2.1400462962962965E-2</v>
      </c>
      <c r="E961" t="s">
        <v>5198</v>
      </c>
      <c r="F961" s="69" t="s">
        <v>3983</v>
      </c>
      <c r="I961" s="2"/>
      <c r="K961" s="82">
        <v>0.55979999999999996</v>
      </c>
    </row>
    <row r="962" spans="1:28" x14ac:dyDescent="0.2">
      <c r="A962" s="33">
        <v>42588</v>
      </c>
      <c r="B962" s="5" t="s">
        <v>4677</v>
      </c>
      <c r="C962" s="32" t="s">
        <v>4678</v>
      </c>
      <c r="D962" s="543">
        <v>2.0706018518518519E-2</v>
      </c>
      <c r="E962" s="5" t="s">
        <v>5198</v>
      </c>
      <c r="F962" s="108" t="s">
        <v>3104</v>
      </c>
      <c r="G962" s="5"/>
      <c r="H962" s="5"/>
      <c r="I962" s="2"/>
      <c r="J962" s="5"/>
      <c r="K962" s="85">
        <v>0.57850000000000001</v>
      </c>
    </row>
    <row r="963" spans="1:28" x14ac:dyDescent="0.2">
      <c r="A963" s="33">
        <v>42581</v>
      </c>
      <c r="B963" s="5" t="s">
        <v>4677</v>
      </c>
      <c r="C963" s="32" t="s">
        <v>4678</v>
      </c>
      <c r="D963" s="65">
        <v>2.1446759259259259E-2</v>
      </c>
      <c r="E963" t="s">
        <v>5198</v>
      </c>
      <c r="F963" s="69" t="s">
        <v>383</v>
      </c>
      <c r="I963" s="2"/>
      <c r="K963" s="82">
        <v>0.55859999999999999</v>
      </c>
    </row>
    <row r="964" spans="1:28" x14ac:dyDescent="0.2">
      <c r="A964" s="33">
        <v>42567</v>
      </c>
      <c r="B964" s="5" t="s">
        <v>4677</v>
      </c>
      <c r="C964" s="32" t="s">
        <v>4678</v>
      </c>
      <c r="D964" s="65">
        <v>2.0752314814814814E-2</v>
      </c>
      <c r="E964" t="s">
        <v>1788</v>
      </c>
      <c r="F964" s="69" t="s">
        <v>4344</v>
      </c>
      <c r="I964" s="2"/>
      <c r="K964" s="82">
        <v>0.57720000000000005</v>
      </c>
      <c r="AB964" s="41"/>
    </row>
    <row r="965" spans="1:28" x14ac:dyDescent="0.2">
      <c r="A965" s="33">
        <v>42553</v>
      </c>
      <c r="B965" s="5" t="s">
        <v>4677</v>
      </c>
      <c r="C965" s="32" t="s">
        <v>4678</v>
      </c>
      <c r="D965" s="65">
        <v>2.0960648148148148E-2</v>
      </c>
      <c r="E965" t="s">
        <v>1788</v>
      </c>
      <c r="F965" s="69" t="s">
        <v>5698</v>
      </c>
      <c r="I965" s="2"/>
      <c r="K965" s="82">
        <v>0.57150000000000001</v>
      </c>
      <c r="AA965" s="41"/>
    </row>
    <row r="966" spans="1:28" x14ac:dyDescent="0.2">
      <c r="A966" s="33">
        <v>42546</v>
      </c>
      <c r="B966" s="5" t="s">
        <v>4677</v>
      </c>
      <c r="C966" s="32" t="s">
        <v>4678</v>
      </c>
      <c r="D966" s="65">
        <v>2.0833333333333332E-2</v>
      </c>
      <c r="E966" t="s">
        <v>5198</v>
      </c>
      <c r="F966" s="69" t="s">
        <v>1225</v>
      </c>
      <c r="I966" s="2"/>
      <c r="K966" s="82">
        <v>0.57499999999999996</v>
      </c>
    </row>
    <row r="967" spans="1:28" x14ac:dyDescent="0.2">
      <c r="A967" s="33">
        <v>42532</v>
      </c>
      <c r="B967" s="5" t="s">
        <v>4677</v>
      </c>
      <c r="C967" s="32" t="s">
        <v>4678</v>
      </c>
      <c r="D967" s="65">
        <v>2.0775462962962964E-2</v>
      </c>
      <c r="E967" t="s">
        <v>5198</v>
      </c>
      <c r="F967" s="69" t="s">
        <v>4740</v>
      </c>
      <c r="I967" s="2"/>
      <c r="K967" s="82">
        <v>0.5766</v>
      </c>
    </row>
    <row r="968" spans="1:28" x14ac:dyDescent="0.2">
      <c r="A968" s="33">
        <v>42525</v>
      </c>
      <c r="B968" s="5" t="s">
        <v>4677</v>
      </c>
      <c r="C968" s="32" t="s">
        <v>4678</v>
      </c>
      <c r="D968" s="543">
        <v>2.0706018518518519E-2</v>
      </c>
      <c r="E968" s="5" t="s">
        <v>1788</v>
      </c>
      <c r="F968" s="108" t="s">
        <v>635</v>
      </c>
      <c r="G968" s="5"/>
      <c r="H968" s="5"/>
      <c r="I968" s="2"/>
      <c r="J968" s="5"/>
      <c r="K968" s="85">
        <v>0.57850000000000001</v>
      </c>
    </row>
    <row r="969" spans="1:28" x14ac:dyDescent="0.2">
      <c r="A969" s="33">
        <v>42518</v>
      </c>
      <c r="B969" s="5" t="s">
        <v>4677</v>
      </c>
      <c r="C969" s="32" t="s">
        <v>4678</v>
      </c>
      <c r="D969" s="543">
        <v>2.0162037037037037E-2</v>
      </c>
      <c r="E969" s="5" t="s">
        <v>1788</v>
      </c>
      <c r="F969" s="501" t="s">
        <v>1164</v>
      </c>
      <c r="G969" s="395"/>
      <c r="H969" s="5"/>
      <c r="I969" s="2"/>
      <c r="J969" s="5"/>
      <c r="K969" s="85">
        <v>0.59409999999999996</v>
      </c>
    </row>
    <row r="970" spans="1:28" x14ac:dyDescent="0.2">
      <c r="A970" s="33">
        <v>42511</v>
      </c>
      <c r="B970" s="5" t="s">
        <v>4677</v>
      </c>
      <c r="C970" s="32" t="s">
        <v>4678</v>
      </c>
      <c r="D970" s="543">
        <v>2.1076388888888891E-2</v>
      </c>
      <c r="E970" s="5" t="s">
        <v>5198</v>
      </c>
      <c r="F970" s="97" t="s">
        <v>2242</v>
      </c>
      <c r="G970" s="5"/>
      <c r="H970" s="5"/>
      <c r="I970" s="2"/>
      <c r="J970" s="5"/>
      <c r="K970" s="85">
        <v>0.56840000000000002</v>
      </c>
    </row>
    <row r="971" spans="1:28" x14ac:dyDescent="0.2">
      <c r="A971" s="33">
        <v>42504</v>
      </c>
      <c r="B971" s="5" t="s">
        <v>4677</v>
      </c>
      <c r="C971" s="32" t="s">
        <v>4678</v>
      </c>
      <c r="D971" s="543">
        <v>2.0335648148148148E-2</v>
      </c>
      <c r="E971" s="5" t="s">
        <v>5198</v>
      </c>
      <c r="F971" s="108" t="s">
        <v>2361</v>
      </c>
      <c r="G971" s="5"/>
      <c r="H971" s="5"/>
      <c r="I971" s="5"/>
      <c r="J971" s="5"/>
      <c r="K971" s="85">
        <v>0.58909999999999996</v>
      </c>
    </row>
    <row r="972" spans="1:28" x14ac:dyDescent="0.2">
      <c r="A972" s="33">
        <v>42490</v>
      </c>
      <c r="B972" s="5" t="s">
        <v>4677</v>
      </c>
      <c r="C972" s="32" t="s">
        <v>4678</v>
      </c>
      <c r="D972" s="543">
        <v>2.0868055555555556E-2</v>
      </c>
      <c r="E972" s="5" t="s">
        <v>1788</v>
      </c>
      <c r="F972" s="108" t="s">
        <v>5799</v>
      </c>
      <c r="G972" s="5"/>
      <c r="H972" s="5"/>
      <c r="I972" s="5"/>
      <c r="J972" s="5"/>
      <c r="K972" s="85">
        <v>0.57399999999999995</v>
      </c>
    </row>
    <row r="973" spans="1:28" x14ac:dyDescent="0.2">
      <c r="A973" s="33">
        <v>42462</v>
      </c>
      <c r="B973" t="s">
        <v>4677</v>
      </c>
      <c r="C973" s="1" t="s">
        <v>4678</v>
      </c>
      <c r="D973" s="65">
        <v>2.0821759259259259E-2</v>
      </c>
      <c r="E973" t="s">
        <v>5198</v>
      </c>
      <c r="F973" s="69" t="s">
        <v>5585</v>
      </c>
      <c r="I973" s="2"/>
      <c r="K973" s="82">
        <v>0.57530000000000003</v>
      </c>
    </row>
    <row r="974" spans="1:28" x14ac:dyDescent="0.2">
      <c r="A974" s="33">
        <v>42455</v>
      </c>
      <c r="B974" t="s">
        <v>4677</v>
      </c>
      <c r="C974" s="1" t="s">
        <v>4678</v>
      </c>
      <c r="D974" s="65">
        <v>2.0162037037037037E-2</v>
      </c>
      <c r="E974" t="s">
        <v>1788</v>
      </c>
      <c r="F974" s="69" t="s">
        <v>4080</v>
      </c>
      <c r="I974" s="2"/>
      <c r="K974" s="82">
        <v>0.59409999999999996</v>
      </c>
    </row>
    <row r="975" spans="1:28" x14ac:dyDescent="0.2">
      <c r="A975" s="33">
        <v>42448</v>
      </c>
      <c r="B975" t="s">
        <v>4677</v>
      </c>
      <c r="C975" s="1" t="s">
        <v>4678</v>
      </c>
      <c r="D975" s="65">
        <v>2.0590277777777777E-2</v>
      </c>
      <c r="E975" t="s">
        <v>5198</v>
      </c>
      <c r="F975" s="69" t="s">
        <v>3114</v>
      </c>
      <c r="I975" s="2"/>
      <c r="K975" s="82">
        <v>0.58179999999999998</v>
      </c>
    </row>
    <row r="976" spans="1:28" x14ac:dyDescent="0.2">
      <c r="A976" s="33">
        <v>42441</v>
      </c>
      <c r="B976" t="s">
        <v>4677</v>
      </c>
      <c r="C976" s="1" t="s">
        <v>4678</v>
      </c>
      <c r="D976" s="65">
        <v>2.013888888888889E-2</v>
      </c>
      <c r="E976" t="s">
        <v>5947</v>
      </c>
      <c r="F976" s="69" t="s">
        <v>272</v>
      </c>
      <c r="H976" t="s">
        <v>2629</v>
      </c>
      <c r="I976" s="2"/>
      <c r="K976" s="82">
        <v>0.5948</v>
      </c>
    </row>
    <row r="977" spans="1:11" x14ac:dyDescent="0.2">
      <c r="A977" s="33">
        <v>42434</v>
      </c>
      <c r="B977" t="s">
        <v>4677</v>
      </c>
      <c r="C977" s="1" t="s">
        <v>4678</v>
      </c>
      <c r="D977" s="65">
        <v>2.0196759259259258E-2</v>
      </c>
      <c r="E977" t="s">
        <v>1788</v>
      </c>
      <c r="F977" s="69" t="s">
        <v>2075</v>
      </c>
      <c r="I977" s="2"/>
      <c r="K977" s="82">
        <v>0.59309999999999996</v>
      </c>
    </row>
    <row r="978" spans="1:11" x14ac:dyDescent="0.2">
      <c r="A978" s="33">
        <v>42427</v>
      </c>
      <c r="B978" t="s">
        <v>4677</v>
      </c>
      <c r="C978" s="1" t="s">
        <v>4678</v>
      </c>
      <c r="D978" s="65">
        <v>2.0555555555555556E-2</v>
      </c>
      <c r="E978" t="s">
        <v>5947</v>
      </c>
      <c r="F978" s="69"/>
      <c r="I978" s="2"/>
      <c r="K978" s="82">
        <v>0.58279999999999998</v>
      </c>
    </row>
    <row r="979" spans="1:11" x14ac:dyDescent="0.2">
      <c r="A979" s="33">
        <v>42420</v>
      </c>
      <c r="B979" t="s">
        <v>4677</v>
      </c>
      <c r="C979" s="1" t="s">
        <v>4678</v>
      </c>
      <c r="D979" s="65">
        <v>2.0694444444444446E-2</v>
      </c>
      <c r="E979" t="s">
        <v>1788</v>
      </c>
      <c r="F979" s="69" t="s">
        <v>2412</v>
      </c>
      <c r="I979" s="2"/>
      <c r="K979" s="82">
        <v>0.57889999999999997</v>
      </c>
    </row>
    <row r="980" spans="1:11" x14ac:dyDescent="0.2">
      <c r="A980" s="33">
        <v>42413</v>
      </c>
      <c r="B980" t="s">
        <v>4677</v>
      </c>
      <c r="C980" s="1" t="s">
        <v>4678</v>
      </c>
      <c r="D980" s="65">
        <v>2.1215277777777777E-2</v>
      </c>
      <c r="E980" t="s">
        <v>5947</v>
      </c>
      <c r="F980" s="69" t="s">
        <v>1632</v>
      </c>
      <c r="I980" s="2"/>
      <c r="K980" s="82">
        <v>0.56459999999999999</v>
      </c>
    </row>
    <row r="981" spans="1:11" x14ac:dyDescent="0.2">
      <c r="A981" s="33">
        <v>42406</v>
      </c>
      <c r="B981" t="s">
        <v>4677</v>
      </c>
      <c r="C981" s="1" t="s">
        <v>4678</v>
      </c>
      <c r="D981" s="65">
        <v>2.1307870370370369E-2</v>
      </c>
      <c r="E981" t="s">
        <v>5947</v>
      </c>
      <c r="F981" s="69" t="s">
        <v>1381</v>
      </c>
      <c r="I981" s="2"/>
      <c r="K981" s="82">
        <v>0.56220000000000003</v>
      </c>
    </row>
    <row r="982" spans="1:11" x14ac:dyDescent="0.2">
      <c r="A982" s="33">
        <v>42399</v>
      </c>
      <c r="B982" t="s">
        <v>4677</v>
      </c>
      <c r="C982" s="1" t="s">
        <v>4678</v>
      </c>
      <c r="D982" s="65">
        <v>2.0937500000000001E-2</v>
      </c>
      <c r="E982" t="s">
        <v>5947</v>
      </c>
      <c r="F982" s="69" t="s">
        <v>2629</v>
      </c>
      <c r="I982" s="2"/>
      <c r="K982" s="82">
        <v>0.57210000000000005</v>
      </c>
    </row>
    <row r="983" spans="1:11" x14ac:dyDescent="0.2">
      <c r="A983" s="33">
        <v>42392</v>
      </c>
      <c r="B983" t="s">
        <v>4677</v>
      </c>
      <c r="C983" s="1" t="s">
        <v>4678</v>
      </c>
      <c r="D983" s="65">
        <v>2.101851851851852E-2</v>
      </c>
      <c r="E983" t="s">
        <v>5947</v>
      </c>
      <c r="F983" s="69" t="s">
        <v>2629</v>
      </c>
      <c r="I983" s="2"/>
      <c r="K983" s="82">
        <v>0.56989999999999996</v>
      </c>
    </row>
    <row r="984" spans="1:11" x14ac:dyDescent="0.2">
      <c r="A984" s="33">
        <v>42385</v>
      </c>
      <c r="B984" t="s">
        <v>4677</v>
      </c>
      <c r="C984" s="1" t="s">
        <v>4678</v>
      </c>
      <c r="D984" s="65">
        <v>2.1585648148148145E-2</v>
      </c>
      <c r="E984" t="s">
        <v>5947</v>
      </c>
      <c r="F984" s="69" t="s">
        <v>5016</v>
      </c>
      <c r="I984" s="2"/>
      <c r="K984" s="82">
        <v>0.55500000000000005</v>
      </c>
    </row>
    <row r="985" spans="1:11" x14ac:dyDescent="0.2">
      <c r="A985" s="33">
        <v>42378</v>
      </c>
      <c r="B985" s="407" t="s">
        <v>4677</v>
      </c>
      <c r="C985" s="408" t="s">
        <v>4678</v>
      </c>
      <c r="D985" s="544">
        <v>2.1388888888888888E-2</v>
      </c>
      <c r="E985" s="407" t="s">
        <v>5198</v>
      </c>
      <c r="F985" s="545" t="s">
        <v>2500</v>
      </c>
      <c r="G985" s="407"/>
      <c r="H985" s="407"/>
      <c r="I985" s="348"/>
      <c r="J985" s="407"/>
      <c r="K985" s="546">
        <v>0.55469999999999997</v>
      </c>
    </row>
    <row r="986" spans="1:11" x14ac:dyDescent="0.2">
      <c r="A986" s="33">
        <v>42735</v>
      </c>
      <c r="B986" s="80" t="s">
        <v>3211</v>
      </c>
      <c r="C986" s="334" t="s">
        <v>3212</v>
      </c>
      <c r="D986" s="65">
        <v>1.7777777777777778E-2</v>
      </c>
      <c r="E986" s="80" t="s">
        <v>4936</v>
      </c>
      <c r="F986" s="69" t="s">
        <v>6186</v>
      </c>
      <c r="I986" s="2"/>
      <c r="K986" s="82">
        <v>0.54559999999999997</v>
      </c>
    </row>
    <row r="987" spans="1:11" x14ac:dyDescent="0.2">
      <c r="A987" s="33">
        <v>42721</v>
      </c>
      <c r="B987" s="5" t="s">
        <v>3211</v>
      </c>
      <c r="C987" s="32" t="s">
        <v>3212</v>
      </c>
      <c r="D987" s="65">
        <v>1.7083333333333336E-2</v>
      </c>
      <c r="E987" s="5" t="s">
        <v>4936</v>
      </c>
      <c r="F987" s="108" t="s">
        <v>6113</v>
      </c>
      <c r="I987" s="2"/>
      <c r="K987" s="82">
        <v>0.56779999999999997</v>
      </c>
    </row>
    <row r="988" spans="1:11" x14ac:dyDescent="0.2">
      <c r="A988" s="33">
        <v>42714</v>
      </c>
      <c r="B988" s="5" t="s">
        <v>3211</v>
      </c>
      <c r="C988" s="32" t="s">
        <v>3212</v>
      </c>
      <c r="D988" s="65">
        <v>1.7523148148148149E-2</v>
      </c>
      <c r="E988" s="5" t="s">
        <v>4936</v>
      </c>
      <c r="F988" s="108" t="s">
        <v>6085</v>
      </c>
      <c r="I988" s="2"/>
      <c r="K988" s="82">
        <v>0.55349999999999999</v>
      </c>
    </row>
    <row r="989" spans="1:11" x14ac:dyDescent="0.2">
      <c r="A989" s="33">
        <v>42700</v>
      </c>
      <c r="B989" s="5" t="s">
        <v>3211</v>
      </c>
      <c r="C989" s="32" t="s">
        <v>3212</v>
      </c>
      <c r="D989" s="65">
        <v>1.7083333333333336E-2</v>
      </c>
      <c r="E989" s="5" t="s">
        <v>4936</v>
      </c>
      <c r="F989" s="69" t="s">
        <v>6068</v>
      </c>
      <c r="I989" s="2"/>
      <c r="K989" s="82">
        <v>0.56779999999999997</v>
      </c>
    </row>
    <row r="990" spans="1:11" x14ac:dyDescent="0.2">
      <c r="A990" s="33">
        <v>42693</v>
      </c>
      <c r="B990" s="5" t="s">
        <v>3211</v>
      </c>
      <c r="C990" s="32" t="s">
        <v>3212</v>
      </c>
      <c r="D990" s="65">
        <v>1.7465277777777777E-2</v>
      </c>
      <c r="E990" s="5" t="s">
        <v>4936</v>
      </c>
      <c r="F990" s="69"/>
      <c r="I990" s="2"/>
      <c r="K990" s="82">
        <v>0.55530000000000002</v>
      </c>
    </row>
    <row r="991" spans="1:11" x14ac:dyDescent="0.2">
      <c r="A991" s="33">
        <v>42679</v>
      </c>
      <c r="B991" s="5" t="s">
        <v>3211</v>
      </c>
      <c r="C991" s="32" t="s">
        <v>3212</v>
      </c>
      <c r="D991" s="65">
        <v>1.8229166666666668E-2</v>
      </c>
      <c r="E991" t="s">
        <v>4936</v>
      </c>
      <c r="F991" s="69" t="s">
        <v>622</v>
      </c>
      <c r="I991" s="2"/>
      <c r="K991" s="82">
        <v>0.53210000000000002</v>
      </c>
    </row>
    <row r="992" spans="1:11" x14ac:dyDescent="0.2">
      <c r="A992" s="33">
        <v>42658</v>
      </c>
      <c r="B992" s="5" t="s">
        <v>3211</v>
      </c>
      <c r="C992" s="32" t="s">
        <v>3212</v>
      </c>
      <c r="D992" s="65">
        <v>1.6689814814814817E-2</v>
      </c>
      <c r="E992" t="s">
        <v>4936</v>
      </c>
      <c r="F992" s="69" t="s">
        <v>1976</v>
      </c>
      <c r="I992" s="2"/>
      <c r="K992" s="82">
        <v>0.57630000000000003</v>
      </c>
    </row>
    <row r="993" spans="1:13" x14ac:dyDescent="0.2">
      <c r="A993" s="33">
        <v>42518</v>
      </c>
      <c r="B993" s="5" t="s">
        <v>3014</v>
      </c>
      <c r="C993" s="32" t="s">
        <v>3015</v>
      </c>
      <c r="D993" s="543">
        <v>1.9837962962962963E-2</v>
      </c>
      <c r="E993" s="5" t="s">
        <v>927</v>
      </c>
      <c r="F993" s="108"/>
      <c r="G993" s="5"/>
      <c r="H993" s="5"/>
      <c r="I993" s="2"/>
      <c r="J993" s="5"/>
      <c r="K993" s="85">
        <v>0.59040000000000004</v>
      </c>
    </row>
    <row r="994" spans="1:13" x14ac:dyDescent="0.2">
      <c r="A994" s="33">
        <v>42511</v>
      </c>
      <c r="B994" s="5" t="s">
        <v>3014</v>
      </c>
      <c r="C994" s="32" t="s">
        <v>3015</v>
      </c>
      <c r="D994" s="543">
        <v>1.9328703703703702E-2</v>
      </c>
      <c r="E994" s="5" t="s">
        <v>527</v>
      </c>
      <c r="F994" s="108" t="s">
        <v>4879</v>
      </c>
      <c r="G994" s="5"/>
      <c r="H994" s="5"/>
      <c r="I994" s="2"/>
      <c r="J994" s="5"/>
      <c r="K994" s="85">
        <v>0.60240000000000005</v>
      </c>
    </row>
    <row r="995" spans="1:13" x14ac:dyDescent="0.2">
      <c r="A995" s="33">
        <v>42729</v>
      </c>
      <c r="B995" s="80" t="s">
        <v>5649</v>
      </c>
      <c r="C995" s="334" t="s">
        <v>1047</v>
      </c>
      <c r="D995" s="65">
        <v>1.4224537037037037E-2</v>
      </c>
      <c r="E995" s="80" t="s">
        <v>4876</v>
      </c>
      <c r="F995" s="69" t="s">
        <v>6157</v>
      </c>
      <c r="I995" s="2"/>
      <c r="K995" s="82">
        <v>0.7258</v>
      </c>
      <c r="M995" s="80" t="s">
        <v>6158</v>
      </c>
    </row>
    <row r="996" spans="1:13" x14ac:dyDescent="0.2">
      <c r="A996" s="33">
        <v>42721</v>
      </c>
      <c r="B996" s="5" t="s">
        <v>5649</v>
      </c>
      <c r="C996" s="32" t="s">
        <v>1047</v>
      </c>
      <c r="D996" s="65">
        <v>1.4791666666666668E-2</v>
      </c>
      <c r="E996" s="5" t="s">
        <v>5885</v>
      </c>
      <c r="F996" s="108" t="s">
        <v>5867</v>
      </c>
      <c r="I996" s="2"/>
      <c r="K996" s="82">
        <v>0.69799999999999995</v>
      </c>
    </row>
    <row r="997" spans="1:13" x14ac:dyDescent="0.2">
      <c r="A997" s="33">
        <v>42707</v>
      </c>
      <c r="B997" s="5" t="s">
        <v>5649</v>
      </c>
      <c r="C997" s="32" t="s">
        <v>1047</v>
      </c>
      <c r="D997" s="65">
        <v>1.6770833333333332E-2</v>
      </c>
      <c r="E997" t="s">
        <v>5885</v>
      </c>
      <c r="F997" s="69" t="s">
        <v>6041</v>
      </c>
      <c r="I997" s="2"/>
      <c r="K997" s="82">
        <v>0.61080000000000001</v>
      </c>
    </row>
    <row r="998" spans="1:13" x14ac:dyDescent="0.2">
      <c r="A998" s="33">
        <v>42700</v>
      </c>
      <c r="B998" s="5" t="s">
        <v>5649</v>
      </c>
      <c r="C998" s="32" t="s">
        <v>1047</v>
      </c>
      <c r="D998" s="65">
        <v>1.4548611111111111E-2</v>
      </c>
      <c r="E998" s="5" t="s">
        <v>5885</v>
      </c>
      <c r="F998" s="69"/>
      <c r="I998" s="2"/>
      <c r="K998" s="82">
        <v>0.70409999999999995</v>
      </c>
    </row>
    <row r="999" spans="1:13" x14ac:dyDescent="0.2">
      <c r="A999" s="33">
        <v>42651</v>
      </c>
      <c r="B999" s="5" t="s">
        <v>5649</v>
      </c>
      <c r="C999" s="32" t="s">
        <v>1047</v>
      </c>
      <c r="D999" s="65">
        <v>1.4166666666666666E-2</v>
      </c>
      <c r="E999" t="s">
        <v>5885</v>
      </c>
      <c r="F999" s="69" t="s">
        <v>3059</v>
      </c>
      <c r="I999" s="2"/>
      <c r="K999" s="82">
        <v>0.72299999999999998</v>
      </c>
    </row>
    <row r="1000" spans="1:13" x14ac:dyDescent="0.2">
      <c r="A1000" s="33">
        <v>42623</v>
      </c>
      <c r="B1000" s="5" t="s">
        <v>5649</v>
      </c>
      <c r="C1000" s="32" t="s">
        <v>1047</v>
      </c>
      <c r="D1000" s="65">
        <v>1.5659722222222224E-2</v>
      </c>
      <c r="E1000" t="s">
        <v>5885</v>
      </c>
      <c r="F1000" s="69" t="s">
        <v>5828</v>
      </c>
      <c r="I1000" s="2"/>
      <c r="K1000" s="82">
        <v>0.65410000000000001</v>
      </c>
    </row>
    <row r="1001" spans="1:13" x14ac:dyDescent="0.2">
      <c r="A1001" s="33">
        <v>42609</v>
      </c>
      <c r="B1001" s="5" t="s">
        <v>5649</v>
      </c>
      <c r="C1001" s="32" t="s">
        <v>1047</v>
      </c>
      <c r="D1001" s="65">
        <v>1.480324074074074E-2</v>
      </c>
      <c r="E1001" t="s">
        <v>5885</v>
      </c>
      <c r="F1001" s="69" t="s">
        <v>95</v>
      </c>
      <c r="I1001" s="2"/>
      <c r="K1001" s="82">
        <v>0.69189999999999996</v>
      </c>
    </row>
    <row r="1002" spans="1:13" x14ac:dyDescent="0.2">
      <c r="A1002" s="33">
        <v>42595</v>
      </c>
      <c r="B1002" s="5" t="s">
        <v>5649</v>
      </c>
      <c r="C1002" s="32" t="s">
        <v>1047</v>
      </c>
      <c r="D1002" s="65">
        <v>1.4664351851851852E-2</v>
      </c>
      <c r="E1002" t="s">
        <v>5885</v>
      </c>
      <c r="F1002" s="69" t="s">
        <v>169</v>
      </c>
      <c r="I1002" s="2"/>
      <c r="K1002" s="82">
        <v>0.69850000000000001</v>
      </c>
    </row>
    <row r="1003" spans="1:13" x14ac:dyDescent="0.2">
      <c r="A1003" s="33">
        <v>42581</v>
      </c>
      <c r="B1003" s="5" t="s">
        <v>5649</v>
      </c>
      <c r="C1003" s="32" t="s">
        <v>1047</v>
      </c>
      <c r="D1003" s="543" t="s">
        <v>787</v>
      </c>
      <c r="E1003" t="s">
        <v>5885</v>
      </c>
      <c r="F1003" s="108" t="s">
        <v>3988</v>
      </c>
      <c r="G1003" s="5"/>
      <c r="H1003" s="5"/>
      <c r="I1003" s="2"/>
      <c r="J1003" s="5"/>
      <c r="K1003" s="85"/>
    </row>
    <row r="1004" spans="1:13" x14ac:dyDescent="0.2">
      <c r="A1004" s="33">
        <v>42560</v>
      </c>
      <c r="B1004" s="5" t="s">
        <v>5649</v>
      </c>
      <c r="C1004" s="32" t="s">
        <v>1047</v>
      </c>
      <c r="D1004" s="65">
        <v>1.5555555555555553E-2</v>
      </c>
      <c r="E1004" t="s">
        <v>5885</v>
      </c>
      <c r="F1004" s="69" t="s">
        <v>4349</v>
      </c>
      <c r="I1004" s="2"/>
      <c r="K1004" s="82">
        <v>0.65849999999999997</v>
      </c>
    </row>
    <row r="1005" spans="1:13" x14ac:dyDescent="0.2">
      <c r="A1005" s="33">
        <v>42539</v>
      </c>
      <c r="B1005" s="5" t="s">
        <v>5649</v>
      </c>
      <c r="C1005" s="32" t="s">
        <v>1047</v>
      </c>
      <c r="D1005" s="65">
        <v>1.3981481481481482E-2</v>
      </c>
      <c r="E1005" t="s">
        <v>4876</v>
      </c>
      <c r="F1005" s="69" t="s">
        <v>1236</v>
      </c>
      <c r="I1005" s="2"/>
      <c r="K1005" s="82">
        <v>0.73260000000000003</v>
      </c>
    </row>
    <row r="1006" spans="1:13" x14ac:dyDescent="0.2">
      <c r="A1006" s="33">
        <v>42532</v>
      </c>
      <c r="B1006" s="5" t="s">
        <v>5649</v>
      </c>
      <c r="C1006" s="32" t="s">
        <v>1047</v>
      </c>
      <c r="D1006" s="65">
        <v>1.4444444444444446E-2</v>
      </c>
      <c r="E1006" t="s">
        <v>5885</v>
      </c>
      <c r="F1006" s="69" t="s">
        <v>5474</v>
      </c>
      <c r="I1006" s="2"/>
      <c r="K1006" s="82">
        <v>0.70909999999999995</v>
      </c>
    </row>
    <row r="1007" spans="1:13" x14ac:dyDescent="0.2">
      <c r="A1007" s="33">
        <v>42518</v>
      </c>
      <c r="B1007" s="5" t="s">
        <v>5649</v>
      </c>
      <c r="C1007" s="32" t="s">
        <v>1047</v>
      </c>
      <c r="D1007" s="543">
        <v>1.6331018518518519E-2</v>
      </c>
      <c r="E1007" s="5" t="s">
        <v>5885</v>
      </c>
      <c r="F1007" s="108" t="s">
        <v>3758</v>
      </c>
      <c r="G1007" s="5"/>
      <c r="H1007" s="5"/>
      <c r="I1007" s="2"/>
      <c r="J1007" s="5"/>
      <c r="K1007" s="85">
        <v>0.62719999999999998</v>
      </c>
    </row>
    <row r="1008" spans="1:13" x14ac:dyDescent="0.2">
      <c r="A1008" s="33">
        <v>42504</v>
      </c>
      <c r="B1008" s="5" t="s">
        <v>1046</v>
      </c>
      <c r="C1008" s="32" t="s">
        <v>1047</v>
      </c>
      <c r="D1008" s="543">
        <v>1.4756944444444446E-2</v>
      </c>
      <c r="E1008" s="5" t="s">
        <v>5885</v>
      </c>
      <c r="F1008" s="108" t="s">
        <v>4132</v>
      </c>
      <c r="G1008" s="5"/>
      <c r="H1008" s="5"/>
      <c r="I1008" s="5"/>
      <c r="J1008" s="5"/>
      <c r="K1008" s="85">
        <v>0.69410000000000005</v>
      </c>
    </row>
    <row r="1009" spans="1:19" x14ac:dyDescent="0.2">
      <c r="A1009" s="33">
        <v>42504</v>
      </c>
      <c r="B1009" s="5" t="s">
        <v>2342</v>
      </c>
      <c r="C1009" s="32" t="s">
        <v>2343</v>
      </c>
      <c r="D1009" s="543">
        <v>1.6041666666666666E-2</v>
      </c>
      <c r="E1009" s="5" t="s">
        <v>5883</v>
      </c>
      <c r="F1009" s="108" t="s">
        <v>2344</v>
      </c>
      <c r="G1009" s="5"/>
      <c r="H1009" s="5"/>
      <c r="I1009" s="5"/>
      <c r="J1009" s="5"/>
      <c r="K1009" s="85">
        <v>0.73089999999999999</v>
      </c>
    </row>
    <row r="1010" spans="1:19" x14ac:dyDescent="0.2">
      <c r="A1010" s="33">
        <v>42532</v>
      </c>
      <c r="B1010" s="53" t="s">
        <v>5637</v>
      </c>
      <c r="C1010" s="54" t="s">
        <v>5638</v>
      </c>
      <c r="D1010" s="65">
        <v>1.6875000000000001E-2</v>
      </c>
      <c r="E1010" t="s">
        <v>2593</v>
      </c>
      <c r="F1010" s="69" t="s">
        <v>4483</v>
      </c>
      <c r="I1010" s="2"/>
      <c r="K1010" s="82">
        <v>0.7984</v>
      </c>
    </row>
    <row r="1011" spans="1:19" x14ac:dyDescent="0.2">
      <c r="A1011" s="33">
        <v>42476</v>
      </c>
      <c r="B1011" s="53" t="s">
        <v>5637</v>
      </c>
      <c r="C1011" s="54" t="s">
        <v>5638</v>
      </c>
      <c r="D1011" s="65">
        <v>1.6608796296296299E-2</v>
      </c>
      <c r="E1011" s="5" t="s">
        <v>2593</v>
      </c>
      <c r="F1011" s="69" t="s">
        <v>1763</v>
      </c>
      <c r="I1011" s="2"/>
      <c r="K1011" s="82">
        <v>0.81110000000000004</v>
      </c>
    </row>
    <row r="1012" spans="1:19" x14ac:dyDescent="0.2">
      <c r="A1012" s="33">
        <v>42434</v>
      </c>
      <c r="B1012" s="53" t="s">
        <v>5637</v>
      </c>
      <c r="C1012" s="54" t="s">
        <v>5638</v>
      </c>
      <c r="D1012" s="65">
        <v>1.6122685185185184E-2</v>
      </c>
      <c r="E1012" t="s">
        <v>2593</v>
      </c>
      <c r="F1012" s="69" t="s">
        <v>5428</v>
      </c>
      <c r="K1012" s="82">
        <v>0.83560000000000001</v>
      </c>
    </row>
    <row r="1013" spans="1:19" x14ac:dyDescent="0.2">
      <c r="A1013" s="33">
        <v>42413</v>
      </c>
      <c r="B1013" s="53" t="s">
        <v>5637</v>
      </c>
      <c r="C1013" s="54" t="s">
        <v>5638</v>
      </c>
      <c r="D1013" s="65">
        <v>1.59375E-2</v>
      </c>
      <c r="E1013" t="s">
        <v>5870</v>
      </c>
      <c r="F1013" s="69" t="s">
        <v>5871</v>
      </c>
      <c r="I1013" s="2"/>
      <c r="K1013" s="82">
        <v>0.84530000000000005</v>
      </c>
      <c r="S1013" s="80"/>
    </row>
    <row r="1014" spans="1:19" x14ac:dyDescent="0.2">
      <c r="A1014" s="33">
        <v>42623</v>
      </c>
      <c r="B1014" s="53" t="s">
        <v>398</v>
      </c>
      <c r="C1014" s="54" t="s">
        <v>4943</v>
      </c>
      <c r="D1014" s="65">
        <v>2.6388888888888889E-2</v>
      </c>
      <c r="E1014" t="s">
        <v>1401</v>
      </c>
      <c r="F1014" s="69" t="s">
        <v>824</v>
      </c>
      <c r="I1014" s="2"/>
      <c r="K1014" s="82">
        <v>0.4965</v>
      </c>
    </row>
    <row r="1015" spans="1:19" x14ac:dyDescent="0.2">
      <c r="A1015" s="33">
        <v>42602</v>
      </c>
      <c r="B1015" s="53" t="s">
        <v>398</v>
      </c>
      <c r="C1015" s="54" t="s">
        <v>4943</v>
      </c>
      <c r="D1015" s="65">
        <v>2.5578703703703704E-2</v>
      </c>
      <c r="E1015" s="5" t="s">
        <v>5544</v>
      </c>
      <c r="F1015" s="108" t="s">
        <v>4279</v>
      </c>
      <c r="G1015" s="5"/>
      <c r="I1015" s="2"/>
      <c r="K1015" s="82">
        <v>0.51219999999999999</v>
      </c>
    </row>
    <row r="1016" spans="1:19" x14ac:dyDescent="0.2">
      <c r="A1016" s="33">
        <v>42525</v>
      </c>
      <c r="B1016" s="53" t="s">
        <v>398</v>
      </c>
      <c r="C1016" s="54" t="s">
        <v>4943</v>
      </c>
      <c r="D1016" s="543">
        <v>2.7916666666666669E-2</v>
      </c>
      <c r="E1016" s="5" t="s">
        <v>5544</v>
      </c>
      <c r="F1016" s="108" t="s">
        <v>3358</v>
      </c>
      <c r="G1016" s="5"/>
      <c r="H1016" s="5"/>
      <c r="I1016" s="2"/>
      <c r="J1016" s="5"/>
      <c r="K1016" s="85">
        <v>0.46929999999999999</v>
      </c>
    </row>
    <row r="1017" spans="1:19" x14ac:dyDescent="0.2">
      <c r="A1017" s="33">
        <v>42427</v>
      </c>
      <c r="B1017" s="53" t="s">
        <v>398</v>
      </c>
      <c r="C1017" s="54" t="s">
        <v>4943</v>
      </c>
      <c r="D1017" s="65">
        <v>2.7372685185185184E-2</v>
      </c>
      <c r="E1017" t="s">
        <v>5544</v>
      </c>
      <c r="F1017" s="69" t="s">
        <v>5697</v>
      </c>
      <c r="I1017" s="2"/>
      <c r="K1017" s="82">
        <v>0.47860000000000003</v>
      </c>
      <c r="S1017" s="80"/>
    </row>
    <row r="1018" spans="1:19" x14ac:dyDescent="0.2">
      <c r="A1018" s="33">
        <v>42729</v>
      </c>
      <c r="B1018" s="80" t="s">
        <v>2137</v>
      </c>
      <c r="C1018" s="334" t="s">
        <v>4943</v>
      </c>
      <c r="D1018" s="65">
        <v>1.6018518518518519E-2</v>
      </c>
      <c r="E1018" s="80" t="s">
        <v>1401</v>
      </c>
      <c r="F1018" s="69" t="s">
        <v>6143</v>
      </c>
      <c r="I1018" s="2"/>
      <c r="K1018" s="82">
        <v>0.68930000000000002</v>
      </c>
    </row>
    <row r="1019" spans="1:19" x14ac:dyDescent="0.2">
      <c r="A1019" s="523">
        <v>42728</v>
      </c>
      <c r="B1019" s="80" t="s">
        <v>2137</v>
      </c>
      <c r="C1019" s="334" t="s">
        <v>4943</v>
      </c>
      <c r="D1019" s="65">
        <v>1.6793981481481483E-2</v>
      </c>
      <c r="E1019" s="80" t="s">
        <v>5544</v>
      </c>
      <c r="F1019" s="69" t="s">
        <v>6120</v>
      </c>
      <c r="I1019" s="2"/>
      <c r="K1019" s="82">
        <v>0.65749999999999997</v>
      </c>
    </row>
    <row r="1020" spans="1:19" x14ac:dyDescent="0.2">
      <c r="A1020" s="33">
        <v>42707</v>
      </c>
      <c r="B1020" s="5" t="s">
        <v>2137</v>
      </c>
      <c r="C1020" s="32" t="s">
        <v>4943</v>
      </c>
      <c r="D1020" s="65">
        <v>1.7025462962962961E-2</v>
      </c>
      <c r="E1020" t="s">
        <v>5544</v>
      </c>
      <c r="F1020" s="108" t="s">
        <v>6057</v>
      </c>
      <c r="I1020" s="2"/>
      <c r="K1020" s="82">
        <v>0.64849999999999997</v>
      </c>
    </row>
    <row r="1021" spans="1:19" x14ac:dyDescent="0.2">
      <c r="A1021" s="33">
        <v>42700</v>
      </c>
      <c r="B1021" s="5" t="s">
        <v>2137</v>
      </c>
      <c r="C1021" s="32" t="s">
        <v>4943</v>
      </c>
      <c r="D1021" s="65">
        <v>1.6342592592592593E-2</v>
      </c>
      <c r="E1021" s="5" t="s">
        <v>1183</v>
      </c>
      <c r="F1021" s="108" t="s">
        <v>6058</v>
      </c>
      <c r="I1021" s="2"/>
      <c r="K1021" s="82">
        <v>0.67559999999999998</v>
      </c>
    </row>
    <row r="1022" spans="1:19" x14ac:dyDescent="0.2">
      <c r="A1022" s="33">
        <v>42693</v>
      </c>
      <c r="B1022" s="5" t="s">
        <v>2137</v>
      </c>
      <c r="C1022" s="32" t="s">
        <v>4943</v>
      </c>
      <c r="D1022" s="65">
        <v>1.7777777777777778E-2</v>
      </c>
      <c r="E1022" s="5" t="s">
        <v>5544</v>
      </c>
      <c r="F1022" s="69"/>
      <c r="I1022" s="2"/>
      <c r="K1022" s="82">
        <v>0.62109999999999999</v>
      </c>
    </row>
    <row r="1023" spans="1:19" x14ac:dyDescent="0.2">
      <c r="A1023" s="33">
        <v>42679</v>
      </c>
      <c r="B1023" s="5" t="s">
        <v>2137</v>
      </c>
      <c r="C1023" s="32" t="s">
        <v>4943</v>
      </c>
      <c r="D1023" s="65">
        <v>1.7569444444444447E-2</v>
      </c>
      <c r="E1023" t="s">
        <v>5544</v>
      </c>
      <c r="F1023" s="69" t="s">
        <v>253</v>
      </c>
      <c r="I1023" s="2"/>
      <c r="K1023" s="82">
        <v>0.62849999999999995</v>
      </c>
    </row>
    <row r="1024" spans="1:19" x14ac:dyDescent="0.2">
      <c r="A1024" s="33">
        <v>42672</v>
      </c>
      <c r="B1024" s="5" t="s">
        <v>2137</v>
      </c>
      <c r="C1024" s="32" t="s">
        <v>4943</v>
      </c>
      <c r="D1024" s="65">
        <v>1.5370370370370369E-2</v>
      </c>
      <c r="E1024" t="s">
        <v>5544</v>
      </c>
      <c r="F1024" s="69" t="s">
        <v>2779</v>
      </c>
      <c r="I1024" s="2"/>
      <c r="K1024" s="82">
        <v>0.71840000000000004</v>
      </c>
    </row>
    <row r="1025" spans="1:28" x14ac:dyDescent="0.2">
      <c r="A1025" s="33">
        <v>42665</v>
      </c>
      <c r="B1025" s="5" t="s">
        <v>2137</v>
      </c>
      <c r="C1025" s="32" t="s">
        <v>4943</v>
      </c>
      <c r="D1025" s="65">
        <v>1.7337962962962961E-2</v>
      </c>
      <c r="E1025" t="s">
        <v>1183</v>
      </c>
      <c r="F1025" s="69" t="s">
        <v>1250</v>
      </c>
      <c r="I1025" s="2"/>
      <c r="K1025" s="82">
        <v>0.63680000000000003</v>
      </c>
    </row>
    <row r="1026" spans="1:28" x14ac:dyDescent="0.2">
      <c r="A1026" s="33">
        <v>42658</v>
      </c>
      <c r="B1026" s="5" t="s">
        <v>2137</v>
      </c>
      <c r="C1026" s="32" t="s">
        <v>4943</v>
      </c>
      <c r="D1026" s="65">
        <v>1.556712962962963E-2</v>
      </c>
      <c r="E1026" t="s">
        <v>5544</v>
      </c>
      <c r="F1026" s="69" t="s">
        <v>3732</v>
      </c>
      <c r="I1026" s="2"/>
      <c r="K1026" s="82">
        <v>0.70930000000000004</v>
      </c>
    </row>
    <row r="1027" spans="1:28" x14ac:dyDescent="0.2">
      <c r="A1027" s="33">
        <v>42644</v>
      </c>
      <c r="B1027" s="5" t="s">
        <v>2137</v>
      </c>
      <c r="C1027" s="32" t="s">
        <v>4943</v>
      </c>
      <c r="D1027" s="65">
        <v>1.5844907407407408E-2</v>
      </c>
      <c r="E1027" t="s">
        <v>1183</v>
      </c>
      <c r="F1027" s="69" t="s">
        <v>3064</v>
      </c>
      <c r="I1027" s="2"/>
      <c r="K1027" s="82">
        <v>0.69689999999999996</v>
      </c>
    </row>
    <row r="1028" spans="1:28" x14ac:dyDescent="0.2">
      <c r="A1028" s="33">
        <v>42630</v>
      </c>
      <c r="B1028" s="5" t="s">
        <v>2137</v>
      </c>
      <c r="C1028" s="32" t="s">
        <v>4943</v>
      </c>
      <c r="D1028" s="65">
        <v>1.622685185185185E-2</v>
      </c>
      <c r="E1028" t="s">
        <v>4529</v>
      </c>
      <c r="F1028" s="69" t="s">
        <v>3366</v>
      </c>
      <c r="I1028" s="2"/>
      <c r="K1028" s="82">
        <v>0.68049999999999999</v>
      </c>
    </row>
    <row r="1029" spans="1:28" x14ac:dyDescent="0.2">
      <c r="A1029" s="33">
        <v>42623</v>
      </c>
      <c r="B1029" s="5" t="s">
        <v>2137</v>
      </c>
      <c r="C1029" s="32" t="s">
        <v>4943</v>
      </c>
      <c r="D1029" s="65">
        <v>1.6076388888888887E-2</v>
      </c>
      <c r="E1029" t="s">
        <v>1401</v>
      </c>
      <c r="F1029" s="69" t="s">
        <v>823</v>
      </c>
      <c r="I1029" s="2"/>
      <c r="K1029" s="82">
        <v>0.68679999999999997</v>
      </c>
      <c r="AB1029" s="41"/>
    </row>
    <row r="1030" spans="1:28" x14ac:dyDescent="0.2">
      <c r="A1030" s="33">
        <v>42602</v>
      </c>
      <c r="B1030" s="5" t="s">
        <v>2137</v>
      </c>
      <c r="C1030" s="32" t="s">
        <v>4943</v>
      </c>
      <c r="D1030" s="65">
        <v>1.6666666666666666E-2</v>
      </c>
      <c r="E1030" t="s">
        <v>5544</v>
      </c>
      <c r="F1030" s="69" t="s">
        <v>2553</v>
      </c>
      <c r="I1030" s="2"/>
      <c r="K1030" s="82">
        <v>0.66249999999999998</v>
      </c>
      <c r="AA1030" s="41"/>
    </row>
    <row r="1031" spans="1:28" x14ac:dyDescent="0.2">
      <c r="A1031" s="33">
        <v>42595</v>
      </c>
      <c r="B1031" s="5" t="s">
        <v>2137</v>
      </c>
      <c r="C1031" s="32" t="s">
        <v>4943</v>
      </c>
      <c r="D1031" s="65">
        <v>1.5972222222222224E-2</v>
      </c>
      <c r="E1031" t="s">
        <v>5544</v>
      </c>
      <c r="F1031" s="69" t="s">
        <v>1444</v>
      </c>
      <c r="I1031" s="2"/>
      <c r="K1031" s="82">
        <v>0.69130000000000003</v>
      </c>
    </row>
    <row r="1032" spans="1:28" x14ac:dyDescent="0.2">
      <c r="A1032" s="33">
        <v>42588</v>
      </c>
      <c r="B1032" s="5" t="s">
        <v>2137</v>
      </c>
      <c r="C1032" s="32" t="s">
        <v>4943</v>
      </c>
      <c r="D1032" s="543">
        <v>1.6053240740740739E-2</v>
      </c>
      <c r="E1032" s="5" t="s">
        <v>203</v>
      </c>
      <c r="F1032" s="108" t="s">
        <v>4960</v>
      </c>
      <c r="G1032" s="5"/>
      <c r="H1032" s="5"/>
      <c r="I1032" s="2"/>
      <c r="J1032" s="5"/>
      <c r="K1032" s="85">
        <v>0.68779999999999997</v>
      </c>
    </row>
    <row r="1033" spans="1:28" x14ac:dyDescent="0.2">
      <c r="A1033" s="33">
        <v>42581</v>
      </c>
      <c r="B1033" s="5" t="s">
        <v>2137</v>
      </c>
      <c r="C1033" s="32" t="s">
        <v>4943</v>
      </c>
      <c r="D1033" s="65">
        <v>1.818287037037037E-2</v>
      </c>
      <c r="E1033" t="s">
        <v>5885</v>
      </c>
      <c r="F1033" s="69" t="s">
        <v>1846</v>
      </c>
      <c r="I1033" s="2"/>
      <c r="K1033" s="82">
        <v>0.60729999999999995</v>
      </c>
    </row>
    <row r="1034" spans="1:28" x14ac:dyDescent="0.2">
      <c r="A1034" s="33">
        <v>42574</v>
      </c>
      <c r="B1034" s="5" t="s">
        <v>2137</v>
      </c>
      <c r="C1034" s="32" t="s">
        <v>4943</v>
      </c>
      <c r="D1034" s="65">
        <v>1.6828703703703703E-2</v>
      </c>
      <c r="E1034" t="s">
        <v>4179</v>
      </c>
      <c r="F1034" s="69" t="s">
        <v>1015</v>
      </c>
      <c r="I1034" s="2"/>
      <c r="K1034" s="82">
        <v>0.65610000000000002</v>
      </c>
    </row>
    <row r="1035" spans="1:28" x14ac:dyDescent="0.2">
      <c r="A1035" s="33">
        <v>42560</v>
      </c>
      <c r="B1035" s="5" t="s">
        <v>2137</v>
      </c>
      <c r="C1035" s="32" t="s">
        <v>4943</v>
      </c>
      <c r="D1035" s="65">
        <v>1.7141203703703704E-2</v>
      </c>
      <c r="E1035" t="s">
        <v>5544</v>
      </c>
      <c r="F1035" s="69" t="s">
        <v>5131</v>
      </c>
      <c r="I1035" s="2"/>
      <c r="K1035" s="82">
        <v>0.64419999999999999</v>
      </c>
    </row>
    <row r="1036" spans="1:28" x14ac:dyDescent="0.2">
      <c r="A1036" s="33">
        <v>42553</v>
      </c>
      <c r="B1036" s="5" t="s">
        <v>2137</v>
      </c>
      <c r="C1036" s="32" t="s">
        <v>4943</v>
      </c>
      <c r="D1036" s="65">
        <v>1.7476851851851851E-2</v>
      </c>
      <c r="E1036" t="s">
        <v>5544</v>
      </c>
      <c r="F1036" s="69" t="s">
        <v>2949</v>
      </c>
      <c r="I1036" s="2"/>
      <c r="K1036" s="82">
        <v>0.63180000000000003</v>
      </c>
    </row>
    <row r="1037" spans="1:28" x14ac:dyDescent="0.2">
      <c r="A1037" s="33">
        <v>42546</v>
      </c>
      <c r="B1037" s="5" t="s">
        <v>2137</v>
      </c>
      <c r="C1037" s="32" t="s">
        <v>4943</v>
      </c>
      <c r="D1037" s="65">
        <v>1.7662037037037035E-2</v>
      </c>
      <c r="E1037" t="s">
        <v>5544</v>
      </c>
      <c r="F1037" s="69" t="s">
        <v>4821</v>
      </c>
      <c r="I1037" s="2"/>
      <c r="K1037" s="82">
        <v>0.62519999999999998</v>
      </c>
    </row>
    <row r="1038" spans="1:28" x14ac:dyDescent="0.2">
      <c r="A1038" s="33">
        <v>42525</v>
      </c>
      <c r="B1038" s="5" t="s">
        <v>2137</v>
      </c>
      <c r="C1038" s="32" t="s">
        <v>4943</v>
      </c>
      <c r="D1038" s="543">
        <v>2.8784722222222225E-2</v>
      </c>
      <c r="E1038" s="5" t="s">
        <v>5544</v>
      </c>
      <c r="F1038" s="108" t="s">
        <v>5780</v>
      </c>
      <c r="G1038" s="5"/>
      <c r="H1038" s="5"/>
      <c r="I1038" s="2"/>
      <c r="J1038" s="5"/>
      <c r="K1038" s="85">
        <v>0.3836</v>
      </c>
      <c r="L1038" s="26"/>
    </row>
    <row r="1039" spans="1:28" x14ac:dyDescent="0.2">
      <c r="A1039" s="33">
        <v>42490</v>
      </c>
      <c r="B1039" s="5" t="s">
        <v>2137</v>
      </c>
      <c r="C1039" s="32" t="s">
        <v>4943</v>
      </c>
      <c r="D1039" s="543">
        <v>1.9143518518518518E-2</v>
      </c>
      <c r="E1039" s="5" t="s">
        <v>5544</v>
      </c>
      <c r="F1039" s="108" t="s">
        <v>4184</v>
      </c>
      <c r="G1039" s="5"/>
      <c r="H1039" s="5"/>
      <c r="I1039" s="5"/>
      <c r="J1039" s="5"/>
      <c r="K1039" s="85">
        <v>0.57679999999999998</v>
      </c>
      <c r="S1039" s="80"/>
    </row>
    <row r="1040" spans="1:28" x14ac:dyDescent="0.2">
      <c r="A1040" s="33">
        <v>42483</v>
      </c>
      <c r="B1040" s="5" t="s">
        <v>2137</v>
      </c>
      <c r="C1040" s="32" t="s">
        <v>4943</v>
      </c>
      <c r="D1040" s="543">
        <v>3.050925925925926E-2</v>
      </c>
      <c r="E1040" s="5" t="s">
        <v>5544</v>
      </c>
      <c r="F1040" s="108" t="s">
        <v>1238</v>
      </c>
      <c r="G1040" s="5"/>
      <c r="H1040" s="5"/>
      <c r="I1040" s="2"/>
      <c r="J1040" s="5"/>
      <c r="K1040" s="85">
        <v>0.3619</v>
      </c>
    </row>
    <row r="1041" spans="1:13" x14ac:dyDescent="0.2">
      <c r="A1041" s="33">
        <v>42476</v>
      </c>
      <c r="B1041" s="5" t="s">
        <v>2137</v>
      </c>
      <c r="C1041" s="32" t="s">
        <v>4943</v>
      </c>
      <c r="D1041" s="65">
        <v>1.7141203703703704E-2</v>
      </c>
      <c r="E1041" s="5" t="s">
        <v>5544</v>
      </c>
      <c r="F1041" s="69" t="s">
        <v>3482</v>
      </c>
      <c r="I1041" s="2"/>
      <c r="K1041" s="82">
        <v>0.64419999999999999</v>
      </c>
    </row>
    <row r="1042" spans="1:13" x14ac:dyDescent="0.2">
      <c r="A1042" s="33">
        <v>42462</v>
      </c>
      <c r="B1042" s="5" t="s">
        <v>2137</v>
      </c>
      <c r="C1042" s="32" t="s">
        <v>4943</v>
      </c>
      <c r="D1042" s="10" t="s">
        <v>787</v>
      </c>
      <c r="E1042" s="5" t="s">
        <v>5544</v>
      </c>
      <c r="F1042" s="108" t="s">
        <v>4061</v>
      </c>
      <c r="G1042" s="5"/>
      <c r="H1042" s="2"/>
      <c r="I1042" s="2"/>
      <c r="K1042" s="82"/>
    </row>
    <row r="1043" spans="1:13" x14ac:dyDescent="0.2">
      <c r="A1043" s="33">
        <v>42455</v>
      </c>
      <c r="B1043" s="5" t="s">
        <v>2137</v>
      </c>
      <c r="C1043" s="32" t="s">
        <v>4943</v>
      </c>
      <c r="D1043" s="65">
        <v>1.6701388888888887E-2</v>
      </c>
      <c r="E1043" t="s">
        <v>4053</v>
      </c>
      <c r="F1043" s="69" t="s">
        <v>547</v>
      </c>
      <c r="I1043" s="2"/>
      <c r="K1043" s="82">
        <v>0.66110000000000002</v>
      </c>
    </row>
    <row r="1044" spans="1:13" x14ac:dyDescent="0.2">
      <c r="A1044" s="33">
        <v>42434</v>
      </c>
      <c r="B1044" s="5" t="s">
        <v>2137</v>
      </c>
      <c r="C1044" s="32" t="s">
        <v>4943</v>
      </c>
      <c r="D1044" s="65">
        <v>1.7037037037037038E-2</v>
      </c>
      <c r="E1044" t="s">
        <v>927</v>
      </c>
      <c r="F1044" s="108" t="s">
        <v>4730</v>
      </c>
      <c r="I1044" s="2"/>
      <c r="K1044" s="82">
        <v>0.64270000000000005</v>
      </c>
    </row>
    <row r="1045" spans="1:13" x14ac:dyDescent="0.2">
      <c r="A1045" s="33">
        <v>42427</v>
      </c>
      <c r="B1045" s="5" t="s">
        <v>2137</v>
      </c>
      <c r="C1045" s="32" t="s">
        <v>4943</v>
      </c>
      <c r="D1045" s="65">
        <v>2.1724537037037039E-2</v>
      </c>
      <c r="E1045" t="s">
        <v>5544</v>
      </c>
      <c r="F1045" s="69" t="s">
        <v>5416</v>
      </c>
      <c r="I1045" s="2"/>
      <c r="K1045" s="82">
        <v>0.504</v>
      </c>
    </row>
    <row r="1046" spans="1:13" x14ac:dyDescent="0.2">
      <c r="A1046" s="33">
        <v>42420</v>
      </c>
      <c r="B1046" s="5" t="s">
        <v>2137</v>
      </c>
      <c r="C1046" s="32" t="s">
        <v>4943</v>
      </c>
      <c r="D1046" s="65">
        <v>2.0208333333333335E-2</v>
      </c>
      <c r="E1046" t="s">
        <v>5544</v>
      </c>
      <c r="F1046" s="69" t="s">
        <v>3141</v>
      </c>
      <c r="I1046" s="2"/>
      <c r="K1046" s="82">
        <v>0.54179999999999995</v>
      </c>
    </row>
    <row r="1047" spans="1:13" x14ac:dyDescent="0.2">
      <c r="A1047" s="33">
        <v>42413</v>
      </c>
      <c r="B1047" s="5" t="s">
        <v>2137</v>
      </c>
      <c r="C1047" s="32" t="s">
        <v>4943</v>
      </c>
      <c r="D1047" s="65">
        <v>1.741898148148148E-2</v>
      </c>
      <c r="E1047" t="s">
        <v>5544</v>
      </c>
      <c r="F1047" s="69" t="s">
        <v>5868</v>
      </c>
      <c r="I1047" s="2"/>
      <c r="K1047" s="82">
        <v>0.62860000000000005</v>
      </c>
    </row>
    <row r="1048" spans="1:13" x14ac:dyDescent="0.2">
      <c r="A1048" s="33">
        <v>42406</v>
      </c>
      <c r="B1048" s="5" t="s">
        <v>2137</v>
      </c>
      <c r="C1048" s="32" t="s">
        <v>4943</v>
      </c>
      <c r="D1048" s="65">
        <v>1.6562500000000001E-2</v>
      </c>
      <c r="E1048" t="s">
        <v>5544</v>
      </c>
      <c r="F1048" s="69" t="s">
        <v>5418</v>
      </c>
      <c r="I1048" s="2"/>
      <c r="K1048" s="82">
        <v>0.66110000000000002</v>
      </c>
    </row>
    <row r="1049" spans="1:13" x14ac:dyDescent="0.2">
      <c r="A1049" s="33">
        <v>42392</v>
      </c>
      <c r="B1049" s="5" t="s">
        <v>2137</v>
      </c>
      <c r="C1049" s="32" t="s">
        <v>4943</v>
      </c>
      <c r="D1049" s="65">
        <v>1.6446759259259262E-2</v>
      </c>
      <c r="E1049" t="s">
        <v>4817</v>
      </c>
      <c r="F1049" s="69" t="s">
        <v>3125</v>
      </c>
      <c r="I1049" s="2"/>
      <c r="K1049" s="82">
        <v>0.66569999999999996</v>
      </c>
    </row>
    <row r="1050" spans="1:13" x14ac:dyDescent="0.2">
      <c r="A1050" s="33">
        <v>42385</v>
      </c>
      <c r="B1050" s="5" t="s">
        <v>2137</v>
      </c>
      <c r="C1050" s="32" t="s">
        <v>4943</v>
      </c>
      <c r="D1050" s="65">
        <v>1.6712962962962961E-2</v>
      </c>
      <c r="E1050" t="s">
        <v>2869</v>
      </c>
      <c r="F1050" s="69" t="s">
        <v>2629</v>
      </c>
      <c r="I1050" s="2"/>
      <c r="K1050" s="82">
        <v>0.65510000000000002</v>
      </c>
    </row>
    <row r="1051" spans="1:13" x14ac:dyDescent="0.2">
      <c r="A1051" s="33">
        <v>42378</v>
      </c>
      <c r="B1051" s="5" t="s">
        <v>2137</v>
      </c>
      <c r="C1051" s="32" t="s">
        <v>4943</v>
      </c>
      <c r="D1051" s="547">
        <v>1.7407407407407406E-2</v>
      </c>
      <c r="E1051" s="80" t="s">
        <v>2869</v>
      </c>
      <c r="F1051" s="79" t="s">
        <v>2870</v>
      </c>
      <c r="G1051" s="80"/>
      <c r="H1051" s="80"/>
      <c r="I1051" s="348"/>
      <c r="J1051" s="407"/>
      <c r="K1051" s="546">
        <v>0.629</v>
      </c>
    </row>
    <row r="1052" spans="1:13" x14ac:dyDescent="0.2">
      <c r="A1052" s="33">
        <v>42371</v>
      </c>
      <c r="B1052" s="5" t="s">
        <v>2137</v>
      </c>
      <c r="C1052" s="32" t="s">
        <v>4943</v>
      </c>
      <c r="D1052" s="65">
        <v>1.6793981481481483E-2</v>
      </c>
      <c r="E1052" s="5" t="s">
        <v>4210</v>
      </c>
      <c r="F1052" s="69" t="s">
        <v>4211</v>
      </c>
      <c r="K1052" s="82">
        <v>0.65200000000000002</v>
      </c>
    </row>
    <row r="1053" spans="1:13" x14ac:dyDescent="0.2">
      <c r="A1053" s="33">
        <v>42735</v>
      </c>
      <c r="B1053" s="80" t="s">
        <v>2478</v>
      </c>
      <c r="C1053" s="334" t="s">
        <v>2479</v>
      </c>
      <c r="D1053" s="65">
        <v>1.4791666666666668E-2</v>
      </c>
      <c r="E1053" s="80" t="s">
        <v>3167</v>
      </c>
      <c r="F1053" s="69" t="s">
        <v>6177</v>
      </c>
      <c r="I1053" s="2"/>
      <c r="K1053" s="82">
        <v>0.69799999999999995</v>
      </c>
      <c r="M1053">
        <f>318-268</f>
        <v>50</v>
      </c>
    </row>
    <row r="1054" spans="1:13" x14ac:dyDescent="0.2">
      <c r="A1054" s="33">
        <v>42729</v>
      </c>
      <c r="B1054" s="80" t="s">
        <v>2478</v>
      </c>
      <c r="C1054" s="334" t="s">
        <v>2479</v>
      </c>
      <c r="D1054" s="65">
        <v>1.5046296296296295E-2</v>
      </c>
      <c r="E1054" s="80" t="s">
        <v>3167</v>
      </c>
      <c r="F1054" s="69" t="s">
        <v>6144</v>
      </c>
      <c r="I1054" s="2"/>
      <c r="K1054" s="82">
        <v>0.68620000000000003</v>
      </c>
    </row>
    <row r="1055" spans="1:13" x14ac:dyDescent="0.2">
      <c r="A1055" s="523">
        <v>42728</v>
      </c>
      <c r="B1055" s="80" t="s">
        <v>2478</v>
      </c>
      <c r="C1055" s="334" t="s">
        <v>2479</v>
      </c>
      <c r="D1055" s="65">
        <v>1.5023148148148148E-2</v>
      </c>
      <c r="E1055" s="80" t="s">
        <v>3167</v>
      </c>
      <c r="F1055" s="69" t="s">
        <v>6127</v>
      </c>
      <c r="I1055" s="2"/>
      <c r="K1055" s="82">
        <v>0.67679999999999996</v>
      </c>
    </row>
    <row r="1056" spans="1:13" x14ac:dyDescent="0.2">
      <c r="A1056" s="33">
        <v>42721</v>
      </c>
      <c r="B1056" s="5" t="s">
        <v>2478</v>
      </c>
      <c r="C1056" s="32" t="s">
        <v>2479</v>
      </c>
      <c r="D1056" s="65">
        <v>1.4548611111111111E-2</v>
      </c>
      <c r="E1056" s="5" t="s">
        <v>3167</v>
      </c>
      <c r="F1056" s="108" t="s">
        <v>6111</v>
      </c>
      <c r="I1056" s="2"/>
      <c r="K1056" s="82">
        <v>0.70960000000000001</v>
      </c>
    </row>
    <row r="1057" spans="1:11" x14ac:dyDescent="0.2">
      <c r="A1057" s="33">
        <v>42714</v>
      </c>
      <c r="B1057" s="5" t="s">
        <v>2478</v>
      </c>
      <c r="C1057" s="32" t="s">
        <v>2479</v>
      </c>
      <c r="D1057" s="543">
        <v>1.4664351851851852E-2</v>
      </c>
      <c r="E1057" s="5" t="s">
        <v>3167</v>
      </c>
      <c r="F1057" s="69" t="s">
        <v>6094</v>
      </c>
      <c r="I1057" s="2"/>
      <c r="K1057" s="82">
        <v>0.70399999999999996</v>
      </c>
    </row>
    <row r="1058" spans="1:11" x14ac:dyDescent="0.2">
      <c r="A1058" s="33">
        <v>42707</v>
      </c>
      <c r="B1058" s="5" t="s">
        <v>2478</v>
      </c>
      <c r="C1058" s="32" t="s">
        <v>2479</v>
      </c>
      <c r="D1058" s="65">
        <v>1.4907407407407406E-2</v>
      </c>
      <c r="E1058" t="s">
        <v>3167</v>
      </c>
      <c r="F1058" s="69" t="s">
        <v>6045</v>
      </c>
      <c r="I1058" s="2"/>
      <c r="K1058" s="82">
        <v>0.6925</v>
      </c>
    </row>
    <row r="1059" spans="1:11" x14ac:dyDescent="0.2">
      <c r="A1059" s="33">
        <v>42700</v>
      </c>
      <c r="B1059" s="5" t="s">
        <v>2478</v>
      </c>
      <c r="C1059" s="32" t="s">
        <v>2479</v>
      </c>
      <c r="D1059" s="65">
        <v>1.5046296296296295E-2</v>
      </c>
      <c r="E1059" s="32" t="s">
        <v>3167</v>
      </c>
      <c r="F1059" s="69"/>
      <c r="I1059" s="2"/>
      <c r="K1059" s="82">
        <v>0.68620000000000003</v>
      </c>
    </row>
    <row r="1060" spans="1:11" x14ac:dyDescent="0.2">
      <c r="A1060" s="33">
        <v>42693</v>
      </c>
      <c r="B1060" s="5" t="s">
        <v>2478</v>
      </c>
      <c r="C1060" s="32" t="s">
        <v>2479</v>
      </c>
      <c r="D1060" s="65">
        <v>1.6006944444444445E-2</v>
      </c>
      <c r="E1060" s="5" t="s">
        <v>3167</v>
      </c>
      <c r="F1060" s="69"/>
      <c r="I1060" s="2"/>
      <c r="K1060" s="82">
        <v>0.64500000000000002</v>
      </c>
    </row>
    <row r="1061" spans="1:11" x14ac:dyDescent="0.2">
      <c r="A1061" s="33">
        <v>42686</v>
      </c>
      <c r="B1061" s="5" t="s">
        <v>2478</v>
      </c>
      <c r="C1061" s="32" t="s">
        <v>2479</v>
      </c>
      <c r="D1061" s="65">
        <v>1.6875000000000001E-2</v>
      </c>
      <c r="E1061" t="s">
        <v>3167</v>
      </c>
      <c r="F1061" s="69" t="s">
        <v>1470</v>
      </c>
      <c r="I1061" s="2"/>
      <c r="K1061" s="82">
        <v>0.61180000000000001</v>
      </c>
    </row>
    <row r="1062" spans="1:11" x14ac:dyDescent="0.2">
      <c r="A1062" s="33">
        <v>42679</v>
      </c>
      <c r="B1062" s="5" t="s">
        <v>2478</v>
      </c>
      <c r="C1062" s="32" t="s">
        <v>2479</v>
      </c>
      <c r="D1062" s="65">
        <v>1.5289351851851851E-2</v>
      </c>
      <c r="E1062" t="s">
        <v>3167</v>
      </c>
      <c r="F1062" s="69" t="s">
        <v>609</v>
      </c>
      <c r="I1062" s="2"/>
      <c r="K1062" s="82">
        <v>0.67520000000000002</v>
      </c>
    </row>
    <row r="1063" spans="1:11" x14ac:dyDescent="0.2">
      <c r="A1063" s="33">
        <v>42672</v>
      </c>
      <c r="B1063" s="5" t="s">
        <v>2478</v>
      </c>
      <c r="C1063" s="32" t="s">
        <v>2479</v>
      </c>
      <c r="D1063" s="65">
        <v>1.8391203703703705E-2</v>
      </c>
      <c r="E1063" t="s">
        <v>3160</v>
      </c>
      <c r="F1063" s="69" t="s">
        <v>4153</v>
      </c>
      <c r="I1063" s="2"/>
      <c r="K1063" s="82">
        <v>0.56140000000000001</v>
      </c>
    </row>
    <row r="1064" spans="1:11" x14ac:dyDescent="0.2">
      <c r="A1064" s="33">
        <v>42665</v>
      </c>
      <c r="B1064" s="5" t="s">
        <v>2478</v>
      </c>
      <c r="C1064" s="32" t="s">
        <v>2479</v>
      </c>
      <c r="D1064" s="65">
        <v>1.5324074074074073E-2</v>
      </c>
      <c r="E1064" s="1" t="s">
        <v>3167</v>
      </c>
      <c r="F1064" s="69" t="s">
        <v>1259</v>
      </c>
      <c r="I1064" s="2"/>
      <c r="K1064" s="82">
        <v>0.67369999999999997</v>
      </c>
    </row>
    <row r="1065" spans="1:11" x14ac:dyDescent="0.2">
      <c r="A1065" s="33">
        <v>42658</v>
      </c>
      <c r="B1065" s="5" t="s">
        <v>2478</v>
      </c>
      <c r="C1065" s="32" t="s">
        <v>2479</v>
      </c>
      <c r="D1065" s="65">
        <v>1.6828703703703703E-2</v>
      </c>
      <c r="E1065" t="s">
        <v>3167</v>
      </c>
      <c r="F1065" s="69" t="s">
        <v>1972</v>
      </c>
      <c r="I1065" s="2"/>
      <c r="K1065" s="82">
        <v>0.61350000000000005</v>
      </c>
    </row>
    <row r="1066" spans="1:11" x14ac:dyDescent="0.2">
      <c r="A1066" s="33">
        <v>42651</v>
      </c>
      <c r="B1066" s="5" t="s">
        <v>2478</v>
      </c>
      <c r="C1066" s="32" t="s">
        <v>2479</v>
      </c>
      <c r="D1066" s="65">
        <v>1.5138888888888889E-2</v>
      </c>
      <c r="E1066" t="s">
        <v>3167</v>
      </c>
      <c r="F1066" s="69" t="s">
        <v>1083</v>
      </c>
      <c r="I1066" s="2"/>
      <c r="K1066" s="82">
        <v>0.68200000000000005</v>
      </c>
    </row>
    <row r="1067" spans="1:11" x14ac:dyDescent="0.2">
      <c r="A1067" s="33">
        <v>42637</v>
      </c>
      <c r="B1067" s="5" t="s">
        <v>2478</v>
      </c>
      <c r="C1067" s="32" t="s">
        <v>2479</v>
      </c>
      <c r="D1067" s="65">
        <v>1.462962962962963E-2</v>
      </c>
      <c r="E1067" t="s">
        <v>3167</v>
      </c>
      <c r="F1067" s="69" t="s">
        <v>4108</v>
      </c>
      <c r="I1067" s="2"/>
      <c r="K1067" s="82">
        <v>0.70569999999999999</v>
      </c>
    </row>
    <row r="1068" spans="1:11" x14ac:dyDescent="0.2">
      <c r="A1068" s="33">
        <v>42630</v>
      </c>
      <c r="B1068" s="5" t="s">
        <v>2478</v>
      </c>
      <c r="C1068" s="32" t="s">
        <v>2479</v>
      </c>
      <c r="D1068" s="65">
        <v>1.7789351851851851E-2</v>
      </c>
      <c r="E1068" t="s">
        <v>3167</v>
      </c>
      <c r="F1068" s="69" t="s">
        <v>2452</v>
      </c>
      <c r="I1068" s="2"/>
      <c r="K1068" s="82">
        <v>0.58040000000000003</v>
      </c>
    </row>
    <row r="1069" spans="1:11" x14ac:dyDescent="0.2">
      <c r="A1069" s="33">
        <v>42623</v>
      </c>
      <c r="B1069" s="5" t="s">
        <v>2478</v>
      </c>
      <c r="C1069" s="32" t="s">
        <v>2479</v>
      </c>
      <c r="D1069" s="65">
        <v>1.5949074074074074E-2</v>
      </c>
      <c r="E1069" t="s">
        <v>3167</v>
      </c>
      <c r="F1069" s="69" t="s">
        <v>825</v>
      </c>
      <c r="I1069" s="2"/>
      <c r="K1069" s="82">
        <v>0.64729999999999999</v>
      </c>
    </row>
    <row r="1070" spans="1:11" x14ac:dyDescent="0.2">
      <c r="A1070" s="33">
        <v>42616</v>
      </c>
      <c r="B1070" s="5" t="s">
        <v>2478</v>
      </c>
      <c r="C1070" s="32" t="s">
        <v>2479</v>
      </c>
      <c r="D1070" s="65">
        <v>1.7083333333333336E-2</v>
      </c>
      <c r="E1070" t="s">
        <v>3167</v>
      </c>
      <c r="F1070" s="69" t="s">
        <v>3</v>
      </c>
      <c r="I1070" s="2"/>
      <c r="K1070" s="82">
        <v>0.60429999999999995</v>
      </c>
    </row>
    <row r="1071" spans="1:11" x14ac:dyDescent="0.2">
      <c r="A1071" s="33">
        <v>42609</v>
      </c>
      <c r="B1071" s="5" t="s">
        <v>2478</v>
      </c>
      <c r="C1071" s="32" t="s">
        <v>2479</v>
      </c>
      <c r="D1071" s="65">
        <v>1.6724537037037034E-2</v>
      </c>
      <c r="E1071" t="s">
        <v>3167</v>
      </c>
      <c r="F1071" s="69" t="s">
        <v>396</v>
      </c>
      <c r="I1071" s="2"/>
      <c r="K1071" s="82">
        <v>0.61729999999999996</v>
      </c>
    </row>
    <row r="1072" spans="1:11" x14ac:dyDescent="0.2">
      <c r="A1072" s="33">
        <v>42602</v>
      </c>
      <c r="B1072" s="5" t="s">
        <v>2478</v>
      </c>
      <c r="C1072" s="32" t="s">
        <v>2479</v>
      </c>
      <c r="D1072" s="65">
        <v>1.6689814814814817E-2</v>
      </c>
      <c r="E1072" t="s">
        <v>1790</v>
      </c>
      <c r="F1072" s="69" t="s">
        <v>3980</v>
      </c>
      <c r="I1072" s="2"/>
      <c r="K1072" s="82">
        <v>0.61860000000000004</v>
      </c>
    </row>
    <row r="1073" spans="1:28" x14ac:dyDescent="0.2">
      <c r="A1073" s="33">
        <v>42595</v>
      </c>
      <c r="B1073" s="5" t="s">
        <v>2478</v>
      </c>
      <c r="C1073" s="32" t="s">
        <v>2479</v>
      </c>
      <c r="D1073" s="65" t="s">
        <v>787</v>
      </c>
      <c r="E1073" t="s">
        <v>3167</v>
      </c>
      <c r="F1073" s="69" t="s">
        <v>1549</v>
      </c>
      <c r="I1073" s="2"/>
      <c r="K1073" s="82"/>
    </row>
    <row r="1074" spans="1:28" x14ac:dyDescent="0.2">
      <c r="A1074" s="33">
        <v>42574</v>
      </c>
      <c r="B1074" s="5" t="s">
        <v>2478</v>
      </c>
      <c r="C1074" s="32" t="s">
        <v>2479</v>
      </c>
      <c r="D1074" s="65">
        <v>1.4259259259259261E-2</v>
      </c>
      <c r="E1074" t="s">
        <v>3167</v>
      </c>
      <c r="F1074" s="69" t="s">
        <v>1012</v>
      </c>
      <c r="I1074" s="2"/>
      <c r="K1074" s="82">
        <v>0.72399999999999998</v>
      </c>
    </row>
    <row r="1075" spans="1:28" x14ac:dyDescent="0.2">
      <c r="A1075" s="33">
        <v>42567</v>
      </c>
      <c r="B1075" s="5" t="s">
        <v>2478</v>
      </c>
      <c r="C1075" s="32" t="s">
        <v>2479</v>
      </c>
      <c r="D1075" s="65">
        <v>1.638888888888889E-2</v>
      </c>
      <c r="E1075" t="s">
        <v>3167</v>
      </c>
      <c r="F1075" s="69" t="s">
        <v>4329</v>
      </c>
      <c r="I1075" s="2"/>
      <c r="K1075" s="82">
        <v>0.62990000000000002</v>
      </c>
    </row>
    <row r="1076" spans="1:28" x14ac:dyDescent="0.2">
      <c r="A1076" s="33">
        <v>42560</v>
      </c>
      <c r="B1076" s="5" t="s">
        <v>2478</v>
      </c>
      <c r="C1076" s="32" t="s">
        <v>2479</v>
      </c>
      <c r="D1076" s="65">
        <v>1.3958333333333335E-2</v>
      </c>
      <c r="E1076" t="s">
        <v>3167</v>
      </c>
      <c r="F1076" s="69"/>
      <c r="I1076" s="2"/>
      <c r="K1076" s="82">
        <v>0.73960000000000004</v>
      </c>
    </row>
    <row r="1077" spans="1:28" x14ac:dyDescent="0.2">
      <c r="A1077" s="33">
        <v>42553</v>
      </c>
      <c r="B1077" s="5" t="s">
        <v>2478</v>
      </c>
      <c r="C1077" s="32" t="s">
        <v>2479</v>
      </c>
      <c r="D1077" s="65">
        <v>1.4259259259259261E-2</v>
      </c>
      <c r="E1077" t="s">
        <v>3167</v>
      </c>
      <c r="F1077" s="69" t="s">
        <v>521</v>
      </c>
      <c r="I1077" s="2"/>
      <c r="K1077" s="82">
        <v>0.72399999999999998</v>
      </c>
    </row>
    <row r="1078" spans="1:28" x14ac:dyDescent="0.2">
      <c r="A1078" s="33">
        <v>42546</v>
      </c>
      <c r="B1078" s="5" t="s">
        <v>2478</v>
      </c>
      <c r="C1078" s="32" t="s">
        <v>2479</v>
      </c>
      <c r="D1078" s="65">
        <v>1.4120370370370368E-2</v>
      </c>
      <c r="E1078" t="s">
        <v>1214</v>
      </c>
      <c r="F1078" s="69" t="s">
        <v>1224</v>
      </c>
      <c r="I1078" s="2"/>
      <c r="K1078" s="82">
        <v>0.73109999999999997</v>
      </c>
      <c r="AB1078" s="41"/>
    </row>
    <row r="1079" spans="1:28" x14ac:dyDescent="0.2">
      <c r="A1079" s="33">
        <v>42539</v>
      </c>
      <c r="B1079" s="5" t="s">
        <v>2478</v>
      </c>
      <c r="C1079" s="32" t="s">
        <v>2479</v>
      </c>
      <c r="D1079" s="65">
        <v>1.5625E-2</v>
      </c>
      <c r="E1079" t="s">
        <v>3167</v>
      </c>
      <c r="F1079" s="69" t="s">
        <v>4756</v>
      </c>
      <c r="I1079" s="2"/>
      <c r="K1079" s="82">
        <v>0.66069999999999995</v>
      </c>
    </row>
    <row r="1080" spans="1:28" x14ac:dyDescent="0.2">
      <c r="A1080" s="33">
        <v>42525</v>
      </c>
      <c r="B1080" s="5" t="s">
        <v>2478</v>
      </c>
      <c r="C1080" s="32" t="s">
        <v>2479</v>
      </c>
      <c r="D1080" s="543">
        <v>1.480324074074074E-2</v>
      </c>
      <c r="E1080" s="5" t="s">
        <v>3167</v>
      </c>
      <c r="F1080" s="108" t="s">
        <v>2851</v>
      </c>
      <c r="G1080" s="5"/>
      <c r="H1080" s="5"/>
      <c r="I1080" s="2"/>
      <c r="J1080" s="5"/>
      <c r="K1080" s="85">
        <v>0.69189999999999996</v>
      </c>
    </row>
    <row r="1081" spans="1:28" x14ac:dyDescent="0.2">
      <c r="A1081" s="33">
        <v>42518</v>
      </c>
      <c r="B1081" s="5" t="s">
        <v>2478</v>
      </c>
      <c r="C1081" s="32" t="s">
        <v>2479</v>
      </c>
      <c r="D1081" s="543">
        <v>1.3877314814814815E-2</v>
      </c>
      <c r="E1081" s="5" t="s">
        <v>3167</v>
      </c>
      <c r="F1081" s="108" t="s">
        <v>3791</v>
      </c>
      <c r="G1081" s="5"/>
      <c r="H1081" s="5"/>
      <c r="I1081" s="2"/>
      <c r="J1081" s="5"/>
      <c r="K1081" s="85">
        <v>0.73809999999999998</v>
      </c>
    </row>
    <row r="1082" spans="1:28" x14ac:dyDescent="0.2">
      <c r="A1082" s="33">
        <v>42504</v>
      </c>
      <c r="B1082" s="5" t="s">
        <v>2478</v>
      </c>
      <c r="C1082" s="32" t="s">
        <v>2479</v>
      </c>
      <c r="D1082" s="543">
        <v>1.3981481481481482E-2</v>
      </c>
      <c r="E1082" s="5" t="s">
        <v>3167</v>
      </c>
      <c r="F1082" s="108" t="s">
        <v>2347</v>
      </c>
      <c r="G1082" s="5"/>
      <c r="H1082" s="5"/>
      <c r="I1082" s="5"/>
      <c r="J1082" s="5"/>
      <c r="K1082" s="85">
        <v>0.73260000000000003</v>
      </c>
    </row>
    <row r="1083" spans="1:28" x14ac:dyDescent="0.2">
      <c r="A1083" s="33">
        <v>42497</v>
      </c>
      <c r="B1083" s="5" t="s">
        <v>2478</v>
      </c>
      <c r="C1083" s="32" t="s">
        <v>2479</v>
      </c>
      <c r="D1083" s="543">
        <v>1.3854166666666666E-2</v>
      </c>
      <c r="E1083" s="5" t="s">
        <v>3167</v>
      </c>
      <c r="F1083" s="108" t="s">
        <v>552</v>
      </c>
      <c r="G1083" s="5"/>
      <c r="H1083" s="5"/>
      <c r="I1083" s="5"/>
      <c r="J1083" s="5"/>
      <c r="K1083" s="85">
        <v>0.73929999999999996</v>
      </c>
    </row>
    <row r="1084" spans="1:28" x14ac:dyDescent="0.2">
      <c r="A1084" s="33">
        <v>42490</v>
      </c>
      <c r="B1084" s="5" t="s">
        <v>2478</v>
      </c>
      <c r="C1084" s="32" t="s">
        <v>2479</v>
      </c>
      <c r="D1084" s="543">
        <v>1.3807870370370371E-2</v>
      </c>
      <c r="E1084" s="5" t="s">
        <v>3167</v>
      </c>
      <c r="F1084" s="108" t="s">
        <v>4800</v>
      </c>
      <c r="G1084" s="5"/>
      <c r="H1084" s="5"/>
      <c r="I1084" s="5"/>
      <c r="J1084" s="5"/>
      <c r="K1084" s="85">
        <v>0.74180000000000001</v>
      </c>
    </row>
    <row r="1085" spans="1:28" x14ac:dyDescent="0.2">
      <c r="A1085" s="33">
        <v>42490</v>
      </c>
      <c r="B1085" s="5" t="s">
        <v>2478</v>
      </c>
      <c r="C1085" s="32" t="s">
        <v>2479</v>
      </c>
      <c r="D1085" s="543" t="s">
        <v>787</v>
      </c>
      <c r="E1085" s="5" t="s">
        <v>3167</v>
      </c>
      <c r="F1085" s="108" t="s">
        <v>4382</v>
      </c>
      <c r="G1085" s="5"/>
      <c r="H1085" s="5"/>
      <c r="I1085" s="5"/>
      <c r="J1085" s="5"/>
      <c r="K1085" s="85"/>
    </row>
    <row r="1086" spans="1:28" x14ac:dyDescent="0.2">
      <c r="A1086" s="33">
        <v>42483</v>
      </c>
      <c r="B1086" s="5" t="s">
        <v>2478</v>
      </c>
      <c r="C1086" s="32" t="s">
        <v>2479</v>
      </c>
      <c r="D1086" s="543">
        <v>1.8784722222222223E-2</v>
      </c>
      <c r="E1086" s="5" t="s">
        <v>3167</v>
      </c>
      <c r="F1086" s="108" t="s">
        <v>6012</v>
      </c>
      <c r="G1086" s="5"/>
      <c r="H1086" s="5"/>
      <c r="I1086" s="2"/>
      <c r="J1086" s="5"/>
      <c r="K1086" s="85">
        <v>0.54530000000000001</v>
      </c>
    </row>
    <row r="1087" spans="1:28" x14ac:dyDescent="0.2">
      <c r="A1087" s="33">
        <v>42476</v>
      </c>
      <c r="B1087" s="5" t="s">
        <v>2478</v>
      </c>
      <c r="C1087" s="32" t="s">
        <v>2479</v>
      </c>
      <c r="D1087" s="65">
        <v>1.4166666666666666E-2</v>
      </c>
      <c r="E1087" s="5" t="s">
        <v>2711</v>
      </c>
      <c r="F1087" s="69" t="s">
        <v>3477</v>
      </c>
      <c r="I1087" s="2"/>
      <c r="K1087" s="82">
        <v>0.72299999999999998</v>
      </c>
    </row>
    <row r="1088" spans="1:28" x14ac:dyDescent="0.2">
      <c r="A1088" s="33">
        <v>42469</v>
      </c>
      <c r="B1088" s="5" t="s">
        <v>2478</v>
      </c>
      <c r="C1088" s="32" t="s">
        <v>2479</v>
      </c>
      <c r="D1088" s="65">
        <v>1.4074074074074074E-2</v>
      </c>
      <c r="E1088" t="s">
        <v>3167</v>
      </c>
      <c r="F1088" s="69" t="s">
        <v>4958</v>
      </c>
      <c r="I1088" s="2"/>
      <c r="K1088" s="82">
        <v>0.7278</v>
      </c>
    </row>
    <row r="1089" spans="1:13" x14ac:dyDescent="0.2">
      <c r="A1089" s="33">
        <v>42462</v>
      </c>
      <c r="B1089" s="5" t="s">
        <v>2478</v>
      </c>
      <c r="C1089" s="32" t="s">
        <v>2479</v>
      </c>
      <c r="D1089" s="65">
        <v>1.4884259259259259E-2</v>
      </c>
      <c r="E1089" t="s">
        <v>1214</v>
      </c>
      <c r="F1089" s="69" t="s">
        <v>5584</v>
      </c>
      <c r="I1089" s="2"/>
      <c r="K1089" s="82">
        <v>0.68820000000000003</v>
      </c>
    </row>
    <row r="1090" spans="1:13" x14ac:dyDescent="0.2">
      <c r="A1090" s="33">
        <v>42455</v>
      </c>
      <c r="B1090" s="5" t="s">
        <v>2478</v>
      </c>
      <c r="C1090" s="32" t="s">
        <v>2479</v>
      </c>
      <c r="D1090" s="65">
        <v>1.4282407407407409E-2</v>
      </c>
      <c r="E1090" t="s">
        <v>3167</v>
      </c>
      <c r="F1090" s="69" t="s">
        <v>4076</v>
      </c>
      <c r="I1090" s="2"/>
      <c r="K1090" s="82">
        <v>0.71719999999999995</v>
      </c>
    </row>
    <row r="1091" spans="1:13" x14ac:dyDescent="0.2">
      <c r="A1091" s="33">
        <v>42448</v>
      </c>
      <c r="B1091" s="5" t="s">
        <v>2478</v>
      </c>
      <c r="C1091" s="32" t="s">
        <v>2479</v>
      </c>
      <c r="D1091" s="65">
        <v>1.5706018518518518E-2</v>
      </c>
      <c r="E1091" t="s">
        <v>3167</v>
      </c>
      <c r="F1091" s="69" t="s">
        <v>2470</v>
      </c>
      <c r="I1091" s="2"/>
      <c r="K1091" s="82">
        <v>0.65700000000000003</v>
      </c>
    </row>
    <row r="1092" spans="1:13" x14ac:dyDescent="0.2">
      <c r="A1092" s="33">
        <v>42441</v>
      </c>
      <c r="B1092" s="5" t="s">
        <v>2478</v>
      </c>
      <c r="C1092" s="32" t="s">
        <v>2479</v>
      </c>
      <c r="D1092" s="65">
        <v>1.8680555555555554E-2</v>
      </c>
      <c r="E1092" t="s">
        <v>761</v>
      </c>
      <c r="F1092" s="69" t="s">
        <v>4311</v>
      </c>
      <c r="I1092" s="2"/>
      <c r="K1092" s="82">
        <v>0.54830000000000001</v>
      </c>
    </row>
    <row r="1093" spans="1:13" x14ac:dyDescent="0.2">
      <c r="A1093" s="33">
        <v>42434</v>
      </c>
      <c r="B1093" s="5" t="s">
        <v>2478</v>
      </c>
      <c r="C1093" s="32" t="s">
        <v>2479</v>
      </c>
      <c r="D1093" s="65">
        <v>1.3842592592592594E-2</v>
      </c>
      <c r="E1093" t="s">
        <v>3167</v>
      </c>
      <c r="F1093" s="69" t="s">
        <v>929</v>
      </c>
      <c r="I1093" s="2"/>
      <c r="K1093" s="82">
        <v>0.74</v>
      </c>
    </row>
    <row r="1094" spans="1:13" x14ac:dyDescent="0.2">
      <c r="A1094" s="33">
        <v>42427</v>
      </c>
      <c r="B1094" s="5" t="s">
        <v>2478</v>
      </c>
      <c r="C1094" s="32" t="s">
        <v>2479</v>
      </c>
      <c r="D1094" s="65">
        <v>1.4189814814814815E-2</v>
      </c>
      <c r="E1094" s="5" t="s">
        <v>3167</v>
      </c>
      <c r="F1094" s="69" t="s">
        <v>5489</v>
      </c>
      <c r="I1094" s="2"/>
      <c r="K1094" s="82">
        <v>0.72189999999999999</v>
      </c>
    </row>
    <row r="1095" spans="1:13" x14ac:dyDescent="0.2">
      <c r="A1095" s="33">
        <v>42420</v>
      </c>
      <c r="B1095" s="5" t="s">
        <v>2478</v>
      </c>
      <c r="C1095" s="32" t="s">
        <v>2479</v>
      </c>
      <c r="D1095" s="65">
        <v>1.8148148148148146E-2</v>
      </c>
      <c r="E1095" t="s">
        <v>1214</v>
      </c>
      <c r="F1095" s="69" t="s">
        <v>239</v>
      </c>
      <c r="I1095" s="2"/>
      <c r="K1095" s="82">
        <v>0.56440000000000001</v>
      </c>
    </row>
    <row r="1096" spans="1:13" x14ac:dyDescent="0.2">
      <c r="A1096" s="33">
        <v>42413</v>
      </c>
      <c r="B1096" s="5" t="s">
        <v>2478</v>
      </c>
      <c r="C1096" s="32" t="s">
        <v>2479</v>
      </c>
      <c r="D1096" s="65">
        <v>1.7314814814814814E-2</v>
      </c>
      <c r="E1096" t="s">
        <v>1214</v>
      </c>
      <c r="F1096" s="69" t="s">
        <v>2154</v>
      </c>
      <c r="I1096" s="2"/>
      <c r="K1096" s="82">
        <v>0.59160000000000001</v>
      </c>
    </row>
    <row r="1097" spans="1:13" x14ac:dyDescent="0.2">
      <c r="A1097" s="33">
        <v>42406</v>
      </c>
      <c r="B1097" s="5" t="s">
        <v>2478</v>
      </c>
      <c r="C1097" s="32" t="s">
        <v>2479</v>
      </c>
      <c r="D1097" s="65">
        <v>1.4386574074074072E-2</v>
      </c>
      <c r="E1097" t="s">
        <v>3167</v>
      </c>
      <c r="F1097" s="69" t="s">
        <v>1383</v>
      </c>
      <c r="I1097" s="2"/>
      <c r="K1097" s="82">
        <v>0.71199999999999997</v>
      </c>
    </row>
    <row r="1098" spans="1:13" x14ac:dyDescent="0.2">
      <c r="A1098" s="33">
        <v>42399</v>
      </c>
      <c r="B1098" s="5" t="s">
        <v>2478</v>
      </c>
      <c r="C1098" s="32" t="s">
        <v>2479</v>
      </c>
      <c r="D1098" s="65">
        <v>1.6111111111111111E-2</v>
      </c>
      <c r="E1098" t="s">
        <v>3167</v>
      </c>
      <c r="F1098" s="69"/>
      <c r="I1098" s="2"/>
      <c r="K1098" s="82">
        <v>0.63580000000000003</v>
      </c>
    </row>
    <row r="1099" spans="1:13" x14ac:dyDescent="0.2">
      <c r="A1099" s="33">
        <v>42392</v>
      </c>
      <c r="B1099" s="5" t="s">
        <v>2478</v>
      </c>
      <c r="C1099" s="32" t="s">
        <v>2479</v>
      </c>
      <c r="D1099" s="65">
        <v>1.5636574074074074E-2</v>
      </c>
      <c r="E1099" t="s">
        <v>1214</v>
      </c>
      <c r="F1099" s="69" t="s">
        <v>309</v>
      </c>
      <c r="I1099" s="2"/>
      <c r="K1099" s="82">
        <v>0.65510000000000002</v>
      </c>
    </row>
    <row r="1100" spans="1:13" x14ac:dyDescent="0.2">
      <c r="A1100" s="33">
        <v>42385</v>
      </c>
      <c r="B1100" s="5" t="s">
        <v>2478</v>
      </c>
      <c r="C1100" s="32" t="s">
        <v>2479</v>
      </c>
      <c r="D1100" s="65">
        <v>1.7708333333333333E-2</v>
      </c>
      <c r="E1100" t="s">
        <v>1214</v>
      </c>
      <c r="F1100" s="69" t="s">
        <v>163</v>
      </c>
      <c r="I1100" s="2"/>
      <c r="K1100" s="82">
        <v>0.57840000000000003</v>
      </c>
    </row>
    <row r="1101" spans="1:13" x14ac:dyDescent="0.2">
      <c r="A1101" s="33">
        <v>42378</v>
      </c>
      <c r="B1101" s="5" t="s">
        <v>2478</v>
      </c>
      <c r="C1101" s="32" t="s">
        <v>2479</v>
      </c>
      <c r="D1101" s="544">
        <v>1.4039351851851851E-2</v>
      </c>
      <c r="E1101" s="407" t="s">
        <v>2588</v>
      </c>
      <c r="F1101" s="545" t="s">
        <v>1313</v>
      </c>
      <c r="G1101" s="407"/>
      <c r="H1101" s="407"/>
      <c r="I1101" s="348"/>
      <c r="J1101" s="407"/>
      <c r="K1101" s="546">
        <v>0.72960000000000003</v>
      </c>
    </row>
    <row r="1102" spans="1:13" x14ac:dyDescent="0.2">
      <c r="A1102" s="33">
        <v>42371</v>
      </c>
      <c r="B1102" s="5" t="s">
        <v>2478</v>
      </c>
      <c r="C1102" s="32" t="s">
        <v>2479</v>
      </c>
      <c r="D1102" s="65">
        <v>1.5462962962962963E-2</v>
      </c>
      <c r="E1102" s="5" t="s">
        <v>3167</v>
      </c>
      <c r="F1102" s="69" t="s">
        <v>3308</v>
      </c>
      <c r="K1102" s="82">
        <v>0.66239999999999999</v>
      </c>
    </row>
    <row r="1103" spans="1:13" x14ac:dyDescent="0.2">
      <c r="A1103" s="33">
        <v>42370</v>
      </c>
      <c r="B1103" s="5" t="s">
        <v>2478</v>
      </c>
      <c r="C1103" s="32" t="s">
        <v>2479</v>
      </c>
      <c r="D1103" s="65">
        <v>1.40625E-2</v>
      </c>
      <c r="E1103" s="5" t="s">
        <v>1214</v>
      </c>
      <c r="F1103" s="69" t="s">
        <v>513</v>
      </c>
      <c r="H1103" t="s">
        <v>138</v>
      </c>
      <c r="I1103" s="2"/>
      <c r="K1103" s="82">
        <v>0.7278</v>
      </c>
      <c r="M1103" t="s">
        <v>729</v>
      </c>
    </row>
    <row r="1104" spans="1:13" x14ac:dyDescent="0.2">
      <c r="A1104" s="33">
        <v>42370</v>
      </c>
      <c r="B1104" s="5" t="s">
        <v>2478</v>
      </c>
      <c r="C1104" s="32" t="s">
        <v>2479</v>
      </c>
      <c r="D1104" s="65">
        <v>1.511574074074074E-2</v>
      </c>
      <c r="E1104" s="5" t="s">
        <v>4936</v>
      </c>
      <c r="F1104" s="69" t="s">
        <v>514</v>
      </c>
      <c r="H1104" t="s">
        <v>139</v>
      </c>
      <c r="I1104" s="2"/>
      <c r="J1104" t="s">
        <v>4479</v>
      </c>
      <c r="K1104" s="82">
        <v>0.67759999999999998</v>
      </c>
    </row>
    <row r="1105" spans="1:19" x14ac:dyDescent="0.2">
      <c r="A1105" s="33">
        <v>42672</v>
      </c>
      <c r="B1105" s="5" t="s">
        <v>4015</v>
      </c>
      <c r="C1105" s="32" t="s">
        <v>2479</v>
      </c>
      <c r="D1105" s="65" t="s">
        <v>787</v>
      </c>
      <c r="E1105" t="s">
        <v>3160</v>
      </c>
      <c r="F1105" s="69" t="s">
        <v>4061</v>
      </c>
      <c r="I1105" s="2"/>
      <c r="K1105" s="82"/>
    </row>
    <row r="1106" spans="1:19" x14ac:dyDescent="0.2">
      <c r="A1106" s="33">
        <v>42672</v>
      </c>
      <c r="B1106" s="5" t="s">
        <v>4154</v>
      </c>
      <c r="C1106" s="32" t="s">
        <v>2479</v>
      </c>
      <c r="D1106" s="65" t="s">
        <v>787</v>
      </c>
      <c r="E1106" t="s">
        <v>3160</v>
      </c>
      <c r="F1106" s="69" t="s">
        <v>4061</v>
      </c>
      <c r="J1106" s="82"/>
    </row>
    <row r="1107" spans="1:19" x14ac:dyDescent="0.2">
      <c r="A1107" s="33">
        <v>42581</v>
      </c>
      <c r="B1107" s="5" t="s">
        <v>3535</v>
      </c>
      <c r="C1107" s="32" t="s">
        <v>3536</v>
      </c>
      <c r="D1107" s="65">
        <v>1.2488425925925925E-2</v>
      </c>
      <c r="E1107" t="s">
        <v>5885</v>
      </c>
      <c r="F1107" s="69" t="s">
        <v>4064</v>
      </c>
      <c r="I1107" s="2"/>
      <c r="K1107" s="82">
        <v>0.78869999999999996</v>
      </c>
      <c r="S1107" s="5"/>
    </row>
    <row r="1108" spans="1:19" x14ac:dyDescent="0.2">
      <c r="A1108" s="33">
        <v>42434</v>
      </c>
      <c r="B1108" s="53" t="s">
        <v>3230</v>
      </c>
      <c r="C1108" s="54" t="s">
        <v>49</v>
      </c>
      <c r="D1108" s="65">
        <v>1.53125E-2</v>
      </c>
      <c r="E1108" t="s">
        <v>5544</v>
      </c>
      <c r="F1108" s="69" t="s">
        <v>926</v>
      </c>
      <c r="I1108" s="2"/>
      <c r="K1108" s="82">
        <v>0.71499999999999997</v>
      </c>
    </row>
    <row r="1109" spans="1:19" x14ac:dyDescent="0.2">
      <c r="A1109" s="33">
        <v>42427</v>
      </c>
      <c r="B1109" s="53" t="s">
        <v>3230</v>
      </c>
      <c r="C1109" s="54" t="s">
        <v>49</v>
      </c>
      <c r="D1109" s="65">
        <v>1.5613425925925926E-2</v>
      </c>
      <c r="E1109" t="s">
        <v>5544</v>
      </c>
      <c r="F1109" s="108" t="s">
        <v>4471</v>
      </c>
      <c r="G1109" s="2"/>
      <c r="I1109" s="2"/>
      <c r="K1109" s="82">
        <v>0.70130000000000003</v>
      </c>
    </row>
    <row r="1110" spans="1:19" x14ac:dyDescent="0.2">
      <c r="A1110" s="33">
        <v>42420</v>
      </c>
      <c r="B1110" s="53" t="s">
        <v>3230</v>
      </c>
      <c r="C1110" s="54" t="s">
        <v>49</v>
      </c>
      <c r="D1110" s="65">
        <v>1.545138888888889E-2</v>
      </c>
      <c r="E1110" t="s">
        <v>5544</v>
      </c>
      <c r="F1110" s="69" t="s">
        <v>2053</v>
      </c>
      <c r="I1110" s="2"/>
      <c r="K1110" s="82">
        <v>0.69099999999999995</v>
      </c>
    </row>
    <row r="1111" spans="1:19" x14ac:dyDescent="0.2">
      <c r="A1111" s="33">
        <v>42413</v>
      </c>
      <c r="B1111" s="53" t="s">
        <v>3230</v>
      </c>
      <c r="C1111" s="54" t="s">
        <v>49</v>
      </c>
      <c r="D1111" s="65">
        <v>1.6157407407407409E-2</v>
      </c>
      <c r="E1111" t="s">
        <v>5544</v>
      </c>
      <c r="F1111" s="69" t="s">
        <v>5869</v>
      </c>
      <c r="I1111" s="2"/>
      <c r="K1111" s="82">
        <v>0.67769999999999997</v>
      </c>
    </row>
    <row r="1112" spans="1:19" x14ac:dyDescent="0.2">
      <c r="A1112" s="33">
        <v>42406</v>
      </c>
      <c r="B1112" s="53" t="s">
        <v>3230</v>
      </c>
      <c r="C1112" s="54" t="s">
        <v>49</v>
      </c>
      <c r="D1112" s="65">
        <v>1.7094907407407409E-2</v>
      </c>
      <c r="E1112" t="s">
        <v>5544</v>
      </c>
      <c r="F1112" s="69" t="s">
        <v>2189</v>
      </c>
      <c r="I1112" s="2"/>
      <c r="K1112" s="82">
        <v>0.64049999999999996</v>
      </c>
    </row>
    <row r="1113" spans="1:19" x14ac:dyDescent="0.2">
      <c r="A1113" s="33">
        <v>42399</v>
      </c>
      <c r="B1113" s="53" t="s">
        <v>3230</v>
      </c>
      <c r="C1113" s="54" t="s">
        <v>49</v>
      </c>
      <c r="D1113" s="65">
        <v>1.800925925925926E-2</v>
      </c>
      <c r="E1113" t="s">
        <v>5544</v>
      </c>
      <c r="F1113" s="69"/>
      <c r="I1113" s="2"/>
      <c r="K1113" s="82">
        <v>0.60799999999999998</v>
      </c>
    </row>
    <row r="1114" spans="1:19" x14ac:dyDescent="0.2">
      <c r="A1114" s="33">
        <v>42441</v>
      </c>
      <c r="B1114" s="53" t="s">
        <v>4448</v>
      </c>
      <c r="C1114" s="54" t="s">
        <v>4635</v>
      </c>
      <c r="D1114" s="65">
        <v>3.1932870370370368E-2</v>
      </c>
      <c r="E1114" t="s">
        <v>5883</v>
      </c>
      <c r="F1114" s="69" t="s">
        <v>1061</v>
      </c>
      <c r="I1114" s="2"/>
      <c r="K1114" s="82">
        <v>0.34179999999999999</v>
      </c>
    </row>
    <row r="1115" spans="1:19" x14ac:dyDescent="0.2">
      <c r="A1115" s="33">
        <v>42735</v>
      </c>
      <c r="B1115" s="80" t="s">
        <v>866</v>
      </c>
      <c r="C1115" s="334" t="s">
        <v>4635</v>
      </c>
      <c r="D1115" s="65">
        <v>2.0347222222222221E-2</v>
      </c>
      <c r="E1115" s="80" t="s">
        <v>5883</v>
      </c>
      <c r="F1115" s="69" t="s">
        <v>6175</v>
      </c>
      <c r="I1115" s="2"/>
      <c r="K1115" s="82">
        <v>0.52449999999999997</v>
      </c>
      <c r="M1115">
        <f>234-187</f>
        <v>47</v>
      </c>
    </row>
    <row r="1116" spans="1:19" x14ac:dyDescent="0.2">
      <c r="A1116" s="523">
        <v>42728</v>
      </c>
      <c r="B1116" s="513" t="s">
        <v>866</v>
      </c>
      <c r="C1116" s="512" t="s">
        <v>4635</v>
      </c>
      <c r="D1116" s="65">
        <v>2.476851851851852E-2</v>
      </c>
      <c r="E1116" s="80" t="s">
        <v>5883</v>
      </c>
      <c r="F1116" s="69" t="s">
        <v>4031</v>
      </c>
      <c r="I1116" s="2"/>
      <c r="K1116" s="82">
        <v>0.43080000000000002</v>
      </c>
    </row>
    <row r="1117" spans="1:19" x14ac:dyDescent="0.2">
      <c r="A1117" s="33">
        <v>42721</v>
      </c>
      <c r="B1117" s="513" t="s">
        <v>866</v>
      </c>
      <c r="C1117" s="512" t="s">
        <v>4635</v>
      </c>
      <c r="D1117" s="65">
        <v>1.9456018518518518E-2</v>
      </c>
      <c r="E1117" s="5" t="s">
        <v>5883</v>
      </c>
      <c r="F1117" s="108" t="s">
        <v>4726</v>
      </c>
      <c r="I1117" s="2"/>
      <c r="K1117" s="82">
        <v>0.54849999999999999</v>
      </c>
    </row>
    <row r="1118" spans="1:19" x14ac:dyDescent="0.2">
      <c r="A1118" s="33">
        <v>42714</v>
      </c>
      <c r="B1118" s="513" t="s">
        <v>866</v>
      </c>
      <c r="C1118" s="512" t="s">
        <v>4635</v>
      </c>
      <c r="D1118" s="65">
        <v>1.8692129629629631E-2</v>
      </c>
      <c r="E1118" s="5" t="s">
        <v>5883</v>
      </c>
      <c r="F1118" s="108" t="s">
        <v>6090</v>
      </c>
      <c r="I1118" s="2"/>
      <c r="K1118" s="82">
        <v>0.57089999999999996</v>
      </c>
    </row>
    <row r="1119" spans="1:19" x14ac:dyDescent="0.2">
      <c r="A1119" s="33">
        <v>42707</v>
      </c>
      <c r="B1119" s="513" t="s">
        <v>866</v>
      </c>
      <c r="C1119" s="512" t="s">
        <v>4635</v>
      </c>
      <c r="D1119" s="65">
        <v>2.7789351851851853E-2</v>
      </c>
      <c r="E1119" t="s">
        <v>5883</v>
      </c>
      <c r="F1119" s="108" t="s">
        <v>2208</v>
      </c>
      <c r="I1119" s="2"/>
      <c r="K1119" s="82">
        <v>0.38400000000000001</v>
      </c>
    </row>
    <row r="1120" spans="1:19" x14ac:dyDescent="0.2">
      <c r="A1120" s="33">
        <v>42700</v>
      </c>
      <c r="B1120" s="513" t="s">
        <v>866</v>
      </c>
      <c r="C1120" s="512" t="s">
        <v>4635</v>
      </c>
      <c r="D1120" s="65">
        <v>1.8483796296296297E-2</v>
      </c>
      <c r="E1120" s="5" t="s">
        <v>5883</v>
      </c>
      <c r="F1120" s="69"/>
      <c r="I1120" s="2"/>
      <c r="K1120" s="82">
        <v>0.57730000000000004</v>
      </c>
    </row>
    <row r="1121" spans="1:28" x14ac:dyDescent="0.2">
      <c r="A1121" s="33">
        <v>42693</v>
      </c>
      <c r="B1121" s="513" t="s">
        <v>866</v>
      </c>
      <c r="C1121" s="512" t="s">
        <v>4635</v>
      </c>
      <c r="D1121" s="65">
        <v>2.1412037037037035E-2</v>
      </c>
      <c r="E1121" s="5" t="s">
        <v>5883</v>
      </c>
      <c r="F1121" s="69"/>
      <c r="I1121" s="2"/>
      <c r="K1121" s="82">
        <v>0.49840000000000001</v>
      </c>
    </row>
    <row r="1122" spans="1:28" x14ac:dyDescent="0.2">
      <c r="A1122" s="33">
        <v>42686</v>
      </c>
      <c r="B1122" s="513" t="s">
        <v>866</v>
      </c>
      <c r="C1122" s="512" t="s">
        <v>4635</v>
      </c>
      <c r="D1122" s="65">
        <v>2.3078703703703702E-2</v>
      </c>
      <c r="E1122" t="s">
        <v>5883</v>
      </c>
      <c r="F1122" s="69" t="s">
        <v>2120</v>
      </c>
      <c r="I1122" s="2"/>
      <c r="K1122" s="82">
        <v>0.46239999999999998</v>
      </c>
      <c r="M1122" s="80" t="s">
        <v>6166</v>
      </c>
    </row>
    <row r="1123" spans="1:28" x14ac:dyDescent="0.2">
      <c r="A1123" s="33">
        <v>42679</v>
      </c>
      <c r="B1123" s="513" t="s">
        <v>866</v>
      </c>
      <c r="C1123" s="512" t="s">
        <v>4635</v>
      </c>
      <c r="D1123" s="65">
        <v>1.9421296296296294E-2</v>
      </c>
      <c r="E1123" t="s">
        <v>4161</v>
      </c>
      <c r="F1123" s="69" t="s">
        <v>599</v>
      </c>
      <c r="I1123" s="2"/>
      <c r="K1123" s="82">
        <v>0.55010000000000003</v>
      </c>
    </row>
    <row r="1124" spans="1:28" x14ac:dyDescent="0.2">
      <c r="A1124" s="33">
        <v>42672</v>
      </c>
      <c r="B1124" s="513" t="s">
        <v>866</v>
      </c>
      <c r="C1124" s="512" t="s">
        <v>4635</v>
      </c>
      <c r="D1124" s="65">
        <v>1.7986111111111109E-2</v>
      </c>
      <c r="E1124" t="s">
        <v>5883</v>
      </c>
      <c r="F1124" s="69" t="s">
        <v>1600</v>
      </c>
      <c r="I1124" s="2"/>
      <c r="K1124" s="82">
        <v>0.59330000000000005</v>
      </c>
    </row>
    <row r="1125" spans="1:28" x14ac:dyDescent="0.2">
      <c r="A1125" s="33">
        <v>42658</v>
      </c>
      <c r="B1125" s="513" t="s">
        <v>866</v>
      </c>
      <c r="C1125" s="512" t="s">
        <v>4635</v>
      </c>
      <c r="D1125" s="65">
        <v>2.3229166666666665E-2</v>
      </c>
      <c r="E1125" t="s">
        <v>5883</v>
      </c>
      <c r="F1125" s="69" t="s">
        <v>3148</v>
      </c>
      <c r="I1125" s="2"/>
      <c r="K1125" s="82">
        <v>0.45939999999999998</v>
      </c>
    </row>
    <row r="1126" spans="1:28" x14ac:dyDescent="0.2">
      <c r="A1126" s="33">
        <v>42651</v>
      </c>
      <c r="B1126" s="513" t="s">
        <v>866</v>
      </c>
      <c r="C1126" s="512" t="s">
        <v>4635</v>
      </c>
      <c r="D1126" s="65">
        <v>1.9131944444444444E-2</v>
      </c>
      <c r="E1126" t="s">
        <v>5883</v>
      </c>
      <c r="F1126" s="69" t="s">
        <v>1601</v>
      </c>
      <c r="I1126" s="2"/>
      <c r="K1126" s="82">
        <v>0.55779999999999996</v>
      </c>
    </row>
    <row r="1127" spans="1:28" x14ac:dyDescent="0.2">
      <c r="A1127" s="33">
        <v>42637</v>
      </c>
      <c r="B1127" s="513" t="s">
        <v>866</v>
      </c>
      <c r="C1127" s="512" t="s">
        <v>4635</v>
      </c>
      <c r="D1127" s="65">
        <v>1.8206018518518517E-2</v>
      </c>
      <c r="E1127" t="s">
        <v>5883</v>
      </c>
      <c r="F1127" s="69" t="s">
        <v>5169</v>
      </c>
      <c r="I1127" s="2"/>
      <c r="K1127" s="82">
        <v>0.58609999999999995</v>
      </c>
    </row>
    <row r="1128" spans="1:28" x14ac:dyDescent="0.2">
      <c r="A1128" s="33">
        <v>42630</v>
      </c>
      <c r="B1128" s="513" t="s">
        <v>866</v>
      </c>
      <c r="C1128" s="512" t="s">
        <v>4635</v>
      </c>
      <c r="D1128" s="65">
        <v>1.7222222222222222E-2</v>
      </c>
      <c r="E1128" t="s">
        <v>5883</v>
      </c>
      <c r="F1128" s="69" t="s">
        <v>3369</v>
      </c>
      <c r="I1128" s="2"/>
      <c r="K1128" s="82">
        <v>0.61960000000000004</v>
      </c>
    </row>
    <row r="1129" spans="1:28" x14ac:dyDescent="0.2">
      <c r="A1129" s="33">
        <v>42623</v>
      </c>
      <c r="B1129" s="513" t="s">
        <v>866</v>
      </c>
      <c r="C1129" s="512" t="s">
        <v>4635</v>
      </c>
      <c r="D1129" s="65">
        <v>1.9421296296296294E-2</v>
      </c>
      <c r="E1129" t="s">
        <v>4199</v>
      </c>
      <c r="F1129" s="69" t="s">
        <v>885</v>
      </c>
      <c r="I1129" s="2"/>
      <c r="K1129" s="82">
        <v>0.54949999999999999</v>
      </c>
    </row>
    <row r="1130" spans="1:28" x14ac:dyDescent="0.2">
      <c r="A1130" s="33">
        <v>42616</v>
      </c>
      <c r="B1130" s="513" t="s">
        <v>866</v>
      </c>
      <c r="C1130" s="512" t="s">
        <v>4635</v>
      </c>
      <c r="D1130" s="65">
        <v>2.2870370370370371E-2</v>
      </c>
      <c r="E1130" t="s">
        <v>5883</v>
      </c>
      <c r="F1130" s="69" t="s">
        <v>1646</v>
      </c>
      <c r="I1130" s="2"/>
      <c r="K1130" s="82">
        <v>0.46660000000000001</v>
      </c>
    </row>
    <row r="1131" spans="1:28" x14ac:dyDescent="0.2">
      <c r="A1131" s="33">
        <v>42602</v>
      </c>
      <c r="B1131" s="197" t="s">
        <v>866</v>
      </c>
      <c r="C1131" s="265" t="s">
        <v>4635</v>
      </c>
      <c r="D1131" s="65">
        <v>1.9560185185185184E-2</v>
      </c>
      <c r="E1131" t="s">
        <v>5883</v>
      </c>
      <c r="F1131" s="69" t="s">
        <v>5387</v>
      </c>
      <c r="I1131" s="2"/>
      <c r="K1131" s="82">
        <v>0.54559999999999997</v>
      </c>
    </row>
    <row r="1132" spans="1:28" x14ac:dyDescent="0.2">
      <c r="A1132" s="33">
        <v>42588</v>
      </c>
      <c r="B1132" s="197" t="s">
        <v>866</v>
      </c>
      <c r="C1132" s="265" t="s">
        <v>4635</v>
      </c>
      <c r="D1132" s="543">
        <v>1.9270833333333334E-2</v>
      </c>
      <c r="E1132" s="5" t="s">
        <v>5883</v>
      </c>
      <c r="F1132" s="108" t="s">
        <v>5056</v>
      </c>
      <c r="G1132" s="5"/>
      <c r="H1132" s="5"/>
      <c r="I1132" s="2"/>
      <c r="J1132" s="5"/>
      <c r="K1132" s="85">
        <v>0.55379999999999996</v>
      </c>
    </row>
    <row r="1133" spans="1:28" x14ac:dyDescent="0.2">
      <c r="A1133" s="33">
        <v>42581</v>
      </c>
      <c r="B1133" s="197" t="s">
        <v>866</v>
      </c>
      <c r="C1133" s="265" t="s">
        <v>4635</v>
      </c>
      <c r="D1133" s="65">
        <v>1.7870370370370373E-2</v>
      </c>
      <c r="E1133" t="s">
        <v>5883</v>
      </c>
      <c r="F1133" s="69" t="s">
        <v>4069</v>
      </c>
      <c r="I1133" s="2"/>
      <c r="K1133" s="82">
        <v>0.59719999999999995</v>
      </c>
    </row>
    <row r="1134" spans="1:28" x14ac:dyDescent="0.2">
      <c r="A1134" s="33">
        <v>42574</v>
      </c>
      <c r="B1134" s="197" t="s">
        <v>866</v>
      </c>
      <c r="C1134" s="265" t="s">
        <v>4635</v>
      </c>
      <c r="D1134" s="65">
        <v>1.7835648148148149E-2</v>
      </c>
      <c r="E1134" t="s">
        <v>5883</v>
      </c>
      <c r="F1134" s="69"/>
      <c r="I1134" s="2"/>
      <c r="K1134" s="82">
        <v>0.59830000000000005</v>
      </c>
    </row>
    <row r="1135" spans="1:28" x14ac:dyDescent="0.2">
      <c r="A1135" s="33">
        <v>42567</v>
      </c>
      <c r="B1135" s="197" t="s">
        <v>866</v>
      </c>
      <c r="C1135" s="265" t="s">
        <v>4635</v>
      </c>
      <c r="D1135" s="65">
        <v>1.7986111111111109E-2</v>
      </c>
      <c r="E1135" t="s">
        <v>5883</v>
      </c>
      <c r="F1135" s="69" t="s">
        <v>82</v>
      </c>
      <c r="I1135" s="2"/>
      <c r="K1135" s="82">
        <v>0.59330000000000005</v>
      </c>
      <c r="AB1135" s="41"/>
    </row>
    <row r="1136" spans="1:28" x14ac:dyDescent="0.2">
      <c r="A1136" s="33">
        <v>42560</v>
      </c>
      <c r="B1136" s="197" t="s">
        <v>866</v>
      </c>
      <c r="C1136" s="265" t="s">
        <v>4635</v>
      </c>
      <c r="D1136" s="65">
        <v>1.8715277777777779E-2</v>
      </c>
      <c r="E1136" t="s">
        <v>5883</v>
      </c>
      <c r="F1136" s="69"/>
      <c r="I1136" s="2"/>
      <c r="K1136" s="82">
        <v>0.57020000000000004</v>
      </c>
      <c r="AA1136" s="41"/>
    </row>
    <row r="1137" spans="1:11" x14ac:dyDescent="0.2">
      <c r="A1137" s="33">
        <v>42553</v>
      </c>
      <c r="B1137" s="197" t="s">
        <v>866</v>
      </c>
      <c r="C1137" s="265" t="s">
        <v>4635</v>
      </c>
      <c r="D1137" s="65">
        <v>1.9201388888888889E-2</v>
      </c>
      <c r="E1137" t="s">
        <v>5885</v>
      </c>
      <c r="F1137" s="69" t="s">
        <v>522</v>
      </c>
      <c r="I1137" s="2"/>
      <c r="K1137" s="82">
        <v>0.55579999999999996</v>
      </c>
    </row>
    <row r="1138" spans="1:11" x14ac:dyDescent="0.2">
      <c r="A1138" s="33">
        <v>42546</v>
      </c>
      <c r="B1138" s="197" t="s">
        <v>866</v>
      </c>
      <c r="C1138" s="265" t="s">
        <v>4635</v>
      </c>
      <c r="D1138" s="65">
        <v>1.9178240740740742E-2</v>
      </c>
      <c r="E1138" t="s">
        <v>5095</v>
      </c>
      <c r="F1138" s="69" t="s">
        <v>2780</v>
      </c>
      <c r="I1138" s="2"/>
      <c r="K1138" s="82">
        <v>0.55640000000000001</v>
      </c>
    </row>
    <row r="1139" spans="1:11" x14ac:dyDescent="0.2">
      <c r="A1139" s="33">
        <v>42539</v>
      </c>
      <c r="B1139" s="197" t="s">
        <v>866</v>
      </c>
      <c r="C1139" s="265" t="s">
        <v>4635</v>
      </c>
      <c r="D1139" s="65">
        <v>2.0405092592592593E-2</v>
      </c>
      <c r="E1139" t="s">
        <v>5883</v>
      </c>
      <c r="F1139" s="69" t="s">
        <v>4755</v>
      </c>
      <c r="I1139" s="2"/>
      <c r="K1139" s="82">
        <v>0.52300000000000002</v>
      </c>
    </row>
    <row r="1140" spans="1:11" x14ac:dyDescent="0.2">
      <c r="A1140" s="33">
        <v>42532</v>
      </c>
      <c r="B1140" s="197" t="s">
        <v>866</v>
      </c>
      <c r="C1140" s="265" t="s">
        <v>4635</v>
      </c>
      <c r="D1140" s="65">
        <v>2.0995370370370373E-2</v>
      </c>
      <c r="E1140" t="s">
        <v>5883</v>
      </c>
      <c r="F1140" s="69" t="s">
        <v>3576</v>
      </c>
      <c r="I1140" s="2"/>
      <c r="K1140" s="82">
        <v>0.50829999999999997</v>
      </c>
    </row>
    <row r="1141" spans="1:11" x14ac:dyDescent="0.2">
      <c r="A1141" s="33">
        <v>42511</v>
      </c>
      <c r="B1141" s="197" t="s">
        <v>866</v>
      </c>
      <c r="C1141" s="265" t="s">
        <v>4635</v>
      </c>
      <c r="D1141" s="543">
        <v>2.0219907407407409E-2</v>
      </c>
      <c r="E1141" s="5" t="s">
        <v>5883</v>
      </c>
      <c r="F1141" s="108" t="s">
        <v>2983</v>
      </c>
      <c r="G1141" s="5"/>
      <c r="H1141" s="5"/>
      <c r="I1141" s="2"/>
      <c r="J1141" s="5"/>
      <c r="K1141" s="85">
        <v>0.52780000000000005</v>
      </c>
    </row>
    <row r="1142" spans="1:11" x14ac:dyDescent="0.2">
      <c r="A1142" s="33">
        <v>42504</v>
      </c>
      <c r="B1142" s="197" t="s">
        <v>866</v>
      </c>
      <c r="C1142" s="265" t="s">
        <v>4635</v>
      </c>
      <c r="D1142" s="543">
        <v>2.3333333333333334E-2</v>
      </c>
      <c r="E1142" s="5" t="s">
        <v>5883</v>
      </c>
      <c r="F1142" s="108" t="s">
        <v>3224</v>
      </c>
      <c r="G1142" s="5"/>
      <c r="H1142" s="5"/>
      <c r="I1142" s="5"/>
      <c r="J1142" s="5"/>
      <c r="K1142" s="85">
        <v>0.45729999999999998</v>
      </c>
    </row>
    <row r="1143" spans="1:11" x14ac:dyDescent="0.2">
      <c r="A1143" s="33">
        <v>42490</v>
      </c>
      <c r="B1143" s="197" t="s">
        <v>866</v>
      </c>
      <c r="C1143" s="265" t="s">
        <v>4635</v>
      </c>
      <c r="D1143" s="543">
        <v>1.877314814814815E-2</v>
      </c>
      <c r="E1143" s="5" t="s">
        <v>5883</v>
      </c>
      <c r="F1143" s="108" t="s">
        <v>2644</v>
      </c>
      <c r="G1143" s="5"/>
      <c r="H1143" s="5"/>
      <c r="I1143" s="5"/>
      <c r="J1143" s="5"/>
      <c r="K1143" s="85">
        <v>0.56840000000000002</v>
      </c>
    </row>
    <row r="1144" spans="1:11" x14ac:dyDescent="0.2">
      <c r="A1144" s="33">
        <v>42483</v>
      </c>
      <c r="B1144" s="197" t="s">
        <v>866</v>
      </c>
      <c r="C1144" s="265" t="s">
        <v>4635</v>
      </c>
      <c r="D1144" s="543">
        <v>1.9247685185185184E-2</v>
      </c>
      <c r="E1144" s="5" t="s">
        <v>5883</v>
      </c>
      <c r="F1144" s="108" t="s">
        <v>1602</v>
      </c>
      <c r="G1144" s="5"/>
      <c r="H1144" s="5"/>
      <c r="I1144" s="2"/>
      <c r="J1144" s="5"/>
      <c r="K1144" s="85">
        <v>0.5544</v>
      </c>
    </row>
    <row r="1145" spans="1:11" x14ac:dyDescent="0.2">
      <c r="A1145" s="33">
        <v>42476</v>
      </c>
      <c r="B1145" s="197" t="s">
        <v>866</v>
      </c>
      <c r="C1145" s="265" t="s">
        <v>4635</v>
      </c>
      <c r="D1145" s="65">
        <v>3.3171296296296296E-2</v>
      </c>
      <c r="E1145" t="s">
        <v>5883</v>
      </c>
      <c r="F1145" s="69" t="s">
        <v>1764</v>
      </c>
      <c r="I1145" s="2"/>
      <c r="K1145" s="82">
        <v>0.32169999999999999</v>
      </c>
    </row>
    <row r="1146" spans="1:11" x14ac:dyDescent="0.2">
      <c r="A1146" s="33">
        <v>42469</v>
      </c>
      <c r="B1146" s="197" t="s">
        <v>866</v>
      </c>
      <c r="C1146" s="265" t="s">
        <v>4635</v>
      </c>
      <c r="D1146" s="65">
        <v>2.7094907407407404E-2</v>
      </c>
      <c r="E1146" t="s">
        <v>5883</v>
      </c>
      <c r="F1146" s="69" t="s">
        <v>1630</v>
      </c>
      <c r="I1146" s="2"/>
      <c r="K1146" s="82">
        <v>0.39379999999999998</v>
      </c>
    </row>
    <row r="1147" spans="1:11" x14ac:dyDescent="0.2">
      <c r="A1147" s="33">
        <v>42462</v>
      </c>
      <c r="B1147" s="206" t="s">
        <v>866</v>
      </c>
      <c r="C1147" s="254" t="s">
        <v>4635</v>
      </c>
      <c r="D1147" s="65">
        <v>1.8275462962962962E-2</v>
      </c>
      <c r="E1147" t="s">
        <v>129</v>
      </c>
      <c r="F1147" s="69" t="s">
        <v>2629</v>
      </c>
      <c r="I1147" s="2"/>
      <c r="K1147" s="82">
        <v>0.58389999999999997</v>
      </c>
    </row>
    <row r="1148" spans="1:11" x14ac:dyDescent="0.2">
      <c r="A1148" s="33">
        <v>42455</v>
      </c>
      <c r="B1148" s="206" t="s">
        <v>866</v>
      </c>
      <c r="C1148" s="254" t="s">
        <v>4635</v>
      </c>
      <c r="D1148" s="65">
        <v>1.8634259259259257E-2</v>
      </c>
      <c r="E1148" t="s">
        <v>1788</v>
      </c>
      <c r="F1148" s="69" t="s">
        <v>1723</v>
      </c>
      <c r="I1148" s="2"/>
      <c r="K1148" s="82">
        <v>0.57269999999999999</v>
      </c>
    </row>
    <row r="1149" spans="1:11" x14ac:dyDescent="0.2">
      <c r="A1149" s="33">
        <v>42448</v>
      </c>
      <c r="B1149" s="206" t="s">
        <v>866</v>
      </c>
      <c r="C1149" s="254" t="s">
        <v>4635</v>
      </c>
      <c r="D1149" s="65">
        <v>2.8564814814814817E-2</v>
      </c>
      <c r="E1149" t="s">
        <v>5883</v>
      </c>
      <c r="F1149" s="69" t="s">
        <v>2130</v>
      </c>
      <c r="I1149" s="2"/>
      <c r="K1149" s="82">
        <v>0.37359999999999999</v>
      </c>
    </row>
    <row r="1150" spans="1:11" x14ac:dyDescent="0.2">
      <c r="A1150" s="33">
        <v>42441</v>
      </c>
      <c r="B1150" s="206" t="s">
        <v>866</v>
      </c>
      <c r="C1150" s="254" t="s">
        <v>4635</v>
      </c>
      <c r="D1150" s="65">
        <v>3.1956018518518516E-2</v>
      </c>
      <c r="E1150" t="s">
        <v>5883</v>
      </c>
      <c r="F1150" s="69" t="s">
        <v>2982</v>
      </c>
      <c r="I1150" s="2"/>
      <c r="K1150" s="82">
        <v>0.33389999999999997</v>
      </c>
    </row>
    <row r="1151" spans="1:11" x14ac:dyDescent="0.2">
      <c r="A1151" s="33">
        <v>42434</v>
      </c>
      <c r="B1151" s="206" t="s">
        <v>866</v>
      </c>
      <c r="C1151" s="254" t="s">
        <v>4635</v>
      </c>
      <c r="D1151" s="65">
        <v>2.1284722222222222E-2</v>
      </c>
      <c r="E1151" t="s">
        <v>5883</v>
      </c>
      <c r="F1151" s="69" t="s">
        <v>2335</v>
      </c>
      <c r="I1151" s="2"/>
      <c r="K1151" s="82">
        <v>0.50139999999999996</v>
      </c>
    </row>
    <row r="1152" spans="1:11" x14ac:dyDescent="0.2">
      <c r="A1152" s="33">
        <v>42427</v>
      </c>
      <c r="B1152" s="206" t="s">
        <v>866</v>
      </c>
      <c r="C1152" s="254" t="s">
        <v>4635</v>
      </c>
      <c r="D1152" s="65">
        <v>1.909722222222222E-2</v>
      </c>
      <c r="E1152" t="s">
        <v>5883</v>
      </c>
      <c r="F1152" s="69" t="s">
        <v>4650</v>
      </c>
      <c r="I1152" s="2"/>
      <c r="K1152" s="82">
        <v>0.55879999999999996</v>
      </c>
    </row>
    <row r="1153" spans="1:11" x14ac:dyDescent="0.2">
      <c r="A1153" s="33">
        <v>42420</v>
      </c>
      <c r="B1153" s="206" t="s">
        <v>866</v>
      </c>
      <c r="C1153" s="254" t="s">
        <v>4635</v>
      </c>
      <c r="D1153" s="65">
        <v>3.5057870370370371E-2</v>
      </c>
      <c r="E1153" t="s">
        <v>5883</v>
      </c>
      <c r="F1153" s="69" t="s">
        <v>3144</v>
      </c>
      <c r="I1153" s="2"/>
      <c r="K1153" s="82">
        <v>0.3044</v>
      </c>
    </row>
    <row r="1154" spans="1:11" x14ac:dyDescent="0.2">
      <c r="A1154" s="33">
        <v>42413</v>
      </c>
      <c r="B1154" s="206" t="s">
        <v>866</v>
      </c>
      <c r="C1154" s="254" t="s">
        <v>4635</v>
      </c>
      <c r="D1154" s="65">
        <v>1.8587962962962962E-2</v>
      </c>
      <c r="E1154" t="s">
        <v>5544</v>
      </c>
      <c r="F1154" s="69" t="s">
        <v>5013</v>
      </c>
      <c r="I1154" s="2"/>
      <c r="K1154" s="82">
        <v>0.57410000000000005</v>
      </c>
    </row>
    <row r="1155" spans="1:11" x14ac:dyDescent="0.2">
      <c r="A1155" s="33">
        <v>42406</v>
      </c>
      <c r="B1155" s="206" t="s">
        <v>866</v>
      </c>
      <c r="C1155" s="254" t="s">
        <v>4635</v>
      </c>
      <c r="D1155" s="65">
        <v>1.9004629629629632E-2</v>
      </c>
      <c r="E1155" t="s">
        <v>5883</v>
      </c>
      <c r="F1155" s="69" t="s">
        <v>1689</v>
      </c>
      <c r="I1155" s="2"/>
      <c r="K1155" s="82">
        <v>0.5615</v>
      </c>
    </row>
    <row r="1156" spans="1:11" x14ac:dyDescent="0.2">
      <c r="A1156" s="33">
        <v>42399</v>
      </c>
      <c r="B1156" s="206" t="s">
        <v>866</v>
      </c>
      <c r="C1156" s="254" t="s">
        <v>4635</v>
      </c>
      <c r="D1156" s="65">
        <v>1.8912037037037036E-2</v>
      </c>
      <c r="E1156" t="s">
        <v>5883</v>
      </c>
      <c r="F1156" s="69"/>
      <c r="I1156" s="2"/>
      <c r="K1156" s="82">
        <v>0.55940000000000001</v>
      </c>
    </row>
    <row r="1157" spans="1:11" x14ac:dyDescent="0.2">
      <c r="A1157" s="33">
        <v>42392</v>
      </c>
      <c r="B1157" s="206" t="s">
        <v>866</v>
      </c>
      <c r="C1157" s="254" t="s">
        <v>4635</v>
      </c>
      <c r="D1157" s="65">
        <v>2.1817129629629631E-2</v>
      </c>
      <c r="E1157" t="s">
        <v>5883</v>
      </c>
      <c r="F1157" s="69" t="s">
        <v>2678</v>
      </c>
      <c r="I1157" s="2"/>
      <c r="K1157" s="82">
        <v>0.4849</v>
      </c>
    </row>
    <row r="1158" spans="1:11" x14ac:dyDescent="0.2">
      <c r="A1158" s="33">
        <v>42385</v>
      </c>
      <c r="B1158" s="206" t="s">
        <v>866</v>
      </c>
      <c r="C1158" s="254" t="s">
        <v>4635</v>
      </c>
      <c r="D1158" s="65">
        <v>1.8831018518518518E-2</v>
      </c>
      <c r="E1158" t="s">
        <v>998</v>
      </c>
      <c r="F1158" s="69" t="s">
        <v>1778</v>
      </c>
      <c r="I1158" s="2"/>
      <c r="K1158" s="82">
        <v>0.56179999999999997</v>
      </c>
    </row>
    <row r="1159" spans="1:11" x14ac:dyDescent="0.2">
      <c r="A1159" s="33">
        <v>42378</v>
      </c>
      <c r="B1159" s="206" t="s">
        <v>866</v>
      </c>
      <c r="C1159" s="254" t="s">
        <v>4635</v>
      </c>
      <c r="D1159" s="544">
        <v>1.9560185185185184E-2</v>
      </c>
      <c r="E1159" s="407" t="s">
        <v>5653</v>
      </c>
      <c r="F1159" s="545" t="s">
        <v>5643</v>
      </c>
      <c r="G1159" s="407"/>
      <c r="H1159" s="407"/>
      <c r="I1159" s="348"/>
      <c r="J1159" s="407"/>
      <c r="K1159" s="546">
        <v>0.54079999999999995</v>
      </c>
    </row>
    <row r="1160" spans="1:11" x14ac:dyDescent="0.2">
      <c r="A1160" s="33">
        <v>42371</v>
      </c>
      <c r="B1160" s="206" t="s">
        <v>866</v>
      </c>
      <c r="C1160" s="254" t="s">
        <v>4635</v>
      </c>
      <c r="D1160" s="65">
        <v>2.7546296296296294E-2</v>
      </c>
      <c r="E1160" s="5" t="s">
        <v>5883</v>
      </c>
      <c r="F1160" s="69" t="s">
        <v>1364</v>
      </c>
      <c r="K1160" s="82">
        <v>0.38400000000000001</v>
      </c>
    </row>
    <row r="1161" spans="1:11" x14ac:dyDescent="0.2">
      <c r="A1161" s="33">
        <v>42370</v>
      </c>
      <c r="B1161" s="206" t="s">
        <v>866</v>
      </c>
      <c r="C1161" s="254" t="s">
        <v>4635</v>
      </c>
      <c r="D1161" s="65">
        <v>2.0613425925925927E-2</v>
      </c>
      <c r="E1161" t="s">
        <v>5885</v>
      </c>
      <c r="F1161" s="69" t="s">
        <v>1275</v>
      </c>
      <c r="I1161" s="2"/>
      <c r="K1161" s="82">
        <v>0.51319999999999999</v>
      </c>
    </row>
    <row r="1162" spans="1:11" x14ac:dyDescent="0.2">
      <c r="A1162" s="33">
        <v>42370</v>
      </c>
      <c r="B1162" s="206" t="s">
        <v>866</v>
      </c>
      <c r="C1162" s="254" t="s">
        <v>4635</v>
      </c>
      <c r="D1162" s="65">
        <v>2.0972222222222222E-2</v>
      </c>
      <c r="E1162" t="s">
        <v>129</v>
      </c>
      <c r="F1162" s="69" t="s">
        <v>1271</v>
      </c>
      <c r="I1162" s="2"/>
      <c r="K1162" s="82">
        <v>0.50439999999999996</v>
      </c>
    </row>
    <row r="1163" spans="1:11" x14ac:dyDescent="0.2">
      <c r="A1163" s="33">
        <v>42721</v>
      </c>
      <c r="B1163" s="5" t="s">
        <v>2822</v>
      </c>
      <c r="C1163" s="32" t="s">
        <v>2823</v>
      </c>
      <c r="D1163" s="65">
        <v>1.462962962962963E-2</v>
      </c>
      <c r="E1163" t="s">
        <v>5544</v>
      </c>
      <c r="F1163" s="69"/>
      <c r="I1163" s="2"/>
      <c r="K1163" s="82">
        <v>0.71199999999999997</v>
      </c>
    </row>
    <row r="1164" spans="1:11" x14ac:dyDescent="0.2">
      <c r="A1164" s="33">
        <v>42707</v>
      </c>
      <c r="B1164" s="5" t="s">
        <v>2822</v>
      </c>
      <c r="C1164" s="32" t="s">
        <v>2823</v>
      </c>
      <c r="D1164" s="65">
        <v>1.4583333333333332E-2</v>
      </c>
      <c r="E1164" t="s">
        <v>5544</v>
      </c>
      <c r="F1164" s="108" t="s">
        <v>6059</v>
      </c>
      <c r="I1164" s="2"/>
      <c r="K1164" s="82">
        <v>0.71430000000000005</v>
      </c>
    </row>
    <row r="1165" spans="1:11" x14ac:dyDescent="0.2">
      <c r="A1165" s="33">
        <v>42686</v>
      </c>
      <c r="B1165" s="5" t="s">
        <v>2822</v>
      </c>
      <c r="C1165" s="32" t="s">
        <v>2823</v>
      </c>
      <c r="D1165" s="65">
        <v>1.4872685185185185E-2</v>
      </c>
      <c r="E1165" t="s">
        <v>5544</v>
      </c>
      <c r="F1165" s="69"/>
      <c r="I1165" s="2"/>
      <c r="K1165" s="82">
        <v>0.70040000000000002</v>
      </c>
    </row>
    <row r="1166" spans="1:11" x14ac:dyDescent="0.2">
      <c r="A1166" s="33">
        <v>42679</v>
      </c>
      <c r="B1166" s="5" t="s">
        <v>2822</v>
      </c>
      <c r="C1166" s="32" t="s">
        <v>2823</v>
      </c>
      <c r="D1166" s="551" t="s">
        <v>787</v>
      </c>
      <c r="E1166" t="s">
        <v>5544</v>
      </c>
      <c r="F1166" s="69" t="s">
        <v>4000</v>
      </c>
      <c r="I1166" s="2"/>
      <c r="K1166" s="82"/>
    </row>
    <row r="1167" spans="1:11" x14ac:dyDescent="0.2">
      <c r="A1167" s="33">
        <v>42672</v>
      </c>
      <c r="B1167" s="5" t="s">
        <v>2822</v>
      </c>
      <c r="C1167" s="32" t="s">
        <v>2823</v>
      </c>
      <c r="D1167" s="65">
        <v>1.462962962962963E-2</v>
      </c>
      <c r="E1167" t="s">
        <v>5544</v>
      </c>
      <c r="F1167" s="69" t="s">
        <v>3003</v>
      </c>
      <c r="I1167" s="2"/>
      <c r="K1167" s="82">
        <v>0.71199999999999997</v>
      </c>
    </row>
    <row r="1168" spans="1:11" x14ac:dyDescent="0.2">
      <c r="A1168" s="33">
        <v>42665</v>
      </c>
      <c r="B1168" s="5" t="s">
        <v>2822</v>
      </c>
      <c r="C1168" s="32" t="s">
        <v>2823</v>
      </c>
      <c r="D1168" s="65">
        <v>1.4849537037037036E-2</v>
      </c>
      <c r="E1168" t="s">
        <v>5544</v>
      </c>
      <c r="F1168" s="69" t="s">
        <v>1248</v>
      </c>
      <c r="I1168" s="2"/>
      <c r="K1168" s="82">
        <v>0.70150000000000001</v>
      </c>
    </row>
    <row r="1169" spans="1:28" x14ac:dyDescent="0.2">
      <c r="A1169" s="33">
        <v>42658</v>
      </c>
      <c r="B1169" s="5" t="s">
        <v>2822</v>
      </c>
      <c r="C1169" s="32" t="s">
        <v>2823</v>
      </c>
      <c r="D1169" s="65">
        <v>1.4340277777777776E-2</v>
      </c>
      <c r="E1169" t="s">
        <v>5544</v>
      </c>
      <c r="F1169" s="69" t="s">
        <v>1974</v>
      </c>
      <c r="I1169" s="2"/>
      <c r="K1169" s="82">
        <v>0.72640000000000005</v>
      </c>
    </row>
    <row r="1170" spans="1:28" x14ac:dyDescent="0.2">
      <c r="A1170" s="33">
        <v>42651</v>
      </c>
      <c r="B1170" s="5" t="s">
        <v>2822</v>
      </c>
      <c r="C1170" s="32" t="s">
        <v>2823</v>
      </c>
      <c r="D1170" s="65">
        <v>1.4270833333333335E-2</v>
      </c>
      <c r="E1170" t="s">
        <v>5544</v>
      </c>
      <c r="F1170" s="69" t="s">
        <v>940</v>
      </c>
      <c r="I1170" s="2"/>
      <c r="K1170" s="82">
        <v>0.72989999999999999</v>
      </c>
    </row>
    <row r="1171" spans="1:28" x14ac:dyDescent="0.2">
      <c r="A1171" s="33">
        <v>42644</v>
      </c>
      <c r="B1171" s="5" t="s">
        <v>2822</v>
      </c>
      <c r="C1171" s="32" t="s">
        <v>2823</v>
      </c>
      <c r="D1171" s="65" t="s">
        <v>787</v>
      </c>
      <c r="E1171" t="s">
        <v>5544</v>
      </c>
      <c r="F1171" s="69" t="s">
        <v>4000</v>
      </c>
      <c r="I1171" s="2"/>
      <c r="K1171" s="82"/>
    </row>
    <row r="1172" spans="1:28" x14ac:dyDescent="0.2">
      <c r="A1172" s="33">
        <v>42637</v>
      </c>
      <c r="B1172" s="5" t="s">
        <v>2822</v>
      </c>
      <c r="C1172" s="32" t="s">
        <v>2823</v>
      </c>
      <c r="D1172" s="65">
        <v>1.4583333333333332E-2</v>
      </c>
      <c r="E1172" t="s">
        <v>5544</v>
      </c>
      <c r="F1172" s="69" t="s">
        <v>4111</v>
      </c>
      <c r="I1172" s="2"/>
      <c r="K1172" s="82">
        <v>0.71430000000000005</v>
      </c>
    </row>
    <row r="1173" spans="1:28" x14ac:dyDescent="0.2">
      <c r="A1173" s="33">
        <v>42630</v>
      </c>
      <c r="B1173" s="5" t="s">
        <v>2822</v>
      </c>
      <c r="C1173" s="32" t="s">
        <v>2823</v>
      </c>
      <c r="D1173" s="65">
        <v>1.4236111111111111E-2</v>
      </c>
      <c r="E1173" t="s">
        <v>5544</v>
      </c>
      <c r="F1173" s="69" t="s">
        <v>2455</v>
      </c>
      <c r="I1173" s="2"/>
      <c r="K1173" s="82">
        <v>0.73170000000000002</v>
      </c>
    </row>
    <row r="1174" spans="1:28" x14ac:dyDescent="0.2">
      <c r="A1174" s="33">
        <v>42623</v>
      </c>
      <c r="B1174" s="5" t="s">
        <v>2822</v>
      </c>
      <c r="C1174" s="32" t="s">
        <v>2823</v>
      </c>
      <c r="D1174" s="65">
        <v>1.4305555555555557E-2</v>
      </c>
      <c r="E1174" t="s">
        <v>5544</v>
      </c>
      <c r="F1174" s="69" t="s">
        <v>5823</v>
      </c>
      <c r="I1174" s="2"/>
      <c r="K1174" s="82">
        <v>0.72819999999999996</v>
      </c>
    </row>
    <row r="1175" spans="1:28" x14ac:dyDescent="0.2">
      <c r="A1175" s="33">
        <v>42616</v>
      </c>
      <c r="B1175" s="5" t="s">
        <v>2822</v>
      </c>
      <c r="C1175" s="32" t="s">
        <v>2823</v>
      </c>
      <c r="D1175" s="65">
        <v>1.4583333333333332E-2</v>
      </c>
      <c r="E1175" t="s">
        <v>5544</v>
      </c>
      <c r="F1175" s="69" t="s">
        <v>10</v>
      </c>
      <c r="I1175" s="2"/>
      <c r="K1175" s="82">
        <v>0.71430000000000005</v>
      </c>
    </row>
    <row r="1176" spans="1:28" x14ac:dyDescent="0.2">
      <c r="A1176" s="33">
        <v>42609</v>
      </c>
      <c r="B1176" s="53" t="s">
        <v>2822</v>
      </c>
      <c r="C1176" s="54" t="s">
        <v>2823</v>
      </c>
      <c r="D1176" s="65">
        <v>1.5787037037037037E-2</v>
      </c>
      <c r="E1176" t="s">
        <v>5544</v>
      </c>
      <c r="F1176" s="69" t="s">
        <v>1689</v>
      </c>
      <c r="I1176" s="2"/>
      <c r="K1176" s="82">
        <v>0.65980000000000005</v>
      </c>
    </row>
    <row r="1177" spans="1:28" x14ac:dyDescent="0.2">
      <c r="A1177" s="33">
        <v>42581</v>
      </c>
      <c r="B1177" s="53" t="s">
        <v>2822</v>
      </c>
      <c r="C1177" s="54" t="s">
        <v>2823</v>
      </c>
      <c r="D1177" s="65">
        <v>1.4247685185185184E-2</v>
      </c>
      <c r="E1177" t="s">
        <v>5544</v>
      </c>
      <c r="F1177" s="69" t="s">
        <v>3172</v>
      </c>
      <c r="I1177" s="2"/>
      <c r="K1177" s="82">
        <v>0.73109999999999997</v>
      </c>
    </row>
    <row r="1178" spans="1:28" x14ac:dyDescent="0.2">
      <c r="A1178" s="33">
        <v>42574</v>
      </c>
      <c r="B1178" s="53" t="s">
        <v>2822</v>
      </c>
      <c r="C1178" s="54" t="s">
        <v>2823</v>
      </c>
      <c r="D1178" s="65" t="s">
        <v>787</v>
      </c>
      <c r="E1178" t="s">
        <v>5544</v>
      </c>
      <c r="F1178" s="69" t="s">
        <v>4000</v>
      </c>
      <c r="I1178" s="2"/>
      <c r="K1178" s="82"/>
    </row>
    <row r="1179" spans="1:28" x14ac:dyDescent="0.2">
      <c r="A1179" s="33">
        <v>42567</v>
      </c>
      <c r="B1179" s="53" t="s">
        <v>2822</v>
      </c>
      <c r="C1179" s="54" t="s">
        <v>2823</v>
      </c>
      <c r="D1179" s="65">
        <v>1.3946759259259258E-2</v>
      </c>
      <c r="E1179" t="s">
        <v>5544</v>
      </c>
      <c r="F1179" s="69" t="s">
        <v>4342</v>
      </c>
      <c r="I1179" s="2"/>
      <c r="K1179" s="82">
        <v>0.74690000000000001</v>
      </c>
    </row>
    <row r="1180" spans="1:28" x14ac:dyDescent="0.2">
      <c r="A1180" s="33">
        <v>42560</v>
      </c>
      <c r="B1180" s="53" t="s">
        <v>2822</v>
      </c>
      <c r="C1180" s="54" t="s">
        <v>2823</v>
      </c>
      <c r="D1180" s="65">
        <v>1.4131944444444445E-2</v>
      </c>
      <c r="E1180" t="s">
        <v>5544</v>
      </c>
      <c r="F1180" s="69"/>
      <c r="I1180" s="2"/>
      <c r="K1180" s="82">
        <v>0.73709999999999998</v>
      </c>
    </row>
    <row r="1181" spans="1:28" x14ac:dyDescent="0.2">
      <c r="A1181" s="33">
        <v>42553</v>
      </c>
      <c r="B1181" s="53" t="s">
        <v>2822</v>
      </c>
      <c r="C1181" s="54" t="s">
        <v>2823</v>
      </c>
      <c r="D1181" s="65">
        <v>1.462962962962963E-2</v>
      </c>
      <c r="E1181" t="s">
        <v>5544</v>
      </c>
      <c r="F1181" s="69" t="s">
        <v>3659</v>
      </c>
      <c r="I1181" s="2"/>
      <c r="K1181" s="82">
        <v>0.71199999999999997</v>
      </c>
      <c r="AB1181" s="41"/>
    </row>
    <row r="1182" spans="1:28" x14ac:dyDescent="0.2">
      <c r="A1182" s="33">
        <v>42546</v>
      </c>
      <c r="B1182" s="53" t="s">
        <v>2822</v>
      </c>
      <c r="C1182" s="54" t="s">
        <v>2823</v>
      </c>
      <c r="D1182" s="65">
        <v>1.4293981481481482E-2</v>
      </c>
      <c r="E1182" t="s">
        <v>5544</v>
      </c>
      <c r="F1182" s="69" t="s">
        <v>2940</v>
      </c>
      <c r="I1182" s="2"/>
      <c r="K1182" s="82">
        <v>0.72870000000000001</v>
      </c>
      <c r="AA1182" s="41"/>
    </row>
    <row r="1183" spans="1:28" x14ac:dyDescent="0.2">
      <c r="A1183" s="33">
        <v>42539</v>
      </c>
      <c r="B1183" s="53" t="s">
        <v>2822</v>
      </c>
      <c r="C1183" s="54" t="s">
        <v>2823</v>
      </c>
      <c r="D1183" s="65">
        <v>1.4201388888888888E-2</v>
      </c>
      <c r="E1183" t="s">
        <v>5544</v>
      </c>
      <c r="F1183" s="69" t="s">
        <v>1045</v>
      </c>
      <c r="I1183" s="2"/>
      <c r="K1183" s="82">
        <v>0.73350000000000004</v>
      </c>
    </row>
    <row r="1184" spans="1:28" x14ac:dyDescent="0.2">
      <c r="A1184" s="33">
        <v>42532</v>
      </c>
      <c r="B1184" s="53" t="s">
        <v>2822</v>
      </c>
      <c r="C1184" s="54" t="s">
        <v>2823</v>
      </c>
      <c r="D1184" s="65">
        <v>1.4004629629629631E-2</v>
      </c>
      <c r="E1184" t="s">
        <v>5544</v>
      </c>
      <c r="F1184" s="69" t="s">
        <v>3654</v>
      </c>
      <c r="I1184" s="2"/>
      <c r="K1184" s="82">
        <v>0.74380000000000002</v>
      </c>
    </row>
    <row r="1185" spans="1:28" x14ac:dyDescent="0.2">
      <c r="A1185" s="33">
        <v>42518</v>
      </c>
      <c r="B1185" s="53" t="s">
        <v>2822</v>
      </c>
      <c r="C1185" s="54" t="s">
        <v>2823</v>
      </c>
      <c r="D1185" s="543">
        <v>1.3993055555555555E-2</v>
      </c>
      <c r="E1185" s="5" t="s">
        <v>5544</v>
      </c>
      <c r="F1185" s="108" t="s">
        <v>5085</v>
      </c>
      <c r="G1185" s="5"/>
      <c r="H1185" s="5"/>
      <c r="I1185" s="2"/>
      <c r="J1185" s="5"/>
      <c r="K1185" s="85">
        <v>0.74439999999999995</v>
      </c>
    </row>
    <row r="1186" spans="1:28" x14ac:dyDescent="0.2">
      <c r="A1186" s="33">
        <v>42511</v>
      </c>
      <c r="B1186" s="53" t="s">
        <v>2822</v>
      </c>
      <c r="C1186" s="54" t="s">
        <v>2823</v>
      </c>
      <c r="D1186" s="543">
        <v>1.3981481481481482E-2</v>
      </c>
      <c r="E1186" s="5" t="s">
        <v>5544</v>
      </c>
      <c r="F1186" s="108" t="s">
        <v>4415</v>
      </c>
      <c r="G1186" s="5"/>
      <c r="H1186" s="5"/>
      <c r="I1186" s="2"/>
      <c r="J1186" s="5"/>
      <c r="K1186" s="85">
        <v>0.745</v>
      </c>
    </row>
    <row r="1187" spans="1:28" x14ac:dyDescent="0.2">
      <c r="A1187" s="33">
        <v>42504</v>
      </c>
      <c r="B1187" s="53" t="s">
        <v>2822</v>
      </c>
      <c r="C1187" s="54" t="s">
        <v>2823</v>
      </c>
      <c r="D1187" s="543">
        <v>1.4085648148148151E-2</v>
      </c>
      <c r="E1187" s="5" t="s">
        <v>5544</v>
      </c>
      <c r="F1187" s="108" t="s">
        <v>1329</v>
      </c>
      <c r="G1187" s="5"/>
      <c r="H1187" s="5"/>
      <c r="I1187" s="5"/>
      <c r="J1187" s="5"/>
      <c r="K1187" s="85">
        <v>0.73950000000000005</v>
      </c>
    </row>
    <row r="1188" spans="1:28" x14ac:dyDescent="0.2">
      <c r="A1188" s="33">
        <v>42497</v>
      </c>
      <c r="B1188" s="53" t="s">
        <v>2822</v>
      </c>
      <c r="C1188" s="54" t="s">
        <v>2823</v>
      </c>
      <c r="D1188" s="543">
        <v>1.4826388888888889E-2</v>
      </c>
      <c r="E1188" s="5" t="s">
        <v>5544</v>
      </c>
      <c r="F1188" s="108" t="s">
        <v>5908</v>
      </c>
      <c r="G1188" s="5"/>
      <c r="H1188" s="5"/>
      <c r="I1188" s="5"/>
      <c r="J1188" s="5"/>
      <c r="K1188" s="85">
        <v>0.7026</v>
      </c>
    </row>
    <row r="1189" spans="1:28" x14ac:dyDescent="0.2">
      <c r="A1189" s="33">
        <v>42490</v>
      </c>
      <c r="B1189" s="53" t="s">
        <v>2822</v>
      </c>
      <c r="C1189" s="54" t="s">
        <v>2823</v>
      </c>
      <c r="D1189" s="543">
        <v>1.3935185185185184E-2</v>
      </c>
      <c r="E1189" s="5" t="s">
        <v>5544</v>
      </c>
      <c r="F1189" s="108" t="s">
        <v>3149</v>
      </c>
      <c r="G1189" s="5"/>
      <c r="H1189" s="5"/>
      <c r="I1189" s="5"/>
      <c r="J1189" s="5"/>
      <c r="K1189" s="85">
        <v>0.74750000000000005</v>
      </c>
    </row>
    <row r="1190" spans="1:28" x14ac:dyDescent="0.2">
      <c r="A1190" s="33">
        <v>42483</v>
      </c>
      <c r="B1190" s="53" t="s">
        <v>2822</v>
      </c>
      <c r="C1190" s="54" t="s">
        <v>2823</v>
      </c>
      <c r="D1190" s="543">
        <v>1.4201388888888888E-2</v>
      </c>
      <c r="E1190" s="5" t="s">
        <v>5544</v>
      </c>
      <c r="F1190" s="108" t="s">
        <v>2919</v>
      </c>
      <c r="G1190" s="5" t="s">
        <v>22</v>
      </c>
      <c r="H1190" s="5"/>
      <c r="I1190" s="2"/>
      <c r="J1190" s="5"/>
      <c r="K1190" s="85">
        <v>0.73350000000000004</v>
      </c>
    </row>
    <row r="1191" spans="1:28" x14ac:dyDescent="0.2">
      <c r="A1191" s="33">
        <v>42476</v>
      </c>
      <c r="B1191" s="53" t="s">
        <v>2822</v>
      </c>
      <c r="C1191" s="54" t="s">
        <v>2823</v>
      </c>
      <c r="D1191" s="10" t="s">
        <v>787</v>
      </c>
      <c r="E1191" s="5" t="s">
        <v>5544</v>
      </c>
      <c r="F1191" s="108" t="s">
        <v>3000</v>
      </c>
      <c r="G1191" s="5"/>
      <c r="H1191" s="2"/>
      <c r="I1191" s="2"/>
    </row>
    <row r="1192" spans="1:28" x14ac:dyDescent="0.2">
      <c r="A1192" s="33">
        <v>42469</v>
      </c>
      <c r="B1192" s="53" t="s">
        <v>2822</v>
      </c>
      <c r="C1192" s="54" t="s">
        <v>2823</v>
      </c>
      <c r="D1192" s="65">
        <v>1.4027777777777778E-2</v>
      </c>
      <c r="E1192" t="s">
        <v>5544</v>
      </c>
      <c r="F1192" s="69" t="s">
        <v>3659</v>
      </c>
      <c r="I1192" s="2"/>
      <c r="K1192" s="82">
        <v>0.74260000000000004</v>
      </c>
    </row>
    <row r="1193" spans="1:28" x14ac:dyDescent="0.2">
      <c r="A1193" s="33">
        <v>42462</v>
      </c>
      <c r="B1193" s="53" t="s">
        <v>2822</v>
      </c>
      <c r="C1193" s="54" t="s">
        <v>2823</v>
      </c>
      <c r="D1193" s="65">
        <v>1.4155092592592592E-2</v>
      </c>
      <c r="E1193" s="5" t="s">
        <v>5544</v>
      </c>
      <c r="F1193" s="69" t="s">
        <v>2476</v>
      </c>
      <c r="I1193" s="2"/>
      <c r="K1193" s="82">
        <v>0.7359</v>
      </c>
    </row>
    <row r="1194" spans="1:28" x14ac:dyDescent="0.2">
      <c r="A1194" s="33">
        <v>42455</v>
      </c>
      <c r="B1194" s="53" t="s">
        <v>2822</v>
      </c>
      <c r="C1194" s="54" t="s">
        <v>2823</v>
      </c>
      <c r="D1194" s="8">
        <v>1.3726851851851851E-2</v>
      </c>
      <c r="E1194" t="s">
        <v>5544</v>
      </c>
      <c r="F1194" s="69" t="s">
        <v>276</v>
      </c>
      <c r="I1194" s="2"/>
      <c r="K1194" s="82">
        <v>0.75890000000000002</v>
      </c>
    </row>
    <row r="1195" spans="1:28" x14ac:dyDescent="0.2">
      <c r="A1195" s="33">
        <v>42448</v>
      </c>
      <c r="B1195" s="53" t="s">
        <v>2822</v>
      </c>
      <c r="C1195" s="54" t="s">
        <v>2823</v>
      </c>
      <c r="D1195" s="65">
        <v>1.4201388888888888E-2</v>
      </c>
      <c r="E1195" t="s">
        <v>5544</v>
      </c>
      <c r="F1195" s="69" t="s">
        <v>2472</v>
      </c>
      <c r="I1195" s="2"/>
      <c r="K1195" s="82">
        <v>0.73350000000000004</v>
      </c>
    </row>
    <row r="1196" spans="1:28" x14ac:dyDescent="0.2">
      <c r="A1196" s="33">
        <v>42441</v>
      </c>
      <c r="B1196" s="53" t="s">
        <v>2822</v>
      </c>
      <c r="C1196" s="54" t="s">
        <v>2823</v>
      </c>
      <c r="D1196" s="65">
        <v>1.383101851851852E-2</v>
      </c>
      <c r="E1196" t="s">
        <v>5544</v>
      </c>
      <c r="F1196" s="69" t="s">
        <v>4315</v>
      </c>
      <c r="I1196" s="2"/>
      <c r="K1196" s="82">
        <v>0.75309999999999999</v>
      </c>
    </row>
    <row r="1197" spans="1:28" x14ac:dyDescent="0.2">
      <c r="A1197" s="33">
        <v>42434</v>
      </c>
      <c r="B1197" s="53" t="s">
        <v>2822</v>
      </c>
      <c r="C1197" s="54" t="s">
        <v>2823</v>
      </c>
      <c r="D1197" s="65">
        <v>1.4016203703703704E-2</v>
      </c>
      <c r="E1197" t="s">
        <v>5544</v>
      </c>
      <c r="F1197" s="69" t="s">
        <v>925</v>
      </c>
      <c r="I1197" s="2"/>
      <c r="K1197" s="82">
        <v>0.74070000000000003</v>
      </c>
    </row>
    <row r="1198" spans="1:28" x14ac:dyDescent="0.2">
      <c r="A1198" s="33">
        <v>42427</v>
      </c>
      <c r="B1198" s="53" t="s">
        <v>2822</v>
      </c>
      <c r="C1198" s="54" t="s">
        <v>2823</v>
      </c>
      <c r="D1198" s="65">
        <v>1.4108796296296295E-2</v>
      </c>
      <c r="E1198" t="s">
        <v>5544</v>
      </c>
      <c r="F1198" s="69" t="s">
        <v>4569</v>
      </c>
      <c r="I1198" s="2"/>
      <c r="K1198" s="82">
        <v>0.73680000000000001</v>
      </c>
    </row>
    <row r="1199" spans="1:28" x14ac:dyDescent="0.2">
      <c r="A1199" s="33">
        <v>42420</v>
      </c>
      <c r="B1199" s="53" t="s">
        <v>2822</v>
      </c>
      <c r="C1199" s="54" t="s">
        <v>2823</v>
      </c>
      <c r="D1199" s="65">
        <v>1.4560185185185183E-2</v>
      </c>
      <c r="E1199" t="s">
        <v>5544</v>
      </c>
      <c r="F1199" s="69" t="s">
        <v>5693</v>
      </c>
      <c r="I1199" s="2"/>
      <c r="K1199" s="82">
        <v>0.71299999999999997</v>
      </c>
      <c r="AB1199" s="41"/>
    </row>
    <row r="1200" spans="1:28" x14ac:dyDescent="0.2">
      <c r="A1200" s="33">
        <v>42413</v>
      </c>
      <c r="B1200" s="53" t="s">
        <v>2822</v>
      </c>
      <c r="C1200" s="54" t="s">
        <v>2823</v>
      </c>
      <c r="D1200" s="65" t="s">
        <v>787</v>
      </c>
      <c r="E1200" t="s">
        <v>5544</v>
      </c>
      <c r="F1200" s="69" t="s">
        <v>4000</v>
      </c>
      <c r="I1200" s="2"/>
      <c r="K1200" s="82"/>
    </row>
    <row r="1201" spans="1:19" x14ac:dyDescent="0.2">
      <c r="A1201" s="33">
        <v>42406</v>
      </c>
      <c r="B1201" s="53" t="s">
        <v>2822</v>
      </c>
      <c r="C1201" s="54" t="s">
        <v>2823</v>
      </c>
      <c r="D1201" s="65">
        <v>1.4791666666666668E-2</v>
      </c>
      <c r="E1201" t="s">
        <v>5544</v>
      </c>
      <c r="F1201" s="69" t="s">
        <v>5085</v>
      </c>
      <c r="I1201" s="2"/>
      <c r="K1201" s="82">
        <v>0.70189999999999997</v>
      </c>
    </row>
    <row r="1202" spans="1:19" x14ac:dyDescent="0.2">
      <c r="A1202" s="33">
        <v>42399</v>
      </c>
      <c r="B1202" s="53" t="s">
        <v>2822</v>
      </c>
      <c r="C1202" s="54" t="s">
        <v>2823</v>
      </c>
      <c r="D1202" s="65">
        <v>1.5092592592592593E-2</v>
      </c>
      <c r="E1202" t="s">
        <v>5544</v>
      </c>
      <c r="F1202" s="69"/>
      <c r="I1202" s="2"/>
      <c r="K1202" s="82">
        <v>0.68789999999999996</v>
      </c>
    </row>
    <row r="1203" spans="1:19" x14ac:dyDescent="0.2">
      <c r="A1203" s="33">
        <v>42392</v>
      </c>
      <c r="B1203" s="53" t="s">
        <v>2822</v>
      </c>
      <c r="C1203" s="54" t="s">
        <v>2823</v>
      </c>
      <c r="D1203" s="65">
        <v>1.4085648148148151E-2</v>
      </c>
      <c r="E1203" t="s">
        <v>5544</v>
      </c>
      <c r="F1203" s="97" t="s">
        <v>2746</v>
      </c>
      <c r="G1203" s="2"/>
      <c r="H1203" s="2"/>
      <c r="I1203" s="2"/>
      <c r="K1203" s="82">
        <v>0.73709999999999998</v>
      </c>
    </row>
    <row r="1204" spans="1:19" x14ac:dyDescent="0.2">
      <c r="A1204" s="33">
        <v>42385</v>
      </c>
      <c r="B1204" s="53" t="s">
        <v>2822</v>
      </c>
      <c r="C1204" s="54" t="s">
        <v>2823</v>
      </c>
      <c r="D1204" s="65">
        <v>1.4236111111111111E-2</v>
      </c>
      <c r="E1204" t="s">
        <v>5544</v>
      </c>
      <c r="F1204" s="69" t="s">
        <v>5012</v>
      </c>
      <c r="I1204" s="2"/>
      <c r="K1204" s="82">
        <v>0.72929999999999995</v>
      </c>
    </row>
    <row r="1205" spans="1:19" x14ac:dyDescent="0.2">
      <c r="A1205" s="33">
        <v>42378</v>
      </c>
      <c r="B1205" s="53" t="s">
        <v>2822</v>
      </c>
      <c r="C1205" s="54" t="s">
        <v>2823</v>
      </c>
      <c r="D1205" s="544">
        <v>1.4606481481481482E-2</v>
      </c>
      <c r="E1205" s="407" t="s">
        <v>5544</v>
      </c>
      <c r="F1205" s="545" t="s">
        <v>1314</v>
      </c>
      <c r="G1205" s="407"/>
      <c r="H1205" s="407"/>
      <c r="I1205" s="348"/>
      <c r="J1205" s="407"/>
      <c r="K1205" s="546">
        <v>0.71079999999999999</v>
      </c>
    </row>
    <row r="1206" spans="1:19" x14ac:dyDescent="0.2">
      <c r="A1206" s="33">
        <v>42371</v>
      </c>
      <c r="B1206" s="53" t="s">
        <v>2822</v>
      </c>
      <c r="C1206" s="54" t="s">
        <v>2823</v>
      </c>
      <c r="D1206" s="65">
        <v>1.4768518518518519E-2</v>
      </c>
      <c r="E1206" s="5" t="s">
        <v>5544</v>
      </c>
      <c r="F1206" s="69" t="s">
        <v>2477</v>
      </c>
      <c r="K1206" s="82">
        <v>0.70299999999999996</v>
      </c>
    </row>
    <row r="1207" spans="1:19" x14ac:dyDescent="0.2">
      <c r="A1207" s="33">
        <v>42609</v>
      </c>
      <c r="B1207" s="5" t="s">
        <v>429</v>
      </c>
      <c r="C1207" s="32" t="s">
        <v>430</v>
      </c>
      <c r="D1207" s="65">
        <v>1.7048611111111112E-2</v>
      </c>
      <c r="E1207" t="s">
        <v>5544</v>
      </c>
      <c r="F1207" s="69" t="s">
        <v>4885</v>
      </c>
      <c r="I1207" s="2"/>
      <c r="K1207" s="82">
        <v>0.66459999999999997</v>
      </c>
    </row>
    <row r="1208" spans="1:19" x14ac:dyDescent="0.2">
      <c r="A1208" s="33">
        <v>42574</v>
      </c>
      <c r="B1208" s="5" t="s">
        <v>429</v>
      </c>
      <c r="C1208" s="32" t="s">
        <v>430</v>
      </c>
      <c r="D1208" s="65">
        <v>1.7141203703703704E-2</v>
      </c>
      <c r="E1208" t="s">
        <v>5544</v>
      </c>
      <c r="F1208" s="69" t="s">
        <v>1068</v>
      </c>
      <c r="I1208" s="2"/>
      <c r="K1208" s="82">
        <v>0.66100000000000003</v>
      </c>
    </row>
    <row r="1209" spans="1:19" x14ac:dyDescent="0.2">
      <c r="A1209" s="33">
        <v>42560</v>
      </c>
      <c r="B1209" s="5" t="s">
        <v>429</v>
      </c>
      <c r="C1209" s="32" t="s">
        <v>430</v>
      </c>
      <c r="D1209" s="65">
        <v>1.6516203703703703E-2</v>
      </c>
      <c r="E1209" t="s">
        <v>5544</v>
      </c>
      <c r="F1209" s="69" t="s">
        <v>4350</v>
      </c>
      <c r="I1209" s="2"/>
      <c r="K1209" s="82">
        <v>0.68610000000000004</v>
      </c>
    </row>
    <row r="1210" spans="1:19" x14ac:dyDescent="0.2">
      <c r="A1210" s="33">
        <v>42553</v>
      </c>
      <c r="B1210" s="5" t="s">
        <v>429</v>
      </c>
      <c r="C1210" s="32" t="s">
        <v>430</v>
      </c>
      <c r="D1210" s="65">
        <v>1.6875000000000001E-2</v>
      </c>
      <c r="E1210" t="s">
        <v>5544</v>
      </c>
      <c r="F1210" s="69" t="s">
        <v>752</v>
      </c>
      <c r="I1210" s="2"/>
      <c r="K1210" s="82">
        <v>0.67149999999999999</v>
      </c>
    </row>
    <row r="1211" spans="1:19" x14ac:dyDescent="0.2">
      <c r="A1211" s="33">
        <v>42518</v>
      </c>
      <c r="B1211" s="5" t="s">
        <v>429</v>
      </c>
      <c r="C1211" s="32" t="s">
        <v>430</v>
      </c>
      <c r="D1211" s="543">
        <v>1.7118055555555556E-2</v>
      </c>
      <c r="E1211" s="5" t="s">
        <v>5544</v>
      </c>
      <c r="F1211" s="108" t="s">
        <v>55</v>
      </c>
      <c r="G1211" s="5"/>
      <c r="H1211" s="5"/>
      <c r="I1211" s="2"/>
      <c r="J1211" s="5"/>
      <c r="K1211" s="85">
        <v>0.66190000000000004</v>
      </c>
    </row>
    <row r="1212" spans="1:19" x14ac:dyDescent="0.2">
      <c r="A1212" s="33">
        <v>42504</v>
      </c>
      <c r="B1212" s="5" t="s">
        <v>429</v>
      </c>
      <c r="C1212" s="32" t="s">
        <v>430</v>
      </c>
      <c r="D1212" s="65">
        <v>1.8194444444444444E-2</v>
      </c>
      <c r="E1212" s="5" t="s">
        <v>5544</v>
      </c>
      <c r="F1212" s="69" t="s">
        <v>3852</v>
      </c>
      <c r="K1212" s="82"/>
    </row>
    <row r="1213" spans="1:19" x14ac:dyDescent="0.2">
      <c r="A1213" s="33">
        <v>42679</v>
      </c>
      <c r="B1213" s="513" t="s">
        <v>4878</v>
      </c>
      <c r="C1213" s="512" t="s">
        <v>3250</v>
      </c>
      <c r="D1213" s="65">
        <v>2.0532407407407405E-2</v>
      </c>
      <c r="E1213" t="s">
        <v>3009</v>
      </c>
      <c r="F1213" s="69" t="s">
        <v>617</v>
      </c>
      <c r="I1213" s="2"/>
      <c r="K1213" s="82">
        <v>0.50170000000000003</v>
      </c>
      <c r="S1213" s="80"/>
    </row>
    <row r="1214" spans="1:19" x14ac:dyDescent="0.2">
      <c r="A1214" s="33">
        <v>42665</v>
      </c>
      <c r="B1214" s="513" t="s">
        <v>4878</v>
      </c>
      <c r="C1214" s="512" t="s">
        <v>3250</v>
      </c>
      <c r="D1214" s="65">
        <v>2.1250000000000002E-2</v>
      </c>
      <c r="E1214" t="s">
        <v>3009</v>
      </c>
      <c r="F1214" s="69" t="s">
        <v>1246</v>
      </c>
      <c r="I1214" s="2"/>
      <c r="K1214" s="82">
        <v>0.48470000000000002</v>
      </c>
    </row>
    <row r="1215" spans="1:19" x14ac:dyDescent="0.2">
      <c r="A1215" s="33">
        <v>42630</v>
      </c>
      <c r="B1215" s="513" t="s">
        <v>4878</v>
      </c>
      <c r="C1215" s="512" t="s">
        <v>3250</v>
      </c>
      <c r="D1215" s="65">
        <v>2.1261574074074075E-2</v>
      </c>
      <c r="E1215" t="s">
        <v>818</v>
      </c>
      <c r="F1215" s="69" t="s">
        <v>2460</v>
      </c>
      <c r="I1215" s="2"/>
      <c r="K1215" s="82">
        <v>0.48449999999999999</v>
      </c>
    </row>
    <row r="1216" spans="1:19" x14ac:dyDescent="0.2">
      <c r="A1216" s="33">
        <v>42623</v>
      </c>
      <c r="B1216" s="197" t="s">
        <v>4878</v>
      </c>
      <c r="C1216" s="265" t="s">
        <v>3250</v>
      </c>
      <c r="D1216" s="65">
        <v>2.0648148148148148E-2</v>
      </c>
      <c r="E1216" t="s">
        <v>818</v>
      </c>
      <c r="F1216" s="69" t="s">
        <v>884</v>
      </c>
      <c r="I1216" s="2"/>
      <c r="K1216" s="82">
        <v>0.49890000000000001</v>
      </c>
    </row>
    <row r="1217" spans="1:11" x14ac:dyDescent="0.2">
      <c r="A1217" s="33">
        <v>42616</v>
      </c>
      <c r="B1217" s="197" t="s">
        <v>4878</v>
      </c>
      <c r="C1217" s="265" t="s">
        <v>3250</v>
      </c>
      <c r="D1217" s="65">
        <v>1.9976851851851853E-2</v>
      </c>
      <c r="E1217" t="s">
        <v>1002</v>
      </c>
      <c r="F1217" s="69" t="s">
        <v>5293</v>
      </c>
      <c r="I1217" s="2"/>
      <c r="K1217" s="82">
        <v>0.51559999999999995</v>
      </c>
    </row>
    <row r="1218" spans="1:11" x14ac:dyDescent="0.2">
      <c r="A1218" s="33">
        <v>42602</v>
      </c>
      <c r="B1218" s="197" t="s">
        <v>4878</v>
      </c>
      <c r="C1218" s="265" t="s">
        <v>3250</v>
      </c>
      <c r="D1218" s="65">
        <v>2.1400462962962965E-2</v>
      </c>
      <c r="E1218" t="s">
        <v>3009</v>
      </c>
      <c r="F1218" s="69" t="s">
        <v>1771</v>
      </c>
      <c r="I1218" s="2"/>
      <c r="K1218" s="82">
        <v>0.48130000000000001</v>
      </c>
    </row>
    <row r="1219" spans="1:11" x14ac:dyDescent="0.2">
      <c r="A1219" s="33">
        <v>42518</v>
      </c>
      <c r="B1219" s="197" t="s">
        <v>4878</v>
      </c>
      <c r="C1219" s="265" t="s">
        <v>3250</v>
      </c>
      <c r="D1219" s="543">
        <v>2.0370370370370369E-2</v>
      </c>
      <c r="E1219" s="5" t="s">
        <v>1002</v>
      </c>
      <c r="F1219" s="108" t="s">
        <v>4715</v>
      </c>
      <c r="G1219" s="5"/>
      <c r="H1219" s="5"/>
      <c r="I1219" s="2"/>
      <c r="J1219" s="5"/>
      <c r="K1219" s="85">
        <v>0.50570000000000004</v>
      </c>
    </row>
    <row r="1220" spans="1:11" x14ac:dyDescent="0.2">
      <c r="A1220" s="33">
        <v>42511</v>
      </c>
      <c r="B1220" s="197" t="s">
        <v>4878</v>
      </c>
      <c r="C1220" s="265" t="s">
        <v>3250</v>
      </c>
      <c r="D1220" s="543">
        <v>2.011574074074074E-2</v>
      </c>
      <c r="E1220" s="5" t="s">
        <v>2897</v>
      </c>
      <c r="F1220" s="108" t="s">
        <v>5085</v>
      </c>
      <c r="G1220" s="5"/>
      <c r="H1220" s="5"/>
      <c r="I1220" s="2"/>
      <c r="J1220" s="5"/>
      <c r="K1220" s="85">
        <v>0.5121</v>
      </c>
    </row>
    <row r="1221" spans="1:11" x14ac:dyDescent="0.2">
      <c r="A1221" s="33">
        <v>42469</v>
      </c>
      <c r="B1221" s="197" t="s">
        <v>4878</v>
      </c>
      <c r="C1221" s="265" t="s">
        <v>3250</v>
      </c>
      <c r="D1221" s="65">
        <v>2.1782407407407407E-2</v>
      </c>
      <c r="E1221" t="s">
        <v>4004</v>
      </c>
      <c r="F1221" s="69" t="s">
        <v>4105</v>
      </c>
      <c r="I1221" s="2"/>
      <c r="K1221" s="82">
        <v>0.47239999999999999</v>
      </c>
    </row>
    <row r="1222" spans="1:11" x14ac:dyDescent="0.2">
      <c r="A1222" s="33">
        <v>42385</v>
      </c>
      <c r="B1222" s="206" t="s">
        <v>4878</v>
      </c>
      <c r="C1222" s="512" t="s">
        <v>3250</v>
      </c>
      <c r="D1222" s="65">
        <v>2.0694444444444446E-2</v>
      </c>
      <c r="E1222" t="s">
        <v>2925</v>
      </c>
      <c r="F1222" s="69" t="s">
        <v>2926</v>
      </c>
      <c r="I1222" s="2"/>
      <c r="K1222" s="82">
        <v>0.49719999999999998</v>
      </c>
    </row>
    <row r="1223" spans="1:11" x14ac:dyDescent="0.2">
      <c r="A1223" s="33">
        <v>42735</v>
      </c>
      <c r="B1223" s="80" t="s">
        <v>4561</v>
      </c>
      <c r="C1223" s="334" t="s">
        <v>4562</v>
      </c>
      <c r="D1223" s="65">
        <v>1.8263888888888889E-2</v>
      </c>
      <c r="E1223" s="80" t="s">
        <v>5453</v>
      </c>
      <c r="F1223" s="69" t="s">
        <v>2629</v>
      </c>
      <c r="I1223" s="2"/>
      <c r="K1223" s="82">
        <v>0.57789999999999997</v>
      </c>
    </row>
    <row r="1224" spans="1:11" x14ac:dyDescent="0.2">
      <c r="A1224" s="33">
        <v>42729</v>
      </c>
      <c r="B1224" s="513" t="s">
        <v>4561</v>
      </c>
      <c r="C1224" s="512" t="s">
        <v>4562</v>
      </c>
      <c r="D1224" s="65">
        <v>1.8472222222222223E-2</v>
      </c>
      <c r="E1224" s="80" t="s">
        <v>129</v>
      </c>
      <c r="F1224" s="69" t="s">
        <v>6151</v>
      </c>
      <c r="I1224" s="2"/>
      <c r="K1224" s="82">
        <v>0.57140000000000002</v>
      </c>
    </row>
    <row r="1225" spans="1:11" x14ac:dyDescent="0.2">
      <c r="A1225" s="523">
        <v>42728</v>
      </c>
      <c r="B1225" s="513" t="s">
        <v>4561</v>
      </c>
      <c r="C1225" s="512" t="s">
        <v>4562</v>
      </c>
      <c r="D1225" s="65">
        <v>1.8738425925925926E-2</v>
      </c>
      <c r="E1225" s="80" t="s">
        <v>5883</v>
      </c>
      <c r="F1225" s="69" t="s">
        <v>4392</v>
      </c>
      <c r="I1225" s="2"/>
      <c r="K1225" s="82">
        <v>0.56330000000000002</v>
      </c>
    </row>
    <row r="1226" spans="1:11" x14ac:dyDescent="0.2">
      <c r="A1226" s="33">
        <v>42721</v>
      </c>
      <c r="B1226" s="513" t="s">
        <v>4561</v>
      </c>
      <c r="C1226" s="512" t="s">
        <v>4562</v>
      </c>
      <c r="D1226" s="65">
        <v>1.8217592592592594E-2</v>
      </c>
      <c r="E1226" s="5" t="s">
        <v>5883</v>
      </c>
      <c r="F1226" s="108" t="s">
        <v>2629</v>
      </c>
      <c r="I1226" s="2"/>
      <c r="K1226" s="82">
        <v>0.57940000000000003</v>
      </c>
    </row>
    <row r="1227" spans="1:11" x14ac:dyDescent="0.2">
      <c r="A1227" s="33">
        <v>42714</v>
      </c>
      <c r="B1227" s="513" t="s">
        <v>4561</v>
      </c>
      <c r="C1227" s="512" t="s">
        <v>4562</v>
      </c>
      <c r="D1227" s="65">
        <v>1.7951388888888888E-2</v>
      </c>
      <c r="E1227" s="5" t="s">
        <v>5885</v>
      </c>
      <c r="F1227" s="108" t="s">
        <v>6092</v>
      </c>
      <c r="I1227" s="2"/>
      <c r="K1227" s="82">
        <v>0.58799999999999997</v>
      </c>
    </row>
    <row r="1228" spans="1:11" x14ac:dyDescent="0.2">
      <c r="A1228" s="33">
        <v>42707</v>
      </c>
      <c r="B1228" s="513" t="s">
        <v>4561</v>
      </c>
      <c r="C1228" s="512" t="s">
        <v>4562</v>
      </c>
      <c r="D1228" s="65">
        <v>1.8761574074074073E-2</v>
      </c>
      <c r="E1228" t="s">
        <v>5883</v>
      </c>
      <c r="F1228" s="108" t="s">
        <v>2188</v>
      </c>
      <c r="I1228" s="2"/>
      <c r="K1228" s="82">
        <v>0.56259999999999999</v>
      </c>
    </row>
    <row r="1229" spans="1:11" x14ac:dyDescent="0.2">
      <c r="A1229" s="33">
        <v>42700</v>
      </c>
      <c r="B1229" s="513" t="s">
        <v>4561</v>
      </c>
      <c r="C1229" s="512" t="s">
        <v>4562</v>
      </c>
      <c r="D1229" s="65">
        <v>1.8368055555555554E-2</v>
      </c>
      <c r="E1229" s="5" t="s">
        <v>129</v>
      </c>
      <c r="F1229" s="69"/>
      <c r="I1229" s="2"/>
      <c r="K1229" s="82">
        <v>0.57469999999999999</v>
      </c>
    </row>
    <row r="1230" spans="1:11" x14ac:dyDescent="0.2">
      <c r="A1230" s="33">
        <v>42693</v>
      </c>
      <c r="B1230" s="513" t="s">
        <v>4561</v>
      </c>
      <c r="C1230" s="512" t="s">
        <v>4562</v>
      </c>
      <c r="D1230" s="65">
        <v>1.9039351851851852E-2</v>
      </c>
      <c r="E1230" s="5" t="s">
        <v>998</v>
      </c>
      <c r="F1230" s="69"/>
      <c r="I1230" s="2"/>
      <c r="K1230" s="82">
        <v>0.5544</v>
      </c>
    </row>
    <row r="1231" spans="1:11" x14ac:dyDescent="0.2">
      <c r="A1231" s="33">
        <v>42686</v>
      </c>
      <c r="B1231" s="513" t="s">
        <v>4561</v>
      </c>
      <c r="C1231" s="512" t="s">
        <v>4562</v>
      </c>
      <c r="D1231" s="65">
        <v>1.9537037037037037E-2</v>
      </c>
      <c r="E1231" t="s">
        <v>5883</v>
      </c>
      <c r="F1231" s="108" t="s">
        <v>5172</v>
      </c>
      <c r="I1231" s="2"/>
      <c r="K1231" s="82">
        <v>0.5403</v>
      </c>
    </row>
    <row r="1232" spans="1:11" x14ac:dyDescent="0.2">
      <c r="A1232" s="33">
        <v>42679</v>
      </c>
      <c r="B1232" s="513" t="s">
        <v>4561</v>
      </c>
      <c r="C1232" s="512" t="s">
        <v>4562</v>
      </c>
      <c r="D1232" s="65">
        <v>1.90625E-2</v>
      </c>
      <c r="E1232" t="s">
        <v>4161</v>
      </c>
      <c r="F1232" s="69" t="s">
        <v>597</v>
      </c>
      <c r="I1232" s="2"/>
      <c r="K1232" s="82">
        <v>0.55369999999999997</v>
      </c>
    </row>
    <row r="1233" spans="1:13" x14ac:dyDescent="0.2">
      <c r="A1233" s="33">
        <v>42672</v>
      </c>
      <c r="B1233" s="513" t="s">
        <v>4561</v>
      </c>
      <c r="C1233" s="512" t="s">
        <v>4562</v>
      </c>
      <c r="D1233" s="65" t="s">
        <v>787</v>
      </c>
      <c r="E1233" t="s">
        <v>5883</v>
      </c>
      <c r="F1233" s="69" t="s">
        <v>4524</v>
      </c>
      <c r="I1233" s="2"/>
      <c r="K1233" s="82"/>
    </row>
    <row r="1234" spans="1:13" x14ac:dyDescent="0.2">
      <c r="A1234" s="33">
        <v>42665</v>
      </c>
      <c r="B1234" s="513" t="s">
        <v>4561</v>
      </c>
      <c r="C1234" s="512" t="s">
        <v>4562</v>
      </c>
      <c r="D1234" s="65">
        <v>4.0428240740740744E-2</v>
      </c>
      <c r="E1234" s="1" t="s">
        <v>5883</v>
      </c>
      <c r="F1234" s="69" t="s">
        <v>1258</v>
      </c>
      <c r="I1234" s="2"/>
      <c r="K1234" s="82">
        <v>0.2611</v>
      </c>
    </row>
    <row r="1235" spans="1:13" x14ac:dyDescent="0.2">
      <c r="A1235" s="33">
        <v>42658</v>
      </c>
      <c r="B1235" s="513" t="s">
        <v>4561</v>
      </c>
      <c r="C1235" s="512" t="s">
        <v>4562</v>
      </c>
      <c r="D1235" s="65">
        <v>3.5081018518518518E-2</v>
      </c>
      <c r="E1235" t="s">
        <v>5883</v>
      </c>
      <c r="F1235" s="69" t="s">
        <v>1514</v>
      </c>
      <c r="I1235" s="2"/>
      <c r="K1235" s="82">
        <v>0.3009</v>
      </c>
    </row>
    <row r="1236" spans="1:13" x14ac:dyDescent="0.2">
      <c r="A1236" s="33">
        <v>42651</v>
      </c>
      <c r="B1236" s="513" t="s">
        <v>4561</v>
      </c>
      <c r="C1236" s="512" t="s">
        <v>4562</v>
      </c>
      <c r="D1236" s="65">
        <v>1.8055555555555557E-2</v>
      </c>
      <c r="E1236" t="s">
        <v>4496</v>
      </c>
      <c r="F1236" s="69" t="s">
        <v>1087</v>
      </c>
      <c r="I1236" s="2"/>
      <c r="K1236" s="82">
        <v>0.58460000000000001</v>
      </c>
    </row>
    <row r="1237" spans="1:13" x14ac:dyDescent="0.2">
      <c r="A1237" s="33">
        <v>42644</v>
      </c>
      <c r="B1237" s="513" t="s">
        <v>4561</v>
      </c>
      <c r="C1237" s="512" t="s">
        <v>4562</v>
      </c>
      <c r="D1237" s="65">
        <v>1.849537037037037E-2</v>
      </c>
      <c r="E1237" t="s">
        <v>5883</v>
      </c>
      <c r="F1237" s="69" t="s">
        <v>2629</v>
      </c>
      <c r="I1237" s="2"/>
      <c r="K1237" s="82">
        <v>0.57069999999999999</v>
      </c>
    </row>
    <row r="1238" spans="1:13" x14ac:dyDescent="0.2">
      <c r="A1238" s="33">
        <v>42637</v>
      </c>
      <c r="B1238" s="513" t="s">
        <v>4561</v>
      </c>
      <c r="C1238" s="512" t="s">
        <v>4562</v>
      </c>
      <c r="D1238" s="65">
        <v>1.8749999999999999E-2</v>
      </c>
      <c r="E1238" t="s">
        <v>2596</v>
      </c>
      <c r="F1238" s="69" t="s">
        <v>4113</v>
      </c>
      <c r="I1238" s="2"/>
      <c r="K1238" s="82">
        <v>0.56299999999999994</v>
      </c>
    </row>
    <row r="1239" spans="1:13" x14ac:dyDescent="0.2">
      <c r="A1239" s="33">
        <v>42630</v>
      </c>
      <c r="B1239" s="513" t="s">
        <v>4561</v>
      </c>
      <c r="C1239" s="512" t="s">
        <v>4562</v>
      </c>
      <c r="D1239" s="65">
        <v>1.8912037037037036E-2</v>
      </c>
      <c r="E1239" t="s">
        <v>5883</v>
      </c>
      <c r="F1239" s="69" t="s">
        <v>2689</v>
      </c>
      <c r="I1239" s="2"/>
      <c r="K1239" s="82">
        <v>0.55810000000000004</v>
      </c>
    </row>
    <row r="1240" spans="1:13" x14ac:dyDescent="0.2">
      <c r="A1240" s="33">
        <v>42616</v>
      </c>
      <c r="B1240" s="513" t="s">
        <v>4561</v>
      </c>
      <c r="C1240" s="512" t="s">
        <v>4562</v>
      </c>
      <c r="D1240" s="65">
        <v>1.8819444444444448E-2</v>
      </c>
      <c r="E1240" t="s">
        <v>5883</v>
      </c>
      <c r="F1240" s="69" t="s">
        <v>2688</v>
      </c>
      <c r="I1240" s="2"/>
      <c r="K1240" s="82">
        <v>0.56089999999999995</v>
      </c>
    </row>
    <row r="1241" spans="1:13" x14ac:dyDescent="0.2">
      <c r="A1241" s="33">
        <v>42609</v>
      </c>
      <c r="B1241" s="513" t="s">
        <v>4561</v>
      </c>
      <c r="C1241" s="512" t="s">
        <v>4562</v>
      </c>
      <c r="D1241" s="65">
        <v>1.861111111111111E-2</v>
      </c>
      <c r="E1241" t="s">
        <v>5883</v>
      </c>
      <c r="F1241" s="69" t="s">
        <v>93</v>
      </c>
      <c r="I1241" s="2"/>
      <c r="K1241" s="82">
        <v>0.56720000000000004</v>
      </c>
    </row>
    <row r="1242" spans="1:13" x14ac:dyDescent="0.2">
      <c r="A1242" s="33">
        <v>42602</v>
      </c>
      <c r="B1242" s="513" t="s">
        <v>4561</v>
      </c>
      <c r="C1242" s="512" t="s">
        <v>4562</v>
      </c>
      <c r="D1242" s="65">
        <v>1.9120370370370371E-2</v>
      </c>
      <c r="E1242" t="s">
        <v>5883</v>
      </c>
      <c r="F1242" s="69" t="s">
        <v>2779</v>
      </c>
      <c r="I1242" s="2"/>
      <c r="K1242" s="82">
        <v>0.55210000000000004</v>
      </c>
    </row>
    <row r="1243" spans="1:13" x14ac:dyDescent="0.2">
      <c r="A1243" s="33">
        <v>42595</v>
      </c>
      <c r="B1243" s="513" t="s">
        <v>4561</v>
      </c>
      <c r="C1243" s="512" t="s">
        <v>4562</v>
      </c>
      <c r="D1243" s="65">
        <v>1.877314814814815E-2</v>
      </c>
      <c r="E1243" t="s">
        <v>3870</v>
      </c>
      <c r="F1243" s="69" t="s">
        <v>1439</v>
      </c>
      <c r="I1243" s="2"/>
      <c r="K1243" s="82">
        <v>0.56230000000000002</v>
      </c>
      <c r="M1243" t="s">
        <v>4160</v>
      </c>
    </row>
    <row r="1244" spans="1:13" x14ac:dyDescent="0.2">
      <c r="A1244" s="33">
        <v>42588</v>
      </c>
      <c r="B1244" s="513" t="s">
        <v>4561</v>
      </c>
      <c r="C1244" s="512" t="s">
        <v>4562</v>
      </c>
      <c r="D1244" s="543">
        <v>1.9120370370370371E-2</v>
      </c>
      <c r="E1244" s="5" t="s">
        <v>5883</v>
      </c>
      <c r="F1244" s="108" t="s">
        <v>3372</v>
      </c>
      <c r="G1244" s="5"/>
      <c r="H1244" s="5"/>
      <c r="I1244" s="2"/>
      <c r="J1244" s="5"/>
      <c r="K1244" s="85">
        <v>0.55210000000000004</v>
      </c>
    </row>
    <row r="1245" spans="1:13" x14ac:dyDescent="0.2">
      <c r="A1245" s="33">
        <v>42581</v>
      </c>
      <c r="B1245" s="513" t="s">
        <v>4561</v>
      </c>
      <c r="C1245" s="512" t="s">
        <v>4562</v>
      </c>
      <c r="D1245" s="65">
        <v>1.9131944444444444E-2</v>
      </c>
      <c r="E1245" t="s">
        <v>5885</v>
      </c>
      <c r="F1245" s="69" t="s">
        <v>2629</v>
      </c>
      <c r="I1245" s="2"/>
      <c r="K1245" s="82">
        <v>0.55169999999999997</v>
      </c>
    </row>
    <row r="1246" spans="1:13" x14ac:dyDescent="0.2">
      <c r="A1246" s="33">
        <v>42574</v>
      </c>
      <c r="B1246" s="513" t="s">
        <v>4561</v>
      </c>
      <c r="C1246" s="512" t="s">
        <v>4562</v>
      </c>
      <c r="D1246" s="65">
        <v>1.9201388888888889E-2</v>
      </c>
      <c r="E1246" t="s">
        <v>5883</v>
      </c>
      <c r="F1246" s="69" t="s">
        <v>5608</v>
      </c>
      <c r="I1246" s="2"/>
      <c r="K1246" s="82">
        <v>0.54969999999999997</v>
      </c>
    </row>
    <row r="1247" spans="1:13" x14ac:dyDescent="0.2">
      <c r="A1247" s="33">
        <v>42567</v>
      </c>
      <c r="B1247" s="513" t="s">
        <v>4561</v>
      </c>
      <c r="C1247" s="512" t="s">
        <v>4562</v>
      </c>
      <c r="D1247" s="65">
        <v>1.9201388888888889E-2</v>
      </c>
      <c r="E1247" t="s">
        <v>5883</v>
      </c>
      <c r="F1247" s="69" t="s">
        <v>83</v>
      </c>
      <c r="I1247" s="2"/>
      <c r="K1247" s="82">
        <v>0.57969999999999999</v>
      </c>
    </row>
    <row r="1248" spans="1:13" x14ac:dyDescent="0.2">
      <c r="A1248" s="33">
        <v>42560</v>
      </c>
      <c r="B1248" s="513" t="s">
        <v>4561</v>
      </c>
      <c r="C1248" s="512" t="s">
        <v>4562</v>
      </c>
      <c r="D1248" s="65">
        <v>1.9594907407407405E-2</v>
      </c>
      <c r="E1248" t="s">
        <v>5883</v>
      </c>
      <c r="F1248" s="69"/>
      <c r="I1248" s="2"/>
      <c r="K1248" s="82">
        <v>0.53869999999999996</v>
      </c>
    </row>
    <row r="1249" spans="1:13" x14ac:dyDescent="0.2">
      <c r="A1249" s="33">
        <v>42553</v>
      </c>
      <c r="B1249" s="513" t="s">
        <v>4561</v>
      </c>
      <c r="C1249" s="512" t="s">
        <v>4562</v>
      </c>
      <c r="D1249" s="65">
        <v>1.9224537037037037E-2</v>
      </c>
      <c r="E1249" t="s">
        <v>129</v>
      </c>
      <c r="F1249" s="69" t="s">
        <v>5863</v>
      </c>
      <c r="I1249" s="2"/>
      <c r="K1249" s="82">
        <v>0.54910000000000003</v>
      </c>
    </row>
    <row r="1250" spans="1:13" x14ac:dyDescent="0.2">
      <c r="A1250" s="33">
        <v>42546</v>
      </c>
      <c r="B1250" s="513" t="s">
        <v>4561</v>
      </c>
      <c r="C1250" s="512" t="s">
        <v>4562</v>
      </c>
      <c r="D1250" s="65">
        <v>1.9525462962962963E-2</v>
      </c>
      <c r="E1250" t="s">
        <v>5095</v>
      </c>
      <c r="F1250" s="69" t="s">
        <v>2780</v>
      </c>
      <c r="I1250" s="2"/>
      <c r="K1250" s="82">
        <v>0.54059999999999997</v>
      </c>
    </row>
    <row r="1251" spans="1:13" x14ac:dyDescent="0.2">
      <c r="A1251" s="33">
        <v>42539</v>
      </c>
      <c r="B1251" s="513" t="s">
        <v>4561</v>
      </c>
      <c r="C1251" s="512" t="s">
        <v>4562</v>
      </c>
      <c r="D1251" s="65">
        <v>1.9652777777777779E-2</v>
      </c>
      <c r="E1251" t="s">
        <v>5883</v>
      </c>
      <c r="F1251" s="69" t="s">
        <v>1846</v>
      </c>
      <c r="I1251" s="2"/>
      <c r="K1251" s="82">
        <v>0.53710000000000002</v>
      </c>
    </row>
    <row r="1252" spans="1:13" x14ac:dyDescent="0.2">
      <c r="A1252" s="33">
        <v>42532</v>
      </c>
      <c r="B1252" s="513" t="s">
        <v>4561</v>
      </c>
      <c r="C1252" s="512" t="s">
        <v>4562</v>
      </c>
      <c r="D1252" s="65">
        <v>1.9606481481481482E-2</v>
      </c>
      <c r="E1252" t="s">
        <v>5883</v>
      </c>
      <c r="F1252" s="69" t="s">
        <v>3575</v>
      </c>
      <c r="I1252" s="2"/>
      <c r="K1252" s="82">
        <v>0.53839999999999999</v>
      </c>
    </row>
    <row r="1253" spans="1:13" x14ac:dyDescent="0.2">
      <c r="A1253" s="33">
        <v>42525</v>
      </c>
      <c r="B1253" s="513" t="s">
        <v>4561</v>
      </c>
      <c r="C1253" s="512" t="s">
        <v>4562</v>
      </c>
      <c r="D1253" s="543">
        <v>1.9120370370370371E-2</v>
      </c>
      <c r="E1253" s="5" t="s">
        <v>5883</v>
      </c>
      <c r="F1253" s="108" t="s">
        <v>2848</v>
      </c>
      <c r="G1253" s="5"/>
      <c r="H1253" s="5"/>
      <c r="I1253" s="2"/>
      <c r="J1253" s="5"/>
      <c r="K1253" s="85">
        <v>0.55210000000000004</v>
      </c>
    </row>
    <row r="1254" spans="1:13" x14ac:dyDescent="0.2">
      <c r="A1254" s="33">
        <v>42518</v>
      </c>
      <c r="B1254" s="513" t="s">
        <v>4561</v>
      </c>
      <c r="C1254" s="512" t="s">
        <v>4562</v>
      </c>
      <c r="D1254" s="543">
        <v>1.9282407407407408E-2</v>
      </c>
      <c r="E1254" s="5" t="s">
        <v>5883</v>
      </c>
      <c r="F1254" s="108" t="s">
        <v>3793</v>
      </c>
      <c r="G1254" s="5"/>
      <c r="H1254" s="5"/>
      <c r="I1254" s="2"/>
      <c r="J1254" s="5"/>
      <c r="K1254" s="85">
        <v>0.5474</v>
      </c>
    </row>
    <row r="1255" spans="1:13" x14ac:dyDescent="0.2">
      <c r="A1255" s="33">
        <v>42504</v>
      </c>
      <c r="B1255" s="513" t="s">
        <v>4561</v>
      </c>
      <c r="C1255" s="512" t="s">
        <v>4562</v>
      </c>
      <c r="D1255" s="543" t="s">
        <v>787</v>
      </c>
      <c r="E1255" s="5" t="s">
        <v>5883</v>
      </c>
      <c r="F1255" s="108" t="s">
        <v>3783</v>
      </c>
      <c r="G1255" s="5"/>
      <c r="H1255" s="5"/>
      <c r="I1255" s="5"/>
      <c r="J1255" s="5"/>
      <c r="K1255" s="85"/>
    </row>
    <row r="1256" spans="1:13" x14ac:dyDescent="0.2">
      <c r="A1256" s="33">
        <v>42630</v>
      </c>
      <c r="B1256" s="53" t="s">
        <v>3184</v>
      </c>
      <c r="C1256" s="54" t="s">
        <v>3185</v>
      </c>
      <c r="D1256" s="65">
        <v>1.8067129629629631E-2</v>
      </c>
      <c r="E1256" t="s">
        <v>2596</v>
      </c>
      <c r="F1256" s="69" t="s">
        <v>5851</v>
      </c>
      <c r="I1256" s="2"/>
      <c r="K1256" s="82">
        <v>0.64449999999999996</v>
      </c>
    </row>
    <row r="1257" spans="1:13" x14ac:dyDescent="0.2">
      <c r="A1257" s="33">
        <v>42588</v>
      </c>
      <c r="B1257" s="53" t="s">
        <v>3184</v>
      </c>
      <c r="C1257" s="54" t="s">
        <v>3185</v>
      </c>
      <c r="D1257" s="65">
        <v>1.8738425925925926E-2</v>
      </c>
      <c r="E1257" s="5" t="s">
        <v>5453</v>
      </c>
      <c r="F1257" s="69" t="s">
        <v>541</v>
      </c>
      <c r="I1257" s="2"/>
      <c r="K1257" s="82">
        <v>0.62139999999999995</v>
      </c>
    </row>
    <row r="1258" spans="1:13" x14ac:dyDescent="0.2">
      <c r="A1258" s="33">
        <v>42371</v>
      </c>
      <c r="B1258" s="53" t="s">
        <v>3184</v>
      </c>
      <c r="C1258" s="54" t="s">
        <v>3185</v>
      </c>
      <c r="D1258" s="65">
        <v>1.9490740740740743E-2</v>
      </c>
      <c r="E1258" s="5" t="s">
        <v>5456</v>
      </c>
      <c r="F1258" s="69" t="s">
        <v>3943</v>
      </c>
      <c r="K1258" s="82">
        <v>0.59199999999999997</v>
      </c>
    </row>
    <row r="1259" spans="1:13" x14ac:dyDescent="0.2">
      <c r="A1259" s="33">
        <v>42370</v>
      </c>
      <c r="B1259" s="53" t="s">
        <v>3184</v>
      </c>
      <c r="C1259" s="54" t="s">
        <v>3185</v>
      </c>
      <c r="D1259" s="65">
        <v>1.8634259259259257E-2</v>
      </c>
      <c r="E1259" s="5" t="s">
        <v>4176</v>
      </c>
      <c r="F1259" s="69"/>
      <c r="K1259" s="82">
        <v>0.61929999999999996</v>
      </c>
    </row>
    <row r="1260" spans="1:13" x14ac:dyDescent="0.2">
      <c r="A1260" s="33">
        <v>42370</v>
      </c>
      <c r="B1260" s="53" t="s">
        <v>3184</v>
      </c>
      <c r="C1260" s="54" t="s">
        <v>3185</v>
      </c>
      <c r="D1260" s="65">
        <v>1.9918981481481482E-2</v>
      </c>
      <c r="E1260" s="5" t="s">
        <v>1002</v>
      </c>
      <c r="F1260" s="69"/>
      <c r="K1260" s="82">
        <v>0.57930000000000004</v>
      </c>
    </row>
    <row r="1261" spans="1:13" x14ac:dyDescent="0.2">
      <c r="A1261" s="33">
        <v>42504</v>
      </c>
      <c r="B1261" s="53" t="s">
        <v>2349</v>
      </c>
      <c r="C1261" s="54" t="s">
        <v>2350</v>
      </c>
      <c r="D1261" s="543">
        <v>1.9282407407407408E-2</v>
      </c>
      <c r="E1261" s="5" t="s">
        <v>317</v>
      </c>
      <c r="F1261" s="108" t="s">
        <v>4131</v>
      </c>
      <c r="G1261" s="5"/>
      <c r="H1261" s="5"/>
      <c r="I1261" s="5"/>
      <c r="J1261" s="5"/>
      <c r="K1261" s="85">
        <v>0.58340000000000003</v>
      </c>
    </row>
    <row r="1262" spans="1:13" x14ac:dyDescent="0.2">
      <c r="A1262" s="33">
        <v>42735</v>
      </c>
      <c r="B1262" s="80" t="s">
        <v>1794</v>
      </c>
      <c r="C1262" s="334" t="s">
        <v>1795</v>
      </c>
      <c r="D1262" s="65">
        <v>2.4386574074074074E-2</v>
      </c>
      <c r="E1262" s="80" t="s">
        <v>5544</v>
      </c>
      <c r="F1262" s="69" t="s">
        <v>6170</v>
      </c>
      <c r="I1262" s="2"/>
      <c r="K1262" s="82">
        <v>0.51500000000000001</v>
      </c>
      <c r="M1262" s="80" t="s">
        <v>6203</v>
      </c>
    </row>
    <row r="1263" spans="1:13" x14ac:dyDescent="0.2">
      <c r="A1263" s="523">
        <v>42728</v>
      </c>
      <c r="B1263" s="80" t="s">
        <v>1794</v>
      </c>
      <c r="C1263" s="334" t="s">
        <v>1795</v>
      </c>
      <c r="D1263" s="65">
        <v>2.5358796296296296E-2</v>
      </c>
      <c r="E1263" s="80" t="s">
        <v>4004</v>
      </c>
      <c r="F1263" s="69" t="s">
        <v>6118</v>
      </c>
      <c r="I1263" s="2"/>
      <c r="K1263" s="82">
        <v>0.49519999999999997</v>
      </c>
      <c r="M1263" s="80"/>
    </row>
    <row r="1264" spans="1:13" x14ac:dyDescent="0.2">
      <c r="A1264" s="33">
        <v>42721</v>
      </c>
      <c r="B1264" s="5" t="s">
        <v>1794</v>
      </c>
      <c r="C1264" s="32" t="s">
        <v>1795</v>
      </c>
      <c r="D1264" s="65">
        <v>2.9224537037037038E-2</v>
      </c>
      <c r="E1264" t="s">
        <v>5544</v>
      </c>
      <c r="F1264" s="69" t="s">
        <v>6103</v>
      </c>
      <c r="I1264" s="2"/>
      <c r="K1264" s="82">
        <v>0.42970000000000003</v>
      </c>
    </row>
    <row r="1265" spans="1:28" x14ac:dyDescent="0.2">
      <c r="A1265" s="33">
        <v>42714</v>
      </c>
      <c r="B1265" s="5" t="s">
        <v>1794</v>
      </c>
      <c r="C1265" s="32" t="s">
        <v>1795</v>
      </c>
      <c r="D1265" s="65">
        <v>2.7002314814814812E-2</v>
      </c>
      <c r="E1265" s="5" t="s">
        <v>999</v>
      </c>
      <c r="F1265" s="108" t="s">
        <v>6078</v>
      </c>
      <c r="I1265" s="2"/>
      <c r="K1265" s="82">
        <v>0.46510000000000001</v>
      </c>
    </row>
    <row r="1266" spans="1:28" x14ac:dyDescent="0.2">
      <c r="A1266" s="33">
        <v>42707</v>
      </c>
      <c r="B1266" s="5" t="s">
        <v>1794</v>
      </c>
      <c r="C1266" s="32" t="s">
        <v>1795</v>
      </c>
      <c r="D1266" s="65">
        <v>2.4907407407407406E-2</v>
      </c>
      <c r="E1266" t="s">
        <v>5544</v>
      </c>
      <c r="F1266" s="108" t="s">
        <v>6073</v>
      </c>
      <c r="I1266" s="2"/>
      <c r="K1266" s="82">
        <v>0.50419999999999998</v>
      </c>
    </row>
    <row r="1267" spans="1:28" x14ac:dyDescent="0.2">
      <c r="A1267" s="33">
        <v>42700</v>
      </c>
      <c r="B1267" s="5" t="s">
        <v>1794</v>
      </c>
      <c r="C1267" s="32" t="s">
        <v>1795</v>
      </c>
      <c r="D1267" s="65">
        <v>2.7372685185185184E-2</v>
      </c>
      <c r="E1267" s="5" t="s">
        <v>2818</v>
      </c>
      <c r="F1267" s="69" t="s">
        <v>6070</v>
      </c>
      <c r="I1267" s="2"/>
      <c r="K1267" s="82">
        <v>0.45679999999999998</v>
      </c>
    </row>
    <row r="1268" spans="1:28" x14ac:dyDescent="0.2">
      <c r="A1268" s="33">
        <v>42686</v>
      </c>
      <c r="B1268" s="5" t="s">
        <v>1794</v>
      </c>
      <c r="C1268" s="32" t="s">
        <v>1795</v>
      </c>
      <c r="D1268" s="65">
        <v>2.5949074074074072E-2</v>
      </c>
      <c r="E1268" s="5" t="s">
        <v>5439</v>
      </c>
      <c r="F1268" s="69" t="s">
        <v>1473</v>
      </c>
      <c r="I1268" s="2"/>
      <c r="K1268" s="82">
        <v>0.4839</v>
      </c>
      <c r="M1268" s="80" t="s">
        <v>6166</v>
      </c>
      <c r="O1268" t="s">
        <v>7865</v>
      </c>
    </row>
    <row r="1269" spans="1:28" x14ac:dyDescent="0.2">
      <c r="A1269" s="33">
        <v>42679</v>
      </c>
      <c r="B1269" s="5" t="s">
        <v>1794</v>
      </c>
      <c r="C1269" s="32" t="s">
        <v>1795</v>
      </c>
      <c r="D1269" s="65">
        <v>2.449074074074074E-2</v>
      </c>
      <c r="E1269" t="s">
        <v>4161</v>
      </c>
      <c r="F1269" s="69" t="s">
        <v>604</v>
      </c>
      <c r="I1269" s="2"/>
      <c r="K1269" s="82">
        <v>0.51490000000000002</v>
      </c>
    </row>
    <row r="1270" spans="1:28" x14ac:dyDescent="0.2">
      <c r="A1270" s="33">
        <v>42672</v>
      </c>
      <c r="B1270" s="5" t="s">
        <v>1794</v>
      </c>
      <c r="C1270" s="32" t="s">
        <v>1795</v>
      </c>
      <c r="D1270" s="65">
        <v>2.326388888888889E-2</v>
      </c>
      <c r="E1270" t="s">
        <v>5544</v>
      </c>
      <c r="F1270" s="69" t="s">
        <v>1492</v>
      </c>
      <c r="I1270" s="2"/>
      <c r="K1270" s="82">
        <v>0.53979999999999995</v>
      </c>
    </row>
    <row r="1271" spans="1:28" x14ac:dyDescent="0.2">
      <c r="A1271" s="33">
        <v>42665</v>
      </c>
      <c r="B1271" s="5" t="s">
        <v>1794</v>
      </c>
      <c r="C1271" s="32" t="s">
        <v>1795</v>
      </c>
      <c r="D1271" s="65">
        <v>2.3391203703703702E-2</v>
      </c>
      <c r="E1271" t="s">
        <v>74</v>
      </c>
      <c r="F1271" s="69" t="s">
        <v>1241</v>
      </c>
      <c r="I1271" s="2"/>
      <c r="K1271" s="82">
        <v>0.53690000000000004</v>
      </c>
    </row>
    <row r="1272" spans="1:28" x14ac:dyDescent="0.2">
      <c r="A1272" s="33">
        <v>42658</v>
      </c>
      <c r="B1272" s="5" t="s">
        <v>1794</v>
      </c>
      <c r="C1272" s="32" t="s">
        <v>1795</v>
      </c>
      <c r="D1272" s="65">
        <v>2.2569444444444444E-2</v>
      </c>
      <c r="E1272" t="s">
        <v>4004</v>
      </c>
      <c r="F1272" s="69" t="s">
        <v>1979</v>
      </c>
      <c r="I1272" s="2"/>
      <c r="K1272" s="82">
        <v>0.55640000000000001</v>
      </c>
    </row>
    <row r="1273" spans="1:28" x14ac:dyDescent="0.2">
      <c r="A1273" s="33">
        <v>42651</v>
      </c>
      <c r="B1273" s="5" t="s">
        <v>1794</v>
      </c>
      <c r="C1273" s="32" t="s">
        <v>1795</v>
      </c>
      <c r="D1273" s="65">
        <v>2.5370370370370366E-2</v>
      </c>
      <c r="E1273" t="s">
        <v>2995</v>
      </c>
      <c r="F1273" s="69" t="s">
        <v>5022</v>
      </c>
      <c r="I1273" s="2"/>
      <c r="K1273" s="82">
        <v>0.495</v>
      </c>
    </row>
    <row r="1274" spans="1:28" x14ac:dyDescent="0.2">
      <c r="A1274" s="33">
        <v>42644</v>
      </c>
      <c r="B1274" s="5" t="s">
        <v>1794</v>
      </c>
      <c r="C1274" s="32" t="s">
        <v>1795</v>
      </c>
      <c r="D1274" s="65">
        <v>2.2789351851851852E-2</v>
      </c>
      <c r="E1274" t="s">
        <v>5544</v>
      </c>
      <c r="F1274" s="69" t="s">
        <v>3057</v>
      </c>
      <c r="I1274" s="2"/>
      <c r="K1274" s="82">
        <v>0.55100000000000005</v>
      </c>
    </row>
    <row r="1275" spans="1:28" x14ac:dyDescent="0.2">
      <c r="A1275" s="33">
        <v>42630</v>
      </c>
      <c r="B1275" s="5" t="s">
        <v>1794</v>
      </c>
      <c r="C1275" s="32" t="s">
        <v>1795</v>
      </c>
      <c r="D1275" s="65">
        <v>2.4236111111111111E-2</v>
      </c>
      <c r="E1275" t="s">
        <v>5456</v>
      </c>
      <c r="F1275" s="69" t="s">
        <v>1265</v>
      </c>
      <c r="I1275" s="2"/>
      <c r="K1275" s="82">
        <v>0.5181</v>
      </c>
    </row>
    <row r="1276" spans="1:28" x14ac:dyDescent="0.2">
      <c r="A1276" s="33">
        <v>42623</v>
      </c>
      <c r="B1276" s="5" t="s">
        <v>1794</v>
      </c>
      <c r="C1276" s="32" t="s">
        <v>1795</v>
      </c>
      <c r="D1276" s="65">
        <v>2.2754629629629628E-2</v>
      </c>
      <c r="E1276" t="s">
        <v>715</v>
      </c>
      <c r="F1276" s="69" t="s">
        <v>817</v>
      </c>
      <c r="I1276" s="2"/>
      <c r="K1276" s="82">
        <v>0.55189999999999995</v>
      </c>
    </row>
    <row r="1277" spans="1:28" x14ac:dyDescent="0.2">
      <c r="A1277" s="33">
        <v>42616</v>
      </c>
      <c r="B1277" s="5" t="s">
        <v>1794</v>
      </c>
      <c r="C1277" s="32" t="s">
        <v>1795</v>
      </c>
      <c r="D1277" s="65">
        <v>2.2847222222222224E-2</v>
      </c>
      <c r="E1277" t="s">
        <v>5544</v>
      </c>
      <c r="F1277" s="69" t="s">
        <v>12</v>
      </c>
      <c r="I1277" s="2"/>
      <c r="K1277" s="82">
        <v>0.54959999999999998</v>
      </c>
    </row>
    <row r="1278" spans="1:28" x14ac:dyDescent="0.2">
      <c r="A1278" s="33">
        <v>42602</v>
      </c>
      <c r="B1278" s="5" t="s">
        <v>1794</v>
      </c>
      <c r="C1278" s="32" t="s">
        <v>1795</v>
      </c>
      <c r="D1278" s="65">
        <v>2.2731481481481481E-2</v>
      </c>
      <c r="E1278" t="s">
        <v>998</v>
      </c>
      <c r="F1278" s="69" t="s">
        <v>5399</v>
      </c>
      <c r="I1278" s="2"/>
      <c r="K1278" s="82">
        <v>0.5524</v>
      </c>
      <c r="M1278" s="80" t="s">
        <v>6164</v>
      </c>
    </row>
    <row r="1279" spans="1:28" x14ac:dyDescent="0.2">
      <c r="A1279" s="33">
        <v>42588</v>
      </c>
      <c r="B1279" s="5" t="s">
        <v>1794</v>
      </c>
      <c r="C1279" s="32" t="s">
        <v>1795</v>
      </c>
      <c r="D1279" s="543">
        <v>2.508101851851852E-2</v>
      </c>
      <c r="E1279" s="5" t="s">
        <v>2337</v>
      </c>
      <c r="F1279" s="108" t="s">
        <v>1585</v>
      </c>
      <c r="G1279" s="5"/>
      <c r="H1279" s="5"/>
      <c r="I1279" s="2"/>
      <c r="J1279" s="5"/>
      <c r="K1279" s="85">
        <v>0.50070000000000003</v>
      </c>
      <c r="AB1279" s="41"/>
    </row>
    <row r="1280" spans="1:28" x14ac:dyDescent="0.2">
      <c r="A1280" s="33">
        <v>42581</v>
      </c>
      <c r="B1280" s="5" t="s">
        <v>1794</v>
      </c>
      <c r="C1280" s="32" t="s">
        <v>1795</v>
      </c>
      <c r="D1280" s="65">
        <v>2.3333333333333334E-2</v>
      </c>
      <c r="E1280" t="s">
        <v>5885</v>
      </c>
      <c r="F1280" s="69" t="s">
        <v>4066</v>
      </c>
      <c r="I1280" s="2"/>
      <c r="K1280" s="82">
        <v>0.53820000000000001</v>
      </c>
      <c r="AA1280" s="41"/>
    </row>
    <row r="1281" spans="1:19" x14ac:dyDescent="0.2">
      <c r="A1281" s="33">
        <v>42574</v>
      </c>
      <c r="B1281" s="5" t="s">
        <v>1794</v>
      </c>
      <c r="C1281" s="32" t="s">
        <v>1795</v>
      </c>
      <c r="D1281" s="65">
        <v>2.476851851851852E-2</v>
      </c>
      <c r="E1281" t="s">
        <v>5544</v>
      </c>
      <c r="F1281" s="69" t="s">
        <v>5346</v>
      </c>
      <c r="I1281" s="2"/>
      <c r="K1281" s="82">
        <v>0.50700000000000001</v>
      </c>
    </row>
    <row r="1282" spans="1:19" x14ac:dyDescent="0.2">
      <c r="A1282" s="33">
        <v>42553</v>
      </c>
      <c r="B1282" s="5" t="s">
        <v>1794</v>
      </c>
      <c r="C1282" s="32" t="s">
        <v>1795</v>
      </c>
      <c r="D1282" s="65">
        <v>2.4050925925925924E-2</v>
      </c>
      <c r="E1282" t="s">
        <v>4979</v>
      </c>
      <c r="F1282" s="69" t="s">
        <v>4980</v>
      </c>
      <c r="I1282" s="2"/>
      <c r="K1282" s="82">
        <v>0.52210000000000001</v>
      </c>
    </row>
    <row r="1283" spans="1:19" x14ac:dyDescent="0.2">
      <c r="A1283" s="33">
        <v>42546</v>
      </c>
      <c r="B1283" s="5" t="s">
        <v>1794</v>
      </c>
      <c r="C1283" s="32" t="s">
        <v>1795</v>
      </c>
      <c r="D1283" s="65">
        <v>2.2569444444444444E-2</v>
      </c>
      <c r="E1283" t="s">
        <v>5544</v>
      </c>
      <c r="F1283" s="69" t="s">
        <v>2939</v>
      </c>
      <c r="I1283" s="2"/>
      <c r="K1283" s="82">
        <v>0.55640000000000001</v>
      </c>
    </row>
    <row r="1284" spans="1:19" x14ac:dyDescent="0.2">
      <c r="A1284" s="33">
        <v>42539</v>
      </c>
      <c r="B1284" s="5" t="s">
        <v>1794</v>
      </c>
      <c r="C1284" s="32" t="s">
        <v>1795</v>
      </c>
      <c r="D1284" s="65">
        <v>2.1770833333333336E-2</v>
      </c>
      <c r="E1284" t="s">
        <v>4004</v>
      </c>
      <c r="F1284" s="69" t="s">
        <v>4753</v>
      </c>
      <c r="I1284" s="2"/>
      <c r="K1284" s="82">
        <v>0.57679999999999998</v>
      </c>
    </row>
    <row r="1285" spans="1:19" x14ac:dyDescent="0.2">
      <c r="A1285" s="33">
        <v>42532</v>
      </c>
      <c r="B1285" s="5" t="s">
        <v>1794</v>
      </c>
      <c r="C1285" s="32" t="s">
        <v>1795</v>
      </c>
      <c r="D1285" s="65">
        <v>2.431712962962963E-2</v>
      </c>
      <c r="E1285" t="s">
        <v>1654</v>
      </c>
      <c r="F1285" s="69" t="s">
        <v>2102</v>
      </c>
      <c r="I1285" s="2"/>
      <c r="K1285" s="82">
        <v>0.51639999999999997</v>
      </c>
      <c r="S1285" s="80"/>
    </row>
    <row r="1286" spans="1:19" x14ac:dyDescent="0.2">
      <c r="A1286" s="33">
        <v>42525</v>
      </c>
      <c r="B1286" s="5" t="s">
        <v>1794</v>
      </c>
      <c r="C1286" s="32" t="s">
        <v>1795</v>
      </c>
      <c r="D1286" s="543">
        <v>2.2743055555555555E-2</v>
      </c>
      <c r="E1286" s="5" t="s">
        <v>5544</v>
      </c>
      <c r="F1286" s="108" t="s">
        <v>5215</v>
      </c>
      <c r="G1286" s="5"/>
      <c r="H1286" s="5"/>
      <c r="I1286" s="2"/>
      <c r="J1286" s="5"/>
      <c r="K1286" s="85">
        <v>0.55220000000000002</v>
      </c>
    </row>
    <row r="1287" spans="1:19" x14ac:dyDescent="0.2">
      <c r="A1287" s="33">
        <v>42518</v>
      </c>
      <c r="B1287" s="5" t="s">
        <v>1794</v>
      </c>
      <c r="C1287" s="32" t="s">
        <v>1795</v>
      </c>
      <c r="D1287" s="543">
        <v>2.2523148148148143E-2</v>
      </c>
      <c r="E1287" s="5" t="s">
        <v>3470</v>
      </c>
      <c r="F1287" s="108" t="s">
        <v>5443</v>
      </c>
      <c r="G1287" s="5"/>
      <c r="H1287" s="5"/>
      <c r="I1287" s="2"/>
      <c r="J1287" s="5"/>
      <c r="K1287" s="85">
        <v>0.55759999999999998</v>
      </c>
    </row>
    <row r="1288" spans="1:19" x14ac:dyDescent="0.2">
      <c r="A1288" s="33">
        <v>42511</v>
      </c>
      <c r="B1288" s="5" t="s">
        <v>1794</v>
      </c>
      <c r="C1288" s="32" t="s">
        <v>1795</v>
      </c>
      <c r="D1288" s="543">
        <v>2.5520833333333336E-2</v>
      </c>
      <c r="E1288" s="5" t="s">
        <v>3669</v>
      </c>
      <c r="F1288" s="108" t="s">
        <v>2091</v>
      </c>
      <c r="G1288" s="5"/>
      <c r="H1288" s="5" t="s">
        <v>2092</v>
      </c>
      <c r="I1288" s="2"/>
      <c r="J1288" s="5"/>
      <c r="K1288" s="85">
        <v>0.49209999999999998</v>
      </c>
      <c r="M1288" s="80" t="s">
        <v>6163</v>
      </c>
    </row>
    <row r="1289" spans="1:19" x14ac:dyDescent="0.2">
      <c r="A1289" s="33">
        <v>42504</v>
      </c>
      <c r="B1289" s="5" t="s">
        <v>1794</v>
      </c>
      <c r="C1289" s="32" t="s">
        <v>1795</v>
      </c>
      <c r="D1289" s="543">
        <v>2.1967592592592594E-2</v>
      </c>
      <c r="E1289" s="5" t="s">
        <v>5544</v>
      </c>
      <c r="F1289" s="108" t="s">
        <v>2379</v>
      </c>
      <c r="G1289" s="5"/>
      <c r="H1289" s="5"/>
      <c r="I1289" s="5"/>
      <c r="J1289" s="5"/>
      <c r="K1289" s="85">
        <v>0.57169999999999999</v>
      </c>
    </row>
    <row r="1290" spans="1:19" x14ac:dyDescent="0.2">
      <c r="A1290" s="33">
        <v>42497</v>
      </c>
      <c r="B1290" s="5" t="s">
        <v>1794</v>
      </c>
      <c r="C1290" s="32" t="s">
        <v>1795</v>
      </c>
      <c r="D1290" s="543">
        <v>2.4282407407407409E-2</v>
      </c>
      <c r="E1290" s="5" t="s">
        <v>4510</v>
      </c>
      <c r="F1290" s="108" t="s">
        <v>549</v>
      </c>
      <c r="G1290" s="5"/>
      <c r="H1290" s="5"/>
      <c r="I1290" s="5"/>
      <c r="J1290" s="5"/>
      <c r="K1290" s="85">
        <v>0.51719999999999999</v>
      </c>
    </row>
    <row r="1291" spans="1:19" x14ac:dyDescent="0.2">
      <c r="A1291" s="33">
        <v>42490</v>
      </c>
      <c r="B1291" s="5" t="s">
        <v>1794</v>
      </c>
      <c r="C1291" s="32" t="s">
        <v>1795</v>
      </c>
      <c r="D1291" s="543">
        <v>2.3171296296296297E-2</v>
      </c>
      <c r="E1291" s="5" t="s">
        <v>4936</v>
      </c>
      <c r="F1291" s="108" t="s">
        <v>2640</v>
      </c>
      <c r="G1291" s="5"/>
      <c r="H1291" s="5"/>
      <c r="I1291" s="5"/>
      <c r="J1291" s="5"/>
      <c r="K1291" s="85">
        <v>0.54200000000000004</v>
      </c>
    </row>
    <row r="1292" spans="1:19" x14ac:dyDescent="0.2">
      <c r="A1292" s="33">
        <v>42483</v>
      </c>
      <c r="B1292" s="5" t="s">
        <v>1794</v>
      </c>
      <c r="C1292" s="32" t="s">
        <v>1795</v>
      </c>
      <c r="D1292" s="543">
        <v>2.2361111111111113E-2</v>
      </c>
      <c r="E1292" s="5" t="s">
        <v>5544</v>
      </c>
      <c r="F1292" s="108" t="s">
        <v>2921</v>
      </c>
      <c r="G1292" s="5"/>
      <c r="H1292" s="5"/>
      <c r="I1292" s="2"/>
      <c r="J1292" s="5"/>
      <c r="K1292" s="85">
        <v>0.56159999999999999</v>
      </c>
    </row>
    <row r="1293" spans="1:19" x14ac:dyDescent="0.2">
      <c r="A1293" s="33">
        <v>42476</v>
      </c>
      <c r="B1293" s="5" t="s">
        <v>1794</v>
      </c>
      <c r="C1293" s="32" t="s">
        <v>1795</v>
      </c>
      <c r="D1293" s="65">
        <v>2.3217592592592592E-2</v>
      </c>
      <c r="E1293" s="5" t="s">
        <v>4499</v>
      </c>
      <c r="F1293" s="69" t="s">
        <v>3475</v>
      </c>
      <c r="I1293" s="2"/>
      <c r="K1293" s="82">
        <v>0.54090000000000005</v>
      </c>
    </row>
    <row r="1294" spans="1:19" x14ac:dyDescent="0.2">
      <c r="A1294" s="33">
        <v>42469</v>
      </c>
      <c r="B1294" s="5" t="s">
        <v>1794</v>
      </c>
      <c r="C1294" s="32" t="s">
        <v>1795</v>
      </c>
      <c r="D1294" s="65">
        <v>2.1909722222222223E-2</v>
      </c>
      <c r="E1294" t="s">
        <v>5267</v>
      </c>
      <c r="F1294" s="69" t="s">
        <v>2629</v>
      </c>
      <c r="I1294" s="2"/>
      <c r="K1294" s="82">
        <v>0.57320000000000004</v>
      </c>
    </row>
    <row r="1295" spans="1:19" x14ac:dyDescent="0.2">
      <c r="A1295" s="33">
        <v>42462</v>
      </c>
      <c r="B1295" s="5" t="s">
        <v>1794</v>
      </c>
      <c r="C1295" s="32" t="s">
        <v>1795</v>
      </c>
      <c r="D1295" s="65">
        <v>2.2002314814814818E-2</v>
      </c>
      <c r="E1295" t="s">
        <v>6020</v>
      </c>
      <c r="F1295" s="69" t="s">
        <v>244</v>
      </c>
      <c r="I1295" s="2"/>
      <c r="K1295" s="82">
        <v>0.56340000000000001</v>
      </c>
    </row>
    <row r="1296" spans="1:19" x14ac:dyDescent="0.2">
      <c r="A1296" s="33">
        <v>42455</v>
      </c>
      <c r="B1296" s="5" t="s">
        <v>1794</v>
      </c>
      <c r="C1296" s="32" t="s">
        <v>1795</v>
      </c>
      <c r="D1296" s="65">
        <v>2.3472222222222217E-2</v>
      </c>
      <c r="E1296" t="s">
        <v>161</v>
      </c>
      <c r="F1296" s="69" t="s">
        <v>5269</v>
      </c>
      <c r="I1296" s="2"/>
      <c r="K1296" s="82">
        <v>0.52810000000000001</v>
      </c>
    </row>
    <row r="1297" spans="1:28" x14ac:dyDescent="0.2">
      <c r="A1297" s="33">
        <v>42448</v>
      </c>
      <c r="B1297" s="5" t="s">
        <v>1794</v>
      </c>
      <c r="C1297" s="32" t="s">
        <v>1795</v>
      </c>
      <c r="D1297" s="65">
        <v>2.2175925925925929E-2</v>
      </c>
      <c r="E1297" t="s">
        <v>5544</v>
      </c>
      <c r="F1297" s="69" t="s">
        <v>2471</v>
      </c>
      <c r="I1297" s="2"/>
      <c r="K1297" s="82">
        <v>0.55900000000000005</v>
      </c>
    </row>
    <row r="1298" spans="1:28" x14ac:dyDescent="0.2">
      <c r="A1298" s="33">
        <v>42441</v>
      </c>
      <c r="B1298" s="5" t="s">
        <v>1794</v>
      </c>
      <c r="C1298" s="32" t="s">
        <v>1795</v>
      </c>
      <c r="D1298" s="65">
        <v>2.2233796296296297E-2</v>
      </c>
      <c r="E1298" t="s">
        <v>4452</v>
      </c>
      <c r="F1298" s="69" t="s">
        <v>3198</v>
      </c>
      <c r="I1298" s="2"/>
      <c r="K1298" s="82">
        <v>0.5575</v>
      </c>
      <c r="M1298" s="80" t="s">
        <v>6162</v>
      </c>
    </row>
    <row r="1299" spans="1:28" x14ac:dyDescent="0.2">
      <c r="A1299" s="33">
        <v>42434</v>
      </c>
      <c r="B1299" s="5" t="s">
        <v>1794</v>
      </c>
      <c r="C1299" s="32" t="s">
        <v>1795</v>
      </c>
      <c r="D1299" s="65">
        <v>2.2673611111111113E-2</v>
      </c>
      <c r="E1299" t="s">
        <v>2872</v>
      </c>
      <c r="F1299" s="69" t="s">
        <v>749</v>
      </c>
      <c r="I1299" s="2"/>
      <c r="K1299" s="82">
        <v>0.54669999999999996</v>
      </c>
    </row>
    <row r="1300" spans="1:28" x14ac:dyDescent="0.2">
      <c r="A1300" s="33">
        <v>42427</v>
      </c>
      <c r="B1300" s="5" t="s">
        <v>1794</v>
      </c>
      <c r="C1300" s="32" t="s">
        <v>1795</v>
      </c>
      <c r="D1300" s="65">
        <v>2.2152777777777775E-2</v>
      </c>
      <c r="E1300" t="s">
        <v>5544</v>
      </c>
      <c r="F1300" s="69" t="s">
        <v>18</v>
      </c>
      <c r="I1300" s="2"/>
      <c r="K1300" s="82">
        <v>0.55959999999999999</v>
      </c>
    </row>
    <row r="1301" spans="1:28" x14ac:dyDescent="0.2">
      <c r="A1301" s="33">
        <v>42420</v>
      </c>
      <c r="B1301" s="5" t="s">
        <v>1794</v>
      </c>
      <c r="C1301" s="32" t="s">
        <v>1795</v>
      </c>
      <c r="D1301" s="65">
        <v>2.207175925925926E-2</v>
      </c>
      <c r="E1301" t="s">
        <v>5267</v>
      </c>
      <c r="F1301" s="69" t="s">
        <v>1421</v>
      </c>
      <c r="I1301" s="2"/>
      <c r="K1301" s="82">
        <v>0.56459999999999999</v>
      </c>
    </row>
    <row r="1302" spans="1:28" x14ac:dyDescent="0.2">
      <c r="A1302" s="33">
        <v>42413</v>
      </c>
      <c r="B1302" s="5" t="s">
        <v>1794</v>
      </c>
      <c r="C1302" s="32" t="s">
        <v>1795</v>
      </c>
      <c r="D1302" s="65">
        <v>2.4918981481481483E-2</v>
      </c>
      <c r="E1302" t="s">
        <v>2147</v>
      </c>
      <c r="F1302" s="69" t="s">
        <v>2983</v>
      </c>
      <c r="I1302" s="2"/>
      <c r="K1302" s="82">
        <v>0.49740000000000001</v>
      </c>
    </row>
    <row r="1303" spans="1:28" x14ac:dyDescent="0.2">
      <c r="A1303" s="33">
        <v>42392</v>
      </c>
      <c r="B1303" s="5" t="s">
        <v>1794</v>
      </c>
      <c r="C1303" s="32" t="s">
        <v>1795</v>
      </c>
      <c r="D1303" s="65">
        <v>2.210648148148148E-2</v>
      </c>
      <c r="E1303" t="s">
        <v>998</v>
      </c>
      <c r="F1303" s="69" t="s">
        <v>1776</v>
      </c>
      <c r="I1303" s="2"/>
      <c r="K1303" s="82">
        <v>0.56069999999999998</v>
      </c>
    </row>
    <row r="1304" spans="1:28" x14ac:dyDescent="0.2">
      <c r="A1304" s="33">
        <v>42385</v>
      </c>
      <c r="B1304" s="5" t="s">
        <v>1794</v>
      </c>
      <c r="C1304" s="32" t="s">
        <v>1795</v>
      </c>
      <c r="D1304" s="65">
        <v>3.0949074074074077E-2</v>
      </c>
      <c r="E1304" t="s">
        <v>5544</v>
      </c>
      <c r="F1304" s="69" t="s">
        <v>5015</v>
      </c>
      <c r="I1304" s="2"/>
      <c r="K1304" s="82">
        <v>0.40050000000000002</v>
      </c>
    </row>
    <row r="1305" spans="1:28" x14ac:dyDescent="0.2">
      <c r="A1305" s="33">
        <v>42378</v>
      </c>
      <c r="B1305" s="5" t="s">
        <v>1794</v>
      </c>
      <c r="C1305" s="32" t="s">
        <v>1795</v>
      </c>
      <c r="D1305" s="544">
        <v>2.2638888888888889E-2</v>
      </c>
      <c r="E1305" s="407" t="s">
        <v>5095</v>
      </c>
      <c r="F1305" s="545" t="s">
        <v>1602</v>
      </c>
      <c r="G1305" s="407"/>
      <c r="H1305" s="407"/>
      <c r="I1305" s="348"/>
      <c r="J1305" s="407"/>
      <c r="K1305" s="546">
        <v>0.54749999999999999</v>
      </c>
    </row>
    <row r="1306" spans="1:28" x14ac:dyDescent="0.2">
      <c r="A1306" s="33">
        <v>42371</v>
      </c>
      <c r="B1306" s="5" t="s">
        <v>1794</v>
      </c>
      <c r="C1306" s="32" t="s">
        <v>1795</v>
      </c>
      <c r="D1306" s="65">
        <v>2.2523148148148143E-2</v>
      </c>
      <c r="E1306" s="5" t="s">
        <v>5544</v>
      </c>
      <c r="F1306" s="69" t="s">
        <v>673</v>
      </c>
      <c r="K1306" s="82">
        <v>0.5504</v>
      </c>
    </row>
    <row r="1307" spans="1:28" x14ac:dyDescent="0.2">
      <c r="A1307" s="33">
        <v>42370</v>
      </c>
      <c r="B1307" s="5" t="s">
        <v>1794</v>
      </c>
      <c r="C1307" s="32" t="s">
        <v>1795</v>
      </c>
      <c r="D1307" s="65">
        <v>2.1840277777777778E-2</v>
      </c>
      <c r="E1307" t="s">
        <v>129</v>
      </c>
      <c r="F1307" s="69" t="s">
        <v>1273</v>
      </c>
      <c r="I1307" s="2"/>
      <c r="K1307" s="82">
        <v>0.5675</v>
      </c>
      <c r="AB1307" s="41"/>
    </row>
    <row r="1308" spans="1:28" x14ac:dyDescent="0.2">
      <c r="A1308" s="33">
        <v>42707</v>
      </c>
      <c r="B1308" s="5" t="s">
        <v>431</v>
      </c>
      <c r="C1308" s="32" t="s">
        <v>433</v>
      </c>
      <c r="D1308" s="65" t="s">
        <v>787</v>
      </c>
      <c r="E1308" s="5" t="s">
        <v>5095</v>
      </c>
      <c r="F1308" s="108" t="s">
        <v>6056</v>
      </c>
      <c r="I1308" s="2"/>
      <c r="K1308" s="82"/>
      <c r="AA1308" s="41"/>
    </row>
    <row r="1309" spans="1:28" x14ac:dyDescent="0.2">
      <c r="A1309" s="33">
        <v>42623</v>
      </c>
      <c r="B1309" s="5" t="s">
        <v>431</v>
      </c>
      <c r="C1309" s="32" t="s">
        <v>433</v>
      </c>
      <c r="D1309" s="65">
        <v>2.1006944444444443E-2</v>
      </c>
      <c r="E1309" t="s">
        <v>5095</v>
      </c>
      <c r="F1309" s="69" t="s">
        <v>6010</v>
      </c>
      <c r="I1309" s="2"/>
      <c r="K1309" s="82">
        <v>0.53500000000000003</v>
      </c>
    </row>
    <row r="1310" spans="1:28" x14ac:dyDescent="0.2">
      <c r="A1310" s="33">
        <v>42616</v>
      </c>
      <c r="B1310" s="5" t="s">
        <v>431</v>
      </c>
      <c r="C1310" s="32" t="s">
        <v>433</v>
      </c>
      <c r="D1310" s="65" t="s">
        <v>4642</v>
      </c>
      <c r="E1310" t="s">
        <v>5095</v>
      </c>
      <c r="F1310" s="69"/>
      <c r="I1310" s="2"/>
      <c r="K1310" s="82"/>
    </row>
    <row r="1311" spans="1:28" x14ac:dyDescent="0.2">
      <c r="A1311" s="33">
        <v>42609</v>
      </c>
      <c r="B1311" s="5" t="s">
        <v>431</v>
      </c>
      <c r="C1311" s="32" t="s">
        <v>433</v>
      </c>
      <c r="D1311" s="65" t="s">
        <v>787</v>
      </c>
      <c r="E1311" t="s">
        <v>5095</v>
      </c>
      <c r="F1311" s="69"/>
      <c r="I1311" s="2"/>
      <c r="K1311" s="82"/>
    </row>
    <row r="1312" spans="1:28" x14ac:dyDescent="0.2">
      <c r="A1312" s="33">
        <v>42602</v>
      </c>
      <c r="B1312" s="5" t="s">
        <v>431</v>
      </c>
      <c r="C1312" s="32" t="s">
        <v>433</v>
      </c>
      <c r="D1312" s="65">
        <v>2.0173611111111111E-2</v>
      </c>
      <c r="E1312" t="s">
        <v>5095</v>
      </c>
      <c r="F1312" s="69" t="s">
        <v>3979</v>
      </c>
      <c r="I1312" s="2"/>
      <c r="K1312" s="82">
        <v>0.55710000000000004</v>
      </c>
    </row>
    <row r="1313" spans="1:11" x14ac:dyDescent="0.2">
      <c r="A1313" s="33">
        <v>42595</v>
      </c>
      <c r="B1313" s="5" t="s">
        <v>431</v>
      </c>
      <c r="C1313" s="32" t="s">
        <v>433</v>
      </c>
      <c r="D1313" s="65">
        <v>2.0196759259259258E-2</v>
      </c>
      <c r="E1313" t="s">
        <v>5095</v>
      </c>
      <c r="F1313" s="69" t="s">
        <v>174</v>
      </c>
      <c r="I1313" s="2"/>
      <c r="K1313" s="82">
        <v>0.55640000000000001</v>
      </c>
    </row>
    <row r="1314" spans="1:11" x14ac:dyDescent="0.2">
      <c r="A1314" s="33">
        <v>42525</v>
      </c>
      <c r="B1314" s="5" t="s">
        <v>431</v>
      </c>
      <c r="C1314" s="32" t="s">
        <v>433</v>
      </c>
      <c r="D1314" s="65" t="s">
        <v>787</v>
      </c>
      <c r="E1314" s="5" t="s">
        <v>5095</v>
      </c>
      <c r="F1314" s="69" t="s">
        <v>3428</v>
      </c>
      <c r="I1314" s="2"/>
      <c r="K1314" s="82"/>
    </row>
    <row r="1315" spans="1:11" x14ac:dyDescent="0.2">
      <c r="A1315" s="33">
        <v>42511</v>
      </c>
      <c r="B1315" s="5" t="s">
        <v>431</v>
      </c>
      <c r="C1315" s="32" t="s">
        <v>433</v>
      </c>
      <c r="D1315" s="543">
        <v>1.8738425925925926E-2</v>
      </c>
      <c r="E1315" s="5" t="s">
        <v>5095</v>
      </c>
      <c r="F1315" s="108" t="s">
        <v>1203</v>
      </c>
      <c r="G1315" s="5"/>
      <c r="H1315" s="5"/>
      <c r="I1315" s="2"/>
      <c r="J1315" s="5"/>
      <c r="K1315" s="85">
        <v>0.5998</v>
      </c>
    </row>
    <row r="1316" spans="1:11" x14ac:dyDescent="0.2">
      <c r="A1316" s="33">
        <v>42504</v>
      </c>
      <c r="B1316" s="5" t="s">
        <v>431</v>
      </c>
      <c r="C1316" s="32" t="s">
        <v>433</v>
      </c>
      <c r="D1316" s="543">
        <v>1.6666666666666666E-2</v>
      </c>
      <c r="E1316" s="5" t="s">
        <v>5095</v>
      </c>
      <c r="F1316" s="108" t="s">
        <v>2354</v>
      </c>
      <c r="G1316" s="5"/>
      <c r="H1316" s="5"/>
      <c r="I1316" s="5"/>
      <c r="J1316" s="5"/>
      <c r="K1316" s="85">
        <v>0.67430000000000001</v>
      </c>
    </row>
    <row r="1317" spans="1:11" x14ac:dyDescent="0.2">
      <c r="A1317" s="33">
        <v>42497</v>
      </c>
      <c r="B1317" s="5" t="s">
        <v>431</v>
      </c>
      <c r="C1317" s="32" t="s">
        <v>433</v>
      </c>
      <c r="D1317" s="543">
        <v>1.9629629629629629E-2</v>
      </c>
      <c r="E1317" s="5" t="s">
        <v>5095</v>
      </c>
      <c r="F1317" s="108" t="s">
        <v>1685</v>
      </c>
      <c r="G1317" s="5"/>
      <c r="H1317" s="5"/>
      <c r="I1317" s="5"/>
      <c r="J1317" s="5"/>
      <c r="K1317" s="85">
        <v>0.57250000000000001</v>
      </c>
    </row>
    <row r="1318" spans="1:11" x14ac:dyDescent="0.2">
      <c r="A1318" s="33">
        <v>42490</v>
      </c>
      <c r="B1318" s="5" t="s">
        <v>431</v>
      </c>
      <c r="C1318" s="32" t="s">
        <v>433</v>
      </c>
      <c r="D1318" s="543">
        <v>1.7071759259259259E-2</v>
      </c>
      <c r="E1318" s="5" t="s">
        <v>5095</v>
      </c>
      <c r="F1318" s="108" t="s">
        <v>2646</v>
      </c>
      <c r="G1318" s="5"/>
      <c r="H1318" s="5"/>
      <c r="I1318" s="5"/>
      <c r="J1318" s="5"/>
      <c r="K1318" s="85">
        <v>0.6583</v>
      </c>
    </row>
    <row r="1319" spans="1:11" x14ac:dyDescent="0.2">
      <c r="A1319" s="33">
        <v>42476</v>
      </c>
      <c r="B1319" s="5" t="s">
        <v>431</v>
      </c>
      <c r="C1319" s="32" t="s">
        <v>433</v>
      </c>
      <c r="D1319" s="65">
        <v>1.695601851851852E-2</v>
      </c>
      <c r="E1319" t="s">
        <v>5095</v>
      </c>
      <c r="F1319" s="69" t="s">
        <v>3479</v>
      </c>
      <c r="I1319" s="2"/>
      <c r="K1319" s="82">
        <v>0.66279999999999994</v>
      </c>
    </row>
    <row r="1320" spans="1:11" x14ac:dyDescent="0.2">
      <c r="A1320" s="33">
        <v>42469</v>
      </c>
      <c r="B1320" s="5" t="s">
        <v>431</v>
      </c>
      <c r="C1320" s="32" t="s">
        <v>433</v>
      </c>
      <c r="D1320" s="65">
        <v>2.3356481481481482E-2</v>
      </c>
      <c r="E1320" t="s">
        <v>5095</v>
      </c>
      <c r="F1320" s="69" t="s">
        <v>4957</v>
      </c>
      <c r="I1320" s="2"/>
      <c r="K1320" s="82">
        <v>0.48120000000000002</v>
      </c>
    </row>
    <row r="1321" spans="1:11" x14ac:dyDescent="0.2">
      <c r="A1321" s="33">
        <v>42462</v>
      </c>
      <c r="B1321" t="s">
        <v>431</v>
      </c>
      <c r="C1321" s="1" t="s">
        <v>433</v>
      </c>
      <c r="D1321" s="65">
        <v>2.4965277777777781E-2</v>
      </c>
      <c r="E1321" t="s">
        <v>5095</v>
      </c>
      <c r="F1321" s="69" t="s">
        <v>245</v>
      </c>
      <c r="I1321" s="2"/>
      <c r="K1321" s="82">
        <v>0.44600000000000001</v>
      </c>
    </row>
    <row r="1322" spans="1:11" x14ac:dyDescent="0.2">
      <c r="A1322" s="33">
        <v>42455</v>
      </c>
      <c r="B1322" t="s">
        <v>431</v>
      </c>
      <c r="C1322" s="1" t="s">
        <v>433</v>
      </c>
      <c r="D1322" s="65">
        <v>2.2754629629629628E-2</v>
      </c>
      <c r="E1322" t="s">
        <v>5095</v>
      </c>
      <c r="F1322" s="69" t="s">
        <v>4077</v>
      </c>
      <c r="I1322" s="2"/>
      <c r="K1322" s="82">
        <v>0.48930000000000001</v>
      </c>
    </row>
    <row r="1323" spans="1:11" x14ac:dyDescent="0.2">
      <c r="A1323" s="33">
        <v>42448</v>
      </c>
      <c r="B1323" t="s">
        <v>431</v>
      </c>
      <c r="C1323" s="1" t="s">
        <v>433</v>
      </c>
      <c r="D1323" s="65">
        <v>1.9953703703703706E-2</v>
      </c>
      <c r="E1323" t="s">
        <v>5095</v>
      </c>
      <c r="F1323" s="69" t="s">
        <v>2043</v>
      </c>
      <c r="I1323" s="2"/>
      <c r="K1323" s="82">
        <v>0.55800000000000005</v>
      </c>
    </row>
    <row r="1324" spans="1:11" x14ac:dyDescent="0.2">
      <c r="A1324" s="33">
        <v>42441</v>
      </c>
      <c r="B1324" t="s">
        <v>431</v>
      </c>
      <c r="C1324" s="1" t="s">
        <v>433</v>
      </c>
      <c r="D1324" s="65">
        <v>2.0312500000000001E-2</v>
      </c>
      <c r="E1324" t="s">
        <v>5095</v>
      </c>
      <c r="F1324" s="69" t="s">
        <v>4308</v>
      </c>
      <c r="I1324" s="2"/>
      <c r="K1324" s="82">
        <v>0.54810000000000003</v>
      </c>
    </row>
    <row r="1325" spans="1:11" x14ac:dyDescent="0.2">
      <c r="A1325" s="33">
        <v>42434</v>
      </c>
      <c r="B1325" t="s">
        <v>431</v>
      </c>
      <c r="C1325" s="1" t="s">
        <v>433</v>
      </c>
      <c r="D1325" s="65">
        <v>2.6400462962962962E-2</v>
      </c>
      <c r="E1325" t="s">
        <v>1670</v>
      </c>
      <c r="F1325" s="69" t="s">
        <v>590</v>
      </c>
      <c r="I1325" s="2"/>
      <c r="K1325" s="82">
        <v>0.42170000000000002</v>
      </c>
    </row>
    <row r="1326" spans="1:11" x14ac:dyDescent="0.2">
      <c r="A1326" s="33">
        <v>42427</v>
      </c>
      <c r="B1326" t="s">
        <v>431</v>
      </c>
      <c r="C1326" s="1" t="s">
        <v>433</v>
      </c>
      <c r="D1326" s="65">
        <v>1.9907407407407408E-2</v>
      </c>
      <c r="E1326" t="s">
        <v>5095</v>
      </c>
      <c r="F1326" s="69"/>
      <c r="I1326" s="2"/>
      <c r="K1326" s="82">
        <v>0.55930000000000002</v>
      </c>
    </row>
    <row r="1327" spans="1:11" x14ac:dyDescent="0.2">
      <c r="A1327" s="33">
        <v>42420</v>
      </c>
      <c r="B1327" t="s">
        <v>431</v>
      </c>
      <c r="C1327" s="1" t="s">
        <v>433</v>
      </c>
      <c r="D1327" s="65">
        <v>1.8993055555555558E-2</v>
      </c>
      <c r="E1327" t="s">
        <v>5095</v>
      </c>
      <c r="F1327" s="69" t="s">
        <v>697</v>
      </c>
      <c r="I1327" s="2"/>
      <c r="K1327" s="82">
        <v>0.58620000000000005</v>
      </c>
    </row>
    <row r="1328" spans="1:11" x14ac:dyDescent="0.2">
      <c r="A1328" s="33">
        <v>42413</v>
      </c>
      <c r="B1328" t="s">
        <v>431</v>
      </c>
      <c r="C1328" s="1" t="s">
        <v>433</v>
      </c>
      <c r="D1328" s="65">
        <v>1.9930555555555556E-2</v>
      </c>
      <c r="E1328" t="s">
        <v>5095</v>
      </c>
      <c r="F1328" s="69" t="s">
        <v>1631</v>
      </c>
      <c r="I1328" s="2"/>
      <c r="K1328" s="82">
        <v>0.55869999999999997</v>
      </c>
    </row>
    <row r="1329" spans="1:19" x14ac:dyDescent="0.2">
      <c r="A1329" s="33">
        <v>42406</v>
      </c>
      <c r="B1329" t="s">
        <v>431</v>
      </c>
      <c r="C1329" s="1" t="s">
        <v>433</v>
      </c>
      <c r="D1329" s="65">
        <v>1.8761574074074073E-2</v>
      </c>
      <c r="E1329" t="s">
        <v>5095</v>
      </c>
      <c r="F1329" s="69" t="s">
        <v>5150</v>
      </c>
      <c r="I1329" s="2"/>
      <c r="K1329" s="82">
        <v>0.59350000000000003</v>
      </c>
    </row>
    <row r="1330" spans="1:19" x14ac:dyDescent="0.2">
      <c r="A1330" s="33">
        <v>42399</v>
      </c>
      <c r="B1330" t="s">
        <v>431</v>
      </c>
      <c r="C1330" s="1" t="s">
        <v>433</v>
      </c>
      <c r="D1330" s="65">
        <v>1.7662037037037035E-2</v>
      </c>
      <c r="E1330" t="s">
        <v>5095</v>
      </c>
      <c r="F1330" s="69"/>
      <c r="I1330" s="2"/>
      <c r="K1330" s="82">
        <v>0.63039999999999996</v>
      </c>
    </row>
    <row r="1331" spans="1:19" x14ac:dyDescent="0.2">
      <c r="A1331" s="33">
        <v>42392</v>
      </c>
      <c r="B1331" t="s">
        <v>431</v>
      </c>
      <c r="C1331" s="1" t="s">
        <v>433</v>
      </c>
      <c r="D1331" s="65">
        <v>1.7349537037037038E-2</v>
      </c>
      <c r="E1331" t="s">
        <v>5095</v>
      </c>
      <c r="F1331" s="69" t="s">
        <v>2085</v>
      </c>
      <c r="I1331" s="2"/>
      <c r="K1331" s="82">
        <v>0.64180000000000004</v>
      </c>
    </row>
    <row r="1332" spans="1:19" x14ac:dyDescent="0.2">
      <c r="A1332" s="33">
        <v>42385</v>
      </c>
      <c r="B1332" t="s">
        <v>431</v>
      </c>
      <c r="C1332" s="1" t="s">
        <v>433</v>
      </c>
      <c r="D1332" s="65">
        <v>2.1689814814814815E-2</v>
      </c>
      <c r="E1332" t="s">
        <v>5095</v>
      </c>
      <c r="F1332" s="69" t="s">
        <v>2647</v>
      </c>
      <c r="I1332" s="2"/>
      <c r="K1332" s="82">
        <v>0.51329999999999998</v>
      </c>
    </row>
    <row r="1333" spans="1:19" x14ac:dyDescent="0.2">
      <c r="A1333" s="33">
        <v>42378</v>
      </c>
      <c r="B1333" s="407" t="s">
        <v>431</v>
      </c>
      <c r="C1333" s="408" t="s">
        <v>433</v>
      </c>
      <c r="D1333" s="544">
        <v>2.2187499999999999E-2</v>
      </c>
      <c r="E1333" s="407" t="s">
        <v>5095</v>
      </c>
      <c r="F1333" s="70" t="s">
        <v>1113</v>
      </c>
      <c r="G1333" s="407"/>
      <c r="H1333" s="407"/>
      <c r="I1333" s="348"/>
      <c r="J1333" s="407"/>
      <c r="K1333" s="546">
        <v>0.50180000000000002</v>
      </c>
    </row>
    <row r="1334" spans="1:19" x14ac:dyDescent="0.2">
      <c r="A1334" s="33">
        <v>42371</v>
      </c>
      <c r="B1334" t="s">
        <v>431</v>
      </c>
      <c r="C1334" s="1" t="s">
        <v>433</v>
      </c>
      <c r="D1334" s="65">
        <v>2.6388888888888889E-2</v>
      </c>
      <c r="E1334" s="5" t="s">
        <v>5095</v>
      </c>
      <c r="F1334" s="69" t="s">
        <v>3445</v>
      </c>
      <c r="K1334" s="82">
        <v>0.4219</v>
      </c>
      <c r="S1334" s="80"/>
    </row>
    <row r="1335" spans="1:19" x14ac:dyDescent="0.2">
      <c r="A1335" s="33">
        <v>42665</v>
      </c>
      <c r="B1335" s="53" t="s">
        <v>48</v>
      </c>
      <c r="C1335" s="54" t="s">
        <v>1240</v>
      </c>
      <c r="D1335" s="65">
        <v>1.4467592592592593E-2</v>
      </c>
      <c r="E1335" t="s">
        <v>74</v>
      </c>
      <c r="F1335" s="69" t="s">
        <v>5174</v>
      </c>
      <c r="I1335" s="2"/>
      <c r="K1335" s="82">
        <v>0.64080000000000004</v>
      </c>
    </row>
    <row r="1336" spans="1:19" x14ac:dyDescent="0.2">
      <c r="A1336" s="33">
        <v>42511</v>
      </c>
      <c r="B1336" s="53" t="s">
        <v>5788</v>
      </c>
      <c r="C1336" s="54" t="s">
        <v>5789</v>
      </c>
      <c r="D1336" s="543">
        <v>2.2013888888888888E-2</v>
      </c>
      <c r="E1336" s="5" t="s">
        <v>1719</v>
      </c>
      <c r="F1336" s="108" t="s">
        <v>3035</v>
      </c>
      <c r="G1336" s="5"/>
      <c r="H1336" s="5"/>
      <c r="I1336" s="2"/>
      <c r="J1336" s="5"/>
      <c r="K1336" s="85">
        <v>0.62990000000000002</v>
      </c>
    </row>
    <row r="1337" spans="1:19" x14ac:dyDescent="0.2">
      <c r="A1337" s="33">
        <v>42483</v>
      </c>
      <c r="B1337" s="53" t="s">
        <v>5788</v>
      </c>
      <c r="C1337" s="54" t="s">
        <v>5789</v>
      </c>
      <c r="D1337" s="543">
        <v>2.2141203703703705E-2</v>
      </c>
      <c r="E1337" s="5" t="s">
        <v>2464</v>
      </c>
      <c r="F1337" s="108" t="s">
        <v>2916</v>
      </c>
      <c r="G1337" s="5"/>
      <c r="H1337" s="5"/>
      <c r="I1337" s="2"/>
      <c r="J1337" s="5"/>
      <c r="K1337" s="85">
        <v>0.62619999999999998</v>
      </c>
    </row>
    <row r="1338" spans="1:19" x14ac:dyDescent="0.2">
      <c r="A1338" s="33">
        <v>42455</v>
      </c>
      <c r="B1338" s="53" t="s">
        <v>5788</v>
      </c>
      <c r="C1338" s="54" t="s">
        <v>5789</v>
      </c>
      <c r="D1338" s="65">
        <v>2.2534722222222223E-2</v>
      </c>
      <c r="E1338" t="s">
        <v>2464</v>
      </c>
      <c r="F1338" s="69" t="s">
        <v>4050</v>
      </c>
      <c r="I1338" s="2"/>
      <c r="K1338" s="82">
        <v>0.61429999999999996</v>
      </c>
    </row>
    <row r="1339" spans="1:19" x14ac:dyDescent="0.2">
      <c r="A1339" s="33">
        <v>42448</v>
      </c>
      <c r="B1339" s="53" t="s">
        <v>5788</v>
      </c>
      <c r="C1339" s="54" t="s">
        <v>5789</v>
      </c>
      <c r="D1339" s="65">
        <v>2.2523148148148143E-2</v>
      </c>
      <c r="E1339" t="s">
        <v>2464</v>
      </c>
      <c r="F1339" s="69" t="s">
        <v>1495</v>
      </c>
      <c r="I1339" s="2"/>
      <c r="K1339" s="82">
        <v>0.61560000000000004</v>
      </c>
    </row>
    <row r="1340" spans="1:19" x14ac:dyDescent="0.2">
      <c r="A1340" s="33">
        <v>42616</v>
      </c>
      <c r="B1340" s="5" t="s">
        <v>5400</v>
      </c>
      <c r="C1340" s="32" t="s">
        <v>5401</v>
      </c>
      <c r="D1340" s="65">
        <v>2.5891203703703704E-2</v>
      </c>
      <c r="E1340" t="s">
        <v>2995</v>
      </c>
      <c r="F1340" s="69" t="s">
        <v>13</v>
      </c>
      <c r="I1340" s="2"/>
      <c r="K1340" s="82">
        <v>0.39700000000000002</v>
      </c>
    </row>
    <row r="1341" spans="1:19" x14ac:dyDescent="0.2">
      <c r="A1341" s="33">
        <v>42602</v>
      </c>
      <c r="B1341" s="5" t="s">
        <v>5400</v>
      </c>
      <c r="C1341" s="32" t="s">
        <v>5401</v>
      </c>
      <c r="D1341" s="65">
        <v>2.1446759259259259E-2</v>
      </c>
      <c r="E1341" t="s">
        <v>2995</v>
      </c>
      <c r="F1341" s="69" t="s">
        <v>257</v>
      </c>
      <c r="I1341" s="2"/>
      <c r="K1341" s="82">
        <v>0.47920000000000001</v>
      </c>
    </row>
    <row r="1342" spans="1:19" x14ac:dyDescent="0.2">
      <c r="A1342" s="33">
        <v>42581</v>
      </c>
      <c r="B1342" s="5" t="s">
        <v>4578</v>
      </c>
      <c r="C1342" s="32" t="s">
        <v>4579</v>
      </c>
      <c r="D1342" s="65">
        <v>1.6516203703703703E-2</v>
      </c>
      <c r="E1342" t="s">
        <v>5885</v>
      </c>
      <c r="F1342" s="69" t="s">
        <v>2189</v>
      </c>
      <c r="I1342" s="2"/>
      <c r="K1342" s="82">
        <v>0.63629999999999998</v>
      </c>
    </row>
    <row r="1343" spans="1:19" x14ac:dyDescent="0.2">
      <c r="A1343" s="33">
        <v>42672</v>
      </c>
      <c r="B1343" s="32" t="s">
        <v>503</v>
      </c>
      <c r="C1343" s="1" t="s">
        <v>504</v>
      </c>
      <c r="D1343" s="10" t="s">
        <v>787</v>
      </c>
      <c r="E1343" s="69" t="s">
        <v>5198</v>
      </c>
      <c r="F1343" s="69" t="s">
        <v>4061</v>
      </c>
      <c r="H1343" s="2"/>
      <c r="I1343" s="2"/>
      <c r="K1343" s="82"/>
    </row>
    <row r="1344" spans="1:19" x14ac:dyDescent="0.2">
      <c r="A1344" s="33">
        <v>42595</v>
      </c>
      <c r="B1344" s="5" t="s">
        <v>503</v>
      </c>
      <c r="C1344" s="32" t="s">
        <v>504</v>
      </c>
      <c r="D1344" s="65" t="s">
        <v>787</v>
      </c>
      <c r="E1344" t="s">
        <v>5198</v>
      </c>
      <c r="F1344" s="69" t="s">
        <v>4061</v>
      </c>
      <c r="I1344" s="2"/>
      <c r="K1344" s="82"/>
    </row>
    <row r="1345" spans="1:19" x14ac:dyDescent="0.2">
      <c r="A1345" s="33">
        <v>42588</v>
      </c>
      <c r="B1345" s="5" t="s">
        <v>503</v>
      </c>
      <c r="C1345" s="32" t="s">
        <v>504</v>
      </c>
      <c r="D1345" s="543" t="s">
        <v>787</v>
      </c>
      <c r="E1345" s="5" t="s">
        <v>5198</v>
      </c>
      <c r="F1345" s="108"/>
      <c r="G1345" s="5"/>
      <c r="H1345" s="5"/>
      <c r="I1345" s="2"/>
      <c r="J1345" s="5"/>
      <c r="K1345" s="85"/>
    </row>
    <row r="1346" spans="1:19" x14ac:dyDescent="0.2">
      <c r="A1346" s="33">
        <v>42574</v>
      </c>
      <c r="B1346" s="5" t="s">
        <v>503</v>
      </c>
      <c r="C1346" s="32" t="s">
        <v>504</v>
      </c>
      <c r="D1346" s="65" t="s">
        <v>787</v>
      </c>
      <c r="E1346" t="s">
        <v>5198</v>
      </c>
      <c r="F1346" s="69" t="s">
        <v>4061</v>
      </c>
      <c r="I1346" s="2"/>
      <c r="K1346" s="82"/>
    </row>
    <row r="1347" spans="1:19" x14ac:dyDescent="0.2">
      <c r="A1347" s="33">
        <v>42532</v>
      </c>
      <c r="B1347" s="5" t="s">
        <v>503</v>
      </c>
      <c r="C1347" s="32" t="s">
        <v>504</v>
      </c>
      <c r="D1347" s="65" t="s">
        <v>787</v>
      </c>
      <c r="E1347" t="s">
        <v>5198</v>
      </c>
      <c r="F1347" s="69" t="s">
        <v>4061</v>
      </c>
      <c r="I1347" s="2"/>
      <c r="K1347" s="82"/>
    </row>
    <row r="1348" spans="1:19" x14ac:dyDescent="0.2">
      <c r="A1348" s="33">
        <v>42525</v>
      </c>
      <c r="B1348" s="5" t="s">
        <v>503</v>
      </c>
      <c r="C1348" s="32" t="s">
        <v>504</v>
      </c>
      <c r="D1348" s="65" t="s">
        <v>787</v>
      </c>
      <c r="E1348" s="5" t="s">
        <v>5198</v>
      </c>
      <c r="F1348" s="69" t="s">
        <v>4061</v>
      </c>
      <c r="I1348" s="2"/>
      <c r="K1348" s="82"/>
    </row>
    <row r="1349" spans="1:19" x14ac:dyDescent="0.2">
      <c r="A1349" s="33">
        <v>42518</v>
      </c>
      <c r="B1349" s="5" t="s">
        <v>503</v>
      </c>
      <c r="C1349" s="32" t="s">
        <v>504</v>
      </c>
      <c r="D1349" s="543" t="s">
        <v>787</v>
      </c>
      <c r="E1349" s="5" t="s">
        <v>5198</v>
      </c>
      <c r="F1349" s="108" t="s">
        <v>4061</v>
      </c>
      <c r="G1349" s="5"/>
      <c r="H1349" s="5"/>
      <c r="I1349" s="2"/>
      <c r="J1349" s="5"/>
      <c r="K1349" s="85"/>
    </row>
    <row r="1350" spans="1:19" x14ac:dyDescent="0.2">
      <c r="A1350" s="33">
        <v>42441</v>
      </c>
      <c r="B1350" t="s">
        <v>503</v>
      </c>
      <c r="C1350" s="1" t="s">
        <v>504</v>
      </c>
      <c r="D1350" s="65" t="s">
        <v>787</v>
      </c>
      <c r="E1350" s="5" t="s">
        <v>5198</v>
      </c>
      <c r="F1350" s="69"/>
      <c r="I1350" s="2"/>
    </row>
    <row r="1351" spans="1:19" x14ac:dyDescent="0.2">
      <c r="A1351" s="33">
        <v>42427</v>
      </c>
      <c r="B1351" t="s">
        <v>503</v>
      </c>
      <c r="C1351" s="1" t="s">
        <v>504</v>
      </c>
      <c r="D1351" s="65" t="s">
        <v>787</v>
      </c>
      <c r="E1351" s="5" t="s">
        <v>5198</v>
      </c>
      <c r="F1351" s="69" t="s">
        <v>4061</v>
      </c>
      <c r="I1351" s="2"/>
      <c r="K1351" s="82"/>
    </row>
    <row r="1352" spans="1:19" x14ac:dyDescent="0.2">
      <c r="A1352" s="33">
        <v>42546</v>
      </c>
      <c r="B1352" s="5" t="s">
        <v>1226</v>
      </c>
      <c r="C1352" s="32" t="s">
        <v>504</v>
      </c>
      <c r="D1352" s="65" t="s">
        <v>787</v>
      </c>
      <c r="E1352" t="s">
        <v>5198</v>
      </c>
      <c r="F1352" s="69" t="s">
        <v>4061</v>
      </c>
      <c r="I1352" s="2"/>
      <c r="K1352" s="82"/>
    </row>
    <row r="1353" spans="1:19" x14ac:dyDescent="0.2">
      <c r="A1353" s="33">
        <v>42637</v>
      </c>
      <c r="B1353" s="513" t="s">
        <v>4977</v>
      </c>
      <c r="C1353" s="512" t="s">
        <v>3961</v>
      </c>
      <c r="D1353" s="65">
        <v>1.4675925925925926E-2</v>
      </c>
      <c r="E1353" t="s">
        <v>4004</v>
      </c>
      <c r="F1353" s="69" t="s">
        <v>2242</v>
      </c>
      <c r="I1353" s="2"/>
      <c r="K1353" s="82">
        <v>0.70030000000000003</v>
      </c>
    </row>
    <row r="1354" spans="1:19" x14ac:dyDescent="0.2">
      <c r="A1354" s="33">
        <v>42609</v>
      </c>
      <c r="B1354" s="197" t="s">
        <v>4977</v>
      </c>
      <c r="C1354" s="265" t="s">
        <v>3961</v>
      </c>
      <c r="D1354" s="65">
        <v>1.5023148148148148E-2</v>
      </c>
      <c r="E1354" t="s">
        <v>5337</v>
      </c>
      <c r="F1354" s="69" t="s">
        <v>86</v>
      </c>
      <c r="I1354" s="2"/>
      <c r="K1354" s="82">
        <v>0.68410000000000004</v>
      </c>
    </row>
    <row r="1355" spans="1:19" x14ac:dyDescent="0.2">
      <c r="A1355" s="33">
        <v>42560</v>
      </c>
      <c r="B1355" s="197" t="s">
        <v>4977</v>
      </c>
      <c r="C1355" s="265" t="s">
        <v>3961</v>
      </c>
      <c r="D1355" s="65">
        <v>1.3738425925925926E-2</v>
      </c>
      <c r="E1355" t="s">
        <v>3375</v>
      </c>
      <c r="F1355" s="69" t="s">
        <v>3826</v>
      </c>
      <c r="I1355" s="2"/>
      <c r="K1355" s="82">
        <v>0.74809999999999999</v>
      </c>
    </row>
    <row r="1356" spans="1:19" x14ac:dyDescent="0.2">
      <c r="A1356" s="33">
        <v>42525</v>
      </c>
      <c r="B1356" s="197" t="s">
        <v>4977</v>
      </c>
      <c r="C1356" s="265" t="s">
        <v>3961</v>
      </c>
      <c r="D1356" s="543">
        <v>1.4166666666666666E-2</v>
      </c>
      <c r="E1356" s="5" t="s">
        <v>5267</v>
      </c>
      <c r="F1356" s="108" t="s">
        <v>5908</v>
      </c>
      <c r="G1356" s="5" t="s">
        <v>2629</v>
      </c>
      <c r="H1356" s="5"/>
      <c r="I1356" s="5" t="s">
        <v>4882</v>
      </c>
      <c r="J1356" s="5"/>
      <c r="K1356" s="85">
        <v>0.72550000000000003</v>
      </c>
    </row>
    <row r="1357" spans="1:19" x14ac:dyDescent="0.2">
      <c r="A1357" s="33">
        <v>42518</v>
      </c>
      <c r="B1357" s="197" t="s">
        <v>4977</v>
      </c>
      <c r="C1357" s="265" t="s">
        <v>3961</v>
      </c>
      <c r="D1357" s="543">
        <v>1.4305555555555557E-2</v>
      </c>
      <c r="E1357" s="5" t="s">
        <v>3857</v>
      </c>
      <c r="F1357" s="108" t="s">
        <v>4716</v>
      </c>
      <c r="G1357" s="5" t="s">
        <v>4717</v>
      </c>
      <c r="H1357" s="5"/>
      <c r="I1357" s="2"/>
      <c r="J1357" s="5"/>
      <c r="K1357" s="85">
        <v>0.71840000000000004</v>
      </c>
    </row>
    <row r="1358" spans="1:19" x14ac:dyDescent="0.2">
      <c r="A1358" s="33">
        <v>42504</v>
      </c>
      <c r="B1358" s="197" t="s">
        <v>4977</v>
      </c>
      <c r="C1358" s="265" t="s">
        <v>3961</v>
      </c>
      <c r="D1358" s="543">
        <v>1.4050925925925927E-2</v>
      </c>
      <c r="E1358" s="5" t="s">
        <v>2147</v>
      </c>
      <c r="F1358" s="108" t="s">
        <v>2353</v>
      </c>
      <c r="G1358" s="5"/>
      <c r="H1358" s="5"/>
      <c r="I1358" s="5"/>
      <c r="J1358" s="5"/>
      <c r="K1358" s="85">
        <v>0.73150000000000004</v>
      </c>
      <c r="S1358" s="80"/>
    </row>
    <row r="1359" spans="1:19" x14ac:dyDescent="0.2">
      <c r="A1359" s="33">
        <v>42497</v>
      </c>
      <c r="B1359" s="197" t="s">
        <v>4977</v>
      </c>
      <c r="C1359" s="265" t="s">
        <v>3961</v>
      </c>
      <c r="D1359" s="543">
        <v>1.4363425925925925E-2</v>
      </c>
      <c r="E1359" s="5" t="s">
        <v>2593</v>
      </c>
      <c r="F1359" s="108" t="s">
        <v>4805</v>
      </c>
      <c r="G1359" s="5"/>
      <c r="H1359" s="5"/>
      <c r="I1359" s="5"/>
      <c r="J1359" s="5"/>
      <c r="K1359" s="85">
        <v>0.71560000000000001</v>
      </c>
    </row>
    <row r="1360" spans="1:19" x14ac:dyDescent="0.2">
      <c r="A1360" s="33">
        <v>42462</v>
      </c>
      <c r="B1360" s="206" t="s">
        <v>4977</v>
      </c>
      <c r="C1360" s="254" t="s">
        <v>3961</v>
      </c>
      <c r="D1360" s="65">
        <v>1.4317129629629631E-2</v>
      </c>
      <c r="E1360" s="5" t="s">
        <v>5889</v>
      </c>
      <c r="F1360" s="69" t="s">
        <v>4527</v>
      </c>
      <c r="I1360" s="2"/>
      <c r="K1360" s="82">
        <v>0.71789999999999998</v>
      </c>
    </row>
    <row r="1361" spans="1:13" x14ac:dyDescent="0.2">
      <c r="A1361" s="33">
        <v>42448</v>
      </c>
      <c r="B1361" s="206" t="s">
        <v>4977</v>
      </c>
      <c r="C1361" s="254" t="s">
        <v>3961</v>
      </c>
      <c r="D1361" s="65">
        <v>1.4479166666666668E-2</v>
      </c>
      <c r="E1361" t="s">
        <v>3259</v>
      </c>
      <c r="F1361" s="69" t="s">
        <v>3262</v>
      </c>
      <c r="I1361" s="2"/>
      <c r="K1361" s="82">
        <v>0.70979999999999999</v>
      </c>
    </row>
    <row r="1362" spans="1:13" x14ac:dyDescent="0.2">
      <c r="A1362" s="33">
        <v>42441</v>
      </c>
      <c r="B1362" s="206" t="s">
        <v>4977</v>
      </c>
      <c r="C1362" s="254" t="s">
        <v>3961</v>
      </c>
      <c r="D1362" s="65">
        <v>1.5416666666666667E-2</v>
      </c>
      <c r="E1362" t="s">
        <v>5267</v>
      </c>
      <c r="F1362" s="69" t="s">
        <v>2322</v>
      </c>
      <c r="I1362" s="2"/>
      <c r="K1362" s="82">
        <v>0.66669999999999996</v>
      </c>
    </row>
    <row r="1363" spans="1:13" x14ac:dyDescent="0.2">
      <c r="A1363" s="33">
        <v>42735</v>
      </c>
      <c r="B1363" s="80" t="s">
        <v>3960</v>
      </c>
      <c r="C1363" s="334" t="s">
        <v>3961</v>
      </c>
      <c r="D1363" s="65">
        <v>1.7361111111111112E-2</v>
      </c>
      <c r="E1363" s="80" t="s">
        <v>74</v>
      </c>
      <c r="F1363" s="69" t="s">
        <v>6240</v>
      </c>
      <c r="I1363" s="2"/>
      <c r="K1363" s="82">
        <v>0.61470000000000002</v>
      </c>
    </row>
    <row r="1364" spans="1:13" x14ac:dyDescent="0.2">
      <c r="A1364" s="33">
        <v>42729</v>
      </c>
      <c r="B1364" s="80" t="s">
        <v>3960</v>
      </c>
      <c r="C1364" s="334" t="s">
        <v>3961</v>
      </c>
      <c r="D1364" s="65">
        <v>1.7905092592592594E-2</v>
      </c>
      <c r="E1364" s="80" t="s">
        <v>3167</v>
      </c>
      <c r="F1364" s="69" t="s">
        <v>6145</v>
      </c>
      <c r="I1364" s="80" t="s">
        <v>6243</v>
      </c>
      <c r="K1364" s="82">
        <v>0.59599999999999997</v>
      </c>
      <c r="M1364" s="80" t="s">
        <v>6146</v>
      </c>
    </row>
    <row r="1365" spans="1:13" x14ac:dyDescent="0.2">
      <c r="A1365" s="523">
        <v>42728</v>
      </c>
      <c r="B1365" s="80" t="s">
        <v>3960</v>
      </c>
      <c r="C1365" s="334" t="s">
        <v>3961</v>
      </c>
      <c r="D1365" s="65">
        <v>1.8263888888888889E-2</v>
      </c>
      <c r="E1365" s="80" t="s">
        <v>2818</v>
      </c>
      <c r="F1365" s="69" t="s">
        <v>6128</v>
      </c>
      <c r="I1365" s="80" t="s">
        <v>2338</v>
      </c>
      <c r="K1365" s="82">
        <v>0.58430000000000004</v>
      </c>
    </row>
    <row r="1366" spans="1:13" x14ac:dyDescent="0.2">
      <c r="A1366" s="33">
        <v>42651</v>
      </c>
      <c r="B1366" s="5" t="s">
        <v>3960</v>
      </c>
      <c r="C1366" s="32" t="s">
        <v>3961</v>
      </c>
      <c r="D1366" s="65">
        <v>1.4398148148148148E-2</v>
      </c>
      <c r="E1366" t="s">
        <v>2593</v>
      </c>
      <c r="F1366" s="69" t="s">
        <v>5934</v>
      </c>
      <c r="I1366" s="2"/>
      <c r="K1366" s="82">
        <v>0.74119999999999997</v>
      </c>
    </row>
    <row r="1367" spans="1:13" x14ac:dyDescent="0.2">
      <c r="A1367" s="33">
        <v>42644</v>
      </c>
      <c r="B1367" s="5" t="s">
        <v>3960</v>
      </c>
      <c r="C1367" s="32" t="s">
        <v>3961</v>
      </c>
      <c r="D1367" s="65">
        <v>1.5428240740740741E-2</v>
      </c>
      <c r="E1367" t="s">
        <v>2337</v>
      </c>
      <c r="F1367" s="69" t="s">
        <v>3062</v>
      </c>
      <c r="I1367" s="80" t="s">
        <v>6242</v>
      </c>
      <c r="K1367" s="82">
        <v>0.69169999999999998</v>
      </c>
    </row>
    <row r="1368" spans="1:13" x14ac:dyDescent="0.2">
      <c r="A1368" s="33">
        <v>42637</v>
      </c>
      <c r="B1368" s="5" t="s">
        <v>1847</v>
      </c>
      <c r="C1368" s="32" t="s">
        <v>3961</v>
      </c>
      <c r="D1368" s="65">
        <v>1.4826388888888889E-2</v>
      </c>
      <c r="E1368" t="s">
        <v>1929</v>
      </c>
      <c r="F1368" s="69" t="s">
        <v>6241</v>
      </c>
      <c r="I1368" s="2"/>
      <c r="K1368" s="82">
        <v>0.7198</v>
      </c>
    </row>
    <row r="1369" spans="1:13" x14ac:dyDescent="0.2">
      <c r="A1369" s="33">
        <v>42609</v>
      </c>
      <c r="B1369" s="5" t="s">
        <v>3960</v>
      </c>
      <c r="C1369" s="32" t="s">
        <v>3961</v>
      </c>
      <c r="D1369" s="65">
        <v>1.6944444444444443E-2</v>
      </c>
      <c r="E1369" t="s">
        <v>5337</v>
      </c>
      <c r="F1369" s="69" t="s">
        <v>85</v>
      </c>
      <c r="I1369" s="2"/>
      <c r="K1369" s="82">
        <v>0.62980000000000003</v>
      </c>
    </row>
    <row r="1370" spans="1:13" x14ac:dyDescent="0.2">
      <c r="A1370" s="33">
        <v>42546</v>
      </c>
      <c r="B1370" s="5" t="s">
        <v>3960</v>
      </c>
      <c r="C1370" s="32" t="s">
        <v>3961</v>
      </c>
      <c r="D1370" s="65">
        <v>1.4872685185185185E-2</v>
      </c>
      <c r="E1370" t="s">
        <v>2294</v>
      </c>
      <c r="F1370" s="69" t="s">
        <v>716</v>
      </c>
      <c r="I1370" s="2"/>
      <c r="K1370" s="82">
        <v>0.71130000000000004</v>
      </c>
    </row>
    <row r="1371" spans="1:13" x14ac:dyDescent="0.2">
      <c r="A1371" s="33">
        <v>42497</v>
      </c>
      <c r="B1371" s="5" t="s">
        <v>3960</v>
      </c>
      <c r="C1371" s="32" t="s">
        <v>3961</v>
      </c>
      <c r="D1371" s="543">
        <v>1.3969907407407408E-2</v>
      </c>
      <c r="E1371" s="5" t="s">
        <v>2593</v>
      </c>
      <c r="F1371" s="108" t="s">
        <v>2629</v>
      </c>
      <c r="G1371" s="5"/>
      <c r="H1371" s="5" t="s">
        <v>3826</v>
      </c>
      <c r="I1371" s="5"/>
      <c r="J1371" s="5"/>
      <c r="K1371" s="85">
        <v>0.75719999999999998</v>
      </c>
    </row>
    <row r="1372" spans="1:13" x14ac:dyDescent="0.2">
      <c r="A1372" s="33">
        <v>42469</v>
      </c>
      <c r="B1372" s="5" t="s">
        <v>3960</v>
      </c>
      <c r="C1372" s="32" t="s">
        <v>3961</v>
      </c>
      <c r="D1372" s="65">
        <v>1.556712962962963E-2</v>
      </c>
      <c r="E1372" t="s">
        <v>5337</v>
      </c>
      <c r="F1372" s="69" t="s">
        <v>1236</v>
      </c>
      <c r="I1372" s="2"/>
      <c r="K1372" s="82">
        <v>0.67959999999999998</v>
      </c>
    </row>
    <row r="1373" spans="1:13" x14ac:dyDescent="0.2">
      <c r="A1373" s="33">
        <v>42448</v>
      </c>
      <c r="B1373" t="s">
        <v>1847</v>
      </c>
      <c r="C1373" s="1" t="s">
        <v>3961</v>
      </c>
      <c r="D1373" s="65">
        <v>1.4571759259259258E-2</v>
      </c>
      <c r="E1373" t="s">
        <v>3259</v>
      </c>
      <c r="F1373" s="69" t="s">
        <v>5859</v>
      </c>
      <c r="I1373" s="2"/>
      <c r="K1373" s="82">
        <v>0.72599999999999998</v>
      </c>
    </row>
    <row r="1374" spans="1:13" x14ac:dyDescent="0.2">
      <c r="A1374" s="33">
        <v>42392</v>
      </c>
      <c r="B1374" t="s">
        <v>3960</v>
      </c>
      <c r="C1374" s="1" t="s">
        <v>3961</v>
      </c>
      <c r="D1374" s="65">
        <v>1.6203703703703703E-2</v>
      </c>
      <c r="E1374" t="s">
        <v>5337</v>
      </c>
      <c r="F1374" s="69" t="s">
        <v>3464</v>
      </c>
      <c r="I1374" s="5" t="s">
        <v>3465</v>
      </c>
      <c r="K1374" s="82">
        <v>0.65290000000000004</v>
      </c>
    </row>
    <row r="1375" spans="1:13" x14ac:dyDescent="0.2">
      <c r="A1375" s="33">
        <v>42370</v>
      </c>
      <c r="B1375" t="s">
        <v>3960</v>
      </c>
      <c r="C1375" s="1" t="s">
        <v>3961</v>
      </c>
      <c r="D1375" s="65">
        <v>1.4710648148148148E-2</v>
      </c>
      <c r="E1375" s="5" t="s">
        <v>1214</v>
      </c>
      <c r="F1375" s="108" t="s">
        <v>515</v>
      </c>
      <c r="G1375" s="5"/>
      <c r="I1375" s="2"/>
      <c r="K1375" s="82">
        <v>0.71909999999999996</v>
      </c>
    </row>
    <row r="1376" spans="1:13" x14ac:dyDescent="0.2">
      <c r="A1376" s="33">
        <v>42370</v>
      </c>
      <c r="B1376" t="s">
        <v>3960</v>
      </c>
      <c r="C1376" s="1" t="s">
        <v>3961</v>
      </c>
      <c r="D1376" s="65">
        <v>1.5196759259259259E-2</v>
      </c>
      <c r="E1376" s="5" t="s">
        <v>4936</v>
      </c>
      <c r="F1376" s="69" t="s">
        <v>1276</v>
      </c>
      <c r="I1376" s="2"/>
      <c r="K1376" s="82">
        <v>0.69610000000000005</v>
      </c>
    </row>
    <row r="1377" spans="1:19" x14ac:dyDescent="0.2">
      <c r="A1377" s="33">
        <v>42735</v>
      </c>
      <c r="B1377" s="80" t="s">
        <v>870</v>
      </c>
      <c r="C1377" s="334" t="s">
        <v>871</v>
      </c>
      <c r="D1377" s="65">
        <v>1.3969907407407408E-2</v>
      </c>
      <c r="E1377" s="80" t="s">
        <v>5439</v>
      </c>
      <c r="F1377" s="69" t="s">
        <v>4960</v>
      </c>
      <c r="I1377" s="2"/>
      <c r="K1377" s="82">
        <v>0.76390000000000002</v>
      </c>
    </row>
    <row r="1378" spans="1:19" x14ac:dyDescent="0.2">
      <c r="A1378" s="33">
        <v>42714</v>
      </c>
      <c r="B1378" s="5" t="s">
        <v>870</v>
      </c>
      <c r="C1378" s="32" t="s">
        <v>871</v>
      </c>
      <c r="D1378" s="65">
        <v>1.3877314814814815E-2</v>
      </c>
      <c r="E1378" s="5" t="s">
        <v>5883</v>
      </c>
      <c r="F1378" s="108" t="s">
        <v>6088</v>
      </c>
      <c r="I1378" s="2"/>
      <c r="K1378" s="82">
        <v>0.76900000000000002</v>
      </c>
    </row>
    <row r="1379" spans="1:19" x14ac:dyDescent="0.2">
      <c r="A1379" s="33">
        <v>42616</v>
      </c>
      <c r="B1379" s="5" t="s">
        <v>870</v>
      </c>
      <c r="C1379" s="32" t="s">
        <v>871</v>
      </c>
      <c r="D1379" s="65">
        <v>1.4479166666666668E-2</v>
      </c>
      <c r="E1379" t="s">
        <v>0</v>
      </c>
      <c r="F1379" s="69" t="s">
        <v>4960</v>
      </c>
      <c r="I1379" s="2"/>
      <c r="K1379" s="82">
        <v>0.73699999999999999</v>
      </c>
    </row>
    <row r="1380" spans="1:19" x14ac:dyDescent="0.2">
      <c r="A1380" s="33">
        <v>42511</v>
      </c>
      <c r="B1380" s="5" t="s">
        <v>870</v>
      </c>
      <c r="C1380" s="32" t="s">
        <v>871</v>
      </c>
      <c r="D1380" s="543">
        <v>1.3773148148148147E-2</v>
      </c>
      <c r="E1380" s="5" t="s">
        <v>5883</v>
      </c>
      <c r="F1380" s="108" t="s">
        <v>3024</v>
      </c>
      <c r="G1380" s="5"/>
      <c r="H1380" s="5"/>
      <c r="I1380" s="2"/>
      <c r="J1380" s="5"/>
      <c r="K1380" s="85">
        <v>0.77480000000000004</v>
      </c>
    </row>
    <row r="1381" spans="1:19" x14ac:dyDescent="0.2">
      <c r="A1381" s="33">
        <v>42497</v>
      </c>
      <c r="B1381" s="5" t="s">
        <v>870</v>
      </c>
      <c r="C1381" s="32" t="s">
        <v>871</v>
      </c>
      <c r="D1381" s="543">
        <v>1.4710648148148148E-2</v>
      </c>
      <c r="E1381" s="5" t="s">
        <v>5883</v>
      </c>
      <c r="F1381" s="108" t="s">
        <v>551</v>
      </c>
      <c r="G1381" s="5"/>
      <c r="H1381" s="5"/>
      <c r="I1381" s="5"/>
      <c r="J1381" s="5"/>
      <c r="K1381" s="85">
        <v>0.72540000000000004</v>
      </c>
    </row>
    <row r="1382" spans="1:19" x14ac:dyDescent="0.2">
      <c r="A1382" s="33">
        <v>42378</v>
      </c>
      <c r="B1382" s="407" t="s">
        <v>870</v>
      </c>
      <c r="C1382" s="408" t="s">
        <v>871</v>
      </c>
      <c r="D1382" s="544">
        <v>1.4340277777777776E-2</v>
      </c>
      <c r="E1382" s="407" t="s">
        <v>5883</v>
      </c>
      <c r="F1382" s="545" t="s">
        <v>2778</v>
      </c>
      <c r="G1382" s="407"/>
      <c r="H1382" s="407"/>
      <c r="I1382" s="348"/>
      <c r="J1382" s="407"/>
      <c r="K1382" s="546">
        <v>0.73770000000000002</v>
      </c>
    </row>
    <row r="1383" spans="1:19" x14ac:dyDescent="0.2">
      <c r="A1383" s="33">
        <v>42546</v>
      </c>
      <c r="B1383" s="5" t="s">
        <v>4923</v>
      </c>
      <c r="C1383" s="32" t="s">
        <v>871</v>
      </c>
      <c r="D1383" s="65">
        <v>1.4143518518518519E-2</v>
      </c>
      <c r="E1383" t="s">
        <v>1696</v>
      </c>
      <c r="F1383" s="69" t="s">
        <v>4925</v>
      </c>
      <c r="I1383" s="2"/>
      <c r="K1383" s="82">
        <v>0.75449999999999995</v>
      </c>
    </row>
    <row r="1384" spans="1:19" x14ac:dyDescent="0.2">
      <c r="A1384" s="33">
        <v>42735</v>
      </c>
      <c r="B1384" s="80" t="s">
        <v>1308</v>
      </c>
      <c r="C1384" s="334" t="s">
        <v>1506</v>
      </c>
      <c r="D1384" s="65">
        <v>1.7222222222222222E-2</v>
      </c>
      <c r="E1384" s="80" t="s">
        <v>6019</v>
      </c>
      <c r="F1384" s="69" t="s">
        <v>2500</v>
      </c>
      <c r="I1384" s="2"/>
      <c r="K1384" s="82">
        <v>0.5504</v>
      </c>
    </row>
    <row r="1385" spans="1:19" x14ac:dyDescent="0.2">
      <c r="A1385" s="33">
        <v>42729</v>
      </c>
      <c r="B1385" s="80" t="s">
        <v>1308</v>
      </c>
      <c r="C1385" s="334" t="s">
        <v>1506</v>
      </c>
      <c r="D1385" s="65" t="s">
        <v>787</v>
      </c>
      <c r="E1385" s="80" t="s">
        <v>6019</v>
      </c>
      <c r="F1385" s="69" t="s">
        <v>5508</v>
      </c>
      <c r="I1385" s="2"/>
      <c r="K1385" s="82"/>
    </row>
    <row r="1386" spans="1:19" x14ac:dyDescent="0.2">
      <c r="A1386" s="523">
        <v>42728</v>
      </c>
      <c r="B1386" s="80" t="s">
        <v>1308</v>
      </c>
      <c r="C1386" s="334" t="s">
        <v>1506</v>
      </c>
      <c r="D1386" s="65">
        <v>1.7152777777777777E-2</v>
      </c>
      <c r="E1386" s="80" t="s">
        <v>6019</v>
      </c>
      <c r="F1386" s="69" t="s">
        <v>5382</v>
      </c>
      <c r="I1386" s="2"/>
      <c r="K1386" s="82">
        <v>0.55640000000000001</v>
      </c>
    </row>
    <row r="1387" spans="1:19" x14ac:dyDescent="0.2">
      <c r="A1387" s="33">
        <v>42714</v>
      </c>
      <c r="B1387" s="5" t="s">
        <v>1308</v>
      </c>
      <c r="C1387" s="32" t="s">
        <v>1506</v>
      </c>
      <c r="D1387" s="65">
        <v>2.4444444444444446E-2</v>
      </c>
      <c r="E1387" t="s">
        <v>6019</v>
      </c>
      <c r="F1387" s="108" t="s">
        <v>6079</v>
      </c>
      <c r="I1387" s="2"/>
      <c r="K1387" s="82">
        <v>0.54169999999999996</v>
      </c>
    </row>
    <row r="1388" spans="1:19" x14ac:dyDescent="0.2">
      <c r="A1388" s="33">
        <v>42686</v>
      </c>
      <c r="B1388" s="5" t="s">
        <v>1308</v>
      </c>
      <c r="C1388" s="32" t="s">
        <v>1506</v>
      </c>
      <c r="D1388" s="65">
        <v>1.6481481481481482E-2</v>
      </c>
      <c r="E1388" t="s">
        <v>6019</v>
      </c>
      <c r="F1388" s="69" t="s">
        <v>4879</v>
      </c>
      <c r="I1388" s="2"/>
      <c r="K1388" s="82">
        <v>0.57509999999999994</v>
      </c>
      <c r="S1388" s="80"/>
    </row>
    <row r="1389" spans="1:19" x14ac:dyDescent="0.2">
      <c r="A1389" s="33">
        <v>42679</v>
      </c>
      <c r="B1389" s="5" t="s">
        <v>1308</v>
      </c>
      <c r="C1389" s="32" t="s">
        <v>1506</v>
      </c>
      <c r="D1389" s="65">
        <v>1.6608796296296299E-2</v>
      </c>
      <c r="E1389" t="s">
        <v>6019</v>
      </c>
      <c r="F1389" s="69" t="s">
        <v>613</v>
      </c>
      <c r="I1389" s="2"/>
      <c r="K1389" s="82">
        <v>0.57069999999999999</v>
      </c>
    </row>
    <row r="1390" spans="1:19" x14ac:dyDescent="0.2">
      <c r="A1390" s="33">
        <v>42651</v>
      </c>
      <c r="B1390" s="5" t="s">
        <v>1308</v>
      </c>
      <c r="C1390" s="32" t="s">
        <v>1506</v>
      </c>
      <c r="D1390" s="65">
        <v>1.5648148148148151E-2</v>
      </c>
      <c r="E1390" t="s">
        <v>6019</v>
      </c>
      <c r="F1390" s="69" t="s">
        <v>1792</v>
      </c>
      <c r="I1390" s="2"/>
      <c r="K1390" s="82">
        <v>0.60580000000000001</v>
      </c>
    </row>
    <row r="1391" spans="1:19" x14ac:dyDescent="0.2">
      <c r="A1391" s="33">
        <v>42644</v>
      </c>
      <c r="B1391" s="5" t="s">
        <v>1308</v>
      </c>
      <c r="C1391" s="32" t="s">
        <v>1506</v>
      </c>
      <c r="D1391" s="65">
        <v>1.579861111111111E-2</v>
      </c>
      <c r="E1391" t="s">
        <v>6019</v>
      </c>
      <c r="F1391" s="69" t="s">
        <v>4057</v>
      </c>
      <c r="I1391" s="2"/>
      <c r="K1391" s="82">
        <v>0.6</v>
      </c>
    </row>
    <row r="1392" spans="1:19" x14ac:dyDescent="0.2">
      <c r="A1392" s="33">
        <v>42630</v>
      </c>
      <c r="B1392" s="5" t="s">
        <v>1308</v>
      </c>
      <c r="C1392" s="32" t="s">
        <v>1506</v>
      </c>
      <c r="D1392" s="65">
        <v>1.6261574074074074E-2</v>
      </c>
      <c r="E1392" t="s">
        <v>5850</v>
      </c>
      <c r="F1392" s="69" t="s">
        <v>2454</v>
      </c>
      <c r="I1392" s="2"/>
      <c r="K1392" s="82">
        <v>0.58289999999999997</v>
      </c>
    </row>
    <row r="1393" spans="1:12" x14ac:dyDescent="0.2">
      <c r="A1393" s="33">
        <v>42623</v>
      </c>
      <c r="B1393" s="5" t="s">
        <v>1308</v>
      </c>
      <c r="C1393" s="32" t="s">
        <v>1506</v>
      </c>
      <c r="D1393" s="65">
        <v>1.5995370370370372E-2</v>
      </c>
      <c r="E1393" t="s">
        <v>6019</v>
      </c>
      <c r="F1393" s="69" t="s">
        <v>881</v>
      </c>
      <c r="I1393" s="2"/>
      <c r="K1393" s="82">
        <v>0.59260000000000002</v>
      </c>
    </row>
    <row r="1394" spans="1:12" x14ac:dyDescent="0.2">
      <c r="A1394" s="33">
        <v>42602</v>
      </c>
      <c r="B1394" s="5" t="s">
        <v>1308</v>
      </c>
      <c r="C1394" s="32" t="s">
        <v>1506</v>
      </c>
      <c r="D1394" s="65">
        <v>1.6273148148148148E-2</v>
      </c>
      <c r="E1394" t="s">
        <v>6019</v>
      </c>
      <c r="F1394" s="69" t="s">
        <v>3981</v>
      </c>
      <c r="I1394" s="2"/>
      <c r="K1394" s="82">
        <v>0.58250000000000002</v>
      </c>
    </row>
    <row r="1395" spans="1:12" x14ac:dyDescent="0.2">
      <c r="A1395" s="33">
        <v>42595</v>
      </c>
      <c r="B1395" s="5" t="s">
        <v>1308</v>
      </c>
      <c r="C1395" s="32" t="s">
        <v>1506</v>
      </c>
      <c r="D1395" s="65">
        <v>1.6099537037037037E-2</v>
      </c>
      <c r="E1395" t="s">
        <v>6019</v>
      </c>
      <c r="F1395" s="69" t="s">
        <v>175</v>
      </c>
      <c r="I1395" s="2"/>
      <c r="K1395" s="82">
        <v>0.58879999999999999</v>
      </c>
    </row>
    <row r="1396" spans="1:12" x14ac:dyDescent="0.2">
      <c r="A1396" s="33">
        <v>42560</v>
      </c>
      <c r="B1396" s="5" t="s">
        <v>1308</v>
      </c>
      <c r="C1396" s="32" t="s">
        <v>1506</v>
      </c>
      <c r="D1396" s="65">
        <v>1.5983796296296295E-2</v>
      </c>
      <c r="E1396" t="s">
        <v>6019</v>
      </c>
      <c r="F1396" s="69" t="s">
        <v>5428</v>
      </c>
      <c r="I1396" s="2"/>
      <c r="K1396" s="82">
        <v>0.59299999999999997</v>
      </c>
    </row>
    <row r="1397" spans="1:12" x14ac:dyDescent="0.2">
      <c r="A1397" s="33">
        <v>42525</v>
      </c>
      <c r="B1397" s="5" t="s">
        <v>1308</v>
      </c>
      <c r="C1397" s="32" t="s">
        <v>1506</v>
      </c>
      <c r="D1397" s="543">
        <v>1.5752314814814813E-2</v>
      </c>
      <c r="E1397" s="5" t="s">
        <v>6019</v>
      </c>
      <c r="F1397" s="108" t="s">
        <v>5214</v>
      </c>
      <c r="G1397" s="5"/>
      <c r="H1397" s="5"/>
      <c r="I1397" s="2"/>
      <c r="J1397" s="5"/>
      <c r="K1397" s="85">
        <v>0.6018</v>
      </c>
    </row>
    <row r="1398" spans="1:12" x14ac:dyDescent="0.2">
      <c r="A1398" s="33">
        <v>42504</v>
      </c>
      <c r="B1398" s="5" t="s">
        <v>1308</v>
      </c>
      <c r="C1398" s="32" t="s">
        <v>1506</v>
      </c>
      <c r="D1398" s="543">
        <v>1.6527777777777777E-2</v>
      </c>
      <c r="E1398" s="5" t="s">
        <v>6019</v>
      </c>
      <c r="F1398" s="108" t="s">
        <v>2356</v>
      </c>
      <c r="G1398" s="5"/>
      <c r="H1398" s="5"/>
      <c r="I1398" s="5"/>
      <c r="J1398" s="5"/>
      <c r="K1398" s="85">
        <v>0.57350000000000001</v>
      </c>
    </row>
    <row r="1399" spans="1:12" x14ac:dyDescent="0.2">
      <c r="A1399" s="33">
        <v>42490</v>
      </c>
      <c r="B1399" s="5" t="s">
        <v>1308</v>
      </c>
      <c r="C1399" s="32" t="s">
        <v>1506</v>
      </c>
      <c r="D1399" s="543">
        <v>1.5486111111111112E-2</v>
      </c>
      <c r="E1399" s="5" t="s">
        <v>6019</v>
      </c>
      <c r="F1399" s="108" t="s">
        <v>132</v>
      </c>
      <c r="G1399" s="5"/>
      <c r="H1399" s="5"/>
      <c r="I1399" s="5"/>
      <c r="J1399" s="5"/>
      <c r="K1399" s="85">
        <v>0.61209999999999998</v>
      </c>
    </row>
    <row r="1400" spans="1:12" x14ac:dyDescent="0.2">
      <c r="A1400" s="33">
        <v>42476</v>
      </c>
      <c r="B1400" s="5" t="s">
        <v>1308</v>
      </c>
      <c r="C1400" s="32" t="s">
        <v>1506</v>
      </c>
      <c r="D1400" s="65">
        <v>1.6712962962962961E-2</v>
      </c>
      <c r="E1400" s="5" t="s">
        <v>6019</v>
      </c>
      <c r="F1400" s="69" t="s">
        <v>1765</v>
      </c>
      <c r="I1400" s="2"/>
      <c r="K1400" s="82">
        <v>0.56299999999999994</v>
      </c>
      <c r="L1400" s="5"/>
    </row>
    <row r="1401" spans="1:12" x14ac:dyDescent="0.2">
      <c r="A1401" s="33">
        <v>42469</v>
      </c>
      <c r="B1401" s="5" t="s">
        <v>1308</v>
      </c>
      <c r="C1401" s="32" t="s">
        <v>1506</v>
      </c>
      <c r="D1401" s="65">
        <v>1.6851851851851851E-2</v>
      </c>
      <c r="E1401" t="s">
        <v>6019</v>
      </c>
      <c r="F1401" s="69" t="s">
        <v>4956</v>
      </c>
      <c r="I1401" s="2"/>
      <c r="K1401" s="82">
        <v>0.55840000000000001</v>
      </c>
    </row>
    <row r="1402" spans="1:12" x14ac:dyDescent="0.2">
      <c r="A1402" s="33">
        <v>42455</v>
      </c>
      <c r="B1402" t="s">
        <v>1308</v>
      </c>
      <c r="C1402" s="1" t="s">
        <v>1506</v>
      </c>
      <c r="D1402" s="65">
        <v>1.7013888888888887E-2</v>
      </c>
      <c r="E1402" s="5" t="s">
        <v>6019</v>
      </c>
      <c r="F1402" s="69" t="s">
        <v>4078</v>
      </c>
      <c r="I1402" s="2"/>
      <c r="K1402" s="82">
        <v>0.55310000000000004</v>
      </c>
    </row>
    <row r="1403" spans="1:12" x14ac:dyDescent="0.2">
      <c r="A1403" s="33">
        <v>42448</v>
      </c>
      <c r="B1403" t="s">
        <v>1308</v>
      </c>
      <c r="C1403" s="1" t="s">
        <v>1506</v>
      </c>
      <c r="D1403" s="65">
        <v>1.7337962962962961E-2</v>
      </c>
      <c r="E1403" t="s">
        <v>6019</v>
      </c>
      <c r="F1403" s="69" t="s">
        <v>2053</v>
      </c>
      <c r="I1403" s="2"/>
      <c r="K1403" s="82">
        <v>0.54269999999999996</v>
      </c>
    </row>
    <row r="1404" spans="1:12" x14ac:dyDescent="0.2">
      <c r="A1404" s="33">
        <v>42441</v>
      </c>
      <c r="B1404" t="s">
        <v>1308</v>
      </c>
      <c r="C1404" s="1" t="s">
        <v>1506</v>
      </c>
      <c r="D1404" s="65">
        <v>1.5960648148148151E-2</v>
      </c>
      <c r="E1404" t="s">
        <v>6019</v>
      </c>
      <c r="F1404" s="69" t="s">
        <v>876</v>
      </c>
      <c r="I1404" s="2"/>
      <c r="K1404" s="82">
        <v>0.58960000000000001</v>
      </c>
    </row>
    <row r="1405" spans="1:12" x14ac:dyDescent="0.2">
      <c r="A1405" s="33">
        <v>42434</v>
      </c>
      <c r="B1405" t="s">
        <v>1308</v>
      </c>
      <c r="C1405" s="1" t="s">
        <v>1506</v>
      </c>
      <c r="D1405" s="65">
        <v>1.7754629629629631E-2</v>
      </c>
      <c r="E1405" t="s">
        <v>6019</v>
      </c>
      <c r="F1405" s="69" t="s">
        <v>5211</v>
      </c>
      <c r="I1405" s="2"/>
      <c r="K1405" s="82">
        <v>0.53</v>
      </c>
    </row>
    <row r="1406" spans="1:12" x14ac:dyDescent="0.2">
      <c r="A1406" s="33">
        <v>42735</v>
      </c>
      <c r="B1406" s="80" t="s">
        <v>2416</v>
      </c>
      <c r="C1406" s="334" t="s">
        <v>2417</v>
      </c>
      <c r="D1406" s="65">
        <v>2.1886574074074072E-2</v>
      </c>
      <c r="E1406" s="80" t="s">
        <v>4727</v>
      </c>
      <c r="F1406" s="69" t="s">
        <v>6193</v>
      </c>
      <c r="I1406" s="2"/>
      <c r="K1406" s="82">
        <v>0.61550000000000005</v>
      </c>
    </row>
    <row r="1407" spans="1:12" x14ac:dyDescent="0.2">
      <c r="A1407" s="33">
        <v>42729</v>
      </c>
      <c r="B1407" s="80" t="s">
        <v>2416</v>
      </c>
      <c r="C1407" s="334" t="s">
        <v>2417</v>
      </c>
      <c r="D1407" s="65">
        <v>2.1111111111111108E-2</v>
      </c>
      <c r="E1407" s="80" t="s">
        <v>4727</v>
      </c>
      <c r="F1407" s="69" t="s">
        <v>5746</v>
      </c>
      <c r="I1407" s="2"/>
      <c r="K1407" s="82">
        <v>0.62780000000000002</v>
      </c>
    </row>
    <row r="1408" spans="1:12" x14ac:dyDescent="0.2">
      <c r="A1408" s="523">
        <v>42728</v>
      </c>
      <c r="B1408" s="80" t="s">
        <v>2416</v>
      </c>
      <c r="C1408" s="334" t="s">
        <v>2417</v>
      </c>
      <c r="D1408" s="65">
        <v>2.1064814814814814E-2</v>
      </c>
      <c r="E1408" s="80" t="s">
        <v>4727</v>
      </c>
      <c r="F1408" s="69" t="s">
        <v>3516</v>
      </c>
      <c r="I1408" s="2"/>
      <c r="K1408" s="82">
        <v>0.61909999999999998</v>
      </c>
    </row>
    <row r="1409" spans="1:11" x14ac:dyDescent="0.2">
      <c r="A1409" s="33">
        <v>42721</v>
      </c>
      <c r="B1409" s="5" t="s">
        <v>2416</v>
      </c>
      <c r="C1409" s="32" t="s">
        <v>2417</v>
      </c>
      <c r="D1409" s="65">
        <v>2.1041666666666667E-2</v>
      </c>
      <c r="E1409" s="5" t="s">
        <v>4727</v>
      </c>
      <c r="F1409" s="108" t="s">
        <v>2806</v>
      </c>
      <c r="I1409" s="2"/>
      <c r="K1409" s="82">
        <v>0.64029999999999998</v>
      </c>
    </row>
    <row r="1410" spans="1:11" x14ac:dyDescent="0.2">
      <c r="A1410" s="33">
        <v>42714</v>
      </c>
      <c r="B1410" s="5" t="s">
        <v>2416</v>
      </c>
      <c r="C1410" s="32" t="s">
        <v>2417</v>
      </c>
      <c r="D1410" s="543" t="s">
        <v>787</v>
      </c>
      <c r="E1410" s="5" t="s">
        <v>4727</v>
      </c>
      <c r="F1410" s="108" t="s">
        <v>1549</v>
      </c>
      <c r="I1410" s="2"/>
      <c r="K1410" s="82"/>
    </row>
    <row r="1411" spans="1:11" x14ac:dyDescent="0.2">
      <c r="A1411" s="33">
        <v>42707</v>
      </c>
      <c r="B1411" s="5" t="s">
        <v>2416</v>
      </c>
      <c r="C1411" s="32" t="s">
        <v>2417</v>
      </c>
      <c r="D1411" s="65">
        <v>2.1365740740740741E-2</v>
      </c>
      <c r="E1411" s="5" t="s">
        <v>4727</v>
      </c>
      <c r="F1411" s="108" t="s">
        <v>6052</v>
      </c>
      <c r="I1411" s="2"/>
      <c r="K1411" s="82">
        <v>0.63060000000000005</v>
      </c>
    </row>
    <row r="1412" spans="1:11" x14ac:dyDescent="0.2">
      <c r="A1412" s="33">
        <v>42700</v>
      </c>
      <c r="B1412" s="5" t="s">
        <v>2416</v>
      </c>
      <c r="C1412" s="32" t="s">
        <v>2417</v>
      </c>
      <c r="D1412" s="65">
        <v>2.1365740740740741E-2</v>
      </c>
      <c r="E1412" s="5" t="s">
        <v>4727</v>
      </c>
      <c r="F1412" s="69"/>
      <c r="I1412" s="2"/>
      <c r="K1412" s="82">
        <v>0.63060000000000005</v>
      </c>
    </row>
    <row r="1413" spans="1:11" x14ac:dyDescent="0.2">
      <c r="A1413" s="33">
        <v>42686</v>
      </c>
      <c r="B1413" s="5" t="s">
        <v>2416</v>
      </c>
      <c r="C1413" s="32" t="s">
        <v>2417</v>
      </c>
      <c r="D1413" s="65">
        <v>2.1631944444444443E-2</v>
      </c>
      <c r="E1413" t="s">
        <v>4727</v>
      </c>
      <c r="F1413" s="69" t="s">
        <v>1465</v>
      </c>
      <c r="I1413" s="2"/>
      <c r="K1413" s="82">
        <v>0.62280000000000002</v>
      </c>
    </row>
    <row r="1414" spans="1:11" x14ac:dyDescent="0.2">
      <c r="A1414" s="33">
        <v>42679</v>
      </c>
      <c r="B1414" s="5" t="s">
        <v>2416</v>
      </c>
      <c r="C1414" s="32" t="s">
        <v>2417</v>
      </c>
      <c r="D1414" s="65">
        <v>2.2291666666666668E-2</v>
      </c>
      <c r="E1414" t="s">
        <v>4727</v>
      </c>
      <c r="F1414" s="69" t="s">
        <v>635</v>
      </c>
      <c r="I1414" s="2"/>
      <c r="K1414" s="82">
        <v>0.60440000000000005</v>
      </c>
    </row>
    <row r="1415" spans="1:11" x14ac:dyDescent="0.2">
      <c r="A1415" s="33">
        <v>42672</v>
      </c>
      <c r="B1415" s="5" t="s">
        <v>2416</v>
      </c>
      <c r="C1415" s="32" t="s">
        <v>2417</v>
      </c>
      <c r="D1415" s="65">
        <v>2.0590277777777777E-2</v>
      </c>
      <c r="E1415" t="s">
        <v>2395</v>
      </c>
      <c r="F1415" s="501" t="s">
        <v>1164</v>
      </c>
      <c r="I1415" s="2"/>
      <c r="K1415" s="82">
        <v>0.65429999999999999</v>
      </c>
    </row>
    <row r="1416" spans="1:11" x14ac:dyDescent="0.2">
      <c r="A1416" s="33">
        <v>42665</v>
      </c>
      <c r="B1416" s="5" t="s">
        <v>2416</v>
      </c>
      <c r="C1416" s="32" t="s">
        <v>2417</v>
      </c>
      <c r="D1416" s="65">
        <v>2.0185185185185184E-2</v>
      </c>
      <c r="E1416" t="s">
        <v>5663</v>
      </c>
      <c r="F1416" s="69" t="s">
        <v>2242</v>
      </c>
      <c r="I1416" s="2"/>
      <c r="K1416" s="82">
        <v>0.66739999999999999</v>
      </c>
    </row>
    <row r="1417" spans="1:11" x14ac:dyDescent="0.2">
      <c r="A1417" s="33">
        <v>42658</v>
      </c>
      <c r="B1417" s="5" t="s">
        <v>2416</v>
      </c>
      <c r="C1417" s="32" t="s">
        <v>2417</v>
      </c>
      <c r="D1417" s="65">
        <v>2.1956018518518517E-2</v>
      </c>
      <c r="E1417" t="s">
        <v>1980</v>
      </c>
      <c r="F1417" s="69" t="s">
        <v>3731</v>
      </c>
      <c r="I1417" s="2"/>
      <c r="K1417" s="82">
        <v>0.61360000000000003</v>
      </c>
    </row>
    <row r="1418" spans="1:11" x14ac:dyDescent="0.2">
      <c r="A1418" s="33">
        <v>42651</v>
      </c>
      <c r="B1418" s="5" t="s">
        <v>2416</v>
      </c>
      <c r="C1418" s="32" t="s">
        <v>2417</v>
      </c>
      <c r="D1418" s="65">
        <v>2.1168981481481483E-2</v>
      </c>
      <c r="E1418" t="s">
        <v>4727</v>
      </c>
      <c r="F1418" s="69" t="s">
        <v>3987</v>
      </c>
      <c r="I1418" s="2"/>
      <c r="K1418" s="82">
        <v>0.63639999999999997</v>
      </c>
    </row>
    <row r="1419" spans="1:11" x14ac:dyDescent="0.2">
      <c r="A1419" s="33">
        <v>42623</v>
      </c>
      <c r="B1419" s="5" t="s">
        <v>2416</v>
      </c>
      <c r="C1419" s="32" t="s">
        <v>2417</v>
      </c>
      <c r="D1419" s="65">
        <v>2.0532407407407405E-2</v>
      </c>
      <c r="E1419" t="s">
        <v>1401</v>
      </c>
      <c r="F1419" s="69" t="s">
        <v>824</v>
      </c>
      <c r="I1419" s="2"/>
      <c r="K1419" s="82">
        <v>0.65610000000000002</v>
      </c>
    </row>
    <row r="1420" spans="1:11" x14ac:dyDescent="0.2">
      <c r="A1420" s="33">
        <v>42609</v>
      </c>
      <c r="B1420" s="5" t="s">
        <v>2416</v>
      </c>
      <c r="C1420" s="32" t="s">
        <v>2417</v>
      </c>
      <c r="D1420" s="65">
        <v>2.1678240740740738E-2</v>
      </c>
      <c r="E1420" t="s">
        <v>4727</v>
      </c>
      <c r="F1420" s="69" t="s">
        <v>4480</v>
      </c>
      <c r="I1420" s="2"/>
      <c r="K1420" s="82">
        <v>0.64200000000000002</v>
      </c>
    </row>
    <row r="1421" spans="1:11" x14ac:dyDescent="0.2">
      <c r="A1421" s="33">
        <v>42588</v>
      </c>
      <c r="B1421" s="5" t="s">
        <v>2416</v>
      </c>
      <c r="C1421" s="32" t="s">
        <v>2417</v>
      </c>
      <c r="D1421" s="543">
        <v>2.2037037037037036E-2</v>
      </c>
      <c r="E1421" s="5" t="s">
        <v>4727</v>
      </c>
      <c r="F1421" s="108" t="s">
        <v>1336</v>
      </c>
      <c r="G1421" s="5"/>
      <c r="H1421" s="5"/>
      <c r="I1421" s="2"/>
      <c r="J1421" s="5"/>
      <c r="K1421" s="85">
        <v>0.61129999999999995</v>
      </c>
    </row>
    <row r="1422" spans="1:11" x14ac:dyDescent="0.2">
      <c r="A1422" s="33">
        <v>42581</v>
      </c>
      <c r="B1422" s="5" t="s">
        <v>2416</v>
      </c>
      <c r="C1422" s="32" t="s">
        <v>2417</v>
      </c>
      <c r="D1422" s="65" t="s">
        <v>787</v>
      </c>
      <c r="E1422" t="s">
        <v>4727</v>
      </c>
      <c r="F1422" s="69" t="s">
        <v>1549</v>
      </c>
      <c r="I1422" s="2"/>
      <c r="K1422" s="82"/>
    </row>
    <row r="1423" spans="1:11" x14ac:dyDescent="0.2">
      <c r="A1423" s="33">
        <v>42567</v>
      </c>
      <c r="B1423" s="5" t="s">
        <v>2416</v>
      </c>
      <c r="C1423" s="32" t="s">
        <v>2417</v>
      </c>
      <c r="D1423" s="65">
        <v>2.1956018518518517E-2</v>
      </c>
      <c r="E1423" t="s">
        <v>4727</v>
      </c>
      <c r="F1423" s="69"/>
      <c r="I1423" s="2"/>
      <c r="K1423" s="82">
        <v>0.61360000000000003</v>
      </c>
    </row>
    <row r="1424" spans="1:11" x14ac:dyDescent="0.2">
      <c r="A1424" s="33">
        <v>42560</v>
      </c>
      <c r="B1424" s="5" t="s">
        <v>2416</v>
      </c>
      <c r="C1424" s="32" t="s">
        <v>2417</v>
      </c>
      <c r="D1424" s="65" t="s">
        <v>787</v>
      </c>
      <c r="E1424" t="s">
        <v>4727</v>
      </c>
      <c r="F1424" s="69"/>
      <c r="I1424" s="2"/>
      <c r="K1424" s="82"/>
    </row>
    <row r="1425" spans="1:16" x14ac:dyDescent="0.2">
      <c r="A1425" s="33">
        <v>42560</v>
      </c>
      <c r="B1425" t="s">
        <v>2416</v>
      </c>
      <c r="C1425" s="1" t="s">
        <v>2417</v>
      </c>
      <c r="D1425" s="10" t="s">
        <v>787</v>
      </c>
      <c r="E1425" s="5" t="s">
        <v>4727</v>
      </c>
      <c r="F1425" s="108" t="s">
        <v>1549</v>
      </c>
      <c r="G1425" s="5"/>
      <c r="H1425" s="2"/>
      <c r="I1425" s="2"/>
      <c r="K1425" s="82"/>
    </row>
    <row r="1426" spans="1:16" x14ac:dyDescent="0.2">
      <c r="A1426" s="33">
        <v>42553</v>
      </c>
      <c r="B1426" s="5" t="s">
        <v>2416</v>
      </c>
      <c r="C1426" s="32" t="s">
        <v>2417</v>
      </c>
      <c r="D1426" s="65">
        <v>2.1180555555555553E-2</v>
      </c>
      <c r="E1426" t="s">
        <v>1719</v>
      </c>
      <c r="F1426" s="69" t="s">
        <v>2435</v>
      </c>
      <c r="I1426" s="2"/>
      <c r="K1426" s="82">
        <v>0.6361</v>
      </c>
      <c r="M1426" t="s">
        <v>2396</v>
      </c>
      <c r="P1426" t="s">
        <v>2398</v>
      </c>
    </row>
    <row r="1427" spans="1:16" x14ac:dyDescent="0.2">
      <c r="A1427" s="33">
        <v>42546</v>
      </c>
      <c r="B1427" s="5" t="s">
        <v>2416</v>
      </c>
      <c r="C1427" s="32" t="s">
        <v>2417</v>
      </c>
      <c r="D1427" s="65">
        <v>2.162037037037037E-2</v>
      </c>
      <c r="E1427" t="s">
        <v>4727</v>
      </c>
      <c r="F1427" s="69" t="s">
        <v>461</v>
      </c>
      <c r="I1427" s="2"/>
      <c r="K1427" s="82">
        <v>0.62309999999999999</v>
      </c>
    </row>
    <row r="1428" spans="1:16" x14ac:dyDescent="0.2">
      <c r="A1428" s="33">
        <v>42539</v>
      </c>
      <c r="B1428" s="5" t="s">
        <v>2416</v>
      </c>
      <c r="C1428" s="32" t="s">
        <v>2417</v>
      </c>
      <c r="D1428" s="65">
        <v>2.1122685185185185E-2</v>
      </c>
      <c r="E1428" t="s">
        <v>4727</v>
      </c>
      <c r="F1428" s="69" t="s">
        <v>1067</v>
      </c>
      <c r="I1428" s="2"/>
      <c r="K1428" s="82">
        <v>0.63780000000000003</v>
      </c>
    </row>
    <row r="1429" spans="1:16" x14ac:dyDescent="0.2">
      <c r="A1429" s="33">
        <v>42525</v>
      </c>
      <c r="B1429" s="5" t="s">
        <v>2416</v>
      </c>
      <c r="C1429" s="32" t="s">
        <v>2417</v>
      </c>
      <c r="D1429" s="543">
        <v>2.1388888888888888E-2</v>
      </c>
      <c r="E1429" s="5" t="s">
        <v>4727</v>
      </c>
      <c r="F1429" s="108" t="s">
        <v>4885</v>
      </c>
      <c r="G1429" s="5"/>
      <c r="H1429" s="5"/>
      <c r="I1429" s="2"/>
      <c r="J1429" s="5"/>
      <c r="K1429" s="85">
        <v>0.62990000000000002</v>
      </c>
    </row>
    <row r="1430" spans="1:16" x14ac:dyDescent="0.2">
      <c r="A1430" s="33">
        <v>42518</v>
      </c>
      <c r="B1430" s="5" t="s">
        <v>2416</v>
      </c>
      <c r="C1430" s="32" t="s">
        <v>2417</v>
      </c>
      <c r="D1430" s="543">
        <v>2.0312500000000001E-2</v>
      </c>
      <c r="E1430" s="5" t="s">
        <v>5653</v>
      </c>
      <c r="F1430" s="108" t="s">
        <v>3785</v>
      </c>
      <c r="G1430" s="5"/>
      <c r="H1430" s="5"/>
      <c r="I1430" s="2"/>
      <c r="J1430" s="5"/>
      <c r="K1430" s="85">
        <v>0.66320000000000001</v>
      </c>
    </row>
    <row r="1431" spans="1:16" x14ac:dyDescent="0.2">
      <c r="A1431" s="33">
        <v>42511</v>
      </c>
      <c r="B1431" s="5" t="s">
        <v>2416</v>
      </c>
      <c r="C1431" s="32" t="s">
        <v>2417</v>
      </c>
      <c r="D1431" s="543">
        <v>2.0868055555555556E-2</v>
      </c>
      <c r="E1431" s="5" t="s">
        <v>4727</v>
      </c>
      <c r="F1431" s="108"/>
      <c r="G1431" s="5"/>
      <c r="H1431" s="5"/>
      <c r="I1431" s="2"/>
      <c r="J1431" s="5"/>
      <c r="K1431" s="85">
        <v>0.64559999999999995</v>
      </c>
    </row>
    <row r="1432" spans="1:16" x14ac:dyDescent="0.2">
      <c r="A1432" s="33">
        <v>42504</v>
      </c>
      <c r="B1432" s="5" t="s">
        <v>2416</v>
      </c>
      <c r="C1432" s="32" t="s">
        <v>2417</v>
      </c>
      <c r="D1432" s="543" t="s">
        <v>787</v>
      </c>
      <c r="E1432" s="5" t="s">
        <v>4727</v>
      </c>
      <c r="F1432" s="108"/>
      <c r="G1432" s="5"/>
      <c r="H1432" s="5"/>
      <c r="I1432" s="5"/>
      <c r="J1432" s="5"/>
      <c r="K1432" s="85"/>
    </row>
    <row r="1433" spans="1:16" x14ac:dyDescent="0.2">
      <c r="A1433" s="33">
        <v>42497</v>
      </c>
      <c r="B1433" s="5" t="s">
        <v>2416</v>
      </c>
      <c r="C1433" s="32" t="s">
        <v>2417</v>
      </c>
      <c r="D1433" s="543">
        <v>2.2025462962962958E-2</v>
      </c>
      <c r="E1433" s="5" t="s">
        <v>4727</v>
      </c>
      <c r="F1433" s="108" t="s">
        <v>2418</v>
      </c>
      <c r="G1433" s="5"/>
      <c r="H1433" s="5"/>
      <c r="I1433" s="5"/>
      <c r="J1433" s="5"/>
      <c r="K1433" s="85">
        <v>0.61170000000000002</v>
      </c>
    </row>
    <row r="1434" spans="1:16" x14ac:dyDescent="0.2">
      <c r="A1434" s="33">
        <v>42490</v>
      </c>
      <c r="B1434" s="5" t="s">
        <v>2416</v>
      </c>
      <c r="C1434" s="32" t="s">
        <v>2417</v>
      </c>
      <c r="D1434" s="543">
        <v>2.101851851851852E-2</v>
      </c>
      <c r="E1434" s="5" t="s">
        <v>3167</v>
      </c>
      <c r="F1434" s="108" t="s">
        <v>945</v>
      </c>
      <c r="G1434" s="5"/>
      <c r="H1434" s="5"/>
      <c r="I1434" s="5"/>
      <c r="J1434" s="5"/>
      <c r="K1434" s="85">
        <v>0.64100000000000001</v>
      </c>
    </row>
    <row r="1435" spans="1:16" x14ac:dyDescent="0.2">
      <c r="A1435" s="33">
        <v>42483</v>
      </c>
      <c r="B1435" s="5" t="s">
        <v>2416</v>
      </c>
      <c r="C1435" s="32" t="s">
        <v>2417</v>
      </c>
      <c r="D1435" s="543">
        <v>2.1527777777777781E-2</v>
      </c>
      <c r="E1435" s="5" t="s">
        <v>4727</v>
      </c>
      <c r="F1435" s="108" t="s">
        <v>2500</v>
      </c>
      <c r="G1435" s="5"/>
      <c r="H1435" s="5"/>
      <c r="I1435" s="2"/>
      <c r="J1435" s="5"/>
      <c r="K1435" s="85">
        <v>0.62580000000000002</v>
      </c>
    </row>
    <row r="1436" spans="1:16" x14ac:dyDescent="0.2">
      <c r="A1436" s="33">
        <v>42476</v>
      </c>
      <c r="B1436" s="5" t="s">
        <v>2416</v>
      </c>
      <c r="C1436" s="32" t="s">
        <v>2417</v>
      </c>
      <c r="D1436" s="65">
        <v>2.0509259259259258E-2</v>
      </c>
      <c r="E1436" s="5" t="s">
        <v>5544</v>
      </c>
      <c r="F1436" s="69" t="s">
        <v>5013</v>
      </c>
      <c r="I1436" s="2"/>
      <c r="K1436" s="82">
        <v>0.64790000000000003</v>
      </c>
    </row>
    <row r="1437" spans="1:16" x14ac:dyDescent="0.2">
      <c r="A1437" s="33">
        <v>42469</v>
      </c>
      <c r="B1437" s="5" t="s">
        <v>2416</v>
      </c>
      <c r="C1437" s="32" t="s">
        <v>2417</v>
      </c>
      <c r="D1437" s="65" t="s">
        <v>787</v>
      </c>
      <c r="E1437" t="s">
        <v>4727</v>
      </c>
      <c r="F1437" s="69" t="s">
        <v>5699</v>
      </c>
      <c r="I1437" s="2"/>
      <c r="K1437" s="82"/>
    </row>
    <row r="1438" spans="1:16" x14ac:dyDescent="0.2">
      <c r="A1438" s="33">
        <v>42462</v>
      </c>
      <c r="B1438" t="s">
        <v>2416</v>
      </c>
      <c r="C1438" s="1" t="s">
        <v>2417</v>
      </c>
      <c r="D1438" s="65">
        <v>2.0219907407407409E-2</v>
      </c>
      <c r="E1438" s="5" t="s">
        <v>2593</v>
      </c>
      <c r="F1438" s="69" t="s">
        <v>517</v>
      </c>
      <c r="I1438" s="2"/>
      <c r="K1438" s="82">
        <v>0.65710000000000002</v>
      </c>
    </row>
    <row r="1439" spans="1:16" x14ac:dyDescent="0.2">
      <c r="A1439" s="33">
        <v>42455</v>
      </c>
      <c r="B1439" t="s">
        <v>2416</v>
      </c>
      <c r="C1439" s="1" t="s">
        <v>2417</v>
      </c>
      <c r="D1439" s="65">
        <v>2.1030092592592597E-2</v>
      </c>
      <c r="E1439" t="s">
        <v>4727</v>
      </c>
      <c r="F1439" s="69" t="s">
        <v>1416</v>
      </c>
      <c r="I1439" s="2"/>
      <c r="K1439" s="82">
        <v>0.63180000000000003</v>
      </c>
    </row>
    <row r="1440" spans="1:16" x14ac:dyDescent="0.2">
      <c r="A1440" s="33">
        <v>42448</v>
      </c>
      <c r="B1440" t="s">
        <v>2416</v>
      </c>
      <c r="C1440" s="1" t="s">
        <v>2417</v>
      </c>
      <c r="D1440" s="65">
        <v>2.1770833333333336E-2</v>
      </c>
      <c r="E1440" t="s">
        <v>4727</v>
      </c>
      <c r="F1440" s="69" t="s">
        <v>2540</v>
      </c>
      <c r="I1440" s="2"/>
      <c r="K1440" s="82">
        <v>0.61029999999999995</v>
      </c>
    </row>
    <row r="1441" spans="1:12" x14ac:dyDescent="0.2">
      <c r="A1441" s="33">
        <v>42441</v>
      </c>
      <c r="B1441" t="s">
        <v>2416</v>
      </c>
      <c r="C1441" s="1" t="s">
        <v>2417</v>
      </c>
      <c r="D1441" s="65">
        <v>2.1458333333333333E-2</v>
      </c>
      <c r="E1441" t="s">
        <v>4968</v>
      </c>
      <c r="F1441" s="69" t="s">
        <v>4310</v>
      </c>
      <c r="I1441" s="2"/>
      <c r="K1441" s="82">
        <v>0.61919999999999997</v>
      </c>
    </row>
    <row r="1442" spans="1:12" x14ac:dyDescent="0.2">
      <c r="A1442" s="33">
        <v>42434</v>
      </c>
      <c r="B1442" t="s">
        <v>2416</v>
      </c>
      <c r="C1442" s="1" t="s">
        <v>2417</v>
      </c>
      <c r="D1442" s="65">
        <v>2.0706018518518519E-2</v>
      </c>
      <c r="E1442" t="s">
        <v>3093</v>
      </c>
      <c r="F1442" s="69"/>
      <c r="I1442" s="2"/>
      <c r="K1442" s="82">
        <v>0.64170000000000005</v>
      </c>
    </row>
    <row r="1443" spans="1:12" x14ac:dyDescent="0.2">
      <c r="A1443" s="33">
        <v>42427</v>
      </c>
      <c r="B1443" t="s">
        <v>2416</v>
      </c>
      <c r="C1443" s="1" t="s">
        <v>2417</v>
      </c>
      <c r="D1443" s="65">
        <v>2.1296296296296299E-2</v>
      </c>
      <c r="E1443" s="5" t="s">
        <v>5492</v>
      </c>
      <c r="F1443" s="69" t="s">
        <v>4630</v>
      </c>
      <c r="H1443" t="s">
        <v>2196</v>
      </c>
      <c r="I1443" s="2"/>
      <c r="K1443" s="82">
        <v>0.62390000000000001</v>
      </c>
    </row>
    <row r="1444" spans="1:12" x14ac:dyDescent="0.2">
      <c r="A1444" s="33">
        <v>42420</v>
      </c>
      <c r="B1444" t="s">
        <v>2416</v>
      </c>
      <c r="C1444" s="1" t="s">
        <v>2417</v>
      </c>
      <c r="D1444" s="65">
        <v>2.193287037037037E-2</v>
      </c>
      <c r="E1444" t="s">
        <v>4727</v>
      </c>
      <c r="F1444" s="69" t="s">
        <v>4483</v>
      </c>
      <c r="I1444" s="2"/>
      <c r="K1444" s="82">
        <v>0.60580000000000001</v>
      </c>
    </row>
    <row r="1445" spans="1:12" x14ac:dyDescent="0.2">
      <c r="A1445" s="33">
        <v>42406</v>
      </c>
      <c r="B1445" t="s">
        <v>2416</v>
      </c>
      <c r="C1445" s="1" t="s">
        <v>2417</v>
      </c>
      <c r="D1445" s="65">
        <v>2.1307870370370369E-2</v>
      </c>
      <c r="E1445" t="s">
        <v>4727</v>
      </c>
      <c r="F1445" s="69" t="s">
        <v>3827</v>
      </c>
      <c r="I1445" s="2"/>
      <c r="K1445" s="82">
        <v>0.62360000000000004</v>
      </c>
      <c r="L1445" s="5"/>
    </row>
    <row r="1446" spans="1:12" x14ac:dyDescent="0.2">
      <c r="A1446" s="33">
        <v>42399</v>
      </c>
      <c r="B1446" t="s">
        <v>2416</v>
      </c>
      <c r="C1446" s="1" t="s">
        <v>2417</v>
      </c>
      <c r="D1446" s="65">
        <v>2.3321759259259261E-2</v>
      </c>
      <c r="E1446" t="s">
        <v>4936</v>
      </c>
      <c r="F1446" s="69" t="s">
        <v>4507</v>
      </c>
      <c r="I1446" s="2"/>
      <c r="K1446" s="82">
        <v>0.56969999999999998</v>
      </c>
    </row>
    <row r="1447" spans="1:12" x14ac:dyDescent="0.2">
      <c r="A1447" s="33">
        <v>42392</v>
      </c>
      <c r="B1447" t="s">
        <v>2416</v>
      </c>
      <c r="C1447" s="1" t="s">
        <v>2417</v>
      </c>
      <c r="D1447" s="65" t="s">
        <v>787</v>
      </c>
      <c r="E1447" s="5" t="s">
        <v>4727</v>
      </c>
      <c r="F1447" s="108" t="s">
        <v>1549</v>
      </c>
      <c r="G1447" s="5"/>
      <c r="H1447" s="2"/>
      <c r="I1447" s="2"/>
      <c r="K1447" s="82"/>
    </row>
    <row r="1448" spans="1:12" x14ac:dyDescent="0.2">
      <c r="A1448" s="33">
        <v>42370</v>
      </c>
      <c r="B1448" t="s">
        <v>2416</v>
      </c>
      <c r="C1448" s="1" t="s">
        <v>2417</v>
      </c>
      <c r="D1448" s="65">
        <v>2.1377314814814818E-2</v>
      </c>
      <c r="E1448" s="5" t="s">
        <v>5095</v>
      </c>
      <c r="F1448" s="108" t="s">
        <v>2780</v>
      </c>
      <c r="G1448" s="5"/>
      <c r="H1448" s="2"/>
      <c r="I1448" s="2"/>
      <c r="K1448" s="82">
        <v>0.62150000000000005</v>
      </c>
    </row>
    <row r="1449" spans="1:12" x14ac:dyDescent="0.2">
      <c r="A1449" s="33">
        <v>42735</v>
      </c>
      <c r="B1449" s="80" t="s">
        <v>866</v>
      </c>
      <c r="C1449" s="334" t="s">
        <v>2417</v>
      </c>
      <c r="D1449" s="65">
        <v>2.1898148148148149E-2</v>
      </c>
      <c r="E1449" s="80" t="s">
        <v>4727</v>
      </c>
      <c r="F1449" s="69" t="s">
        <v>6193</v>
      </c>
      <c r="I1449" s="2"/>
      <c r="K1449" s="82">
        <v>0.51739999999999997</v>
      </c>
    </row>
    <row r="1450" spans="1:12" x14ac:dyDescent="0.2">
      <c r="A1450" s="33">
        <v>42729</v>
      </c>
      <c r="B1450" s="80" t="s">
        <v>866</v>
      </c>
      <c r="C1450" s="334" t="s">
        <v>2417</v>
      </c>
      <c r="D1450" s="65">
        <v>2.1134259259259259E-2</v>
      </c>
      <c r="E1450" s="80" t="s">
        <v>4727</v>
      </c>
      <c r="F1450" s="69" t="s">
        <v>5383</v>
      </c>
      <c r="I1450" s="2"/>
      <c r="K1450" s="82">
        <v>0.52749999999999997</v>
      </c>
    </row>
    <row r="1451" spans="1:12" x14ac:dyDescent="0.2">
      <c r="A1451" s="523">
        <v>42728</v>
      </c>
      <c r="B1451" s="80" t="s">
        <v>866</v>
      </c>
      <c r="C1451" s="334" t="s">
        <v>2417</v>
      </c>
      <c r="D1451" s="65">
        <v>2.1076388888888891E-2</v>
      </c>
      <c r="E1451" s="80" t="s">
        <v>4727</v>
      </c>
      <c r="F1451" s="69" t="s">
        <v>6137</v>
      </c>
      <c r="I1451" s="2"/>
      <c r="K1451" s="82">
        <v>0.52049999999999996</v>
      </c>
    </row>
    <row r="1452" spans="1:12" x14ac:dyDescent="0.2">
      <c r="A1452" s="33">
        <v>42721</v>
      </c>
      <c r="B1452" s="5" t="s">
        <v>866</v>
      </c>
      <c r="C1452" s="32" t="s">
        <v>2417</v>
      </c>
      <c r="D1452" s="65">
        <v>2.1053240740740744E-2</v>
      </c>
      <c r="E1452" s="5" t="s">
        <v>4727</v>
      </c>
      <c r="F1452" s="108" t="s">
        <v>2506</v>
      </c>
      <c r="I1452" s="2"/>
      <c r="K1452" s="82">
        <v>0.53820000000000001</v>
      </c>
    </row>
    <row r="1453" spans="1:12" x14ac:dyDescent="0.2">
      <c r="A1453" s="33">
        <v>42714</v>
      </c>
      <c r="B1453" s="5" t="s">
        <v>866</v>
      </c>
      <c r="C1453" s="32" t="s">
        <v>2417</v>
      </c>
      <c r="D1453" s="543" t="s">
        <v>787</v>
      </c>
      <c r="E1453" s="5" t="s">
        <v>4727</v>
      </c>
      <c r="F1453" s="108" t="s">
        <v>4854</v>
      </c>
      <c r="I1453" s="2"/>
      <c r="K1453" s="82"/>
    </row>
    <row r="1454" spans="1:12" x14ac:dyDescent="0.2">
      <c r="A1454" s="33">
        <v>42707</v>
      </c>
      <c r="B1454" s="5" t="s">
        <v>866</v>
      </c>
      <c r="C1454" s="32" t="s">
        <v>2417</v>
      </c>
      <c r="D1454" s="65">
        <v>2.1377314814814818E-2</v>
      </c>
      <c r="E1454" s="5" t="s">
        <v>4727</v>
      </c>
      <c r="F1454" s="108" t="s">
        <v>6053</v>
      </c>
      <c r="I1454" s="2"/>
      <c r="K1454" s="82">
        <v>0.53</v>
      </c>
    </row>
    <row r="1455" spans="1:12" x14ac:dyDescent="0.2">
      <c r="A1455" s="33">
        <v>42700</v>
      </c>
      <c r="B1455" s="5" t="s">
        <v>866</v>
      </c>
      <c r="C1455" s="32" t="s">
        <v>2417</v>
      </c>
      <c r="D1455" s="65">
        <v>2.1388888888888888E-2</v>
      </c>
      <c r="E1455" s="5" t="s">
        <v>4727</v>
      </c>
      <c r="F1455" s="69"/>
      <c r="I1455" s="2"/>
      <c r="K1455" s="82">
        <v>0.52980000000000005</v>
      </c>
    </row>
    <row r="1456" spans="1:12" x14ac:dyDescent="0.2">
      <c r="A1456" s="33">
        <v>42693</v>
      </c>
      <c r="B1456" s="5" t="s">
        <v>866</v>
      </c>
      <c r="C1456" s="32" t="s">
        <v>2417</v>
      </c>
      <c r="D1456" s="65">
        <v>1.8032407407407407E-2</v>
      </c>
      <c r="E1456" s="5" t="s">
        <v>2637</v>
      </c>
      <c r="F1456" s="69"/>
      <c r="I1456" s="2"/>
      <c r="K1456" s="82">
        <v>0.62839999999999996</v>
      </c>
    </row>
    <row r="1457" spans="1:14" x14ac:dyDescent="0.2">
      <c r="A1457" s="33">
        <v>42686</v>
      </c>
      <c r="B1457" s="5" t="s">
        <v>866</v>
      </c>
      <c r="C1457" s="32" t="s">
        <v>2417</v>
      </c>
      <c r="D1457" s="65">
        <v>2.164351851851852E-2</v>
      </c>
      <c r="E1457" t="s">
        <v>4727</v>
      </c>
      <c r="F1457" s="69" t="s">
        <v>1466</v>
      </c>
      <c r="I1457" s="2"/>
      <c r="K1457" s="82">
        <v>0.52349999999999997</v>
      </c>
    </row>
    <row r="1458" spans="1:14" x14ac:dyDescent="0.2">
      <c r="A1458" s="33">
        <v>42679</v>
      </c>
      <c r="B1458" s="5" t="s">
        <v>866</v>
      </c>
      <c r="C1458" s="32" t="s">
        <v>2417</v>
      </c>
      <c r="D1458" s="65">
        <v>2.2291666666666668E-2</v>
      </c>
      <c r="E1458" t="s">
        <v>4727</v>
      </c>
      <c r="F1458" s="69" t="s">
        <v>346</v>
      </c>
      <c r="I1458" s="2"/>
      <c r="K1458" s="82">
        <v>0.50829999999999997</v>
      </c>
    </row>
    <row r="1459" spans="1:14" x14ac:dyDescent="0.2">
      <c r="A1459" s="33">
        <v>42672</v>
      </c>
      <c r="B1459" s="5" t="s">
        <v>866</v>
      </c>
      <c r="C1459" s="32" t="s">
        <v>2417</v>
      </c>
      <c r="D1459" s="65">
        <v>2.0590277777777777E-2</v>
      </c>
      <c r="E1459" t="s">
        <v>2395</v>
      </c>
      <c r="F1459" s="69" t="s">
        <v>4655</v>
      </c>
      <c r="I1459" s="2"/>
      <c r="K1459" s="82">
        <v>0.55030000000000001</v>
      </c>
    </row>
    <row r="1460" spans="1:14" x14ac:dyDescent="0.2">
      <c r="A1460" s="33">
        <v>42665</v>
      </c>
      <c r="B1460" s="5" t="s">
        <v>866</v>
      </c>
      <c r="C1460" s="32" t="s">
        <v>2417</v>
      </c>
      <c r="D1460" s="65">
        <v>2.0428240740740743E-2</v>
      </c>
      <c r="E1460" t="s">
        <v>5663</v>
      </c>
      <c r="F1460" s="69" t="s">
        <v>394</v>
      </c>
      <c r="I1460" s="2"/>
      <c r="K1460" s="82">
        <v>0.56100000000000005</v>
      </c>
    </row>
    <row r="1461" spans="1:14" x14ac:dyDescent="0.2">
      <c r="A1461" s="33">
        <v>42658</v>
      </c>
      <c r="B1461" s="5" t="s">
        <v>866</v>
      </c>
      <c r="C1461" s="32" t="s">
        <v>2417</v>
      </c>
      <c r="D1461" s="65">
        <v>2.1967592592592594E-2</v>
      </c>
      <c r="E1461" t="s">
        <v>1980</v>
      </c>
      <c r="F1461" s="69" t="s">
        <v>3731</v>
      </c>
      <c r="I1461" s="2"/>
      <c r="K1461" s="82">
        <v>0.51580000000000004</v>
      </c>
    </row>
    <row r="1462" spans="1:14" x14ac:dyDescent="0.2">
      <c r="A1462" s="33">
        <v>42651</v>
      </c>
      <c r="B1462" s="5" t="s">
        <v>866</v>
      </c>
      <c r="C1462" s="32" t="s">
        <v>2417</v>
      </c>
      <c r="D1462" s="65">
        <v>2.1180555555555553E-2</v>
      </c>
      <c r="E1462" t="s">
        <v>4727</v>
      </c>
      <c r="F1462" s="69" t="s">
        <v>3516</v>
      </c>
      <c r="I1462" s="2"/>
      <c r="K1462" s="82">
        <v>0.53500000000000003</v>
      </c>
    </row>
    <row r="1463" spans="1:14" x14ac:dyDescent="0.2">
      <c r="A1463" s="33">
        <v>42623</v>
      </c>
      <c r="B1463" s="5" t="s">
        <v>866</v>
      </c>
      <c r="C1463" s="32" t="s">
        <v>2417</v>
      </c>
      <c r="D1463" s="65">
        <v>2.0532407407407405E-2</v>
      </c>
      <c r="E1463" t="s">
        <v>1401</v>
      </c>
      <c r="F1463" s="69" t="s">
        <v>824</v>
      </c>
      <c r="I1463" s="2"/>
      <c r="K1463" s="82">
        <v>0.55189999999999995</v>
      </c>
    </row>
    <row r="1464" spans="1:14" x14ac:dyDescent="0.2">
      <c r="A1464" s="33">
        <v>42609</v>
      </c>
      <c r="B1464" s="5" t="s">
        <v>866</v>
      </c>
      <c r="C1464" s="32" t="s">
        <v>2417</v>
      </c>
      <c r="D1464" s="65">
        <v>2.1689814814814815E-2</v>
      </c>
      <c r="E1464" t="s">
        <v>4727</v>
      </c>
      <c r="F1464" s="69" t="s">
        <v>5698</v>
      </c>
      <c r="I1464" s="2"/>
      <c r="K1464" s="82">
        <v>0.53969999999999996</v>
      </c>
    </row>
    <row r="1465" spans="1:14" x14ac:dyDescent="0.2">
      <c r="A1465" s="33">
        <v>42595</v>
      </c>
      <c r="B1465" s="5" t="s">
        <v>866</v>
      </c>
      <c r="C1465" s="32" t="s">
        <v>2417</v>
      </c>
      <c r="D1465" s="65">
        <v>1.741898148148148E-2</v>
      </c>
      <c r="E1465" t="s">
        <v>1535</v>
      </c>
      <c r="F1465" s="69" t="s">
        <v>1438</v>
      </c>
      <c r="I1465" s="2"/>
      <c r="K1465" s="82">
        <v>0.65049999999999997</v>
      </c>
      <c r="M1465" s="6"/>
    </row>
    <row r="1466" spans="1:14" x14ac:dyDescent="0.2">
      <c r="A1466" s="33">
        <v>42588</v>
      </c>
      <c r="B1466" s="5" t="s">
        <v>866</v>
      </c>
      <c r="C1466" s="32" t="s">
        <v>2417</v>
      </c>
      <c r="D1466" s="543">
        <v>2.2048611111111113E-2</v>
      </c>
      <c r="E1466" s="5" t="s">
        <v>4727</v>
      </c>
      <c r="F1466" s="108" t="s">
        <v>1337</v>
      </c>
      <c r="G1466" s="5"/>
      <c r="H1466" s="5"/>
      <c r="I1466" s="2"/>
      <c r="J1466" s="5"/>
      <c r="K1466" s="85">
        <v>0.51390000000000002</v>
      </c>
    </row>
    <row r="1467" spans="1:14" x14ac:dyDescent="0.2">
      <c r="A1467" s="33">
        <v>42581</v>
      </c>
      <c r="B1467" s="5" t="s">
        <v>866</v>
      </c>
      <c r="C1467" s="32" t="s">
        <v>2417</v>
      </c>
      <c r="D1467" s="65" t="s">
        <v>787</v>
      </c>
      <c r="E1467" t="s">
        <v>4727</v>
      </c>
      <c r="F1467" s="69" t="s">
        <v>1549</v>
      </c>
      <c r="I1467" s="2"/>
      <c r="K1467" s="82"/>
    </row>
    <row r="1468" spans="1:14" x14ac:dyDescent="0.2">
      <c r="A1468" s="33">
        <v>42574</v>
      </c>
      <c r="B1468" s="5" t="s">
        <v>866</v>
      </c>
      <c r="C1468" s="32" t="s">
        <v>2417</v>
      </c>
      <c r="D1468" s="65">
        <v>1.7395833333333336E-2</v>
      </c>
      <c r="E1468" t="s">
        <v>5653</v>
      </c>
      <c r="F1468" s="69" t="s">
        <v>635</v>
      </c>
      <c r="I1468" s="2"/>
      <c r="K1468" s="82">
        <v>0.65139999999999998</v>
      </c>
    </row>
    <row r="1469" spans="1:14" x14ac:dyDescent="0.2">
      <c r="A1469" s="33">
        <v>42567</v>
      </c>
      <c r="B1469" s="5" t="s">
        <v>866</v>
      </c>
      <c r="C1469" s="32" t="s">
        <v>2417</v>
      </c>
      <c r="D1469" s="65">
        <v>2.1956018518518517E-2</v>
      </c>
      <c r="E1469" t="s">
        <v>4727</v>
      </c>
      <c r="F1469" s="69" t="s">
        <v>1164</v>
      </c>
      <c r="I1469" s="2"/>
      <c r="K1469" s="82">
        <v>0.5161</v>
      </c>
    </row>
    <row r="1470" spans="1:14" x14ac:dyDescent="0.2">
      <c r="A1470" s="33">
        <v>42560</v>
      </c>
      <c r="B1470" s="5" t="s">
        <v>866</v>
      </c>
      <c r="C1470" s="32" t="s">
        <v>2417</v>
      </c>
      <c r="D1470" s="65">
        <v>1.7210648148148149E-2</v>
      </c>
      <c r="E1470" t="s">
        <v>2961</v>
      </c>
      <c r="F1470" s="69" t="s">
        <v>4352</v>
      </c>
      <c r="I1470" s="2"/>
      <c r="K1470" s="82">
        <v>0.65839999999999999</v>
      </c>
      <c r="N1470" s="80"/>
    </row>
    <row r="1471" spans="1:14" x14ac:dyDescent="0.2">
      <c r="A1471" s="33">
        <v>42560</v>
      </c>
      <c r="B1471" t="s">
        <v>866</v>
      </c>
      <c r="C1471" s="1" t="s">
        <v>2417</v>
      </c>
      <c r="D1471" s="10" t="s">
        <v>787</v>
      </c>
      <c r="E1471" s="5" t="s">
        <v>4727</v>
      </c>
      <c r="F1471" s="108" t="s">
        <v>1549</v>
      </c>
      <c r="G1471" s="5"/>
      <c r="H1471" s="2"/>
      <c r="I1471" s="2"/>
      <c r="K1471" s="82"/>
    </row>
    <row r="1472" spans="1:14" x14ac:dyDescent="0.2">
      <c r="A1472" s="33">
        <v>42553</v>
      </c>
      <c r="B1472" s="5" t="s">
        <v>866</v>
      </c>
      <c r="C1472" s="32" t="s">
        <v>2417</v>
      </c>
      <c r="D1472" s="65">
        <v>2.119212962962963E-2</v>
      </c>
      <c r="E1472" t="s">
        <v>1719</v>
      </c>
      <c r="F1472" s="69" t="s">
        <v>2435</v>
      </c>
      <c r="I1472" s="2"/>
      <c r="K1472" s="82">
        <v>0.53469999999999995</v>
      </c>
    </row>
    <row r="1473" spans="1:11" x14ac:dyDescent="0.2">
      <c r="A1473" s="33">
        <v>42546</v>
      </c>
      <c r="B1473" s="5" t="s">
        <v>866</v>
      </c>
      <c r="C1473" s="32" t="s">
        <v>2417</v>
      </c>
      <c r="D1473" s="65">
        <v>2.1631944444444443E-2</v>
      </c>
      <c r="E1473" t="s">
        <v>4727</v>
      </c>
      <c r="F1473" s="69" t="s">
        <v>3987</v>
      </c>
      <c r="I1473" s="2"/>
      <c r="K1473" s="82">
        <v>0.52380000000000004</v>
      </c>
    </row>
    <row r="1474" spans="1:11" x14ac:dyDescent="0.2">
      <c r="A1474" s="33">
        <v>42539</v>
      </c>
      <c r="B1474" s="5" t="s">
        <v>866</v>
      </c>
      <c r="C1474" s="32" t="s">
        <v>2417</v>
      </c>
      <c r="D1474" s="65">
        <v>2.1134259259259259E-2</v>
      </c>
      <c r="E1474" t="s">
        <v>4727</v>
      </c>
      <c r="F1474" s="69" t="s">
        <v>3188</v>
      </c>
      <c r="I1474" s="2"/>
      <c r="K1474" s="82">
        <v>0.53610000000000002</v>
      </c>
    </row>
    <row r="1475" spans="1:11" x14ac:dyDescent="0.2">
      <c r="A1475" s="33">
        <v>42525</v>
      </c>
      <c r="B1475" s="5" t="s">
        <v>866</v>
      </c>
      <c r="C1475" s="32" t="s">
        <v>2417</v>
      </c>
      <c r="D1475" s="543">
        <v>1.6967592592592593E-2</v>
      </c>
      <c r="E1475" s="5" t="s">
        <v>2634</v>
      </c>
      <c r="F1475" s="108" t="s">
        <v>4138</v>
      </c>
      <c r="G1475" s="5"/>
      <c r="H1475" s="5"/>
      <c r="I1475" s="2"/>
      <c r="J1475" s="5"/>
      <c r="K1475" s="85">
        <v>0.66779999999999995</v>
      </c>
    </row>
    <row r="1476" spans="1:11" x14ac:dyDescent="0.2">
      <c r="A1476" s="33">
        <v>42518</v>
      </c>
      <c r="B1476" s="5" t="s">
        <v>866</v>
      </c>
      <c r="C1476" s="32" t="s">
        <v>2417</v>
      </c>
      <c r="D1476" s="543">
        <v>2.0324074074074074E-2</v>
      </c>
      <c r="E1476" s="5" t="s">
        <v>5653</v>
      </c>
      <c r="F1476" s="108" t="s">
        <v>3786</v>
      </c>
      <c r="G1476" s="5"/>
      <c r="H1476" s="5"/>
      <c r="I1476" s="2"/>
      <c r="J1476" s="5"/>
      <c r="K1476" s="85">
        <v>0.5575</v>
      </c>
    </row>
    <row r="1477" spans="1:11" x14ac:dyDescent="0.2">
      <c r="A1477" s="33">
        <v>42511</v>
      </c>
      <c r="B1477" s="5" t="s">
        <v>866</v>
      </c>
      <c r="C1477" s="32" t="s">
        <v>2417</v>
      </c>
      <c r="D1477" s="65" t="s">
        <v>787</v>
      </c>
      <c r="E1477" s="5" t="s">
        <v>4727</v>
      </c>
      <c r="F1477" s="69"/>
      <c r="I1477" s="2"/>
      <c r="K1477" s="82"/>
    </row>
    <row r="1478" spans="1:11" x14ac:dyDescent="0.2">
      <c r="A1478" s="33">
        <v>42504</v>
      </c>
      <c r="B1478" s="5" t="s">
        <v>866</v>
      </c>
      <c r="C1478" s="32" t="s">
        <v>2417</v>
      </c>
      <c r="D1478" s="543" t="s">
        <v>787</v>
      </c>
      <c r="E1478" s="5" t="s">
        <v>4727</v>
      </c>
      <c r="F1478" s="108"/>
      <c r="G1478" s="5"/>
      <c r="H1478" s="5"/>
      <c r="I1478" s="5"/>
      <c r="J1478" s="5"/>
      <c r="K1478" s="85"/>
    </row>
    <row r="1479" spans="1:11" x14ac:dyDescent="0.2">
      <c r="A1479" s="33">
        <v>42497</v>
      </c>
      <c r="B1479" s="5" t="s">
        <v>866</v>
      </c>
      <c r="C1479" s="32" t="s">
        <v>2417</v>
      </c>
      <c r="D1479" s="543">
        <v>2.2037037037037036E-2</v>
      </c>
      <c r="E1479" s="5" t="s">
        <v>4727</v>
      </c>
      <c r="F1479" s="108" t="s">
        <v>272</v>
      </c>
      <c r="G1479" s="5"/>
      <c r="H1479" s="5"/>
      <c r="I1479" s="5"/>
      <c r="J1479" s="5"/>
      <c r="K1479" s="85">
        <v>0.51419999999999999</v>
      </c>
    </row>
    <row r="1480" spans="1:11" x14ac:dyDescent="0.2">
      <c r="A1480" s="33">
        <v>42490</v>
      </c>
      <c r="B1480" s="5" t="s">
        <v>866</v>
      </c>
      <c r="C1480" s="32" t="s">
        <v>2417</v>
      </c>
      <c r="D1480" s="543">
        <v>2.1030092592592597E-2</v>
      </c>
      <c r="E1480" s="5" t="s">
        <v>3167</v>
      </c>
      <c r="F1480" s="108" t="s">
        <v>945</v>
      </c>
      <c r="G1480" s="5"/>
      <c r="H1480" s="5"/>
      <c r="I1480" s="5"/>
      <c r="J1480" s="5"/>
      <c r="K1480" s="85">
        <v>0.53879999999999995</v>
      </c>
    </row>
    <row r="1481" spans="1:11" x14ac:dyDescent="0.2">
      <c r="A1481" s="33">
        <v>42483</v>
      </c>
      <c r="B1481" s="5" t="s">
        <v>866</v>
      </c>
      <c r="C1481" s="32" t="s">
        <v>2417</v>
      </c>
      <c r="D1481" s="543">
        <v>2.1539351851851851E-2</v>
      </c>
      <c r="E1481" s="5" t="s">
        <v>4727</v>
      </c>
      <c r="F1481" s="108" t="s">
        <v>461</v>
      </c>
      <c r="G1481" s="5"/>
      <c r="H1481" s="5"/>
      <c r="I1481" s="2"/>
      <c r="J1481" s="5"/>
      <c r="K1481" s="85">
        <v>0.52610000000000001</v>
      </c>
    </row>
    <row r="1482" spans="1:11" x14ac:dyDescent="0.2">
      <c r="A1482" s="33">
        <v>42476</v>
      </c>
      <c r="B1482" s="5" t="s">
        <v>866</v>
      </c>
      <c r="C1482" s="32" t="s">
        <v>2417</v>
      </c>
      <c r="D1482" s="65">
        <v>2.0509259259259258E-2</v>
      </c>
      <c r="E1482" s="5" t="s">
        <v>5544</v>
      </c>
      <c r="F1482" s="69" t="s">
        <v>5013</v>
      </c>
      <c r="I1482" s="2"/>
      <c r="K1482" s="82">
        <v>0.55249999999999999</v>
      </c>
    </row>
    <row r="1483" spans="1:11" x14ac:dyDescent="0.2">
      <c r="A1483" s="33">
        <v>42469</v>
      </c>
      <c r="B1483" s="5" t="s">
        <v>866</v>
      </c>
      <c r="C1483" s="32" t="s">
        <v>2417</v>
      </c>
      <c r="D1483" s="65" t="s">
        <v>787</v>
      </c>
      <c r="E1483" t="s">
        <v>4727</v>
      </c>
      <c r="F1483" s="69" t="s">
        <v>4854</v>
      </c>
      <c r="I1483" s="2"/>
      <c r="K1483" s="82"/>
    </row>
    <row r="1484" spans="1:11" x14ac:dyDescent="0.2">
      <c r="A1484" s="33">
        <v>42462</v>
      </c>
      <c r="B1484" t="s">
        <v>866</v>
      </c>
      <c r="C1484" s="1" t="s">
        <v>2417</v>
      </c>
      <c r="D1484" s="65">
        <v>2.0231481481481482E-2</v>
      </c>
      <c r="E1484" s="5" t="s">
        <v>2593</v>
      </c>
      <c r="F1484" s="69" t="s">
        <v>517</v>
      </c>
      <c r="I1484" s="2"/>
      <c r="K1484" s="82">
        <v>0.56010000000000004</v>
      </c>
    </row>
    <row r="1485" spans="1:11" x14ac:dyDescent="0.2">
      <c r="A1485" s="33">
        <v>42455</v>
      </c>
      <c r="B1485" t="s">
        <v>866</v>
      </c>
      <c r="C1485" s="1" t="s">
        <v>2417</v>
      </c>
      <c r="D1485" s="65">
        <v>2.1064814814814814E-2</v>
      </c>
      <c r="E1485" t="s">
        <v>4727</v>
      </c>
      <c r="F1485" s="69" t="s">
        <v>1722</v>
      </c>
      <c r="I1485" s="2"/>
      <c r="K1485" s="82">
        <v>0.53790000000000004</v>
      </c>
    </row>
    <row r="1486" spans="1:11" x14ac:dyDescent="0.2">
      <c r="A1486" s="33">
        <v>42448</v>
      </c>
      <c r="B1486" t="s">
        <v>866</v>
      </c>
      <c r="C1486" s="1" t="s">
        <v>2417</v>
      </c>
      <c r="D1486" s="65">
        <v>2.179398148148148E-2</v>
      </c>
      <c r="E1486" t="s">
        <v>4727</v>
      </c>
      <c r="F1486" s="69" t="s">
        <v>3544</v>
      </c>
      <c r="I1486" s="2"/>
      <c r="K1486" s="82">
        <v>0.51990000000000003</v>
      </c>
    </row>
    <row r="1487" spans="1:11" x14ac:dyDescent="0.2">
      <c r="A1487" s="33">
        <v>42441</v>
      </c>
      <c r="B1487" t="s">
        <v>866</v>
      </c>
      <c r="C1487" s="1" t="s">
        <v>2417</v>
      </c>
      <c r="D1487" s="65">
        <v>2.148148148148148E-2</v>
      </c>
      <c r="E1487" t="s">
        <v>4968</v>
      </c>
      <c r="F1487" s="69" t="s">
        <v>4258</v>
      </c>
      <c r="I1487" s="2"/>
      <c r="K1487" s="82">
        <v>0.52749999999999997</v>
      </c>
    </row>
    <row r="1488" spans="1:11" x14ac:dyDescent="0.2">
      <c r="A1488" s="33">
        <v>42434</v>
      </c>
      <c r="B1488" t="s">
        <v>866</v>
      </c>
      <c r="C1488" s="1" t="s">
        <v>2417</v>
      </c>
      <c r="D1488" s="65">
        <v>2.071759259259259E-2</v>
      </c>
      <c r="E1488" t="s">
        <v>3093</v>
      </c>
      <c r="F1488" s="69"/>
      <c r="I1488" s="2"/>
      <c r="K1488" s="82">
        <v>0.54690000000000005</v>
      </c>
    </row>
    <row r="1489" spans="1:11" x14ac:dyDescent="0.2">
      <c r="A1489" s="33">
        <v>42427</v>
      </c>
      <c r="B1489" t="s">
        <v>866</v>
      </c>
      <c r="C1489" s="1" t="s">
        <v>2417</v>
      </c>
      <c r="D1489" s="65">
        <v>2.1307870370370369E-2</v>
      </c>
      <c r="E1489" s="5" t="s">
        <v>5492</v>
      </c>
      <c r="F1489" s="69" t="s">
        <v>4630</v>
      </c>
      <c r="I1489" s="2"/>
      <c r="K1489" s="82">
        <v>0.53180000000000005</v>
      </c>
    </row>
    <row r="1490" spans="1:11" x14ac:dyDescent="0.2">
      <c r="A1490" s="33">
        <v>42420</v>
      </c>
      <c r="B1490" t="s">
        <v>866</v>
      </c>
      <c r="C1490" s="1" t="s">
        <v>2417</v>
      </c>
      <c r="D1490" s="65">
        <v>2.1944444444444447E-2</v>
      </c>
      <c r="E1490" t="s">
        <v>4727</v>
      </c>
      <c r="F1490" s="69" t="s">
        <v>5382</v>
      </c>
      <c r="I1490" s="2"/>
      <c r="K1490" s="82">
        <v>0.51539999999999997</v>
      </c>
    </row>
    <row r="1491" spans="1:11" x14ac:dyDescent="0.2">
      <c r="A1491" s="33">
        <v>42406</v>
      </c>
      <c r="B1491" t="s">
        <v>866</v>
      </c>
      <c r="C1491" s="1" t="s">
        <v>2417</v>
      </c>
      <c r="D1491" s="65">
        <v>2.1319444444444443E-2</v>
      </c>
      <c r="E1491" t="s">
        <v>4727</v>
      </c>
      <c r="F1491" s="69" t="s">
        <v>2904</v>
      </c>
      <c r="I1491" s="2"/>
      <c r="K1491" s="82">
        <v>0.52710000000000001</v>
      </c>
    </row>
    <row r="1492" spans="1:11" x14ac:dyDescent="0.2">
      <c r="A1492" s="33">
        <v>42399</v>
      </c>
      <c r="B1492" t="s">
        <v>866</v>
      </c>
      <c r="C1492" s="1" t="s">
        <v>2417</v>
      </c>
      <c r="D1492" s="65">
        <v>2.3333333333333334E-2</v>
      </c>
      <c r="E1492" t="s">
        <v>4936</v>
      </c>
      <c r="F1492" s="69" t="s">
        <v>4507</v>
      </c>
      <c r="I1492" s="2"/>
      <c r="K1492" s="82">
        <v>0.48159999999999997</v>
      </c>
    </row>
    <row r="1493" spans="1:11" x14ac:dyDescent="0.2">
      <c r="A1493" s="33">
        <v>42392</v>
      </c>
      <c r="B1493" t="s">
        <v>866</v>
      </c>
      <c r="C1493" s="1" t="s">
        <v>2417</v>
      </c>
      <c r="D1493" s="65" t="s">
        <v>787</v>
      </c>
      <c r="E1493" s="5" t="s">
        <v>4727</v>
      </c>
      <c r="F1493" s="108" t="s">
        <v>1549</v>
      </c>
      <c r="G1493" s="5"/>
      <c r="H1493" s="2"/>
      <c r="I1493" s="2"/>
      <c r="K1493" s="82"/>
    </row>
    <row r="1494" spans="1:11" x14ac:dyDescent="0.2">
      <c r="A1494" s="33">
        <v>42370</v>
      </c>
      <c r="B1494" t="s">
        <v>866</v>
      </c>
      <c r="C1494" s="1" t="s">
        <v>2417</v>
      </c>
      <c r="D1494" s="65">
        <v>2.1388888888888888E-2</v>
      </c>
      <c r="E1494" s="5" t="s">
        <v>5095</v>
      </c>
      <c r="F1494" s="108" t="s">
        <v>2780</v>
      </c>
      <c r="G1494" s="5"/>
      <c r="H1494" s="2"/>
      <c r="I1494" s="2"/>
      <c r="K1494" s="82">
        <v>0.52539999999999998</v>
      </c>
    </row>
    <row r="1495" spans="1:11" x14ac:dyDescent="0.2">
      <c r="A1495" s="33">
        <v>42735</v>
      </c>
      <c r="B1495" s="80" t="s">
        <v>3820</v>
      </c>
      <c r="C1495" s="334" t="s">
        <v>3821</v>
      </c>
      <c r="D1495" s="65">
        <v>1.9907407407407408E-2</v>
      </c>
      <c r="E1495" s="80" t="s">
        <v>3072</v>
      </c>
      <c r="F1495" s="69" t="s">
        <v>6187</v>
      </c>
      <c r="I1495" s="2"/>
      <c r="K1495" s="82">
        <v>0.4657</v>
      </c>
    </row>
    <row r="1496" spans="1:11" x14ac:dyDescent="0.2">
      <c r="A1496" s="33">
        <v>42729</v>
      </c>
      <c r="B1496" s="80" t="s">
        <v>3820</v>
      </c>
      <c r="C1496" s="334" t="s">
        <v>3821</v>
      </c>
      <c r="D1496" s="65">
        <v>2.4733796296296295E-2</v>
      </c>
      <c r="E1496" s="80" t="s">
        <v>1401</v>
      </c>
      <c r="F1496" s="69" t="s">
        <v>1485</v>
      </c>
      <c r="I1496" s="2"/>
      <c r="K1496" s="82">
        <v>0.37130000000000002</v>
      </c>
    </row>
    <row r="1497" spans="1:11" x14ac:dyDescent="0.2">
      <c r="A1497" s="523">
        <v>42728</v>
      </c>
      <c r="B1497" s="80" t="s">
        <v>3820</v>
      </c>
      <c r="C1497" s="334" t="s">
        <v>3821</v>
      </c>
      <c r="D1497" s="65">
        <v>2.0787037037037038E-2</v>
      </c>
      <c r="E1497" s="80" t="s">
        <v>3072</v>
      </c>
      <c r="F1497" s="69" t="s">
        <v>3190</v>
      </c>
      <c r="I1497" s="2"/>
      <c r="K1497" s="82">
        <v>0.44600000000000001</v>
      </c>
    </row>
    <row r="1498" spans="1:11" x14ac:dyDescent="0.2">
      <c r="A1498" s="33">
        <v>42714</v>
      </c>
      <c r="B1498" s="5" t="s">
        <v>3820</v>
      </c>
      <c r="C1498" s="32" t="s">
        <v>3821</v>
      </c>
      <c r="D1498" s="65">
        <v>2.5162037037037038E-2</v>
      </c>
      <c r="E1498" s="5" t="s">
        <v>3072</v>
      </c>
      <c r="F1498" s="108" t="s">
        <v>4588</v>
      </c>
      <c r="I1498" s="2"/>
      <c r="K1498" s="82">
        <v>0.36840000000000001</v>
      </c>
    </row>
    <row r="1499" spans="1:11" x14ac:dyDescent="0.2">
      <c r="A1499" s="33">
        <v>42707</v>
      </c>
      <c r="B1499" s="5" t="s">
        <v>3820</v>
      </c>
      <c r="C1499" s="32" t="s">
        <v>3821</v>
      </c>
      <c r="D1499" s="65">
        <v>2.6493055555555558E-2</v>
      </c>
      <c r="E1499" t="s">
        <v>3072</v>
      </c>
      <c r="F1499" s="69" t="s">
        <v>6051</v>
      </c>
      <c r="I1499" s="2"/>
      <c r="K1499" s="82">
        <v>0.3478</v>
      </c>
    </row>
    <row r="1500" spans="1:11" x14ac:dyDescent="0.2">
      <c r="A1500" s="33">
        <v>42700</v>
      </c>
      <c r="B1500" s="5" t="s">
        <v>3820</v>
      </c>
      <c r="C1500" s="32" t="s">
        <v>3821</v>
      </c>
      <c r="D1500" s="65">
        <v>2.0555555555555556E-2</v>
      </c>
      <c r="E1500" s="5" t="s">
        <v>3072</v>
      </c>
      <c r="F1500" s="69"/>
      <c r="I1500" s="2"/>
      <c r="K1500" s="82">
        <v>0.44819999999999999</v>
      </c>
    </row>
    <row r="1501" spans="1:11" x14ac:dyDescent="0.2">
      <c r="A1501" s="33">
        <v>42665</v>
      </c>
      <c r="B1501" s="5" t="s">
        <v>3820</v>
      </c>
      <c r="C1501" s="32" t="s">
        <v>3821</v>
      </c>
      <c r="D1501" s="65">
        <v>2.4687500000000001E-2</v>
      </c>
      <c r="E1501" t="s">
        <v>3072</v>
      </c>
      <c r="F1501" s="69" t="s">
        <v>1251</v>
      </c>
      <c r="I1501" s="2"/>
      <c r="K1501" s="82">
        <v>0.37319999999999998</v>
      </c>
    </row>
    <row r="1502" spans="1:11" x14ac:dyDescent="0.2">
      <c r="A1502" s="33">
        <v>42651</v>
      </c>
      <c r="B1502" s="5" t="s">
        <v>3820</v>
      </c>
      <c r="C1502" s="32" t="s">
        <v>3821</v>
      </c>
      <c r="D1502" s="65">
        <v>1.8715277777777779E-2</v>
      </c>
      <c r="E1502" t="s">
        <v>3072</v>
      </c>
      <c r="F1502" s="69" t="s">
        <v>5931</v>
      </c>
      <c r="I1502" s="2"/>
      <c r="K1502" s="82">
        <v>0.48880000000000001</v>
      </c>
    </row>
    <row r="1503" spans="1:11" x14ac:dyDescent="0.2">
      <c r="A1503" s="33">
        <v>42644</v>
      </c>
      <c r="B1503" s="5" t="s">
        <v>3820</v>
      </c>
      <c r="C1503" s="32" t="s">
        <v>3821</v>
      </c>
      <c r="D1503" s="65">
        <v>2.5486111111111112E-2</v>
      </c>
      <c r="E1503" t="s">
        <v>3072</v>
      </c>
      <c r="F1503" s="69" t="s">
        <v>89</v>
      </c>
      <c r="I1503" s="2"/>
      <c r="K1503" s="82">
        <v>0.36149999999999999</v>
      </c>
    </row>
    <row r="1504" spans="1:11" x14ac:dyDescent="0.2">
      <c r="A1504" s="33">
        <v>42630</v>
      </c>
      <c r="B1504" s="5" t="s">
        <v>3820</v>
      </c>
      <c r="C1504" s="32" t="s">
        <v>3821</v>
      </c>
      <c r="D1504" s="65">
        <v>1.9305555555555555E-2</v>
      </c>
      <c r="E1504" t="s">
        <v>5186</v>
      </c>
      <c r="F1504" s="69" t="s">
        <v>2451</v>
      </c>
      <c r="I1504" s="2"/>
      <c r="K1504" s="82">
        <v>0.47720000000000001</v>
      </c>
    </row>
    <row r="1505" spans="1:19" x14ac:dyDescent="0.2">
      <c r="A1505" s="33">
        <v>42623</v>
      </c>
      <c r="B1505" s="5" t="s">
        <v>3820</v>
      </c>
      <c r="C1505" s="32" t="s">
        <v>3821</v>
      </c>
      <c r="D1505" s="65">
        <v>1.8819444444444448E-2</v>
      </c>
      <c r="E1505" t="s">
        <v>3072</v>
      </c>
      <c r="F1505" s="69" t="s">
        <v>5450</v>
      </c>
      <c r="I1505" s="2"/>
      <c r="K1505" s="82">
        <v>0.48949999999999999</v>
      </c>
    </row>
    <row r="1506" spans="1:19" x14ac:dyDescent="0.2">
      <c r="A1506" s="33">
        <v>42609</v>
      </c>
      <c r="B1506" s="5" t="s">
        <v>3820</v>
      </c>
      <c r="C1506" s="32" t="s">
        <v>3821</v>
      </c>
      <c r="D1506" s="65">
        <v>2.6631944444444444E-2</v>
      </c>
      <c r="E1506" t="s">
        <v>3072</v>
      </c>
      <c r="F1506" s="69" t="s">
        <v>89</v>
      </c>
      <c r="I1506" s="2"/>
      <c r="K1506" s="82">
        <v>0.34589999999999999</v>
      </c>
    </row>
    <row r="1507" spans="1:19" x14ac:dyDescent="0.2">
      <c r="A1507" s="33">
        <v>42595</v>
      </c>
      <c r="B1507" s="5" t="s">
        <v>3820</v>
      </c>
      <c r="C1507" s="32" t="s">
        <v>3821</v>
      </c>
      <c r="D1507" s="65">
        <v>2.0509259259259258E-2</v>
      </c>
      <c r="E1507" t="s">
        <v>3072</v>
      </c>
      <c r="F1507" s="69" t="s">
        <v>4940</v>
      </c>
      <c r="I1507" s="2"/>
      <c r="K1507" s="82">
        <v>0.33560000000000001</v>
      </c>
      <c r="S1507" s="80"/>
    </row>
    <row r="1508" spans="1:19" x14ac:dyDescent="0.2">
      <c r="A1508" s="33">
        <v>42588</v>
      </c>
      <c r="B1508" s="5" t="s">
        <v>3820</v>
      </c>
      <c r="C1508" s="32" t="s">
        <v>3821</v>
      </c>
      <c r="D1508" s="543">
        <v>2.6701388888888889E-2</v>
      </c>
      <c r="E1508" s="5" t="s">
        <v>3072</v>
      </c>
      <c r="F1508" s="108" t="s">
        <v>1334</v>
      </c>
      <c r="G1508" s="5"/>
      <c r="H1508" s="5"/>
      <c r="I1508" s="2"/>
      <c r="J1508" s="5"/>
      <c r="K1508" s="85">
        <v>0.34499999999999997</v>
      </c>
    </row>
    <row r="1509" spans="1:19" x14ac:dyDescent="0.2">
      <c r="A1509" s="33">
        <v>42581</v>
      </c>
      <c r="B1509" s="5" t="s">
        <v>3820</v>
      </c>
      <c r="C1509" s="32" t="s">
        <v>3821</v>
      </c>
      <c r="D1509" s="65">
        <v>2.7233796296296298E-2</v>
      </c>
      <c r="E1509" t="s">
        <v>3072</v>
      </c>
      <c r="F1509" s="69" t="s">
        <v>4087</v>
      </c>
      <c r="I1509" s="2"/>
      <c r="K1509" s="82">
        <v>0.33829999999999999</v>
      </c>
    </row>
    <row r="1510" spans="1:19" x14ac:dyDescent="0.2">
      <c r="A1510" s="33">
        <v>42567</v>
      </c>
      <c r="B1510" s="5" t="s">
        <v>3820</v>
      </c>
      <c r="C1510" s="32" t="s">
        <v>3821</v>
      </c>
      <c r="D1510" s="65">
        <v>2.7534722222222221E-2</v>
      </c>
      <c r="E1510" t="s">
        <v>3072</v>
      </c>
      <c r="F1510" s="69" t="s">
        <v>4348</v>
      </c>
      <c r="I1510" s="2"/>
      <c r="K1510" s="82">
        <v>0.33460000000000001</v>
      </c>
    </row>
    <row r="1511" spans="1:19" x14ac:dyDescent="0.2">
      <c r="A1511" s="33">
        <v>42560</v>
      </c>
      <c r="B1511" s="5" t="s">
        <v>3820</v>
      </c>
      <c r="C1511" s="32" t="s">
        <v>3821</v>
      </c>
      <c r="D1511" s="65">
        <v>2.1701388888888892E-2</v>
      </c>
      <c r="E1511" t="s">
        <v>3072</v>
      </c>
      <c r="F1511" s="69"/>
      <c r="I1511" s="2"/>
      <c r="K1511" s="82">
        <v>0.42449999999999999</v>
      </c>
    </row>
    <row r="1512" spans="1:19" x14ac:dyDescent="0.2">
      <c r="A1512" s="33">
        <v>42553</v>
      </c>
      <c r="B1512" s="5" t="s">
        <v>3820</v>
      </c>
      <c r="C1512" s="32" t="s">
        <v>3821</v>
      </c>
      <c r="D1512" s="65">
        <v>1.8090277777777778E-2</v>
      </c>
      <c r="E1512" t="s">
        <v>3072</v>
      </c>
      <c r="F1512" s="69" t="s">
        <v>3278</v>
      </c>
      <c r="I1512" s="2"/>
      <c r="K1512" s="82">
        <v>0.50929999999999997</v>
      </c>
    </row>
    <row r="1513" spans="1:19" x14ac:dyDescent="0.2">
      <c r="A1513" s="33">
        <v>42539</v>
      </c>
      <c r="B1513" s="5" t="s">
        <v>3820</v>
      </c>
      <c r="C1513" s="32" t="s">
        <v>3821</v>
      </c>
      <c r="D1513" s="65">
        <v>1.8692129629629631E-2</v>
      </c>
      <c r="E1513" t="s">
        <v>3072</v>
      </c>
      <c r="F1513" s="69" t="s">
        <v>4612</v>
      </c>
      <c r="I1513" s="2"/>
      <c r="K1513" s="82">
        <v>0.4929</v>
      </c>
    </row>
    <row r="1514" spans="1:19" x14ac:dyDescent="0.2">
      <c r="A1514" s="33">
        <v>42532</v>
      </c>
      <c r="B1514" s="5" t="s">
        <v>3820</v>
      </c>
      <c r="C1514" s="32" t="s">
        <v>3821</v>
      </c>
      <c r="D1514" s="65">
        <v>2.7337962962962963E-2</v>
      </c>
      <c r="E1514" t="s">
        <v>3072</v>
      </c>
      <c r="F1514" s="69" t="s">
        <v>1340</v>
      </c>
      <c r="I1514" s="2"/>
      <c r="K1514" s="82">
        <v>0.33700000000000002</v>
      </c>
    </row>
    <row r="1515" spans="1:19" x14ac:dyDescent="0.2">
      <c r="A1515" s="33">
        <v>42518</v>
      </c>
      <c r="B1515" s="5" t="s">
        <v>3820</v>
      </c>
      <c r="C1515" s="32" t="s">
        <v>3821</v>
      </c>
      <c r="D1515" s="543">
        <v>1.834490740740741E-2</v>
      </c>
      <c r="E1515" s="5" t="s">
        <v>3072</v>
      </c>
      <c r="F1515" s="108" t="s">
        <v>3795</v>
      </c>
      <c r="G1515" s="5"/>
      <c r="H1515" s="5"/>
      <c r="I1515" s="2"/>
      <c r="J1515" s="5"/>
      <c r="K1515" s="85">
        <v>0.50219999999999998</v>
      </c>
    </row>
    <row r="1516" spans="1:19" x14ac:dyDescent="0.2">
      <c r="A1516" s="33">
        <v>42511</v>
      </c>
      <c r="B1516" s="5" t="s">
        <v>3820</v>
      </c>
      <c r="C1516" s="32" t="s">
        <v>3821</v>
      </c>
      <c r="D1516" s="543">
        <v>1.8912037037037036E-2</v>
      </c>
      <c r="E1516" s="5" t="s">
        <v>3072</v>
      </c>
      <c r="F1516" s="108" t="s">
        <v>3030</v>
      </c>
      <c r="G1516" s="5"/>
      <c r="H1516" s="5"/>
      <c r="I1516" s="2"/>
      <c r="J1516" s="5"/>
      <c r="K1516" s="85">
        <v>0.48709999999999998</v>
      </c>
    </row>
    <row r="1517" spans="1:19" x14ac:dyDescent="0.2">
      <c r="A1517" s="33">
        <v>42497</v>
      </c>
      <c r="B1517" s="5" t="s">
        <v>3820</v>
      </c>
      <c r="C1517" s="32" t="s">
        <v>3821</v>
      </c>
      <c r="D1517" s="543">
        <v>1.923611111111111E-2</v>
      </c>
      <c r="E1517" s="5" t="s">
        <v>3072</v>
      </c>
      <c r="F1517" s="108" t="s">
        <v>99</v>
      </c>
      <c r="G1517" s="5"/>
      <c r="H1517" s="5"/>
      <c r="I1517" s="5"/>
      <c r="J1517" s="5"/>
      <c r="K1517" s="85">
        <v>0.47889999999999999</v>
      </c>
    </row>
    <row r="1518" spans="1:19" x14ac:dyDescent="0.2">
      <c r="A1518" s="33">
        <v>42490</v>
      </c>
      <c r="B1518" s="5" t="s">
        <v>3820</v>
      </c>
      <c r="C1518" s="32" t="s">
        <v>3821</v>
      </c>
      <c r="D1518" s="543">
        <v>2.0312500000000001E-2</v>
      </c>
      <c r="E1518" s="5" t="s">
        <v>3072</v>
      </c>
      <c r="F1518" s="108" t="s">
        <v>4381</v>
      </c>
      <c r="G1518" s="5"/>
      <c r="H1518" s="5"/>
      <c r="I1518" s="5"/>
      <c r="J1518" s="5"/>
      <c r="K1518" s="85">
        <v>0.4536</v>
      </c>
    </row>
    <row r="1519" spans="1:19" x14ac:dyDescent="0.2">
      <c r="A1519" s="33">
        <v>42483</v>
      </c>
      <c r="B1519" s="5" t="s">
        <v>3820</v>
      </c>
      <c r="C1519" s="32" t="s">
        <v>3821</v>
      </c>
      <c r="D1519" s="543">
        <v>2.5104166666666664E-2</v>
      </c>
      <c r="E1519" s="5" t="s">
        <v>3072</v>
      </c>
      <c r="F1519" s="108" t="s">
        <v>6007</v>
      </c>
      <c r="G1519" s="5"/>
      <c r="H1519" s="5"/>
      <c r="I1519" s="2"/>
      <c r="J1519" s="5"/>
      <c r="K1519" s="85">
        <v>0.48880000000000001</v>
      </c>
    </row>
    <row r="1520" spans="1:19" x14ac:dyDescent="0.2">
      <c r="A1520" s="33">
        <v>42476</v>
      </c>
      <c r="B1520" s="5" t="s">
        <v>3820</v>
      </c>
      <c r="C1520" s="32" t="s">
        <v>3821</v>
      </c>
      <c r="D1520" s="65">
        <v>1.9895833333333331E-2</v>
      </c>
      <c r="E1520" s="5" t="s">
        <v>3072</v>
      </c>
      <c r="F1520" s="69" t="s">
        <v>466</v>
      </c>
      <c r="I1520" s="2"/>
      <c r="K1520" s="82">
        <v>0.46310000000000001</v>
      </c>
    </row>
    <row r="1521" spans="1:28" x14ac:dyDescent="0.2">
      <c r="A1521" s="33">
        <v>42469</v>
      </c>
      <c r="B1521" t="s">
        <v>3820</v>
      </c>
      <c r="C1521" s="1" t="s">
        <v>3821</v>
      </c>
      <c r="D1521" s="10" t="s">
        <v>787</v>
      </c>
      <c r="E1521" s="5" t="s">
        <v>3072</v>
      </c>
      <c r="F1521" s="108" t="s">
        <v>3783</v>
      </c>
      <c r="G1521" s="5"/>
      <c r="H1521" s="2"/>
      <c r="I1521" s="2"/>
      <c r="K1521" s="82"/>
    </row>
    <row r="1522" spans="1:28" x14ac:dyDescent="0.2">
      <c r="A1522" s="33">
        <v>42462</v>
      </c>
      <c r="B1522" t="s">
        <v>3820</v>
      </c>
      <c r="C1522" s="1" t="s">
        <v>3821</v>
      </c>
      <c r="D1522" s="65">
        <v>2.0520833333333332E-2</v>
      </c>
      <c r="E1522" t="s">
        <v>3072</v>
      </c>
      <c r="F1522" s="69"/>
      <c r="I1522" s="2"/>
      <c r="K1522" s="82">
        <v>0.44900000000000001</v>
      </c>
    </row>
    <row r="1523" spans="1:28" x14ac:dyDescent="0.2">
      <c r="A1523" s="33">
        <v>42455</v>
      </c>
      <c r="B1523" t="s">
        <v>3820</v>
      </c>
      <c r="C1523" s="1" t="s">
        <v>3821</v>
      </c>
      <c r="D1523" s="65">
        <v>2.0775462962962964E-2</v>
      </c>
      <c r="E1523" t="s">
        <v>3072</v>
      </c>
      <c r="F1523" s="69" t="s">
        <v>4082</v>
      </c>
      <c r="I1523" s="2"/>
      <c r="K1523" s="82">
        <v>0.44350000000000001</v>
      </c>
    </row>
    <row r="1524" spans="1:28" x14ac:dyDescent="0.2">
      <c r="A1524" s="33">
        <v>42434</v>
      </c>
      <c r="B1524" t="s">
        <v>3820</v>
      </c>
      <c r="C1524" s="1" t="s">
        <v>3821</v>
      </c>
      <c r="D1524" s="65">
        <v>2.101851851851852E-2</v>
      </c>
      <c r="E1524" t="s">
        <v>3072</v>
      </c>
      <c r="F1524" s="69" t="s">
        <v>5210</v>
      </c>
      <c r="I1524" s="2"/>
      <c r="K1524" s="82">
        <v>0.43830000000000002</v>
      </c>
    </row>
    <row r="1525" spans="1:28" x14ac:dyDescent="0.2">
      <c r="A1525" s="33">
        <v>42420</v>
      </c>
      <c r="B1525" t="s">
        <v>3820</v>
      </c>
      <c r="C1525" s="1" t="s">
        <v>3821</v>
      </c>
      <c r="D1525" s="65">
        <v>2.1770833333333336E-2</v>
      </c>
      <c r="E1525" t="s">
        <v>3072</v>
      </c>
      <c r="F1525" s="69" t="s">
        <v>240</v>
      </c>
      <c r="I1525" s="2"/>
      <c r="K1525" s="82">
        <v>0.42320000000000002</v>
      </c>
    </row>
    <row r="1526" spans="1:28" x14ac:dyDescent="0.2">
      <c r="A1526" s="33">
        <v>42406</v>
      </c>
      <c r="B1526" t="s">
        <v>3820</v>
      </c>
      <c r="C1526" s="1" t="s">
        <v>3821</v>
      </c>
      <c r="D1526" s="65">
        <v>2.1759259259259259E-2</v>
      </c>
      <c r="E1526" t="s">
        <v>3072</v>
      </c>
      <c r="F1526" s="69" t="s">
        <v>2905</v>
      </c>
      <c r="I1526" s="2"/>
      <c r="K1526" s="82">
        <v>0.4234</v>
      </c>
    </row>
    <row r="1527" spans="1:28" x14ac:dyDescent="0.2">
      <c r="A1527" s="33">
        <v>42399</v>
      </c>
      <c r="B1527" t="s">
        <v>3820</v>
      </c>
      <c r="C1527" s="1" t="s">
        <v>3821</v>
      </c>
      <c r="D1527" s="65">
        <v>2.2314814814814815E-2</v>
      </c>
      <c r="E1527" t="s">
        <v>3072</v>
      </c>
      <c r="F1527" s="69"/>
      <c r="I1527" s="2"/>
      <c r="K1527" s="82">
        <v>0.41289999999999999</v>
      </c>
    </row>
    <row r="1528" spans="1:28" x14ac:dyDescent="0.2">
      <c r="A1528" s="33">
        <v>42378</v>
      </c>
      <c r="B1528" t="s">
        <v>3820</v>
      </c>
      <c r="C1528" s="1" t="s">
        <v>3821</v>
      </c>
      <c r="D1528" s="544">
        <v>2.2638888888888889E-2</v>
      </c>
      <c r="E1528" s="407" t="s">
        <v>3072</v>
      </c>
      <c r="F1528" s="545" t="s">
        <v>5383</v>
      </c>
      <c r="G1528" s="407"/>
      <c r="H1528" s="407"/>
      <c r="I1528" s="348"/>
      <c r="J1528" s="407"/>
      <c r="K1528" s="546">
        <v>0.40699999999999997</v>
      </c>
    </row>
    <row r="1529" spans="1:28" x14ac:dyDescent="0.2">
      <c r="A1529" s="33">
        <v>42370</v>
      </c>
      <c r="B1529" t="s">
        <v>3820</v>
      </c>
      <c r="C1529" s="1" t="s">
        <v>3821</v>
      </c>
      <c r="D1529" s="65">
        <v>2.1921296296296296E-2</v>
      </c>
      <c r="E1529" s="5" t="s">
        <v>5095</v>
      </c>
      <c r="F1529" s="69"/>
      <c r="I1529" s="2"/>
      <c r="K1529" s="82">
        <v>0.42030000000000001</v>
      </c>
    </row>
    <row r="1530" spans="1:28" x14ac:dyDescent="0.2">
      <c r="A1530" s="33">
        <v>42370</v>
      </c>
      <c r="B1530" t="s">
        <v>3820</v>
      </c>
      <c r="C1530" s="1" t="s">
        <v>3821</v>
      </c>
      <c r="D1530" s="65">
        <v>2.2129629629629628E-2</v>
      </c>
      <c r="E1530" s="5" t="s">
        <v>3072</v>
      </c>
      <c r="F1530" s="69" t="s">
        <v>4653</v>
      </c>
      <c r="K1530" s="82">
        <v>0.4163</v>
      </c>
    </row>
    <row r="1531" spans="1:28" x14ac:dyDescent="0.2">
      <c r="A1531" s="33">
        <v>42630</v>
      </c>
      <c r="B1531" s="5" t="s">
        <v>2426</v>
      </c>
      <c r="C1531" s="32" t="s">
        <v>2427</v>
      </c>
      <c r="D1531" s="65">
        <v>1.3483796296296298E-2</v>
      </c>
      <c r="E1531" t="s">
        <v>5544</v>
      </c>
      <c r="F1531" s="69" t="s">
        <v>2456</v>
      </c>
      <c r="I1531" s="2"/>
      <c r="K1531" s="82">
        <v>0.66439999999999999</v>
      </c>
    </row>
    <row r="1532" spans="1:28" x14ac:dyDescent="0.2">
      <c r="A1532" s="33">
        <v>42616</v>
      </c>
      <c r="B1532" s="5" t="s">
        <v>2426</v>
      </c>
      <c r="C1532" s="32" t="s">
        <v>2427</v>
      </c>
      <c r="D1532" s="65">
        <v>1.3530092592592594E-2</v>
      </c>
      <c r="E1532" t="s">
        <v>5544</v>
      </c>
      <c r="F1532" s="69" t="s">
        <v>8</v>
      </c>
      <c r="I1532" s="2"/>
      <c r="K1532" s="82">
        <v>0.66210000000000002</v>
      </c>
      <c r="AB1532" s="41"/>
    </row>
    <row r="1533" spans="1:28" x14ac:dyDescent="0.2">
      <c r="A1533" s="33">
        <v>42729</v>
      </c>
      <c r="B1533" s="80" t="s">
        <v>4893</v>
      </c>
      <c r="C1533" s="334" t="s">
        <v>4894</v>
      </c>
      <c r="D1533" s="65">
        <v>1.6759259259259258E-2</v>
      </c>
      <c r="E1533" t="s">
        <v>2593</v>
      </c>
      <c r="F1533" s="69" t="s">
        <v>9786</v>
      </c>
      <c r="I1533" s="2"/>
      <c r="K1533" s="82">
        <v>0.63670000000000004</v>
      </c>
      <c r="AB1533" s="41"/>
    </row>
    <row r="1534" spans="1:28" x14ac:dyDescent="0.2">
      <c r="A1534" s="33">
        <v>42735</v>
      </c>
      <c r="B1534" s="80" t="s">
        <v>4893</v>
      </c>
      <c r="C1534" s="334" t="s">
        <v>4894</v>
      </c>
      <c r="D1534" s="65">
        <v>1.5335648148148147E-2</v>
      </c>
      <c r="E1534" s="80" t="s">
        <v>129</v>
      </c>
      <c r="F1534" s="69" t="s">
        <v>9787</v>
      </c>
      <c r="I1534" s="2"/>
      <c r="K1534" s="82">
        <v>0.69579999999999997</v>
      </c>
    </row>
    <row r="1535" spans="1:28" x14ac:dyDescent="0.2">
      <c r="A1535" s="33">
        <v>42735</v>
      </c>
      <c r="B1535" s="80" t="s">
        <v>3543</v>
      </c>
      <c r="C1535" s="334" t="s">
        <v>6122</v>
      </c>
      <c r="D1535" s="65">
        <v>1.3912037037037037E-2</v>
      </c>
      <c r="E1535" s="80" t="s">
        <v>5883</v>
      </c>
      <c r="F1535" s="69" t="s">
        <v>6174</v>
      </c>
      <c r="I1535" s="2"/>
      <c r="K1535" s="82">
        <v>0.64390000000000003</v>
      </c>
    </row>
    <row r="1536" spans="1:28" x14ac:dyDescent="0.2">
      <c r="A1536" s="523">
        <v>42728</v>
      </c>
      <c r="B1536" s="80" t="s">
        <v>3543</v>
      </c>
      <c r="C1536" s="334" t="s">
        <v>6122</v>
      </c>
      <c r="D1536" s="65">
        <v>1.4039351851851851E-2</v>
      </c>
      <c r="E1536" s="80" t="s">
        <v>5883</v>
      </c>
      <c r="F1536" s="69" t="s">
        <v>6142</v>
      </c>
      <c r="I1536" s="2"/>
      <c r="K1536" s="82">
        <v>0.6381</v>
      </c>
      <c r="M1536" s="80" t="s">
        <v>290</v>
      </c>
      <c r="P1536" s="80" t="s">
        <v>6124</v>
      </c>
      <c r="T1536" s="80" t="s">
        <v>6141</v>
      </c>
    </row>
    <row r="1537" spans="1:11" x14ac:dyDescent="0.2">
      <c r="A1537" s="33">
        <v>42518</v>
      </c>
      <c r="B1537" s="5" t="s">
        <v>3033</v>
      </c>
      <c r="C1537" s="32" t="s">
        <v>3034</v>
      </c>
      <c r="D1537" s="543">
        <v>2.0162037037037037E-2</v>
      </c>
      <c r="E1537" s="5" t="s">
        <v>927</v>
      </c>
      <c r="F1537" s="108"/>
      <c r="G1537" s="5"/>
      <c r="H1537" s="5"/>
      <c r="I1537" s="2"/>
      <c r="J1537" s="5"/>
      <c r="K1537" s="85">
        <v>0.61539999999999995</v>
      </c>
    </row>
    <row r="1538" spans="1:11" x14ac:dyDescent="0.2">
      <c r="A1538" s="33">
        <v>42511</v>
      </c>
      <c r="B1538" s="5" t="s">
        <v>3033</v>
      </c>
      <c r="C1538" s="32" t="s">
        <v>3034</v>
      </c>
      <c r="D1538" s="543">
        <v>1.9849537037037037E-2</v>
      </c>
      <c r="E1538" s="5" t="s">
        <v>527</v>
      </c>
      <c r="F1538" s="108" t="s">
        <v>2270</v>
      </c>
      <c r="G1538" s="5"/>
      <c r="H1538" s="5"/>
      <c r="I1538" s="2"/>
      <c r="J1538" s="5"/>
      <c r="K1538" s="85">
        <v>0.62509999999999999</v>
      </c>
    </row>
    <row r="1539" spans="1:11" x14ac:dyDescent="0.2">
      <c r="A1539" s="33">
        <v>42651</v>
      </c>
      <c r="B1539" s="53" t="s">
        <v>3535</v>
      </c>
      <c r="C1539" s="54" t="s">
        <v>1730</v>
      </c>
      <c r="D1539" s="65">
        <v>1.5532407407407406E-2</v>
      </c>
      <c r="E1539" t="s">
        <v>5544</v>
      </c>
      <c r="F1539" s="69" t="s">
        <v>1091</v>
      </c>
      <c r="I1539" s="2"/>
      <c r="K1539" s="82">
        <v>0.69299999999999995</v>
      </c>
    </row>
    <row r="1540" spans="1:11" x14ac:dyDescent="0.2">
      <c r="A1540" s="33">
        <v>42490</v>
      </c>
      <c r="B1540" s="53" t="s">
        <v>3535</v>
      </c>
      <c r="C1540" s="54" t="s">
        <v>1730</v>
      </c>
      <c r="D1540" s="543">
        <v>1.877314814814815E-2</v>
      </c>
      <c r="E1540" s="5" t="s">
        <v>5883</v>
      </c>
      <c r="F1540" s="108" t="s">
        <v>3150</v>
      </c>
      <c r="G1540" s="5"/>
      <c r="H1540" s="5"/>
      <c r="I1540" s="5"/>
      <c r="J1540" s="5"/>
      <c r="K1540" s="85">
        <v>0.56840000000000002</v>
      </c>
    </row>
    <row r="1541" spans="1:11" x14ac:dyDescent="0.2">
      <c r="A1541" s="33">
        <v>42497</v>
      </c>
      <c r="B1541" s="53" t="s">
        <v>4229</v>
      </c>
      <c r="C1541" s="54" t="s">
        <v>440</v>
      </c>
      <c r="D1541" s="543">
        <v>2.0416666666666666E-2</v>
      </c>
      <c r="E1541" s="5" t="s">
        <v>1719</v>
      </c>
      <c r="F1541" s="108" t="s">
        <v>2743</v>
      </c>
      <c r="G1541" s="5"/>
      <c r="H1541" s="5"/>
      <c r="I1541" s="5"/>
      <c r="J1541" s="5"/>
      <c r="K1541" s="85">
        <v>0.53120000000000001</v>
      </c>
    </row>
    <row r="1542" spans="1:11" x14ac:dyDescent="0.2">
      <c r="A1542" s="33">
        <v>42483</v>
      </c>
      <c r="B1542" s="53" t="s">
        <v>4229</v>
      </c>
      <c r="C1542" s="54" t="s">
        <v>440</v>
      </c>
      <c r="D1542" s="543">
        <v>2.0520833333333332E-2</v>
      </c>
      <c r="E1542" s="5" t="s">
        <v>1719</v>
      </c>
      <c r="F1542" s="108" t="s">
        <v>876</v>
      </c>
      <c r="G1542" s="5"/>
      <c r="H1542" s="5"/>
      <c r="I1542" s="2"/>
      <c r="J1542" s="5"/>
      <c r="K1542" s="85">
        <v>0.52849999999999997</v>
      </c>
    </row>
    <row r="1543" spans="1:11" x14ac:dyDescent="0.2">
      <c r="A1543" s="33">
        <v>42735</v>
      </c>
      <c r="B1543" s="80" t="s">
        <v>439</v>
      </c>
      <c r="C1543" s="334" t="s">
        <v>440</v>
      </c>
      <c r="D1543" s="65">
        <v>2.1076388888888891E-2</v>
      </c>
      <c r="E1543" s="80" t="s">
        <v>1982</v>
      </c>
      <c r="F1543" s="69" t="s">
        <v>2629</v>
      </c>
      <c r="I1543" s="2"/>
      <c r="K1543" s="82">
        <v>0.63039999999999996</v>
      </c>
    </row>
    <row r="1544" spans="1:11" x14ac:dyDescent="0.2">
      <c r="A1544" s="523">
        <v>42728</v>
      </c>
      <c r="B1544" s="80" t="s">
        <v>439</v>
      </c>
      <c r="C1544" s="334" t="s">
        <v>440</v>
      </c>
      <c r="D1544" s="65">
        <v>2.0625000000000001E-2</v>
      </c>
      <c r="E1544" s="80" t="s">
        <v>5947</v>
      </c>
      <c r="F1544" s="69" t="s">
        <v>2629</v>
      </c>
      <c r="I1544" s="2"/>
      <c r="K1544" s="82">
        <v>0.64419999999999999</v>
      </c>
    </row>
    <row r="1545" spans="1:11" x14ac:dyDescent="0.2">
      <c r="A1545" s="33">
        <v>42721</v>
      </c>
      <c r="B1545" s="5" t="s">
        <v>439</v>
      </c>
      <c r="C1545" s="32" t="s">
        <v>440</v>
      </c>
      <c r="D1545" s="65">
        <v>2.225694444444444E-2</v>
      </c>
      <c r="E1545" s="5" t="s">
        <v>5947</v>
      </c>
      <c r="F1545" s="108" t="s">
        <v>4879</v>
      </c>
      <c r="I1545" s="2"/>
      <c r="K1545" s="82">
        <v>0.59699999999999998</v>
      </c>
    </row>
    <row r="1546" spans="1:11" x14ac:dyDescent="0.2">
      <c r="A1546" s="33">
        <v>42714</v>
      </c>
      <c r="B1546" s="5" t="s">
        <v>439</v>
      </c>
      <c r="C1546" s="32" t="s">
        <v>440</v>
      </c>
      <c r="D1546" s="65">
        <v>2.0787037037037038E-2</v>
      </c>
      <c r="E1546" s="5" t="s">
        <v>5947</v>
      </c>
      <c r="F1546" s="108" t="s">
        <v>6086</v>
      </c>
      <c r="I1546" s="2"/>
      <c r="K1546" s="82">
        <v>0.63919999999999999</v>
      </c>
    </row>
    <row r="1547" spans="1:11" x14ac:dyDescent="0.2">
      <c r="A1547" s="33">
        <v>42700</v>
      </c>
      <c r="B1547" s="5" t="s">
        <v>439</v>
      </c>
      <c r="C1547" s="32" t="s">
        <v>440</v>
      </c>
      <c r="D1547" s="65">
        <v>2.1817129629629631E-2</v>
      </c>
      <c r="E1547" s="5" t="s">
        <v>4161</v>
      </c>
      <c r="F1547" s="108" t="s">
        <v>6067</v>
      </c>
      <c r="I1547" s="2"/>
      <c r="K1547" s="82">
        <v>0.60899999999999999</v>
      </c>
    </row>
    <row r="1548" spans="1:11" x14ac:dyDescent="0.2">
      <c r="A1548" s="33">
        <v>42693</v>
      </c>
      <c r="B1548" s="5" t="s">
        <v>439</v>
      </c>
      <c r="C1548" s="32" t="s">
        <v>440</v>
      </c>
      <c r="D1548" s="65">
        <v>2.1342592592592594E-2</v>
      </c>
      <c r="E1548" s="5" t="s">
        <v>1982</v>
      </c>
      <c r="F1548" s="108" t="s">
        <v>2629</v>
      </c>
      <c r="I1548" s="2"/>
      <c r="K1548" s="82">
        <v>0.62260000000000004</v>
      </c>
    </row>
    <row r="1549" spans="1:11" x14ac:dyDescent="0.2">
      <c r="A1549" s="33">
        <v>42665</v>
      </c>
      <c r="B1549" s="5" t="s">
        <v>439</v>
      </c>
      <c r="C1549" s="32" t="s">
        <v>440</v>
      </c>
      <c r="D1549" s="65">
        <v>2.1388888888888888E-2</v>
      </c>
      <c r="E1549" t="s">
        <v>1982</v>
      </c>
      <c r="F1549" s="69" t="s">
        <v>2975</v>
      </c>
      <c r="I1549" s="2"/>
      <c r="K1549" s="82">
        <v>0.62119999999999997</v>
      </c>
    </row>
    <row r="1550" spans="1:11" x14ac:dyDescent="0.2">
      <c r="A1550" s="33">
        <v>42581</v>
      </c>
      <c r="B1550" s="5" t="s">
        <v>439</v>
      </c>
      <c r="C1550" s="32" t="s">
        <v>440</v>
      </c>
      <c r="D1550" s="65">
        <v>1.9953703703703706E-2</v>
      </c>
      <c r="E1550" t="s">
        <v>5885</v>
      </c>
      <c r="F1550" s="69" t="s">
        <v>4483</v>
      </c>
      <c r="I1550" s="2"/>
      <c r="K1550" s="82">
        <v>0.66590000000000005</v>
      </c>
    </row>
    <row r="1551" spans="1:11" x14ac:dyDescent="0.2">
      <c r="A1551" s="33">
        <v>42532</v>
      </c>
      <c r="B1551" s="5" t="s">
        <v>439</v>
      </c>
      <c r="C1551" s="32" t="s">
        <v>440</v>
      </c>
      <c r="D1551" s="65">
        <v>2.1006944444444443E-2</v>
      </c>
      <c r="E1551" t="s">
        <v>5947</v>
      </c>
      <c r="F1551" s="69" t="s">
        <v>1338</v>
      </c>
      <c r="I1551" s="2"/>
      <c r="K1551" s="82">
        <v>0.63249999999999995</v>
      </c>
    </row>
    <row r="1552" spans="1:11" x14ac:dyDescent="0.2">
      <c r="A1552" s="33">
        <v>42525</v>
      </c>
      <c r="B1552" s="5" t="s">
        <v>439</v>
      </c>
      <c r="C1552" s="32" t="s">
        <v>440</v>
      </c>
      <c r="D1552" s="543">
        <v>2.119212962962963E-2</v>
      </c>
      <c r="E1552" s="5" t="s">
        <v>5947</v>
      </c>
      <c r="F1552" s="108" t="s">
        <v>5213</v>
      </c>
      <c r="G1552" s="5"/>
      <c r="H1552" s="5"/>
      <c r="I1552" s="2"/>
      <c r="J1552" s="5"/>
      <c r="K1552" s="85">
        <v>0.627</v>
      </c>
    </row>
    <row r="1553" spans="1:11" x14ac:dyDescent="0.2">
      <c r="A1553" s="33">
        <v>42518</v>
      </c>
      <c r="B1553" s="5" t="s">
        <v>439</v>
      </c>
      <c r="C1553" s="32" t="s">
        <v>440</v>
      </c>
      <c r="D1553" s="543">
        <v>2.1585648148148145E-2</v>
      </c>
      <c r="E1553" s="5" t="s">
        <v>5198</v>
      </c>
      <c r="F1553" s="108" t="s">
        <v>2210</v>
      </c>
      <c r="G1553" s="5"/>
      <c r="H1553" s="5"/>
      <c r="I1553" s="2"/>
      <c r="J1553" s="5"/>
      <c r="K1553" s="85">
        <v>0.61550000000000005</v>
      </c>
    </row>
    <row r="1554" spans="1:11" x14ac:dyDescent="0.2">
      <c r="A1554" s="33">
        <v>42511</v>
      </c>
      <c r="B1554" s="5" t="s">
        <v>439</v>
      </c>
      <c r="C1554" s="32" t="s">
        <v>440</v>
      </c>
      <c r="D1554" s="543">
        <v>2.0937500000000001E-2</v>
      </c>
      <c r="E1554" s="5" t="s">
        <v>5947</v>
      </c>
      <c r="F1554" s="108" t="s">
        <v>3026</v>
      </c>
      <c r="G1554" s="5"/>
      <c r="H1554" s="5"/>
      <c r="I1554" s="2"/>
      <c r="J1554" s="5"/>
      <c r="K1554" s="85">
        <v>0.63460000000000005</v>
      </c>
    </row>
    <row r="1555" spans="1:11" x14ac:dyDescent="0.2">
      <c r="A1555" s="33">
        <v>42371</v>
      </c>
      <c r="B1555" t="s">
        <v>439</v>
      </c>
      <c r="C1555" s="1" t="s">
        <v>440</v>
      </c>
      <c r="D1555" s="65">
        <v>2.4363425925925927E-2</v>
      </c>
      <c r="E1555" s="5" t="s">
        <v>5947</v>
      </c>
      <c r="F1555" s="69" t="s">
        <v>5342</v>
      </c>
      <c r="K1555" s="82">
        <v>0.53779999999999994</v>
      </c>
    </row>
    <row r="1556" spans="1:11" x14ac:dyDescent="0.2">
      <c r="A1556" s="33">
        <v>42686</v>
      </c>
      <c r="B1556" s="513" t="s">
        <v>4259</v>
      </c>
      <c r="C1556" s="512" t="s">
        <v>440</v>
      </c>
      <c r="D1556" s="65">
        <v>2.4398148148148145E-2</v>
      </c>
      <c r="E1556" t="s">
        <v>5095</v>
      </c>
      <c r="F1556" s="69" t="s">
        <v>1481</v>
      </c>
      <c r="I1556" s="2"/>
      <c r="K1556" s="82">
        <v>0.48909999999999998</v>
      </c>
    </row>
    <row r="1557" spans="1:11" x14ac:dyDescent="0.2">
      <c r="A1557" s="33">
        <v>42679</v>
      </c>
      <c r="B1557" s="197" t="s">
        <v>4259</v>
      </c>
      <c r="C1557" s="265" t="s">
        <v>440</v>
      </c>
      <c r="D1557" s="65">
        <v>2.2488425925925926E-2</v>
      </c>
      <c r="E1557" t="s">
        <v>623</v>
      </c>
      <c r="F1557" s="69" t="s">
        <v>743</v>
      </c>
      <c r="I1557" s="2"/>
      <c r="K1557" s="82">
        <v>0.53059999999999996</v>
      </c>
    </row>
    <row r="1558" spans="1:11" x14ac:dyDescent="0.2">
      <c r="A1558" s="33">
        <v>42651</v>
      </c>
      <c r="B1558" s="197" t="s">
        <v>4259</v>
      </c>
      <c r="C1558" s="265" t="s">
        <v>440</v>
      </c>
      <c r="D1558" s="65">
        <v>2.342592592592593E-2</v>
      </c>
      <c r="E1558" t="s">
        <v>3072</v>
      </c>
      <c r="F1558" s="69" t="s">
        <v>2629</v>
      </c>
      <c r="I1558" s="2"/>
      <c r="K1558" s="82">
        <v>0.50939999999999996</v>
      </c>
    </row>
    <row r="1559" spans="1:11" x14ac:dyDescent="0.2">
      <c r="A1559" s="33">
        <v>42644</v>
      </c>
      <c r="B1559" s="197" t="s">
        <v>4259</v>
      </c>
      <c r="C1559" s="265" t="s">
        <v>440</v>
      </c>
      <c r="D1559" s="65">
        <v>2.3634259259259258E-2</v>
      </c>
      <c r="E1559" t="s">
        <v>5095</v>
      </c>
      <c r="F1559" s="69" t="s">
        <v>5698</v>
      </c>
      <c r="I1559" s="2"/>
      <c r="K1559" s="82">
        <v>0.4985</v>
      </c>
    </row>
    <row r="1560" spans="1:11" x14ac:dyDescent="0.2">
      <c r="A1560" s="33">
        <v>42623</v>
      </c>
      <c r="B1560" s="197" t="s">
        <v>4259</v>
      </c>
      <c r="C1560" s="265" t="s">
        <v>440</v>
      </c>
      <c r="D1560" s="65">
        <v>2.4513888888888887E-2</v>
      </c>
      <c r="E1560" t="s">
        <v>2636</v>
      </c>
      <c r="F1560" s="69" t="s">
        <v>883</v>
      </c>
      <c r="I1560" s="2"/>
      <c r="K1560" s="82">
        <v>0.48060000000000003</v>
      </c>
    </row>
    <row r="1561" spans="1:11" x14ac:dyDescent="0.2">
      <c r="A1561" s="33">
        <v>42602</v>
      </c>
      <c r="B1561" s="206" t="s">
        <v>4259</v>
      </c>
      <c r="C1561" s="254" t="s">
        <v>440</v>
      </c>
      <c r="D1561" s="65">
        <v>2.417824074074074E-2</v>
      </c>
      <c r="E1561" s="5" t="s">
        <v>5095</v>
      </c>
      <c r="F1561" s="108" t="s">
        <v>4740</v>
      </c>
      <c r="G1561" s="5"/>
      <c r="I1561" s="2"/>
      <c r="K1561" s="82">
        <v>0.48730000000000001</v>
      </c>
    </row>
    <row r="1562" spans="1:11" x14ac:dyDescent="0.2">
      <c r="A1562" s="33">
        <v>42532</v>
      </c>
      <c r="B1562" s="206" t="s">
        <v>4259</v>
      </c>
      <c r="C1562" s="254" t="s">
        <v>440</v>
      </c>
      <c r="D1562" s="65">
        <v>2.4432870370370369E-2</v>
      </c>
      <c r="E1562" t="s">
        <v>5708</v>
      </c>
      <c r="F1562" s="69" t="s">
        <v>1339</v>
      </c>
      <c r="I1562" s="2"/>
      <c r="K1562" s="82">
        <v>0.48220000000000002</v>
      </c>
    </row>
    <row r="1563" spans="1:11" x14ac:dyDescent="0.2">
      <c r="A1563" s="33">
        <v>42511</v>
      </c>
      <c r="B1563" s="206" t="s">
        <v>4259</v>
      </c>
      <c r="C1563" s="254" t="s">
        <v>440</v>
      </c>
      <c r="D1563" s="543">
        <v>2.2615740740740742E-2</v>
      </c>
      <c r="E1563" s="5" t="s">
        <v>5095</v>
      </c>
      <c r="F1563" s="501" t="s">
        <v>1164</v>
      </c>
      <c r="G1563" s="5"/>
      <c r="H1563" s="5"/>
      <c r="I1563" s="2"/>
      <c r="J1563" s="5"/>
      <c r="K1563" s="85">
        <v>0.52100000000000002</v>
      </c>
    </row>
    <row r="1564" spans="1:11" x14ac:dyDescent="0.2">
      <c r="A1564" s="33">
        <v>42504</v>
      </c>
      <c r="B1564" s="206" t="s">
        <v>4259</v>
      </c>
      <c r="C1564" s="254" t="s">
        <v>440</v>
      </c>
      <c r="D1564" s="543">
        <v>2.2453703703703708E-2</v>
      </c>
      <c r="E1564" s="5" t="s">
        <v>5095</v>
      </c>
      <c r="F1564" s="108" t="s">
        <v>2351</v>
      </c>
      <c r="G1564" s="5"/>
      <c r="H1564" s="5"/>
      <c r="I1564" s="5"/>
      <c r="J1564" s="5"/>
      <c r="K1564" s="85">
        <v>0.52470000000000006</v>
      </c>
    </row>
    <row r="1565" spans="1:11" x14ac:dyDescent="0.2">
      <c r="A1565" s="33">
        <v>42476</v>
      </c>
      <c r="B1565" s="206" t="s">
        <v>4259</v>
      </c>
      <c r="C1565" s="254" t="s">
        <v>440</v>
      </c>
      <c r="D1565" s="65">
        <v>2.297453703703704E-2</v>
      </c>
      <c r="E1565" s="5" t="s">
        <v>5095</v>
      </c>
      <c r="F1565" s="69" t="s">
        <v>3481</v>
      </c>
      <c r="I1565" s="2"/>
      <c r="K1565" s="82">
        <v>0.51280000000000003</v>
      </c>
    </row>
    <row r="1566" spans="1:11" x14ac:dyDescent="0.2">
      <c r="A1566" s="33">
        <v>42469</v>
      </c>
      <c r="B1566" s="197" t="s">
        <v>4259</v>
      </c>
      <c r="C1566" s="265" t="s">
        <v>440</v>
      </c>
      <c r="D1566" s="65">
        <v>2.5243055555555557E-2</v>
      </c>
      <c r="E1566" t="s">
        <v>4040</v>
      </c>
      <c r="F1566" s="69" t="s">
        <v>4103</v>
      </c>
      <c r="I1566" s="2"/>
      <c r="K1566" s="82">
        <v>0.46679999999999999</v>
      </c>
    </row>
    <row r="1567" spans="1:11" x14ac:dyDescent="0.2">
      <c r="A1567" s="33">
        <v>42455</v>
      </c>
      <c r="B1567" s="197" t="s">
        <v>4259</v>
      </c>
      <c r="C1567" s="265" t="s">
        <v>440</v>
      </c>
      <c r="D1567" s="65">
        <v>2.4236111111111111E-2</v>
      </c>
      <c r="E1567" t="s">
        <v>3072</v>
      </c>
      <c r="F1567" s="69" t="s">
        <v>1724</v>
      </c>
      <c r="I1567" s="2"/>
      <c r="K1567" s="82">
        <v>0.48620000000000002</v>
      </c>
    </row>
    <row r="1568" spans="1:11" x14ac:dyDescent="0.2">
      <c r="A1568" s="33">
        <v>42434</v>
      </c>
      <c r="B1568" s="197" t="s">
        <v>4259</v>
      </c>
      <c r="C1568" s="265" t="s">
        <v>440</v>
      </c>
      <c r="D1568" s="65">
        <v>2.3125E-2</v>
      </c>
      <c r="E1568" t="s">
        <v>2636</v>
      </c>
      <c r="F1568" s="69" t="s">
        <v>1236</v>
      </c>
      <c r="I1568" s="2"/>
      <c r="K1568" s="82">
        <v>0.50949999999999995</v>
      </c>
    </row>
    <row r="1569" spans="1:11" x14ac:dyDescent="0.2">
      <c r="A1569" s="33">
        <v>42420</v>
      </c>
      <c r="B1569" s="206" t="s">
        <v>4259</v>
      </c>
      <c r="C1569" s="254" t="s">
        <v>440</v>
      </c>
      <c r="D1569" s="65">
        <v>2.3541666666666666E-2</v>
      </c>
      <c r="E1569" t="s">
        <v>5095</v>
      </c>
      <c r="F1569" s="69" t="s">
        <v>5808</v>
      </c>
      <c r="I1569" s="2"/>
      <c r="K1569" s="82">
        <v>0.50049999999999994</v>
      </c>
    </row>
    <row r="1570" spans="1:11" x14ac:dyDescent="0.2">
      <c r="A1570" s="33">
        <v>42385</v>
      </c>
      <c r="B1570" s="206" t="s">
        <v>4259</v>
      </c>
      <c r="C1570" s="254" t="s">
        <v>440</v>
      </c>
      <c r="D1570" s="65">
        <v>2.361111111111111E-2</v>
      </c>
      <c r="E1570" t="s">
        <v>5095</v>
      </c>
      <c r="F1570" s="69" t="s">
        <v>5899</v>
      </c>
      <c r="I1570" s="2"/>
      <c r="K1570" s="82">
        <v>0.499</v>
      </c>
    </row>
    <row r="1571" spans="1:11" x14ac:dyDescent="0.2">
      <c r="A1571" s="33">
        <v>42378</v>
      </c>
      <c r="B1571" s="206" t="s">
        <v>4259</v>
      </c>
      <c r="C1571" s="254" t="s">
        <v>440</v>
      </c>
      <c r="D1571" s="544" t="s">
        <v>787</v>
      </c>
      <c r="E1571" s="407" t="s">
        <v>5095</v>
      </c>
      <c r="F1571" s="545" t="s">
        <v>5508</v>
      </c>
      <c r="G1571" s="407"/>
      <c r="H1571" s="407"/>
      <c r="I1571" s="348"/>
      <c r="J1571" s="407"/>
      <c r="K1571" s="546"/>
    </row>
    <row r="1572" spans="1:11" x14ac:dyDescent="0.2">
      <c r="A1572" s="33">
        <v>42371</v>
      </c>
      <c r="B1572" s="206" t="s">
        <v>4259</v>
      </c>
      <c r="C1572" s="254" t="s">
        <v>440</v>
      </c>
      <c r="D1572" s="65">
        <v>2.3541666666666666E-2</v>
      </c>
      <c r="E1572" s="5" t="s">
        <v>5095</v>
      </c>
      <c r="F1572" s="69" t="s">
        <v>1748</v>
      </c>
      <c r="K1572" s="82">
        <v>0.50049999999999994</v>
      </c>
    </row>
    <row r="1573" spans="1:11" x14ac:dyDescent="0.2">
      <c r="A1573" s="33">
        <v>42686</v>
      </c>
      <c r="B1573" s="5" t="s">
        <v>3898</v>
      </c>
      <c r="C1573" s="32" t="s">
        <v>3899</v>
      </c>
      <c r="D1573" s="65">
        <v>1.6689814814814817E-2</v>
      </c>
      <c r="E1573" t="s">
        <v>1459</v>
      </c>
      <c r="F1573" s="69" t="s">
        <v>1461</v>
      </c>
      <c r="I1573" s="2"/>
      <c r="K1573" s="82">
        <v>0.63380000000000003</v>
      </c>
    </row>
    <row r="1574" spans="1:11" x14ac:dyDescent="0.2">
      <c r="A1574" s="33">
        <v>42623</v>
      </c>
      <c r="B1574" s="5" t="s">
        <v>3898</v>
      </c>
      <c r="C1574" s="32" t="s">
        <v>3899</v>
      </c>
      <c r="D1574" s="65">
        <v>1.5833333333333335E-2</v>
      </c>
      <c r="E1574" t="s">
        <v>819</v>
      </c>
      <c r="F1574" s="69" t="s">
        <v>826</v>
      </c>
      <c r="I1574" s="2"/>
      <c r="K1574" s="82">
        <v>0.66810000000000003</v>
      </c>
    </row>
    <row r="1575" spans="1:11" x14ac:dyDescent="0.2">
      <c r="A1575" s="33">
        <v>42630</v>
      </c>
      <c r="B1575" s="5" t="s">
        <v>1542</v>
      </c>
      <c r="C1575" s="32" t="s">
        <v>3899</v>
      </c>
      <c r="D1575" s="65">
        <v>1.5474537037037038E-2</v>
      </c>
      <c r="E1575" t="s">
        <v>5186</v>
      </c>
      <c r="F1575" s="69" t="s">
        <v>2450</v>
      </c>
      <c r="I1575" s="2"/>
      <c r="K1575" s="82">
        <v>0.68359999999999999</v>
      </c>
    </row>
    <row r="1576" spans="1:11" x14ac:dyDescent="0.2">
      <c r="A1576" s="33">
        <v>42609</v>
      </c>
      <c r="B1576" s="5" t="s">
        <v>5668</v>
      </c>
      <c r="C1576" s="32" t="s">
        <v>5669</v>
      </c>
      <c r="D1576" s="65">
        <v>1.5671296296296298E-2</v>
      </c>
      <c r="E1576" t="s">
        <v>3009</v>
      </c>
      <c r="F1576" s="69" t="s">
        <v>4826</v>
      </c>
      <c r="I1576" s="2"/>
      <c r="K1576" s="82">
        <v>0.62849999999999995</v>
      </c>
    </row>
    <row r="1577" spans="1:11" x14ac:dyDescent="0.2">
      <c r="A1577" s="33">
        <v>42560</v>
      </c>
      <c r="B1577" s="5" t="s">
        <v>4351</v>
      </c>
      <c r="C1577" s="32" t="s">
        <v>5669</v>
      </c>
      <c r="D1577" s="65">
        <v>1.5787037037037037E-2</v>
      </c>
      <c r="E1577" t="s">
        <v>3009</v>
      </c>
      <c r="F1577" s="69" t="s">
        <v>5427</v>
      </c>
      <c r="I1577" s="2"/>
      <c r="K1577" s="82">
        <v>0.62390000000000001</v>
      </c>
    </row>
    <row r="1578" spans="1:11" x14ac:dyDescent="0.2">
      <c r="A1578" s="33">
        <v>42399</v>
      </c>
      <c r="B1578" t="s">
        <v>3962</v>
      </c>
      <c r="C1578" s="1" t="s">
        <v>5543</v>
      </c>
      <c r="D1578" s="65">
        <v>1.6261574074074074E-2</v>
      </c>
      <c r="E1578" t="s">
        <v>5948</v>
      </c>
      <c r="F1578" s="69" t="s">
        <v>2221</v>
      </c>
      <c r="I1578" s="2"/>
      <c r="K1578" s="82">
        <v>0.64810000000000001</v>
      </c>
    </row>
    <row r="1579" spans="1:11" x14ac:dyDescent="0.2">
      <c r="A1579" s="33">
        <v>42665</v>
      </c>
      <c r="B1579" s="53" t="s">
        <v>2703</v>
      </c>
      <c r="C1579" s="54" t="s">
        <v>5543</v>
      </c>
      <c r="D1579" s="65" t="s">
        <v>787</v>
      </c>
      <c r="E1579" t="s">
        <v>1401</v>
      </c>
      <c r="F1579" s="69" t="s">
        <v>4061</v>
      </c>
      <c r="I1579" s="2"/>
      <c r="K1579" s="82"/>
    </row>
    <row r="1580" spans="1:11" x14ac:dyDescent="0.2">
      <c r="A1580" s="33">
        <v>42735</v>
      </c>
      <c r="B1580" s="80" t="s">
        <v>1794</v>
      </c>
      <c r="C1580" s="334" t="s">
        <v>5543</v>
      </c>
      <c r="D1580" s="65">
        <v>1.7326388888888888E-2</v>
      </c>
      <c r="E1580" s="80" t="s">
        <v>1401</v>
      </c>
      <c r="F1580" s="69" t="s">
        <v>6185</v>
      </c>
      <c r="I1580" s="2"/>
      <c r="K1580" s="82">
        <v>0.60589999999999999</v>
      </c>
    </row>
    <row r="1581" spans="1:11" x14ac:dyDescent="0.2">
      <c r="A1581" s="523">
        <v>42728</v>
      </c>
      <c r="B1581" s="80" t="s">
        <v>1794</v>
      </c>
      <c r="C1581" s="334" t="s">
        <v>5543</v>
      </c>
      <c r="D1581" s="65">
        <v>1.7164351851851851E-2</v>
      </c>
      <c r="E1581" s="80" t="s">
        <v>1401</v>
      </c>
      <c r="F1581" s="69" t="s">
        <v>2654</v>
      </c>
      <c r="I1581" s="2"/>
      <c r="K1581" s="82">
        <v>0.61160000000000003</v>
      </c>
    </row>
    <row r="1582" spans="1:11" x14ac:dyDescent="0.2">
      <c r="A1582" s="33">
        <v>42721</v>
      </c>
      <c r="B1582" s="5" t="s">
        <v>1794</v>
      </c>
      <c r="C1582" s="32" t="s">
        <v>5543</v>
      </c>
      <c r="D1582" s="65">
        <v>1.7199074074074071E-2</v>
      </c>
      <c r="E1582" s="5" t="s">
        <v>1401</v>
      </c>
      <c r="F1582" s="108" t="s">
        <v>6105</v>
      </c>
      <c r="I1582" s="2"/>
      <c r="K1582" s="82">
        <v>0.61040000000000005</v>
      </c>
    </row>
    <row r="1583" spans="1:11" x14ac:dyDescent="0.2">
      <c r="A1583" s="33">
        <v>42714</v>
      </c>
      <c r="B1583" s="5" t="s">
        <v>1794</v>
      </c>
      <c r="C1583" s="32" t="s">
        <v>5543</v>
      </c>
      <c r="D1583" s="65">
        <v>1.7002314814814814E-2</v>
      </c>
      <c r="E1583" s="5" t="s">
        <v>1401</v>
      </c>
      <c r="F1583" s="108" t="s">
        <v>3077</v>
      </c>
      <c r="I1583" s="2"/>
      <c r="K1583" s="82">
        <v>0.61739999999999995</v>
      </c>
    </row>
    <row r="1584" spans="1:11" x14ac:dyDescent="0.2">
      <c r="A1584" s="33">
        <v>42686</v>
      </c>
      <c r="B1584" s="5" t="s">
        <v>1794</v>
      </c>
      <c r="C1584" s="32" t="s">
        <v>5543</v>
      </c>
      <c r="D1584" s="65">
        <v>1.7245370370370369E-2</v>
      </c>
      <c r="E1584" t="s">
        <v>1401</v>
      </c>
      <c r="F1584" s="69" t="s">
        <v>1467</v>
      </c>
      <c r="I1584" s="2"/>
      <c r="K1584" s="82">
        <v>0.60870000000000002</v>
      </c>
    </row>
    <row r="1585" spans="1:13" x14ac:dyDescent="0.2">
      <c r="A1585" s="33">
        <v>42679</v>
      </c>
      <c r="B1585" s="5" t="s">
        <v>1794</v>
      </c>
      <c r="C1585" s="32" t="s">
        <v>5543</v>
      </c>
      <c r="D1585" s="551" t="s">
        <v>787</v>
      </c>
      <c r="E1585" t="s">
        <v>1401</v>
      </c>
      <c r="F1585" s="69"/>
      <c r="I1585" s="2"/>
      <c r="K1585" s="82"/>
    </row>
    <row r="1586" spans="1:13" x14ac:dyDescent="0.2">
      <c r="A1586" s="33">
        <v>42672</v>
      </c>
      <c r="B1586" s="5" t="s">
        <v>1794</v>
      </c>
      <c r="C1586" s="32" t="s">
        <v>5543</v>
      </c>
      <c r="D1586" s="65">
        <v>1.7291666666666667E-2</v>
      </c>
      <c r="E1586" t="s">
        <v>1401</v>
      </c>
      <c r="F1586" s="69" t="s">
        <v>4163</v>
      </c>
      <c r="I1586" s="2"/>
      <c r="K1586" s="82">
        <v>0.60709999999999997</v>
      </c>
    </row>
    <row r="1587" spans="1:13" x14ac:dyDescent="0.2">
      <c r="A1587" s="33">
        <v>42665</v>
      </c>
      <c r="B1587" s="5" t="s">
        <v>1794</v>
      </c>
      <c r="C1587" s="32" t="s">
        <v>5543</v>
      </c>
      <c r="D1587" s="65">
        <v>1.7060185185185185E-2</v>
      </c>
      <c r="E1587" t="s">
        <v>1401</v>
      </c>
      <c r="F1587" s="501" t="s">
        <v>1253</v>
      </c>
      <c r="G1587" s="395"/>
      <c r="I1587" s="2"/>
      <c r="K1587" s="82">
        <v>0.61529999999999996</v>
      </c>
    </row>
    <row r="1588" spans="1:13" x14ac:dyDescent="0.2">
      <c r="A1588" s="33">
        <v>42658</v>
      </c>
      <c r="B1588" s="5" t="s">
        <v>1794</v>
      </c>
      <c r="C1588" s="32" t="s">
        <v>5543</v>
      </c>
      <c r="D1588" s="65">
        <v>1.7384259259259262E-2</v>
      </c>
      <c r="E1588" t="s">
        <v>5544</v>
      </c>
      <c r="F1588" s="69" t="s">
        <v>2242</v>
      </c>
      <c r="I1588" s="2"/>
      <c r="K1588" s="82"/>
    </row>
    <row r="1589" spans="1:13" x14ac:dyDescent="0.2">
      <c r="A1589" s="33">
        <v>42651</v>
      </c>
      <c r="B1589" s="5" t="s">
        <v>1794</v>
      </c>
      <c r="C1589" s="32" t="s">
        <v>5543</v>
      </c>
      <c r="D1589" s="65">
        <v>1.7349537037037038E-2</v>
      </c>
      <c r="E1589" t="s">
        <v>1401</v>
      </c>
      <c r="F1589" s="69" t="s">
        <v>5932</v>
      </c>
      <c r="I1589" s="2"/>
      <c r="K1589" s="82">
        <v>0.60509999999999997</v>
      </c>
    </row>
    <row r="1590" spans="1:13" x14ac:dyDescent="0.2">
      <c r="A1590" s="33">
        <v>42644</v>
      </c>
      <c r="B1590" s="5" t="s">
        <v>1794</v>
      </c>
      <c r="C1590" s="32" t="s">
        <v>5543</v>
      </c>
      <c r="D1590" s="65">
        <v>1.7488425925925925E-2</v>
      </c>
      <c r="E1590" t="s">
        <v>1401</v>
      </c>
      <c r="F1590" s="69" t="s">
        <v>3061</v>
      </c>
      <c r="I1590" s="2"/>
      <c r="K1590" s="82">
        <v>0.60029999999999994</v>
      </c>
    </row>
    <row r="1591" spans="1:13" x14ac:dyDescent="0.2">
      <c r="A1591" s="33">
        <v>42637</v>
      </c>
      <c r="B1591" s="5" t="s">
        <v>1794</v>
      </c>
      <c r="C1591" s="32" t="s">
        <v>5543</v>
      </c>
      <c r="D1591" s="65">
        <v>1.7615740740740741E-2</v>
      </c>
      <c r="E1591" t="s">
        <v>1401</v>
      </c>
      <c r="F1591" s="69" t="s">
        <v>3188</v>
      </c>
      <c r="I1591" s="2"/>
      <c r="K1591" s="82">
        <v>0.59589999999999999</v>
      </c>
    </row>
    <row r="1592" spans="1:13" x14ac:dyDescent="0.2">
      <c r="A1592" s="33">
        <v>42427</v>
      </c>
      <c r="B1592" t="s">
        <v>1794</v>
      </c>
      <c r="C1592" s="1" t="s">
        <v>5543</v>
      </c>
      <c r="D1592" s="65" t="s">
        <v>787</v>
      </c>
      <c r="E1592" t="s">
        <v>1401</v>
      </c>
      <c r="F1592" s="69" t="s">
        <v>4000</v>
      </c>
      <c r="I1592" s="2"/>
      <c r="K1592" s="82"/>
    </row>
    <row r="1593" spans="1:13" x14ac:dyDescent="0.2">
      <c r="A1593" s="33">
        <v>42420</v>
      </c>
      <c r="B1593" t="s">
        <v>1794</v>
      </c>
      <c r="C1593" s="1" t="s">
        <v>5543</v>
      </c>
      <c r="D1593" s="65" t="s">
        <v>787</v>
      </c>
      <c r="E1593" t="s">
        <v>1401</v>
      </c>
      <c r="F1593" s="69"/>
      <c r="I1593" s="2"/>
      <c r="K1593" s="82"/>
    </row>
    <row r="1594" spans="1:13" x14ac:dyDescent="0.2">
      <c r="A1594" s="33">
        <v>42539</v>
      </c>
      <c r="B1594" s="5" t="s">
        <v>4744</v>
      </c>
      <c r="C1594" s="32" t="s">
        <v>4745</v>
      </c>
      <c r="D1594" s="65">
        <v>2.0127314814814817E-2</v>
      </c>
      <c r="E1594" t="s">
        <v>4004</v>
      </c>
      <c r="F1594" s="69" t="s">
        <v>2820</v>
      </c>
      <c r="I1594" s="2"/>
      <c r="J1594" s="5" t="s">
        <v>4746</v>
      </c>
      <c r="K1594" s="82">
        <v>0.58940000000000003</v>
      </c>
    </row>
    <row r="1595" spans="1:13" x14ac:dyDescent="0.2">
      <c r="A1595" s="33">
        <v>42658</v>
      </c>
      <c r="B1595" s="53" t="s">
        <v>3687</v>
      </c>
      <c r="C1595" s="54" t="s">
        <v>3688</v>
      </c>
      <c r="D1595" s="65">
        <v>1.5625E-2</v>
      </c>
      <c r="E1595" t="s">
        <v>1970</v>
      </c>
      <c r="F1595" s="69" t="s">
        <v>3733</v>
      </c>
      <c r="I1595" s="2"/>
      <c r="K1595" s="82">
        <v>0.79520000000000002</v>
      </c>
    </row>
    <row r="1596" spans="1:13" x14ac:dyDescent="0.2">
      <c r="A1596" s="33">
        <v>42707</v>
      </c>
      <c r="B1596" s="80" t="s">
        <v>3535</v>
      </c>
      <c r="C1596" s="334" t="s">
        <v>1026</v>
      </c>
      <c r="D1596" s="65">
        <v>1.6782407407407409E-2</v>
      </c>
      <c r="E1596" t="s">
        <v>5652</v>
      </c>
      <c r="F1596" s="69" t="s">
        <v>7634</v>
      </c>
      <c r="I1596" s="2"/>
      <c r="K1596" s="82">
        <v>0.62549999999999994</v>
      </c>
    </row>
    <row r="1597" spans="1:13" x14ac:dyDescent="0.2">
      <c r="A1597" s="33">
        <v>42735</v>
      </c>
      <c r="B1597" s="80" t="s">
        <v>591</v>
      </c>
      <c r="C1597" s="334" t="s">
        <v>4788</v>
      </c>
      <c r="D1597" s="65">
        <v>2.1273148148148149E-2</v>
      </c>
      <c r="E1597" s="80" t="s">
        <v>3528</v>
      </c>
      <c r="F1597" s="69" t="s">
        <v>6190</v>
      </c>
      <c r="I1597" s="2"/>
      <c r="K1597" s="82">
        <v>0.52339999999999998</v>
      </c>
    </row>
    <row r="1598" spans="1:13" x14ac:dyDescent="0.2">
      <c r="A1598" s="523">
        <v>42728</v>
      </c>
      <c r="B1598" s="80" t="s">
        <v>591</v>
      </c>
      <c r="C1598" s="334" t="s">
        <v>4788</v>
      </c>
      <c r="D1598" s="65">
        <v>1.7453703703703704E-2</v>
      </c>
      <c r="E1598" s="80" t="s">
        <v>803</v>
      </c>
      <c r="F1598" s="69" t="s">
        <v>2083</v>
      </c>
      <c r="I1598" s="2"/>
      <c r="K1598" s="82">
        <v>0.63790000000000002</v>
      </c>
      <c r="M1598" s="80" t="s">
        <v>6132</v>
      </c>
    </row>
    <row r="1599" spans="1:13" x14ac:dyDescent="0.2">
      <c r="A1599" s="33">
        <v>42434</v>
      </c>
      <c r="B1599" t="s">
        <v>591</v>
      </c>
      <c r="C1599" s="1" t="s">
        <v>4788</v>
      </c>
      <c r="D1599" s="65">
        <v>1.621527777777778E-2</v>
      </c>
      <c r="E1599" t="s">
        <v>3528</v>
      </c>
      <c r="F1599" s="69" t="s">
        <v>2074</v>
      </c>
      <c r="I1599" s="2"/>
      <c r="K1599" s="82">
        <v>0.68669999999999998</v>
      </c>
    </row>
    <row r="1600" spans="1:13" x14ac:dyDescent="0.2">
      <c r="A1600" s="523">
        <v>42728</v>
      </c>
      <c r="B1600" s="80" t="s">
        <v>5542</v>
      </c>
      <c r="C1600" s="334" t="s">
        <v>4788</v>
      </c>
      <c r="D1600" s="65">
        <v>1.7430555555555557E-2</v>
      </c>
      <c r="E1600" s="80" t="s">
        <v>803</v>
      </c>
      <c r="F1600" s="69" t="s">
        <v>6131</v>
      </c>
      <c r="I1600" s="2"/>
      <c r="K1600" s="82">
        <v>0.60229999999999995</v>
      </c>
    </row>
    <row r="1601" spans="1:19" x14ac:dyDescent="0.2">
      <c r="A1601" s="33">
        <v>42371</v>
      </c>
      <c r="B1601" t="s">
        <v>5542</v>
      </c>
      <c r="C1601" s="1" t="s">
        <v>4788</v>
      </c>
      <c r="D1601" s="65">
        <v>1.9016203703703705E-2</v>
      </c>
      <c r="E1601" s="5" t="s">
        <v>803</v>
      </c>
      <c r="F1601" s="69" t="s">
        <v>5697</v>
      </c>
      <c r="K1601" s="82">
        <v>0.54720000000000002</v>
      </c>
    </row>
    <row r="1602" spans="1:19" x14ac:dyDescent="0.2">
      <c r="A1602" s="33">
        <v>42735</v>
      </c>
      <c r="B1602" s="80" t="s">
        <v>922</v>
      </c>
      <c r="C1602" s="334" t="s">
        <v>5833</v>
      </c>
      <c r="D1602" s="65">
        <v>1.4328703703703703E-2</v>
      </c>
      <c r="E1602" s="80" t="s">
        <v>5885</v>
      </c>
      <c r="F1602" s="69" t="s">
        <v>6173</v>
      </c>
      <c r="I1602" s="2"/>
      <c r="K1602" s="82">
        <v>0.72050000000000003</v>
      </c>
      <c r="M1602">
        <f>433-381</f>
        <v>52</v>
      </c>
    </row>
    <row r="1603" spans="1:19" x14ac:dyDescent="0.2">
      <c r="A1603" s="33">
        <v>42651</v>
      </c>
      <c r="B1603" s="5" t="s">
        <v>922</v>
      </c>
      <c r="C1603" s="32" t="s">
        <v>5833</v>
      </c>
      <c r="D1603" s="65">
        <v>1.3761574074074074E-2</v>
      </c>
      <c r="E1603" t="s">
        <v>5885</v>
      </c>
      <c r="F1603" s="69" t="s">
        <v>1028</v>
      </c>
      <c r="I1603" s="2"/>
      <c r="K1603" s="82">
        <v>0.75019999999999998</v>
      </c>
    </row>
    <row r="1604" spans="1:19" x14ac:dyDescent="0.2">
      <c r="A1604" s="33">
        <v>42581</v>
      </c>
      <c r="B1604" s="53" t="s">
        <v>922</v>
      </c>
      <c r="C1604" s="54" t="s">
        <v>5833</v>
      </c>
      <c r="D1604" s="65">
        <v>1.3599537037037037E-2</v>
      </c>
      <c r="E1604" t="s">
        <v>5885</v>
      </c>
      <c r="F1604" s="69" t="s">
        <v>4065</v>
      </c>
      <c r="I1604" s="2"/>
      <c r="K1604" s="82">
        <v>0.7591</v>
      </c>
    </row>
    <row r="1605" spans="1:19" x14ac:dyDescent="0.2">
      <c r="A1605" s="33">
        <v>42539</v>
      </c>
      <c r="B1605" s="53" t="s">
        <v>922</v>
      </c>
      <c r="C1605" s="54" t="s">
        <v>5833</v>
      </c>
      <c r="D1605" s="65">
        <v>1.357638888888889E-2</v>
      </c>
      <c r="E1605" t="s">
        <v>5885</v>
      </c>
      <c r="F1605" s="69" t="s">
        <v>4751</v>
      </c>
      <c r="I1605" s="2"/>
      <c r="K1605" s="82">
        <v>0.76039999999999996</v>
      </c>
    </row>
    <row r="1606" spans="1:19" x14ac:dyDescent="0.2">
      <c r="A1606" s="33">
        <v>42483</v>
      </c>
      <c r="B1606" s="53" t="s">
        <v>922</v>
      </c>
      <c r="C1606" s="54" t="s">
        <v>5833</v>
      </c>
      <c r="D1606" s="543">
        <v>1.383101851851852E-2</v>
      </c>
      <c r="E1606" s="5" t="s">
        <v>5885</v>
      </c>
      <c r="F1606" s="108" t="s">
        <v>4570</v>
      </c>
      <c r="G1606" s="5"/>
      <c r="H1606" s="5"/>
      <c r="I1606" s="2"/>
      <c r="J1606" s="5"/>
      <c r="K1606" s="85">
        <v>0.74639999999999995</v>
      </c>
    </row>
    <row r="1607" spans="1:19" x14ac:dyDescent="0.2">
      <c r="A1607" s="33">
        <v>42455</v>
      </c>
      <c r="B1607" s="53" t="s">
        <v>922</v>
      </c>
      <c r="C1607" s="54" t="s">
        <v>5833</v>
      </c>
      <c r="D1607" s="65">
        <v>1.4027777777777778E-2</v>
      </c>
      <c r="E1607" t="s">
        <v>5885</v>
      </c>
      <c r="F1607" s="69" t="s">
        <v>545</v>
      </c>
      <c r="I1607" s="2"/>
      <c r="K1607" s="82">
        <v>0.73599999999999999</v>
      </c>
    </row>
    <row r="1608" spans="1:19" x14ac:dyDescent="0.2">
      <c r="A1608" s="33">
        <v>42413</v>
      </c>
      <c r="B1608" s="53" t="s">
        <v>922</v>
      </c>
      <c r="C1608" s="54" t="s">
        <v>5833</v>
      </c>
      <c r="D1608" s="65">
        <v>1.375E-2</v>
      </c>
      <c r="E1608" t="s">
        <v>5885</v>
      </c>
      <c r="F1608" s="69" t="s">
        <v>4843</v>
      </c>
      <c r="I1608" s="2"/>
      <c r="K1608" s="82">
        <v>0.74490000000000001</v>
      </c>
    </row>
    <row r="1609" spans="1:19" x14ac:dyDescent="0.2">
      <c r="A1609" s="33">
        <v>42371</v>
      </c>
      <c r="B1609" s="53" t="s">
        <v>922</v>
      </c>
      <c r="C1609" s="54" t="s">
        <v>5833</v>
      </c>
      <c r="D1609" s="65">
        <v>1.4560185185185183E-2</v>
      </c>
      <c r="E1609" s="5" t="s">
        <v>5885</v>
      </c>
      <c r="F1609" s="69" t="s">
        <v>3944</v>
      </c>
      <c r="K1609" s="82">
        <v>0.70350000000000001</v>
      </c>
    </row>
    <row r="1610" spans="1:19" x14ac:dyDescent="0.2">
      <c r="A1610" s="33">
        <v>42370</v>
      </c>
      <c r="B1610" s="53" t="s">
        <v>922</v>
      </c>
      <c r="C1610" s="54" t="s">
        <v>5833</v>
      </c>
      <c r="D1610" s="65">
        <v>1.3935185185185184E-2</v>
      </c>
      <c r="E1610" t="s">
        <v>129</v>
      </c>
      <c r="F1610" s="69" t="s">
        <v>5614</v>
      </c>
      <c r="I1610" s="2"/>
      <c r="K1610" s="82">
        <v>0.73499999999999999</v>
      </c>
    </row>
    <row r="1611" spans="1:19" x14ac:dyDescent="0.2">
      <c r="A1611" s="33">
        <v>42370</v>
      </c>
      <c r="B1611" s="53" t="s">
        <v>922</v>
      </c>
      <c r="C1611" s="54" t="s">
        <v>5833</v>
      </c>
      <c r="D1611" s="65">
        <v>1.3993055555555555E-2</v>
      </c>
      <c r="E1611" t="s">
        <v>5885</v>
      </c>
      <c r="F1611" s="69"/>
      <c r="I1611" s="2"/>
      <c r="K1611" s="82">
        <v>0.73199999999999998</v>
      </c>
    </row>
    <row r="1612" spans="1:19" x14ac:dyDescent="0.2">
      <c r="A1612" s="33">
        <v>42476</v>
      </c>
      <c r="B1612" s="53" t="s">
        <v>214</v>
      </c>
      <c r="C1612" s="54" t="s">
        <v>5833</v>
      </c>
      <c r="D1612" s="65">
        <v>1.4074074074074074E-2</v>
      </c>
      <c r="E1612" t="s">
        <v>5885</v>
      </c>
      <c r="F1612" s="69" t="s">
        <v>76</v>
      </c>
      <c r="I1612" s="2"/>
      <c r="K1612" s="82">
        <v>0.73360000000000003</v>
      </c>
    </row>
    <row r="1613" spans="1:19" x14ac:dyDescent="0.2">
      <c r="A1613" s="523">
        <v>42728</v>
      </c>
      <c r="B1613" s="80" t="s">
        <v>864</v>
      </c>
      <c r="C1613" s="334" t="s">
        <v>865</v>
      </c>
      <c r="D1613" s="65">
        <v>1.4259259259259261E-2</v>
      </c>
      <c r="E1613" s="80" t="s">
        <v>1214</v>
      </c>
      <c r="F1613" s="69" t="s">
        <v>6125</v>
      </c>
      <c r="I1613" s="2"/>
      <c r="K1613" s="82">
        <v>0.78810000000000002</v>
      </c>
      <c r="M1613" s="80" t="s">
        <v>6126</v>
      </c>
    </row>
    <row r="1614" spans="1:19" x14ac:dyDescent="0.2">
      <c r="A1614" s="33">
        <v>42721</v>
      </c>
      <c r="B1614" s="5" t="s">
        <v>864</v>
      </c>
      <c r="C1614" s="32" t="s">
        <v>865</v>
      </c>
      <c r="D1614" s="65">
        <v>1.4259259259259261E-2</v>
      </c>
      <c r="E1614" s="5" t="s">
        <v>5456</v>
      </c>
      <c r="F1614" s="108" t="s">
        <v>1815</v>
      </c>
      <c r="I1614" s="2"/>
      <c r="K1614" s="82">
        <v>0.78810000000000002</v>
      </c>
    </row>
    <row r="1615" spans="1:19" x14ac:dyDescent="0.2">
      <c r="A1615" s="33">
        <v>42707</v>
      </c>
      <c r="B1615" s="5" t="s">
        <v>864</v>
      </c>
      <c r="C1615" s="32" t="s">
        <v>865</v>
      </c>
      <c r="D1615" s="65">
        <v>1.4097222222222221E-2</v>
      </c>
      <c r="E1615" t="s">
        <v>5544</v>
      </c>
      <c r="F1615" s="69" t="s">
        <v>1164</v>
      </c>
      <c r="I1615" s="2"/>
      <c r="K1615" s="82">
        <v>0.79720000000000002</v>
      </c>
    </row>
    <row r="1616" spans="1:19" x14ac:dyDescent="0.2">
      <c r="A1616" s="33">
        <v>42700</v>
      </c>
      <c r="B1616" s="5" t="s">
        <v>864</v>
      </c>
      <c r="C1616" s="32" t="s">
        <v>865</v>
      </c>
      <c r="D1616" s="65">
        <v>1.4525462962962964E-2</v>
      </c>
      <c r="E1616" s="5" t="s">
        <v>4727</v>
      </c>
      <c r="F1616" s="69"/>
      <c r="I1616" s="2"/>
      <c r="K1616" s="82">
        <v>0.77370000000000005</v>
      </c>
      <c r="S1616" s="5"/>
    </row>
    <row r="1617" spans="1:13" x14ac:dyDescent="0.2">
      <c r="A1617" s="33">
        <v>42679</v>
      </c>
      <c r="B1617" s="5" t="s">
        <v>864</v>
      </c>
      <c r="C1617" s="32" t="s">
        <v>865</v>
      </c>
      <c r="D1617" s="65">
        <v>1.4467592592592593E-2</v>
      </c>
      <c r="E1617" t="s">
        <v>4161</v>
      </c>
      <c r="F1617" s="69" t="s">
        <v>606</v>
      </c>
      <c r="I1617" s="2"/>
      <c r="K1617" s="82">
        <v>0.77680000000000005</v>
      </c>
    </row>
    <row r="1618" spans="1:13" x14ac:dyDescent="0.2">
      <c r="A1618" s="33">
        <v>42637</v>
      </c>
      <c r="B1618" s="5" t="s">
        <v>864</v>
      </c>
      <c r="C1618" s="32" t="s">
        <v>865</v>
      </c>
      <c r="D1618" s="65">
        <v>1.4317129629629631E-2</v>
      </c>
      <c r="E1618" t="s">
        <v>3072</v>
      </c>
      <c r="F1618" s="69" t="s">
        <v>3987</v>
      </c>
      <c r="I1618" s="2"/>
      <c r="K1618" s="82">
        <v>0.78500000000000003</v>
      </c>
    </row>
    <row r="1619" spans="1:13" x14ac:dyDescent="0.2">
      <c r="A1619" s="33">
        <v>42616</v>
      </c>
      <c r="B1619" s="5" t="s">
        <v>864</v>
      </c>
      <c r="C1619" s="32" t="s">
        <v>865</v>
      </c>
      <c r="D1619" s="65">
        <v>1.4236111111111111E-2</v>
      </c>
      <c r="E1619" t="s">
        <v>3072</v>
      </c>
      <c r="F1619" s="69" t="s">
        <v>5291</v>
      </c>
      <c r="I1619" s="2"/>
      <c r="K1619" s="82">
        <v>0.78210000000000002</v>
      </c>
    </row>
    <row r="1620" spans="1:13" x14ac:dyDescent="0.2">
      <c r="A1620" s="33">
        <v>42609</v>
      </c>
      <c r="B1620" s="5" t="s">
        <v>864</v>
      </c>
      <c r="C1620" s="32" t="s">
        <v>865</v>
      </c>
      <c r="D1620" s="65">
        <v>1.4641203703703703E-2</v>
      </c>
      <c r="E1620" t="s">
        <v>3167</v>
      </c>
      <c r="F1620" s="69" t="s">
        <v>4480</v>
      </c>
      <c r="I1620" s="2"/>
      <c r="K1620" s="82">
        <v>0.76049999999999995</v>
      </c>
    </row>
    <row r="1621" spans="1:13" x14ac:dyDescent="0.2">
      <c r="A1621" s="33">
        <v>42546</v>
      </c>
      <c r="B1621" s="5" t="s">
        <v>864</v>
      </c>
      <c r="C1621" s="32" t="s">
        <v>865</v>
      </c>
      <c r="D1621" s="65">
        <v>1.4710648148148148E-2</v>
      </c>
      <c r="E1621" t="s">
        <v>3072</v>
      </c>
      <c r="F1621" s="69" t="s">
        <v>718</v>
      </c>
      <c r="I1621" s="2"/>
      <c r="K1621" s="82">
        <v>0.75690000000000002</v>
      </c>
    </row>
    <row r="1622" spans="1:13" x14ac:dyDescent="0.2">
      <c r="A1622" s="33">
        <v>42483</v>
      </c>
      <c r="B1622" s="5" t="s">
        <v>864</v>
      </c>
      <c r="C1622" s="32" t="s">
        <v>865</v>
      </c>
      <c r="D1622" s="543">
        <v>1.4826388888888889E-2</v>
      </c>
      <c r="E1622" s="5" t="s">
        <v>3299</v>
      </c>
      <c r="F1622" s="108" t="s">
        <v>2924</v>
      </c>
      <c r="G1622" s="5"/>
      <c r="H1622" s="5"/>
      <c r="I1622" s="2"/>
      <c r="J1622" s="5"/>
      <c r="K1622" s="85">
        <v>0.751</v>
      </c>
    </row>
    <row r="1623" spans="1:13" x14ac:dyDescent="0.2">
      <c r="A1623" s="33">
        <v>42462</v>
      </c>
      <c r="B1623" t="s">
        <v>864</v>
      </c>
      <c r="C1623" s="1" t="s">
        <v>865</v>
      </c>
      <c r="D1623" s="65">
        <v>1.4120370370370368E-2</v>
      </c>
      <c r="E1623" t="s">
        <v>1214</v>
      </c>
      <c r="F1623" s="69" t="s">
        <v>5582</v>
      </c>
      <c r="I1623" s="2"/>
      <c r="K1623" s="82">
        <v>0.78849999999999998</v>
      </c>
    </row>
    <row r="1624" spans="1:13" x14ac:dyDescent="0.2">
      <c r="A1624" s="33">
        <v>42399</v>
      </c>
      <c r="B1624" t="s">
        <v>864</v>
      </c>
      <c r="C1624" s="1" t="s">
        <v>865</v>
      </c>
      <c r="D1624" s="65">
        <v>1.4872685185185185E-2</v>
      </c>
      <c r="E1624" t="s">
        <v>5883</v>
      </c>
      <c r="F1624" s="69" t="s">
        <v>461</v>
      </c>
      <c r="I1624" s="2"/>
      <c r="K1624" s="82">
        <v>0.74860000000000004</v>
      </c>
    </row>
    <row r="1625" spans="1:13" x14ac:dyDescent="0.2">
      <c r="A1625" s="33">
        <v>42370</v>
      </c>
      <c r="B1625" t="s">
        <v>864</v>
      </c>
      <c r="C1625" s="1" t="s">
        <v>865</v>
      </c>
      <c r="D1625" s="65">
        <v>1.4999999999999999E-2</v>
      </c>
      <c r="E1625" s="5" t="s">
        <v>4936</v>
      </c>
      <c r="F1625" s="69" t="s">
        <v>1067</v>
      </c>
      <c r="H1625" t="s">
        <v>5475</v>
      </c>
      <c r="K1625" s="82">
        <v>0.74229999999999996</v>
      </c>
    </row>
    <row r="1626" spans="1:13" x14ac:dyDescent="0.2">
      <c r="A1626" s="33">
        <v>42729</v>
      </c>
      <c r="B1626" s="80" t="s">
        <v>2929</v>
      </c>
      <c r="C1626" s="334" t="s">
        <v>6129</v>
      </c>
      <c r="D1626" s="65">
        <v>1.8124999999999999E-2</v>
      </c>
      <c r="E1626" s="80" t="s">
        <v>4556</v>
      </c>
      <c r="F1626" s="69" t="s">
        <v>3865</v>
      </c>
      <c r="I1626" s="2"/>
      <c r="K1626" s="82">
        <v>0.56699999999999995</v>
      </c>
    </row>
    <row r="1627" spans="1:13" x14ac:dyDescent="0.2">
      <c r="A1627" s="523">
        <v>42728</v>
      </c>
      <c r="B1627" s="80" t="s">
        <v>2929</v>
      </c>
      <c r="C1627" s="334" t="s">
        <v>6129</v>
      </c>
      <c r="D1627" s="65">
        <v>1.7523148148148149E-2</v>
      </c>
      <c r="E1627" s="80" t="s">
        <v>1405</v>
      </c>
      <c r="F1627" s="69" t="s">
        <v>6139</v>
      </c>
      <c r="I1627" s="2"/>
      <c r="K1627" s="82">
        <v>0.58650000000000002</v>
      </c>
      <c r="M1627" s="80" t="s">
        <v>6138</v>
      </c>
    </row>
    <row r="1628" spans="1:13" x14ac:dyDescent="0.2">
      <c r="A1628" s="33">
        <v>42721</v>
      </c>
      <c r="B1628" s="80" t="s">
        <v>2929</v>
      </c>
      <c r="C1628" s="334" t="s">
        <v>6129</v>
      </c>
      <c r="D1628" s="65">
        <v>1.7511574074074072E-2</v>
      </c>
      <c r="E1628" s="5" t="s">
        <v>1405</v>
      </c>
      <c r="F1628" s="108" t="s">
        <v>6114</v>
      </c>
      <c r="I1628" s="2"/>
      <c r="K1628" s="82">
        <v>0.58689999999999998</v>
      </c>
    </row>
    <row r="1629" spans="1:13" x14ac:dyDescent="0.2">
      <c r="A1629" s="33">
        <v>42714</v>
      </c>
      <c r="B1629" s="80" t="s">
        <v>2929</v>
      </c>
      <c r="C1629" s="334" t="s">
        <v>6129</v>
      </c>
      <c r="D1629" s="65">
        <v>1.834490740740741E-2</v>
      </c>
      <c r="E1629" s="5" t="s">
        <v>1405</v>
      </c>
      <c r="F1629" s="108" t="s">
        <v>2356</v>
      </c>
      <c r="I1629" s="2"/>
      <c r="K1629" s="82">
        <v>0.56030000000000002</v>
      </c>
    </row>
    <row r="1630" spans="1:13" x14ac:dyDescent="0.2">
      <c r="A1630" s="33">
        <v>42707</v>
      </c>
      <c r="B1630" s="80" t="s">
        <v>2929</v>
      </c>
      <c r="C1630" s="334" t="s">
        <v>6129</v>
      </c>
      <c r="D1630" s="65">
        <v>1.8229166666666668E-2</v>
      </c>
      <c r="E1630" t="s">
        <v>1405</v>
      </c>
      <c r="F1630" s="69" t="s">
        <v>6055</v>
      </c>
      <c r="I1630" s="2"/>
      <c r="K1630" s="82">
        <v>0.56379999999999997</v>
      </c>
      <c r="M1630" t="s">
        <v>1212</v>
      </c>
    </row>
    <row r="1631" spans="1:13" x14ac:dyDescent="0.2">
      <c r="A1631" s="33">
        <v>42693</v>
      </c>
      <c r="B1631" s="80" t="s">
        <v>2929</v>
      </c>
      <c r="C1631" s="334" t="s">
        <v>6129</v>
      </c>
      <c r="D1631" s="65">
        <v>1.9814814814814816E-2</v>
      </c>
      <c r="E1631" s="5" t="s">
        <v>1405</v>
      </c>
      <c r="F1631" s="69"/>
      <c r="I1631" s="2"/>
      <c r="K1631" s="82">
        <v>0.51870000000000005</v>
      </c>
    </row>
    <row r="1632" spans="1:13" x14ac:dyDescent="0.2">
      <c r="A1632" s="33">
        <v>42672</v>
      </c>
      <c r="B1632" s="80" t="s">
        <v>2929</v>
      </c>
      <c r="C1632" s="334" t="s">
        <v>6129</v>
      </c>
      <c r="D1632" s="65">
        <v>1.8912037037037036E-2</v>
      </c>
      <c r="E1632" t="s">
        <v>1405</v>
      </c>
      <c r="F1632" s="69" t="s">
        <v>4164</v>
      </c>
      <c r="I1632" s="2"/>
      <c r="K1632" s="82">
        <v>0.54349999999999998</v>
      </c>
    </row>
    <row r="1633" spans="1:13" x14ac:dyDescent="0.2">
      <c r="A1633" s="33">
        <v>42525</v>
      </c>
      <c r="B1633" s="80" t="s">
        <v>2929</v>
      </c>
      <c r="C1633" s="334" t="s">
        <v>6129</v>
      </c>
      <c r="D1633" s="543">
        <v>1.923611111111111E-2</v>
      </c>
      <c r="E1633" s="5" t="s">
        <v>1405</v>
      </c>
      <c r="F1633" s="108" t="s">
        <v>4471</v>
      </c>
      <c r="G1633" s="5"/>
      <c r="H1633" s="5"/>
      <c r="I1633" s="2"/>
      <c r="J1633" s="5"/>
      <c r="K1633" s="85">
        <v>0.5343</v>
      </c>
    </row>
    <row r="1634" spans="1:13" x14ac:dyDescent="0.2">
      <c r="A1634" s="33">
        <v>42511</v>
      </c>
      <c r="B1634" s="80" t="s">
        <v>2929</v>
      </c>
      <c r="C1634" s="334" t="s">
        <v>6129</v>
      </c>
      <c r="D1634" s="543">
        <v>1.9166666666666669E-2</v>
      </c>
      <c r="E1634" s="5" t="s">
        <v>1405</v>
      </c>
      <c r="F1634" s="108" t="s">
        <v>2053</v>
      </c>
      <c r="G1634" s="5"/>
      <c r="H1634" s="5"/>
      <c r="I1634" s="2"/>
      <c r="J1634" s="5"/>
      <c r="K1634" s="85">
        <v>0.53620000000000001</v>
      </c>
    </row>
    <row r="1635" spans="1:13" x14ac:dyDescent="0.2">
      <c r="A1635" s="33">
        <v>42504</v>
      </c>
      <c r="B1635" s="80" t="s">
        <v>2929</v>
      </c>
      <c r="C1635" s="334" t="s">
        <v>6129</v>
      </c>
      <c r="D1635" s="543">
        <v>1.9317129629629629E-2</v>
      </c>
      <c r="E1635" s="5" t="s">
        <v>1405</v>
      </c>
      <c r="F1635" s="108" t="s">
        <v>2360</v>
      </c>
      <c r="G1635" s="5"/>
      <c r="H1635" s="5"/>
      <c r="I1635" s="5"/>
      <c r="J1635" s="5"/>
      <c r="K1635" s="85">
        <v>0.53210000000000002</v>
      </c>
    </row>
    <row r="1636" spans="1:13" x14ac:dyDescent="0.2">
      <c r="A1636" s="33">
        <v>42469</v>
      </c>
      <c r="B1636" s="80" t="s">
        <v>2929</v>
      </c>
      <c r="C1636" s="334" t="s">
        <v>6129</v>
      </c>
      <c r="D1636" s="65">
        <v>1.7986111111111109E-2</v>
      </c>
      <c r="E1636" t="s">
        <v>1042</v>
      </c>
      <c r="F1636" s="69" t="s">
        <v>4107</v>
      </c>
      <c r="I1636" s="2"/>
      <c r="K1636" s="82">
        <v>0.57140000000000002</v>
      </c>
    </row>
    <row r="1637" spans="1:13" x14ac:dyDescent="0.2">
      <c r="A1637" s="33">
        <v>42462</v>
      </c>
      <c r="B1637" s="80" t="s">
        <v>2929</v>
      </c>
      <c r="C1637" s="334" t="s">
        <v>6129</v>
      </c>
      <c r="D1637" s="65">
        <v>1.8078703703703704E-2</v>
      </c>
      <c r="E1637" t="s">
        <v>1405</v>
      </c>
      <c r="F1637" s="69" t="s">
        <v>3514</v>
      </c>
      <c r="I1637" s="2"/>
      <c r="K1637" s="82">
        <v>0.56850000000000001</v>
      </c>
    </row>
    <row r="1638" spans="1:13" x14ac:dyDescent="0.2">
      <c r="A1638" s="33">
        <v>42448</v>
      </c>
      <c r="B1638" s="80" t="s">
        <v>2929</v>
      </c>
      <c r="C1638" s="334" t="s">
        <v>6129</v>
      </c>
      <c r="D1638" s="65">
        <v>1.7453703703703704E-2</v>
      </c>
      <c r="E1638" t="s">
        <v>1405</v>
      </c>
      <c r="F1638" s="69" t="s">
        <v>3113</v>
      </c>
      <c r="I1638" s="2"/>
      <c r="K1638" s="82">
        <v>0.58889999999999998</v>
      </c>
    </row>
    <row r="1639" spans="1:13" x14ac:dyDescent="0.2">
      <c r="A1639" s="33">
        <v>42441</v>
      </c>
      <c r="B1639" s="80" t="s">
        <v>2929</v>
      </c>
      <c r="C1639" s="334" t="s">
        <v>6129</v>
      </c>
      <c r="D1639" s="65">
        <v>1.7662037037037035E-2</v>
      </c>
      <c r="E1639" t="s">
        <v>1405</v>
      </c>
      <c r="F1639" s="69" t="s">
        <v>1236</v>
      </c>
      <c r="I1639" s="2"/>
      <c r="K1639" s="82">
        <v>0.58189999999999997</v>
      </c>
      <c r="M1639" s="6"/>
    </row>
    <row r="1640" spans="1:13" x14ac:dyDescent="0.2">
      <c r="A1640" s="33">
        <v>42434</v>
      </c>
      <c r="B1640" s="80" t="s">
        <v>2929</v>
      </c>
      <c r="C1640" s="334" t="s">
        <v>6129</v>
      </c>
      <c r="D1640" s="65">
        <v>1.6967592592592593E-2</v>
      </c>
      <c r="E1640" t="s">
        <v>842</v>
      </c>
      <c r="F1640" s="69" t="s">
        <v>69</v>
      </c>
      <c r="I1640" s="2"/>
      <c r="K1640" s="82">
        <v>0.60570000000000002</v>
      </c>
    </row>
    <row r="1641" spans="1:13" x14ac:dyDescent="0.2">
      <c r="A1641" s="33">
        <v>42735</v>
      </c>
      <c r="B1641" s="513" t="s">
        <v>3535</v>
      </c>
      <c r="C1641" s="512" t="s">
        <v>4741</v>
      </c>
      <c r="D1641" s="65">
        <v>1.4699074074074074E-2</v>
      </c>
      <c r="E1641" s="80" t="s">
        <v>5198</v>
      </c>
      <c r="F1641" s="69" t="s">
        <v>6183</v>
      </c>
      <c r="I1641" s="2"/>
      <c r="K1641" s="82">
        <v>0.70240000000000002</v>
      </c>
    </row>
    <row r="1642" spans="1:13" x14ac:dyDescent="0.2">
      <c r="A1642" s="523">
        <v>42728</v>
      </c>
      <c r="B1642" s="513" t="s">
        <v>3535</v>
      </c>
      <c r="C1642" s="512" t="s">
        <v>4741</v>
      </c>
      <c r="D1642" s="65">
        <v>1.4363425925925925E-2</v>
      </c>
      <c r="E1642" s="80" t="s">
        <v>2431</v>
      </c>
      <c r="F1642" s="69" t="s">
        <v>55</v>
      </c>
      <c r="I1642" s="2"/>
      <c r="K1642" s="82">
        <v>0.71879999999999999</v>
      </c>
    </row>
    <row r="1643" spans="1:13" x14ac:dyDescent="0.2">
      <c r="A1643" s="33">
        <v>42714</v>
      </c>
      <c r="B1643" s="513" t="s">
        <v>3535</v>
      </c>
      <c r="C1643" s="512" t="s">
        <v>4741</v>
      </c>
      <c r="D1643" s="65">
        <v>1.4502314814814815E-2</v>
      </c>
      <c r="E1643" s="5" t="s">
        <v>2431</v>
      </c>
      <c r="F1643" s="108" t="s">
        <v>2500</v>
      </c>
      <c r="I1643" s="2"/>
      <c r="K1643" s="82">
        <v>0.71189999999999998</v>
      </c>
    </row>
    <row r="1644" spans="1:13" x14ac:dyDescent="0.2">
      <c r="A1644" s="33">
        <v>42707</v>
      </c>
      <c r="B1644" s="513" t="s">
        <v>3535</v>
      </c>
      <c r="C1644" s="512" t="s">
        <v>4741</v>
      </c>
      <c r="D1644" s="65">
        <v>1.4328703703703703E-2</v>
      </c>
      <c r="E1644" s="5" t="s">
        <v>2431</v>
      </c>
      <c r="F1644" s="69" t="s">
        <v>6039</v>
      </c>
      <c r="I1644" s="2"/>
      <c r="K1644" s="82">
        <v>0.72050000000000003</v>
      </c>
    </row>
    <row r="1645" spans="1:13" x14ac:dyDescent="0.2">
      <c r="A1645" s="33">
        <v>42679</v>
      </c>
      <c r="B1645" s="513" t="s">
        <v>3535</v>
      </c>
      <c r="C1645" s="512" t="s">
        <v>4741</v>
      </c>
      <c r="D1645" s="65">
        <v>1.4363425925925925E-2</v>
      </c>
      <c r="E1645" t="s">
        <v>2431</v>
      </c>
      <c r="F1645" s="69" t="s">
        <v>4879</v>
      </c>
      <c r="I1645" s="2"/>
      <c r="K1645" s="82">
        <v>0.71879999999999999</v>
      </c>
    </row>
    <row r="1646" spans="1:13" x14ac:dyDescent="0.2">
      <c r="A1646" s="33">
        <v>42672</v>
      </c>
      <c r="B1646" s="513" t="s">
        <v>3535</v>
      </c>
      <c r="C1646" s="512" t="s">
        <v>4741</v>
      </c>
      <c r="D1646" s="65">
        <v>1.4606481481481482E-2</v>
      </c>
      <c r="E1646" t="s">
        <v>2431</v>
      </c>
      <c r="F1646" s="69" t="s">
        <v>4167</v>
      </c>
      <c r="I1646" s="2"/>
      <c r="K1646" s="82">
        <v>0.70679999999999998</v>
      </c>
      <c r="L1646" t="s">
        <v>3266</v>
      </c>
    </row>
    <row r="1647" spans="1:13" x14ac:dyDescent="0.2">
      <c r="A1647" s="33">
        <v>42665</v>
      </c>
      <c r="B1647" s="513" t="s">
        <v>3535</v>
      </c>
      <c r="C1647" s="512" t="s">
        <v>4741</v>
      </c>
      <c r="D1647" s="65">
        <v>1.4212962962962962E-2</v>
      </c>
      <c r="E1647" t="s">
        <v>2431</v>
      </c>
      <c r="F1647" s="108" t="s">
        <v>876</v>
      </c>
      <c r="G1647" s="5"/>
      <c r="I1647" s="2"/>
      <c r="K1647" s="82">
        <v>0.72640000000000005</v>
      </c>
    </row>
    <row r="1648" spans="1:13" x14ac:dyDescent="0.2">
      <c r="A1648" s="33">
        <v>42651</v>
      </c>
      <c r="B1648" s="513" t="s">
        <v>3535</v>
      </c>
      <c r="C1648" s="512" t="s">
        <v>4741</v>
      </c>
      <c r="D1648" s="65">
        <v>1.4305555555555557E-2</v>
      </c>
      <c r="E1648" t="s">
        <v>2431</v>
      </c>
      <c r="F1648" s="69" t="s">
        <v>876</v>
      </c>
      <c r="I1648" s="2"/>
      <c r="K1648" s="82">
        <v>0.72170000000000001</v>
      </c>
    </row>
    <row r="1649" spans="1:19" x14ac:dyDescent="0.2">
      <c r="A1649" s="33">
        <v>42644</v>
      </c>
      <c r="B1649" s="513" t="s">
        <v>3535</v>
      </c>
      <c r="C1649" s="512" t="s">
        <v>4741</v>
      </c>
      <c r="D1649" s="65">
        <v>1.4849537037037036E-2</v>
      </c>
      <c r="E1649" t="s">
        <v>2431</v>
      </c>
      <c r="F1649" s="69" t="s">
        <v>2270</v>
      </c>
      <c r="I1649" s="2"/>
      <c r="K1649" s="82">
        <v>0.69520000000000004</v>
      </c>
    </row>
    <row r="1650" spans="1:19" x14ac:dyDescent="0.2">
      <c r="A1650" s="33">
        <v>42630</v>
      </c>
      <c r="B1650" s="513" t="s">
        <v>3535</v>
      </c>
      <c r="C1650" s="512" t="s">
        <v>4741</v>
      </c>
      <c r="D1650" s="65">
        <v>1.4606481481481482E-2</v>
      </c>
      <c r="E1650" t="s">
        <v>2431</v>
      </c>
      <c r="F1650" s="69" t="s">
        <v>4483</v>
      </c>
      <c r="I1650" s="2"/>
      <c r="K1650" s="82">
        <v>0.70679999999999998</v>
      </c>
    </row>
    <row r="1651" spans="1:19" x14ac:dyDescent="0.2">
      <c r="A1651" s="33">
        <v>42616</v>
      </c>
      <c r="B1651" s="513" t="s">
        <v>3535</v>
      </c>
      <c r="C1651" s="512" t="s">
        <v>4741</v>
      </c>
      <c r="D1651" s="65">
        <v>1.4699074074074074E-2</v>
      </c>
      <c r="E1651" t="s">
        <v>2431</v>
      </c>
      <c r="F1651" s="69" t="s">
        <v>1658</v>
      </c>
      <c r="I1651" s="2"/>
      <c r="K1651" s="82">
        <v>0.70240000000000002</v>
      </c>
    </row>
    <row r="1652" spans="1:19" x14ac:dyDescent="0.2">
      <c r="A1652" s="33">
        <v>42609</v>
      </c>
      <c r="B1652" s="197" t="s">
        <v>3535</v>
      </c>
      <c r="C1652" s="265" t="s">
        <v>4741</v>
      </c>
      <c r="D1652" s="65">
        <v>1.4606481481481482E-2</v>
      </c>
      <c r="E1652" t="s">
        <v>2431</v>
      </c>
      <c r="F1652" s="69" t="s">
        <v>328</v>
      </c>
      <c r="I1652" s="2"/>
      <c r="K1652" s="82">
        <v>0.70679999999999998</v>
      </c>
    </row>
    <row r="1653" spans="1:19" x14ac:dyDescent="0.2">
      <c r="A1653" s="33">
        <v>42602</v>
      </c>
      <c r="B1653" s="206" t="s">
        <v>3535</v>
      </c>
      <c r="C1653" s="254" t="s">
        <v>4741</v>
      </c>
      <c r="D1653" s="65">
        <v>1.4780092592592595E-2</v>
      </c>
      <c r="E1653" s="5" t="s">
        <v>2431</v>
      </c>
      <c r="F1653" s="108" t="s">
        <v>1332</v>
      </c>
      <c r="G1653" s="5"/>
      <c r="I1653" s="2"/>
      <c r="K1653" s="82">
        <v>0.69850000000000001</v>
      </c>
    </row>
    <row r="1654" spans="1:19" x14ac:dyDescent="0.2">
      <c r="A1654" s="33">
        <v>42595</v>
      </c>
      <c r="B1654" s="206" t="s">
        <v>3535</v>
      </c>
      <c r="C1654" s="254" t="s">
        <v>4741</v>
      </c>
      <c r="D1654" s="65">
        <v>1.5046296296296295E-2</v>
      </c>
      <c r="E1654" t="s">
        <v>2431</v>
      </c>
      <c r="F1654" s="69" t="s">
        <v>1267</v>
      </c>
      <c r="I1654" s="2"/>
      <c r="K1654" s="82">
        <v>0.68620000000000003</v>
      </c>
    </row>
    <row r="1655" spans="1:19" x14ac:dyDescent="0.2">
      <c r="A1655" s="33">
        <v>42581</v>
      </c>
      <c r="B1655" s="206" t="s">
        <v>3535</v>
      </c>
      <c r="C1655" s="254" t="s">
        <v>4741</v>
      </c>
      <c r="D1655" s="543">
        <v>1.4502314814814815E-2</v>
      </c>
      <c r="E1655" t="s">
        <v>2431</v>
      </c>
      <c r="F1655" s="108" t="s">
        <v>5574</v>
      </c>
      <c r="I1655" s="2"/>
      <c r="K1655" s="82">
        <v>0.71789999999999998</v>
      </c>
      <c r="S1655" s="80"/>
    </row>
    <row r="1656" spans="1:19" x14ac:dyDescent="0.2">
      <c r="A1656" s="33">
        <v>42574</v>
      </c>
      <c r="B1656" s="206" t="s">
        <v>3535</v>
      </c>
      <c r="C1656" s="254" t="s">
        <v>4741</v>
      </c>
      <c r="D1656" s="65">
        <v>1.4849537037037036E-2</v>
      </c>
      <c r="E1656" t="s">
        <v>2431</v>
      </c>
      <c r="F1656" s="69" t="s">
        <v>132</v>
      </c>
      <c r="I1656" s="2"/>
      <c r="K1656" s="82">
        <v>0.69520000000000004</v>
      </c>
    </row>
    <row r="1657" spans="1:19" x14ac:dyDescent="0.2">
      <c r="A1657" s="33">
        <v>42553</v>
      </c>
      <c r="B1657" s="206" t="s">
        <v>3535</v>
      </c>
      <c r="C1657" s="254" t="s">
        <v>4741</v>
      </c>
      <c r="D1657" s="65">
        <v>1.4918981481481483E-2</v>
      </c>
      <c r="E1657" t="s">
        <v>2431</v>
      </c>
      <c r="F1657" s="69" t="s">
        <v>4494</v>
      </c>
      <c r="I1657" s="2"/>
      <c r="K1657" s="82">
        <v>0.69199999999999995</v>
      </c>
      <c r="S1657" s="80"/>
    </row>
    <row r="1658" spans="1:19" x14ac:dyDescent="0.2">
      <c r="A1658" s="33">
        <v>42546</v>
      </c>
      <c r="B1658" s="206" t="s">
        <v>3535</v>
      </c>
      <c r="C1658" s="254" t="s">
        <v>4741</v>
      </c>
      <c r="D1658" s="65">
        <v>1.5416666666666667E-2</v>
      </c>
      <c r="E1658" t="s">
        <v>6021</v>
      </c>
      <c r="F1658" s="69" t="s">
        <v>4960</v>
      </c>
      <c r="I1658" s="2"/>
      <c r="K1658" s="82">
        <v>0.66969999999999996</v>
      </c>
      <c r="L1658" s="72"/>
    </row>
    <row r="1659" spans="1:19" x14ac:dyDescent="0.2">
      <c r="A1659" s="33">
        <v>42539</v>
      </c>
      <c r="B1659" s="206" t="s">
        <v>3535</v>
      </c>
      <c r="C1659" s="254" t="s">
        <v>4741</v>
      </c>
      <c r="D1659" s="65">
        <v>1.5763888888888886E-2</v>
      </c>
      <c r="E1659" s="5" t="s">
        <v>2431</v>
      </c>
      <c r="F1659" s="69" t="s">
        <v>4471</v>
      </c>
      <c r="I1659" s="2"/>
      <c r="K1659" s="82">
        <v>0.65490000000000004</v>
      </c>
    </row>
    <row r="1660" spans="1:19" x14ac:dyDescent="0.2">
      <c r="A1660" s="33">
        <v>42525</v>
      </c>
      <c r="B1660" s="206" t="s">
        <v>3535</v>
      </c>
      <c r="C1660" s="254" t="s">
        <v>4741</v>
      </c>
      <c r="D1660" s="543">
        <v>1.5243055555555557E-2</v>
      </c>
      <c r="E1660" s="5" t="s">
        <v>2431</v>
      </c>
      <c r="F1660" s="108" t="s">
        <v>2053</v>
      </c>
      <c r="G1660" s="5"/>
      <c r="H1660" s="5"/>
      <c r="I1660" s="2"/>
      <c r="J1660" s="5"/>
      <c r="K1660" s="85">
        <v>0.67730000000000001</v>
      </c>
    </row>
    <row r="1661" spans="1:19" x14ac:dyDescent="0.2">
      <c r="A1661" s="33">
        <v>42518</v>
      </c>
      <c r="B1661" s="206" t="s">
        <v>3535</v>
      </c>
      <c r="C1661" s="254" t="s">
        <v>4741</v>
      </c>
      <c r="D1661" s="543">
        <v>1.5127314814814816E-2</v>
      </c>
      <c r="E1661" s="5" t="s">
        <v>927</v>
      </c>
      <c r="F1661" s="108" t="s">
        <v>4960</v>
      </c>
      <c r="G1661" s="5"/>
      <c r="H1661" s="5"/>
      <c r="I1661" s="2"/>
      <c r="J1661" s="5"/>
      <c r="K1661" s="85">
        <v>0.6825</v>
      </c>
    </row>
    <row r="1662" spans="1:19" x14ac:dyDescent="0.2">
      <c r="A1662" s="33">
        <v>42511</v>
      </c>
      <c r="B1662" s="206" t="s">
        <v>3535</v>
      </c>
      <c r="C1662" s="254" t="s">
        <v>4741</v>
      </c>
      <c r="D1662" s="543">
        <v>1.7546296296296296E-2</v>
      </c>
      <c r="E1662" s="5" t="s">
        <v>527</v>
      </c>
      <c r="F1662" s="108" t="s">
        <v>4960</v>
      </c>
      <c r="G1662" s="5"/>
      <c r="H1662" s="5"/>
      <c r="I1662" s="2"/>
      <c r="J1662" s="5"/>
      <c r="K1662" s="85">
        <v>0.58840000000000003</v>
      </c>
    </row>
    <row r="1663" spans="1:19" x14ac:dyDescent="0.2">
      <c r="A1663" s="33">
        <v>42490</v>
      </c>
      <c r="B1663" s="206" t="s">
        <v>3535</v>
      </c>
      <c r="C1663" s="254" t="s">
        <v>4741</v>
      </c>
      <c r="D1663" s="543">
        <v>1.5057870370370369E-2</v>
      </c>
      <c r="E1663" s="5" t="s">
        <v>2431</v>
      </c>
      <c r="F1663" s="108" t="s">
        <v>5574</v>
      </c>
      <c r="G1663" s="5"/>
      <c r="H1663" s="5"/>
      <c r="I1663" s="5"/>
      <c r="J1663" s="5"/>
      <c r="K1663" s="85">
        <v>0.68579999999999997</v>
      </c>
    </row>
    <row r="1664" spans="1:19" x14ac:dyDescent="0.2">
      <c r="A1664" s="33">
        <v>42483</v>
      </c>
      <c r="B1664" s="206" t="s">
        <v>3535</v>
      </c>
      <c r="C1664" s="254" t="s">
        <v>4741</v>
      </c>
      <c r="D1664" s="543">
        <v>1.5289351851851851E-2</v>
      </c>
      <c r="E1664" s="5" t="s">
        <v>2431</v>
      </c>
      <c r="F1664" s="108" t="s">
        <v>876</v>
      </c>
      <c r="G1664" s="5"/>
      <c r="H1664" s="5"/>
      <c r="I1664" s="2"/>
      <c r="J1664" s="5"/>
      <c r="K1664" s="85">
        <v>0.67520000000000002</v>
      </c>
    </row>
    <row r="1665" spans="1:11" x14ac:dyDescent="0.2">
      <c r="A1665" s="33">
        <v>42476</v>
      </c>
      <c r="B1665" s="206" t="s">
        <v>3535</v>
      </c>
      <c r="C1665" s="254" t="s">
        <v>4741</v>
      </c>
      <c r="D1665" s="65">
        <v>1.5752314814814813E-2</v>
      </c>
      <c r="E1665" s="5" t="s">
        <v>2431</v>
      </c>
      <c r="F1665" s="69" t="s">
        <v>589</v>
      </c>
      <c r="I1665" s="2"/>
      <c r="K1665" s="82">
        <v>0.65539999999999998</v>
      </c>
    </row>
    <row r="1666" spans="1:11" x14ac:dyDescent="0.2">
      <c r="A1666" s="33">
        <v>42462</v>
      </c>
      <c r="B1666" s="206" t="s">
        <v>3535</v>
      </c>
      <c r="C1666" s="254" t="s">
        <v>4741</v>
      </c>
      <c r="D1666" s="65">
        <v>1.5821759259259261E-2</v>
      </c>
      <c r="E1666" s="5" t="s">
        <v>2431</v>
      </c>
      <c r="F1666" s="69" t="s">
        <v>2332</v>
      </c>
      <c r="I1666" s="2"/>
      <c r="K1666" s="82">
        <v>0.65249999999999997</v>
      </c>
    </row>
    <row r="1667" spans="1:11" x14ac:dyDescent="0.2">
      <c r="A1667" s="33">
        <v>42455</v>
      </c>
      <c r="B1667" s="206" t="s">
        <v>3535</v>
      </c>
      <c r="C1667" s="254" t="s">
        <v>4741</v>
      </c>
      <c r="D1667" s="65">
        <v>1.638888888888889E-2</v>
      </c>
      <c r="E1667" s="5" t="s">
        <v>2431</v>
      </c>
      <c r="F1667" s="69" t="s">
        <v>2826</v>
      </c>
      <c r="I1667" s="2"/>
      <c r="K1667" s="82">
        <v>0.62119999999999997</v>
      </c>
    </row>
    <row r="1668" spans="1:11" x14ac:dyDescent="0.2">
      <c r="A1668" s="33">
        <v>42427</v>
      </c>
      <c r="B1668" s="206" t="s">
        <v>3535</v>
      </c>
      <c r="C1668" s="254" t="s">
        <v>4741</v>
      </c>
      <c r="D1668" s="65">
        <v>1.6481481481481482E-2</v>
      </c>
      <c r="E1668" s="5" t="s">
        <v>3658</v>
      </c>
      <c r="F1668" s="69" t="s">
        <v>3459</v>
      </c>
      <c r="I1668" s="2"/>
      <c r="K1668" s="82">
        <v>0.62639999999999996</v>
      </c>
    </row>
    <row r="1669" spans="1:11" x14ac:dyDescent="0.2">
      <c r="A1669" s="33">
        <v>42735</v>
      </c>
      <c r="B1669" s="53" t="s">
        <v>3753</v>
      </c>
      <c r="C1669" s="54" t="s">
        <v>3752</v>
      </c>
      <c r="D1669" s="65">
        <v>2.0729166666666667E-2</v>
      </c>
      <c r="E1669" s="80" t="s">
        <v>5883</v>
      </c>
      <c r="F1669" s="69" t="s">
        <v>6176</v>
      </c>
      <c r="I1669" s="2"/>
      <c r="K1669" s="82">
        <v>0.64990000000000003</v>
      </c>
    </row>
    <row r="1670" spans="1:11" x14ac:dyDescent="0.2">
      <c r="A1670" s="33">
        <v>42637</v>
      </c>
      <c r="B1670" s="53" t="s">
        <v>3753</v>
      </c>
      <c r="C1670" s="54" t="s">
        <v>3752</v>
      </c>
      <c r="D1670" s="65">
        <v>2.0219907407407409E-2</v>
      </c>
      <c r="E1670" t="s">
        <v>5883</v>
      </c>
      <c r="F1670" s="69" t="s">
        <v>4070</v>
      </c>
      <c r="I1670" s="2"/>
      <c r="K1670" s="82">
        <v>0.65710000000000002</v>
      </c>
    </row>
    <row r="1671" spans="1:11" x14ac:dyDescent="0.2">
      <c r="A1671" s="33">
        <v>42595</v>
      </c>
      <c r="B1671" s="53" t="s">
        <v>3753</v>
      </c>
      <c r="C1671" s="54" t="s">
        <v>3752</v>
      </c>
      <c r="D1671" s="65">
        <v>2.0150462962962964E-2</v>
      </c>
      <c r="E1671" t="s">
        <v>5883</v>
      </c>
      <c r="F1671" s="69" t="s">
        <v>173</v>
      </c>
      <c r="I1671" s="2"/>
      <c r="K1671" s="82">
        <v>0.65939999999999999</v>
      </c>
    </row>
    <row r="1672" spans="1:11" x14ac:dyDescent="0.2">
      <c r="A1672" s="33">
        <v>42567</v>
      </c>
      <c r="B1672" s="53" t="s">
        <v>3753</v>
      </c>
      <c r="C1672" s="54" t="s">
        <v>3752</v>
      </c>
      <c r="D1672" s="65">
        <v>2.028935185185185E-2</v>
      </c>
      <c r="E1672" t="s">
        <v>5883</v>
      </c>
      <c r="F1672" s="69" t="s">
        <v>4480</v>
      </c>
      <c r="I1672" s="2"/>
      <c r="K1672" s="82">
        <v>0.65490000000000004</v>
      </c>
    </row>
    <row r="1673" spans="1:11" x14ac:dyDescent="0.2">
      <c r="A1673" s="33">
        <v>42518</v>
      </c>
      <c r="B1673" s="53" t="s">
        <v>3753</v>
      </c>
      <c r="C1673" s="54" t="s">
        <v>3752</v>
      </c>
      <c r="D1673" s="543">
        <v>2.0196759259259258E-2</v>
      </c>
      <c r="E1673" s="5" t="s">
        <v>5883</v>
      </c>
      <c r="F1673" s="108" t="s">
        <v>3788</v>
      </c>
      <c r="G1673" s="5"/>
      <c r="H1673" s="5"/>
      <c r="I1673" s="2"/>
      <c r="J1673" s="5"/>
      <c r="K1673" s="85">
        <v>0.65790000000000004</v>
      </c>
    </row>
    <row r="1674" spans="1:11" x14ac:dyDescent="0.2">
      <c r="A1674" s="33">
        <v>42672</v>
      </c>
      <c r="B1674" s="5" t="s">
        <v>3535</v>
      </c>
      <c r="C1674" s="32" t="s">
        <v>3752</v>
      </c>
      <c r="D1674" s="65" t="s">
        <v>4642</v>
      </c>
      <c r="E1674" t="s">
        <v>5883</v>
      </c>
      <c r="F1674" s="69" t="s">
        <v>4854</v>
      </c>
      <c r="I1674" s="2"/>
      <c r="K1674" s="82"/>
    </row>
    <row r="1675" spans="1:11" x14ac:dyDescent="0.2">
      <c r="A1675" s="33">
        <v>42637</v>
      </c>
      <c r="B1675" s="5" t="s">
        <v>3535</v>
      </c>
      <c r="C1675" s="32" t="s">
        <v>3752</v>
      </c>
      <c r="D1675" s="65" t="s">
        <v>787</v>
      </c>
      <c r="E1675" t="s">
        <v>5883</v>
      </c>
      <c r="F1675" s="69"/>
      <c r="I1675" s="2"/>
      <c r="K1675" s="82"/>
    </row>
    <row r="1676" spans="1:11" x14ac:dyDescent="0.2">
      <c r="A1676" s="33">
        <v>42595</v>
      </c>
      <c r="B1676" s="53" t="s">
        <v>3535</v>
      </c>
      <c r="C1676" s="54" t="s">
        <v>3752</v>
      </c>
      <c r="D1676" s="65" t="s">
        <v>787</v>
      </c>
      <c r="E1676" t="s">
        <v>5883</v>
      </c>
      <c r="F1676" s="69"/>
      <c r="I1676" s="2"/>
      <c r="K1676" s="82"/>
    </row>
    <row r="1677" spans="1:11" x14ac:dyDescent="0.2">
      <c r="A1677" s="33">
        <v>42616</v>
      </c>
      <c r="B1677" s="5" t="s">
        <v>3508</v>
      </c>
      <c r="C1677" s="32" t="s">
        <v>3237</v>
      </c>
      <c r="D1677" s="65">
        <v>1.9224537037037037E-2</v>
      </c>
      <c r="E1677" t="s">
        <v>5883</v>
      </c>
      <c r="F1677" s="69" t="s">
        <v>5382</v>
      </c>
      <c r="I1677" s="2"/>
      <c r="K1677" s="82">
        <v>0.53700000000000003</v>
      </c>
    </row>
    <row r="1678" spans="1:11" x14ac:dyDescent="0.2">
      <c r="A1678" s="33">
        <v>42602</v>
      </c>
      <c r="B1678" s="5" t="s">
        <v>3508</v>
      </c>
      <c r="C1678" s="32" t="s">
        <v>3237</v>
      </c>
      <c r="D1678" s="65">
        <v>1.9259259259259261E-2</v>
      </c>
      <c r="E1678" t="s">
        <v>5883</v>
      </c>
      <c r="F1678" s="69" t="s">
        <v>3515</v>
      </c>
      <c r="I1678" s="2"/>
      <c r="K1678" s="82">
        <v>0.53610000000000002</v>
      </c>
    </row>
    <row r="1679" spans="1:11" x14ac:dyDescent="0.2">
      <c r="A1679" s="33">
        <v>42581</v>
      </c>
      <c r="B1679" s="5" t="s">
        <v>3508</v>
      </c>
      <c r="C1679" s="32" t="s">
        <v>3237</v>
      </c>
      <c r="D1679" s="65">
        <v>1.9131944444444444E-2</v>
      </c>
      <c r="E1679" t="s">
        <v>5883</v>
      </c>
      <c r="F1679" s="69" t="s">
        <v>4919</v>
      </c>
      <c r="I1679" s="2"/>
      <c r="K1679" s="82">
        <v>0.53959999999999997</v>
      </c>
    </row>
    <row r="1680" spans="1:11" x14ac:dyDescent="0.2">
      <c r="A1680" s="33">
        <v>42567</v>
      </c>
      <c r="B1680" s="5" t="s">
        <v>3508</v>
      </c>
      <c r="C1680" s="32" t="s">
        <v>3237</v>
      </c>
      <c r="D1680" s="65">
        <v>1.951388888888889E-2</v>
      </c>
      <c r="E1680" t="s">
        <v>5883</v>
      </c>
      <c r="F1680" s="69" t="s">
        <v>4328</v>
      </c>
      <c r="I1680" s="2"/>
      <c r="K1680" s="82">
        <v>0.52910000000000001</v>
      </c>
    </row>
    <row r="1681" spans="1:11" x14ac:dyDescent="0.2">
      <c r="A1681" s="33">
        <v>42588</v>
      </c>
      <c r="B1681" s="5" t="s">
        <v>3962</v>
      </c>
      <c r="C1681" s="32" t="s">
        <v>3831</v>
      </c>
      <c r="D1681" s="65">
        <v>1.3692129629629629E-2</v>
      </c>
      <c r="E1681" s="5" t="s">
        <v>5198</v>
      </c>
      <c r="F1681" s="69" t="s">
        <v>3833</v>
      </c>
      <c r="I1681" s="2"/>
      <c r="K1681" s="368">
        <v>0.97799999999999998</v>
      </c>
    </row>
    <row r="1682" spans="1:11" x14ac:dyDescent="0.2">
      <c r="A1682" s="33">
        <v>42735</v>
      </c>
      <c r="B1682" s="80" t="s">
        <v>260</v>
      </c>
      <c r="C1682" s="334" t="s">
        <v>261</v>
      </c>
      <c r="D1682" s="65">
        <v>2.7418981481481485E-2</v>
      </c>
      <c r="E1682" s="80" t="s">
        <v>806</v>
      </c>
      <c r="F1682" s="69" t="s">
        <v>773</v>
      </c>
      <c r="I1682" s="2"/>
      <c r="K1682" s="82">
        <v>0.5323</v>
      </c>
    </row>
    <row r="1683" spans="1:11" x14ac:dyDescent="0.2">
      <c r="A1683" s="33">
        <v>42476</v>
      </c>
      <c r="B1683" s="5" t="s">
        <v>260</v>
      </c>
      <c r="C1683" s="32" t="s">
        <v>261</v>
      </c>
      <c r="D1683" s="65">
        <v>2.630787037037037E-2</v>
      </c>
      <c r="E1683" s="5" t="s">
        <v>5948</v>
      </c>
      <c r="F1683" s="69" t="s">
        <v>1053</v>
      </c>
      <c r="I1683" s="2"/>
      <c r="K1683" s="82">
        <v>0.54200000000000004</v>
      </c>
    </row>
    <row r="1684" spans="1:11" x14ac:dyDescent="0.2">
      <c r="A1684" s="33">
        <v>42462</v>
      </c>
      <c r="B1684" t="s">
        <v>260</v>
      </c>
      <c r="C1684" s="1" t="s">
        <v>261</v>
      </c>
      <c r="D1684" s="65">
        <v>2.7106481481481481E-2</v>
      </c>
      <c r="E1684" t="s">
        <v>806</v>
      </c>
      <c r="F1684" s="69" t="s">
        <v>5622</v>
      </c>
      <c r="I1684" s="2"/>
      <c r="K1684" s="82">
        <v>0.52559999999999996</v>
      </c>
    </row>
    <row r="1685" spans="1:11" x14ac:dyDescent="0.2">
      <c r="A1685" s="33">
        <v>42420</v>
      </c>
      <c r="B1685" t="s">
        <v>260</v>
      </c>
      <c r="C1685" s="1" t="s">
        <v>261</v>
      </c>
      <c r="D1685" s="65">
        <v>2.7696759259259258E-2</v>
      </c>
      <c r="E1685" t="s">
        <v>806</v>
      </c>
      <c r="F1685" s="69" t="s">
        <v>917</v>
      </c>
      <c r="I1685" s="2"/>
      <c r="K1685" s="82">
        <v>0.51480000000000004</v>
      </c>
    </row>
    <row r="1686" spans="1:11" x14ac:dyDescent="0.2">
      <c r="A1686" s="33">
        <v>42735</v>
      </c>
      <c r="B1686" s="80" t="s">
        <v>3755</v>
      </c>
      <c r="C1686" s="334" t="s">
        <v>261</v>
      </c>
      <c r="D1686" s="65">
        <v>2.5740740740740745E-2</v>
      </c>
      <c r="E1686" s="80" t="s">
        <v>806</v>
      </c>
      <c r="F1686" s="69" t="s">
        <v>5728</v>
      </c>
      <c r="I1686" s="2"/>
      <c r="K1686" s="82">
        <v>0.60070000000000001</v>
      </c>
    </row>
    <row r="1687" spans="1:11" x14ac:dyDescent="0.2">
      <c r="A1687" s="33">
        <v>42476</v>
      </c>
      <c r="B1687" s="5" t="s">
        <v>3755</v>
      </c>
      <c r="C1687" s="32" t="s">
        <v>261</v>
      </c>
      <c r="D1687" s="65">
        <v>2.6099537037037036E-2</v>
      </c>
      <c r="E1687" s="5" t="s">
        <v>5948</v>
      </c>
      <c r="F1687" s="69" t="s">
        <v>1485</v>
      </c>
      <c r="I1687" s="2"/>
      <c r="K1687" s="82">
        <v>0.5827</v>
      </c>
    </row>
    <row r="1688" spans="1:11" x14ac:dyDescent="0.2">
      <c r="A1688" s="33">
        <v>42462</v>
      </c>
      <c r="B1688" t="s">
        <v>3755</v>
      </c>
      <c r="C1688" s="1" t="s">
        <v>261</v>
      </c>
      <c r="D1688" s="65">
        <v>2.6435185185185187E-2</v>
      </c>
      <c r="E1688" t="s">
        <v>806</v>
      </c>
      <c r="F1688" s="69" t="s">
        <v>4588</v>
      </c>
      <c r="I1688" s="2"/>
      <c r="K1688" s="82">
        <v>0.57430000000000003</v>
      </c>
    </row>
    <row r="1689" spans="1:11" x14ac:dyDescent="0.2">
      <c r="A1689" s="33">
        <v>42420</v>
      </c>
      <c r="B1689" t="s">
        <v>3755</v>
      </c>
      <c r="C1689" s="1" t="s">
        <v>261</v>
      </c>
      <c r="D1689" s="65">
        <v>2.5543981481481483E-2</v>
      </c>
      <c r="E1689" t="s">
        <v>806</v>
      </c>
      <c r="F1689" s="69" t="s">
        <v>854</v>
      </c>
      <c r="I1689" s="2"/>
      <c r="K1689" s="82">
        <v>0.59540000000000004</v>
      </c>
    </row>
    <row r="1690" spans="1:11" x14ac:dyDescent="0.2">
      <c r="A1690" s="33">
        <v>42483</v>
      </c>
      <c r="B1690" s="53" t="s">
        <v>680</v>
      </c>
      <c r="C1690" s="54" t="s">
        <v>261</v>
      </c>
      <c r="D1690" s="543">
        <v>2.3807870370370368E-2</v>
      </c>
      <c r="E1690" s="5" t="s">
        <v>806</v>
      </c>
      <c r="F1690" s="108" t="s">
        <v>6015</v>
      </c>
      <c r="G1690" s="5"/>
      <c r="H1690" s="5"/>
      <c r="I1690" s="2"/>
      <c r="J1690" s="5"/>
      <c r="K1690" s="85">
        <v>0.63880000000000003</v>
      </c>
    </row>
    <row r="1691" spans="1:11" x14ac:dyDescent="0.2">
      <c r="A1691" s="33">
        <v>42588</v>
      </c>
      <c r="B1691" s="5" t="s">
        <v>4747</v>
      </c>
      <c r="C1691" s="32" t="s">
        <v>4748</v>
      </c>
      <c r="D1691" s="65">
        <v>1.5231481481481483E-2</v>
      </c>
      <c r="E1691" s="5" t="s">
        <v>5198</v>
      </c>
      <c r="F1691" s="69" t="s">
        <v>3832</v>
      </c>
      <c r="I1691" s="2"/>
      <c r="K1691" s="82">
        <v>0.59799999999999998</v>
      </c>
    </row>
    <row r="1692" spans="1:11" x14ac:dyDescent="0.2">
      <c r="A1692" s="33">
        <v>42539</v>
      </c>
      <c r="B1692" s="5" t="s">
        <v>4747</v>
      </c>
      <c r="C1692" s="32" t="s">
        <v>4748</v>
      </c>
      <c r="D1692" s="65">
        <v>1.2905092592592591E-2</v>
      </c>
      <c r="E1692" t="s">
        <v>5885</v>
      </c>
      <c r="F1692" s="69" t="s">
        <v>4749</v>
      </c>
      <c r="I1692" s="2"/>
      <c r="K1692" s="82">
        <v>0.70220000000000005</v>
      </c>
    </row>
    <row r="1693" spans="1:11" x14ac:dyDescent="0.2">
      <c r="A1693" s="33">
        <v>42707</v>
      </c>
      <c r="B1693" s="53" t="s">
        <v>4481</v>
      </c>
      <c r="C1693" s="54" t="s">
        <v>4482</v>
      </c>
      <c r="D1693" s="65">
        <v>1.3449074074074073E-2</v>
      </c>
      <c r="E1693" t="s">
        <v>5544</v>
      </c>
      <c r="F1693" s="69" t="s">
        <v>6031</v>
      </c>
      <c r="I1693" s="2"/>
      <c r="K1693" s="82">
        <v>0.8</v>
      </c>
    </row>
    <row r="1694" spans="1:11" x14ac:dyDescent="0.2">
      <c r="A1694" s="33">
        <v>42623</v>
      </c>
      <c r="B1694" s="53" t="s">
        <v>726</v>
      </c>
      <c r="C1694" s="54" t="s">
        <v>1289</v>
      </c>
      <c r="D1694" s="65">
        <v>1.6030092592592592E-2</v>
      </c>
      <c r="E1694" s="5" t="s">
        <v>444</v>
      </c>
      <c r="F1694" s="69" t="s">
        <v>4394</v>
      </c>
      <c r="I1694" s="2"/>
      <c r="K1694" s="82">
        <v>0.78400000000000003</v>
      </c>
    </row>
    <row r="1695" spans="1:11" x14ac:dyDescent="0.2">
      <c r="A1695" s="33">
        <v>42595</v>
      </c>
      <c r="B1695" s="53" t="s">
        <v>726</v>
      </c>
      <c r="C1695" s="54" t="s">
        <v>1289</v>
      </c>
      <c r="D1695" s="65">
        <v>1.6319444444444445E-2</v>
      </c>
      <c r="E1695" s="5" t="s">
        <v>444</v>
      </c>
      <c r="F1695" s="69" t="s">
        <v>2299</v>
      </c>
      <c r="K1695" s="82">
        <v>0.7702</v>
      </c>
    </row>
    <row r="1696" spans="1:11" x14ac:dyDescent="0.2">
      <c r="A1696" s="33">
        <v>42574</v>
      </c>
      <c r="B1696" s="53" t="s">
        <v>726</v>
      </c>
      <c r="C1696" s="54" t="s">
        <v>1289</v>
      </c>
      <c r="D1696" s="65">
        <v>1.6782407407407409E-2</v>
      </c>
      <c r="E1696" t="s">
        <v>444</v>
      </c>
      <c r="F1696" s="69" t="s">
        <v>3514</v>
      </c>
      <c r="G1696" s="6"/>
      <c r="H1696" s="6"/>
      <c r="K1696" s="82">
        <v>0.749</v>
      </c>
    </row>
    <row r="1697" spans="1:11" x14ac:dyDescent="0.2">
      <c r="A1697" s="33">
        <v>42560</v>
      </c>
      <c r="B1697" s="53" t="s">
        <v>726</v>
      </c>
      <c r="C1697" s="54" t="s">
        <v>1289</v>
      </c>
      <c r="D1697" s="65">
        <v>1.6562500000000001E-2</v>
      </c>
      <c r="E1697" s="5" t="s">
        <v>4367</v>
      </c>
      <c r="F1697" s="69" t="s">
        <v>5133</v>
      </c>
      <c r="I1697" s="2"/>
      <c r="K1697" s="82">
        <v>0.75890000000000002</v>
      </c>
    </row>
    <row r="1698" spans="1:11" x14ac:dyDescent="0.2">
      <c r="A1698" s="33">
        <v>42448</v>
      </c>
      <c r="B1698" s="53" t="s">
        <v>726</v>
      </c>
      <c r="C1698" s="54" t="s">
        <v>1289</v>
      </c>
      <c r="D1698" s="65">
        <v>1.6481481481481482E-2</v>
      </c>
      <c r="E1698" t="s">
        <v>444</v>
      </c>
      <c r="F1698" s="69" t="s">
        <v>4279</v>
      </c>
      <c r="G1698" s="6"/>
      <c r="H1698" s="6"/>
      <c r="K1698" s="82">
        <v>0.75280000000000002</v>
      </c>
    </row>
  </sheetData>
  <sortState xmlns:xlrd2="http://schemas.microsoft.com/office/spreadsheetml/2017/richdata2" ref="A1363:AC1376">
    <sortCondition descending="1" ref="A1363:A1376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393"/>
  <sheetViews>
    <sheetView topLeftCell="A967" workbookViewId="0">
      <selection activeCell="I459" sqref="I459"/>
    </sheetView>
  </sheetViews>
  <sheetFormatPr defaultRowHeight="12.75" x14ac:dyDescent="0.2"/>
  <cols>
    <col min="1" max="1" width="12.140625" customWidth="1"/>
    <col min="3" max="3" width="12.7109375" customWidth="1"/>
    <col min="5" max="5" width="16.85546875" customWidth="1"/>
  </cols>
  <sheetData>
    <row r="1" spans="1:13" ht="12.75" customHeight="1" x14ac:dyDescent="0.25">
      <c r="A1" s="33">
        <v>42119</v>
      </c>
      <c r="B1" s="53" t="s">
        <v>1572</v>
      </c>
      <c r="C1" s="54" t="s">
        <v>4581</v>
      </c>
      <c r="D1" s="1">
        <v>2.2187499999999999E-2</v>
      </c>
      <c r="E1" t="s">
        <v>5885</v>
      </c>
      <c r="F1" s="69" t="s">
        <v>3253</v>
      </c>
      <c r="G1" s="41"/>
      <c r="H1" s="364"/>
      <c r="K1" s="82">
        <v>0.55700000000000005</v>
      </c>
    </row>
    <row r="2" spans="1:13" x14ac:dyDescent="0.2">
      <c r="A2" s="33">
        <v>42315</v>
      </c>
      <c r="B2" t="s">
        <v>4580</v>
      </c>
      <c r="C2" s="1" t="s">
        <v>4581</v>
      </c>
      <c r="D2" s="1" t="s">
        <v>787</v>
      </c>
      <c r="E2" t="s">
        <v>5947</v>
      </c>
      <c r="F2" s="69" t="s">
        <v>1549</v>
      </c>
      <c r="I2" s="2"/>
      <c r="K2" s="82"/>
    </row>
    <row r="3" spans="1:13" x14ac:dyDescent="0.2">
      <c r="A3" s="33">
        <v>42308</v>
      </c>
      <c r="B3" t="s">
        <v>4580</v>
      </c>
      <c r="C3" s="1" t="s">
        <v>4581</v>
      </c>
      <c r="D3" s="1">
        <v>1.9166666666666669E-2</v>
      </c>
      <c r="E3" t="s">
        <v>5947</v>
      </c>
      <c r="F3" s="69" t="s">
        <v>4655</v>
      </c>
      <c r="I3" s="2"/>
      <c r="K3" s="82">
        <v>0.59299999999999997</v>
      </c>
    </row>
    <row r="4" spans="1:13" ht="12.75" customHeight="1" x14ac:dyDescent="0.2">
      <c r="A4" s="33">
        <v>42287</v>
      </c>
      <c r="B4" t="s">
        <v>4580</v>
      </c>
      <c r="C4" s="1" t="s">
        <v>4581</v>
      </c>
      <c r="D4" s="1" t="s">
        <v>787</v>
      </c>
      <c r="E4" s="5" t="s">
        <v>5947</v>
      </c>
      <c r="F4" s="69" t="s">
        <v>5699</v>
      </c>
      <c r="I4" s="2"/>
      <c r="K4" s="82"/>
    </row>
    <row r="5" spans="1:13" ht="12.75" customHeight="1" x14ac:dyDescent="0.2">
      <c r="A5" s="33">
        <v>42273</v>
      </c>
      <c r="B5" t="s">
        <v>4580</v>
      </c>
      <c r="C5" s="1" t="s">
        <v>4581</v>
      </c>
      <c r="D5" s="1">
        <v>1.9039351851851852E-2</v>
      </c>
      <c r="E5" t="s">
        <v>5947</v>
      </c>
      <c r="F5" s="69" t="s">
        <v>394</v>
      </c>
      <c r="I5" s="2"/>
      <c r="K5" s="82">
        <v>0.59699999999999998</v>
      </c>
    </row>
    <row r="6" spans="1:13" ht="12.75" customHeight="1" x14ac:dyDescent="0.2">
      <c r="A6" s="33">
        <v>42245</v>
      </c>
      <c r="B6" t="s">
        <v>4580</v>
      </c>
      <c r="C6" s="1" t="s">
        <v>4581</v>
      </c>
      <c r="D6" s="1">
        <v>1.9282407407407408E-2</v>
      </c>
      <c r="E6" t="s">
        <v>5947</v>
      </c>
      <c r="F6" s="69" t="s">
        <v>5746</v>
      </c>
      <c r="K6" s="82">
        <v>0.58340000000000003</v>
      </c>
    </row>
    <row r="7" spans="1:13" ht="12.75" customHeight="1" x14ac:dyDescent="0.2">
      <c r="A7" s="33">
        <v>42224</v>
      </c>
      <c r="B7" t="s">
        <v>4580</v>
      </c>
      <c r="C7" s="1" t="s">
        <v>4581</v>
      </c>
      <c r="D7" s="1">
        <v>1.8634259259259257E-2</v>
      </c>
      <c r="E7" t="s">
        <v>5947</v>
      </c>
      <c r="F7" s="69" t="s">
        <v>735</v>
      </c>
      <c r="K7" s="82">
        <v>0.60370000000000001</v>
      </c>
    </row>
    <row r="8" spans="1:13" ht="12.75" customHeight="1" x14ac:dyDescent="0.2">
      <c r="A8" s="33">
        <v>42217</v>
      </c>
      <c r="B8" t="s">
        <v>4580</v>
      </c>
      <c r="C8" s="1" t="s">
        <v>4581</v>
      </c>
      <c r="D8" s="1">
        <v>1.8402777777777778E-2</v>
      </c>
      <c r="E8" t="s">
        <v>5947</v>
      </c>
      <c r="F8" s="69" t="s">
        <v>2806</v>
      </c>
      <c r="K8" s="82">
        <v>0.61129999999999995</v>
      </c>
    </row>
    <row r="9" spans="1:13" ht="12.75" customHeight="1" x14ac:dyDescent="0.25">
      <c r="A9" s="33">
        <v>42168</v>
      </c>
      <c r="B9" t="s">
        <v>4580</v>
      </c>
      <c r="C9" s="1" t="s">
        <v>4581</v>
      </c>
      <c r="D9" s="1">
        <v>1.9305555555555555E-2</v>
      </c>
      <c r="E9" t="s">
        <v>5947</v>
      </c>
      <c r="F9" s="69" t="s">
        <v>2654</v>
      </c>
      <c r="G9" s="41"/>
      <c r="H9" s="364"/>
      <c r="K9" s="82">
        <v>0.5827</v>
      </c>
    </row>
    <row r="10" spans="1:13" ht="12.75" customHeight="1" x14ac:dyDescent="0.25">
      <c r="A10" s="33">
        <v>42161</v>
      </c>
      <c r="B10" s="5" t="s">
        <v>4580</v>
      </c>
      <c r="C10" s="32" t="s">
        <v>4581</v>
      </c>
      <c r="D10" s="1">
        <v>1.9178240740740742E-2</v>
      </c>
      <c r="E10" t="s">
        <v>5947</v>
      </c>
      <c r="F10" s="69" t="s">
        <v>5698</v>
      </c>
      <c r="G10" s="41"/>
      <c r="H10" s="364"/>
      <c r="K10" s="82">
        <v>0.58660000000000001</v>
      </c>
    </row>
    <row r="11" spans="1:13" ht="12.75" customHeight="1" x14ac:dyDescent="0.25">
      <c r="A11" s="33">
        <v>42119</v>
      </c>
      <c r="B11" t="s">
        <v>4580</v>
      </c>
      <c r="C11" s="1" t="s">
        <v>4581</v>
      </c>
      <c r="D11" s="1">
        <v>2.2187499999999999E-2</v>
      </c>
      <c r="E11" t="s">
        <v>5885</v>
      </c>
      <c r="F11" s="69" t="s">
        <v>3077</v>
      </c>
      <c r="G11" s="41"/>
      <c r="H11" s="364"/>
      <c r="K11" s="82">
        <v>0.50700000000000001</v>
      </c>
    </row>
    <row r="12" spans="1:13" ht="12.75" customHeight="1" x14ac:dyDescent="0.25">
      <c r="A12" s="33">
        <v>42105</v>
      </c>
      <c r="B12" t="s">
        <v>4580</v>
      </c>
      <c r="C12" s="1" t="s">
        <v>4581</v>
      </c>
      <c r="D12" s="1">
        <v>1.8402777777777778E-2</v>
      </c>
      <c r="E12" t="s">
        <v>1214</v>
      </c>
      <c r="F12" s="69" t="s">
        <v>3242</v>
      </c>
      <c r="G12" s="41"/>
      <c r="H12" s="364"/>
      <c r="K12" s="82">
        <v>0.61129999999999995</v>
      </c>
      <c r="M12" s="6"/>
    </row>
    <row r="13" spans="1:13" ht="12.75" customHeight="1" x14ac:dyDescent="0.25">
      <c r="A13" s="33">
        <v>42098</v>
      </c>
      <c r="B13" t="s">
        <v>4580</v>
      </c>
      <c r="C13" s="1" t="s">
        <v>4581</v>
      </c>
      <c r="D13" s="1">
        <v>2.0729166666666667E-2</v>
      </c>
      <c r="E13" t="s">
        <v>5947</v>
      </c>
      <c r="F13" s="69" t="s">
        <v>635</v>
      </c>
      <c r="G13" s="41"/>
      <c r="H13" s="364"/>
      <c r="K13" s="82">
        <v>0.54269999999999996</v>
      </c>
    </row>
    <row r="14" spans="1:13" ht="12.75" customHeight="1" x14ac:dyDescent="0.25">
      <c r="A14" s="33">
        <v>42091</v>
      </c>
      <c r="B14" s="5" t="s">
        <v>4580</v>
      </c>
      <c r="C14" s="32" t="s">
        <v>4581</v>
      </c>
      <c r="D14" s="32">
        <v>1.9293981481481485E-2</v>
      </c>
      <c r="E14" s="5" t="s">
        <v>4727</v>
      </c>
      <c r="F14" s="107" t="s">
        <v>1164</v>
      </c>
      <c r="G14" s="41"/>
      <c r="H14" s="364"/>
      <c r="K14" s="82">
        <v>0.58309999999999995</v>
      </c>
    </row>
    <row r="15" spans="1:13" ht="12.75" customHeight="1" x14ac:dyDescent="0.25">
      <c r="A15" s="33">
        <v>42084</v>
      </c>
      <c r="B15" t="s">
        <v>4580</v>
      </c>
      <c r="C15" s="1" t="s">
        <v>4581</v>
      </c>
      <c r="D15" s="1">
        <v>1.9606481481481482E-2</v>
      </c>
      <c r="E15" t="s">
        <v>5517</v>
      </c>
      <c r="F15" s="42" t="s">
        <v>455</v>
      </c>
      <c r="G15" s="41"/>
      <c r="H15" s="364"/>
      <c r="K15" s="82">
        <v>0.57379999999999998</v>
      </c>
    </row>
    <row r="16" spans="1:13" ht="12.75" customHeight="1" x14ac:dyDescent="0.25">
      <c r="A16" s="33">
        <v>42063</v>
      </c>
      <c r="B16" s="5" t="s">
        <v>4580</v>
      </c>
      <c r="C16" s="1" t="s">
        <v>4581</v>
      </c>
      <c r="D16" t="s">
        <v>787</v>
      </c>
      <c r="E16" t="s">
        <v>5198</v>
      </c>
      <c r="F16" s="41"/>
      <c r="G16" s="41"/>
      <c r="H16" s="364"/>
      <c r="K16" s="82"/>
    </row>
    <row r="17" spans="1:19" ht="12.75" customHeight="1" x14ac:dyDescent="0.25">
      <c r="A17" s="33">
        <v>42049</v>
      </c>
      <c r="B17" t="s">
        <v>4580</v>
      </c>
      <c r="C17" s="1" t="s">
        <v>4581</v>
      </c>
      <c r="D17" s="1">
        <v>1.9710648148148147E-2</v>
      </c>
      <c r="E17" t="s">
        <v>5947</v>
      </c>
      <c r="F17" s="69" t="s">
        <v>2104</v>
      </c>
      <c r="G17" s="41"/>
      <c r="H17" s="364"/>
      <c r="K17" s="82">
        <v>0.57079999999999997</v>
      </c>
    </row>
    <row r="18" spans="1:19" ht="13.5" x14ac:dyDescent="0.25">
      <c r="A18" s="33">
        <v>42028</v>
      </c>
      <c r="B18" t="s">
        <v>4580</v>
      </c>
      <c r="C18" s="1" t="s">
        <v>4581</v>
      </c>
      <c r="D18" s="1">
        <v>1.9675925925925927E-2</v>
      </c>
      <c r="E18" t="s">
        <v>5947</v>
      </c>
      <c r="F18" s="42"/>
      <c r="G18" s="41"/>
      <c r="H18" s="364"/>
      <c r="K18" s="82">
        <v>0.57179999999999997</v>
      </c>
    </row>
    <row r="19" spans="1:19" ht="13.5" x14ac:dyDescent="0.25">
      <c r="A19" s="33">
        <v>42021</v>
      </c>
      <c r="B19" s="5" t="s">
        <v>4580</v>
      </c>
      <c r="C19" s="32" t="s">
        <v>4581</v>
      </c>
      <c r="D19" s="1">
        <v>1.9722222222222221E-2</v>
      </c>
      <c r="E19" t="s">
        <v>5947</v>
      </c>
      <c r="F19" s="42" t="s">
        <v>3188</v>
      </c>
      <c r="G19" s="41"/>
      <c r="H19" s="364"/>
      <c r="K19" s="82">
        <v>0.57040000000000002</v>
      </c>
    </row>
    <row r="20" spans="1:19" ht="13.5" x14ac:dyDescent="0.25">
      <c r="A20" s="33">
        <v>42014</v>
      </c>
      <c r="B20" s="5" t="s">
        <v>4580</v>
      </c>
      <c r="C20" s="1" t="s">
        <v>4581</v>
      </c>
      <c r="D20" s="1" t="s">
        <v>787</v>
      </c>
      <c r="E20" t="s">
        <v>5947</v>
      </c>
      <c r="F20" s="42" t="s">
        <v>3301</v>
      </c>
      <c r="G20" s="41"/>
      <c r="H20" s="364"/>
      <c r="K20" s="82"/>
    </row>
    <row r="21" spans="1:19" ht="13.5" x14ac:dyDescent="0.25">
      <c r="A21" s="33">
        <v>42007</v>
      </c>
      <c r="B21" t="s">
        <v>4580</v>
      </c>
      <c r="C21" s="1" t="s">
        <v>4581</v>
      </c>
      <c r="D21" s="1">
        <v>2.0972222222222222E-2</v>
      </c>
      <c r="E21" t="s">
        <v>5947</v>
      </c>
      <c r="F21" s="42"/>
      <c r="G21" s="41"/>
      <c r="H21" s="364"/>
      <c r="K21" s="82">
        <v>0.53639999999999999</v>
      </c>
    </row>
    <row r="22" spans="1:19" x14ac:dyDescent="0.2">
      <c r="A22" s="33">
        <v>42364</v>
      </c>
      <c r="B22" t="s">
        <v>868</v>
      </c>
      <c r="C22" s="1" t="s">
        <v>869</v>
      </c>
      <c r="D22" s="1">
        <v>2.3865740740740743E-2</v>
      </c>
      <c r="E22" t="s">
        <v>5544</v>
      </c>
      <c r="F22" s="69" t="s">
        <v>4843</v>
      </c>
      <c r="I22" s="2"/>
      <c r="K22" s="82">
        <v>0.61150000000000004</v>
      </c>
      <c r="M22" t="s">
        <v>1199</v>
      </c>
    </row>
    <row r="23" spans="1:19" x14ac:dyDescent="0.2">
      <c r="A23" s="33">
        <v>42357</v>
      </c>
      <c r="B23" t="s">
        <v>868</v>
      </c>
      <c r="C23" s="1" t="s">
        <v>869</v>
      </c>
      <c r="D23" s="1">
        <v>2.2175925925925929E-2</v>
      </c>
      <c r="E23" t="s">
        <v>5544</v>
      </c>
      <c r="F23" s="69" t="s">
        <v>1688</v>
      </c>
      <c r="I23" s="2"/>
      <c r="K23" s="82">
        <v>0.65810000000000002</v>
      </c>
      <c r="S23" s="80"/>
    </row>
    <row r="24" spans="1:19" x14ac:dyDescent="0.2">
      <c r="A24" s="33">
        <v>42350</v>
      </c>
      <c r="B24" t="s">
        <v>868</v>
      </c>
      <c r="C24" s="1" t="s">
        <v>869</v>
      </c>
      <c r="D24" s="1">
        <v>2.6342592592592588E-2</v>
      </c>
      <c r="E24" t="s">
        <v>5544</v>
      </c>
      <c r="F24" s="69" t="s">
        <v>1291</v>
      </c>
      <c r="I24" s="2"/>
      <c r="K24" s="82">
        <v>0.55400000000000005</v>
      </c>
    </row>
    <row r="25" spans="1:19" x14ac:dyDescent="0.2">
      <c r="A25" s="33">
        <v>42343</v>
      </c>
      <c r="B25" t="s">
        <v>868</v>
      </c>
      <c r="C25" s="1" t="s">
        <v>869</v>
      </c>
      <c r="D25" s="1">
        <v>2.1365740740740741E-2</v>
      </c>
      <c r="E25" t="s">
        <v>5544</v>
      </c>
      <c r="F25" s="69" t="s">
        <v>5548</v>
      </c>
      <c r="I25" s="2"/>
      <c r="K25" s="82">
        <v>0.68</v>
      </c>
    </row>
    <row r="26" spans="1:19" x14ac:dyDescent="0.2">
      <c r="A26" s="33">
        <v>42336</v>
      </c>
      <c r="B26" t="s">
        <v>868</v>
      </c>
      <c r="C26" s="1" t="s">
        <v>869</v>
      </c>
      <c r="D26" s="1">
        <v>2.0601851851851854E-2</v>
      </c>
      <c r="E26" t="s">
        <v>5544</v>
      </c>
      <c r="F26" s="69" t="s">
        <v>1527</v>
      </c>
      <c r="I26" s="2"/>
      <c r="K26" s="82">
        <v>0.70840000000000003</v>
      </c>
    </row>
    <row r="27" spans="1:19" x14ac:dyDescent="0.2">
      <c r="A27" s="34">
        <v>42329</v>
      </c>
      <c r="B27" t="s">
        <v>868</v>
      </c>
      <c r="C27" s="1" t="s">
        <v>869</v>
      </c>
      <c r="D27" s="1">
        <v>2.2673611111111113E-2</v>
      </c>
      <c r="E27" t="s">
        <v>5544</v>
      </c>
      <c r="F27" s="69" t="s">
        <v>3651</v>
      </c>
      <c r="I27" s="2"/>
      <c r="K27" s="82">
        <v>0.64370000000000005</v>
      </c>
    </row>
    <row r="28" spans="1:19" x14ac:dyDescent="0.2">
      <c r="A28" s="33">
        <v>42322</v>
      </c>
      <c r="B28" s="80" t="s">
        <v>868</v>
      </c>
      <c r="C28" s="1" t="s">
        <v>869</v>
      </c>
      <c r="D28" s="1">
        <v>2.0914351851851851E-2</v>
      </c>
      <c r="E28" t="s">
        <v>5544</v>
      </c>
      <c r="F28" s="69" t="s">
        <v>3978</v>
      </c>
      <c r="I28" s="2"/>
      <c r="K28" s="82">
        <v>0.69779999999999998</v>
      </c>
    </row>
    <row r="29" spans="1:19" ht="12.75" customHeight="1" x14ac:dyDescent="0.2">
      <c r="A29" s="33">
        <v>42315</v>
      </c>
      <c r="B29" t="s">
        <v>868</v>
      </c>
      <c r="C29" s="1" t="s">
        <v>869</v>
      </c>
      <c r="D29" s="1">
        <v>2.1724537037037039E-2</v>
      </c>
      <c r="E29" t="s">
        <v>5544</v>
      </c>
      <c r="F29" s="69" t="s">
        <v>5614</v>
      </c>
      <c r="I29" s="2"/>
      <c r="K29" s="82">
        <v>0.67179999999999995</v>
      </c>
    </row>
    <row r="30" spans="1:19" ht="12.75" customHeight="1" x14ac:dyDescent="0.2">
      <c r="A30" s="33">
        <v>42308</v>
      </c>
      <c r="B30" t="s">
        <v>868</v>
      </c>
      <c r="C30" s="1" t="s">
        <v>869</v>
      </c>
      <c r="D30" s="1">
        <v>2.1226851851851854E-2</v>
      </c>
      <c r="E30" t="s">
        <v>5544</v>
      </c>
      <c r="F30" s="69" t="s">
        <v>3908</v>
      </c>
      <c r="I30" s="2"/>
      <c r="K30" s="82">
        <v>0.68759999999999999</v>
      </c>
    </row>
    <row r="31" spans="1:19" ht="12.75" customHeight="1" x14ac:dyDescent="0.2">
      <c r="A31" s="33">
        <v>42301</v>
      </c>
      <c r="B31" t="s">
        <v>868</v>
      </c>
      <c r="C31" s="1" t="s">
        <v>869</v>
      </c>
      <c r="D31" s="1">
        <v>2.119212962962963E-2</v>
      </c>
      <c r="E31" t="s">
        <v>5544</v>
      </c>
      <c r="F31" s="69" t="s">
        <v>5018</v>
      </c>
      <c r="I31" s="2"/>
      <c r="K31" s="82">
        <v>0.68869999999999998</v>
      </c>
    </row>
    <row r="32" spans="1:19" ht="12.75" customHeight="1" x14ac:dyDescent="0.2">
      <c r="A32" s="33">
        <v>42294</v>
      </c>
      <c r="B32" t="s">
        <v>868</v>
      </c>
      <c r="C32" s="1" t="s">
        <v>869</v>
      </c>
      <c r="D32" s="1">
        <v>2.2268518518518521E-2</v>
      </c>
      <c r="E32" t="s">
        <v>5544</v>
      </c>
      <c r="F32" s="69" t="s">
        <v>2738</v>
      </c>
      <c r="I32" s="2"/>
      <c r="K32" s="82">
        <v>0.65539999999999998</v>
      </c>
    </row>
    <row r="33" spans="1:15" ht="12.75" customHeight="1" x14ac:dyDescent="0.2">
      <c r="A33" s="33">
        <v>42287</v>
      </c>
      <c r="B33" t="s">
        <v>868</v>
      </c>
      <c r="C33" s="1" t="s">
        <v>869</v>
      </c>
      <c r="D33" s="1">
        <v>2.0879629629629626E-2</v>
      </c>
      <c r="E33" t="s">
        <v>5544</v>
      </c>
      <c r="F33" s="69" t="s">
        <v>3513</v>
      </c>
      <c r="I33" s="2"/>
      <c r="K33" s="82">
        <v>0.69899999999999995</v>
      </c>
    </row>
    <row r="34" spans="1:15" ht="12.75" customHeight="1" x14ac:dyDescent="0.2">
      <c r="A34" s="33">
        <v>42280</v>
      </c>
      <c r="B34" t="s">
        <v>868</v>
      </c>
      <c r="C34" s="1" t="s">
        <v>869</v>
      </c>
      <c r="D34" s="1">
        <v>2.2060185185185183E-2</v>
      </c>
      <c r="E34" t="s">
        <v>5544</v>
      </c>
      <c r="F34" s="69" t="s">
        <v>3671</v>
      </c>
      <c r="I34" s="2"/>
      <c r="K34" s="82">
        <v>0.66159999999999997</v>
      </c>
    </row>
    <row r="35" spans="1:15" ht="12.75" customHeight="1" x14ac:dyDescent="0.2">
      <c r="A35" s="33">
        <v>42273</v>
      </c>
      <c r="B35" t="s">
        <v>868</v>
      </c>
      <c r="C35" s="1" t="s">
        <v>869</v>
      </c>
      <c r="D35" s="1">
        <v>2.2754629629629628E-2</v>
      </c>
      <c r="E35" t="s">
        <v>5544</v>
      </c>
      <c r="F35" s="69" t="s">
        <v>3354</v>
      </c>
      <c r="I35" s="2"/>
      <c r="K35" s="82">
        <v>0.64139999999999997</v>
      </c>
    </row>
    <row r="36" spans="1:15" ht="12.75" customHeight="1" x14ac:dyDescent="0.2">
      <c r="A36" s="33">
        <v>42252</v>
      </c>
      <c r="B36" t="s">
        <v>868</v>
      </c>
      <c r="C36" s="1" t="s">
        <v>869</v>
      </c>
      <c r="D36" s="1">
        <v>2.0706018518518519E-2</v>
      </c>
      <c r="E36" t="s">
        <v>4727</v>
      </c>
      <c r="F36" s="69" t="s">
        <v>2139</v>
      </c>
      <c r="K36" s="82">
        <v>0.70489999999999997</v>
      </c>
    </row>
    <row r="37" spans="1:15" ht="12.75" customHeight="1" x14ac:dyDescent="0.2">
      <c r="A37" s="33">
        <v>42245</v>
      </c>
      <c r="B37" t="s">
        <v>868</v>
      </c>
      <c r="C37" s="1" t="s">
        <v>869</v>
      </c>
      <c r="D37" s="1">
        <v>2.0081018518518519E-2</v>
      </c>
      <c r="E37" t="s">
        <v>5544</v>
      </c>
      <c r="F37" s="69" t="s">
        <v>4900</v>
      </c>
      <c r="K37" s="82">
        <v>0.7268</v>
      </c>
    </row>
    <row r="38" spans="1:15" ht="12.75" customHeight="1" x14ac:dyDescent="0.2">
      <c r="A38" s="33">
        <v>42238</v>
      </c>
      <c r="B38" t="s">
        <v>868</v>
      </c>
      <c r="C38" s="1" t="s">
        <v>869</v>
      </c>
      <c r="D38" s="1">
        <v>2.0266203703703703E-2</v>
      </c>
      <c r="E38" t="s">
        <v>3167</v>
      </c>
      <c r="F38" s="69" t="s">
        <v>5603</v>
      </c>
      <c r="K38" s="82">
        <v>0.72019999999999995</v>
      </c>
    </row>
    <row r="39" spans="1:15" ht="12.75" customHeight="1" x14ac:dyDescent="0.2">
      <c r="A39" s="33">
        <v>42231</v>
      </c>
      <c r="B39" t="s">
        <v>868</v>
      </c>
      <c r="C39" s="1" t="s">
        <v>869</v>
      </c>
      <c r="D39" s="1">
        <v>2.0011574074074074E-2</v>
      </c>
      <c r="E39" t="s">
        <v>5544</v>
      </c>
      <c r="F39" s="69" t="s">
        <v>2684</v>
      </c>
      <c r="K39" s="82">
        <v>0.72929999999999995</v>
      </c>
    </row>
    <row r="40" spans="1:15" ht="12.75" customHeight="1" x14ac:dyDescent="0.2">
      <c r="A40" s="33">
        <v>42224</v>
      </c>
      <c r="B40" t="s">
        <v>868</v>
      </c>
      <c r="C40" s="1" t="s">
        <v>869</v>
      </c>
      <c r="D40" s="3">
        <v>1.9479166666666669E-2</v>
      </c>
      <c r="E40" t="s">
        <v>5544</v>
      </c>
      <c r="F40" s="69" t="s">
        <v>1373</v>
      </c>
      <c r="K40" s="82">
        <v>0.74929999999999997</v>
      </c>
    </row>
    <row r="41" spans="1:15" ht="12.75" customHeight="1" x14ac:dyDescent="0.2">
      <c r="A41" s="33">
        <v>42217</v>
      </c>
      <c r="B41" t="s">
        <v>868</v>
      </c>
      <c r="C41" s="1" t="s">
        <v>869</v>
      </c>
      <c r="D41" s="1">
        <v>1.9988425925925927E-2</v>
      </c>
      <c r="E41" t="s">
        <v>5544</v>
      </c>
      <c r="F41" s="69"/>
      <c r="K41" s="82">
        <v>0.73019999999999996</v>
      </c>
    </row>
    <row r="42" spans="1:15" ht="12.75" customHeight="1" x14ac:dyDescent="0.2">
      <c r="A42" s="33">
        <v>42210</v>
      </c>
      <c r="B42" t="s">
        <v>868</v>
      </c>
      <c r="C42" s="1" t="s">
        <v>869</v>
      </c>
      <c r="D42" s="1">
        <v>1.982638888888889E-2</v>
      </c>
      <c r="E42" t="s">
        <v>5544</v>
      </c>
      <c r="F42" s="69" t="s">
        <v>3192</v>
      </c>
      <c r="K42" s="82">
        <v>0.73609999999999998</v>
      </c>
    </row>
    <row r="43" spans="1:15" ht="12.75" customHeight="1" x14ac:dyDescent="0.2">
      <c r="A43" s="33">
        <v>42203</v>
      </c>
      <c r="B43" t="s">
        <v>868</v>
      </c>
      <c r="C43" s="1" t="s">
        <v>869</v>
      </c>
      <c r="D43" s="1">
        <v>1.9861111111111111E-2</v>
      </c>
      <c r="E43" t="s">
        <v>5544</v>
      </c>
      <c r="F43" s="69" t="s">
        <v>3556</v>
      </c>
      <c r="K43" s="82">
        <v>0.73480000000000001</v>
      </c>
    </row>
    <row r="44" spans="1:15" ht="12.75" customHeight="1" x14ac:dyDescent="0.25">
      <c r="A44" s="33">
        <v>42189</v>
      </c>
      <c r="B44" t="s">
        <v>868</v>
      </c>
      <c r="C44" s="1" t="s">
        <v>869</v>
      </c>
      <c r="D44" s="1">
        <v>2.056712962962963E-2</v>
      </c>
      <c r="E44" t="s">
        <v>5544</v>
      </c>
      <c r="F44" s="69" t="s">
        <v>5719</v>
      </c>
      <c r="G44" s="41"/>
      <c r="H44" s="364"/>
      <c r="K44" s="82">
        <v>0.70960000000000001</v>
      </c>
    </row>
    <row r="45" spans="1:15" ht="12.75" customHeight="1" x14ac:dyDescent="0.25">
      <c r="A45" s="33">
        <v>42182</v>
      </c>
      <c r="B45" t="s">
        <v>868</v>
      </c>
      <c r="C45" s="1" t="s">
        <v>869</v>
      </c>
      <c r="D45" s="1">
        <v>2.0972222222222222E-2</v>
      </c>
      <c r="E45" t="s">
        <v>5544</v>
      </c>
      <c r="F45" s="69"/>
      <c r="G45" s="41"/>
      <c r="H45" s="364"/>
      <c r="K45" s="82">
        <v>0.69589999999999996</v>
      </c>
    </row>
    <row r="46" spans="1:15" ht="12.75" customHeight="1" x14ac:dyDescent="0.25">
      <c r="A46" s="33">
        <v>42168</v>
      </c>
      <c r="B46" t="s">
        <v>868</v>
      </c>
      <c r="C46" s="1" t="s">
        <v>869</v>
      </c>
      <c r="D46" s="1">
        <v>2.0057870370370368E-2</v>
      </c>
      <c r="E46" t="s">
        <v>5544</v>
      </c>
      <c r="F46" s="69"/>
      <c r="G46" s="41"/>
      <c r="H46" s="364"/>
      <c r="K46" s="82">
        <v>0.72760000000000002</v>
      </c>
    </row>
    <row r="47" spans="1:15" ht="12.75" customHeight="1" x14ac:dyDescent="0.25">
      <c r="A47" s="33">
        <v>42161</v>
      </c>
      <c r="B47" t="s">
        <v>868</v>
      </c>
      <c r="C47" s="1" t="s">
        <v>869</v>
      </c>
      <c r="D47" s="32">
        <v>1.96875E-2</v>
      </c>
      <c r="E47" t="s">
        <v>5544</v>
      </c>
      <c r="F47" s="69" t="s">
        <v>5694</v>
      </c>
      <c r="G47" s="185"/>
      <c r="H47" s="185"/>
      <c r="K47" s="82">
        <v>0.74129999999999996</v>
      </c>
    </row>
    <row r="48" spans="1:15" ht="12.75" customHeight="1" x14ac:dyDescent="0.2">
      <c r="A48" s="33">
        <v>42154</v>
      </c>
      <c r="B48" t="s">
        <v>868</v>
      </c>
      <c r="C48" s="1" t="s">
        <v>869</v>
      </c>
      <c r="D48" s="1">
        <v>2.013888888888889E-2</v>
      </c>
      <c r="E48" t="s">
        <v>5544</v>
      </c>
      <c r="F48" s="69" t="s">
        <v>405</v>
      </c>
      <c r="K48" s="82">
        <v>0.72470000000000001</v>
      </c>
      <c r="L48" t="s">
        <v>812</v>
      </c>
      <c r="O48">
        <v>394</v>
      </c>
    </row>
    <row r="49" spans="1:27" ht="12.75" customHeight="1" x14ac:dyDescent="0.2">
      <c r="A49" s="33">
        <v>42147</v>
      </c>
      <c r="B49" t="s">
        <v>868</v>
      </c>
      <c r="C49" s="1" t="s">
        <v>869</v>
      </c>
      <c r="D49" s="32">
        <v>1.9895833333333331E-2</v>
      </c>
      <c r="E49" t="s">
        <v>5544</v>
      </c>
      <c r="F49" s="69" t="s">
        <v>1960</v>
      </c>
      <c r="K49" s="82">
        <v>0.73360000000000003</v>
      </c>
    </row>
    <row r="50" spans="1:27" ht="12.75" customHeight="1" x14ac:dyDescent="0.2">
      <c r="A50" s="33">
        <v>42140</v>
      </c>
      <c r="B50" t="s">
        <v>868</v>
      </c>
      <c r="C50" s="1" t="s">
        <v>869</v>
      </c>
      <c r="D50" s="1">
        <v>2.0324074074074074E-2</v>
      </c>
      <c r="E50" t="s">
        <v>5544</v>
      </c>
      <c r="F50" s="69" t="s">
        <v>489</v>
      </c>
      <c r="K50" s="82">
        <v>0.7016</v>
      </c>
    </row>
    <row r="51" spans="1:27" ht="12.75" customHeight="1" x14ac:dyDescent="0.2">
      <c r="A51" s="33">
        <v>42126</v>
      </c>
      <c r="B51" t="s">
        <v>868</v>
      </c>
      <c r="C51" s="1" t="s">
        <v>869</v>
      </c>
      <c r="D51" s="1">
        <v>2.0497685185185185E-2</v>
      </c>
      <c r="E51" t="s">
        <v>5544</v>
      </c>
      <c r="F51" s="69" t="s">
        <v>2573</v>
      </c>
      <c r="I51" s="42"/>
      <c r="J51" s="42"/>
      <c r="K51" s="82">
        <v>0.69569999999999999</v>
      </c>
      <c r="M51" s="6"/>
    </row>
    <row r="52" spans="1:27" ht="12.75" customHeight="1" x14ac:dyDescent="0.2">
      <c r="A52" s="33">
        <v>42119</v>
      </c>
      <c r="B52" t="s">
        <v>868</v>
      </c>
      <c r="C52" s="1" t="s">
        <v>869</v>
      </c>
      <c r="D52" s="1">
        <v>2.0486111111111111E-2</v>
      </c>
      <c r="E52" t="s">
        <v>5544</v>
      </c>
      <c r="F52" s="69" t="s">
        <v>5253</v>
      </c>
      <c r="K52" s="82">
        <v>0.69599999999999995</v>
      </c>
    </row>
    <row r="53" spans="1:27" ht="12.75" customHeight="1" x14ac:dyDescent="0.2">
      <c r="A53" s="33">
        <v>42105</v>
      </c>
      <c r="B53" t="s">
        <v>868</v>
      </c>
      <c r="C53" s="1" t="s">
        <v>869</v>
      </c>
      <c r="D53" s="1">
        <v>2.0821759259259259E-2</v>
      </c>
      <c r="E53" t="s">
        <v>5544</v>
      </c>
      <c r="F53" s="69"/>
      <c r="K53" s="82">
        <v>0.68479999999999996</v>
      </c>
    </row>
    <row r="54" spans="1:27" ht="12.75" customHeight="1" x14ac:dyDescent="0.2">
      <c r="A54" s="33">
        <v>42105</v>
      </c>
      <c r="B54" t="s">
        <v>868</v>
      </c>
      <c r="C54" s="1" t="s">
        <v>869</v>
      </c>
      <c r="D54" s="1" t="s">
        <v>787</v>
      </c>
      <c r="E54" t="s">
        <v>5544</v>
      </c>
      <c r="F54" s="69" t="s">
        <v>4524</v>
      </c>
      <c r="K54" s="82"/>
    </row>
    <row r="55" spans="1:27" ht="12.75" customHeight="1" x14ac:dyDescent="0.2">
      <c r="A55" s="33">
        <v>42098</v>
      </c>
      <c r="B55" t="s">
        <v>868</v>
      </c>
      <c r="C55" s="1" t="s">
        <v>869</v>
      </c>
      <c r="D55" s="1">
        <v>2.0902777777777781E-2</v>
      </c>
      <c r="E55" t="s">
        <v>5544</v>
      </c>
      <c r="F55" s="69" t="s">
        <v>3448</v>
      </c>
      <c r="K55" s="82">
        <v>0.68220000000000003</v>
      </c>
    </row>
    <row r="56" spans="1:27" ht="12.75" customHeight="1" x14ac:dyDescent="0.2">
      <c r="A56" s="33">
        <v>42091</v>
      </c>
      <c r="B56" t="s">
        <v>868</v>
      </c>
      <c r="C56" s="1" t="s">
        <v>869</v>
      </c>
      <c r="D56" s="1">
        <v>2.1145833333333332E-2</v>
      </c>
      <c r="E56" t="s">
        <v>4727</v>
      </c>
      <c r="F56" s="42" t="s">
        <v>4027</v>
      </c>
      <c r="K56" s="82">
        <v>0.67300000000000004</v>
      </c>
    </row>
    <row r="57" spans="1:27" ht="12.75" customHeight="1" x14ac:dyDescent="0.2">
      <c r="A57" s="33">
        <v>42084</v>
      </c>
      <c r="B57" t="s">
        <v>868</v>
      </c>
      <c r="C57" s="1" t="s">
        <v>869</v>
      </c>
      <c r="D57" s="1">
        <v>2.0856481481481479E-2</v>
      </c>
      <c r="E57" t="s">
        <v>5544</v>
      </c>
      <c r="F57" s="42" t="s">
        <v>2579</v>
      </c>
      <c r="G57" s="5"/>
      <c r="K57" s="82">
        <v>0.68369999999999997</v>
      </c>
    </row>
    <row r="58" spans="1:27" ht="12.75" customHeight="1" x14ac:dyDescent="0.2">
      <c r="A58" s="33">
        <v>42077</v>
      </c>
      <c r="B58" t="s">
        <v>868</v>
      </c>
      <c r="C58" s="1" t="s">
        <v>869</v>
      </c>
      <c r="D58" s="1">
        <v>2.0393518518518519E-2</v>
      </c>
      <c r="E58" t="s">
        <v>5544</v>
      </c>
      <c r="F58" s="69" t="s">
        <v>46</v>
      </c>
      <c r="I58" s="42"/>
      <c r="J58" s="42"/>
      <c r="K58" s="82">
        <v>0.69920000000000004</v>
      </c>
    </row>
    <row r="59" spans="1:27" ht="12.75" customHeight="1" x14ac:dyDescent="0.2">
      <c r="A59" s="33">
        <v>42070</v>
      </c>
      <c r="B59" t="s">
        <v>868</v>
      </c>
      <c r="C59" s="1" t="s">
        <v>869</v>
      </c>
      <c r="D59" s="1">
        <v>2.0775462962962964E-2</v>
      </c>
      <c r="E59" t="s">
        <v>5544</v>
      </c>
      <c r="F59" s="69"/>
      <c r="K59" s="82">
        <v>0.68640000000000001</v>
      </c>
    </row>
    <row r="60" spans="1:27" ht="12.75" customHeight="1" x14ac:dyDescent="0.2">
      <c r="A60" s="33">
        <v>42063</v>
      </c>
      <c r="B60" t="s">
        <v>868</v>
      </c>
      <c r="C60" s="1" t="s">
        <v>869</v>
      </c>
      <c r="D60" s="1">
        <v>2.1006944444444443E-2</v>
      </c>
      <c r="E60" t="s">
        <v>5544</v>
      </c>
      <c r="F60" s="42"/>
      <c r="K60" s="82">
        <v>0.67879999999999996</v>
      </c>
    </row>
    <row r="61" spans="1:27" ht="12.75" customHeight="1" x14ac:dyDescent="0.2">
      <c r="A61" s="33">
        <v>42056</v>
      </c>
      <c r="B61" t="s">
        <v>868</v>
      </c>
      <c r="C61" s="1" t="s">
        <v>869</v>
      </c>
      <c r="D61" s="1">
        <v>2.0972222222222222E-2</v>
      </c>
      <c r="E61" t="s">
        <v>5544</v>
      </c>
      <c r="F61" s="69"/>
      <c r="I61" s="6"/>
      <c r="J61" s="6"/>
      <c r="K61" s="82">
        <v>0.67989999999999995</v>
      </c>
    </row>
    <row r="62" spans="1:27" ht="12.75" customHeight="1" x14ac:dyDescent="0.2">
      <c r="A62" s="33">
        <v>42049</v>
      </c>
      <c r="B62" t="s">
        <v>868</v>
      </c>
      <c r="C62" s="1" t="s">
        <v>869</v>
      </c>
      <c r="D62" s="1">
        <v>2.1504629629629627E-2</v>
      </c>
      <c r="E62" t="s">
        <v>5544</v>
      </c>
      <c r="F62" s="69" t="s">
        <v>916</v>
      </c>
      <c r="K62" s="82">
        <v>0.66310000000000002</v>
      </c>
    </row>
    <row r="63" spans="1:27" ht="12.75" customHeight="1" x14ac:dyDescent="0.2">
      <c r="A63" s="33">
        <v>42042</v>
      </c>
      <c r="B63" t="s">
        <v>868</v>
      </c>
      <c r="C63" s="1" t="s">
        <v>869</v>
      </c>
      <c r="D63" s="1">
        <v>2.1863425925925925E-2</v>
      </c>
      <c r="E63" t="s">
        <v>5544</v>
      </c>
      <c r="F63" s="42" t="s">
        <v>2748</v>
      </c>
      <c r="I63">
        <v>7</v>
      </c>
      <c r="K63" s="82">
        <v>0.6522</v>
      </c>
      <c r="AA63" s="41"/>
    </row>
    <row r="64" spans="1:27" ht="12.75" customHeight="1" x14ac:dyDescent="0.2">
      <c r="A64" s="33">
        <v>42035</v>
      </c>
      <c r="B64" t="s">
        <v>868</v>
      </c>
      <c r="C64" s="1" t="s">
        <v>869</v>
      </c>
      <c r="D64" s="1">
        <v>2.0937500000000001E-2</v>
      </c>
      <c r="E64" t="s">
        <v>5544</v>
      </c>
      <c r="F64" s="42" t="s">
        <v>914</v>
      </c>
      <c r="I64">
        <v>6</v>
      </c>
      <c r="K64" s="82">
        <v>0.68100000000000005</v>
      </c>
      <c r="AA64" s="41"/>
    </row>
    <row r="65" spans="1:27" ht="12.75" customHeight="1" x14ac:dyDescent="0.2">
      <c r="A65" s="33">
        <v>42028</v>
      </c>
      <c r="B65" t="s">
        <v>868</v>
      </c>
      <c r="C65" s="1" t="s">
        <v>869</v>
      </c>
      <c r="D65" s="1">
        <v>2.1550925925925928E-2</v>
      </c>
      <c r="E65" t="s">
        <v>5544</v>
      </c>
      <c r="F65" s="42"/>
      <c r="I65">
        <v>5</v>
      </c>
      <c r="K65" s="82">
        <v>0.66169999999999995</v>
      </c>
      <c r="AA65" s="41"/>
    </row>
    <row r="66" spans="1:27" ht="12.75" customHeight="1" x14ac:dyDescent="0.2">
      <c r="A66" s="33">
        <v>42021</v>
      </c>
      <c r="B66" t="s">
        <v>868</v>
      </c>
      <c r="C66" s="1" t="s">
        <v>869</v>
      </c>
      <c r="D66" s="1">
        <v>2.045138888888889E-2</v>
      </c>
      <c r="E66" t="s">
        <v>5544</v>
      </c>
      <c r="F66" s="42" t="s">
        <v>1605</v>
      </c>
      <c r="I66">
        <v>4</v>
      </c>
      <c r="K66" s="82">
        <v>0.69720000000000004</v>
      </c>
      <c r="AA66" s="41"/>
    </row>
    <row r="67" spans="1:27" ht="12.75" customHeight="1" x14ac:dyDescent="0.2">
      <c r="A67" s="33">
        <v>42014</v>
      </c>
      <c r="B67" t="s">
        <v>868</v>
      </c>
      <c r="C67" s="1" t="s">
        <v>869</v>
      </c>
      <c r="D67" s="1">
        <v>2.0810185185185185E-2</v>
      </c>
      <c r="E67" t="s">
        <v>5544</v>
      </c>
      <c r="F67" s="42"/>
      <c r="I67">
        <v>3</v>
      </c>
      <c r="K67" s="82">
        <v>0.68520000000000003</v>
      </c>
      <c r="AA67" s="41"/>
    </row>
    <row r="68" spans="1:27" ht="12.75" customHeight="1" x14ac:dyDescent="0.2">
      <c r="A68" s="33">
        <v>42007</v>
      </c>
      <c r="B68" t="s">
        <v>868</v>
      </c>
      <c r="C68" s="1" t="s">
        <v>869</v>
      </c>
      <c r="D68" s="1">
        <v>2.164351851851852E-2</v>
      </c>
      <c r="E68" t="s">
        <v>5544</v>
      </c>
      <c r="F68" s="42"/>
      <c r="I68">
        <v>2</v>
      </c>
      <c r="K68" s="82">
        <v>0.65880000000000005</v>
      </c>
      <c r="AA68" s="41"/>
    </row>
    <row r="69" spans="1:27" ht="12.75" customHeight="1" x14ac:dyDescent="0.2">
      <c r="A69" s="33">
        <v>42005</v>
      </c>
      <c r="B69" t="s">
        <v>868</v>
      </c>
      <c r="C69" s="1" t="s">
        <v>869</v>
      </c>
      <c r="D69" s="1">
        <v>2.2280092592592591E-2</v>
      </c>
      <c r="E69" t="s">
        <v>5885</v>
      </c>
      <c r="F69" s="69" t="s">
        <v>139</v>
      </c>
      <c r="H69" t="s">
        <v>1198</v>
      </c>
      <c r="I69" s="6">
        <v>1</v>
      </c>
      <c r="J69" s="6"/>
      <c r="K69" s="82">
        <v>0.64</v>
      </c>
      <c r="AA69" s="41"/>
    </row>
    <row r="70" spans="1:27" ht="12.75" customHeight="1" x14ac:dyDescent="0.2">
      <c r="A70" s="33">
        <v>42140</v>
      </c>
      <c r="B70" s="5" t="s">
        <v>437</v>
      </c>
      <c r="C70" s="1" t="s">
        <v>438</v>
      </c>
      <c r="D70" s="1">
        <v>1.9189814814814816E-2</v>
      </c>
      <c r="E70" t="s">
        <v>3282</v>
      </c>
      <c r="F70" s="69" t="s">
        <v>488</v>
      </c>
      <c r="K70" s="82">
        <v>0.53800000000000003</v>
      </c>
      <c r="AA70" s="41"/>
    </row>
    <row r="71" spans="1:27" ht="12.75" customHeight="1" x14ac:dyDescent="0.2">
      <c r="A71" s="33">
        <v>42126</v>
      </c>
      <c r="B71" t="s">
        <v>437</v>
      </c>
      <c r="C71" s="1" t="s">
        <v>438</v>
      </c>
      <c r="D71" s="1">
        <v>1.9444444444444445E-2</v>
      </c>
      <c r="E71" t="s">
        <v>2994</v>
      </c>
      <c r="F71" s="69" t="s">
        <v>4944</v>
      </c>
      <c r="I71" s="42"/>
      <c r="J71" s="42"/>
      <c r="K71" s="82">
        <v>0.53100000000000003</v>
      </c>
      <c r="L71" t="s">
        <v>5271</v>
      </c>
      <c r="AA71" s="41"/>
    </row>
    <row r="72" spans="1:27" x14ac:dyDescent="0.2">
      <c r="A72" s="33">
        <v>42364</v>
      </c>
      <c r="B72" t="s">
        <v>481</v>
      </c>
      <c r="C72" s="1" t="s">
        <v>4575</v>
      </c>
      <c r="D72" s="1">
        <v>1.7754629629629631E-2</v>
      </c>
      <c r="E72" t="s">
        <v>5095</v>
      </c>
      <c r="F72" s="69" t="s">
        <v>4841</v>
      </c>
      <c r="I72" s="2"/>
      <c r="K72" s="82">
        <v>0.55479999999999996</v>
      </c>
    </row>
    <row r="73" spans="1:27" ht="12.75" customHeight="1" x14ac:dyDescent="0.2">
      <c r="A73" s="33">
        <v>42231</v>
      </c>
      <c r="B73" t="s">
        <v>481</v>
      </c>
      <c r="C73" s="1" t="s">
        <v>4575</v>
      </c>
      <c r="D73" s="1">
        <v>1.556712962962963E-2</v>
      </c>
      <c r="E73" t="s">
        <v>803</v>
      </c>
      <c r="F73" s="69" t="s">
        <v>2629</v>
      </c>
      <c r="K73" s="82">
        <v>0.62749999999999995</v>
      </c>
      <c r="AA73" s="41"/>
    </row>
    <row r="74" spans="1:27" ht="12.75" customHeight="1" x14ac:dyDescent="0.2">
      <c r="A74" s="33">
        <v>42189</v>
      </c>
      <c r="B74" t="s">
        <v>481</v>
      </c>
      <c r="C74" s="1" t="s">
        <v>4575</v>
      </c>
      <c r="D74" s="1">
        <v>1.6250000000000001E-2</v>
      </c>
      <c r="E74" t="s">
        <v>803</v>
      </c>
      <c r="F74" s="69" t="s">
        <v>3195</v>
      </c>
      <c r="G74" s="42"/>
      <c r="H74" s="42"/>
      <c r="K74" s="82">
        <v>0.60109999999999997</v>
      </c>
      <c r="AA74" s="41"/>
    </row>
    <row r="75" spans="1:27" ht="12.75" customHeight="1" x14ac:dyDescent="0.2">
      <c r="A75" s="33">
        <v>42168</v>
      </c>
      <c r="B75" t="s">
        <v>481</v>
      </c>
      <c r="C75" s="1" t="s">
        <v>4575</v>
      </c>
      <c r="D75" s="1">
        <v>1.7094907407407409E-2</v>
      </c>
      <c r="E75" t="s">
        <v>803</v>
      </c>
      <c r="F75" s="69" t="s">
        <v>2189</v>
      </c>
      <c r="K75" s="82">
        <v>0.57140000000000002</v>
      </c>
      <c r="AA75" s="41"/>
    </row>
    <row r="76" spans="1:27" ht="12.75" customHeight="1" x14ac:dyDescent="0.2">
      <c r="A76" s="33">
        <v>42301</v>
      </c>
      <c r="B76" s="53" t="s">
        <v>866</v>
      </c>
      <c r="C76" s="54" t="s">
        <v>4144</v>
      </c>
      <c r="D76" s="1">
        <v>1.726851851851852E-2</v>
      </c>
      <c r="E76" t="s">
        <v>161</v>
      </c>
      <c r="F76" s="69" t="s">
        <v>949</v>
      </c>
      <c r="I76" s="2"/>
      <c r="K76" s="82">
        <v>0.57909999999999995</v>
      </c>
    </row>
    <row r="77" spans="1:27" ht="12.75" customHeight="1" x14ac:dyDescent="0.2">
      <c r="A77" s="33">
        <v>42154</v>
      </c>
      <c r="B77" s="53" t="s">
        <v>866</v>
      </c>
      <c r="C77" s="54" t="s">
        <v>4144</v>
      </c>
      <c r="D77" s="1">
        <v>1.6585648148148148E-2</v>
      </c>
      <c r="E77" t="s">
        <v>161</v>
      </c>
      <c r="F77" s="69"/>
      <c r="K77" s="82">
        <v>0.60289999999999999</v>
      </c>
      <c r="AA77" s="41"/>
    </row>
    <row r="78" spans="1:27" ht="12.75" customHeight="1" x14ac:dyDescent="0.2">
      <c r="A78" s="33">
        <v>42147</v>
      </c>
      <c r="B78" s="53" t="s">
        <v>866</v>
      </c>
      <c r="C78" s="54" t="s">
        <v>4144</v>
      </c>
      <c r="D78" s="1">
        <v>1.6863425925925928E-2</v>
      </c>
      <c r="E78" t="s">
        <v>161</v>
      </c>
      <c r="F78" s="69" t="s">
        <v>3459</v>
      </c>
      <c r="K78" s="82">
        <v>0.59299999999999997</v>
      </c>
      <c r="AA78" s="41"/>
    </row>
    <row r="79" spans="1:27" ht="12.75" customHeight="1" x14ac:dyDescent="0.2">
      <c r="A79" s="33">
        <v>42140</v>
      </c>
      <c r="B79" s="53" t="s">
        <v>866</v>
      </c>
      <c r="C79" s="54" t="s">
        <v>4144</v>
      </c>
      <c r="D79" s="1">
        <v>1.6747685185185185E-2</v>
      </c>
      <c r="E79" t="s">
        <v>161</v>
      </c>
      <c r="F79" s="69" t="s">
        <v>5972</v>
      </c>
      <c r="K79" s="82">
        <v>0.59709999999999996</v>
      </c>
      <c r="AA79" s="41"/>
    </row>
    <row r="80" spans="1:27" ht="12.75" customHeight="1" x14ac:dyDescent="0.2">
      <c r="A80" s="33">
        <v>42133</v>
      </c>
      <c r="B80" s="53" t="s">
        <v>866</v>
      </c>
      <c r="C80" s="54" t="s">
        <v>4144</v>
      </c>
      <c r="D80" s="1">
        <v>1.622685185185185E-2</v>
      </c>
      <c r="E80" t="s">
        <v>161</v>
      </c>
      <c r="F80" s="69" t="s">
        <v>876</v>
      </c>
      <c r="H80" t="s">
        <v>1815</v>
      </c>
      <c r="K80" s="82">
        <v>0.61629999999999996</v>
      </c>
      <c r="AA80" s="41"/>
    </row>
    <row r="81" spans="1:28" x14ac:dyDescent="0.2">
      <c r="A81" s="33">
        <v>42112</v>
      </c>
      <c r="B81" s="53" t="s">
        <v>866</v>
      </c>
      <c r="C81" s="54" t="s">
        <v>4144</v>
      </c>
      <c r="D81" s="1">
        <v>1.6284722222222221E-2</v>
      </c>
      <c r="E81" t="s">
        <v>161</v>
      </c>
      <c r="F81" s="69" t="s">
        <v>3291</v>
      </c>
      <c r="K81" s="82">
        <v>0.61409999999999998</v>
      </c>
    </row>
    <row r="82" spans="1:28" x14ac:dyDescent="0.2">
      <c r="A82" s="33">
        <v>42098</v>
      </c>
      <c r="B82" s="53" t="s">
        <v>866</v>
      </c>
      <c r="C82" s="54" t="s">
        <v>4144</v>
      </c>
      <c r="D82" s="1">
        <v>1.7222222222222222E-2</v>
      </c>
      <c r="E82" t="s">
        <v>161</v>
      </c>
      <c r="F82" s="69" t="s">
        <v>4826</v>
      </c>
      <c r="G82" s="42"/>
      <c r="H82" s="42"/>
      <c r="K82" s="82">
        <v>0.5806</v>
      </c>
    </row>
    <row r="83" spans="1:28" x14ac:dyDescent="0.2">
      <c r="A83" s="34">
        <v>42329</v>
      </c>
      <c r="B83" s="53" t="s">
        <v>1840</v>
      </c>
      <c r="C83" s="54" t="s">
        <v>1841</v>
      </c>
      <c r="D83" s="1">
        <v>2.0509259259259258E-2</v>
      </c>
      <c r="E83" t="s">
        <v>2294</v>
      </c>
      <c r="F83" s="69" t="s">
        <v>1842</v>
      </c>
      <c r="I83" s="2"/>
      <c r="K83" s="82">
        <v>0.4955</v>
      </c>
    </row>
    <row r="84" spans="1:28" x14ac:dyDescent="0.2">
      <c r="A84" s="33">
        <v>42364</v>
      </c>
      <c r="B84" t="s">
        <v>3251</v>
      </c>
      <c r="C84" s="1" t="s">
        <v>3252</v>
      </c>
      <c r="D84" s="1">
        <v>1.8530092592592595E-2</v>
      </c>
      <c r="E84" t="s">
        <v>4727</v>
      </c>
      <c r="F84" s="69" t="s">
        <v>4480</v>
      </c>
      <c r="I84" s="2"/>
      <c r="K84" s="82">
        <v>0.70709999999999995</v>
      </c>
    </row>
    <row r="85" spans="1:28" x14ac:dyDescent="0.2">
      <c r="A85" s="33">
        <v>42363</v>
      </c>
      <c r="B85" t="s">
        <v>3251</v>
      </c>
      <c r="C85" s="1" t="s">
        <v>3252</v>
      </c>
      <c r="D85" s="1">
        <v>1.7870370370370373E-2</v>
      </c>
      <c r="E85" t="s">
        <v>4727</v>
      </c>
      <c r="F85" s="69"/>
      <c r="I85" s="2"/>
      <c r="K85" s="82">
        <v>0.73319999999999996</v>
      </c>
    </row>
    <row r="86" spans="1:28" x14ac:dyDescent="0.2">
      <c r="A86" s="33">
        <v>42357</v>
      </c>
      <c r="B86" t="s">
        <v>3251</v>
      </c>
      <c r="C86" s="1" t="s">
        <v>3252</v>
      </c>
      <c r="D86" s="1">
        <v>1.8391203703703705E-2</v>
      </c>
      <c r="E86" t="s">
        <v>4727</v>
      </c>
      <c r="F86" s="69" t="s">
        <v>1683</v>
      </c>
      <c r="I86" s="2"/>
      <c r="K86" s="82">
        <v>0.71240000000000003</v>
      </c>
      <c r="S86" s="80"/>
    </row>
    <row r="87" spans="1:28" ht="12.75" customHeight="1" x14ac:dyDescent="0.2">
      <c r="A87" s="33">
        <v>42343</v>
      </c>
      <c r="B87" t="s">
        <v>3251</v>
      </c>
      <c r="C87" s="1" t="s">
        <v>3252</v>
      </c>
      <c r="D87" s="1">
        <v>1.8171296296296297E-2</v>
      </c>
      <c r="E87" s="5" t="s">
        <v>4727</v>
      </c>
      <c r="F87" s="69" t="s">
        <v>3917</v>
      </c>
      <c r="I87" s="2"/>
      <c r="K87" s="82">
        <v>0.72099999999999997</v>
      </c>
    </row>
    <row r="88" spans="1:28" ht="12.75" customHeight="1" x14ac:dyDescent="0.2">
      <c r="A88" s="33">
        <v>42336</v>
      </c>
      <c r="B88" t="s">
        <v>3251</v>
      </c>
      <c r="C88" s="1" t="s">
        <v>3252</v>
      </c>
      <c r="D88" s="1">
        <v>1.8275462962962962E-2</v>
      </c>
      <c r="E88" t="s">
        <v>4727</v>
      </c>
      <c r="F88" s="69" t="s">
        <v>3487</v>
      </c>
      <c r="I88" s="2"/>
      <c r="K88" s="82">
        <v>0.71689999999999998</v>
      </c>
    </row>
    <row r="89" spans="1:28" ht="12.75" customHeight="1" x14ac:dyDescent="0.2">
      <c r="A89" s="34">
        <v>42329</v>
      </c>
      <c r="B89" t="s">
        <v>3251</v>
      </c>
      <c r="C89" s="1" t="s">
        <v>3252</v>
      </c>
      <c r="D89" s="1">
        <v>1.8738425925925926E-2</v>
      </c>
      <c r="E89" t="s">
        <v>4727</v>
      </c>
      <c r="F89" s="69" t="s">
        <v>1067</v>
      </c>
      <c r="I89" s="2"/>
      <c r="K89" s="82">
        <v>0.69920000000000004</v>
      </c>
    </row>
    <row r="90" spans="1:28" ht="12.75" customHeight="1" x14ac:dyDescent="0.2">
      <c r="A90" s="33">
        <v>42315</v>
      </c>
      <c r="B90" t="s">
        <v>3251</v>
      </c>
      <c r="C90" s="1" t="s">
        <v>3252</v>
      </c>
      <c r="D90" s="1">
        <v>1.8657407407407407E-2</v>
      </c>
      <c r="E90" t="s">
        <v>4727</v>
      </c>
      <c r="F90" s="69" t="s">
        <v>5618</v>
      </c>
      <c r="I90" s="2"/>
      <c r="K90" s="82">
        <v>0.70220000000000005</v>
      </c>
    </row>
    <row r="91" spans="1:28" ht="12.75" customHeight="1" x14ac:dyDescent="0.2">
      <c r="A91" s="33">
        <v>42308</v>
      </c>
      <c r="B91" t="s">
        <v>3251</v>
      </c>
      <c r="C91" s="1" t="s">
        <v>3252</v>
      </c>
      <c r="D91" s="1">
        <v>1.8194444444444444E-2</v>
      </c>
      <c r="E91" t="s">
        <v>4727</v>
      </c>
      <c r="F91" s="69" t="s">
        <v>2956</v>
      </c>
      <c r="I91" s="2"/>
      <c r="K91" s="82">
        <v>0.72009999999999996</v>
      </c>
      <c r="AB91" s="41"/>
    </row>
    <row r="92" spans="1:28" ht="12.75" customHeight="1" x14ac:dyDescent="0.2">
      <c r="A92" s="33">
        <v>42301</v>
      </c>
      <c r="B92" t="s">
        <v>3251</v>
      </c>
      <c r="C92" s="1" t="s">
        <v>3252</v>
      </c>
      <c r="D92" s="1">
        <v>1.7905092592592594E-2</v>
      </c>
      <c r="E92" t="s">
        <v>5656</v>
      </c>
      <c r="F92" s="69" t="s">
        <v>2761</v>
      </c>
      <c r="I92" s="2"/>
      <c r="K92" s="82">
        <v>0.73170000000000002</v>
      </c>
      <c r="AB92" s="41"/>
    </row>
    <row r="93" spans="1:28" ht="12.75" customHeight="1" x14ac:dyDescent="0.2">
      <c r="A93" s="33">
        <v>42294</v>
      </c>
      <c r="B93" t="s">
        <v>3251</v>
      </c>
      <c r="C93" s="1" t="s">
        <v>3252</v>
      </c>
      <c r="D93" s="1">
        <v>1.9768518518518515E-2</v>
      </c>
      <c r="E93" t="s">
        <v>5960</v>
      </c>
      <c r="F93" s="69" t="s">
        <v>2739</v>
      </c>
      <c r="I93" s="2"/>
      <c r="K93" s="82">
        <v>0.66279999999999994</v>
      </c>
      <c r="AB93" s="41"/>
    </row>
    <row r="94" spans="1:28" ht="12.75" customHeight="1" x14ac:dyDescent="0.2">
      <c r="A94" s="33">
        <v>42259</v>
      </c>
      <c r="B94" t="s">
        <v>3251</v>
      </c>
      <c r="C94" s="1" t="s">
        <v>3252</v>
      </c>
      <c r="D94" s="1">
        <v>1.8564814814814815E-2</v>
      </c>
      <c r="E94" t="s">
        <v>4727</v>
      </c>
      <c r="F94" s="69"/>
      <c r="K94" s="82">
        <v>0.70569999999999999</v>
      </c>
      <c r="AB94" s="41"/>
    </row>
    <row r="95" spans="1:28" ht="12.75" customHeight="1" x14ac:dyDescent="0.2">
      <c r="A95" s="33">
        <v>42252</v>
      </c>
      <c r="B95" t="s">
        <v>3251</v>
      </c>
      <c r="C95" s="1" t="s">
        <v>3252</v>
      </c>
      <c r="D95" s="1">
        <v>1.8414351851851852E-2</v>
      </c>
      <c r="E95" t="s">
        <v>4727</v>
      </c>
      <c r="F95" s="69" t="s">
        <v>2500</v>
      </c>
      <c r="K95" s="82">
        <v>0.71150000000000002</v>
      </c>
      <c r="AB95" s="41"/>
    </row>
    <row r="96" spans="1:28" ht="12.75" customHeight="1" x14ac:dyDescent="0.2">
      <c r="A96" s="33">
        <v>42245</v>
      </c>
      <c r="B96" t="s">
        <v>3251</v>
      </c>
      <c r="C96" s="1" t="s">
        <v>3252</v>
      </c>
      <c r="D96" s="1" t="s">
        <v>787</v>
      </c>
      <c r="E96" t="s">
        <v>4727</v>
      </c>
      <c r="F96" s="69" t="s">
        <v>5699</v>
      </c>
      <c r="K96" s="82"/>
      <c r="AB96" s="41"/>
    </row>
    <row r="97" spans="1:28" ht="12.75" customHeight="1" x14ac:dyDescent="0.2">
      <c r="A97" s="33">
        <v>42224</v>
      </c>
      <c r="B97" t="s">
        <v>3251</v>
      </c>
      <c r="C97" s="1" t="s">
        <v>3252</v>
      </c>
      <c r="D97" s="1">
        <v>1.8067129629629631E-2</v>
      </c>
      <c r="E97" t="s">
        <v>4727</v>
      </c>
      <c r="F97" s="69" t="s">
        <v>5382</v>
      </c>
      <c r="K97" s="82">
        <v>0.71489999999999998</v>
      </c>
      <c r="AB97" s="41"/>
    </row>
    <row r="98" spans="1:28" ht="12.75" customHeight="1" x14ac:dyDescent="0.2">
      <c r="A98" s="33">
        <v>42217</v>
      </c>
      <c r="B98" t="s">
        <v>3251</v>
      </c>
      <c r="C98" s="1" t="s">
        <v>3252</v>
      </c>
      <c r="D98" s="1">
        <v>1.8032407407407407E-2</v>
      </c>
      <c r="E98" t="s">
        <v>4727</v>
      </c>
      <c r="F98" s="69"/>
      <c r="K98" s="82">
        <v>0.73040000000000005</v>
      </c>
      <c r="AB98" s="41"/>
    </row>
    <row r="99" spans="1:28" ht="12.75" customHeight="1" x14ac:dyDescent="0.2">
      <c r="A99" s="33">
        <v>42210</v>
      </c>
      <c r="B99" t="s">
        <v>3251</v>
      </c>
      <c r="C99" s="1" t="s">
        <v>3252</v>
      </c>
      <c r="D99" s="1">
        <v>1.8217592592592594E-2</v>
      </c>
      <c r="E99" t="s">
        <v>4727</v>
      </c>
      <c r="F99" s="69" t="s">
        <v>4879</v>
      </c>
      <c r="K99" s="82">
        <v>0.70899999999999996</v>
      </c>
      <c r="AB99" s="41"/>
    </row>
    <row r="100" spans="1:28" ht="12.75" customHeight="1" x14ac:dyDescent="0.2">
      <c r="A100" s="33">
        <v>42182</v>
      </c>
      <c r="B100" t="s">
        <v>3251</v>
      </c>
      <c r="C100" s="1" t="s">
        <v>3252</v>
      </c>
      <c r="D100" s="1">
        <v>3.1898148148148148E-2</v>
      </c>
      <c r="E100" t="s">
        <v>4727</v>
      </c>
      <c r="F100" s="69" t="s">
        <v>1100</v>
      </c>
      <c r="K100" s="82">
        <v>0.39629999999999999</v>
      </c>
      <c r="AB100" s="41"/>
    </row>
    <row r="101" spans="1:28" ht="12.75" customHeight="1" x14ac:dyDescent="0.2">
      <c r="A101" s="33">
        <v>42182</v>
      </c>
      <c r="B101" t="s">
        <v>3251</v>
      </c>
      <c r="C101" s="1" t="s">
        <v>3252</v>
      </c>
      <c r="D101" s="1" t="s">
        <v>787</v>
      </c>
      <c r="E101" t="s">
        <v>1238</v>
      </c>
      <c r="F101" s="69"/>
      <c r="K101" s="82"/>
      <c r="AB101" s="41"/>
    </row>
    <row r="102" spans="1:28" ht="12.75" customHeight="1" x14ac:dyDescent="0.2">
      <c r="A102" s="33">
        <v>42175</v>
      </c>
      <c r="B102" t="s">
        <v>3251</v>
      </c>
      <c r="C102" s="1" t="s">
        <v>3252</v>
      </c>
      <c r="D102" s="1">
        <v>1.7372685185185185E-2</v>
      </c>
      <c r="E102" t="s">
        <v>5653</v>
      </c>
      <c r="F102" s="69" t="s">
        <v>2629</v>
      </c>
      <c r="G102" s="6"/>
      <c r="H102" s="6"/>
      <c r="K102" s="82">
        <v>0.74350000000000005</v>
      </c>
      <c r="AB102" s="41"/>
    </row>
    <row r="103" spans="1:28" ht="12.75" customHeight="1" x14ac:dyDescent="0.2">
      <c r="A103" s="33">
        <v>42161</v>
      </c>
      <c r="B103" s="5" t="s">
        <v>3251</v>
      </c>
      <c r="C103" s="32" t="s">
        <v>3252</v>
      </c>
      <c r="D103" s="1">
        <v>3.4409722222222223E-2</v>
      </c>
      <c r="E103" t="s">
        <v>4727</v>
      </c>
      <c r="F103" s="69" t="s">
        <v>4931</v>
      </c>
      <c r="K103" s="82">
        <v>0.37540000000000001</v>
      </c>
      <c r="AB103" s="41"/>
    </row>
    <row r="104" spans="1:28" ht="12.75" customHeight="1" x14ac:dyDescent="0.2">
      <c r="A104" s="33">
        <v>42133</v>
      </c>
      <c r="B104" t="s">
        <v>3251</v>
      </c>
      <c r="C104" s="1" t="s">
        <v>3252</v>
      </c>
      <c r="D104" s="1">
        <v>1.7534722222222222E-2</v>
      </c>
      <c r="E104" t="s">
        <v>4727</v>
      </c>
      <c r="F104" s="69" t="s">
        <v>2535</v>
      </c>
      <c r="K104" s="82">
        <v>0.73660000000000003</v>
      </c>
      <c r="AB104" s="41"/>
    </row>
    <row r="105" spans="1:28" ht="12.75" customHeight="1" x14ac:dyDescent="0.2">
      <c r="A105" s="33">
        <v>42133</v>
      </c>
      <c r="B105" t="s">
        <v>3251</v>
      </c>
      <c r="C105" s="1" t="s">
        <v>3252</v>
      </c>
      <c r="D105" s="1" t="s">
        <v>787</v>
      </c>
      <c r="E105" t="s">
        <v>4727</v>
      </c>
      <c r="F105" s="69" t="s">
        <v>4524</v>
      </c>
      <c r="K105" s="82"/>
      <c r="AB105" s="41"/>
    </row>
    <row r="106" spans="1:28" ht="12.75" customHeight="1" x14ac:dyDescent="0.2">
      <c r="A106" s="33">
        <v>42126</v>
      </c>
      <c r="B106" t="s">
        <v>3251</v>
      </c>
      <c r="C106" s="1" t="s">
        <v>3252</v>
      </c>
      <c r="D106" s="1">
        <v>1.7719907407407406E-2</v>
      </c>
      <c r="E106" t="s">
        <v>4727</v>
      </c>
      <c r="F106" s="69" t="s">
        <v>4483</v>
      </c>
      <c r="I106" s="42"/>
      <c r="J106" s="42"/>
      <c r="K106" s="82">
        <v>0.72889999999999999</v>
      </c>
    </row>
    <row r="107" spans="1:28" ht="12.75" customHeight="1" x14ac:dyDescent="0.2">
      <c r="A107" s="33">
        <v>42126</v>
      </c>
      <c r="B107" t="s">
        <v>3251</v>
      </c>
      <c r="C107" s="1" t="s">
        <v>3252</v>
      </c>
      <c r="D107" s="1" t="s">
        <v>787</v>
      </c>
      <c r="E107" t="s">
        <v>4727</v>
      </c>
      <c r="F107" s="69" t="s">
        <v>3745</v>
      </c>
      <c r="I107" s="42"/>
      <c r="J107" s="42"/>
      <c r="K107" s="82"/>
    </row>
    <row r="108" spans="1:28" ht="12.75" customHeight="1" x14ac:dyDescent="0.2">
      <c r="A108" s="33">
        <v>42119</v>
      </c>
      <c r="B108" t="s">
        <v>3251</v>
      </c>
      <c r="C108" s="1" t="s">
        <v>3252</v>
      </c>
      <c r="D108" s="1">
        <v>1.7754629629629631E-2</v>
      </c>
      <c r="E108" t="s">
        <v>4727</v>
      </c>
      <c r="F108" s="69" t="s">
        <v>3827</v>
      </c>
      <c r="K108" s="82">
        <v>0.72750000000000004</v>
      </c>
    </row>
    <row r="109" spans="1:28" ht="12.75" customHeight="1" x14ac:dyDescent="0.2">
      <c r="A109" s="33">
        <v>42119</v>
      </c>
      <c r="B109" t="s">
        <v>3251</v>
      </c>
      <c r="C109" s="1" t="s">
        <v>3252</v>
      </c>
      <c r="D109" s="1" t="s">
        <v>787</v>
      </c>
      <c r="E109" t="s">
        <v>4727</v>
      </c>
      <c r="F109" s="69" t="s">
        <v>1923</v>
      </c>
      <c r="K109" s="82"/>
    </row>
    <row r="110" spans="1:28" ht="12.75" customHeight="1" x14ac:dyDescent="0.2">
      <c r="A110" s="33">
        <v>42112</v>
      </c>
      <c r="B110" t="s">
        <v>3251</v>
      </c>
      <c r="C110" s="1" t="s">
        <v>3252</v>
      </c>
      <c r="D110" s="1">
        <v>1.7662037037037035E-2</v>
      </c>
      <c r="E110" t="s">
        <v>4727</v>
      </c>
      <c r="F110" s="69" t="s">
        <v>1913</v>
      </c>
      <c r="G110" s="6"/>
      <c r="H110" s="6"/>
      <c r="K110" s="82">
        <v>0.73129999999999995</v>
      </c>
    </row>
    <row r="111" spans="1:28" ht="12.75" customHeight="1" x14ac:dyDescent="0.2">
      <c r="A111" s="33">
        <v>42112</v>
      </c>
      <c r="B111" t="s">
        <v>3251</v>
      </c>
      <c r="C111" s="1" t="s">
        <v>3252</v>
      </c>
      <c r="D111" s="1" t="s">
        <v>787</v>
      </c>
      <c r="E111" t="s">
        <v>4727</v>
      </c>
      <c r="F111" s="69" t="s">
        <v>2836</v>
      </c>
      <c r="K111" s="82"/>
    </row>
    <row r="112" spans="1:28" ht="12.75" customHeight="1" x14ac:dyDescent="0.2">
      <c r="A112" s="33">
        <v>42105</v>
      </c>
      <c r="B112" t="s">
        <v>3251</v>
      </c>
      <c r="C112" s="1" t="s">
        <v>3252</v>
      </c>
      <c r="D112" s="1">
        <v>1.7986111111111109E-2</v>
      </c>
      <c r="E112" t="s">
        <v>4727</v>
      </c>
      <c r="F112" s="69"/>
      <c r="G112" s="42"/>
      <c r="H112" s="42"/>
      <c r="K112" s="82">
        <v>0.71809999999999996</v>
      </c>
    </row>
    <row r="113" spans="1:13" x14ac:dyDescent="0.2">
      <c r="A113" s="33">
        <v>42105</v>
      </c>
      <c r="B113" t="s">
        <v>3251</v>
      </c>
      <c r="C113" s="1" t="s">
        <v>3252</v>
      </c>
      <c r="D113" s="1" t="s">
        <v>787</v>
      </c>
      <c r="E113" t="s">
        <v>4727</v>
      </c>
      <c r="F113" t="s">
        <v>2836</v>
      </c>
      <c r="K113" s="82"/>
      <c r="M113" s="6"/>
    </row>
    <row r="114" spans="1:13" ht="12.75" customHeight="1" x14ac:dyDescent="0.2">
      <c r="A114" s="33">
        <v>42098</v>
      </c>
      <c r="B114" t="s">
        <v>3251</v>
      </c>
      <c r="C114" s="1" t="s">
        <v>3252</v>
      </c>
      <c r="D114" s="1">
        <v>1.7962962962962962E-2</v>
      </c>
      <c r="E114" t="s">
        <v>4727</v>
      </c>
      <c r="F114" s="69" t="s">
        <v>471</v>
      </c>
      <c r="K114" s="82">
        <v>0.71909999999999996</v>
      </c>
    </row>
    <row r="115" spans="1:13" ht="12.75" customHeight="1" x14ac:dyDescent="0.2">
      <c r="A115" s="33">
        <v>42098</v>
      </c>
      <c r="B115" t="s">
        <v>3251</v>
      </c>
      <c r="C115" s="1" t="s">
        <v>3252</v>
      </c>
      <c r="D115" s="1" t="s">
        <v>787</v>
      </c>
      <c r="E115" t="s">
        <v>4727</v>
      </c>
      <c r="F115" s="69" t="s">
        <v>3745</v>
      </c>
      <c r="K115" s="82"/>
    </row>
    <row r="116" spans="1:13" ht="12.75" customHeight="1" x14ac:dyDescent="0.2">
      <c r="A116" s="33">
        <v>42091</v>
      </c>
      <c r="B116" s="80" t="s">
        <v>3251</v>
      </c>
      <c r="C116" s="1" t="s">
        <v>3252</v>
      </c>
      <c r="D116" s="1">
        <v>1.8483796296296297E-2</v>
      </c>
      <c r="E116" t="s">
        <v>4727</v>
      </c>
      <c r="F116" s="42" t="s">
        <v>4094</v>
      </c>
      <c r="K116" s="82">
        <v>0.69879999999999998</v>
      </c>
    </row>
    <row r="117" spans="1:13" ht="12.75" customHeight="1" x14ac:dyDescent="0.2">
      <c r="A117" s="33">
        <v>42070</v>
      </c>
      <c r="B117" t="s">
        <v>3251</v>
      </c>
      <c r="C117" s="1" t="s">
        <v>3252</v>
      </c>
      <c r="D117" s="1">
        <v>1.7349537037037038E-2</v>
      </c>
      <c r="E117" t="s">
        <v>1214</v>
      </c>
      <c r="F117" s="69" t="s">
        <v>651</v>
      </c>
      <c r="K117" s="82">
        <v>0.74450000000000005</v>
      </c>
    </row>
    <row r="118" spans="1:13" ht="12.75" customHeight="1" x14ac:dyDescent="0.2">
      <c r="A118" s="33">
        <v>42063</v>
      </c>
      <c r="B118" t="s">
        <v>3251</v>
      </c>
      <c r="C118" s="1" t="s">
        <v>3252</v>
      </c>
      <c r="D118" s="1">
        <v>1.7511574074074072E-2</v>
      </c>
      <c r="E118" t="s">
        <v>1214</v>
      </c>
      <c r="F118" s="42"/>
      <c r="K118" s="82">
        <v>0.73760000000000003</v>
      </c>
    </row>
    <row r="119" spans="1:13" ht="12.75" customHeight="1" x14ac:dyDescent="0.2">
      <c r="A119" s="33">
        <v>42056</v>
      </c>
      <c r="B119" t="s">
        <v>3251</v>
      </c>
      <c r="C119" s="1" t="s">
        <v>3252</v>
      </c>
      <c r="D119" s="1">
        <v>1.8171296296296297E-2</v>
      </c>
      <c r="E119" t="s">
        <v>3167</v>
      </c>
      <c r="F119" s="69" t="s">
        <v>2229</v>
      </c>
      <c r="I119" s="6"/>
      <c r="J119" s="6"/>
      <c r="K119" s="82">
        <v>0.71079999999999999</v>
      </c>
    </row>
    <row r="120" spans="1:13" x14ac:dyDescent="0.2">
      <c r="A120" s="33">
        <v>42049</v>
      </c>
      <c r="B120" t="s">
        <v>3251</v>
      </c>
      <c r="C120" s="1" t="s">
        <v>3252</v>
      </c>
      <c r="D120" s="1">
        <v>1.7824074074074076E-2</v>
      </c>
      <c r="E120" t="s">
        <v>5095</v>
      </c>
      <c r="F120" s="69" t="s">
        <v>4471</v>
      </c>
      <c r="K120" s="82">
        <v>0.72470000000000001</v>
      </c>
    </row>
    <row r="121" spans="1:13" ht="12.75" customHeight="1" x14ac:dyDescent="0.2">
      <c r="A121" s="33">
        <v>42028</v>
      </c>
      <c r="B121" t="s">
        <v>3251</v>
      </c>
      <c r="C121" s="1" t="s">
        <v>3252</v>
      </c>
      <c r="D121" s="1">
        <v>1.7789351851851851E-2</v>
      </c>
      <c r="E121" t="s">
        <v>5095</v>
      </c>
      <c r="F121" s="42"/>
      <c r="K121" s="82">
        <v>0.72609999999999997</v>
      </c>
    </row>
    <row r="122" spans="1:13" ht="12.75" customHeight="1" x14ac:dyDescent="0.2">
      <c r="A122" s="33">
        <v>42007</v>
      </c>
      <c r="B122" t="s">
        <v>3251</v>
      </c>
      <c r="C122" s="1" t="s">
        <v>3252</v>
      </c>
      <c r="D122" s="1">
        <v>1.9537037037037037E-2</v>
      </c>
      <c r="E122" t="s">
        <v>3167</v>
      </c>
      <c r="F122" s="42" t="s">
        <v>4394</v>
      </c>
      <c r="K122" s="82">
        <v>0.66110000000000002</v>
      </c>
    </row>
    <row r="123" spans="1:13" ht="12.75" customHeight="1" x14ac:dyDescent="0.2">
      <c r="A123" s="33">
        <v>42005</v>
      </c>
      <c r="B123" t="s">
        <v>3251</v>
      </c>
      <c r="C123" s="1" t="s">
        <v>3252</v>
      </c>
      <c r="D123" s="1">
        <v>1.8599537037037036E-2</v>
      </c>
      <c r="E123" t="s">
        <v>1670</v>
      </c>
      <c r="F123" s="69" t="s">
        <v>139</v>
      </c>
      <c r="I123" s="6"/>
      <c r="J123" s="6"/>
      <c r="K123" s="82">
        <v>0.69450000000000001</v>
      </c>
    </row>
    <row r="124" spans="1:13" ht="12.75" customHeight="1" x14ac:dyDescent="0.2">
      <c r="A124" s="33">
        <v>42005</v>
      </c>
      <c r="B124" t="s">
        <v>3251</v>
      </c>
      <c r="C124" s="1" t="s">
        <v>3252</v>
      </c>
      <c r="D124" s="1">
        <v>1.9050925925925926E-2</v>
      </c>
      <c r="E124" t="s">
        <v>2372</v>
      </c>
      <c r="F124" s="69" t="s">
        <v>138</v>
      </c>
      <c r="I124" s="6"/>
      <c r="J124" s="6"/>
      <c r="K124" s="82">
        <v>0.67800000000000005</v>
      </c>
    </row>
    <row r="125" spans="1:13" x14ac:dyDescent="0.2">
      <c r="A125" s="33">
        <v>42364</v>
      </c>
      <c r="B125" s="206" t="s">
        <v>4264</v>
      </c>
      <c r="C125" s="254" t="s">
        <v>5239</v>
      </c>
      <c r="D125" s="1">
        <v>1.6469907407407405E-2</v>
      </c>
      <c r="E125" t="s">
        <v>5948</v>
      </c>
      <c r="F125" s="69" t="s">
        <v>394</v>
      </c>
      <c r="I125" s="2"/>
      <c r="K125" s="82">
        <v>0.72450000000000003</v>
      </c>
    </row>
    <row r="126" spans="1:13" x14ac:dyDescent="0.2">
      <c r="A126" s="33">
        <v>42363</v>
      </c>
      <c r="B126" s="206" t="s">
        <v>4264</v>
      </c>
      <c r="C126" s="254" t="s">
        <v>5239</v>
      </c>
      <c r="D126" s="1">
        <v>1.7199074074074071E-2</v>
      </c>
      <c r="E126" t="s">
        <v>5948</v>
      </c>
      <c r="F126" s="69"/>
      <c r="I126" s="2"/>
      <c r="K126" s="82">
        <v>0.69379999999999997</v>
      </c>
    </row>
    <row r="127" spans="1:13" x14ac:dyDescent="0.2">
      <c r="A127" s="33">
        <v>42350</v>
      </c>
      <c r="B127" s="206" t="s">
        <v>4264</v>
      </c>
      <c r="C127" s="254" t="s">
        <v>5239</v>
      </c>
      <c r="D127" s="1">
        <v>1.5729166666666666E-2</v>
      </c>
      <c r="E127" t="s">
        <v>5198</v>
      </c>
      <c r="F127" s="69" t="s">
        <v>1292</v>
      </c>
      <c r="I127" s="2"/>
      <c r="K127" s="82">
        <v>0.75860000000000005</v>
      </c>
    </row>
    <row r="128" spans="1:13" ht="12.75" customHeight="1" x14ac:dyDescent="0.2">
      <c r="A128" s="33">
        <v>42343</v>
      </c>
      <c r="B128" s="206" t="s">
        <v>4264</v>
      </c>
      <c r="C128" s="254" t="s">
        <v>5239</v>
      </c>
      <c r="D128" s="1">
        <v>1.6087962962962964E-2</v>
      </c>
      <c r="E128" s="5" t="s">
        <v>5948</v>
      </c>
      <c r="F128" s="69" t="s">
        <v>742</v>
      </c>
      <c r="I128" s="2"/>
      <c r="K128" s="82">
        <v>0.74170000000000003</v>
      </c>
    </row>
    <row r="129" spans="1:13" ht="12.75" customHeight="1" x14ac:dyDescent="0.2">
      <c r="A129" s="34">
        <v>42329</v>
      </c>
      <c r="B129" s="206" t="s">
        <v>4264</v>
      </c>
      <c r="C129" s="254" t="s">
        <v>5239</v>
      </c>
      <c r="D129" s="1">
        <v>1.5891203703703703E-2</v>
      </c>
      <c r="E129" t="s">
        <v>5948</v>
      </c>
      <c r="F129" s="69" t="s">
        <v>1844</v>
      </c>
      <c r="I129" s="2"/>
      <c r="K129" s="82">
        <v>0.75090000000000001</v>
      </c>
    </row>
    <row r="130" spans="1:13" ht="12.75" customHeight="1" x14ac:dyDescent="0.2">
      <c r="A130" s="33">
        <v>42322</v>
      </c>
      <c r="B130" s="206" t="s">
        <v>4264</v>
      </c>
      <c r="C130" s="254" t="s">
        <v>5239</v>
      </c>
      <c r="D130" s="1">
        <v>1.6018518518518519E-2</v>
      </c>
      <c r="E130" t="s">
        <v>5948</v>
      </c>
      <c r="F130" s="69" t="s">
        <v>3976</v>
      </c>
      <c r="I130" s="2"/>
      <c r="K130" s="82">
        <v>0.74490000000000001</v>
      </c>
    </row>
    <row r="131" spans="1:13" ht="12.75" customHeight="1" x14ac:dyDescent="0.2">
      <c r="A131" s="33">
        <v>42294</v>
      </c>
      <c r="B131" s="206" t="s">
        <v>4264</v>
      </c>
      <c r="C131" s="254" t="s">
        <v>5239</v>
      </c>
      <c r="D131" s="1">
        <v>1.5752314814814813E-2</v>
      </c>
      <c r="E131" t="s">
        <v>5948</v>
      </c>
      <c r="F131" s="69" t="s">
        <v>2629</v>
      </c>
      <c r="I131" s="2"/>
      <c r="K131" s="82">
        <v>0.75749999999999995</v>
      </c>
    </row>
    <row r="132" spans="1:13" ht="12.75" customHeight="1" x14ac:dyDescent="0.2">
      <c r="A132" s="33">
        <v>42287</v>
      </c>
      <c r="B132" s="206" t="s">
        <v>4264</v>
      </c>
      <c r="C132" s="254" t="s">
        <v>5239</v>
      </c>
      <c r="D132" s="1">
        <v>1.6006944444444445E-2</v>
      </c>
      <c r="E132" t="s">
        <v>5948</v>
      </c>
      <c r="F132" s="69"/>
      <c r="I132" s="2"/>
      <c r="K132" s="82">
        <v>0.74550000000000005</v>
      </c>
    </row>
    <row r="133" spans="1:13" ht="12.75" customHeight="1" x14ac:dyDescent="0.2">
      <c r="A133" s="33">
        <v>42273</v>
      </c>
      <c r="B133" s="206" t="s">
        <v>4264</v>
      </c>
      <c r="C133" s="254" t="s">
        <v>5239</v>
      </c>
      <c r="D133" s="1">
        <v>1.5983796296296295E-2</v>
      </c>
      <c r="E133" t="s">
        <v>5948</v>
      </c>
      <c r="F133" s="69" t="s">
        <v>858</v>
      </c>
      <c r="I133" s="2"/>
      <c r="K133" s="82">
        <v>0.74660000000000004</v>
      </c>
    </row>
    <row r="134" spans="1:13" ht="12.75" customHeight="1" x14ac:dyDescent="0.2">
      <c r="A134" s="33">
        <v>42266</v>
      </c>
      <c r="B134" s="206" t="s">
        <v>4264</v>
      </c>
      <c r="C134" s="254" t="s">
        <v>5239</v>
      </c>
      <c r="D134" s="1">
        <v>1.6446759259259262E-2</v>
      </c>
      <c r="E134" t="s">
        <v>4302</v>
      </c>
      <c r="F134" s="69" t="s">
        <v>1990</v>
      </c>
      <c r="K134" s="82">
        <v>0.72550000000000003</v>
      </c>
    </row>
    <row r="135" spans="1:13" ht="12.75" customHeight="1" x14ac:dyDescent="0.2">
      <c r="A135" s="33">
        <v>42259</v>
      </c>
      <c r="B135" s="206" t="s">
        <v>4264</v>
      </c>
      <c r="C135" s="254" t="s">
        <v>5239</v>
      </c>
      <c r="D135" s="1">
        <v>1.6331018518518519E-2</v>
      </c>
      <c r="E135" t="s">
        <v>5948</v>
      </c>
      <c r="F135" s="69" t="s">
        <v>387</v>
      </c>
      <c r="K135" s="82">
        <v>0.73070000000000002</v>
      </c>
    </row>
    <row r="136" spans="1:13" ht="12.75" customHeight="1" x14ac:dyDescent="0.2">
      <c r="A136" s="33">
        <v>42210</v>
      </c>
      <c r="B136" s="206" t="s">
        <v>4264</v>
      </c>
      <c r="C136" s="254" t="s">
        <v>5239</v>
      </c>
      <c r="D136" s="1">
        <v>1.8680555555555554E-2</v>
      </c>
      <c r="E136" t="s">
        <v>5198</v>
      </c>
      <c r="F136" s="69" t="s">
        <v>2104</v>
      </c>
      <c r="K136" s="82">
        <v>0.63880000000000003</v>
      </c>
    </row>
    <row r="137" spans="1:13" ht="12.75" customHeight="1" x14ac:dyDescent="0.2">
      <c r="A137" s="33">
        <v>42182</v>
      </c>
      <c r="B137" s="206" t="s">
        <v>4264</v>
      </c>
      <c r="C137" s="254" t="s">
        <v>5239</v>
      </c>
      <c r="D137" s="1">
        <v>1.525462962962963E-2</v>
      </c>
      <c r="E137" t="s">
        <v>5198</v>
      </c>
      <c r="F137" s="69" t="s">
        <v>3987</v>
      </c>
      <c r="K137" s="82">
        <v>0.78220000000000001</v>
      </c>
    </row>
    <row r="138" spans="1:13" ht="12.75" customHeight="1" x14ac:dyDescent="0.2">
      <c r="A138" s="33">
        <v>42175</v>
      </c>
      <c r="B138" s="206" t="s">
        <v>4264</v>
      </c>
      <c r="C138" s="254" t="s">
        <v>5239</v>
      </c>
      <c r="D138" s="1">
        <v>1.5381944444444443E-2</v>
      </c>
      <c r="E138" t="s">
        <v>5198</v>
      </c>
      <c r="F138" s="69" t="s">
        <v>1228</v>
      </c>
      <c r="K138" s="82">
        <v>0.77590000000000003</v>
      </c>
    </row>
    <row r="139" spans="1:13" ht="12.75" customHeight="1" x14ac:dyDescent="0.2">
      <c r="A139" s="33">
        <v>42168</v>
      </c>
      <c r="B139" s="206" t="s">
        <v>4264</v>
      </c>
      <c r="C139" s="254" t="s">
        <v>5239</v>
      </c>
      <c r="D139" s="1">
        <v>1.5752314814814813E-2</v>
      </c>
      <c r="E139" t="s">
        <v>3806</v>
      </c>
      <c r="F139" s="69" t="s">
        <v>1191</v>
      </c>
      <c r="G139" s="42"/>
      <c r="H139" s="42"/>
      <c r="K139" s="82">
        <v>0.75749999999999995</v>
      </c>
    </row>
    <row r="140" spans="1:13" ht="12.75" customHeight="1" x14ac:dyDescent="0.2">
      <c r="A140" s="33">
        <v>42140</v>
      </c>
      <c r="B140" s="206" t="s">
        <v>4264</v>
      </c>
      <c r="C140" s="254" t="s">
        <v>5239</v>
      </c>
      <c r="D140" s="1">
        <v>1.4826388888888889E-2</v>
      </c>
      <c r="E140" t="s">
        <v>5198</v>
      </c>
      <c r="F140" s="69" t="s">
        <v>5808</v>
      </c>
      <c r="G140" s="42"/>
      <c r="H140" s="42"/>
      <c r="K140" s="82">
        <v>0.79469999999999996</v>
      </c>
    </row>
    <row r="141" spans="1:13" x14ac:dyDescent="0.2">
      <c r="A141" s="33">
        <v>42119</v>
      </c>
      <c r="B141" s="206" t="s">
        <v>4264</v>
      </c>
      <c r="C141" s="254" t="s">
        <v>5239</v>
      </c>
      <c r="D141" s="1">
        <v>1.8819444444444448E-2</v>
      </c>
      <c r="E141" t="s">
        <v>5198</v>
      </c>
      <c r="F141" s="69" t="s">
        <v>273</v>
      </c>
      <c r="K141" s="82">
        <v>0.62609999999999999</v>
      </c>
    </row>
    <row r="142" spans="1:13" ht="12.75" customHeight="1" x14ac:dyDescent="0.2">
      <c r="A142" s="33">
        <v>42112</v>
      </c>
      <c r="B142" s="206" t="s">
        <v>4264</v>
      </c>
      <c r="C142" s="254" t="s">
        <v>5239</v>
      </c>
      <c r="D142" s="1">
        <v>1.4722222222222222E-2</v>
      </c>
      <c r="E142" t="s">
        <v>5198</v>
      </c>
      <c r="F142" s="69" t="s">
        <v>4891</v>
      </c>
      <c r="K142" s="82">
        <v>0.80030000000000001</v>
      </c>
      <c r="M142" t="s">
        <v>3288</v>
      </c>
    </row>
    <row r="143" spans="1:13" ht="12.75" customHeight="1" x14ac:dyDescent="0.2">
      <c r="A143" s="33">
        <v>42056</v>
      </c>
      <c r="B143" s="206" t="s">
        <v>4264</v>
      </c>
      <c r="C143" s="254" t="s">
        <v>5239</v>
      </c>
      <c r="D143" s="1">
        <v>1.5243055555555557E-2</v>
      </c>
      <c r="E143" t="s">
        <v>5883</v>
      </c>
      <c r="F143" s="69" t="s">
        <v>996</v>
      </c>
      <c r="I143" s="6"/>
      <c r="J143" s="6"/>
      <c r="K143" s="82">
        <v>0.77300000000000002</v>
      </c>
    </row>
    <row r="144" spans="1:13" ht="12.75" customHeight="1" x14ac:dyDescent="0.2">
      <c r="A144" s="33">
        <v>42049</v>
      </c>
      <c r="B144" s="206" t="s">
        <v>4264</v>
      </c>
      <c r="C144" s="254" t="s">
        <v>5239</v>
      </c>
      <c r="D144" s="1">
        <v>1.5208333333333332E-2</v>
      </c>
      <c r="E144" t="s">
        <v>5883</v>
      </c>
      <c r="F144" s="69" t="s">
        <v>1269</v>
      </c>
      <c r="K144" s="82">
        <v>0.77470000000000006</v>
      </c>
    </row>
    <row r="145" spans="1:19" x14ac:dyDescent="0.2">
      <c r="A145" s="33">
        <v>42007</v>
      </c>
      <c r="B145" s="206" t="s">
        <v>4264</v>
      </c>
      <c r="C145" s="254" t="s">
        <v>5239</v>
      </c>
      <c r="D145" s="1">
        <v>1.5949074074074074E-2</v>
      </c>
      <c r="E145" t="s">
        <v>5198</v>
      </c>
      <c r="F145" s="42" t="s">
        <v>4885</v>
      </c>
      <c r="K145" s="82">
        <v>0.73880000000000001</v>
      </c>
    </row>
    <row r="146" spans="1:19" ht="12.75" customHeight="1" x14ac:dyDescent="0.2">
      <c r="A146" s="33">
        <v>42005</v>
      </c>
      <c r="B146" s="206" t="s">
        <v>4264</v>
      </c>
      <c r="C146" s="254" t="s">
        <v>5239</v>
      </c>
      <c r="D146" s="1">
        <v>1.6006944444444445E-2</v>
      </c>
      <c r="E146" t="s">
        <v>5947</v>
      </c>
      <c r="F146" s="69" t="s">
        <v>2653</v>
      </c>
      <c r="I146" s="6"/>
      <c r="J146" s="6"/>
      <c r="K146" s="82">
        <v>0.73609999999999998</v>
      </c>
    </row>
    <row r="147" spans="1:19" ht="12.75" customHeight="1" x14ac:dyDescent="0.2">
      <c r="A147" s="33">
        <v>42168</v>
      </c>
      <c r="B147" s="53" t="s">
        <v>1349</v>
      </c>
      <c r="C147" s="54" t="s">
        <v>5239</v>
      </c>
      <c r="D147" s="1">
        <v>1.6828703703703703E-2</v>
      </c>
      <c r="E147" t="s">
        <v>3806</v>
      </c>
      <c r="F147" s="69" t="s">
        <v>1493</v>
      </c>
      <c r="K147" s="82">
        <v>0.65510000000000002</v>
      </c>
    </row>
    <row r="148" spans="1:19" x14ac:dyDescent="0.2">
      <c r="A148" s="33">
        <v>42357</v>
      </c>
      <c r="B148" t="s">
        <v>435</v>
      </c>
      <c r="C148" s="1" t="s">
        <v>436</v>
      </c>
      <c r="D148" s="1">
        <v>2.2627314814814819E-2</v>
      </c>
      <c r="E148" t="s">
        <v>5095</v>
      </c>
      <c r="F148" s="69" t="s">
        <v>1237</v>
      </c>
      <c r="I148" s="2"/>
      <c r="K148" s="82">
        <v>0.56320000000000003</v>
      </c>
      <c r="S148" s="80"/>
    </row>
    <row r="149" spans="1:19" ht="12.75" customHeight="1" x14ac:dyDescent="0.2">
      <c r="A149" s="33">
        <v>42336</v>
      </c>
      <c r="B149" t="s">
        <v>435</v>
      </c>
      <c r="C149" s="1" t="s">
        <v>436</v>
      </c>
      <c r="D149" s="1">
        <v>2.2731481481481481E-2</v>
      </c>
      <c r="E149" t="s">
        <v>5653</v>
      </c>
      <c r="F149" s="69" t="s">
        <v>4589</v>
      </c>
      <c r="I149" s="2"/>
      <c r="K149" s="82">
        <v>0.56059999999999999</v>
      </c>
    </row>
    <row r="150" spans="1:19" ht="12.75" customHeight="1" x14ac:dyDescent="0.2">
      <c r="A150" s="33">
        <v>42315</v>
      </c>
      <c r="B150" t="s">
        <v>435</v>
      </c>
      <c r="C150" s="1" t="s">
        <v>436</v>
      </c>
      <c r="D150" s="1">
        <v>2.2025462962962958E-2</v>
      </c>
      <c r="E150" t="s">
        <v>1401</v>
      </c>
      <c r="F150" s="69" t="s">
        <v>1608</v>
      </c>
      <c r="I150" s="2"/>
      <c r="K150" s="82">
        <v>0.5786</v>
      </c>
    </row>
    <row r="151" spans="1:19" ht="12.75" customHeight="1" x14ac:dyDescent="0.2">
      <c r="A151" s="33">
        <v>42308</v>
      </c>
      <c r="B151" t="s">
        <v>435</v>
      </c>
      <c r="C151" s="1" t="s">
        <v>436</v>
      </c>
      <c r="D151" s="1">
        <v>2.2511574074074073E-2</v>
      </c>
      <c r="E151" t="s">
        <v>5095</v>
      </c>
      <c r="F151" s="69" t="s">
        <v>2951</v>
      </c>
      <c r="I151" s="2"/>
      <c r="K151" s="82">
        <v>0.56610000000000005</v>
      </c>
    </row>
    <row r="152" spans="1:19" ht="12.75" customHeight="1" x14ac:dyDescent="0.2">
      <c r="A152" s="33">
        <v>42280</v>
      </c>
      <c r="B152" t="s">
        <v>435</v>
      </c>
      <c r="C152" s="1" t="s">
        <v>436</v>
      </c>
      <c r="D152" s="1">
        <v>2.1446759259259259E-2</v>
      </c>
      <c r="E152" t="s">
        <v>5653</v>
      </c>
      <c r="F152" s="69"/>
      <c r="I152" s="2"/>
      <c r="K152" s="82">
        <v>0.59419999999999995</v>
      </c>
    </row>
    <row r="153" spans="1:19" ht="12.75" customHeight="1" x14ac:dyDescent="0.2">
      <c r="A153" s="33">
        <v>42273</v>
      </c>
      <c r="B153" t="s">
        <v>435</v>
      </c>
      <c r="C153" s="1" t="s">
        <v>436</v>
      </c>
      <c r="D153" s="1">
        <v>2.0879629629629626E-2</v>
      </c>
      <c r="E153" t="s">
        <v>5653</v>
      </c>
      <c r="F153" s="69" t="s">
        <v>3355</v>
      </c>
      <c r="I153" s="2"/>
      <c r="K153" s="82">
        <v>0.61029999999999995</v>
      </c>
    </row>
    <row r="154" spans="1:19" ht="12.75" customHeight="1" x14ac:dyDescent="0.2">
      <c r="A154" s="33">
        <v>42252</v>
      </c>
      <c r="B154" t="s">
        <v>435</v>
      </c>
      <c r="C154" s="1" t="s">
        <v>436</v>
      </c>
      <c r="D154" s="1">
        <v>2.146990740740741E-2</v>
      </c>
      <c r="E154" t="s">
        <v>4727</v>
      </c>
      <c r="F154" s="69" t="s">
        <v>1318</v>
      </c>
      <c r="K154" s="82">
        <v>0.59350000000000003</v>
      </c>
    </row>
    <row r="155" spans="1:19" ht="12.75" customHeight="1" x14ac:dyDescent="0.2">
      <c r="A155" s="33">
        <v>42245</v>
      </c>
      <c r="B155" t="s">
        <v>435</v>
      </c>
      <c r="C155" s="1" t="s">
        <v>436</v>
      </c>
      <c r="D155" s="1">
        <v>2.1111111111111108E-2</v>
      </c>
      <c r="E155" t="s">
        <v>5653</v>
      </c>
      <c r="F155" s="69" t="s">
        <v>4940</v>
      </c>
      <c r="K155" s="82">
        <v>0.60360000000000003</v>
      </c>
    </row>
    <row r="156" spans="1:19" ht="12.75" customHeight="1" x14ac:dyDescent="0.2">
      <c r="A156" s="33">
        <v>42238</v>
      </c>
      <c r="B156" t="s">
        <v>435</v>
      </c>
      <c r="C156" s="1" t="s">
        <v>436</v>
      </c>
      <c r="D156" s="1">
        <v>2.1817129629629631E-2</v>
      </c>
      <c r="E156" t="s">
        <v>3167</v>
      </c>
      <c r="F156" s="69" t="s">
        <v>945</v>
      </c>
      <c r="K156" s="82">
        <v>0.58409999999999995</v>
      </c>
    </row>
    <row r="157" spans="1:19" ht="12.75" customHeight="1" x14ac:dyDescent="0.2">
      <c r="A157" s="33">
        <v>42231</v>
      </c>
      <c r="B157" t="s">
        <v>435</v>
      </c>
      <c r="C157" s="1" t="s">
        <v>436</v>
      </c>
      <c r="D157" s="1">
        <v>2.1689814814814815E-2</v>
      </c>
      <c r="E157" t="s">
        <v>5095</v>
      </c>
      <c r="F157" s="69" t="s">
        <v>2200</v>
      </c>
      <c r="K157" s="82">
        <v>0.58750000000000002</v>
      </c>
    </row>
    <row r="158" spans="1:19" ht="12.75" customHeight="1" x14ac:dyDescent="0.2">
      <c r="A158" s="33">
        <v>42224</v>
      </c>
      <c r="B158" t="s">
        <v>435</v>
      </c>
      <c r="C158" s="1" t="s">
        <v>436</v>
      </c>
      <c r="D158" s="1">
        <v>2.179398148148148E-2</v>
      </c>
      <c r="E158" t="s">
        <v>5653</v>
      </c>
      <c r="F158" s="69" t="s">
        <v>1520</v>
      </c>
      <c r="K158" s="82">
        <v>0.5847</v>
      </c>
    </row>
    <row r="159" spans="1:19" ht="12.75" customHeight="1" x14ac:dyDescent="0.2">
      <c r="A159" s="33">
        <v>42217</v>
      </c>
      <c r="B159" t="s">
        <v>435</v>
      </c>
      <c r="C159" s="1" t="s">
        <v>436</v>
      </c>
      <c r="D159" s="1">
        <v>2.1585648148148145E-2</v>
      </c>
      <c r="E159" t="s">
        <v>5653</v>
      </c>
      <c r="F159" s="69" t="s">
        <v>4388</v>
      </c>
      <c r="K159" s="82">
        <v>0.59030000000000005</v>
      </c>
    </row>
    <row r="160" spans="1:19" ht="12.75" customHeight="1" x14ac:dyDescent="0.2">
      <c r="A160" s="33">
        <v>42182</v>
      </c>
      <c r="B160" t="s">
        <v>435</v>
      </c>
      <c r="C160" s="1" t="s">
        <v>436</v>
      </c>
      <c r="D160" s="1">
        <v>2.1157407407407406E-2</v>
      </c>
      <c r="E160" t="s">
        <v>5095</v>
      </c>
      <c r="F160" s="69"/>
      <c r="K160" s="82">
        <v>0.60229999999999995</v>
      </c>
    </row>
    <row r="161" spans="1:11" ht="12.75" customHeight="1" x14ac:dyDescent="0.2">
      <c r="A161" s="33">
        <v>42175</v>
      </c>
      <c r="B161" t="s">
        <v>435</v>
      </c>
      <c r="C161" s="1" t="s">
        <v>436</v>
      </c>
      <c r="D161" s="1">
        <v>2.1296296296296299E-2</v>
      </c>
      <c r="E161" t="s">
        <v>5095</v>
      </c>
      <c r="F161" s="69" t="s">
        <v>4612</v>
      </c>
      <c r="K161" s="82">
        <v>0.59840000000000004</v>
      </c>
    </row>
    <row r="162" spans="1:11" ht="12.75" customHeight="1" x14ac:dyDescent="0.2">
      <c r="A162" s="33">
        <v>42168</v>
      </c>
      <c r="B162" t="s">
        <v>435</v>
      </c>
      <c r="C162" s="1" t="s">
        <v>436</v>
      </c>
      <c r="D162" s="1">
        <v>2.1678240740740738E-2</v>
      </c>
      <c r="E162" t="s">
        <v>5653</v>
      </c>
      <c r="F162" s="69" t="s">
        <v>2772</v>
      </c>
      <c r="K162" s="82">
        <v>0.58779999999999999</v>
      </c>
    </row>
    <row r="163" spans="1:11" ht="12.75" customHeight="1" x14ac:dyDescent="0.2">
      <c r="A163" s="33">
        <v>42147</v>
      </c>
      <c r="B163" t="s">
        <v>435</v>
      </c>
      <c r="C163" s="1" t="s">
        <v>436</v>
      </c>
      <c r="D163" s="1">
        <v>2.1701388888888892E-2</v>
      </c>
      <c r="E163" t="s">
        <v>5653</v>
      </c>
      <c r="F163" s="69" t="s">
        <v>1537</v>
      </c>
      <c r="K163" s="82">
        <v>0.58720000000000006</v>
      </c>
    </row>
    <row r="164" spans="1:11" ht="12.75" customHeight="1" x14ac:dyDescent="0.2">
      <c r="A164" s="33">
        <v>42133</v>
      </c>
      <c r="B164" t="s">
        <v>435</v>
      </c>
      <c r="C164" s="1" t="s">
        <v>436</v>
      </c>
      <c r="D164" s="1">
        <v>2.0879629629629626E-2</v>
      </c>
      <c r="E164" t="s">
        <v>5095</v>
      </c>
      <c r="F164" s="69" t="s">
        <v>3004</v>
      </c>
      <c r="G164" s="6"/>
      <c r="H164" s="6"/>
      <c r="K164" s="82">
        <v>0.61029999999999995</v>
      </c>
    </row>
    <row r="165" spans="1:11" x14ac:dyDescent="0.2">
      <c r="A165" s="33">
        <v>42126</v>
      </c>
      <c r="B165" t="s">
        <v>435</v>
      </c>
      <c r="C165" s="1" t="s">
        <v>436</v>
      </c>
      <c r="D165" s="1">
        <v>2.1863425925925925E-2</v>
      </c>
      <c r="E165" t="s">
        <v>5653</v>
      </c>
      <c r="F165" s="69"/>
      <c r="I165" s="42"/>
      <c r="J165" s="42"/>
      <c r="K165" s="82">
        <v>0.57440000000000002</v>
      </c>
    </row>
    <row r="166" spans="1:11" ht="12.75" customHeight="1" x14ac:dyDescent="0.2">
      <c r="A166" s="33">
        <v>42105</v>
      </c>
      <c r="B166" t="s">
        <v>435</v>
      </c>
      <c r="C166" s="1" t="s">
        <v>436</v>
      </c>
      <c r="D166" s="1">
        <v>2.2800925925925929E-2</v>
      </c>
      <c r="E166" t="s">
        <v>5653</v>
      </c>
      <c r="F166" s="69"/>
      <c r="K166" s="82">
        <v>0.55079999999999996</v>
      </c>
    </row>
    <row r="167" spans="1:11" ht="12.75" customHeight="1" x14ac:dyDescent="0.2">
      <c r="A167" s="33">
        <v>42098</v>
      </c>
      <c r="B167" t="s">
        <v>435</v>
      </c>
      <c r="C167" s="1" t="s">
        <v>436</v>
      </c>
      <c r="D167" s="1">
        <v>2.1678240740740738E-2</v>
      </c>
      <c r="E167" t="s">
        <v>1401</v>
      </c>
      <c r="F167" s="69" t="s">
        <v>4277</v>
      </c>
      <c r="K167" s="82">
        <v>0.57930000000000004</v>
      </c>
    </row>
    <row r="168" spans="1:11" ht="12.75" customHeight="1" x14ac:dyDescent="0.2">
      <c r="A168" s="33">
        <v>42091</v>
      </c>
      <c r="B168" t="s">
        <v>435</v>
      </c>
      <c r="C168" s="1" t="s">
        <v>436</v>
      </c>
      <c r="D168" s="1">
        <v>2.1539351851851851E-2</v>
      </c>
      <c r="E168" t="s">
        <v>4727</v>
      </c>
      <c r="F168" s="42" t="s">
        <v>5731</v>
      </c>
      <c r="G168" s="6"/>
      <c r="H168" s="6"/>
      <c r="K168" s="82">
        <v>0.58299999999999996</v>
      </c>
    </row>
    <row r="169" spans="1:11" ht="12.75" customHeight="1" x14ac:dyDescent="0.2">
      <c r="A169" s="33">
        <v>42084</v>
      </c>
      <c r="B169" t="s">
        <v>435</v>
      </c>
      <c r="C169" s="1" t="s">
        <v>436</v>
      </c>
      <c r="D169" s="1">
        <v>2.0844907407407406E-2</v>
      </c>
      <c r="E169" t="s">
        <v>1401</v>
      </c>
      <c r="F169" s="42" t="s">
        <v>938</v>
      </c>
      <c r="G169" s="6"/>
      <c r="H169" s="6"/>
      <c r="K169" s="82">
        <v>0.60240000000000005</v>
      </c>
    </row>
    <row r="170" spans="1:11" x14ac:dyDescent="0.2">
      <c r="A170" s="33">
        <v>42077</v>
      </c>
      <c r="B170" t="s">
        <v>435</v>
      </c>
      <c r="C170" s="1" t="s">
        <v>436</v>
      </c>
      <c r="D170" s="1">
        <v>2.1261574074074075E-2</v>
      </c>
      <c r="E170" t="s">
        <v>5653</v>
      </c>
      <c r="F170" s="69" t="s">
        <v>251</v>
      </c>
      <c r="I170" s="42"/>
      <c r="J170" s="42"/>
      <c r="K170" s="82">
        <v>0.59060000000000001</v>
      </c>
    </row>
    <row r="171" spans="1:11" ht="12.75" customHeight="1" x14ac:dyDescent="0.2">
      <c r="A171" s="33">
        <v>42070</v>
      </c>
      <c r="B171" t="s">
        <v>435</v>
      </c>
      <c r="C171" s="1" t="s">
        <v>436</v>
      </c>
      <c r="D171" s="1">
        <v>2.0555555555555556E-2</v>
      </c>
      <c r="E171" t="s">
        <v>1401</v>
      </c>
      <c r="F171" s="69" t="s">
        <v>5162</v>
      </c>
      <c r="K171" s="82">
        <v>0.6109</v>
      </c>
    </row>
    <row r="172" spans="1:11" ht="12.75" customHeight="1" x14ac:dyDescent="0.2">
      <c r="A172" s="33">
        <v>42063</v>
      </c>
      <c r="B172" t="s">
        <v>435</v>
      </c>
      <c r="C172" s="1" t="s">
        <v>436</v>
      </c>
      <c r="D172" s="1">
        <v>2.0775462962962964E-2</v>
      </c>
      <c r="E172" t="s">
        <v>1401</v>
      </c>
      <c r="F172" s="42"/>
      <c r="K172" s="82">
        <v>0.60450000000000004</v>
      </c>
    </row>
    <row r="173" spans="1:11" ht="12.75" customHeight="1" x14ac:dyDescent="0.2">
      <c r="A173" s="33">
        <v>42056</v>
      </c>
      <c r="B173" t="s">
        <v>435</v>
      </c>
      <c r="C173" s="1" t="s">
        <v>436</v>
      </c>
      <c r="D173" s="1">
        <v>2.1921296296296296E-2</v>
      </c>
      <c r="E173" t="s">
        <v>5653</v>
      </c>
      <c r="F173" s="69" t="s">
        <v>3460</v>
      </c>
      <c r="I173" s="6"/>
      <c r="J173" s="6"/>
      <c r="K173" s="82">
        <v>0.57289999999999996</v>
      </c>
    </row>
    <row r="174" spans="1:11" x14ac:dyDescent="0.2">
      <c r="A174" s="33">
        <v>42042</v>
      </c>
      <c r="B174" t="s">
        <v>435</v>
      </c>
      <c r="C174" s="1" t="s">
        <v>436</v>
      </c>
      <c r="D174" s="1">
        <v>2.0798611111111111E-2</v>
      </c>
      <c r="E174" t="s">
        <v>5653</v>
      </c>
      <c r="F174" s="42" t="s">
        <v>5383</v>
      </c>
      <c r="K174" s="82">
        <v>0.6038</v>
      </c>
    </row>
    <row r="175" spans="1:11" ht="12.75" customHeight="1" x14ac:dyDescent="0.2">
      <c r="A175" s="33">
        <v>42028</v>
      </c>
      <c r="B175" t="s">
        <v>435</v>
      </c>
      <c r="C175" s="1" t="s">
        <v>436</v>
      </c>
      <c r="D175" s="1">
        <v>2.1238425925925924E-2</v>
      </c>
      <c r="E175" t="s">
        <v>5653</v>
      </c>
      <c r="F175" s="42"/>
      <c r="K175" s="82">
        <v>0.59130000000000005</v>
      </c>
    </row>
    <row r="176" spans="1:11" ht="12.75" customHeight="1" x14ac:dyDescent="0.2">
      <c r="A176" s="33">
        <v>42007</v>
      </c>
      <c r="B176" t="s">
        <v>435</v>
      </c>
      <c r="C176" s="1" t="s">
        <v>436</v>
      </c>
      <c r="D176" s="1">
        <v>2.1979166666666664E-2</v>
      </c>
      <c r="E176" t="s">
        <v>5653</v>
      </c>
      <c r="F176" s="42"/>
      <c r="G176" s="6"/>
      <c r="H176" s="6"/>
      <c r="K176" s="82">
        <v>0.57140000000000002</v>
      </c>
    </row>
    <row r="177" spans="1:11" x14ac:dyDescent="0.2">
      <c r="A177" s="33">
        <v>42105</v>
      </c>
      <c r="B177" t="s">
        <v>863</v>
      </c>
      <c r="C177" s="1" t="s">
        <v>2250</v>
      </c>
      <c r="D177" s="1">
        <v>1.6400462962962964E-2</v>
      </c>
      <c r="E177" t="s">
        <v>5453</v>
      </c>
      <c r="F177" s="69" t="s">
        <v>1815</v>
      </c>
      <c r="K177" s="82">
        <v>0.8024</v>
      </c>
    </row>
    <row r="178" spans="1:11" ht="12.75" customHeight="1" x14ac:dyDescent="0.2">
      <c r="A178" s="33">
        <v>42077</v>
      </c>
      <c r="B178" s="5" t="s">
        <v>863</v>
      </c>
      <c r="C178" s="32" t="s">
        <v>2250</v>
      </c>
      <c r="D178" s="32">
        <v>1.59375E-2</v>
      </c>
      <c r="E178" s="5" t="s">
        <v>5095</v>
      </c>
      <c r="F178" s="108" t="s">
        <v>1815</v>
      </c>
      <c r="I178" s="107"/>
      <c r="J178" s="107"/>
      <c r="K178" s="85">
        <v>0.82569999999999999</v>
      </c>
    </row>
    <row r="179" spans="1:11" ht="12.75" customHeight="1" x14ac:dyDescent="0.2">
      <c r="A179" s="33">
        <v>42028</v>
      </c>
      <c r="B179" t="s">
        <v>863</v>
      </c>
      <c r="C179" s="1" t="s">
        <v>2250</v>
      </c>
      <c r="D179" s="1">
        <v>1.6203703703703703E-2</v>
      </c>
      <c r="E179" t="s">
        <v>2147</v>
      </c>
      <c r="F179" s="42"/>
      <c r="G179" s="6"/>
      <c r="H179" s="6"/>
      <c r="K179" s="82">
        <v>0.81210000000000004</v>
      </c>
    </row>
    <row r="180" spans="1:11" ht="12.75" customHeight="1" x14ac:dyDescent="0.2">
      <c r="A180" s="33">
        <v>42357</v>
      </c>
      <c r="B180" s="53" t="s">
        <v>3182</v>
      </c>
      <c r="C180" s="54" t="s">
        <v>3183</v>
      </c>
      <c r="D180" s="1">
        <v>1.4710648148148148E-2</v>
      </c>
      <c r="E180" t="s">
        <v>998</v>
      </c>
      <c r="F180" s="69" t="s">
        <v>1485</v>
      </c>
      <c r="H180" s="6"/>
      <c r="K180" s="82">
        <v>0.72540000000000004</v>
      </c>
    </row>
    <row r="181" spans="1:11" x14ac:dyDescent="0.2">
      <c r="A181" s="33">
        <v>42350</v>
      </c>
      <c r="B181" s="53" t="s">
        <v>3182</v>
      </c>
      <c r="C181" s="54" t="s">
        <v>3183</v>
      </c>
      <c r="D181" s="1" t="s">
        <v>787</v>
      </c>
      <c r="E181" t="s">
        <v>998</v>
      </c>
      <c r="F181" s="69" t="s">
        <v>2052</v>
      </c>
      <c r="I181" s="2"/>
      <c r="K181" s="82"/>
    </row>
    <row r="182" spans="1:11" ht="12.75" customHeight="1" x14ac:dyDescent="0.2">
      <c r="A182" s="33">
        <v>42315</v>
      </c>
      <c r="B182" s="53" t="s">
        <v>3182</v>
      </c>
      <c r="C182" s="54" t="s">
        <v>3183</v>
      </c>
      <c r="D182" s="1">
        <v>1.4884259259259259E-2</v>
      </c>
      <c r="E182" t="s">
        <v>998</v>
      </c>
      <c r="F182" s="69" t="s">
        <v>3190</v>
      </c>
      <c r="I182" s="2"/>
      <c r="K182" s="82">
        <v>0.71699999999999997</v>
      </c>
    </row>
    <row r="183" spans="1:11" ht="12.75" customHeight="1" x14ac:dyDescent="0.2">
      <c r="A183" s="33">
        <v>42287</v>
      </c>
      <c r="B183" s="53" t="s">
        <v>3182</v>
      </c>
      <c r="C183" s="54" t="s">
        <v>3183</v>
      </c>
      <c r="D183" s="1">
        <v>1.4004629629629631E-2</v>
      </c>
      <c r="E183" s="5" t="s">
        <v>998</v>
      </c>
      <c r="F183" s="69" t="s">
        <v>3145</v>
      </c>
      <c r="I183" s="2"/>
      <c r="K183" s="82">
        <v>0.76200000000000001</v>
      </c>
    </row>
    <row r="184" spans="1:11" ht="12.75" customHeight="1" x14ac:dyDescent="0.2">
      <c r="A184" s="33">
        <v>42231</v>
      </c>
      <c r="B184" s="53" t="s">
        <v>3182</v>
      </c>
      <c r="C184" s="54" t="s">
        <v>3183</v>
      </c>
      <c r="D184" s="1">
        <v>1.4189814814814815E-2</v>
      </c>
      <c r="E184" t="s">
        <v>5544</v>
      </c>
      <c r="F184" s="69" t="s">
        <v>5450</v>
      </c>
      <c r="K184" s="82">
        <v>0.752</v>
      </c>
    </row>
    <row r="185" spans="1:11" ht="12.75" customHeight="1" x14ac:dyDescent="0.2">
      <c r="A185" s="33">
        <v>42210</v>
      </c>
      <c r="B185" s="53" t="s">
        <v>3182</v>
      </c>
      <c r="C185" s="54" t="s">
        <v>3183</v>
      </c>
      <c r="D185" s="1">
        <v>1.40625E-2</v>
      </c>
      <c r="E185" t="s">
        <v>5544</v>
      </c>
      <c r="F185" s="69" t="s">
        <v>1587</v>
      </c>
      <c r="K185" s="82">
        <v>0.75880000000000003</v>
      </c>
    </row>
    <row r="186" spans="1:11" ht="12.75" customHeight="1" x14ac:dyDescent="0.2">
      <c r="A186" s="33">
        <v>42161</v>
      </c>
      <c r="B186" s="53" t="s">
        <v>3182</v>
      </c>
      <c r="C186" s="54" t="s">
        <v>3183</v>
      </c>
      <c r="D186" s="1">
        <v>1.3680555555555555E-2</v>
      </c>
      <c r="E186" t="s">
        <v>5544</v>
      </c>
      <c r="F186" s="69" t="s">
        <v>5695</v>
      </c>
      <c r="K186" s="82">
        <v>0.78</v>
      </c>
    </row>
    <row r="187" spans="1:11" x14ac:dyDescent="0.2">
      <c r="A187" s="33">
        <v>42154</v>
      </c>
      <c r="B187" s="53" t="s">
        <v>3182</v>
      </c>
      <c r="C187" s="54" t="s">
        <v>3183</v>
      </c>
      <c r="D187" s="1">
        <v>1.3587962962962963E-2</v>
      </c>
      <c r="E187" t="s">
        <v>5544</v>
      </c>
      <c r="F187" s="69"/>
      <c r="K187" s="82">
        <v>0.7853</v>
      </c>
    </row>
    <row r="188" spans="1:11" ht="12.75" customHeight="1" x14ac:dyDescent="0.2">
      <c r="A188" s="33">
        <v>42147</v>
      </c>
      <c r="B188" s="53" t="s">
        <v>3182</v>
      </c>
      <c r="C188" s="54" t="s">
        <v>3183</v>
      </c>
      <c r="D188" s="1">
        <v>1.3865740740740739E-2</v>
      </c>
      <c r="E188" t="s">
        <v>5544</v>
      </c>
      <c r="F188" s="69" t="s">
        <v>2200</v>
      </c>
      <c r="K188" s="82">
        <v>0.76959999999999995</v>
      </c>
    </row>
    <row r="189" spans="1:11" ht="12.75" customHeight="1" x14ac:dyDescent="0.2">
      <c r="A189" s="33">
        <v>42133</v>
      </c>
      <c r="B189" s="53" t="s">
        <v>3182</v>
      </c>
      <c r="C189" s="54" t="s">
        <v>3183</v>
      </c>
      <c r="D189" s="1">
        <v>1.3935185185185184E-2</v>
      </c>
      <c r="E189" t="s">
        <v>5544</v>
      </c>
      <c r="F189" s="69" t="s">
        <v>4388</v>
      </c>
      <c r="K189" s="82">
        <v>0.7591</v>
      </c>
    </row>
    <row r="190" spans="1:11" ht="12.75" customHeight="1" x14ac:dyDescent="0.2">
      <c r="A190" s="33">
        <v>42119</v>
      </c>
      <c r="B190" t="s">
        <v>3182</v>
      </c>
      <c r="C190" s="1" t="s">
        <v>3183</v>
      </c>
      <c r="D190" s="1">
        <v>1.4305555555555557E-2</v>
      </c>
      <c r="E190" t="s">
        <v>2818</v>
      </c>
      <c r="F190" s="69" t="s">
        <v>3278</v>
      </c>
      <c r="K190" s="82">
        <v>0.73950000000000005</v>
      </c>
    </row>
    <row r="191" spans="1:11" ht="12.75" customHeight="1" x14ac:dyDescent="0.2">
      <c r="A191" s="34">
        <v>42112</v>
      </c>
      <c r="B191" s="53" t="s">
        <v>3182</v>
      </c>
      <c r="C191" s="83" t="s">
        <v>3183</v>
      </c>
      <c r="D191" s="1">
        <v>1.4074074074074074E-2</v>
      </c>
      <c r="E191" t="s">
        <v>2818</v>
      </c>
      <c r="F191" s="69" t="s">
        <v>4612</v>
      </c>
      <c r="K191" s="82">
        <v>0.75159999999999993</v>
      </c>
    </row>
    <row r="192" spans="1:11" ht="12.75" customHeight="1" x14ac:dyDescent="0.2">
      <c r="A192" s="33">
        <v>42105</v>
      </c>
      <c r="B192" s="53" t="s">
        <v>3182</v>
      </c>
      <c r="C192" s="54" t="s">
        <v>3183</v>
      </c>
      <c r="D192" s="1">
        <v>1.4606481481481482E-2</v>
      </c>
      <c r="E192" t="s">
        <v>2818</v>
      </c>
      <c r="F192" s="69" t="s">
        <v>2976</v>
      </c>
      <c r="G192" s="42"/>
      <c r="H192" s="42"/>
      <c r="K192" s="82">
        <v>0.72419999999999995</v>
      </c>
    </row>
    <row r="193" spans="1:19" ht="12.75" customHeight="1" x14ac:dyDescent="0.2">
      <c r="A193" s="33">
        <v>42070</v>
      </c>
      <c r="B193" s="53" t="s">
        <v>3182</v>
      </c>
      <c r="C193" s="54" t="s">
        <v>3183</v>
      </c>
      <c r="D193" s="1">
        <v>1.4687499999999999E-2</v>
      </c>
      <c r="E193" t="s">
        <v>2818</v>
      </c>
      <c r="F193" s="69" t="s">
        <v>1537</v>
      </c>
      <c r="K193" s="82">
        <v>0.72030000000000005</v>
      </c>
    </row>
    <row r="194" spans="1:19" ht="12.75" customHeight="1" x14ac:dyDescent="0.2">
      <c r="A194" s="33">
        <v>42315</v>
      </c>
      <c r="B194" s="53" t="s">
        <v>3843</v>
      </c>
      <c r="C194" s="54" t="s">
        <v>3183</v>
      </c>
      <c r="D194" s="1">
        <v>1.8530092592592595E-2</v>
      </c>
      <c r="E194" t="s">
        <v>998</v>
      </c>
      <c r="F194" s="69" t="s">
        <v>5504</v>
      </c>
      <c r="I194" s="2"/>
      <c r="K194" s="82">
        <v>0.64400000000000002</v>
      </c>
    </row>
    <row r="195" spans="1:19" ht="12.75" customHeight="1" x14ac:dyDescent="0.2">
      <c r="A195" s="33">
        <v>42287</v>
      </c>
      <c r="B195" s="53" t="s">
        <v>3843</v>
      </c>
      <c r="C195" s="54" t="s">
        <v>3183</v>
      </c>
      <c r="D195" s="1">
        <v>1.7754629629629631E-2</v>
      </c>
      <c r="E195" s="5" t="s">
        <v>998</v>
      </c>
      <c r="F195" s="69" t="s">
        <v>2629</v>
      </c>
      <c r="I195" s="2"/>
      <c r="K195" s="82">
        <v>0.67210000000000003</v>
      </c>
    </row>
    <row r="196" spans="1:19" x14ac:dyDescent="0.2">
      <c r="A196" s="33">
        <v>42231</v>
      </c>
      <c r="B196" s="53" t="s">
        <v>3843</v>
      </c>
      <c r="C196" s="54" t="s">
        <v>3183</v>
      </c>
      <c r="D196" s="1">
        <v>1.8275462962962962E-2</v>
      </c>
      <c r="E196" t="s">
        <v>5544</v>
      </c>
      <c r="F196" s="69"/>
      <c r="K196" s="82">
        <v>0.65290000000000004</v>
      </c>
    </row>
    <row r="197" spans="1:19" x14ac:dyDescent="0.2">
      <c r="A197" s="33">
        <v>42210</v>
      </c>
      <c r="B197" s="53" t="s">
        <v>3843</v>
      </c>
      <c r="C197" s="54" t="s">
        <v>3183</v>
      </c>
      <c r="D197" s="1">
        <v>1.818287037037037E-2</v>
      </c>
      <c r="E197" t="s">
        <v>5544</v>
      </c>
      <c r="F197" s="69"/>
      <c r="K197" s="82">
        <v>0.64800000000000002</v>
      </c>
    </row>
    <row r="198" spans="1:19" x14ac:dyDescent="0.2">
      <c r="A198" s="33">
        <v>42175</v>
      </c>
      <c r="B198" s="53" t="s">
        <v>3843</v>
      </c>
      <c r="C198" s="54" t="s">
        <v>3183</v>
      </c>
      <c r="D198" s="1">
        <v>1.8391203703703705E-2</v>
      </c>
      <c r="E198" t="s">
        <v>5544</v>
      </c>
      <c r="F198" s="69" t="s">
        <v>3077</v>
      </c>
      <c r="K198" s="82">
        <v>0.64070000000000005</v>
      </c>
    </row>
    <row r="199" spans="1:19" ht="12.75" customHeight="1" x14ac:dyDescent="0.2">
      <c r="A199" s="33">
        <v>42161</v>
      </c>
      <c r="B199" s="53" t="s">
        <v>3843</v>
      </c>
      <c r="C199" s="54" t="s">
        <v>3183</v>
      </c>
      <c r="D199" s="1">
        <v>1.8043981481481484E-2</v>
      </c>
      <c r="E199" t="s">
        <v>5544</v>
      </c>
      <c r="F199" s="69"/>
      <c r="K199" s="82">
        <v>0.65300000000000002</v>
      </c>
    </row>
    <row r="200" spans="1:19" ht="12.75" customHeight="1" x14ac:dyDescent="0.2">
      <c r="A200" s="33">
        <v>42154</v>
      </c>
      <c r="B200" s="53" t="s">
        <v>3843</v>
      </c>
      <c r="C200" s="54" t="s">
        <v>3183</v>
      </c>
      <c r="D200" s="1">
        <v>1.7500000000000002E-2</v>
      </c>
      <c r="E200" t="s">
        <v>5544</v>
      </c>
      <c r="F200" s="69" t="s">
        <v>635</v>
      </c>
      <c r="K200" s="82">
        <v>0.67330000000000001</v>
      </c>
    </row>
    <row r="201" spans="1:19" ht="12.75" customHeight="1" x14ac:dyDescent="0.2">
      <c r="A201" s="33">
        <v>42147</v>
      </c>
      <c r="B201" s="53" t="s">
        <v>3843</v>
      </c>
      <c r="C201" s="54" t="s">
        <v>3183</v>
      </c>
      <c r="D201" s="32">
        <v>1.7708333333333333E-2</v>
      </c>
      <c r="E201" s="5" t="s">
        <v>5544</v>
      </c>
      <c r="F201" s="108" t="s">
        <v>1164</v>
      </c>
      <c r="G201" s="42"/>
      <c r="H201" s="42"/>
      <c r="K201" s="82">
        <v>0.66539999999999999</v>
      </c>
    </row>
    <row r="202" spans="1:19" ht="12.75" customHeight="1" x14ac:dyDescent="0.2">
      <c r="A202" s="33">
        <v>42133</v>
      </c>
      <c r="B202" s="53" t="s">
        <v>3843</v>
      </c>
      <c r="C202" s="54" t="s">
        <v>3183</v>
      </c>
      <c r="D202" s="1">
        <v>1.8368055555555554E-2</v>
      </c>
      <c r="E202" t="s">
        <v>5544</v>
      </c>
      <c r="F202" s="69" t="s">
        <v>2104</v>
      </c>
      <c r="K202" s="82">
        <v>0.64149999999999996</v>
      </c>
    </row>
    <row r="203" spans="1:19" x14ac:dyDescent="0.2">
      <c r="A203" s="33">
        <v>42364</v>
      </c>
      <c r="B203" s="206" t="s">
        <v>4269</v>
      </c>
      <c r="C203" s="254" t="s">
        <v>4270</v>
      </c>
      <c r="D203" s="1">
        <v>1.5208333333333332E-2</v>
      </c>
      <c r="E203" t="s">
        <v>129</v>
      </c>
      <c r="F203" s="69"/>
      <c r="I203" s="2"/>
      <c r="K203" s="82">
        <v>0.61870000000000003</v>
      </c>
    </row>
    <row r="204" spans="1:19" x14ac:dyDescent="0.2">
      <c r="A204" s="33">
        <v>42357</v>
      </c>
      <c r="B204" s="206" t="s">
        <v>4269</v>
      </c>
      <c r="C204" s="254" t="s">
        <v>4270</v>
      </c>
      <c r="D204" s="1">
        <v>1.5081018518518516E-2</v>
      </c>
      <c r="E204" t="s">
        <v>129</v>
      </c>
      <c r="F204" s="69" t="s">
        <v>3166</v>
      </c>
      <c r="I204" s="2"/>
      <c r="K204" s="82">
        <v>0.62390000000000001</v>
      </c>
      <c r="S204" s="80"/>
    </row>
    <row r="205" spans="1:19" x14ac:dyDescent="0.2">
      <c r="A205" s="33">
        <v>42350</v>
      </c>
      <c r="B205" s="206" t="s">
        <v>4269</v>
      </c>
      <c r="C205" s="254" t="s">
        <v>4270</v>
      </c>
      <c r="D205" s="1">
        <v>2.2060185185185183E-2</v>
      </c>
      <c r="E205" t="s">
        <v>129</v>
      </c>
      <c r="F205" s="69" t="s">
        <v>1594</v>
      </c>
      <c r="I205" s="2"/>
      <c r="K205" s="82">
        <v>0.42649999999999999</v>
      </c>
    </row>
    <row r="206" spans="1:19" ht="12.75" customHeight="1" x14ac:dyDescent="0.2">
      <c r="A206" s="34">
        <v>42329</v>
      </c>
      <c r="B206" s="206" t="s">
        <v>4269</v>
      </c>
      <c r="C206" s="254" t="s">
        <v>4270</v>
      </c>
      <c r="D206" s="1">
        <v>1.5300925925925926E-2</v>
      </c>
      <c r="E206" t="s">
        <v>129</v>
      </c>
      <c r="F206" s="69" t="s">
        <v>4947</v>
      </c>
      <c r="I206" s="2"/>
      <c r="K206" s="82">
        <v>0.61499999999999999</v>
      </c>
    </row>
    <row r="207" spans="1:19" ht="12.75" customHeight="1" x14ac:dyDescent="0.2">
      <c r="A207" s="33">
        <v>42322</v>
      </c>
      <c r="B207" s="206" t="s">
        <v>4269</v>
      </c>
      <c r="C207" s="254" t="s">
        <v>4270</v>
      </c>
      <c r="D207" s="1">
        <v>1.5162037037037036E-2</v>
      </c>
      <c r="E207" t="s">
        <v>129</v>
      </c>
      <c r="F207" s="69" t="s">
        <v>3974</v>
      </c>
      <c r="I207" s="2"/>
      <c r="K207" s="82">
        <v>0.62060000000000004</v>
      </c>
    </row>
    <row r="208" spans="1:19" ht="12.75" customHeight="1" x14ac:dyDescent="0.2">
      <c r="A208" s="33">
        <v>42315</v>
      </c>
      <c r="B208" s="206" t="s">
        <v>4269</v>
      </c>
      <c r="C208" s="254" t="s">
        <v>4270</v>
      </c>
      <c r="D208" s="1">
        <v>1.5335648148148147E-2</v>
      </c>
      <c r="E208" t="s">
        <v>129</v>
      </c>
      <c r="F208" s="69" t="s">
        <v>5615</v>
      </c>
      <c r="I208" s="2"/>
      <c r="K208" s="82">
        <v>0.61360000000000003</v>
      </c>
    </row>
    <row r="209" spans="1:11" ht="12.75" customHeight="1" x14ac:dyDescent="0.2">
      <c r="A209" s="33">
        <v>42308</v>
      </c>
      <c r="B209" s="206" t="s">
        <v>4269</v>
      </c>
      <c r="C209" s="254" t="s">
        <v>4270</v>
      </c>
      <c r="D209" s="1">
        <v>1.5057870370370369E-2</v>
      </c>
      <c r="E209" t="s">
        <v>129</v>
      </c>
      <c r="F209" s="69" t="s">
        <v>2953</v>
      </c>
      <c r="I209" s="2"/>
      <c r="K209" s="82">
        <v>0.62490000000000001</v>
      </c>
    </row>
    <row r="210" spans="1:11" ht="12.75" customHeight="1" x14ac:dyDescent="0.2">
      <c r="A210" s="33">
        <v>42301</v>
      </c>
      <c r="B210" s="206" t="s">
        <v>4269</v>
      </c>
      <c r="C210" s="254" t="s">
        <v>4270</v>
      </c>
      <c r="D210" s="1">
        <v>1.5046296296296295E-2</v>
      </c>
      <c r="E210" t="s">
        <v>129</v>
      </c>
      <c r="F210" s="69" t="s">
        <v>5503</v>
      </c>
      <c r="I210" s="2"/>
      <c r="K210" s="82">
        <v>0.62539999999999996</v>
      </c>
    </row>
    <row r="211" spans="1:11" ht="12.75" customHeight="1" x14ac:dyDescent="0.2">
      <c r="A211" s="33">
        <v>42294</v>
      </c>
      <c r="B211" s="206" t="s">
        <v>4269</v>
      </c>
      <c r="C211" s="254" t="s">
        <v>4270</v>
      </c>
      <c r="D211" s="1">
        <v>1.4780092592592595E-2</v>
      </c>
      <c r="E211" t="s">
        <v>129</v>
      </c>
      <c r="F211" s="69" t="s">
        <v>2740</v>
      </c>
      <c r="I211" s="2"/>
      <c r="K211" s="82">
        <v>0.62680000000000002</v>
      </c>
    </row>
    <row r="212" spans="1:11" ht="12.75" customHeight="1" x14ac:dyDescent="0.2">
      <c r="A212" s="33">
        <v>42224</v>
      </c>
      <c r="B212" s="206" t="s">
        <v>4269</v>
      </c>
      <c r="C212" s="254" t="s">
        <v>4270</v>
      </c>
      <c r="D212" s="1">
        <v>1.5138888888888889E-2</v>
      </c>
      <c r="E212" t="s">
        <v>129</v>
      </c>
      <c r="F212" s="69" t="s">
        <v>1190</v>
      </c>
      <c r="K212" s="82">
        <v>0.61699999999999999</v>
      </c>
    </row>
    <row r="213" spans="1:11" ht="12.75" customHeight="1" x14ac:dyDescent="0.2">
      <c r="A213" s="33">
        <v>42203</v>
      </c>
      <c r="B213" s="206" t="s">
        <v>4269</v>
      </c>
      <c r="C213" s="254" t="s">
        <v>4270</v>
      </c>
      <c r="D213" s="1">
        <v>1.5914351851851853E-2</v>
      </c>
      <c r="E213" t="s">
        <v>129</v>
      </c>
      <c r="F213" s="69" t="s">
        <v>1053</v>
      </c>
      <c r="K213" s="82">
        <v>0.62409999999999999</v>
      </c>
    </row>
    <row r="214" spans="1:11" ht="12.75" customHeight="1" x14ac:dyDescent="0.2">
      <c r="A214" s="33">
        <v>42182</v>
      </c>
      <c r="B214" s="206" t="s">
        <v>4269</v>
      </c>
      <c r="C214" s="254" t="s">
        <v>4270</v>
      </c>
      <c r="D214" s="1">
        <v>1.5381944444444443E-2</v>
      </c>
      <c r="E214" t="s">
        <v>129</v>
      </c>
      <c r="F214" s="69" t="s">
        <v>1098</v>
      </c>
      <c r="K214" s="82">
        <v>0.60719999999999996</v>
      </c>
    </row>
    <row r="215" spans="1:11" x14ac:dyDescent="0.2">
      <c r="A215" s="33">
        <v>42175</v>
      </c>
      <c r="B215" s="206" t="s">
        <v>4269</v>
      </c>
      <c r="C215" s="254" t="s">
        <v>4270</v>
      </c>
      <c r="D215" s="1">
        <v>1.5219907407407409E-2</v>
      </c>
      <c r="E215" t="s">
        <v>129</v>
      </c>
      <c r="F215" s="69" t="s">
        <v>5622</v>
      </c>
      <c r="G215" s="6"/>
      <c r="H215" s="6"/>
      <c r="K215" s="82">
        <v>0.61370000000000002</v>
      </c>
    </row>
    <row r="216" spans="1:11" ht="12.75" customHeight="1" x14ac:dyDescent="0.2">
      <c r="A216" s="33">
        <v>42154</v>
      </c>
      <c r="B216" s="206" t="s">
        <v>4269</v>
      </c>
      <c r="C216" s="254" t="s">
        <v>4270</v>
      </c>
      <c r="D216" s="1">
        <v>1.494212962962963E-2</v>
      </c>
      <c r="E216" t="s">
        <v>129</v>
      </c>
      <c r="F216" s="69" t="s">
        <v>5372</v>
      </c>
      <c r="K216" s="82">
        <v>0.62509999999999999</v>
      </c>
    </row>
    <row r="217" spans="1:11" ht="12.75" customHeight="1" x14ac:dyDescent="0.2">
      <c r="A217" s="33">
        <v>42147</v>
      </c>
      <c r="B217" s="206" t="s">
        <v>4269</v>
      </c>
      <c r="C217" s="254" t="s">
        <v>4270</v>
      </c>
      <c r="D217" s="1">
        <v>1.96875E-2</v>
      </c>
      <c r="E217" t="s">
        <v>6021</v>
      </c>
      <c r="F217" s="69" t="s">
        <v>1993</v>
      </c>
      <c r="K217" s="82">
        <v>0.47439999999999999</v>
      </c>
    </row>
    <row r="218" spans="1:11" ht="12.75" customHeight="1" x14ac:dyDescent="0.2">
      <c r="A218" s="33">
        <v>42133</v>
      </c>
      <c r="B218" s="206" t="s">
        <v>4269</v>
      </c>
      <c r="C218" s="254" t="s">
        <v>4270</v>
      </c>
      <c r="D218" s="1">
        <v>1.4999999999999999E-2</v>
      </c>
      <c r="E218" t="s">
        <v>129</v>
      </c>
      <c r="F218" s="69" t="s">
        <v>1931</v>
      </c>
      <c r="K218" s="82">
        <v>0.62270000000000003</v>
      </c>
    </row>
    <row r="219" spans="1:11" ht="12.75" customHeight="1" x14ac:dyDescent="0.2">
      <c r="A219" s="33">
        <v>42126</v>
      </c>
      <c r="B219" s="206" t="s">
        <v>4269</v>
      </c>
      <c r="C219" s="254" t="s">
        <v>4270</v>
      </c>
      <c r="D219" s="1">
        <v>1.4999999999999999E-2</v>
      </c>
      <c r="E219" t="s">
        <v>129</v>
      </c>
      <c r="F219" s="69"/>
      <c r="I219" s="42"/>
      <c r="J219" s="42"/>
      <c r="K219" s="82">
        <v>0.62270000000000003</v>
      </c>
    </row>
    <row r="220" spans="1:11" ht="12.75" customHeight="1" x14ac:dyDescent="0.2">
      <c r="A220" s="33">
        <v>42119</v>
      </c>
      <c r="B220" s="206" t="s">
        <v>4269</v>
      </c>
      <c r="C220" s="254" t="s">
        <v>4270</v>
      </c>
      <c r="D220" s="1">
        <v>1.4976851851851852E-2</v>
      </c>
      <c r="E220" t="s">
        <v>129</v>
      </c>
      <c r="F220" s="69" t="s">
        <v>2086</v>
      </c>
      <c r="G220" s="107"/>
      <c r="H220" s="107"/>
      <c r="K220" s="82">
        <v>0.62360000000000004</v>
      </c>
    </row>
    <row r="221" spans="1:11" ht="12.75" customHeight="1" x14ac:dyDescent="0.2">
      <c r="A221" s="33">
        <v>42112</v>
      </c>
      <c r="B221" s="206" t="s">
        <v>4269</v>
      </c>
      <c r="C221" s="254" t="s">
        <v>4270</v>
      </c>
      <c r="D221" s="32">
        <v>1.6030092592592592E-2</v>
      </c>
      <c r="E221" s="5" t="s">
        <v>129</v>
      </c>
      <c r="F221" s="108" t="s">
        <v>3709</v>
      </c>
      <c r="K221" s="82">
        <v>0.5827</v>
      </c>
    </row>
    <row r="222" spans="1:11" ht="12.75" customHeight="1" x14ac:dyDescent="0.2">
      <c r="A222" s="33">
        <v>42098</v>
      </c>
      <c r="B222" s="206" t="s">
        <v>4269</v>
      </c>
      <c r="C222" s="254" t="s">
        <v>4270</v>
      </c>
      <c r="D222" s="1">
        <v>1.7025462962962961E-2</v>
      </c>
      <c r="E222" t="s">
        <v>129</v>
      </c>
      <c r="F222" s="108" t="s">
        <v>1485</v>
      </c>
      <c r="K222" s="82">
        <v>0.54859999999999998</v>
      </c>
    </row>
    <row r="223" spans="1:11" ht="12.75" customHeight="1" x14ac:dyDescent="0.2">
      <c r="A223" s="33">
        <v>42091</v>
      </c>
      <c r="B223" s="206" t="s">
        <v>4269</v>
      </c>
      <c r="C223" s="254" t="s">
        <v>4270</v>
      </c>
      <c r="D223" s="1">
        <v>1.5185185185185185E-2</v>
      </c>
      <c r="E223" t="s">
        <v>129</v>
      </c>
      <c r="F223" s="42" t="s">
        <v>3190</v>
      </c>
      <c r="K223" s="82">
        <v>0.61509999999999998</v>
      </c>
    </row>
    <row r="224" spans="1:11" ht="12.75" customHeight="1" x14ac:dyDescent="0.2">
      <c r="A224" s="33">
        <v>42084</v>
      </c>
      <c r="B224" s="206" t="s">
        <v>4269</v>
      </c>
      <c r="C224" s="254" t="s">
        <v>4270</v>
      </c>
      <c r="D224" s="1">
        <v>1.5173611111111112E-2</v>
      </c>
      <c r="E224" t="s">
        <v>129</v>
      </c>
      <c r="F224" s="42" t="s">
        <v>4588</v>
      </c>
      <c r="K224" s="82">
        <v>0.61560000000000004</v>
      </c>
    </row>
    <row r="225" spans="1:19" ht="12.75" customHeight="1" x14ac:dyDescent="0.2">
      <c r="A225" s="33">
        <v>42070</v>
      </c>
      <c r="B225" s="206" t="s">
        <v>4269</v>
      </c>
      <c r="C225" s="254" t="s">
        <v>4270</v>
      </c>
      <c r="D225" s="1">
        <v>1.7372685185185185E-2</v>
      </c>
      <c r="E225" t="s">
        <v>129</v>
      </c>
      <c r="F225" s="69" t="s">
        <v>5919</v>
      </c>
      <c r="K225" s="82">
        <v>0.53759999999999997</v>
      </c>
    </row>
    <row r="226" spans="1:19" x14ac:dyDescent="0.2">
      <c r="A226" s="33">
        <v>42049</v>
      </c>
      <c r="B226" s="206" t="s">
        <v>4269</v>
      </c>
      <c r="C226" s="254" t="s">
        <v>4270</v>
      </c>
      <c r="D226" s="1">
        <v>1.7233796296296296E-2</v>
      </c>
      <c r="E226" t="s">
        <v>2521</v>
      </c>
      <c r="F226" s="69" t="s">
        <v>915</v>
      </c>
      <c r="K226" s="82">
        <v>0.54200000000000004</v>
      </c>
    </row>
    <row r="227" spans="1:19" x14ac:dyDescent="0.2">
      <c r="A227" s="33">
        <v>42028</v>
      </c>
      <c r="B227" s="206" t="s">
        <v>4269</v>
      </c>
      <c r="C227" s="254" t="s">
        <v>4270</v>
      </c>
      <c r="D227" s="1">
        <v>1.8738425925925926E-2</v>
      </c>
      <c r="E227" t="s">
        <v>5885</v>
      </c>
      <c r="F227" s="42"/>
      <c r="K227" s="82">
        <v>0.4985</v>
      </c>
    </row>
    <row r="228" spans="1:19" ht="12.75" customHeight="1" x14ac:dyDescent="0.2">
      <c r="A228" s="33">
        <v>42021</v>
      </c>
      <c r="B228" s="206" t="s">
        <v>4269</v>
      </c>
      <c r="C228" s="254" t="s">
        <v>4270</v>
      </c>
      <c r="D228" s="1">
        <v>1.5335648148148147E-2</v>
      </c>
      <c r="E228" t="s">
        <v>129</v>
      </c>
      <c r="F228" s="42" t="s">
        <v>1608</v>
      </c>
      <c r="K228" s="82">
        <v>0.60909999999999997</v>
      </c>
    </row>
    <row r="229" spans="1:19" ht="12.75" customHeight="1" x14ac:dyDescent="0.2">
      <c r="A229" s="33">
        <v>42014</v>
      </c>
      <c r="B229" s="206" t="s">
        <v>4269</v>
      </c>
      <c r="C229" s="254" t="s">
        <v>4270</v>
      </c>
      <c r="D229" s="1">
        <v>1.5509259259259257E-2</v>
      </c>
      <c r="E229" t="s">
        <v>129</v>
      </c>
      <c r="F229" s="42"/>
      <c r="K229" s="82">
        <v>0.60219999999999996</v>
      </c>
    </row>
    <row r="230" spans="1:19" ht="12.75" customHeight="1" x14ac:dyDescent="0.2">
      <c r="A230" s="33">
        <v>42007</v>
      </c>
      <c r="B230" s="206" t="s">
        <v>4269</v>
      </c>
      <c r="C230" s="254" t="s">
        <v>4270</v>
      </c>
      <c r="D230" s="1">
        <v>1.5335648148148147E-2</v>
      </c>
      <c r="E230" t="s">
        <v>129</v>
      </c>
      <c r="F230" s="42"/>
      <c r="K230" s="82">
        <v>0.60909999999999997</v>
      </c>
    </row>
    <row r="231" spans="1:19" x14ac:dyDescent="0.2">
      <c r="A231" s="33">
        <v>42005</v>
      </c>
      <c r="B231" s="206" t="s">
        <v>4269</v>
      </c>
      <c r="C231" s="254" t="s">
        <v>4270</v>
      </c>
      <c r="D231" s="1">
        <v>2.344907407407407E-2</v>
      </c>
      <c r="E231" t="s">
        <v>4244</v>
      </c>
      <c r="F231" s="69" t="s">
        <v>139</v>
      </c>
      <c r="I231" s="6"/>
      <c r="J231" s="6"/>
      <c r="K231" s="82">
        <v>0.39829999999999999</v>
      </c>
    </row>
    <row r="232" spans="1:19" ht="12.75" customHeight="1" x14ac:dyDescent="0.2">
      <c r="A232" s="33">
        <v>42005</v>
      </c>
      <c r="B232" s="206" t="s">
        <v>4269</v>
      </c>
      <c r="C232" s="254" t="s">
        <v>4270</v>
      </c>
      <c r="D232" s="1">
        <v>1.5555555555555553E-2</v>
      </c>
      <c r="E232" t="s">
        <v>145</v>
      </c>
      <c r="F232" s="69" t="s">
        <v>138</v>
      </c>
      <c r="I232" s="6"/>
      <c r="J232" s="6"/>
      <c r="K232" s="82">
        <v>0.60040000000000004</v>
      </c>
    </row>
    <row r="233" spans="1:19" ht="12.75" customHeight="1" x14ac:dyDescent="0.2">
      <c r="A233" s="33">
        <v>46284</v>
      </c>
      <c r="B233" s="206" t="s">
        <v>726</v>
      </c>
      <c r="C233" s="254" t="s">
        <v>1295</v>
      </c>
      <c r="D233" s="1">
        <v>2.2337962962962962E-2</v>
      </c>
      <c r="E233" t="s">
        <v>1116</v>
      </c>
      <c r="F233" s="69" t="s">
        <v>3911</v>
      </c>
      <c r="I233" s="2"/>
      <c r="K233" s="82">
        <v>0.49840000000000001</v>
      </c>
    </row>
    <row r="234" spans="1:19" x14ac:dyDescent="0.2">
      <c r="A234" s="33">
        <v>42364</v>
      </c>
      <c r="B234" s="206" t="s">
        <v>726</v>
      </c>
      <c r="C234" s="254" t="s">
        <v>1295</v>
      </c>
      <c r="D234" s="1">
        <v>2.1493055555555557E-2</v>
      </c>
      <c r="E234" t="s">
        <v>2965</v>
      </c>
      <c r="F234" s="69" t="s">
        <v>2766</v>
      </c>
      <c r="I234" s="2"/>
      <c r="K234" s="82">
        <v>0.51800000000000002</v>
      </c>
    </row>
    <row r="235" spans="1:19" x14ac:dyDescent="0.2">
      <c r="A235" s="33">
        <v>42363</v>
      </c>
      <c r="B235" s="206" t="s">
        <v>726</v>
      </c>
      <c r="C235" s="254" t="s">
        <v>1295</v>
      </c>
      <c r="D235" s="1">
        <v>1.9178240740740742E-2</v>
      </c>
      <c r="E235" t="s">
        <v>4529</v>
      </c>
      <c r="F235" s="69" t="s">
        <v>2767</v>
      </c>
      <c r="I235" s="2"/>
      <c r="K235" s="82">
        <v>0.5806</v>
      </c>
    </row>
    <row r="236" spans="1:19" x14ac:dyDescent="0.2">
      <c r="A236" s="33">
        <v>42357</v>
      </c>
      <c r="B236" s="206" t="s">
        <v>726</v>
      </c>
      <c r="C236" s="254" t="s">
        <v>1295</v>
      </c>
      <c r="D236" s="1">
        <v>2.1446759259259259E-2</v>
      </c>
      <c r="E236" t="s">
        <v>5883</v>
      </c>
      <c r="F236" s="69"/>
      <c r="I236" s="2"/>
      <c r="K236" s="82">
        <v>0.51919999999999999</v>
      </c>
      <c r="S236" s="80"/>
    </row>
    <row r="237" spans="1:19" x14ac:dyDescent="0.2">
      <c r="A237" s="33">
        <v>42350</v>
      </c>
      <c r="B237" s="206" t="s">
        <v>726</v>
      </c>
      <c r="C237" s="254" t="s">
        <v>1295</v>
      </c>
      <c r="D237" s="1">
        <v>1.9872685185185184E-2</v>
      </c>
      <c r="E237" t="s">
        <v>1401</v>
      </c>
      <c r="F237" s="69" t="s">
        <v>5727</v>
      </c>
      <c r="I237" s="2"/>
      <c r="K237" s="82">
        <v>0.56030000000000002</v>
      </c>
    </row>
    <row r="238" spans="1:19" ht="12.75" customHeight="1" x14ac:dyDescent="0.2">
      <c r="A238" s="33">
        <v>42336</v>
      </c>
      <c r="B238" s="206" t="s">
        <v>726</v>
      </c>
      <c r="C238" s="254" t="s">
        <v>1295</v>
      </c>
      <c r="D238" s="1">
        <v>2.2835648148148147E-2</v>
      </c>
      <c r="E238" t="s">
        <v>5959</v>
      </c>
      <c r="F238" s="69" t="s">
        <v>673</v>
      </c>
      <c r="I238" s="2"/>
      <c r="K238" s="82">
        <v>0.48759999999999998</v>
      </c>
    </row>
    <row r="239" spans="1:19" ht="12.75" customHeight="1" x14ac:dyDescent="0.2">
      <c r="A239" s="34">
        <v>42329</v>
      </c>
      <c r="B239" s="206" t="s">
        <v>726</v>
      </c>
      <c r="C239" s="254" t="s">
        <v>1295</v>
      </c>
      <c r="D239" s="1">
        <v>2.0208333333333335E-2</v>
      </c>
      <c r="E239" t="s">
        <v>4500</v>
      </c>
      <c r="F239" s="69" t="s">
        <v>1845</v>
      </c>
      <c r="I239" s="2"/>
      <c r="K239" s="82">
        <v>0.55100000000000005</v>
      </c>
    </row>
    <row r="240" spans="1:19" ht="12.75" customHeight="1" x14ac:dyDescent="0.2">
      <c r="A240" s="33">
        <v>42322</v>
      </c>
      <c r="B240" s="206" t="s">
        <v>726</v>
      </c>
      <c r="C240" s="254" t="s">
        <v>1295</v>
      </c>
      <c r="D240" s="1">
        <v>2.193287037037037E-2</v>
      </c>
      <c r="E240" t="s">
        <v>891</v>
      </c>
      <c r="F240" s="69" t="s">
        <v>5354</v>
      </c>
      <c r="I240" s="2"/>
      <c r="K240" s="82">
        <v>0.50770000000000004</v>
      </c>
    </row>
    <row r="241" spans="1:11" x14ac:dyDescent="0.2">
      <c r="A241" s="33">
        <v>42308</v>
      </c>
      <c r="B241" s="206" t="s">
        <v>726</v>
      </c>
      <c r="C241" s="254" t="s">
        <v>1295</v>
      </c>
      <c r="D241" s="1">
        <v>1.8599537037037036E-2</v>
      </c>
      <c r="E241" s="5" t="s">
        <v>2147</v>
      </c>
      <c r="F241" s="69" t="s">
        <v>2547</v>
      </c>
      <c r="I241" s="2"/>
      <c r="K241" s="82">
        <v>0.59860000000000002</v>
      </c>
    </row>
    <row r="242" spans="1:11" ht="12.75" customHeight="1" x14ac:dyDescent="0.2">
      <c r="A242" s="33">
        <v>42301</v>
      </c>
      <c r="B242" s="206" t="s">
        <v>726</v>
      </c>
      <c r="C242" s="254" t="s">
        <v>1295</v>
      </c>
      <c r="D242" s="1">
        <v>1.8993055555555558E-2</v>
      </c>
      <c r="E242" t="s">
        <v>5883</v>
      </c>
      <c r="F242" s="69"/>
      <c r="I242" s="2"/>
      <c r="K242" s="82">
        <v>0.58620000000000005</v>
      </c>
    </row>
    <row r="243" spans="1:11" ht="12.75" customHeight="1" x14ac:dyDescent="0.2">
      <c r="A243" s="33">
        <v>42287</v>
      </c>
      <c r="B243" s="206" t="s">
        <v>726</v>
      </c>
      <c r="C243" s="254" t="s">
        <v>1295</v>
      </c>
      <c r="D243" s="1">
        <v>2.0381944444444446E-2</v>
      </c>
      <c r="E243" t="s">
        <v>5883</v>
      </c>
      <c r="F243" s="69" t="s">
        <v>940</v>
      </c>
      <c r="I243" s="2"/>
      <c r="K243" s="82">
        <v>0.54630000000000001</v>
      </c>
    </row>
    <row r="244" spans="1:11" ht="12.75" customHeight="1" x14ac:dyDescent="0.2">
      <c r="A244" s="33">
        <v>42280</v>
      </c>
      <c r="B244" s="206" t="s">
        <v>726</v>
      </c>
      <c r="C244" s="254" t="s">
        <v>1295</v>
      </c>
      <c r="D244" s="1">
        <v>2.9351851851851851E-2</v>
      </c>
      <c r="E244" t="s">
        <v>5883</v>
      </c>
      <c r="F244" s="69"/>
      <c r="I244" s="2"/>
      <c r="K244" s="82">
        <v>0.37930000000000003</v>
      </c>
    </row>
    <row r="245" spans="1:11" ht="12.75" customHeight="1" x14ac:dyDescent="0.2">
      <c r="A245" s="33">
        <v>42273</v>
      </c>
      <c r="B245" s="206" t="s">
        <v>726</v>
      </c>
      <c r="C245" s="254" t="s">
        <v>1295</v>
      </c>
      <c r="D245" s="1">
        <v>2.4375000000000001E-2</v>
      </c>
      <c r="E245" t="s">
        <v>1116</v>
      </c>
      <c r="F245" s="69" t="s">
        <v>1413</v>
      </c>
      <c r="I245" s="2"/>
      <c r="K245" s="82">
        <v>0.45679999999999998</v>
      </c>
    </row>
    <row r="246" spans="1:11" ht="12.75" customHeight="1" x14ac:dyDescent="0.2">
      <c r="A246" s="33">
        <v>42259</v>
      </c>
      <c r="B246" s="206" t="s">
        <v>726</v>
      </c>
      <c r="C246" s="254" t="s">
        <v>1295</v>
      </c>
      <c r="D246" s="1">
        <v>2.2685185185185183E-2</v>
      </c>
      <c r="E246" t="s">
        <v>1116</v>
      </c>
      <c r="F246" s="69" t="s">
        <v>4552</v>
      </c>
      <c r="K246" s="82">
        <v>0.49080000000000001</v>
      </c>
    </row>
    <row r="247" spans="1:11" ht="12.75" customHeight="1" x14ac:dyDescent="0.2">
      <c r="A247" s="33">
        <v>42252</v>
      </c>
      <c r="B247" s="206" t="s">
        <v>726</v>
      </c>
      <c r="C247" s="254" t="s">
        <v>1295</v>
      </c>
      <c r="D247" s="1">
        <v>3.1261574074074074E-2</v>
      </c>
      <c r="E247" t="s">
        <v>5883</v>
      </c>
      <c r="F247" s="69" t="s">
        <v>20</v>
      </c>
      <c r="K247" s="82">
        <v>0.35620000000000002</v>
      </c>
    </row>
    <row r="248" spans="1:11" ht="12.75" customHeight="1" x14ac:dyDescent="0.2">
      <c r="A248" s="33">
        <v>42245</v>
      </c>
      <c r="B248" s="206" t="s">
        <v>726</v>
      </c>
      <c r="C248" s="254" t="s">
        <v>1295</v>
      </c>
      <c r="D248" s="1">
        <v>3.3368055555555554E-2</v>
      </c>
      <c r="E248" t="s">
        <v>5883</v>
      </c>
      <c r="F248" s="69" t="s">
        <v>1514</v>
      </c>
      <c r="K248" s="82">
        <v>0.3337</v>
      </c>
    </row>
    <row r="249" spans="1:11" ht="12.75" customHeight="1" x14ac:dyDescent="0.2">
      <c r="A249" s="33">
        <v>42238</v>
      </c>
      <c r="B249" s="206" t="s">
        <v>726</v>
      </c>
      <c r="C249" s="254" t="s">
        <v>1295</v>
      </c>
      <c r="D249" s="1" t="s">
        <v>787</v>
      </c>
      <c r="E249" s="5" t="s">
        <v>5883</v>
      </c>
      <c r="F249" s="69"/>
      <c r="K249" s="82"/>
    </row>
    <row r="250" spans="1:11" x14ac:dyDescent="0.2">
      <c r="A250" s="33">
        <v>42231</v>
      </c>
      <c r="B250" s="206" t="s">
        <v>726</v>
      </c>
      <c r="C250" s="254" t="s">
        <v>1295</v>
      </c>
      <c r="D250" s="1">
        <v>3.2581018518518516E-2</v>
      </c>
      <c r="E250" t="s">
        <v>5883</v>
      </c>
      <c r="F250" s="69" t="s">
        <v>5747</v>
      </c>
      <c r="K250" s="82">
        <v>0.3417</v>
      </c>
    </row>
    <row r="251" spans="1:11" ht="12.75" customHeight="1" x14ac:dyDescent="0.2">
      <c r="A251" s="33">
        <v>42224</v>
      </c>
      <c r="B251" s="206" t="s">
        <v>726</v>
      </c>
      <c r="C251" s="254" t="s">
        <v>1295</v>
      </c>
      <c r="D251" s="1">
        <v>3.2800925925925928E-2</v>
      </c>
      <c r="E251" t="s">
        <v>1719</v>
      </c>
      <c r="F251" s="69" t="s">
        <v>2209</v>
      </c>
      <c r="K251" s="82">
        <v>0.33939999999999998</v>
      </c>
    </row>
    <row r="252" spans="1:11" ht="12.75" customHeight="1" x14ac:dyDescent="0.2">
      <c r="A252" s="33">
        <v>42217</v>
      </c>
      <c r="B252" s="206" t="s">
        <v>726</v>
      </c>
      <c r="C252" s="254" t="s">
        <v>1295</v>
      </c>
      <c r="D252" s="1" t="s">
        <v>787</v>
      </c>
      <c r="E252" t="s">
        <v>5883</v>
      </c>
      <c r="F252" s="69" t="s">
        <v>5791</v>
      </c>
      <c r="K252" s="82"/>
    </row>
    <row r="253" spans="1:11" ht="12.75" customHeight="1" x14ac:dyDescent="0.2">
      <c r="A253" s="33">
        <v>42210</v>
      </c>
      <c r="B253" s="206" t="s">
        <v>726</v>
      </c>
      <c r="C253" s="254" t="s">
        <v>1295</v>
      </c>
      <c r="D253" s="1">
        <v>2.5520833333333336E-2</v>
      </c>
      <c r="E253" t="s">
        <v>5883</v>
      </c>
      <c r="F253" s="69" t="s">
        <v>3938</v>
      </c>
      <c r="K253" s="82">
        <v>0.43630000000000002</v>
      </c>
    </row>
    <row r="254" spans="1:11" x14ac:dyDescent="0.2">
      <c r="A254" s="33">
        <v>42203</v>
      </c>
      <c r="B254" s="206" t="s">
        <v>726</v>
      </c>
      <c r="C254" s="254" t="s">
        <v>1295</v>
      </c>
      <c r="D254" s="1">
        <v>1.7870370370370373E-2</v>
      </c>
      <c r="E254" t="s">
        <v>5883</v>
      </c>
      <c r="F254" s="69" t="s">
        <v>4476</v>
      </c>
      <c r="K254" s="82">
        <v>0.62309999999999999</v>
      </c>
    </row>
    <row r="255" spans="1:11" x14ac:dyDescent="0.2">
      <c r="A255" s="33">
        <v>42196</v>
      </c>
      <c r="B255" s="206" t="s">
        <v>726</v>
      </c>
      <c r="C255" s="254" t="s">
        <v>1295</v>
      </c>
      <c r="D255" s="1">
        <v>1.9733796296296298E-2</v>
      </c>
      <c r="E255" t="s">
        <v>4727</v>
      </c>
      <c r="F255" s="69"/>
      <c r="G255" s="5"/>
      <c r="K255" s="82">
        <v>0.56420000000000003</v>
      </c>
    </row>
    <row r="256" spans="1:11" ht="12.75" customHeight="1" x14ac:dyDescent="0.2">
      <c r="A256" s="33">
        <v>42189</v>
      </c>
      <c r="B256" s="206" t="s">
        <v>726</v>
      </c>
      <c r="C256" s="254" t="s">
        <v>1295</v>
      </c>
      <c r="D256" s="1">
        <v>1.8217592592592594E-2</v>
      </c>
      <c r="E256" t="s">
        <v>4180</v>
      </c>
      <c r="F256" s="69" t="s">
        <v>1896</v>
      </c>
      <c r="K256" s="82">
        <v>0.61119999999999997</v>
      </c>
    </row>
    <row r="257" spans="1:19" ht="12.75" customHeight="1" x14ac:dyDescent="0.2">
      <c r="A257" s="33">
        <v>42182</v>
      </c>
      <c r="B257" s="206" t="s">
        <v>726</v>
      </c>
      <c r="C257" s="254" t="s">
        <v>1295</v>
      </c>
      <c r="D257" s="1">
        <v>1.9988425925925927E-2</v>
      </c>
      <c r="E257" t="s">
        <v>5883</v>
      </c>
      <c r="F257" s="69" t="s">
        <v>412</v>
      </c>
      <c r="K257" s="82">
        <v>0.55700000000000005</v>
      </c>
    </row>
    <row r="258" spans="1:19" ht="12.75" customHeight="1" x14ac:dyDescent="0.2">
      <c r="A258" s="33">
        <v>42175</v>
      </c>
      <c r="B258" s="206" t="s">
        <v>726</v>
      </c>
      <c r="C258" s="254" t="s">
        <v>1295</v>
      </c>
      <c r="D258" s="1">
        <v>1.7858796296296296E-2</v>
      </c>
      <c r="E258" t="s">
        <v>129</v>
      </c>
      <c r="F258" s="69" t="s">
        <v>290</v>
      </c>
      <c r="K258" s="82">
        <v>0.62350000000000005</v>
      </c>
    </row>
    <row r="259" spans="1:19" ht="12.75" customHeight="1" x14ac:dyDescent="0.2">
      <c r="A259" s="33">
        <v>42315</v>
      </c>
      <c r="B259" s="206" t="s">
        <v>2754</v>
      </c>
      <c r="C259" s="254" t="s">
        <v>1295</v>
      </c>
      <c r="D259" s="1" t="s">
        <v>787</v>
      </c>
      <c r="E259" t="s">
        <v>5883</v>
      </c>
      <c r="F259" s="69" t="s">
        <v>460</v>
      </c>
      <c r="I259" s="2"/>
      <c r="K259" s="82"/>
    </row>
    <row r="260" spans="1:19" x14ac:dyDescent="0.2">
      <c r="A260" s="33">
        <v>42301</v>
      </c>
      <c r="B260" s="53" t="s">
        <v>3508</v>
      </c>
      <c r="C260" s="54" t="s">
        <v>1295</v>
      </c>
      <c r="D260" s="1">
        <v>1.8993055555555558E-2</v>
      </c>
      <c r="E260" t="s">
        <v>5883</v>
      </c>
      <c r="F260" s="69"/>
      <c r="I260" s="2"/>
      <c r="K260" s="82">
        <v>0.53080000000000005</v>
      </c>
    </row>
    <row r="261" spans="1:19" ht="12.75" customHeight="1" x14ac:dyDescent="0.2">
      <c r="A261" s="33">
        <v>42217</v>
      </c>
      <c r="B261" s="53" t="s">
        <v>3508</v>
      </c>
      <c r="C261" s="54" t="s">
        <v>1295</v>
      </c>
      <c r="D261" s="1" t="s">
        <v>787</v>
      </c>
      <c r="E261" t="s">
        <v>5883</v>
      </c>
      <c r="F261" s="69" t="s">
        <v>5792</v>
      </c>
      <c r="K261" s="82"/>
    </row>
    <row r="262" spans="1:19" ht="12.75" customHeight="1" x14ac:dyDescent="0.2">
      <c r="A262" s="33">
        <v>42175</v>
      </c>
      <c r="B262" s="53" t="s">
        <v>3508</v>
      </c>
      <c r="C262" s="54" t="s">
        <v>1295</v>
      </c>
      <c r="D262" s="1">
        <v>1.7604166666666667E-2</v>
      </c>
      <c r="E262" t="s">
        <v>129</v>
      </c>
      <c r="F262" s="69"/>
      <c r="K262" s="82">
        <v>0.56799999999999995</v>
      </c>
    </row>
    <row r="263" spans="1:19" x14ac:dyDescent="0.2">
      <c r="A263" s="33">
        <v>42364</v>
      </c>
      <c r="B263" t="s">
        <v>866</v>
      </c>
      <c r="C263" s="1" t="s">
        <v>867</v>
      </c>
      <c r="D263" s="1">
        <v>1.7974537037037035E-2</v>
      </c>
      <c r="E263" t="s">
        <v>5885</v>
      </c>
      <c r="F263" s="69"/>
      <c r="I263" s="2"/>
      <c r="K263" s="82">
        <v>0.70899999999999996</v>
      </c>
    </row>
    <row r="264" spans="1:19" x14ac:dyDescent="0.2">
      <c r="A264" s="33">
        <v>42363</v>
      </c>
      <c r="B264" t="s">
        <v>866</v>
      </c>
      <c r="C264" s="1" t="s">
        <v>867</v>
      </c>
      <c r="D264" s="1">
        <v>1.7372685185185185E-2</v>
      </c>
      <c r="E264" t="s">
        <v>5885</v>
      </c>
      <c r="F264" s="69"/>
      <c r="I264" s="2"/>
      <c r="K264" s="82">
        <v>0.73350000000000004</v>
      </c>
    </row>
    <row r="265" spans="1:19" x14ac:dyDescent="0.2">
      <c r="A265" s="33">
        <v>42357</v>
      </c>
      <c r="B265" t="s">
        <v>866</v>
      </c>
      <c r="C265" s="1" t="s">
        <v>867</v>
      </c>
      <c r="D265" s="1">
        <v>1.7407407407407406E-2</v>
      </c>
      <c r="E265" t="s">
        <v>5885</v>
      </c>
      <c r="F265" s="69" t="s">
        <v>1689</v>
      </c>
      <c r="I265" s="2"/>
      <c r="K265" s="82">
        <v>0.73199999999999998</v>
      </c>
      <c r="S265" s="80"/>
    </row>
    <row r="266" spans="1:19" x14ac:dyDescent="0.2">
      <c r="A266" s="33">
        <v>42350</v>
      </c>
      <c r="B266" t="s">
        <v>866</v>
      </c>
      <c r="C266" s="1" t="s">
        <v>867</v>
      </c>
      <c r="D266" s="1">
        <v>1.7523148148148149E-2</v>
      </c>
      <c r="E266" t="s">
        <v>5885</v>
      </c>
      <c r="F266" s="69" t="s">
        <v>130</v>
      </c>
      <c r="I266" s="2"/>
      <c r="K266" s="82">
        <v>0.72719999999999996</v>
      </c>
    </row>
    <row r="267" spans="1:19" ht="12.75" customHeight="1" x14ac:dyDescent="0.2">
      <c r="A267" s="33">
        <v>42343</v>
      </c>
      <c r="B267" t="s">
        <v>866</v>
      </c>
      <c r="C267" s="1" t="s">
        <v>867</v>
      </c>
      <c r="D267" s="1">
        <v>1.7708333333333333E-2</v>
      </c>
      <c r="E267" s="5" t="s">
        <v>5885</v>
      </c>
      <c r="F267" s="69" t="s">
        <v>5533</v>
      </c>
      <c r="I267" s="2"/>
      <c r="K267" s="82">
        <v>0.71960000000000002</v>
      </c>
    </row>
    <row r="268" spans="1:19" ht="12.75" customHeight="1" x14ac:dyDescent="0.2">
      <c r="A268" s="33">
        <v>42336</v>
      </c>
      <c r="B268" t="s">
        <v>866</v>
      </c>
      <c r="C268" s="1" t="s">
        <v>867</v>
      </c>
      <c r="D268" s="1">
        <v>1.8622685185185183E-2</v>
      </c>
      <c r="E268" t="s">
        <v>5885</v>
      </c>
      <c r="F268" s="69" t="s">
        <v>2173</v>
      </c>
      <c r="I268" s="2"/>
      <c r="K268" s="82">
        <v>0.68430000000000002</v>
      </c>
    </row>
    <row r="269" spans="1:19" ht="12.75" customHeight="1" x14ac:dyDescent="0.2">
      <c r="A269" s="34">
        <v>42329</v>
      </c>
      <c r="B269" t="s">
        <v>866</v>
      </c>
      <c r="C269" s="1" t="s">
        <v>867</v>
      </c>
      <c r="D269" s="1">
        <v>1.7743055555555557E-2</v>
      </c>
      <c r="E269" t="s">
        <v>5885</v>
      </c>
      <c r="F269" s="69" t="s">
        <v>4028</v>
      </c>
      <c r="I269" s="2"/>
      <c r="K269" s="82">
        <v>0.71819999999999995</v>
      </c>
    </row>
    <row r="270" spans="1:19" ht="12.75" customHeight="1" x14ac:dyDescent="0.2">
      <c r="A270" s="33">
        <v>42322</v>
      </c>
      <c r="B270" t="s">
        <v>866</v>
      </c>
      <c r="C270" s="1" t="s">
        <v>867</v>
      </c>
      <c r="D270" s="1">
        <v>1.7557870370370373E-2</v>
      </c>
      <c r="E270" t="s">
        <v>5885</v>
      </c>
      <c r="F270" s="69" t="s">
        <v>2182</v>
      </c>
      <c r="I270" s="2"/>
      <c r="K270" s="82">
        <v>0.7258</v>
      </c>
    </row>
    <row r="271" spans="1:19" ht="12.75" customHeight="1" x14ac:dyDescent="0.2">
      <c r="A271" s="33">
        <v>42308</v>
      </c>
      <c r="B271" t="s">
        <v>866</v>
      </c>
      <c r="C271" s="1" t="s">
        <v>867</v>
      </c>
      <c r="D271" s="1">
        <v>1.7395833333333336E-2</v>
      </c>
      <c r="E271" t="s">
        <v>5198</v>
      </c>
      <c r="F271" s="69" t="s">
        <v>2955</v>
      </c>
      <c r="I271" s="2"/>
      <c r="K271" s="82">
        <v>0.73250000000000004</v>
      </c>
    </row>
    <row r="272" spans="1:19" x14ac:dyDescent="0.2">
      <c r="A272" s="33">
        <v>42301</v>
      </c>
      <c r="B272" t="s">
        <v>866</v>
      </c>
      <c r="C272" s="1" t="s">
        <v>867</v>
      </c>
      <c r="D272" s="1">
        <v>1.7974537037037035E-2</v>
      </c>
      <c r="E272" t="s">
        <v>5947</v>
      </c>
      <c r="F272" s="69" t="s">
        <v>2760</v>
      </c>
      <c r="I272" s="2"/>
      <c r="K272" s="82">
        <v>0.70899999999999996</v>
      </c>
    </row>
    <row r="273" spans="1:11" ht="12.75" customHeight="1" x14ac:dyDescent="0.2">
      <c r="A273" s="33">
        <v>42287</v>
      </c>
      <c r="B273" t="s">
        <v>866</v>
      </c>
      <c r="C273" s="1" t="s">
        <v>867</v>
      </c>
      <c r="D273" s="1">
        <v>1.741898148148148E-2</v>
      </c>
      <c r="E273" t="s">
        <v>5198</v>
      </c>
      <c r="F273" s="69"/>
      <c r="I273" s="2"/>
      <c r="K273" s="82">
        <v>0.73160000000000003</v>
      </c>
    </row>
    <row r="274" spans="1:11" ht="12.75" customHeight="1" x14ac:dyDescent="0.2">
      <c r="A274" s="33">
        <v>42280</v>
      </c>
      <c r="B274" t="s">
        <v>866</v>
      </c>
      <c r="C274" s="1" t="s">
        <v>867</v>
      </c>
      <c r="D274" s="1">
        <v>1.7372685185185185E-2</v>
      </c>
      <c r="E274" t="s">
        <v>5198</v>
      </c>
      <c r="F274" s="69" t="s">
        <v>970</v>
      </c>
      <c r="I274" s="2"/>
      <c r="K274" s="82">
        <v>0.73350000000000004</v>
      </c>
    </row>
    <row r="275" spans="1:11" ht="12.75" customHeight="1" x14ac:dyDescent="0.2">
      <c r="A275" s="33">
        <v>42273</v>
      </c>
      <c r="B275" t="s">
        <v>866</v>
      </c>
      <c r="C275" s="1" t="s">
        <v>867</v>
      </c>
      <c r="D275" s="1">
        <v>1.7557870370370373E-2</v>
      </c>
      <c r="E275" t="s">
        <v>5947</v>
      </c>
      <c r="F275" s="69" t="s">
        <v>4182</v>
      </c>
      <c r="I275" s="2"/>
      <c r="K275" s="82">
        <v>0.7258</v>
      </c>
    </row>
    <row r="276" spans="1:11" ht="12.75" customHeight="1" x14ac:dyDescent="0.2">
      <c r="A276" s="33">
        <v>42266</v>
      </c>
      <c r="B276" t="s">
        <v>866</v>
      </c>
      <c r="C276" s="1" t="s">
        <v>867</v>
      </c>
      <c r="D276" s="1">
        <v>1.7604166666666667E-2</v>
      </c>
      <c r="E276" t="s">
        <v>5198</v>
      </c>
      <c r="F276" s="69" t="s">
        <v>5298</v>
      </c>
      <c r="K276" s="82">
        <v>0.72389999999999999</v>
      </c>
    </row>
    <row r="277" spans="1:11" ht="12.75" customHeight="1" x14ac:dyDescent="0.2">
      <c r="A277" s="33">
        <v>42259</v>
      </c>
      <c r="B277" t="s">
        <v>866</v>
      </c>
      <c r="C277" s="1" t="s">
        <v>867</v>
      </c>
      <c r="D277" s="1">
        <v>1.7766203703703704E-2</v>
      </c>
      <c r="E277" t="s">
        <v>5198</v>
      </c>
      <c r="F277" s="69"/>
      <c r="K277" s="82">
        <v>0.71730000000000005</v>
      </c>
    </row>
    <row r="278" spans="1:11" ht="12.75" customHeight="1" x14ac:dyDescent="0.2">
      <c r="A278" s="33">
        <v>42252</v>
      </c>
      <c r="B278" t="s">
        <v>866</v>
      </c>
      <c r="C278" s="1" t="s">
        <v>867</v>
      </c>
      <c r="D278" s="1">
        <v>1.7893518518518517E-2</v>
      </c>
      <c r="E278" t="s">
        <v>5198</v>
      </c>
      <c r="F278" s="69" t="s">
        <v>22</v>
      </c>
      <c r="K278" s="82">
        <v>0.71220000000000006</v>
      </c>
    </row>
    <row r="279" spans="1:11" ht="12.75" customHeight="1" x14ac:dyDescent="0.2">
      <c r="A279" s="33">
        <v>42245</v>
      </c>
      <c r="B279" t="s">
        <v>866</v>
      </c>
      <c r="C279" s="1" t="s">
        <v>867</v>
      </c>
      <c r="D279" s="1">
        <v>1.8368055555555554E-2</v>
      </c>
      <c r="E279" t="s">
        <v>5198</v>
      </c>
      <c r="F279" s="69"/>
      <c r="K279" s="82">
        <v>0.69379999999999997</v>
      </c>
    </row>
    <row r="280" spans="1:11" ht="12.75" customHeight="1" x14ac:dyDescent="0.2">
      <c r="A280" s="33">
        <v>42140</v>
      </c>
      <c r="B280" t="s">
        <v>866</v>
      </c>
      <c r="C280" s="1" t="s">
        <v>867</v>
      </c>
      <c r="D280" s="1">
        <v>1.6979166666666667E-2</v>
      </c>
      <c r="E280" t="s">
        <v>5885</v>
      </c>
      <c r="F280" s="69" t="s">
        <v>2476</v>
      </c>
      <c r="K280" s="82">
        <v>0.75049999999999994</v>
      </c>
    </row>
    <row r="281" spans="1:11" ht="12.75" customHeight="1" x14ac:dyDescent="0.2">
      <c r="A281" s="33">
        <v>42133</v>
      </c>
      <c r="B281" t="s">
        <v>866</v>
      </c>
      <c r="C281" s="1" t="s">
        <v>867</v>
      </c>
      <c r="D281" s="1">
        <v>1.7222222222222222E-2</v>
      </c>
      <c r="E281" t="s">
        <v>5198</v>
      </c>
      <c r="F281" s="69"/>
      <c r="K281" s="82">
        <v>0.7399</v>
      </c>
    </row>
    <row r="282" spans="1:11" ht="12.75" customHeight="1" x14ac:dyDescent="0.2">
      <c r="A282" s="33">
        <v>42126</v>
      </c>
      <c r="B282" t="s">
        <v>866</v>
      </c>
      <c r="C282" s="1" t="s">
        <v>867</v>
      </c>
      <c r="D282" s="1">
        <v>1.744212962962963E-2</v>
      </c>
      <c r="E282" t="s">
        <v>5947</v>
      </c>
      <c r="F282" s="69" t="s">
        <v>2629</v>
      </c>
      <c r="G282" s="42"/>
      <c r="H282" s="42"/>
      <c r="I282" s="42"/>
      <c r="J282" s="42"/>
      <c r="K282" s="82">
        <v>0.73060000000000003</v>
      </c>
    </row>
    <row r="283" spans="1:11" ht="12.75" customHeight="1" x14ac:dyDescent="0.2">
      <c r="A283" s="33">
        <v>42119</v>
      </c>
      <c r="B283" t="s">
        <v>866</v>
      </c>
      <c r="C283" s="1" t="s">
        <v>867</v>
      </c>
      <c r="D283" s="1">
        <v>1.7766203703703704E-2</v>
      </c>
      <c r="E283" t="s">
        <v>5947</v>
      </c>
      <c r="F283" s="69" t="s">
        <v>1922</v>
      </c>
      <c r="K283" s="82">
        <v>0.71730000000000005</v>
      </c>
    </row>
    <row r="284" spans="1:11" ht="12.75" customHeight="1" x14ac:dyDescent="0.2">
      <c r="A284" s="33">
        <v>42112</v>
      </c>
      <c r="B284" t="s">
        <v>866</v>
      </c>
      <c r="C284" s="1" t="s">
        <v>867</v>
      </c>
      <c r="D284" s="1">
        <v>1.7187500000000001E-2</v>
      </c>
      <c r="E284" t="s">
        <v>5885</v>
      </c>
      <c r="F284" s="69" t="s">
        <v>2187</v>
      </c>
      <c r="G284" s="5"/>
      <c r="K284" s="82">
        <v>0.74139999999999995</v>
      </c>
    </row>
    <row r="285" spans="1:11" x14ac:dyDescent="0.2">
      <c r="A285" s="33">
        <v>42105</v>
      </c>
      <c r="B285" t="s">
        <v>866</v>
      </c>
      <c r="C285" s="1" t="s">
        <v>867</v>
      </c>
      <c r="D285" s="1">
        <v>1.7013888888888887E-2</v>
      </c>
      <c r="E285" t="s">
        <v>5885</v>
      </c>
      <c r="F285" s="69"/>
      <c r="G285" s="5"/>
      <c r="K285" s="82">
        <v>0.749</v>
      </c>
    </row>
    <row r="286" spans="1:11" x14ac:dyDescent="0.2">
      <c r="A286" s="33">
        <v>42098</v>
      </c>
      <c r="B286" t="s">
        <v>866</v>
      </c>
      <c r="C286" s="1" t="s">
        <v>867</v>
      </c>
      <c r="D286" s="1">
        <v>1.7152777777777777E-2</v>
      </c>
      <c r="E286" t="s">
        <v>5885</v>
      </c>
      <c r="F286" s="69" t="s">
        <v>5693</v>
      </c>
      <c r="K286" s="82">
        <v>0.7429</v>
      </c>
    </row>
    <row r="287" spans="1:11" ht="12.75" customHeight="1" x14ac:dyDescent="0.2">
      <c r="A287" s="33">
        <v>42091</v>
      </c>
      <c r="B287" s="80" t="s">
        <v>866</v>
      </c>
      <c r="C287" s="1" t="s">
        <v>867</v>
      </c>
      <c r="D287" s="1">
        <v>1.7083333333333336E-2</v>
      </c>
      <c r="E287" t="s">
        <v>5885</v>
      </c>
      <c r="F287" s="42" t="s">
        <v>5743</v>
      </c>
      <c r="H287" t="s">
        <v>4855</v>
      </c>
      <c r="K287" s="82">
        <v>0.74590000000000001</v>
      </c>
    </row>
    <row r="288" spans="1:11" ht="12.75" customHeight="1" x14ac:dyDescent="0.2">
      <c r="A288" s="33">
        <v>42084</v>
      </c>
      <c r="B288" t="s">
        <v>866</v>
      </c>
      <c r="C288" s="1" t="s">
        <v>867</v>
      </c>
      <c r="D288" s="1">
        <v>1.6921296296296299E-2</v>
      </c>
      <c r="E288" t="s">
        <v>5885</v>
      </c>
      <c r="F288" s="42" t="s">
        <v>4478</v>
      </c>
      <c r="K288" s="82">
        <v>0.75309999999999999</v>
      </c>
    </row>
    <row r="289" spans="1:19" x14ac:dyDescent="0.2">
      <c r="A289" s="33">
        <v>42063</v>
      </c>
      <c r="B289" t="s">
        <v>866</v>
      </c>
      <c r="C289" s="1" t="s">
        <v>867</v>
      </c>
      <c r="D289" s="1">
        <v>1.7337962962962961E-2</v>
      </c>
      <c r="E289" t="s">
        <v>1120</v>
      </c>
      <c r="F289" s="42"/>
      <c r="K289" s="82">
        <v>0.73499999999999999</v>
      </c>
    </row>
    <row r="290" spans="1:19" ht="12.75" customHeight="1" x14ac:dyDescent="0.2">
      <c r="A290" s="33">
        <v>42042</v>
      </c>
      <c r="B290" t="s">
        <v>866</v>
      </c>
      <c r="C290" s="1" t="s">
        <v>867</v>
      </c>
      <c r="D290" s="1">
        <v>1.7083333333333336E-2</v>
      </c>
      <c r="E290" t="s">
        <v>5885</v>
      </c>
      <c r="F290" s="42"/>
      <c r="K290" s="82">
        <v>0.73509999999999998</v>
      </c>
    </row>
    <row r="291" spans="1:19" x14ac:dyDescent="0.2">
      <c r="A291" s="33">
        <v>42021</v>
      </c>
      <c r="B291" s="5" t="s">
        <v>866</v>
      </c>
      <c r="C291" s="1" t="s">
        <v>867</v>
      </c>
      <c r="D291" s="1">
        <v>1.6979166666666667E-2</v>
      </c>
      <c r="E291" t="s">
        <v>5885</v>
      </c>
      <c r="F291" s="42" t="s">
        <v>1598</v>
      </c>
      <c r="K291" s="82">
        <v>0.73960000000000004</v>
      </c>
    </row>
    <row r="292" spans="1:19" x14ac:dyDescent="0.2">
      <c r="A292" s="33">
        <v>42007</v>
      </c>
      <c r="B292" t="s">
        <v>866</v>
      </c>
      <c r="C292" s="1" t="s">
        <v>867</v>
      </c>
      <c r="D292" s="1">
        <v>1.7395833333333336E-2</v>
      </c>
      <c r="E292" t="s">
        <v>5885</v>
      </c>
      <c r="F292" s="42" t="s">
        <v>2477</v>
      </c>
      <c r="K292" s="82">
        <v>0.72189999999999999</v>
      </c>
    </row>
    <row r="293" spans="1:19" ht="12.75" customHeight="1" x14ac:dyDescent="0.2">
      <c r="A293" s="33">
        <v>42005</v>
      </c>
      <c r="B293" t="s">
        <v>866</v>
      </c>
      <c r="C293" s="1" t="s">
        <v>867</v>
      </c>
      <c r="D293" s="1">
        <v>1.6747685185185185E-2</v>
      </c>
      <c r="E293" t="s">
        <v>5885</v>
      </c>
      <c r="F293" s="69" t="s">
        <v>139</v>
      </c>
      <c r="I293" s="6"/>
      <c r="J293" s="6"/>
      <c r="K293" s="82">
        <v>0.73460000000000003</v>
      </c>
    </row>
    <row r="294" spans="1:19" ht="12.75" customHeight="1" x14ac:dyDescent="0.2">
      <c r="A294" s="33">
        <v>42203</v>
      </c>
      <c r="B294" t="s">
        <v>2478</v>
      </c>
      <c r="C294" s="1" t="s">
        <v>3744</v>
      </c>
      <c r="D294" s="1">
        <v>2.508101851851852E-2</v>
      </c>
      <c r="E294" t="s">
        <v>1719</v>
      </c>
      <c r="F294" s="69" t="s">
        <v>2435</v>
      </c>
      <c r="K294" s="82">
        <v>0.48270000000000002</v>
      </c>
    </row>
    <row r="295" spans="1:19" ht="12.75" customHeight="1" x14ac:dyDescent="0.2">
      <c r="A295" s="33">
        <v>42098</v>
      </c>
      <c r="B295" t="s">
        <v>2478</v>
      </c>
      <c r="C295" s="1" t="s">
        <v>3744</v>
      </c>
      <c r="D295" s="1">
        <v>2.3321759259259261E-2</v>
      </c>
      <c r="E295" t="s">
        <v>4727</v>
      </c>
      <c r="F295" s="69" t="s">
        <v>4825</v>
      </c>
      <c r="G295" s="6"/>
      <c r="H295" s="6"/>
      <c r="K295" s="82">
        <v>0.51910000000000001</v>
      </c>
    </row>
    <row r="296" spans="1:19" x14ac:dyDescent="0.2">
      <c r="A296" s="33">
        <v>42363</v>
      </c>
      <c r="B296" s="206" t="s">
        <v>3837</v>
      </c>
      <c r="C296" s="254" t="s">
        <v>3838</v>
      </c>
      <c r="D296" s="1">
        <v>1.5416666666666667E-2</v>
      </c>
      <c r="E296" t="s">
        <v>5885</v>
      </c>
      <c r="F296" s="69"/>
      <c r="I296" s="2"/>
      <c r="K296" s="82">
        <v>0.68620000000000003</v>
      </c>
    </row>
    <row r="297" spans="1:19" x14ac:dyDescent="0.2">
      <c r="A297" s="33">
        <v>42357</v>
      </c>
      <c r="B297" s="206" t="s">
        <v>3837</v>
      </c>
      <c r="C297" s="254" t="s">
        <v>3838</v>
      </c>
      <c r="D297" s="1">
        <v>1.5266203703703705E-2</v>
      </c>
      <c r="E297" t="s">
        <v>5885</v>
      </c>
      <c r="F297" s="69"/>
      <c r="I297" s="2"/>
      <c r="K297" s="82">
        <v>0.69289999999999996</v>
      </c>
      <c r="S297" s="80"/>
    </row>
    <row r="298" spans="1:19" ht="12.75" customHeight="1" x14ac:dyDescent="0.2">
      <c r="A298" s="33">
        <v>42322</v>
      </c>
      <c r="B298" s="206" t="s">
        <v>3837</v>
      </c>
      <c r="C298" s="254" t="s">
        <v>3838</v>
      </c>
      <c r="D298" s="1">
        <v>1.4988425925925926E-2</v>
      </c>
      <c r="E298" t="s">
        <v>5885</v>
      </c>
      <c r="F298" s="69" t="s">
        <v>5798</v>
      </c>
      <c r="I298" s="2"/>
      <c r="K298" s="82">
        <v>0.70579999999999998</v>
      </c>
    </row>
    <row r="299" spans="1:19" ht="12" customHeight="1" x14ac:dyDescent="0.2">
      <c r="A299" s="33">
        <v>42308</v>
      </c>
      <c r="B299" s="206" t="s">
        <v>3837</v>
      </c>
      <c r="C299" s="254" t="s">
        <v>3838</v>
      </c>
      <c r="D299" s="1">
        <v>1.5023148148148148E-2</v>
      </c>
      <c r="E299" t="s">
        <v>5885</v>
      </c>
      <c r="F299" s="69" t="s">
        <v>2947</v>
      </c>
      <c r="I299" s="2"/>
      <c r="K299" s="82">
        <v>0.70420000000000005</v>
      </c>
    </row>
    <row r="300" spans="1:19" x14ac:dyDescent="0.2">
      <c r="A300" s="33">
        <v>42287</v>
      </c>
      <c r="B300" s="206" t="s">
        <v>3837</v>
      </c>
      <c r="C300" s="254" t="s">
        <v>3838</v>
      </c>
      <c r="D300" s="1">
        <v>1.4814814814814814E-2</v>
      </c>
      <c r="E300" t="s">
        <v>5885</v>
      </c>
      <c r="F300" s="69" t="s">
        <v>5417</v>
      </c>
      <c r="I300" s="2"/>
      <c r="K300" s="82">
        <v>0.71409999999999996</v>
      </c>
    </row>
    <row r="301" spans="1:19" ht="12.75" customHeight="1" x14ac:dyDescent="0.2">
      <c r="A301" s="33">
        <v>42280</v>
      </c>
      <c r="B301" s="206" t="s">
        <v>3837</v>
      </c>
      <c r="C301" s="254" t="s">
        <v>3838</v>
      </c>
      <c r="D301" s="1">
        <v>1.5046296296296295E-2</v>
      </c>
      <c r="E301" t="s">
        <v>5885</v>
      </c>
      <c r="F301" s="69"/>
      <c r="I301" s="2"/>
      <c r="K301" s="82">
        <v>0.70309999999999995</v>
      </c>
    </row>
    <row r="302" spans="1:19" ht="12.75" customHeight="1" x14ac:dyDescent="0.2">
      <c r="A302" s="33">
        <v>42315</v>
      </c>
      <c r="B302" s="206" t="s">
        <v>4548</v>
      </c>
      <c r="C302" s="254" t="s">
        <v>3838</v>
      </c>
      <c r="D302" s="1">
        <v>1.5138888888888889E-2</v>
      </c>
      <c r="E302" t="s">
        <v>5885</v>
      </c>
      <c r="F302" s="69" t="s">
        <v>5378</v>
      </c>
      <c r="I302" s="2"/>
      <c r="K302" s="82">
        <v>0.69879999999999998</v>
      </c>
    </row>
    <row r="303" spans="1:19" ht="12.75" customHeight="1" x14ac:dyDescent="0.2">
      <c r="A303" s="33">
        <v>42259</v>
      </c>
      <c r="B303" s="206" t="s">
        <v>4548</v>
      </c>
      <c r="C303" s="254" t="s">
        <v>3838</v>
      </c>
      <c r="D303" s="1">
        <v>1.4780092592592595E-2</v>
      </c>
      <c r="E303" t="s">
        <v>5885</v>
      </c>
      <c r="F303" s="69" t="s">
        <v>1113</v>
      </c>
      <c r="K303" s="82">
        <v>0.7157</v>
      </c>
    </row>
    <row r="304" spans="1:19" x14ac:dyDescent="0.2">
      <c r="A304" s="33">
        <v>42364</v>
      </c>
      <c r="B304" t="s">
        <v>3508</v>
      </c>
      <c r="C304" s="1" t="s">
        <v>3632</v>
      </c>
      <c r="D304" s="1">
        <v>1.7349537037037038E-2</v>
      </c>
      <c r="E304" t="s">
        <v>5885</v>
      </c>
      <c r="F304" s="69" t="s">
        <v>5169</v>
      </c>
      <c r="I304" s="2"/>
      <c r="K304" s="82">
        <v>0.60509999999999997</v>
      </c>
      <c r="M304" t="s">
        <v>1201</v>
      </c>
    </row>
    <row r="305" spans="1:11" x14ac:dyDescent="0.2">
      <c r="A305" s="33">
        <v>42363</v>
      </c>
      <c r="B305" t="s">
        <v>3508</v>
      </c>
      <c r="C305" s="1" t="s">
        <v>3632</v>
      </c>
      <c r="D305" s="1">
        <v>2.0925925925925928E-2</v>
      </c>
      <c r="E305" t="s">
        <v>5885</v>
      </c>
      <c r="F305" s="69"/>
      <c r="I305" s="2"/>
      <c r="K305" s="82">
        <v>0.50170000000000003</v>
      </c>
    </row>
    <row r="306" spans="1:11" x14ac:dyDescent="0.2">
      <c r="A306" s="33">
        <v>42350</v>
      </c>
      <c r="B306" t="s">
        <v>3508</v>
      </c>
      <c r="C306" s="1" t="s">
        <v>3632</v>
      </c>
      <c r="D306" s="1">
        <v>1.6527777777777777E-2</v>
      </c>
      <c r="E306" t="s">
        <v>5885</v>
      </c>
      <c r="F306" s="69" t="s">
        <v>3243</v>
      </c>
      <c r="I306" s="2"/>
      <c r="K306" s="82">
        <v>0.63519999999999999</v>
      </c>
    </row>
    <row r="307" spans="1:11" ht="12.75" customHeight="1" x14ac:dyDescent="0.2">
      <c r="A307" s="33">
        <v>42343</v>
      </c>
      <c r="B307" t="s">
        <v>3508</v>
      </c>
      <c r="C307" s="1" t="s">
        <v>3632</v>
      </c>
      <c r="D307" s="1">
        <v>1.53125E-2</v>
      </c>
      <c r="E307" s="5" t="s">
        <v>5885</v>
      </c>
      <c r="F307" s="69" t="s">
        <v>4389</v>
      </c>
      <c r="I307" s="2"/>
      <c r="K307" s="82">
        <v>0.68559999999999999</v>
      </c>
    </row>
    <row r="308" spans="1:11" ht="12.75" customHeight="1" x14ac:dyDescent="0.2">
      <c r="A308" s="33">
        <v>42336</v>
      </c>
      <c r="B308" t="s">
        <v>3508</v>
      </c>
      <c r="C308" s="1" t="s">
        <v>3632</v>
      </c>
      <c r="D308" s="1">
        <v>1.6736111111111111E-2</v>
      </c>
      <c r="E308" t="s">
        <v>5885</v>
      </c>
      <c r="F308" s="69" t="s">
        <v>5387</v>
      </c>
      <c r="I308" s="2"/>
      <c r="K308" s="82">
        <v>0.62719999999999998</v>
      </c>
    </row>
    <row r="309" spans="1:11" ht="12.75" customHeight="1" x14ac:dyDescent="0.2">
      <c r="A309" s="33">
        <v>42322</v>
      </c>
      <c r="B309" t="s">
        <v>3508</v>
      </c>
      <c r="C309" s="1" t="s">
        <v>3632</v>
      </c>
      <c r="D309" s="1">
        <v>1.5289351851851851E-2</v>
      </c>
      <c r="E309" t="s">
        <v>5885</v>
      </c>
      <c r="F309" s="69" t="s">
        <v>5056</v>
      </c>
      <c r="I309" s="2"/>
      <c r="K309" s="82">
        <v>0.68659999999999999</v>
      </c>
    </row>
    <row r="310" spans="1:11" ht="12.75" customHeight="1" x14ac:dyDescent="0.2">
      <c r="A310" s="33">
        <v>42315</v>
      </c>
      <c r="B310" t="s">
        <v>3508</v>
      </c>
      <c r="C310" s="1" t="s">
        <v>3632</v>
      </c>
      <c r="D310" s="1">
        <v>1.5358796296296296E-2</v>
      </c>
      <c r="E310" t="s">
        <v>5885</v>
      </c>
      <c r="F310" s="69" t="s">
        <v>5619</v>
      </c>
      <c r="I310" s="2"/>
      <c r="K310" s="82">
        <v>0.6835</v>
      </c>
    </row>
    <row r="311" spans="1:11" ht="12.75" customHeight="1" x14ac:dyDescent="0.2">
      <c r="A311" s="33">
        <v>42301</v>
      </c>
      <c r="B311" t="s">
        <v>3508</v>
      </c>
      <c r="C311" s="1" t="s">
        <v>3632</v>
      </c>
      <c r="D311" s="1">
        <v>1.7881944444444443E-2</v>
      </c>
      <c r="E311" t="s">
        <v>5885</v>
      </c>
      <c r="F311" s="69"/>
      <c r="I311" s="2"/>
      <c r="K311" s="82">
        <v>0.58709999999999996</v>
      </c>
    </row>
    <row r="312" spans="1:11" ht="12.75" customHeight="1" x14ac:dyDescent="0.2">
      <c r="A312" s="33">
        <v>42294</v>
      </c>
      <c r="B312" t="s">
        <v>3508</v>
      </c>
      <c r="C312" s="1" t="s">
        <v>3632</v>
      </c>
      <c r="D312" s="1">
        <v>1.5648148148148151E-2</v>
      </c>
      <c r="E312" t="s">
        <v>5885</v>
      </c>
      <c r="F312" s="69" t="s">
        <v>153</v>
      </c>
      <c r="I312" s="2"/>
      <c r="K312" s="82">
        <v>0.67090000000000005</v>
      </c>
    </row>
    <row r="313" spans="1:11" ht="12.75" customHeight="1" x14ac:dyDescent="0.2">
      <c r="A313" s="33">
        <v>42280</v>
      </c>
      <c r="B313" t="s">
        <v>3508</v>
      </c>
      <c r="C313" s="1" t="s">
        <v>3632</v>
      </c>
      <c r="D313" s="1" t="s">
        <v>787</v>
      </c>
      <c r="E313" t="s">
        <v>5885</v>
      </c>
      <c r="F313" s="69" t="s">
        <v>2052</v>
      </c>
      <c r="I313" s="2"/>
      <c r="K313" s="82"/>
    </row>
    <row r="314" spans="1:11" ht="12.75" customHeight="1" x14ac:dyDescent="0.2">
      <c r="A314" s="33">
        <v>42266</v>
      </c>
      <c r="B314" t="s">
        <v>3508</v>
      </c>
      <c r="C314" s="1" t="s">
        <v>3632</v>
      </c>
      <c r="D314" s="1">
        <v>1.5914351851851853E-2</v>
      </c>
      <c r="E314" t="s">
        <v>1120</v>
      </c>
      <c r="F314" s="69" t="s">
        <v>5249</v>
      </c>
      <c r="K314" s="82">
        <v>0.65959999999999996</v>
      </c>
    </row>
    <row r="315" spans="1:11" ht="12.75" customHeight="1" x14ac:dyDescent="0.2">
      <c r="A315" s="33">
        <v>42259</v>
      </c>
      <c r="B315" t="s">
        <v>3508</v>
      </c>
      <c r="C315" s="1" t="s">
        <v>3632</v>
      </c>
      <c r="D315" s="1">
        <v>1.6631944444444446E-2</v>
      </c>
      <c r="E315" t="s">
        <v>5885</v>
      </c>
      <c r="F315" s="69"/>
      <c r="K315" s="82">
        <v>0.63119999999999998</v>
      </c>
    </row>
    <row r="316" spans="1:11" ht="12" customHeight="1" x14ac:dyDescent="0.2">
      <c r="A316" s="33">
        <v>42252</v>
      </c>
      <c r="B316" t="s">
        <v>3508</v>
      </c>
      <c r="C316" s="1" t="s">
        <v>3632</v>
      </c>
      <c r="D316" s="1">
        <v>1.7627314814814814E-2</v>
      </c>
      <c r="E316" t="s">
        <v>1120</v>
      </c>
      <c r="F316" s="69" t="s">
        <v>18</v>
      </c>
      <c r="K316" s="82">
        <v>0.5917</v>
      </c>
    </row>
    <row r="317" spans="1:11" ht="12" customHeight="1" x14ac:dyDescent="0.2">
      <c r="A317" s="33">
        <v>42245</v>
      </c>
      <c r="B317" t="s">
        <v>3508</v>
      </c>
      <c r="C317" s="1" t="s">
        <v>3632</v>
      </c>
      <c r="D317" s="1">
        <v>1.9814814814814816E-2</v>
      </c>
      <c r="E317" t="s">
        <v>5885</v>
      </c>
      <c r="F317" s="69" t="s">
        <v>779</v>
      </c>
      <c r="K317" s="82">
        <v>0.52980000000000005</v>
      </c>
    </row>
    <row r="318" spans="1:11" ht="12" customHeight="1" x14ac:dyDescent="0.2">
      <c r="A318" s="33">
        <v>42238</v>
      </c>
      <c r="B318" t="s">
        <v>3508</v>
      </c>
      <c r="C318" s="1" t="s">
        <v>3632</v>
      </c>
      <c r="D318" s="1">
        <v>1.5914351851851853E-2</v>
      </c>
      <c r="E318" t="s">
        <v>5885</v>
      </c>
      <c r="F318" s="69" t="s">
        <v>2983</v>
      </c>
      <c r="K318" s="82">
        <v>0.65959999999999996</v>
      </c>
    </row>
    <row r="319" spans="1:11" x14ac:dyDescent="0.2">
      <c r="A319" s="33">
        <v>42231</v>
      </c>
      <c r="B319" t="s">
        <v>3508</v>
      </c>
      <c r="C319" s="1" t="s">
        <v>3632</v>
      </c>
      <c r="D319" s="1">
        <v>1.4895833333333332E-2</v>
      </c>
      <c r="E319" t="s">
        <v>5885</v>
      </c>
      <c r="F319" s="69" t="s">
        <v>3224</v>
      </c>
      <c r="K319" s="82">
        <v>0.70469999999999999</v>
      </c>
    </row>
    <row r="320" spans="1:11" x14ac:dyDescent="0.2">
      <c r="A320" s="33">
        <v>42217</v>
      </c>
      <c r="B320" t="s">
        <v>3508</v>
      </c>
      <c r="C320" s="1" t="s">
        <v>3632</v>
      </c>
      <c r="D320" s="1">
        <v>1.6863425925925928E-2</v>
      </c>
      <c r="E320" t="s">
        <v>5885</v>
      </c>
      <c r="F320" s="69" t="s">
        <v>107</v>
      </c>
      <c r="K320" s="82">
        <v>0.62250000000000005</v>
      </c>
    </row>
    <row r="321" spans="1:11" ht="12" customHeight="1" x14ac:dyDescent="0.2">
      <c r="A321" s="33">
        <v>42210</v>
      </c>
      <c r="B321" t="s">
        <v>3508</v>
      </c>
      <c r="C321" s="1" t="s">
        <v>3632</v>
      </c>
      <c r="D321" s="1">
        <v>1.6180555555555556E-2</v>
      </c>
      <c r="E321" t="s">
        <v>5885</v>
      </c>
      <c r="F321" s="69" t="s">
        <v>1602</v>
      </c>
      <c r="K321" s="82">
        <v>0.6431</v>
      </c>
    </row>
    <row r="322" spans="1:11" ht="12" customHeight="1" x14ac:dyDescent="0.2">
      <c r="A322" s="33">
        <v>42203</v>
      </c>
      <c r="B322" t="s">
        <v>3508</v>
      </c>
      <c r="C322" s="1" t="s">
        <v>3632</v>
      </c>
      <c r="D322" s="1">
        <v>1.5150462962962963E-2</v>
      </c>
      <c r="E322" t="s">
        <v>5885</v>
      </c>
      <c r="F322" s="69" t="s">
        <v>673</v>
      </c>
      <c r="K322" s="82">
        <v>0.68679999999999997</v>
      </c>
    </row>
    <row r="323" spans="1:11" ht="12.75" customHeight="1" x14ac:dyDescent="0.2">
      <c r="A323" s="33">
        <v>42196</v>
      </c>
      <c r="B323" t="s">
        <v>3508</v>
      </c>
      <c r="C323" s="1" t="s">
        <v>3632</v>
      </c>
      <c r="D323" s="1">
        <v>1.5902777777777776E-2</v>
      </c>
      <c r="E323" t="s">
        <v>5885</v>
      </c>
      <c r="F323" s="69"/>
      <c r="G323" s="6"/>
      <c r="H323" s="6"/>
      <c r="K323" s="82">
        <v>0.65429999999999999</v>
      </c>
    </row>
    <row r="324" spans="1:11" ht="12.75" customHeight="1" x14ac:dyDescent="0.2">
      <c r="A324" s="33">
        <v>42189</v>
      </c>
      <c r="B324" t="s">
        <v>3508</v>
      </c>
      <c r="C324" s="1" t="s">
        <v>3632</v>
      </c>
      <c r="D324" s="1">
        <v>1.6168981481481482E-2</v>
      </c>
      <c r="E324" t="s">
        <v>5885</v>
      </c>
      <c r="F324" s="69" t="s">
        <v>3003</v>
      </c>
      <c r="K324" s="82">
        <v>0.64349999999999996</v>
      </c>
    </row>
    <row r="325" spans="1:11" ht="12.75" customHeight="1" x14ac:dyDescent="0.2">
      <c r="A325" s="33">
        <v>42182</v>
      </c>
      <c r="B325" t="s">
        <v>3508</v>
      </c>
      <c r="C325" s="1" t="s">
        <v>3632</v>
      </c>
      <c r="D325" s="1">
        <v>1.4594907407407405E-2</v>
      </c>
      <c r="E325" t="s">
        <v>5885</v>
      </c>
      <c r="F325" s="69" t="s">
        <v>2547</v>
      </c>
      <c r="H325" t="s">
        <v>2868</v>
      </c>
      <c r="K325" s="82">
        <v>0.71289999999999998</v>
      </c>
    </row>
    <row r="326" spans="1:11" ht="12.75" customHeight="1" x14ac:dyDescent="0.2">
      <c r="A326" s="33">
        <v>42175</v>
      </c>
      <c r="B326" t="s">
        <v>3508</v>
      </c>
      <c r="C326" s="1" t="s">
        <v>3632</v>
      </c>
      <c r="D326" s="1">
        <v>1.4930555555555556E-2</v>
      </c>
      <c r="E326" t="s">
        <v>5947</v>
      </c>
      <c r="F326" s="69" t="s">
        <v>5738</v>
      </c>
      <c r="K326" s="82">
        <v>0.69689999999999996</v>
      </c>
    </row>
    <row r="327" spans="1:11" ht="12.75" customHeight="1" x14ac:dyDescent="0.2">
      <c r="A327" s="33">
        <v>42168</v>
      </c>
      <c r="B327" t="s">
        <v>3508</v>
      </c>
      <c r="C327" s="1" t="s">
        <v>3632</v>
      </c>
      <c r="D327" s="1">
        <v>1.5949074074074074E-2</v>
      </c>
      <c r="E327" t="s">
        <v>5885</v>
      </c>
      <c r="F327" s="69" t="s">
        <v>940</v>
      </c>
      <c r="K327" s="82">
        <v>0.65239999999999998</v>
      </c>
    </row>
    <row r="328" spans="1:11" ht="12.75" customHeight="1" x14ac:dyDescent="0.2">
      <c r="A328" s="33">
        <v>42161</v>
      </c>
      <c r="B328" t="s">
        <v>3508</v>
      </c>
      <c r="C328" s="1" t="s">
        <v>3632</v>
      </c>
      <c r="D328" s="1">
        <v>1.6087962962962964E-2</v>
      </c>
      <c r="E328" t="s">
        <v>5885</v>
      </c>
      <c r="F328" s="69" t="s">
        <v>2335</v>
      </c>
      <c r="K328" s="82">
        <v>0.64680000000000004</v>
      </c>
    </row>
    <row r="329" spans="1:11" ht="12.75" customHeight="1" x14ac:dyDescent="0.2">
      <c r="A329" s="33">
        <v>42154</v>
      </c>
      <c r="B329" t="s">
        <v>3508</v>
      </c>
      <c r="C329" s="1" t="s">
        <v>3632</v>
      </c>
      <c r="D329" s="1">
        <v>1.4884259259259259E-2</v>
      </c>
      <c r="E329" t="s">
        <v>5885</v>
      </c>
      <c r="F329" s="69" t="s">
        <v>4650</v>
      </c>
      <c r="K329" s="82">
        <v>0.69910000000000005</v>
      </c>
    </row>
    <row r="330" spans="1:11" ht="12.75" customHeight="1" x14ac:dyDescent="0.2">
      <c r="A330" s="33">
        <v>42140</v>
      </c>
      <c r="B330" t="s">
        <v>3508</v>
      </c>
      <c r="C330" s="1" t="s">
        <v>3632</v>
      </c>
      <c r="D330" s="1">
        <v>1.5231481481481483E-2</v>
      </c>
      <c r="E330" t="s">
        <v>1003</v>
      </c>
      <c r="F330" s="69" t="s">
        <v>3222</v>
      </c>
      <c r="K330" s="82">
        <v>0.68310000000000004</v>
      </c>
    </row>
    <row r="331" spans="1:11" ht="12.75" customHeight="1" x14ac:dyDescent="0.2">
      <c r="A331" s="33">
        <v>42133</v>
      </c>
      <c r="B331" t="s">
        <v>3508</v>
      </c>
      <c r="C331" s="1" t="s">
        <v>3632</v>
      </c>
      <c r="D331" s="1">
        <v>1.5787037037037037E-2</v>
      </c>
      <c r="E331" t="s">
        <v>5885</v>
      </c>
      <c r="F331" s="69" t="s">
        <v>2877</v>
      </c>
      <c r="G331" s="42"/>
      <c r="H331" s="42"/>
      <c r="K331" s="82">
        <v>0.65910000000000002</v>
      </c>
    </row>
    <row r="332" spans="1:11" ht="12.75" customHeight="1" x14ac:dyDescent="0.2">
      <c r="A332" s="33">
        <v>42126</v>
      </c>
      <c r="B332" t="s">
        <v>3508</v>
      </c>
      <c r="C332" s="1" t="s">
        <v>3632</v>
      </c>
      <c r="D332" s="1">
        <v>1.5127314814814816E-2</v>
      </c>
      <c r="E332" t="s">
        <v>1078</v>
      </c>
      <c r="F332" s="69" t="s">
        <v>3037</v>
      </c>
      <c r="I332" s="42"/>
      <c r="J332" s="42"/>
      <c r="K332" s="82">
        <v>0.68779999999999997</v>
      </c>
    </row>
    <row r="333" spans="1:11" x14ac:dyDescent="0.2">
      <c r="A333" s="33">
        <v>42119</v>
      </c>
      <c r="B333" t="s">
        <v>3508</v>
      </c>
      <c r="C333" s="1" t="s">
        <v>3632</v>
      </c>
      <c r="D333" s="1">
        <v>1.6111111111111111E-2</v>
      </c>
      <c r="E333" t="s">
        <v>5885</v>
      </c>
      <c r="F333" s="69" t="s">
        <v>130</v>
      </c>
      <c r="H333" t="s">
        <v>2988</v>
      </c>
      <c r="K333" s="82">
        <v>0.64580000000000004</v>
      </c>
    </row>
    <row r="334" spans="1:11" x14ac:dyDescent="0.2">
      <c r="A334" s="33">
        <v>42112</v>
      </c>
      <c r="B334" t="s">
        <v>3508</v>
      </c>
      <c r="C334" s="1" t="s">
        <v>3632</v>
      </c>
      <c r="D334" s="1">
        <v>1.5150462962962963E-2</v>
      </c>
      <c r="E334" t="s">
        <v>5885</v>
      </c>
      <c r="F334" s="69" t="s">
        <v>2538</v>
      </c>
      <c r="K334" s="82">
        <v>0.68679999999999997</v>
      </c>
    </row>
    <row r="335" spans="1:11" ht="12.75" customHeight="1" x14ac:dyDescent="0.2">
      <c r="A335" s="33">
        <v>42105</v>
      </c>
      <c r="B335" t="s">
        <v>3508</v>
      </c>
      <c r="C335" s="1" t="s">
        <v>3632</v>
      </c>
      <c r="D335" s="1">
        <v>1.6724537037037034E-2</v>
      </c>
      <c r="E335" t="s">
        <v>5885</v>
      </c>
      <c r="F335" s="69"/>
      <c r="K335" s="82">
        <v>0.62209999999999999</v>
      </c>
    </row>
    <row r="336" spans="1:11" ht="12.75" customHeight="1" x14ac:dyDescent="0.2">
      <c r="A336" s="33">
        <v>42091</v>
      </c>
      <c r="B336" t="s">
        <v>3508</v>
      </c>
      <c r="C336" s="1" t="s">
        <v>3632</v>
      </c>
      <c r="D336" s="1">
        <v>1.5856481481481482E-2</v>
      </c>
      <c r="E336" t="s">
        <v>5885</v>
      </c>
      <c r="F336" s="42" t="s">
        <v>4028</v>
      </c>
      <c r="K336" s="82">
        <v>0.65620000000000001</v>
      </c>
    </row>
    <row r="337" spans="1:11" ht="12.75" customHeight="1" x14ac:dyDescent="0.2">
      <c r="A337" s="33">
        <v>42084</v>
      </c>
      <c r="B337" t="s">
        <v>3508</v>
      </c>
      <c r="C337" s="1" t="s">
        <v>3632</v>
      </c>
      <c r="D337" s="1">
        <v>1.525462962962963E-2</v>
      </c>
      <c r="E337" t="s">
        <v>5885</v>
      </c>
      <c r="F337" s="42" t="s">
        <v>4476</v>
      </c>
      <c r="K337" s="82">
        <v>0.68210000000000004</v>
      </c>
    </row>
    <row r="338" spans="1:11" ht="12.75" customHeight="1" x14ac:dyDescent="0.2">
      <c r="A338" s="33">
        <v>42077</v>
      </c>
      <c r="B338" t="s">
        <v>3508</v>
      </c>
      <c r="C338" s="1" t="s">
        <v>3632</v>
      </c>
      <c r="D338" s="1">
        <v>1.5636574074074074E-2</v>
      </c>
      <c r="E338" t="s">
        <v>5885</v>
      </c>
      <c r="F338" s="69" t="s">
        <v>250</v>
      </c>
      <c r="I338" s="42"/>
      <c r="J338" s="42"/>
      <c r="K338" s="82">
        <v>0.66539999999999999</v>
      </c>
    </row>
    <row r="339" spans="1:11" ht="12.75" customHeight="1" x14ac:dyDescent="0.2">
      <c r="A339" s="33">
        <v>42070</v>
      </c>
      <c r="B339" t="s">
        <v>3508</v>
      </c>
      <c r="C339" s="1" t="s">
        <v>3632</v>
      </c>
      <c r="D339" s="1">
        <v>1.4699074074074074E-2</v>
      </c>
      <c r="E339" t="s">
        <v>1120</v>
      </c>
      <c r="F339" s="69" t="s">
        <v>3992</v>
      </c>
      <c r="K339" s="82">
        <v>0.70789999999999997</v>
      </c>
    </row>
    <row r="340" spans="1:11" ht="12.75" customHeight="1" x14ac:dyDescent="0.2">
      <c r="A340" s="33">
        <v>42063</v>
      </c>
      <c r="B340" t="s">
        <v>3508</v>
      </c>
      <c r="C340" s="1" t="s">
        <v>3632</v>
      </c>
      <c r="D340" s="1">
        <v>1.5370370370370369E-2</v>
      </c>
      <c r="E340" t="s">
        <v>1120</v>
      </c>
      <c r="F340" s="42"/>
      <c r="K340" s="82">
        <v>0.67700000000000005</v>
      </c>
    </row>
    <row r="341" spans="1:11" ht="12.75" customHeight="1" x14ac:dyDescent="0.2">
      <c r="A341" s="33">
        <v>42056</v>
      </c>
      <c r="B341" t="s">
        <v>3508</v>
      </c>
      <c r="C341" s="1" t="s">
        <v>3632</v>
      </c>
      <c r="D341" s="1">
        <v>1.6805555555555556E-2</v>
      </c>
      <c r="E341" t="s">
        <v>5885</v>
      </c>
      <c r="F341" s="69"/>
      <c r="I341" s="6"/>
      <c r="J341" s="6"/>
      <c r="K341" s="82">
        <v>0.61909999999999998</v>
      </c>
    </row>
    <row r="342" spans="1:11" ht="12.75" customHeight="1" x14ac:dyDescent="0.2">
      <c r="A342" s="33">
        <v>42049</v>
      </c>
      <c r="B342" t="s">
        <v>3508</v>
      </c>
      <c r="C342" s="1" t="s">
        <v>3632</v>
      </c>
      <c r="D342" s="1">
        <v>1.638888888888889E-2</v>
      </c>
      <c r="E342" t="s">
        <v>5885</v>
      </c>
      <c r="F342" s="69" t="s">
        <v>4182</v>
      </c>
      <c r="G342" s="6"/>
      <c r="H342" s="6"/>
      <c r="K342" s="82">
        <v>0.63490000000000002</v>
      </c>
    </row>
    <row r="343" spans="1:11" ht="12.75" customHeight="1" x14ac:dyDescent="0.2">
      <c r="A343" s="33">
        <v>42042</v>
      </c>
      <c r="B343" t="s">
        <v>3508</v>
      </c>
      <c r="C343" s="1" t="s">
        <v>3632</v>
      </c>
      <c r="D343" s="1">
        <v>1.4907407407407406E-2</v>
      </c>
      <c r="E343" t="s">
        <v>5885</v>
      </c>
      <c r="F343" s="42"/>
      <c r="K343" s="82">
        <v>0.69799999999999995</v>
      </c>
    </row>
    <row r="344" spans="1:11" ht="12.75" customHeight="1" x14ac:dyDescent="0.2">
      <c r="A344" s="33">
        <v>42035</v>
      </c>
      <c r="B344" t="s">
        <v>3508</v>
      </c>
      <c r="C344" s="1" t="s">
        <v>3632</v>
      </c>
      <c r="D344" s="1">
        <v>1.7106481481481483E-2</v>
      </c>
      <c r="E344" t="s">
        <v>5885</v>
      </c>
      <c r="F344" s="42"/>
      <c r="K344" s="82">
        <v>0.60829999999999995</v>
      </c>
    </row>
    <row r="345" spans="1:11" ht="12.75" customHeight="1" x14ac:dyDescent="0.2">
      <c r="A345" s="33">
        <v>42028</v>
      </c>
      <c r="B345" t="s">
        <v>3508</v>
      </c>
      <c r="C345" s="1" t="s">
        <v>3632</v>
      </c>
      <c r="D345" s="1">
        <v>1.5289351851851851E-2</v>
      </c>
      <c r="E345" t="s">
        <v>5885</v>
      </c>
      <c r="F345" s="42"/>
      <c r="K345" s="82">
        <v>0.68049999999999999</v>
      </c>
    </row>
    <row r="346" spans="1:11" ht="12.75" customHeight="1" x14ac:dyDescent="0.2">
      <c r="A346" s="33">
        <v>42021</v>
      </c>
      <c r="B346" t="s">
        <v>3508</v>
      </c>
      <c r="C346" s="1" t="s">
        <v>3632</v>
      </c>
      <c r="D346" s="1">
        <v>1.5578703703703704E-2</v>
      </c>
      <c r="E346" t="s">
        <v>1003</v>
      </c>
      <c r="F346" s="42" t="s">
        <v>4648</v>
      </c>
      <c r="K346" s="82">
        <v>0.66790000000000005</v>
      </c>
    </row>
    <row r="347" spans="1:11" ht="12.75" customHeight="1" x14ac:dyDescent="0.2">
      <c r="A347" s="33">
        <v>42007</v>
      </c>
      <c r="B347" t="s">
        <v>3508</v>
      </c>
      <c r="C347" s="1" t="s">
        <v>3632</v>
      </c>
      <c r="D347" s="1">
        <v>1.6631944444444446E-2</v>
      </c>
      <c r="E347" t="s">
        <v>5885</v>
      </c>
      <c r="F347" s="42" t="s">
        <v>2476</v>
      </c>
      <c r="K347" s="82">
        <v>0.62560000000000004</v>
      </c>
    </row>
    <row r="348" spans="1:11" ht="12.75" customHeight="1" x14ac:dyDescent="0.2">
      <c r="A348" s="33">
        <v>42005</v>
      </c>
      <c r="B348" t="s">
        <v>3508</v>
      </c>
      <c r="C348" s="1" t="s">
        <v>3632</v>
      </c>
      <c r="D348" s="1">
        <v>1.9212962962962963E-2</v>
      </c>
      <c r="E348" t="s">
        <v>5441</v>
      </c>
      <c r="F348" s="69" t="s">
        <v>141</v>
      </c>
      <c r="G348" t="s">
        <v>1200</v>
      </c>
      <c r="I348" s="6"/>
      <c r="J348" s="6"/>
      <c r="K348" s="82">
        <v>0.54159999999999997</v>
      </c>
    </row>
    <row r="349" spans="1:11" x14ac:dyDescent="0.2">
      <c r="A349" s="33">
        <v>42363</v>
      </c>
      <c r="B349" s="53" t="s">
        <v>4259</v>
      </c>
      <c r="C349" s="54" t="s">
        <v>3632</v>
      </c>
      <c r="D349" s="1" t="s">
        <v>787</v>
      </c>
      <c r="E349" t="s">
        <v>5885</v>
      </c>
      <c r="F349" s="69" t="s">
        <v>1567</v>
      </c>
      <c r="I349" s="2"/>
      <c r="K349" s="82"/>
    </row>
    <row r="350" spans="1:11" x14ac:dyDescent="0.2">
      <c r="A350" s="33">
        <v>42196</v>
      </c>
      <c r="B350" s="53" t="s">
        <v>4259</v>
      </c>
      <c r="C350" s="54" t="s">
        <v>3632</v>
      </c>
      <c r="D350" s="1" t="s">
        <v>787</v>
      </c>
      <c r="E350" t="s">
        <v>5947</v>
      </c>
      <c r="F350" s="69" t="s">
        <v>3301</v>
      </c>
      <c r="K350" s="82"/>
    </row>
    <row r="351" spans="1:11" x14ac:dyDescent="0.2">
      <c r="A351" s="33">
        <v>42105</v>
      </c>
      <c r="B351" s="53" t="s">
        <v>4259</v>
      </c>
      <c r="C351" s="54" t="s">
        <v>3632</v>
      </c>
      <c r="D351" s="1">
        <v>1.9606481481481482E-2</v>
      </c>
      <c r="E351" t="s">
        <v>5947</v>
      </c>
      <c r="F351" s="69" t="s">
        <v>2724</v>
      </c>
      <c r="K351" s="82">
        <v>0.6169</v>
      </c>
    </row>
    <row r="352" spans="1:11" x14ac:dyDescent="0.2">
      <c r="A352" s="33">
        <v>42091</v>
      </c>
      <c r="B352" s="53" t="s">
        <v>4259</v>
      </c>
      <c r="C352" s="54" t="s">
        <v>3632</v>
      </c>
      <c r="D352" s="1">
        <v>2.0057870370370368E-2</v>
      </c>
      <c r="E352" t="s">
        <v>5517</v>
      </c>
      <c r="F352" s="42" t="s">
        <v>3914</v>
      </c>
      <c r="K352" s="82">
        <v>0.60299999999999998</v>
      </c>
    </row>
    <row r="353" spans="1:19" ht="12.75" customHeight="1" x14ac:dyDescent="0.2">
      <c r="A353" s="33">
        <v>42084</v>
      </c>
      <c r="B353" s="53" t="s">
        <v>4259</v>
      </c>
      <c r="C353" s="54" t="s">
        <v>3632</v>
      </c>
      <c r="D353" s="1">
        <v>2.3171296296296297E-2</v>
      </c>
      <c r="E353" t="s">
        <v>1851</v>
      </c>
      <c r="F353" s="42"/>
      <c r="K353" s="82">
        <v>0.52200000000000002</v>
      </c>
    </row>
    <row r="354" spans="1:19" ht="12.75" customHeight="1" x14ac:dyDescent="0.2">
      <c r="A354" s="33">
        <v>42077</v>
      </c>
      <c r="B354" s="53" t="s">
        <v>4259</v>
      </c>
      <c r="C354" s="54" t="s">
        <v>3632</v>
      </c>
      <c r="D354" s="1">
        <v>1.9363425925925926E-2</v>
      </c>
      <c r="E354" t="s">
        <v>5517</v>
      </c>
      <c r="F354" s="69" t="s">
        <v>1850</v>
      </c>
      <c r="G354" s="42"/>
      <c r="H354" s="42"/>
      <c r="I354" s="42"/>
      <c r="J354" s="42"/>
      <c r="K354" s="82">
        <v>0.62460000000000004</v>
      </c>
    </row>
    <row r="355" spans="1:19" ht="12.75" customHeight="1" x14ac:dyDescent="0.2">
      <c r="A355" s="33">
        <v>42056</v>
      </c>
      <c r="B355" s="53" t="s">
        <v>4259</v>
      </c>
      <c r="C355" s="54" t="s">
        <v>3632</v>
      </c>
      <c r="D355" s="1">
        <v>1.8865740740740742E-2</v>
      </c>
      <c r="E355" t="s">
        <v>5885</v>
      </c>
      <c r="F355" s="69"/>
      <c r="I355" s="6"/>
      <c r="J355" s="6"/>
      <c r="K355" s="82">
        <v>0.6411</v>
      </c>
    </row>
    <row r="356" spans="1:19" ht="12.75" customHeight="1" x14ac:dyDescent="0.2">
      <c r="A356" s="33">
        <v>42049</v>
      </c>
      <c r="B356" s="53" t="s">
        <v>4259</v>
      </c>
      <c r="C356" s="54" t="s">
        <v>3632</v>
      </c>
      <c r="D356" s="1">
        <v>2.0185185185185184E-2</v>
      </c>
      <c r="E356" t="s">
        <v>5885</v>
      </c>
      <c r="F356" s="69" t="s">
        <v>5474</v>
      </c>
      <c r="H356" t="s">
        <v>2988</v>
      </c>
      <c r="K356" s="82">
        <v>0.59919999999999995</v>
      </c>
    </row>
    <row r="357" spans="1:19" x14ac:dyDescent="0.2">
      <c r="A357" s="33">
        <v>42042</v>
      </c>
      <c r="B357" s="330" t="s">
        <v>4259</v>
      </c>
      <c r="C357" s="331" t="s">
        <v>3632</v>
      </c>
      <c r="D357" s="1" t="s">
        <v>787</v>
      </c>
      <c r="E357" t="s">
        <v>5947</v>
      </c>
      <c r="F357" s="42" t="s">
        <v>1238</v>
      </c>
      <c r="K357" s="82"/>
    </row>
    <row r="358" spans="1:19" ht="12.75" customHeight="1" x14ac:dyDescent="0.2">
      <c r="A358" s="33">
        <v>42014</v>
      </c>
      <c r="B358" s="53" t="s">
        <v>4259</v>
      </c>
      <c r="C358" s="54" t="s">
        <v>3632</v>
      </c>
      <c r="D358" s="1" t="s">
        <v>787</v>
      </c>
      <c r="E358" t="s">
        <v>5947</v>
      </c>
      <c r="F358" s="42" t="s">
        <v>1522</v>
      </c>
      <c r="K358" s="82"/>
    </row>
    <row r="359" spans="1:19" ht="12.75" customHeight="1" x14ac:dyDescent="0.2">
      <c r="A359" s="33">
        <v>42007</v>
      </c>
      <c r="B359" s="53" t="s">
        <v>4259</v>
      </c>
      <c r="C359" s="54" t="s">
        <v>3632</v>
      </c>
      <c r="D359" s="1">
        <v>2.0277777777777777E-2</v>
      </c>
      <c r="E359" t="s">
        <v>5947</v>
      </c>
      <c r="F359" s="42"/>
      <c r="K359" s="82">
        <v>0.59650000000000003</v>
      </c>
    </row>
    <row r="360" spans="1:19" ht="12.75" customHeight="1" x14ac:dyDescent="0.2">
      <c r="A360" s="33">
        <v>42005</v>
      </c>
      <c r="B360" s="53" t="s">
        <v>4259</v>
      </c>
      <c r="C360" s="54" t="s">
        <v>3632</v>
      </c>
      <c r="D360" s="1">
        <v>1.9212962962962963E-2</v>
      </c>
      <c r="E360" t="s">
        <v>5441</v>
      </c>
      <c r="F360" s="69" t="s">
        <v>141</v>
      </c>
      <c r="G360" s="42"/>
      <c r="H360" s="42"/>
      <c r="I360" s="6"/>
      <c r="J360" s="6"/>
      <c r="K360" s="82">
        <v>0.62949999999999995</v>
      </c>
    </row>
    <row r="361" spans="1:19" ht="12.75" customHeight="1" x14ac:dyDescent="0.2">
      <c r="A361" s="33">
        <v>42287</v>
      </c>
      <c r="B361" t="s">
        <v>3508</v>
      </c>
      <c r="C361" s="1" t="s">
        <v>40</v>
      </c>
      <c r="D361" s="1">
        <v>1.6238425925925924E-2</v>
      </c>
      <c r="E361" t="s">
        <v>1003</v>
      </c>
      <c r="F361" s="69" t="s">
        <v>4189</v>
      </c>
      <c r="I361" s="2"/>
      <c r="K361" s="82">
        <v>0.64649999999999996</v>
      </c>
    </row>
    <row r="362" spans="1:19" x14ac:dyDescent="0.2">
      <c r="A362" s="33">
        <v>42364</v>
      </c>
      <c r="B362" t="s">
        <v>4576</v>
      </c>
      <c r="C362" s="1" t="s">
        <v>4577</v>
      </c>
      <c r="D362" s="1">
        <v>1.577546296296296E-2</v>
      </c>
      <c r="E362" t="s">
        <v>5883</v>
      </c>
      <c r="F362" s="69" t="s">
        <v>4048</v>
      </c>
      <c r="I362" s="2"/>
      <c r="K362" s="82">
        <v>0.61919999999999997</v>
      </c>
    </row>
    <row r="363" spans="1:19" x14ac:dyDescent="0.2">
      <c r="A363" s="33">
        <v>42357</v>
      </c>
      <c r="B363" t="s">
        <v>4576</v>
      </c>
      <c r="C363" s="1" t="s">
        <v>4577</v>
      </c>
      <c r="D363" s="1">
        <v>1.7395833333333336E-2</v>
      </c>
      <c r="E363" t="s">
        <v>5883</v>
      </c>
      <c r="F363" s="69" t="s">
        <v>1607</v>
      </c>
      <c r="I363" s="2"/>
      <c r="K363" s="82">
        <v>0.5615</v>
      </c>
      <c r="S363" s="80"/>
    </row>
    <row r="364" spans="1:19" x14ac:dyDescent="0.2">
      <c r="A364" s="33">
        <v>42350</v>
      </c>
      <c r="B364" t="s">
        <v>4576</v>
      </c>
      <c r="C364" s="1" t="s">
        <v>4577</v>
      </c>
      <c r="D364" s="1">
        <v>1.5694444444444445E-2</v>
      </c>
      <c r="E364" t="s">
        <v>5883</v>
      </c>
      <c r="F364" s="69" t="s">
        <v>2553</v>
      </c>
      <c r="I364" s="2"/>
      <c r="K364" s="82">
        <v>0.62239999999999995</v>
      </c>
    </row>
    <row r="365" spans="1:19" ht="12.75" customHeight="1" x14ac:dyDescent="0.2">
      <c r="A365" s="33">
        <v>42343</v>
      </c>
      <c r="B365" t="s">
        <v>4576</v>
      </c>
      <c r="C365" s="1" t="s">
        <v>4577</v>
      </c>
      <c r="D365" s="1">
        <v>1.5925925925925927E-2</v>
      </c>
      <c r="E365" s="5" t="s">
        <v>5883</v>
      </c>
      <c r="F365" s="69" t="s">
        <v>3918</v>
      </c>
      <c r="I365" s="2"/>
      <c r="K365" s="82">
        <v>0.61339999999999995</v>
      </c>
    </row>
    <row r="366" spans="1:19" ht="12.75" customHeight="1" x14ac:dyDescent="0.2">
      <c r="A366" s="33">
        <v>42336</v>
      </c>
      <c r="B366" t="s">
        <v>4576</v>
      </c>
      <c r="C366" s="1" t="s">
        <v>4577</v>
      </c>
      <c r="D366" s="114">
        <v>1.6111111111111111E-2</v>
      </c>
      <c r="E366" t="s">
        <v>5883</v>
      </c>
      <c r="F366" s="69" t="s">
        <v>4232</v>
      </c>
      <c r="I366" s="2"/>
      <c r="K366" s="82">
        <v>0.60629999999999995</v>
      </c>
    </row>
    <row r="367" spans="1:19" ht="12.75" customHeight="1" x14ac:dyDescent="0.2">
      <c r="A367" s="34">
        <v>42329</v>
      </c>
      <c r="B367" t="s">
        <v>4576</v>
      </c>
      <c r="C367" s="1" t="s">
        <v>4577</v>
      </c>
      <c r="D367" s="1">
        <v>1.5787037037037037E-2</v>
      </c>
      <c r="E367" t="s">
        <v>5883</v>
      </c>
      <c r="F367" s="69" t="s">
        <v>1846</v>
      </c>
      <c r="I367" s="2"/>
      <c r="K367" s="82">
        <v>0.61880000000000002</v>
      </c>
    </row>
    <row r="368" spans="1:19" ht="12.75" customHeight="1" x14ac:dyDescent="0.2">
      <c r="A368" s="33">
        <v>42322</v>
      </c>
      <c r="B368" t="s">
        <v>4576</v>
      </c>
      <c r="C368" s="1" t="s">
        <v>4577</v>
      </c>
      <c r="D368" s="1">
        <v>1.5682870370370371E-2</v>
      </c>
      <c r="E368" t="s">
        <v>5883</v>
      </c>
      <c r="F368" s="69" t="s">
        <v>4867</v>
      </c>
      <c r="I368" s="2"/>
      <c r="K368" s="82">
        <v>0.62290000000000001</v>
      </c>
    </row>
    <row r="369" spans="1:11" ht="12.75" customHeight="1" x14ac:dyDescent="0.2">
      <c r="A369" s="33">
        <v>42315</v>
      </c>
      <c r="B369" t="s">
        <v>4576</v>
      </c>
      <c r="C369" s="1" t="s">
        <v>4577</v>
      </c>
      <c r="D369" s="1">
        <v>1.7094907407407409E-2</v>
      </c>
      <c r="E369" t="s">
        <v>5883</v>
      </c>
      <c r="F369" s="69" t="s">
        <v>2042</v>
      </c>
      <c r="I369" s="2"/>
      <c r="K369" s="82">
        <v>0.57140000000000002</v>
      </c>
    </row>
    <row r="370" spans="1:11" ht="12.75" customHeight="1" x14ac:dyDescent="0.2">
      <c r="A370" s="33">
        <v>42308</v>
      </c>
      <c r="B370" t="s">
        <v>4576</v>
      </c>
      <c r="C370" s="1" t="s">
        <v>4577</v>
      </c>
      <c r="D370" s="1">
        <v>1.5694444444444445E-2</v>
      </c>
      <c r="E370" t="s">
        <v>5883</v>
      </c>
      <c r="F370" s="69" t="s">
        <v>2949</v>
      </c>
      <c r="I370" s="2"/>
      <c r="K370" s="82">
        <v>0.62239999999999995</v>
      </c>
    </row>
    <row r="371" spans="1:11" ht="12.75" customHeight="1" x14ac:dyDescent="0.2">
      <c r="A371" s="33">
        <v>42301</v>
      </c>
      <c r="B371" t="s">
        <v>4576</v>
      </c>
      <c r="C371" s="1" t="s">
        <v>4577</v>
      </c>
      <c r="D371" s="1">
        <v>1.6053240740740739E-2</v>
      </c>
      <c r="E371" t="s">
        <v>5883</v>
      </c>
      <c r="F371" s="69" t="s">
        <v>773</v>
      </c>
      <c r="I371" s="2"/>
      <c r="K371" s="82">
        <v>0.60850000000000004</v>
      </c>
    </row>
    <row r="372" spans="1:11" ht="12.75" customHeight="1" x14ac:dyDescent="0.2">
      <c r="A372" s="33">
        <v>42294</v>
      </c>
      <c r="B372" t="s">
        <v>4576</v>
      </c>
      <c r="C372" s="1" t="s">
        <v>4577</v>
      </c>
      <c r="D372" s="1">
        <v>1.6296296296296295E-2</v>
      </c>
      <c r="E372" t="s">
        <v>5883</v>
      </c>
      <c r="F372" s="69" t="s">
        <v>5780</v>
      </c>
      <c r="I372" s="2"/>
      <c r="K372" s="82">
        <v>0.59940000000000004</v>
      </c>
    </row>
    <row r="373" spans="1:11" ht="12.75" customHeight="1" x14ac:dyDescent="0.2">
      <c r="A373" s="33">
        <v>42287</v>
      </c>
      <c r="B373" t="s">
        <v>4576</v>
      </c>
      <c r="C373" s="1" t="s">
        <v>4577</v>
      </c>
      <c r="D373" s="1">
        <v>1.5590277777777778E-2</v>
      </c>
      <c r="E373" t="s">
        <v>5883</v>
      </c>
      <c r="F373" s="69" t="s">
        <v>4184</v>
      </c>
      <c r="I373" s="2"/>
      <c r="K373" s="82">
        <v>0.62660000000000005</v>
      </c>
    </row>
    <row r="374" spans="1:11" ht="12.75" customHeight="1" x14ac:dyDescent="0.2">
      <c r="A374" s="33">
        <v>42280</v>
      </c>
      <c r="B374" t="s">
        <v>4576</v>
      </c>
      <c r="C374" s="1" t="s">
        <v>4577</v>
      </c>
      <c r="D374" s="1">
        <v>1.6053240740740739E-2</v>
      </c>
      <c r="E374" t="s">
        <v>5883</v>
      </c>
      <c r="F374" s="69" t="s">
        <v>1130</v>
      </c>
      <c r="I374" s="2"/>
      <c r="K374" s="82">
        <v>0.60850000000000004</v>
      </c>
    </row>
    <row r="375" spans="1:11" ht="12.75" customHeight="1" x14ac:dyDescent="0.2">
      <c r="A375" s="33">
        <v>42273</v>
      </c>
      <c r="B375" t="s">
        <v>4576</v>
      </c>
      <c r="C375" s="1" t="s">
        <v>4577</v>
      </c>
      <c r="D375" s="1">
        <v>1.5856481481481482E-2</v>
      </c>
      <c r="E375" t="s">
        <v>5883</v>
      </c>
      <c r="F375" s="69" t="s">
        <v>392</v>
      </c>
      <c r="I375" s="2"/>
      <c r="K375" s="82">
        <v>0.61609999999999998</v>
      </c>
    </row>
    <row r="376" spans="1:11" ht="12.75" customHeight="1" x14ac:dyDescent="0.2">
      <c r="A376" s="33">
        <v>42266</v>
      </c>
      <c r="B376" t="s">
        <v>4576</v>
      </c>
      <c r="C376" s="1" t="s">
        <v>4577</v>
      </c>
      <c r="D376" s="1">
        <v>1.6006944444444445E-2</v>
      </c>
      <c r="E376" t="s">
        <v>5883</v>
      </c>
      <c r="F376" s="69" t="s">
        <v>5250</v>
      </c>
      <c r="K376" s="82">
        <v>0.61029999999999995</v>
      </c>
    </row>
    <row r="377" spans="1:11" ht="12.75" customHeight="1" x14ac:dyDescent="0.2">
      <c r="A377" s="33">
        <v>42259</v>
      </c>
      <c r="B377" t="s">
        <v>4576</v>
      </c>
      <c r="C377" s="1" t="s">
        <v>4577</v>
      </c>
      <c r="D377" s="1">
        <v>1.6030092592592592E-2</v>
      </c>
      <c r="E377" t="s">
        <v>5883</v>
      </c>
      <c r="F377" s="69"/>
      <c r="K377" s="82">
        <v>0.60940000000000005</v>
      </c>
    </row>
    <row r="378" spans="1:11" x14ac:dyDescent="0.2">
      <c r="A378" s="33">
        <v>42252</v>
      </c>
      <c r="B378" t="s">
        <v>4576</v>
      </c>
      <c r="C378" s="1" t="s">
        <v>4577</v>
      </c>
      <c r="D378" s="1">
        <v>1.6423611111111111E-2</v>
      </c>
      <c r="E378" t="s">
        <v>5883</v>
      </c>
      <c r="F378" s="69" t="s">
        <v>5416</v>
      </c>
      <c r="K378" s="82">
        <v>0.5948</v>
      </c>
    </row>
    <row r="379" spans="1:11" ht="12.75" customHeight="1" x14ac:dyDescent="0.2">
      <c r="A379" s="33">
        <v>42231</v>
      </c>
      <c r="B379" t="s">
        <v>4576</v>
      </c>
      <c r="C379" s="1" t="s">
        <v>4577</v>
      </c>
      <c r="D379" s="1">
        <v>1.5729166666666666E-2</v>
      </c>
      <c r="E379" t="s">
        <v>5883</v>
      </c>
      <c r="F379" s="69" t="s">
        <v>2389</v>
      </c>
      <c r="K379" s="82">
        <v>0.621</v>
      </c>
    </row>
    <row r="380" spans="1:11" ht="12.75" customHeight="1" x14ac:dyDescent="0.2">
      <c r="A380" s="33">
        <v>42224</v>
      </c>
      <c r="B380" t="s">
        <v>4576</v>
      </c>
      <c r="C380" s="1" t="s">
        <v>4577</v>
      </c>
      <c r="D380" s="1">
        <v>1.5995370370370372E-2</v>
      </c>
      <c r="E380" t="s">
        <v>5883</v>
      </c>
      <c r="F380" s="69" t="s">
        <v>5728</v>
      </c>
      <c r="K380" s="82">
        <v>0.61070000000000002</v>
      </c>
    </row>
    <row r="381" spans="1:11" ht="12.75" customHeight="1" x14ac:dyDescent="0.2">
      <c r="A381" s="33">
        <v>42217</v>
      </c>
      <c r="B381" t="s">
        <v>4576</v>
      </c>
      <c r="C381" s="1" t="s">
        <v>4577</v>
      </c>
      <c r="D381" s="1">
        <v>1.5625E-2</v>
      </c>
      <c r="E381" t="s">
        <v>5883</v>
      </c>
      <c r="F381" s="69"/>
      <c r="K381" s="82">
        <v>0.62519999999999998</v>
      </c>
    </row>
    <row r="382" spans="1:11" ht="12.75" customHeight="1" x14ac:dyDescent="0.2">
      <c r="A382" s="33">
        <v>42203</v>
      </c>
      <c r="B382" t="s">
        <v>4576</v>
      </c>
      <c r="C382" s="1" t="s">
        <v>4577</v>
      </c>
      <c r="D382" s="1">
        <v>1.6296296296296295E-2</v>
      </c>
      <c r="E382" t="s">
        <v>5883</v>
      </c>
      <c r="F382" s="69" t="s">
        <v>3136</v>
      </c>
      <c r="K382" s="82">
        <v>0.59940000000000004</v>
      </c>
    </row>
    <row r="383" spans="1:11" ht="12.75" customHeight="1" x14ac:dyDescent="0.2">
      <c r="A383" s="33">
        <v>42189</v>
      </c>
      <c r="B383" t="s">
        <v>4576</v>
      </c>
      <c r="C383" s="1" t="s">
        <v>4577</v>
      </c>
      <c r="D383" s="1">
        <v>1.6203703703703703E-2</v>
      </c>
      <c r="E383" t="s">
        <v>5883</v>
      </c>
      <c r="F383" s="69"/>
      <c r="K383" s="82">
        <v>0.60289999999999999</v>
      </c>
    </row>
    <row r="384" spans="1:11" ht="12.75" customHeight="1" x14ac:dyDescent="0.2">
      <c r="A384" s="33">
        <v>42182</v>
      </c>
      <c r="B384" t="s">
        <v>4576</v>
      </c>
      <c r="C384" s="1" t="s">
        <v>4577</v>
      </c>
      <c r="D384" s="1">
        <v>1.5694444444444445E-2</v>
      </c>
      <c r="E384" t="s">
        <v>129</v>
      </c>
      <c r="F384" s="69" t="s">
        <v>1099</v>
      </c>
      <c r="K384" s="82">
        <v>0.62239999999999995</v>
      </c>
    </row>
    <row r="385" spans="1:11" ht="12.75" customHeight="1" x14ac:dyDescent="0.2">
      <c r="A385" s="33">
        <v>42175</v>
      </c>
      <c r="B385" t="s">
        <v>4576</v>
      </c>
      <c r="C385" s="1" t="s">
        <v>4577</v>
      </c>
      <c r="D385" s="1">
        <v>1.5868055555555555E-2</v>
      </c>
      <c r="E385" t="s">
        <v>5883</v>
      </c>
      <c r="F385" s="69" t="s">
        <v>5766</v>
      </c>
      <c r="G385" s="6"/>
      <c r="H385" s="6"/>
      <c r="K385" s="82">
        <v>0.61560000000000004</v>
      </c>
    </row>
    <row r="386" spans="1:11" ht="12.75" customHeight="1" x14ac:dyDescent="0.2">
      <c r="A386" s="33">
        <v>42168</v>
      </c>
      <c r="B386" t="s">
        <v>4576</v>
      </c>
      <c r="C386" s="1" t="s">
        <v>4577</v>
      </c>
      <c r="D386" s="1">
        <v>1.5740740740740743E-2</v>
      </c>
      <c r="E386" t="s">
        <v>5883</v>
      </c>
      <c r="F386" s="69"/>
      <c r="K386" s="82">
        <v>0.62060000000000004</v>
      </c>
    </row>
    <row r="387" spans="1:11" ht="12.75" customHeight="1" x14ac:dyDescent="0.2">
      <c r="A387" s="33">
        <v>42154</v>
      </c>
      <c r="B387" t="s">
        <v>4576</v>
      </c>
      <c r="C387" s="1" t="s">
        <v>4577</v>
      </c>
      <c r="D387" s="1">
        <v>1.6284722222222221E-2</v>
      </c>
      <c r="E387" t="s">
        <v>5883</v>
      </c>
      <c r="F387" s="69" t="s">
        <v>2724</v>
      </c>
      <c r="K387" s="82">
        <v>0.59989999999999999</v>
      </c>
    </row>
    <row r="388" spans="1:11" ht="12.75" customHeight="1" x14ac:dyDescent="0.2">
      <c r="A388" s="33">
        <v>42147</v>
      </c>
      <c r="B388" t="s">
        <v>4576</v>
      </c>
      <c r="C388" s="1" t="s">
        <v>4577</v>
      </c>
      <c r="D388" s="1">
        <v>1.653935185185185E-2</v>
      </c>
      <c r="E388" t="s">
        <v>5883</v>
      </c>
      <c r="F388" s="69" t="s">
        <v>3914</v>
      </c>
      <c r="K388" s="82">
        <v>0.58640000000000003</v>
      </c>
    </row>
    <row r="389" spans="1:11" ht="12.75" customHeight="1" x14ac:dyDescent="0.2">
      <c r="A389" s="33">
        <v>42140</v>
      </c>
      <c r="B389" t="s">
        <v>4576</v>
      </c>
      <c r="C389" s="1" t="s">
        <v>4577</v>
      </c>
      <c r="D389" s="1">
        <v>1.6435185185185188E-2</v>
      </c>
      <c r="E389" t="s">
        <v>5883</v>
      </c>
      <c r="F389" s="69" t="s">
        <v>3320</v>
      </c>
      <c r="K389" s="82">
        <v>0.59009999999999996</v>
      </c>
    </row>
    <row r="390" spans="1:11" ht="12.75" customHeight="1" x14ac:dyDescent="0.2">
      <c r="A390" s="33">
        <v>42126</v>
      </c>
      <c r="B390" t="s">
        <v>4576</v>
      </c>
      <c r="C390" s="1" t="s">
        <v>4577</v>
      </c>
      <c r="D390" s="1">
        <v>1.5879629629629629E-2</v>
      </c>
      <c r="E390" t="s">
        <v>5885</v>
      </c>
      <c r="F390" s="69" t="s">
        <v>2629</v>
      </c>
      <c r="I390" s="42"/>
      <c r="J390" s="42"/>
      <c r="K390" s="82">
        <v>0.61080000000000001</v>
      </c>
    </row>
    <row r="391" spans="1:11" ht="12.75" customHeight="1" x14ac:dyDescent="0.2">
      <c r="A391" s="33">
        <v>42091</v>
      </c>
      <c r="B391" s="80" t="s">
        <v>4576</v>
      </c>
      <c r="C391" s="1" t="s">
        <v>4577</v>
      </c>
      <c r="D391" s="1">
        <v>1.8217592592592594E-2</v>
      </c>
      <c r="E391" t="s">
        <v>5885</v>
      </c>
      <c r="F391" s="42" t="s">
        <v>4029</v>
      </c>
      <c r="K391" s="82">
        <v>0.53239999999999998</v>
      </c>
    </row>
    <row r="392" spans="1:11" ht="12.75" customHeight="1" x14ac:dyDescent="0.2">
      <c r="A392" s="33">
        <v>42084</v>
      </c>
      <c r="B392" t="s">
        <v>4576</v>
      </c>
      <c r="C392" s="1" t="s">
        <v>4577</v>
      </c>
      <c r="D392" s="1">
        <v>1.5185185185185185E-2</v>
      </c>
      <c r="E392" t="s">
        <v>129</v>
      </c>
      <c r="F392" s="42" t="s">
        <v>4880</v>
      </c>
      <c r="G392" s="6"/>
      <c r="H392" s="6"/>
      <c r="K392" s="82">
        <v>0.63870000000000005</v>
      </c>
    </row>
    <row r="393" spans="1:11" x14ac:dyDescent="0.2">
      <c r="A393" s="33">
        <v>42077</v>
      </c>
      <c r="B393" t="s">
        <v>4576</v>
      </c>
      <c r="C393" s="1" t="s">
        <v>4577</v>
      </c>
      <c r="D393" s="1">
        <v>1.5486111111111112E-2</v>
      </c>
      <c r="E393" t="s">
        <v>5883</v>
      </c>
      <c r="F393" s="69" t="s">
        <v>3758</v>
      </c>
      <c r="I393" s="42"/>
      <c r="J393" s="42"/>
      <c r="K393" s="82">
        <v>0.62629999999999997</v>
      </c>
    </row>
    <row r="394" spans="1:11" ht="12.75" customHeight="1" x14ac:dyDescent="0.2">
      <c r="A394" s="33">
        <v>42070</v>
      </c>
      <c r="B394" t="s">
        <v>4576</v>
      </c>
      <c r="C394" s="1" t="s">
        <v>4577</v>
      </c>
      <c r="D394" s="1">
        <v>1.5439814814814816E-2</v>
      </c>
      <c r="E394" t="s">
        <v>5883</v>
      </c>
      <c r="F394" s="69" t="s">
        <v>4690</v>
      </c>
      <c r="K394" s="82">
        <v>0.62819999999999998</v>
      </c>
    </row>
    <row r="395" spans="1:11" x14ac:dyDescent="0.2">
      <c r="A395" s="33">
        <v>42056</v>
      </c>
      <c r="B395" t="s">
        <v>4576</v>
      </c>
      <c r="C395" s="1" t="s">
        <v>4577</v>
      </c>
      <c r="D395" s="1">
        <v>1.6701388888888887E-2</v>
      </c>
      <c r="E395" t="s">
        <v>5883</v>
      </c>
      <c r="F395" s="69"/>
      <c r="I395" s="6"/>
      <c r="J395" s="6"/>
      <c r="K395" s="82">
        <v>0.58069999999999999</v>
      </c>
    </row>
    <row r="396" spans="1:11" x14ac:dyDescent="0.2">
      <c r="A396" s="33">
        <v>42035</v>
      </c>
      <c r="B396" t="s">
        <v>4576</v>
      </c>
      <c r="C396" s="1" t="s">
        <v>4577</v>
      </c>
      <c r="D396" s="1">
        <v>1.6319444444444445E-2</v>
      </c>
      <c r="E396" t="s">
        <v>5883</v>
      </c>
      <c r="F396" s="42"/>
      <c r="K396" s="82">
        <v>0.59430000000000005</v>
      </c>
    </row>
    <row r="397" spans="1:11" x14ac:dyDescent="0.2">
      <c r="A397" s="33">
        <v>42028</v>
      </c>
      <c r="B397" t="s">
        <v>4576</v>
      </c>
      <c r="C397" s="1" t="s">
        <v>4577</v>
      </c>
      <c r="D397" s="1">
        <v>1.6319444444444445E-2</v>
      </c>
      <c r="E397" t="s">
        <v>5883</v>
      </c>
      <c r="F397" s="42" t="s">
        <v>1039</v>
      </c>
      <c r="G397" s="42"/>
      <c r="H397" s="42"/>
      <c r="K397" s="82">
        <v>0.59430000000000005</v>
      </c>
    </row>
    <row r="398" spans="1:11" ht="12.75" customHeight="1" x14ac:dyDescent="0.2">
      <c r="A398" s="33">
        <v>42021</v>
      </c>
      <c r="B398" s="5" t="s">
        <v>4576</v>
      </c>
      <c r="C398" s="32" t="s">
        <v>4577</v>
      </c>
      <c r="D398" s="1">
        <v>1.59375E-2</v>
      </c>
      <c r="E398" t="s">
        <v>5885</v>
      </c>
      <c r="F398" s="42" t="s">
        <v>1599</v>
      </c>
      <c r="G398" s="6"/>
      <c r="H398" s="6"/>
      <c r="K398" s="82">
        <v>0.60860000000000003</v>
      </c>
    </row>
    <row r="399" spans="1:11" ht="12.75" customHeight="1" x14ac:dyDescent="0.2">
      <c r="A399" s="33">
        <v>42014</v>
      </c>
      <c r="B399" t="s">
        <v>4576</v>
      </c>
      <c r="C399" s="1" t="s">
        <v>4577</v>
      </c>
      <c r="D399" s="1">
        <v>1.6898148148148148E-2</v>
      </c>
      <c r="E399" t="s">
        <v>5883</v>
      </c>
      <c r="F399" s="42" t="s">
        <v>5372</v>
      </c>
      <c r="K399" s="82">
        <v>0.57399999999999995</v>
      </c>
    </row>
    <row r="400" spans="1:11" ht="12.75" customHeight="1" x14ac:dyDescent="0.2">
      <c r="A400" s="33">
        <v>42007</v>
      </c>
      <c r="B400" t="s">
        <v>4576</v>
      </c>
      <c r="C400" s="1" t="s">
        <v>4577</v>
      </c>
      <c r="D400" s="1">
        <v>1.621527777777778E-2</v>
      </c>
      <c r="E400" t="s">
        <v>5883</v>
      </c>
      <c r="F400" s="42" t="s">
        <v>5918</v>
      </c>
      <c r="K400" s="82">
        <v>0.59809999999999997</v>
      </c>
    </row>
    <row r="401" spans="1:15" ht="12.75" customHeight="1" x14ac:dyDescent="0.2">
      <c r="A401" s="33">
        <v>42005</v>
      </c>
      <c r="B401" t="s">
        <v>4576</v>
      </c>
      <c r="C401" s="1" t="s">
        <v>4577</v>
      </c>
      <c r="D401" s="1">
        <v>1.622685185185185E-2</v>
      </c>
      <c r="E401" t="s">
        <v>4822</v>
      </c>
      <c r="F401" s="69" t="s">
        <v>138</v>
      </c>
      <c r="I401" s="6" t="s">
        <v>2629</v>
      </c>
      <c r="J401" s="6"/>
      <c r="K401" s="82">
        <v>0.59770000000000001</v>
      </c>
    </row>
    <row r="402" spans="1:15" ht="12.75" customHeight="1" x14ac:dyDescent="0.2">
      <c r="A402" s="33">
        <v>42049</v>
      </c>
      <c r="B402" t="s">
        <v>4183</v>
      </c>
      <c r="C402" s="1" t="s">
        <v>4577</v>
      </c>
      <c r="D402" s="1">
        <v>1.5613425925925926E-2</v>
      </c>
      <c r="E402" t="s">
        <v>129</v>
      </c>
      <c r="F402" s="69" t="s">
        <v>2629</v>
      </c>
      <c r="K402" s="82">
        <v>0.62119999999999997</v>
      </c>
    </row>
    <row r="403" spans="1:15" x14ac:dyDescent="0.2">
      <c r="A403" s="33">
        <v>42154</v>
      </c>
      <c r="B403" t="s">
        <v>859</v>
      </c>
      <c r="C403" s="1" t="s">
        <v>860</v>
      </c>
      <c r="D403" s="3">
        <v>1.1921296296296298E-2</v>
      </c>
      <c r="E403" t="s">
        <v>248</v>
      </c>
      <c r="F403" s="97" t="s">
        <v>401</v>
      </c>
      <c r="G403" s="6"/>
      <c r="H403" s="6"/>
      <c r="I403" s="2"/>
      <c r="K403" s="82">
        <v>0.85919999999999996</v>
      </c>
      <c r="L403" t="s">
        <v>812</v>
      </c>
      <c r="O403">
        <v>176</v>
      </c>
    </row>
    <row r="404" spans="1:15" ht="12.75" customHeight="1" x14ac:dyDescent="0.2">
      <c r="A404" s="33">
        <v>42147</v>
      </c>
      <c r="B404" t="s">
        <v>859</v>
      </c>
      <c r="C404" s="1" t="s">
        <v>860</v>
      </c>
      <c r="D404" s="1">
        <v>1.292824074074074E-2</v>
      </c>
      <c r="E404" t="s">
        <v>4849</v>
      </c>
      <c r="F404" s="69" t="s">
        <v>5711</v>
      </c>
      <c r="K404" s="82">
        <v>0.7923</v>
      </c>
    </row>
    <row r="405" spans="1:15" ht="12.75" customHeight="1" x14ac:dyDescent="0.2">
      <c r="A405" s="33">
        <v>42175</v>
      </c>
      <c r="B405" s="53" t="s">
        <v>3755</v>
      </c>
      <c r="C405" s="54" t="s">
        <v>3799</v>
      </c>
      <c r="D405" s="1">
        <v>1.9571759259259257E-2</v>
      </c>
      <c r="E405" t="s">
        <v>4202</v>
      </c>
      <c r="F405" s="69" t="s">
        <v>1792</v>
      </c>
      <c r="K405" s="82">
        <v>0.55410000000000004</v>
      </c>
      <c r="L405" t="s">
        <v>1429</v>
      </c>
    </row>
    <row r="406" spans="1:15" ht="12.75" customHeight="1" x14ac:dyDescent="0.2">
      <c r="A406" s="33">
        <v>42182</v>
      </c>
      <c r="B406" s="53" t="s">
        <v>680</v>
      </c>
      <c r="C406" s="54" t="s">
        <v>3799</v>
      </c>
      <c r="D406" s="1">
        <v>1.8796296296296297E-2</v>
      </c>
      <c r="E406" t="s">
        <v>3225</v>
      </c>
      <c r="F406" s="69" t="s">
        <v>681</v>
      </c>
      <c r="K406" s="82">
        <v>0.57699999999999996</v>
      </c>
    </row>
    <row r="407" spans="1:15" ht="12.75" customHeight="1" x14ac:dyDescent="0.2">
      <c r="A407" s="33">
        <v>42182</v>
      </c>
      <c r="B407" s="53" t="s">
        <v>1794</v>
      </c>
      <c r="C407" s="54" t="s">
        <v>3799</v>
      </c>
      <c r="D407" s="1" t="s">
        <v>787</v>
      </c>
      <c r="E407" t="s">
        <v>3225</v>
      </c>
      <c r="F407" s="69" t="s">
        <v>681</v>
      </c>
      <c r="K407" s="82"/>
    </row>
    <row r="408" spans="1:15" ht="12.75" customHeight="1" x14ac:dyDescent="0.2">
      <c r="A408" s="33">
        <v>42175</v>
      </c>
      <c r="B408" s="53" t="s">
        <v>1794</v>
      </c>
      <c r="C408" s="54" t="s">
        <v>3799</v>
      </c>
      <c r="D408" s="1">
        <v>1.6608796296296299E-2</v>
      </c>
      <c r="E408" t="s">
        <v>4202</v>
      </c>
      <c r="F408" s="69" t="s">
        <v>289</v>
      </c>
      <c r="K408" s="82">
        <v>0.62649999999999995</v>
      </c>
      <c r="L408" t="s">
        <v>1429</v>
      </c>
    </row>
    <row r="409" spans="1:15" x14ac:dyDescent="0.2">
      <c r="A409" s="33">
        <v>42364</v>
      </c>
      <c r="B409" t="s">
        <v>922</v>
      </c>
      <c r="C409" s="1" t="s">
        <v>1530</v>
      </c>
      <c r="D409" s="1">
        <v>1.9305555555555555E-2</v>
      </c>
      <c r="E409" t="s">
        <v>5883</v>
      </c>
      <c r="F409" s="69"/>
      <c r="I409" s="2"/>
      <c r="K409" s="82">
        <v>0.55279999999999996</v>
      </c>
    </row>
    <row r="410" spans="1:15" x14ac:dyDescent="0.2">
      <c r="A410" s="33">
        <v>42363</v>
      </c>
      <c r="B410" t="s">
        <v>922</v>
      </c>
      <c r="C410" s="1" t="s">
        <v>1530</v>
      </c>
      <c r="D410" s="1">
        <v>1.8576388888888889E-2</v>
      </c>
      <c r="E410" t="s">
        <v>5885</v>
      </c>
      <c r="F410" s="69"/>
      <c r="I410" s="2"/>
      <c r="K410" s="82">
        <v>0.57450000000000001</v>
      </c>
    </row>
    <row r="411" spans="1:15" x14ac:dyDescent="0.2">
      <c r="A411" s="33">
        <v>42350</v>
      </c>
      <c r="B411" t="s">
        <v>922</v>
      </c>
      <c r="C411" s="1" t="s">
        <v>1530</v>
      </c>
      <c r="D411" s="1">
        <v>1.9537037037037037E-2</v>
      </c>
      <c r="E411" t="s">
        <v>5883</v>
      </c>
      <c r="F411" s="69" t="s">
        <v>5728</v>
      </c>
      <c r="I411" s="2"/>
      <c r="K411" s="82">
        <v>0.54620000000000002</v>
      </c>
    </row>
    <row r="412" spans="1:15" ht="12.75" customHeight="1" x14ac:dyDescent="0.2">
      <c r="A412" s="33">
        <v>42343</v>
      </c>
      <c r="B412" t="s">
        <v>922</v>
      </c>
      <c r="C412" s="1" t="s">
        <v>1530</v>
      </c>
      <c r="D412" s="1">
        <v>2.238425925925926E-2</v>
      </c>
      <c r="E412" s="5" t="s">
        <v>5883</v>
      </c>
      <c r="F412" s="69" t="s">
        <v>5536</v>
      </c>
      <c r="I412" s="2"/>
      <c r="K412" s="82">
        <v>0.47670000000000001</v>
      </c>
    </row>
    <row r="413" spans="1:15" ht="12.75" customHeight="1" x14ac:dyDescent="0.2">
      <c r="A413" s="33">
        <v>42336</v>
      </c>
      <c r="B413" t="s">
        <v>922</v>
      </c>
      <c r="C413" s="1" t="s">
        <v>1530</v>
      </c>
      <c r="D413" s="1">
        <v>1.8530092592592595E-2</v>
      </c>
      <c r="E413" t="s">
        <v>4452</v>
      </c>
      <c r="F413" s="69" t="s">
        <v>3395</v>
      </c>
      <c r="I413" s="2"/>
      <c r="K413" s="82">
        <v>0.57589999999999997</v>
      </c>
    </row>
    <row r="414" spans="1:15" ht="12.75" customHeight="1" x14ac:dyDescent="0.2">
      <c r="A414" s="34">
        <v>42329</v>
      </c>
      <c r="B414" t="s">
        <v>922</v>
      </c>
      <c r="C414" s="1" t="s">
        <v>1530</v>
      </c>
      <c r="D414" s="1">
        <v>2.4652777777777777E-2</v>
      </c>
      <c r="E414" t="s">
        <v>4936</v>
      </c>
      <c r="F414" s="69" t="s">
        <v>4507</v>
      </c>
      <c r="I414" s="2"/>
      <c r="K414" s="82">
        <v>0.43290000000000001</v>
      </c>
    </row>
    <row r="415" spans="1:15" ht="12.75" customHeight="1" x14ac:dyDescent="0.2">
      <c r="A415" s="33">
        <v>42322</v>
      </c>
      <c r="B415" t="s">
        <v>922</v>
      </c>
      <c r="C415" s="1" t="s">
        <v>1530</v>
      </c>
      <c r="D415" s="1">
        <v>1.9363425925925926E-2</v>
      </c>
      <c r="E415" t="s">
        <v>5883</v>
      </c>
      <c r="F415" s="69" t="s">
        <v>4868</v>
      </c>
      <c r="I415" s="2"/>
      <c r="K415" s="82">
        <v>0.55110000000000003</v>
      </c>
    </row>
    <row r="416" spans="1:15" ht="12.75" customHeight="1" x14ac:dyDescent="0.2">
      <c r="A416" s="33">
        <v>42315</v>
      </c>
      <c r="B416" t="s">
        <v>922</v>
      </c>
      <c r="C416" s="1" t="s">
        <v>1530</v>
      </c>
      <c r="D416" s="1">
        <v>2.0127314814814817E-2</v>
      </c>
      <c r="E416" t="s">
        <v>5883</v>
      </c>
      <c r="F416" s="69" t="s">
        <v>3137</v>
      </c>
      <c r="I416" s="2"/>
      <c r="K416" s="82">
        <v>0.5302</v>
      </c>
    </row>
    <row r="417" spans="1:11" ht="12.75" customHeight="1" x14ac:dyDescent="0.2">
      <c r="A417" s="33">
        <v>42308</v>
      </c>
      <c r="B417" t="s">
        <v>922</v>
      </c>
      <c r="C417" s="1" t="s">
        <v>1530</v>
      </c>
      <c r="D417" s="1">
        <v>2.0879629629629626E-2</v>
      </c>
      <c r="E417" t="s">
        <v>2147</v>
      </c>
      <c r="F417" s="69" t="s">
        <v>3910</v>
      </c>
      <c r="I417" s="2"/>
      <c r="K417" s="82">
        <v>0.5111</v>
      </c>
    </row>
    <row r="418" spans="1:11" x14ac:dyDescent="0.2">
      <c r="A418" s="33">
        <v>42301</v>
      </c>
      <c r="B418" t="s">
        <v>922</v>
      </c>
      <c r="C418" s="1" t="s">
        <v>1530</v>
      </c>
      <c r="D418" s="1">
        <v>2.0648148148148148E-2</v>
      </c>
      <c r="E418" t="s">
        <v>5883</v>
      </c>
      <c r="F418" s="69" t="s">
        <v>2758</v>
      </c>
      <c r="I418" s="2"/>
      <c r="K418" s="82">
        <v>0.51680000000000004</v>
      </c>
    </row>
    <row r="419" spans="1:11" x14ac:dyDescent="0.2">
      <c r="A419" s="33">
        <v>42287</v>
      </c>
      <c r="B419" t="s">
        <v>922</v>
      </c>
      <c r="C419" s="1" t="s">
        <v>1530</v>
      </c>
      <c r="D419" s="1" t="s">
        <v>787</v>
      </c>
      <c r="E419" t="s">
        <v>5883</v>
      </c>
      <c r="F419" s="69" t="s">
        <v>4185</v>
      </c>
      <c r="I419" s="2"/>
      <c r="K419" s="82"/>
    </row>
    <row r="420" spans="1:11" ht="12.75" customHeight="1" x14ac:dyDescent="0.2">
      <c r="A420" s="33">
        <v>42280</v>
      </c>
      <c r="B420" t="s">
        <v>922</v>
      </c>
      <c r="C420" s="1" t="s">
        <v>1530</v>
      </c>
      <c r="D420" s="1">
        <v>2.9374999999999998E-2</v>
      </c>
      <c r="E420" t="s">
        <v>5883</v>
      </c>
      <c r="F420" s="69" t="s">
        <v>3914</v>
      </c>
      <c r="I420" s="2"/>
      <c r="K420" s="82">
        <v>0.36330000000000001</v>
      </c>
    </row>
    <row r="421" spans="1:11" x14ac:dyDescent="0.2">
      <c r="A421" s="33">
        <v>42273</v>
      </c>
      <c r="B421" t="s">
        <v>922</v>
      </c>
      <c r="C421" s="1" t="s">
        <v>1530</v>
      </c>
      <c r="D421" s="1">
        <v>2.8576388888888887E-2</v>
      </c>
      <c r="E421" t="s">
        <v>5883</v>
      </c>
      <c r="F421" s="69"/>
      <c r="I421" s="2"/>
      <c r="K421" s="82">
        <v>0.37340000000000001</v>
      </c>
    </row>
    <row r="422" spans="1:11" ht="12.75" customHeight="1" x14ac:dyDescent="0.2">
      <c r="A422" s="33">
        <v>42259</v>
      </c>
      <c r="B422" t="s">
        <v>922</v>
      </c>
      <c r="C422" s="1" t="s">
        <v>1530</v>
      </c>
      <c r="D422" s="1">
        <v>2.9398148148148149E-2</v>
      </c>
      <c r="E422" t="s">
        <v>5883</v>
      </c>
      <c r="F422" s="69" t="s">
        <v>4551</v>
      </c>
      <c r="K422" s="82">
        <v>0.36299999999999999</v>
      </c>
    </row>
    <row r="423" spans="1:11" ht="12.75" customHeight="1" x14ac:dyDescent="0.2">
      <c r="A423" s="33">
        <v>42252</v>
      </c>
      <c r="B423" t="s">
        <v>922</v>
      </c>
      <c r="C423" s="1" t="s">
        <v>1530</v>
      </c>
      <c r="D423" s="1">
        <v>3.1273148148148147E-2</v>
      </c>
      <c r="E423" t="s">
        <v>5883</v>
      </c>
      <c r="F423" s="69" t="s">
        <v>19</v>
      </c>
      <c r="K423" s="82">
        <v>0.3412</v>
      </c>
    </row>
    <row r="424" spans="1:11" ht="12.75" customHeight="1" x14ac:dyDescent="0.2">
      <c r="A424" s="33">
        <v>42245</v>
      </c>
      <c r="B424" t="s">
        <v>922</v>
      </c>
      <c r="C424" s="1" t="s">
        <v>1530</v>
      </c>
      <c r="D424" s="1">
        <v>3.3368055555555554E-2</v>
      </c>
      <c r="E424" t="s">
        <v>1622</v>
      </c>
      <c r="F424" s="69" t="s">
        <v>780</v>
      </c>
      <c r="K424" s="82">
        <v>0.31979999999999997</v>
      </c>
    </row>
    <row r="425" spans="1:11" ht="12.75" customHeight="1" x14ac:dyDescent="0.2">
      <c r="A425" s="33">
        <v>42238</v>
      </c>
      <c r="B425" t="s">
        <v>922</v>
      </c>
      <c r="C425" s="1" t="s">
        <v>1530</v>
      </c>
      <c r="D425" s="1">
        <v>3.1851851851851853E-2</v>
      </c>
      <c r="E425" t="s">
        <v>4876</v>
      </c>
      <c r="F425" s="69" t="s">
        <v>4060</v>
      </c>
      <c r="K425" s="82">
        <v>0.33750000000000002</v>
      </c>
    </row>
    <row r="426" spans="1:11" ht="12.75" customHeight="1" x14ac:dyDescent="0.2">
      <c r="A426" s="33">
        <v>42231</v>
      </c>
      <c r="B426" t="s">
        <v>922</v>
      </c>
      <c r="C426" s="1" t="s">
        <v>1530</v>
      </c>
      <c r="D426" s="1">
        <v>3.2569444444444443E-2</v>
      </c>
      <c r="E426" t="s">
        <v>5883</v>
      </c>
      <c r="F426" s="69" t="s">
        <v>4690</v>
      </c>
      <c r="K426" s="82">
        <v>0.3276</v>
      </c>
    </row>
    <row r="427" spans="1:11" ht="12.75" customHeight="1" x14ac:dyDescent="0.2">
      <c r="A427" s="33">
        <v>42224</v>
      </c>
      <c r="B427" t="s">
        <v>922</v>
      </c>
      <c r="C427" s="1" t="s">
        <v>1530</v>
      </c>
      <c r="D427" s="1">
        <v>3.3148148148148149E-2</v>
      </c>
      <c r="E427" t="s">
        <v>1719</v>
      </c>
      <c r="F427" s="69" t="s">
        <v>2209</v>
      </c>
      <c r="K427" s="82">
        <v>0.32190000000000002</v>
      </c>
    </row>
    <row r="428" spans="1:11" x14ac:dyDescent="0.2">
      <c r="A428" s="33">
        <v>42217</v>
      </c>
      <c r="B428" t="s">
        <v>922</v>
      </c>
      <c r="C428" s="1" t="s">
        <v>1530</v>
      </c>
      <c r="D428" s="1" t="s">
        <v>787</v>
      </c>
      <c r="E428" t="s">
        <v>5883</v>
      </c>
      <c r="F428" s="69" t="s">
        <v>5793</v>
      </c>
      <c r="K428" s="82"/>
    </row>
    <row r="429" spans="1:11" ht="12.75" customHeight="1" x14ac:dyDescent="0.2">
      <c r="A429" s="33">
        <v>42210</v>
      </c>
      <c r="B429" t="s">
        <v>922</v>
      </c>
      <c r="C429" s="1" t="s">
        <v>1530</v>
      </c>
      <c r="D429" s="1">
        <v>1.8657407407407407E-2</v>
      </c>
      <c r="E429" t="s">
        <v>5883</v>
      </c>
      <c r="F429" s="69" t="s">
        <v>1190</v>
      </c>
      <c r="K429" s="82">
        <v>0.57199999999999995</v>
      </c>
    </row>
    <row r="430" spans="1:11" ht="12.75" customHeight="1" x14ac:dyDescent="0.2">
      <c r="A430" s="33">
        <v>42203</v>
      </c>
      <c r="B430" t="s">
        <v>922</v>
      </c>
      <c r="C430" s="1" t="s">
        <v>1530</v>
      </c>
      <c r="D430" s="1">
        <v>1.8784722222222223E-2</v>
      </c>
      <c r="E430" t="s">
        <v>5883</v>
      </c>
      <c r="F430" s="69" t="s">
        <v>1053</v>
      </c>
      <c r="K430" s="82">
        <v>0.56810000000000005</v>
      </c>
    </row>
    <row r="431" spans="1:11" ht="12.75" customHeight="1" x14ac:dyDescent="0.2">
      <c r="A431" s="33">
        <v>42196</v>
      </c>
      <c r="B431" t="s">
        <v>922</v>
      </c>
      <c r="C431" s="1" t="s">
        <v>1530</v>
      </c>
      <c r="D431" s="1">
        <v>2.0034722222222221E-2</v>
      </c>
      <c r="E431" t="s">
        <v>4727</v>
      </c>
      <c r="F431" s="69" t="s">
        <v>1112</v>
      </c>
      <c r="K431" s="82">
        <v>0.53259999999999996</v>
      </c>
    </row>
    <row r="432" spans="1:11" ht="12.75" customHeight="1" x14ac:dyDescent="0.2">
      <c r="A432" s="33">
        <v>42189</v>
      </c>
      <c r="B432" t="s">
        <v>922</v>
      </c>
      <c r="C432" s="1" t="s">
        <v>1530</v>
      </c>
      <c r="D432" s="1">
        <v>2.2152777777777775E-2</v>
      </c>
      <c r="E432" t="s">
        <v>5883</v>
      </c>
      <c r="F432" s="69" t="s">
        <v>316</v>
      </c>
      <c r="K432" s="82">
        <v>0.48170000000000002</v>
      </c>
    </row>
    <row r="433" spans="1:19" ht="12.75" customHeight="1" x14ac:dyDescent="0.2">
      <c r="A433" s="33">
        <v>42182</v>
      </c>
      <c r="B433" s="32" t="s">
        <v>922</v>
      </c>
      <c r="C433" s="32" t="s">
        <v>1530</v>
      </c>
      <c r="D433" t="s">
        <v>787</v>
      </c>
      <c r="E433" t="s">
        <v>5883</v>
      </c>
      <c r="F433" s="69" t="s">
        <v>5201</v>
      </c>
      <c r="G433" s="42"/>
      <c r="H433" s="42"/>
    </row>
    <row r="434" spans="1:19" x14ac:dyDescent="0.2">
      <c r="A434" s="33">
        <v>42357</v>
      </c>
      <c r="B434" t="s">
        <v>214</v>
      </c>
      <c r="C434" s="1" t="s">
        <v>1530</v>
      </c>
      <c r="D434" s="1">
        <v>2.1446759259259259E-2</v>
      </c>
      <c r="E434" t="s">
        <v>5883</v>
      </c>
      <c r="F434" s="69" t="s">
        <v>2389</v>
      </c>
      <c r="I434" s="2"/>
      <c r="K434" s="82">
        <v>0.49759999999999999</v>
      </c>
      <c r="S434" s="80"/>
    </row>
    <row r="435" spans="1:19" ht="12.75" customHeight="1" x14ac:dyDescent="0.2">
      <c r="A435" s="34">
        <v>42329</v>
      </c>
      <c r="B435" s="53" t="s">
        <v>3535</v>
      </c>
      <c r="C435" s="54" t="s">
        <v>3652</v>
      </c>
      <c r="D435" s="1">
        <v>1.7256944444444446E-2</v>
      </c>
      <c r="E435" s="5" t="s">
        <v>5821</v>
      </c>
      <c r="F435" s="108" t="s">
        <v>682</v>
      </c>
      <c r="G435" s="5"/>
      <c r="I435" s="2"/>
      <c r="K435" s="82">
        <v>0.61839999999999995</v>
      </c>
    </row>
    <row r="436" spans="1:19" x14ac:dyDescent="0.2">
      <c r="A436" s="33">
        <v>42364</v>
      </c>
      <c r="B436" t="s">
        <v>1589</v>
      </c>
      <c r="C436" s="1" t="s">
        <v>1590</v>
      </c>
      <c r="D436" s="1">
        <v>1.8449074074074073E-2</v>
      </c>
      <c r="E436" t="s">
        <v>1719</v>
      </c>
      <c r="F436" s="69" t="s">
        <v>2270</v>
      </c>
      <c r="I436" s="2"/>
      <c r="K436" s="82">
        <v>0.64139999999999997</v>
      </c>
    </row>
    <row r="437" spans="1:19" x14ac:dyDescent="0.2">
      <c r="A437" s="33">
        <v>42363</v>
      </c>
      <c r="B437" t="s">
        <v>1589</v>
      </c>
      <c r="C437" s="1" t="s">
        <v>1590</v>
      </c>
      <c r="D437" s="1">
        <v>1.7349537037037038E-2</v>
      </c>
      <c r="E437" t="s">
        <v>1401</v>
      </c>
      <c r="F437" s="69" t="s">
        <v>5727</v>
      </c>
      <c r="I437" s="2"/>
      <c r="K437" s="82">
        <v>0.67779999999999996</v>
      </c>
    </row>
    <row r="438" spans="1:19" x14ac:dyDescent="0.2">
      <c r="A438" s="33">
        <v>42357</v>
      </c>
      <c r="B438" t="s">
        <v>1589</v>
      </c>
      <c r="C438" s="1" t="s">
        <v>1590</v>
      </c>
      <c r="D438" s="1">
        <v>1.7395833333333336E-2</v>
      </c>
      <c r="E438" t="s">
        <v>1719</v>
      </c>
      <c r="F438" s="69" t="s">
        <v>3827</v>
      </c>
      <c r="I438" s="2"/>
      <c r="K438" s="82">
        <v>0.67600000000000005</v>
      </c>
      <c r="S438" s="80"/>
    </row>
    <row r="439" spans="1:19" x14ac:dyDescent="0.2">
      <c r="A439" s="33">
        <v>42350</v>
      </c>
      <c r="B439" t="s">
        <v>1589</v>
      </c>
      <c r="C439" s="1" t="s">
        <v>1590</v>
      </c>
      <c r="D439" s="1">
        <v>1.7245370370370369E-2</v>
      </c>
      <c r="E439" t="s">
        <v>1719</v>
      </c>
      <c r="F439" s="69" t="s">
        <v>255</v>
      </c>
      <c r="I439" s="2"/>
      <c r="K439" s="82">
        <v>0.68189999999999995</v>
      </c>
    </row>
    <row r="440" spans="1:19" ht="12.75" customHeight="1" x14ac:dyDescent="0.2">
      <c r="A440" s="33">
        <v>42343</v>
      </c>
      <c r="B440" t="s">
        <v>1589</v>
      </c>
      <c r="C440" s="1" t="s">
        <v>1590</v>
      </c>
      <c r="D440" t="s">
        <v>787</v>
      </c>
      <c r="E440" s="5" t="s">
        <v>1719</v>
      </c>
      <c r="F440" s="108" t="s">
        <v>5604</v>
      </c>
      <c r="G440" s="5"/>
      <c r="H440" s="2"/>
      <c r="I440" s="2"/>
      <c r="J440" s="82"/>
    </row>
    <row r="441" spans="1:19" ht="12.75" customHeight="1" x14ac:dyDescent="0.2">
      <c r="A441" s="33">
        <v>42336</v>
      </c>
      <c r="B441" t="s">
        <v>1589</v>
      </c>
      <c r="C441" s="1" t="s">
        <v>1590</v>
      </c>
      <c r="D441" s="1">
        <v>1.7708333333333333E-2</v>
      </c>
      <c r="E441" t="s">
        <v>1719</v>
      </c>
      <c r="F441" s="69" t="s">
        <v>5428</v>
      </c>
      <c r="I441" s="2"/>
      <c r="K441" s="82">
        <v>0.66410000000000002</v>
      </c>
    </row>
    <row r="442" spans="1:19" ht="12.75" customHeight="1" x14ac:dyDescent="0.2">
      <c r="A442" s="34">
        <v>42329</v>
      </c>
      <c r="B442" t="s">
        <v>1589</v>
      </c>
      <c r="C442" s="1" t="s">
        <v>1590</v>
      </c>
      <c r="D442" s="1">
        <v>1.7789351851851851E-2</v>
      </c>
      <c r="E442" t="s">
        <v>1719</v>
      </c>
      <c r="F442" s="69" t="s">
        <v>3290</v>
      </c>
      <c r="I442" s="2"/>
      <c r="K442" s="82">
        <v>0.66100000000000003</v>
      </c>
    </row>
    <row r="443" spans="1:19" ht="12.75" customHeight="1" x14ac:dyDescent="0.2">
      <c r="A443" s="33">
        <v>42322</v>
      </c>
      <c r="B443" s="80" t="s">
        <v>1589</v>
      </c>
      <c r="C443" s="334" t="s">
        <v>1590</v>
      </c>
      <c r="D443" s="1" t="s">
        <v>787</v>
      </c>
      <c r="E443" t="s">
        <v>1719</v>
      </c>
      <c r="F443" s="69" t="s">
        <v>5508</v>
      </c>
      <c r="I443" s="2"/>
      <c r="K443" s="82"/>
    </row>
    <row r="444" spans="1:19" ht="12.75" customHeight="1" x14ac:dyDescent="0.2">
      <c r="A444" s="33">
        <v>42308</v>
      </c>
      <c r="B444" t="s">
        <v>1589</v>
      </c>
      <c r="C444" s="1" t="s">
        <v>1590</v>
      </c>
      <c r="D444" s="1">
        <v>1.7187500000000001E-2</v>
      </c>
      <c r="E444" t="s">
        <v>1719</v>
      </c>
      <c r="F444" s="69" t="s">
        <v>3906</v>
      </c>
      <c r="I444" s="2"/>
      <c r="K444" s="82">
        <v>0.68420000000000003</v>
      </c>
    </row>
    <row r="445" spans="1:19" ht="12.75" customHeight="1" x14ac:dyDescent="0.2">
      <c r="A445" s="33">
        <v>42301</v>
      </c>
      <c r="B445" t="s">
        <v>1589</v>
      </c>
      <c r="C445" s="1" t="s">
        <v>1590</v>
      </c>
      <c r="D445" s="1">
        <v>1.7766203703703704E-2</v>
      </c>
      <c r="E445" t="s">
        <v>972</v>
      </c>
      <c r="F445" s="69" t="s">
        <v>2762</v>
      </c>
      <c r="I445" s="2"/>
      <c r="K445" s="82">
        <v>0.66190000000000004</v>
      </c>
    </row>
    <row r="446" spans="1:19" ht="12.75" customHeight="1" x14ac:dyDescent="0.2">
      <c r="A446" s="33">
        <v>42294</v>
      </c>
      <c r="B446" t="s">
        <v>1589</v>
      </c>
      <c r="C446" s="1" t="s">
        <v>1590</v>
      </c>
      <c r="D446" s="1">
        <v>1.7384259259259262E-2</v>
      </c>
      <c r="E446" t="s">
        <v>1719</v>
      </c>
      <c r="F446" s="69" t="s">
        <v>4403</v>
      </c>
      <c r="I446" s="2"/>
      <c r="K446" s="82">
        <v>0.6764</v>
      </c>
    </row>
    <row r="447" spans="1:19" ht="12.75" customHeight="1" x14ac:dyDescent="0.2">
      <c r="A447" s="33">
        <v>42287</v>
      </c>
      <c r="B447" t="s">
        <v>1589</v>
      </c>
      <c r="C447" s="1" t="s">
        <v>1590</v>
      </c>
      <c r="D447" s="1" t="s">
        <v>787</v>
      </c>
      <c r="E447" t="s">
        <v>1719</v>
      </c>
      <c r="F447" s="69" t="s">
        <v>5508</v>
      </c>
      <c r="I447" s="2"/>
      <c r="K447" s="82"/>
    </row>
    <row r="448" spans="1:19" x14ac:dyDescent="0.2">
      <c r="A448" s="33">
        <v>42280</v>
      </c>
      <c r="B448" t="s">
        <v>1589</v>
      </c>
      <c r="C448" s="1" t="s">
        <v>1590</v>
      </c>
      <c r="D448" s="1">
        <v>1.741898148148148E-2</v>
      </c>
      <c r="E448" t="s">
        <v>1719</v>
      </c>
      <c r="F448" s="69" t="s">
        <v>3809</v>
      </c>
      <c r="I448" s="2"/>
      <c r="K448" s="82">
        <v>0.67510000000000003</v>
      </c>
    </row>
    <row r="449" spans="1:11" x14ac:dyDescent="0.2">
      <c r="A449" s="33">
        <v>42273</v>
      </c>
      <c r="B449" t="s">
        <v>1589</v>
      </c>
      <c r="C449" s="1" t="s">
        <v>1590</v>
      </c>
      <c r="D449" s="1" t="s">
        <v>787</v>
      </c>
      <c r="E449" t="s">
        <v>1719</v>
      </c>
      <c r="F449" s="69" t="s">
        <v>5508</v>
      </c>
      <c r="I449" s="2"/>
      <c r="K449" s="82"/>
    </row>
    <row r="450" spans="1:11" x14ac:dyDescent="0.2">
      <c r="A450" s="33">
        <v>42266</v>
      </c>
      <c r="B450" t="s">
        <v>1589</v>
      </c>
      <c r="C450" s="1" t="s">
        <v>1590</v>
      </c>
      <c r="D450" s="1">
        <v>1.7199074074074071E-2</v>
      </c>
      <c r="E450" t="s">
        <v>1719</v>
      </c>
      <c r="F450" s="69" t="s">
        <v>4471</v>
      </c>
      <c r="K450" s="82">
        <v>0.68369999999999997</v>
      </c>
    </row>
    <row r="451" spans="1:11" ht="12.75" customHeight="1" x14ac:dyDescent="0.2">
      <c r="A451" s="33">
        <v>42252</v>
      </c>
      <c r="B451" t="s">
        <v>1589</v>
      </c>
      <c r="C451" s="1" t="s">
        <v>1590</v>
      </c>
      <c r="D451" s="1">
        <v>1.744212962962963E-2</v>
      </c>
      <c r="E451" t="s">
        <v>1719</v>
      </c>
      <c r="F451" s="69" t="s">
        <v>2053</v>
      </c>
      <c r="K451" s="82">
        <v>0.67420000000000002</v>
      </c>
    </row>
    <row r="452" spans="1:11" ht="12.75" customHeight="1" x14ac:dyDescent="0.2">
      <c r="A452" s="33">
        <v>42245</v>
      </c>
      <c r="B452" t="s">
        <v>1589</v>
      </c>
      <c r="C452" s="1" t="s">
        <v>1590</v>
      </c>
      <c r="D452" s="1">
        <v>1.7326388888888888E-2</v>
      </c>
      <c r="E452" t="s">
        <v>1719</v>
      </c>
      <c r="F452" s="69" t="s">
        <v>4394</v>
      </c>
      <c r="K452" s="82">
        <v>0.67869999999999997</v>
      </c>
    </row>
    <row r="453" spans="1:11" ht="12.75" customHeight="1" x14ac:dyDescent="0.2">
      <c r="A453" s="33">
        <v>42238</v>
      </c>
      <c r="B453" t="s">
        <v>1589</v>
      </c>
      <c r="C453" s="1" t="s">
        <v>1590</v>
      </c>
      <c r="D453" s="1">
        <v>1.726851851851852E-2</v>
      </c>
      <c r="E453" t="s">
        <v>1719</v>
      </c>
      <c r="F453" s="69" t="s">
        <v>2189</v>
      </c>
      <c r="K453" s="82">
        <v>0.68100000000000005</v>
      </c>
    </row>
    <row r="454" spans="1:11" ht="12.75" customHeight="1" x14ac:dyDescent="0.2">
      <c r="A454" s="33">
        <v>42224</v>
      </c>
      <c r="B454" t="s">
        <v>1589</v>
      </c>
      <c r="C454" s="1" t="s">
        <v>1590</v>
      </c>
      <c r="D454" s="1">
        <v>1.6886574074074075E-2</v>
      </c>
      <c r="E454" t="s">
        <v>1719</v>
      </c>
      <c r="F454" s="69" t="s">
        <v>2333</v>
      </c>
      <c r="K454" s="82">
        <v>0.69640000000000002</v>
      </c>
    </row>
    <row r="455" spans="1:11" ht="12.75" customHeight="1" x14ac:dyDescent="0.2">
      <c r="A455" s="33">
        <v>42217</v>
      </c>
      <c r="B455" t="s">
        <v>1589</v>
      </c>
      <c r="C455" s="1" t="s">
        <v>1590</v>
      </c>
      <c r="D455" s="1">
        <v>1.7037037037037038E-2</v>
      </c>
      <c r="E455" t="s">
        <v>1719</v>
      </c>
      <c r="F455" s="69" t="s">
        <v>5237</v>
      </c>
      <c r="K455" s="82">
        <v>0.69020000000000004</v>
      </c>
    </row>
    <row r="456" spans="1:11" ht="12.75" customHeight="1" x14ac:dyDescent="0.2">
      <c r="A456" s="33">
        <v>42203</v>
      </c>
      <c r="B456" t="s">
        <v>1589</v>
      </c>
      <c r="C456" s="1" t="s">
        <v>1590</v>
      </c>
      <c r="D456" s="1">
        <v>2.5092592592592593E-2</v>
      </c>
      <c r="E456" t="s">
        <v>1719</v>
      </c>
      <c r="F456" s="69" t="s">
        <v>4590</v>
      </c>
      <c r="K456" s="82">
        <v>0.46860000000000002</v>
      </c>
    </row>
    <row r="457" spans="1:11" ht="12.75" customHeight="1" x14ac:dyDescent="0.2">
      <c r="A457" s="33">
        <v>42196</v>
      </c>
      <c r="B457" t="s">
        <v>1589</v>
      </c>
      <c r="C457" s="1" t="s">
        <v>1590</v>
      </c>
      <c r="D457" s="1">
        <v>1.7395833333333336E-2</v>
      </c>
      <c r="E457" t="s">
        <v>1719</v>
      </c>
      <c r="F457" s="69"/>
      <c r="K457" s="82">
        <v>0.67600000000000005</v>
      </c>
    </row>
    <row r="458" spans="1:11" ht="12.75" customHeight="1" x14ac:dyDescent="0.2">
      <c r="A458" s="33">
        <v>42189</v>
      </c>
      <c r="B458" t="s">
        <v>1589</v>
      </c>
      <c r="C458" s="1" t="s">
        <v>1590</v>
      </c>
      <c r="D458" s="1">
        <v>1.7048611111111112E-2</v>
      </c>
      <c r="E458" t="s">
        <v>1719</v>
      </c>
      <c r="F458" s="69" t="s">
        <v>5722</v>
      </c>
      <c r="K458" s="82">
        <v>0.68969999999999998</v>
      </c>
    </row>
    <row r="459" spans="1:11" x14ac:dyDescent="0.2">
      <c r="A459" s="33">
        <v>42182</v>
      </c>
      <c r="B459" t="s">
        <v>1589</v>
      </c>
      <c r="C459" s="1" t="s">
        <v>1590</v>
      </c>
      <c r="D459" s="1">
        <v>1.6944444444444443E-2</v>
      </c>
      <c r="E459" t="s">
        <v>1719</v>
      </c>
      <c r="F459" s="69" t="s">
        <v>2629</v>
      </c>
      <c r="G459" s="42"/>
      <c r="H459" s="42" t="s">
        <v>3547</v>
      </c>
      <c r="K459" s="82">
        <v>0.69399999999999995</v>
      </c>
    </row>
    <row r="460" spans="1:11" ht="12.75" customHeight="1" x14ac:dyDescent="0.2">
      <c r="A460" s="33">
        <v>42175</v>
      </c>
      <c r="B460" t="s">
        <v>1589</v>
      </c>
      <c r="C460" s="1" t="s">
        <v>1590</v>
      </c>
      <c r="D460" s="1">
        <v>1.7071759259259259E-2</v>
      </c>
      <c r="E460" t="s">
        <v>1719</v>
      </c>
      <c r="F460" s="69" t="s">
        <v>2629</v>
      </c>
      <c r="K460" s="82">
        <v>0.68879999999999997</v>
      </c>
    </row>
    <row r="461" spans="1:11" ht="12.75" customHeight="1" x14ac:dyDescent="0.2">
      <c r="A461" s="33">
        <v>42168</v>
      </c>
      <c r="B461" t="s">
        <v>1589</v>
      </c>
      <c r="C461" s="1" t="s">
        <v>1590</v>
      </c>
      <c r="D461" s="1">
        <v>1.7094907407407409E-2</v>
      </c>
      <c r="E461" t="s">
        <v>1719</v>
      </c>
      <c r="F461" s="69" t="s">
        <v>363</v>
      </c>
      <c r="G461" s="6"/>
      <c r="H461" s="6"/>
      <c r="K461" s="82">
        <v>0.68789999999999996</v>
      </c>
    </row>
    <row r="462" spans="1:11" ht="12.75" customHeight="1" x14ac:dyDescent="0.2">
      <c r="A462" s="33">
        <v>42147</v>
      </c>
      <c r="B462" t="s">
        <v>1589</v>
      </c>
      <c r="C462" s="1" t="s">
        <v>1590</v>
      </c>
      <c r="D462" s="1">
        <v>1.726851851851852E-2</v>
      </c>
      <c r="E462" t="s">
        <v>1719</v>
      </c>
      <c r="F462" s="69" t="s">
        <v>3663</v>
      </c>
      <c r="K462" s="82">
        <v>0.68100000000000005</v>
      </c>
    </row>
    <row r="463" spans="1:11" ht="12.75" customHeight="1" x14ac:dyDescent="0.2">
      <c r="A463" s="33">
        <v>42140</v>
      </c>
      <c r="B463" t="s">
        <v>1589</v>
      </c>
      <c r="C463" s="1" t="s">
        <v>1590</v>
      </c>
      <c r="D463" s="1">
        <v>1.7430555555555557E-2</v>
      </c>
      <c r="E463" t="s">
        <v>1719</v>
      </c>
      <c r="F463" s="69" t="s">
        <v>3219</v>
      </c>
      <c r="K463" s="82">
        <v>0.67459999999999998</v>
      </c>
    </row>
    <row r="464" spans="1:11" x14ac:dyDescent="0.2">
      <c r="A464" s="33">
        <v>42133</v>
      </c>
      <c r="B464" t="s">
        <v>1589</v>
      </c>
      <c r="C464" s="1" t="s">
        <v>1590</v>
      </c>
      <c r="D464" s="1">
        <v>1.7430555555555557E-2</v>
      </c>
      <c r="E464" t="s">
        <v>2878</v>
      </c>
      <c r="F464" s="69" t="s">
        <v>1493</v>
      </c>
      <c r="K464" s="82">
        <v>0.67459999999999998</v>
      </c>
    </row>
    <row r="465" spans="1:19" ht="12.75" customHeight="1" x14ac:dyDescent="0.2">
      <c r="A465" s="33">
        <v>42210</v>
      </c>
      <c r="B465" t="s">
        <v>4074</v>
      </c>
      <c r="C465" s="1" t="s">
        <v>1590</v>
      </c>
      <c r="D465" s="1">
        <v>1.6932870370370369E-2</v>
      </c>
      <c r="E465" t="s">
        <v>1719</v>
      </c>
      <c r="F465" s="69" t="s">
        <v>2629</v>
      </c>
      <c r="K465" s="82">
        <v>0.69450000000000001</v>
      </c>
    </row>
    <row r="466" spans="1:19" x14ac:dyDescent="0.2">
      <c r="A466" s="33">
        <v>42301</v>
      </c>
      <c r="B466" t="s">
        <v>772</v>
      </c>
      <c r="C466" s="1" t="s">
        <v>1590</v>
      </c>
      <c r="D466" s="1">
        <v>2.2129629629629628E-2</v>
      </c>
      <c r="E466" t="s">
        <v>972</v>
      </c>
      <c r="F466" s="69" t="s">
        <v>2764</v>
      </c>
      <c r="I466" s="2"/>
      <c r="K466" s="82">
        <v>0.59470000000000001</v>
      </c>
    </row>
    <row r="467" spans="1:19" x14ac:dyDescent="0.2">
      <c r="A467" s="33">
        <v>42364</v>
      </c>
      <c r="B467" t="s">
        <v>3542</v>
      </c>
      <c r="C467" s="1" t="s">
        <v>1590</v>
      </c>
      <c r="D467" s="1">
        <v>2.3356481481481482E-2</v>
      </c>
      <c r="E467" t="s">
        <v>1719</v>
      </c>
      <c r="F467" s="69" t="s">
        <v>345</v>
      </c>
      <c r="I467" s="2"/>
      <c r="K467" s="82">
        <v>0.63080000000000003</v>
      </c>
    </row>
    <row r="468" spans="1:19" x14ac:dyDescent="0.2">
      <c r="A468" s="33">
        <v>42357</v>
      </c>
      <c r="B468" s="53" t="s">
        <v>3542</v>
      </c>
      <c r="C468" s="54" t="s">
        <v>1590</v>
      </c>
      <c r="D468" s="1">
        <v>2.3298611111111107E-2</v>
      </c>
      <c r="E468" t="s">
        <v>1719</v>
      </c>
      <c r="F468" s="69" t="s">
        <v>3809</v>
      </c>
      <c r="I468" s="2"/>
      <c r="K468" s="82">
        <v>0.63239999999999996</v>
      </c>
      <c r="S468" s="80"/>
    </row>
    <row r="469" spans="1:19" x14ac:dyDescent="0.2">
      <c r="A469" s="33">
        <v>42350</v>
      </c>
      <c r="B469" t="s">
        <v>3542</v>
      </c>
      <c r="C469" s="1" t="s">
        <v>1590</v>
      </c>
      <c r="D469" s="1">
        <v>2.3784722222222221E-2</v>
      </c>
      <c r="E469" t="s">
        <v>1719</v>
      </c>
      <c r="F469" s="69" t="s">
        <v>4471</v>
      </c>
      <c r="I469" s="2"/>
      <c r="K469" s="82">
        <v>0.61019999999999996</v>
      </c>
    </row>
    <row r="470" spans="1:19" x14ac:dyDescent="0.2">
      <c r="A470" s="33">
        <v>42343</v>
      </c>
      <c r="B470" s="53" t="s">
        <v>3542</v>
      </c>
      <c r="C470" s="54" t="s">
        <v>1590</v>
      </c>
      <c r="D470" t="s">
        <v>787</v>
      </c>
      <c r="E470" s="5" t="s">
        <v>1719</v>
      </c>
      <c r="F470" s="108" t="s">
        <v>3915</v>
      </c>
      <c r="G470" s="5"/>
      <c r="H470" s="2"/>
      <c r="I470" s="2"/>
      <c r="J470" s="82"/>
    </row>
    <row r="471" spans="1:19" ht="12.75" customHeight="1" x14ac:dyDescent="0.2">
      <c r="A471" s="33">
        <v>42336</v>
      </c>
      <c r="B471" s="53" t="s">
        <v>3542</v>
      </c>
      <c r="C471" s="54" t="s">
        <v>1590</v>
      </c>
      <c r="D471" s="1">
        <v>2.3125E-2</v>
      </c>
      <c r="E471" t="s">
        <v>1719</v>
      </c>
      <c r="F471" s="69" t="s">
        <v>2053</v>
      </c>
      <c r="I471" s="2"/>
      <c r="K471" s="82">
        <v>0.62760000000000005</v>
      </c>
    </row>
    <row r="472" spans="1:19" ht="12.75" customHeight="1" x14ac:dyDescent="0.2">
      <c r="A472" s="34">
        <v>42329</v>
      </c>
      <c r="B472" s="53" t="s">
        <v>3542</v>
      </c>
      <c r="C472" s="54" t="s">
        <v>1590</v>
      </c>
      <c r="D472" s="1">
        <v>2.3657407407407408E-2</v>
      </c>
      <c r="E472" t="s">
        <v>1719</v>
      </c>
      <c r="F472" s="69" t="s">
        <v>4394</v>
      </c>
      <c r="I472" s="2"/>
      <c r="K472" s="82">
        <v>0.61350000000000005</v>
      </c>
    </row>
    <row r="473" spans="1:19" ht="12.75" customHeight="1" x14ac:dyDescent="0.2">
      <c r="A473" s="33">
        <v>42322</v>
      </c>
      <c r="B473" s="53" t="s">
        <v>3542</v>
      </c>
      <c r="C473" s="54" t="s">
        <v>1590</v>
      </c>
      <c r="D473" s="1" t="s">
        <v>787</v>
      </c>
      <c r="E473" t="s">
        <v>1719</v>
      </c>
      <c r="F473" s="69" t="s">
        <v>1549</v>
      </c>
      <c r="I473" s="2"/>
      <c r="K473" s="82"/>
    </row>
    <row r="474" spans="1:19" ht="12.75" customHeight="1" x14ac:dyDescent="0.2">
      <c r="A474" s="33">
        <v>42315</v>
      </c>
      <c r="B474" s="53" t="s">
        <v>3542</v>
      </c>
      <c r="C474" s="54" t="s">
        <v>1590</v>
      </c>
      <c r="D474" s="1">
        <v>2.3414351851851853E-2</v>
      </c>
      <c r="E474" t="s">
        <v>1719</v>
      </c>
      <c r="F474" s="69" t="s">
        <v>2189</v>
      </c>
      <c r="I474" s="2"/>
      <c r="K474" s="82">
        <v>0.61990000000000001</v>
      </c>
    </row>
    <row r="475" spans="1:19" ht="12.75" customHeight="1" x14ac:dyDescent="0.2">
      <c r="A475" s="33">
        <v>42308</v>
      </c>
      <c r="B475" s="53" t="s">
        <v>3542</v>
      </c>
      <c r="C475" s="54" t="s">
        <v>1590</v>
      </c>
      <c r="D475" s="1">
        <v>2.2754629629629628E-2</v>
      </c>
      <c r="E475" t="s">
        <v>1719</v>
      </c>
      <c r="F475" s="69" t="s">
        <v>3907</v>
      </c>
      <c r="I475" s="2"/>
      <c r="K475" s="82">
        <v>0.63780000000000003</v>
      </c>
    </row>
    <row r="476" spans="1:19" ht="12.75" customHeight="1" x14ac:dyDescent="0.2">
      <c r="A476" s="33">
        <v>42301</v>
      </c>
      <c r="B476" s="53" t="s">
        <v>3542</v>
      </c>
      <c r="C476" s="54" t="s">
        <v>1590</v>
      </c>
      <c r="D476" s="1">
        <v>2.3287037037037037E-2</v>
      </c>
      <c r="E476" t="s">
        <v>1719</v>
      </c>
      <c r="F476" s="69"/>
      <c r="I476" s="2"/>
      <c r="K476" s="82">
        <v>0.62329999999999997</v>
      </c>
    </row>
    <row r="477" spans="1:19" ht="12.75" customHeight="1" x14ac:dyDescent="0.2">
      <c r="A477" s="33">
        <v>42294</v>
      </c>
      <c r="B477" s="53" t="s">
        <v>3542</v>
      </c>
      <c r="C477" s="54" t="s">
        <v>1590</v>
      </c>
      <c r="D477" s="1">
        <v>2.3310185185185187E-2</v>
      </c>
      <c r="E477" t="s">
        <v>1719</v>
      </c>
      <c r="F477" s="69" t="s">
        <v>3173</v>
      </c>
      <c r="I477" s="2"/>
      <c r="K477" s="82">
        <v>0.62260000000000004</v>
      </c>
    </row>
    <row r="478" spans="1:19" ht="12.75" customHeight="1" x14ac:dyDescent="0.2">
      <c r="A478" s="33">
        <v>42287</v>
      </c>
      <c r="B478" s="53" t="s">
        <v>3542</v>
      </c>
      <c r="C478" s="54" t="s">
        <v>1590</v>
      </c>
      <c r="D478" s="1" t="s">
        <v>787</v>
      </c>
      <c r="E478" t="s">
        <v>1719</v>
      </c>
      <c r="F478" s="69" t="s">
        <v>5699</v>
      </c>
      <c r="I478" s="2"/>
      <c r="K478" s="82"/>
    </row>
    <row r="479" spans="1:19" ht="12.75" customHeight="1" x14ac:dyDescent="0.2">
      <c r="A479" s="33">
        <v>42280</v>
      </c>
      <c r="B479" s="53" t="s">
        <v>3542</v>
      </c>
      <c r="C479" s="54" t="s">
        <v>1590</v>
      </c>
      <c r="D479" s="1">
        <v>2.2870370370370371E-2</v>
      </c>
      <c r="E479" t="s">
        <v>1719</v>
      </c>
      <c r="F479" s="69" t="s">
        <v>4590</v>
      </c>
      <c r="I479" s="2"/>
      <c r="K479" s="82">
        <v>0.63460000000000005</v>
      </c>
    </row>
    <row r="480" spans="1:19" ht="12.75" customHeight="1" x14ac:dyDescent="0.2">
      <c r="A480" s="33">
        <v>42273</v>
      </c>
      <c r="B480" s="53" t="s">
        <v>3542</v>
      </c>
      <c r="C480" s="54" t="s">
        <v>1590</v>
      </c>
      <c r="D480" s="1" t="s">
        <v>787</v>
      </c>
      <c r="E480" t="s">
        <v>1719</v>
      </c>
      <c r="F480" s="69" t="s">
        <v>2052</v>
      </c>
      <c r="I480" s="2"/>
      <c r="K480" s="82"/>
    </row>
    <row r="481" spans="1:19" x14ac:dyDescent="0.2">
      <c r="A481" s="33">
        <v>42266</v>
      </c>
      <c r="B481" s="53" t="s">
        <v>3542</v>
      </c>
      <c r="C481" s="54" t="s">
        <v>1590</v>
      </c>
      <c r="D481" s="1">
        <v>2.2708333333333334E-2</v>
      </c>
      <c r="E481" t="s">
        <v>1719</v>
      </c>
      <c r="F481" s="69" t="s">
        <v>876</v>
      </c>
      <c r="K481" s="82">
        <v>0.6391</v>
      </c>
    </row>
    <row r="482" spans="1:19" ht="12.75" customHeight="1" x14ac:dyDescent="0.2">
      <c r="A482" s="33">
        <v>42259</v>
      </c>
      <c r="B482" s="53" t="s">
        <v>3542</v>
      </c>
      <c r="C482" s="54" t="s">
        <v>1590</v>
      </c>
      <c r="D482" s="1">
        <v>2.3819444444444445E-2</v>
      </c>
      <c r="E482" t="s">
        <v>1719</v>
      </c>
      <c r="F482" s="69" t="s">
        <v>3459</v>
      </c>
      <c r="K482" s="82">
        <v>0.60929999999999995</v>
      </c>
    </row>
    <row r="483" spans="1:19" ht="12.75" customHeight="1" x14ac:dyDescent="0.2">
      <c r="A483" s="33">
        <v>42252</v>
      </c>
      <c r="B483" s="53" t="s">
        <v>3542</v>
      </c>
      <c r="C483" s="54" t="s">
        <v>1590</v>
      </c>
      <c r="D483" s="1">
        <v>2.884259259259259E-2</v>
      </c>
      <c r="E483" t="s">
        <v>1719</v>
      </c>
      <c r="F483" s="69" t="s">
        <v>4462</v>
      </c>
      <c r="K483" s="82">
        <v>0.50319999999999998</v>
      </c>
    </row>
    <row r="484" spans="1:19" ht="12.75" customHeight="1" x14ac:dyDescent="0.2">
      <c r="A484" s="33">
        <v>42245</v>
      </c>
      <c r="B484" s="53" t="s">
        <v>3542</v>
      </c>
      <c r="C484" s="54" t="s">
        <v>1590</v>
      </c>
      <c r="D484" s="1">
        <v>2.3587962962962963E-2</v>
      </c>
      <c r="E484" t="s">
        <v>1719</v>
      </c>
      <c r="F484" s="69" t="s">
        <v>363</v>
      </c>
      <c r="K484" s="82">
        <v>0.61529999999999996</v>
      </c>
    </row>
    <row r="485" spans="1:19" ht="12.75" customHeight="1" x14ac:dyDescent="0.2">
      <c r="A485" s="33">
        <v>42224</v>
      </c>
      <c r="B485" s="53" t="s">
        <v>3542</v>
      </c>
      <c r="C485" s="54" t="s">
        <v>1590</v>
      </c>
      <c r="D485" s="1">
        <v>2.479166666666667E-2</v>
      </c>
      <c r="E485" s="5" t="s">
        <v>1719</v>
      </c>
      <c r="F485" s="69" t="s">
        <v>705</v>
      </c>
      <c r="K485" s="82">
        <v>0.58540000000000003</v>
      </c>
    </row>
    <row r="486" spans="1:19" ht="12.75" customHeight="1" x14ac:dyDescent="0.2">
      <c r="A486" s="33">
        <v>42217</v>
      </c>
      <c r="B486" s="53" t="s">
        <v>3542</v>
      </c>
      <c r="C486" s="54" t="s">
        <v>1590</v>
      </c>
      <c r="D486" s="1">
        <v>2.4409722222222222E-2</v>
      </c>
      <c r="E486" t="s">
        <v>1719</v>
      </c>
      <c r="F486" s="69" t="s">
        <v>363</v>
      </c>
      <c r="K486" s="82">
        <v>0.59460000000000002</v>
      </c>
    </row>
    <row r="487" spans="1:19" ht="12.75" customHeight="1" x14ac:dyDescent="0.2">
      <c r="A487" s="33">
        <v>42203</v>
      </c>
      <c r="B487" s="53" t="s">
        <v>3542</v>
      </c>
      <c r="C487" s="54" t="s">
        <v>1590</v>
      </c>
      <c r="D487" s="1">
        <v>2.508101851851852E-2</v>
      </c>
      <c r="E487" t="s">
        <v>1719</v>
      </c>
      <c r="F487" s="69" t="s">
        <v>1493</v>
      </c>
      <c r="K487" s="82">
        <v>0.57869999999999999</v>
      </c>
    </row>
    <row r="488" spans="1:19" ht="12.75" customHeight="1" x14ac:dyDescent="0.2">
      <c r="A488" s="33">
        <v>42133</v>
      </c>
      <c r="B488" s="53" t="s">
        <v>3542</v>
      </c>
      <c r="C488" s="54" t="s">
        <v>1590</v>
      </c>
      <c r="D488" s="1">
        <v>2.478009259259259E-2</v>
      </c>
      <c r="E488" t="s">
        <v>2878</v>
      </c>
      <c r="F488" s="69" t="s">
        <v>3253</v>
      </c>
      <c r="K488" s="82">
        <v>0.5857</v>
      </c>
    </row>
    <row r="489" spans="1:19" x14ac:dyDescent="0.2">
      <c r="A489" s="33">
        <v>42363</v>
      </c>
      <c r="B489" t="s">
        <v>5522</v>
      </c>
      <c r="C489" s="1" t="s">
        <v>1590</v>
      </c>
      <c r="D489" s="1">
        <v>2.3472222222222217E-2</v>
      </c>
      <c r="E489" t="s">
        <v>1401</v>
      </c>
      <c r="F489" s="69" t="s">
        <v>5727</v>
      </c>
      <c r="I489" s="2"/>
      <c r="K489" s="82">
        <v>0.62770000000000004</v>
      </c>
    </row>
    <row r="490" spans="1:19" ht="12.75" customHeight="1" x14ac:dyDescent="0.2">
      <c r="A490" s="33">
        <v>42238</v>
      </c>
      <c r="B490" s="53" t="s">
        <v>3542</v>
      </c>
      <c r="C490" s="54" t="s">
        <v>5641</v>
      </c>
      <c r="D490" s="1">
        <v>2.4710648148148148E-2</v>
      </c>
      <c r="E490" s="5" t="s">
        <v>1719</v>
      </c>
      <c r="F490" s="69" t="s">
        <v>364</v>
      </c>
      <c r="K490" s="82">
        <v>0.58740000000000003</v>
      </c>
    </row>
    <row r="491" spans="1:19" x14ac:dyDescent="0.2">
      <c r="A491" s="33">
        <v>42363</v>
      </c>
      <c r="B491" t="s">
        <v>1796</v>
      </c>
      <c r="C491" s="1" t="s">
        <v>1797</v>
      </c>
      <c r="D491" s="1">
        <v>1.8877314814814816E-2</v>
      </c>
      <c r="E491" t="s">
        <v>5885</v>
      </c>
      <c r="F491" s="69" t="s">
        <v>773</v>
      </c>
      <c r="I491" s="2"/>
      <c r="K491" s="82">
        <v>0.57999999999999996</v>
      </c>
    </row>
    <row r="492" spans="1:19" x14ac:dyDescent="0.2">
      <c r="A492" s="33">
        <v>42357</v>
      </c>
      <c r="B492" t="s">
        <v>1796</v>
      </c>
      <c r="C492" s="1" t="s">
        <v>1797</v>
      </c>
      <c r="D492" s="1">
        <v>1.667824074074074E-2</v>
      </c>
      <c r="E492" t="s">
        <v>5883</v>
      </c>
      <c r="F492" s="69" t="s">
        <v>1687</v>
      </c>
      <c r="I492" s="2"/>
      <c r="K492" s="82">
        <v>0.65649999999999997</v>
      </c>
      <c r="M492" t="s">
        <v>1690</v>
      </c>
      <c r="S492" s="80"/>
    </row>
    <row r="493" spans="1:19" ht="12.75" customHeight="1" x14ac:dyDescent="0.2">
      <c r="A493" s="33">
        <v>42343</v>
      </c>
      <c r="B493" t="s">
        <v>1796</v>
      </c>
      <c r="C493" s="1" t="s">
        <v>1797</v>
      </c>
      <c r="D493" s="1" t="s">
        <v>787</v>
      </c>
      <c r="E493" s="5" t="s">
        <v>5883</v>
      </c>
      <c r="F493" s="69" t="s">
        <v>4061</v>
      </c>
      <c r="I493" s="2"/>
      <c r="K493" s="82"/>
    </row>
    <row r="494" spans="1:19" ht="12.75" customHeight="1" x14ac:dyDescent="0.2">
      <c r="A494" s="33">
        <v>42336</v>
      </c>
      <c r="B494" t="s">
        <v>1796</v>
      </c>
      <c r="C494" s="1" t="s">
        <v>1797</v>
      </c>
      <c r="D494" s="1">
        <v>1.7893518518518517E-2</v>
      </c>
      <c r="E494" t="s">
        <v>5883</v>
      </c>
      <c r="F494" s="69" t="s">
        <v>1130</v>
      </c>
      <c r="I494" s="2"/>
      <c r="K494" s="82">
        <v>0.6119</v>
      </c>
    </row>
    <row r="495" spans="1:19" ht="12.75" customHeight="1" x14ac:dyDescent="0.2">
      <c r="A495" s="34">
        <v>42329</v>
      </c>
      <c r="B495" t="s">
        <v>1796</v>
      </c>
      <c r="C495" s="1" t="s">
        <v>1797</v>
      </c>
      <c r="D495" s="1">
        <v>2.8518518518518523E-2</v>
      </c>
      <c r="E495" t="s">
        <v>5883</v>
      </c>
      <c r="F495" s="69" t="s">
        <v>5767</v>
      </c>
      <c r="I495" s="2"/>
      <c r="K495" s="82">
        <v>0.38390000000000002</v>
      </c>
    </row>
    <row r="496" spans="1:19" ht="12.75" customHeight="1" x14ac:dyDescent="0.2">
      <c r="A496" s="33">
        <v>42322</v>
      </c>
      <c r="B496" t="s">
        <v>1796</v>
      </c>
      <c r="C496" s="1" t="s">
        <v>1797</v>
      </c>
      <c r="D496" s="1">
        <v>1.9918981481481482E-2</v>
      </c>
      <c r="E496" t="s">
        <v>5883</v>
      </c>
      <c r="F496" s="69" t="s">
        <v>307</v>
      </c>
      <c r="I496" s="2"/>
      <c r="K496" s="82">
        <v>0.54969999999999997</v>
      </c>
    </row>
    <row r="497" spans="1:11" x14ac:dyDescent="0.2">
      <c r="A497" s="33">
        <v>42315</v>
      </c>
      <c r="B497" t="s">
        <v>1796</v>
      </c>
      <c r="C497" s="1" t="s">
        <v>1797</v>
      </c>
      <c r="D497" s="1" t="s">
        <v>787</v>
      </c>
      <c r="E497" t="s">
        <v>5883</v>
      </c>
      <c r="F497" s="69" t="s">
        <v>4000</v>
      </c>
      <c r="I497" s="2"/>
      <c r="K497" s="82"/>
    </row>
    <row r="498" spans="1:11" x14ac:dyDescent="0.2">
      <c r="A498" s="33">
        <v>42301</v>
      </c>
      <c r="B498" t="s">
        <v>1796</v>
      </c>
      <c r="C498" s="1" t="s">
        <v>1797</v>
      </c>
      <c r="D498" s="1">
        <v>1.7002314814814814E-2</v>
      </c>
      <c r="E498" t="s">
        <v>5883</v>
      </c>
      <c r="F498" s="69" t="s">
        <v>3803</v>
      </c>
      <c r="I498" s="2"/>
      <c r="K498" s="82">
        <v>0.64400000000000002</v>
      </c>
    </row>
    <row r="499" spans="1:11" x14ac:dyDescent="0.2">
      <c r="A499" s="33">
        <v>42280</v>
      </c>
      <c r="B499" t="s">
        <v>1796</v>
      </c>
      <c r="C499" s="1" t="s">
        <v>1797</v>
      </c>
      <c r="D499" s="1">
        <v>2.390046296296296E-2</v>
      </c>
      <c r="E499" t="s">
        <v>5883</v>
      </c>
      <c r="F499" s="69" t="s">
        <v>5159</v>
      </c>
      <c r="I499" s="2"/>
      <c r="K499" s="82">
        <v>0.45810000000000001</v>
      </c>
    </row>
    <row r="500" spans="1:11" ht="12.75" customHeight="1" x14ac:dyDescent="0.2">
      <c r="A500" s="33">
        <v>42266</v>
      </c>
      <c r="B500" t="s">
        <v>1796</v>
      </c>
      <c r="C500" s="1" t="s">
        <v>1797</v>
      </c>
      <c r="D500" s="1">
        <v>1.8576388888888889E-2</v>
      </c>
      <c r="E500" t="s">
        <v>5883</v>
      </c>
      <c r="F500" s="69" t="s">
        <v>5377</v>
      </c>
      <c r="K500" s="82">
        <v>0.58940000000000003</v>
      </c>
    </row>
    <row r="501" spans="1:11" ht="12.75" customHeight="1" x14ac:dyDescent="0.2">
      <c r="A501" s="33">
        <v>42259</v>
      </c>
      <c r="B501" t="s">
        <v>1796</v>
      </c>
      <c r="C501" s="1" t="s">
        <v>1797</v>
      </c>
      <c r="D501" s="1">
        <v>1.6944444444444443E-2</v>
      </c>
      <c r="E501" t="s">
        <v>5883</v>
      </c>
      <c r="F501" s="69"/>
      <c r="K501" s="82">
        <v>0.62070000000000003</v>
      </c>
    </row>
    <row r="502" spans="1:11" ht="12.75" customHeight="1" x14ac:dyDescent="0.2">
      <c r="A502" s="33">
        <v>42252</v>
      </c>
      <c r="B502" t="s">
        <v>1796</v>
      </c>
      <c r="C502" s="1" t="s">
        <v>1797</v>
      </c>
      <c r="D502" s="1">
        <v>1.8298611111111113E-2</v>
      </c>
      <c r="E502" t="s">
        <v>5883</v>
      </c>
      <c r="F502" s="69" t="s">
        <v>5418</v>
      </c>
      <c r="K502" s="82">
        <v>0.59840000000000004</v>
      </c>
    </row>
    <row r="503" spans="1:11" ht="12.75" customHeight="1" x14ac:dyDescent="0.2">
      <c r="A503" s="33">
        <v>42224</v>
      </c>
      <c r="B503" t="s">
        <v>1796</v>
      </c>
      <c r="C503" s="1" t="s">
        <v>1797</v>
      </c>
      <c r="D503" s="1">
        <v>1.7569444444444447E-2</v>
      </c>
      <c r="E503" s="5" t="s">
        <v>1401</v>
      </c>
      <c r="F503" s="69" t="s">
        <v>5727</v>
      </c>
      <c r="K503" s="82">
        <v>0.62319999999999998</v>
      </c>
    </row>
    <row r="504" spans="1:11" ht="12.75" customHeight="1" x14ac:dyDescent="0.2">
      <c r="A504" s="33">
        <v>42217</v>
      </c>
      <c r="B504" t="s">
        <v>1796</v>
      </c>
      <c r="C504" s="1" t="s">
        <v>1797</v>
      </c>
      <c r="D504" s="1">
        <v>1.8171296296296297E-2</v>
      </c>
      <c r="E504" t="s">
        <v>5883</v>
      </c>
      <c r="F504" s="69"/>
      <c r="K504" s="82">
        <v>0.60250000000000004</v>
      </c>
    </row>
    <row r="505" spans="1:11" ht="12.75" customHeight="1" x14ac:dyDescent="0.2">
      <c r="A505" s="33">
        <v>42210</v>
      </c>
      <c r="B505" t="s">
        <v>1796</v>
      </c>
      <c r="C505" s="1" t="s">
        <v>1797</v>
      </c>
      <c r="D505" s="1">
        <v>1.8587962962962962E-2</v>
      </c>
      <c r="E505" t="s">
        <v>5883</v>
      </c>
      <c r="F505" s="69" t="s">
        <v>1099</v>
      </c>
      <c r="K505" s="82">
        <v>0.58899999999999997</v>
      </c>
    </row>
    <row r="506" spans="1:11" ht="12.75" customHeight="1" x14ac:dyDescent="0.2">
      <c r="A506" s="33">
        <v>42196</v>
      </c>
      <c r="B506" t="s">
        <v>1796</v>
      </c>
      <c r="C506" s="1" t="s">
        <v>1797</v>
      </c>
      <c r="D506" s="1">
        <v>1.9398148148148147E-2</v>
      </c>
      <c r="E506" t="s">
        <v>5883</v>
      </c>
      <c r="F506" s="69" t="s">
        <v>5766</v>
      </c>
      <c r="K506" s="82">
        <v>0.56440000000000001</v>
      </c>
    </row>
    <row r="507" spans="1:11" ht="12.75" customHeight="1" x14ac:dyDescent="0.2">
      <c r="A507" s="33">
        <v>42168</v>
      </c>
      <c r="B507" t="s">
        <v>1796</v>
      </c>
      <c r="C507" s="1" t="s">
        <v>1797</v>
      </c>
      <c r="D507" s="1">
        <v>1.7939814814814815E-2</v>
      </c>
      <c r="E507" t="s">
        <v>5883</v>
      </c>
      <c r="F507" s="69"/>
      <c r="G507" s="6"/>
      <c r="H507" s="6"/>
      <c r="K507" s="82">
        <v>0.61029999999999995</v>
      </c>
    </row>
    <row r="508" spans="1:11" ht="12.75" customHeight="1" x14ac:dyDescent="0.2">
      <c r="A508" s="33">
        <v>42161</v>
      </c>
      <c r="B508" s="5" t="s">
        <v>1796</v>
      </c>
      <c r="C508" s="32" t="s">
        <v>1797</v>
      </c>
      <c r="D508" s="1">
        <v>1.8055555555555557E-2</v>
      </c>
      <c r="E508" t="s">
        <v>5883</v>
      </c>
      <c r="F508" s="69" t="s">
        <v>2724</v>
      </c>
      <c r="K508" s="82">
        <v>0.60640000000000005</v>
      </c>
    </row>
    <row r="509" spans="1:11" ht="12.75" customHeight="1" x14ac:dyDescent="0.2">
      <c r="A509" s="33">
        <v>42154</v>
      </c>
      <c r="B509" t="s">
        <v>1796</v>
      </c>
      <c r="C509" s="1" t="s">
        <v>1797</v>
      </c>
      <c r="D509" s="1">
        <v>1.6932870370370369E-2</v>
      </c>
      <c r="E509" t="s">
        <v>5883</v>
      </c>
      <c r="F509" s="69" t="s">
        <v>3914</v>
      </c>
      <c r="G509" s="2"/>
      <c r="H509" s="2"/>
      <c r="K509" s="82">
        <v>0.64659999999999995</v>
      </c>
    </row>
    <row r="510" spans="1:11" x14ac:dyDescent="0.2">
      <c r="A510" s="33">
        <v>42147</v>
      </c>
      <c r="B510" t="s">
        <v>1796</v>
      </c>
      <c r="C510" s="1" t="s">
        <v>1797</v>
      </c>
      <c r="D510" s="1">
        <v>1.8032407407407407E-2</v>
      </c>
      <c r="E510" t="s">
        <v>5883</v>
      </c>
      <c r="F510" s="69" t="s">
        <v>1992</v>
      </c>
      <c r="K510" s="82">
        <v>0.60719999999999996</v>
      </c>
    </row>
    <row r="511" spans="1:11" ht="12.75" customHeight="1" x14ac:dyDescent="0.2">
      <c r="A511" s="33">
        <v>42133</v>
      </c>
      <c r="B511" t="s">
        <v>1796</v>
      </c>
      <c r="C511" s="1" t="s">
        <v>1797</v>
      </c>
      <c r="D511" s="1" t="s">
        <v>787</v>
      </c>
      <c r="E511" t="s">
        <v>5883</v>
      </c>
      <c r="F511" s="69" t="s">
        <v>3988</v>
      </c>
      <c r="K511" s="82"/>
    </row>
    <row r="512" spans="1:11" ht="12.75" customHeight="1" x14ac:dyDescent="0.2">
      <c r="A512" s="33">
        <v>42119</v>
      </c>
      <c r="B512" t="s">
        <v>1796</v>
      </c>
      <c r="C512" s="1" t="s">
        <v>1797</v>
      </c>
      <c r="D512" s="1" t="s">
        <v>787</v>
      </c>
      <c r="E512" t="s">
        <v>5883</v>
      </c>
      <c r="F512" s="69" t="s">
        <v>3301</v>
      </c>
      <c r="J512" s="80"/>
      <c r="K512" s="82"/>
    </row>
    <row r="513" spans="1:19" ht="12.75" customHeight="1" x14ac:dyDescent="0.2">
      <c r="A513" s="33">
        <v>42105</v>
      </c>
      <c r="B513" t="s">
        <v>1796</v>
      </c>
      <c r="C513" s="1" t="s">
        <v>1797</v>
      </c>
      <c r="D513" s="1">
        <v>1.9340277777777779E-2</v>
      </c>
      <c r="E513" t="s">
        <v>129</v>
      </c>
      <c r="F513" s="69"/>
      <c r="K513" s="82">
        <v>0.56610000000000005</v>
      </c>
    </row>
    <row r="514" spans="1:19" ht="12.75" customHeight="1" x14ac:dyDescent="0.2">
      <c r="A514" s="33">
        <v>42098</v>
      </c>
      <c r="B514" t="s">
        <v>1796</v>
      </c>
      <c r="C514" s="1" t="s">
        <v>1797</v>
      </c>
      <c r="D514" s="1">
        <v>2.461805555555556E-2</v>
      </c>
      <c r="E514" t="s">
        <v>5883</v>
      </c>
      <c r="F514" s="69" t="s">
        <v>4029</v>
      </c>
      <c r="K514" s="82">
        <v>0.44479999999999997</v>
      </c>
    </row>
    <row r="515" spans="1:19" ht="12.75" customHeight="1" x14ac:dyDescent="0.2">
      <c r="A515" s="33">
        <v>42091</v>
      </c>
      <c r="B515" s="80" t="s">
        <v>1796</v>
      </c>
      <c r="C515" s="1" t="s">
        <v>1797</v>
      </c>
      <c r="D515" s="1">
        <v>1.8842592592592591E-2</v>
      </c>
      <c r="E515" t="s">
        <v>4727</v>
      </c>
      <c r="F515" s="42" t="s">
        <v>4095</v>
      </c>
      <c r="K515" s="82">
        <v>0.58109999999999995</v>
      </c>
    </row>
    <row r="516" spans="1:19" ht="12.75" customHeight="1" x14ac:dyDescent="0.2">
      <c r="A516" s="33">
        <v>42084</v>
      </c>
      <c r="B516" t="s">
        <v>1796</v>
      </c>
      <c r="C516" s="1" t="s">
        <v>1797</v>
      </c>
      <c r="D516" s="1">
        <v>1.8969907407407408E-2</v>
      </c>
      <c r="E516" t="s">
        <v>129</v>
      </c>
      <c r="F516" s="42" t="s">
        <v>2501</v>
      </c>
      <c r="K516" s="82">
        <v>0.57720000000000005</v>
      </c>
    </row>
    <row r="517" spans="1:19" ht="12.75" customHeight="1" x14ac:dyDescent="0.2">
      <c r="A517" s="33">
        <v>42070</v>
      </c>
      <c r="B517" t="s">
        <v>1796</v>
      </c>
      <c r="C517" s="1" t="s">
        <v>1797</v>
      </c>
      <c r="D517" s="1">
        <v>3.0115740740740738E-2</v>
      </c>
      <c r="E517" t="s">
        <v>5885</v>
      </c>
      <c r="F517" s="69" t="s">
        <v>4687</v>
      </c>
      <c r="K517" s="82">
        <v>0.36359999999999998</v>
      </c>
    </row>
    <row r="518" spans="1:19" ht="12.75" customHeight="1" x14ac:dyDescent="0.2">
      <c r="A518" s="33">
        <v>42005</v>
      </c>
      <c r="B518" t="s">
        <v>1796</v>
      </c>
      <c r="C518" s="1" t="s">
        <v>1797</v>
      </c>
      <c r="D518" s="1">
        <v>1.8819444444444448E-2</v>
      </c>
      <c r="E518" t="s">
        <v>5885</v>
      </c>
      <c r="F518" s="69" t="s">
        <v>139</v>
      </c>
      <c r="I518" s="6"/>
      <c r="J518" s="6"/>
      <c r="K518" s="82">
        <v>0.56640000000000001</v>
      </c>
    </row>
    <row r="519" spans="1:19" x14ac:dyDescent="0.2">
      <c r="A519" s="33">
        <v>42005</v>
      </c>
      <c r="B519" t="s">
        <v>1796</v>
      </c>
      <c r="C519" s="1" t="s">
        <v>1797</v>
      </c>
      <c r="D519" s="1">
        <v>2.0173611111111111E-2</v>
      </c>
      <c r="E519" t="s">
        <v>4822</v>
      </c>
      <c r="F519" s="69" t="s">
        <v>138</v>
      </c>
      <c r="I519" s="6"/>
      <c r="J519" s="6"/>
      <c r="K519" s="82">
        <v>0.53820000000000001</v>
      </c>
    </row>
    <row r="520" spans="1:19" x14ac:dyDescent="0.2">
      <c r="A520" s="33">
        <v>42364</v>
      </c>
      <c r="B520" t="s">
        <v>868</v>
      </c>
      <c r="C520" s="1" t="s">
        <v>2480</v>
      </c>
      <c r="D520" s="1">
        <v>1.9918981481481482E-2</v>
      </c>
      <c r="E520" t="s">
        <v>3167</v>
      </c>
      <c r="F520" s="69"/>
      <c r="I520" s="2"/>
      <c r="K520" s="82">
        <v>0.62229999999999996</v>
      </c>
    </row>
    <row r="521" spans="1:19" x14ac:dyDescent="0.2">
      <c r="A521" s="33">
        <v>42357</v>
      </c>
      <c r="B521" t="s">
        <v>868</v>
      </c>
      <c r="C521" s="1" t="s">
        <v>2480</v>
      </c>
      <c r="D521" s="1">
        <v>1.9606481481481482E-2</v>
      </c>
      <c r="E521" t="s">
        <v>3167</v>
      </c>
      <c r="F521" s="69" t="s">
        <v>4182</v>
      </c>
      <c r="I521" s="2"/>
      <c r="K521" s="82">
        <v>0.63219999999999998</v>
      </c>
      <c r="S521" s="80"/>
    </row>
    <row r="522" spans="1:19" x14ac:dyDescent="0.2">
      <c r="A522" s="33">
        <v>42350</v>
      </c>
      <c r="B522" t="s">
        <v>868</v>
      </c>
      <c r="C522" s="1" t="s">
        <v>2480</v>
      </c>
      <c r="D522" s="1">
        <v>1.9340277777777779E-2</v>
      </c>
      <c r="E522" t="s">
        <v>3167</v>
      </c>
      <c r="F522" s="69" t="s">
        <v>2172</v>
      </c>
      <c r="I522" s="2"/>
      <c r="K522" s="82">
        <v>0.64090000000000003</v>
      </c>
    </row>
    <row r="523" spans="1:19" ht="12.75" customHeight="1" x14ac:dyDescent="0.2">
      <c r="A523" s="33">
        <v>42343</v>
      </c>
      <c r="B523" t="s">
        <v>868</v>
      </c>
      <c r="C523" s="1" t="s">
        <v>2480</v>
      </c>
      <c r="D523" s="1">
        <v>1.9664351851851853E-2</v>
      </c>
      <c r="E523" s="5" t="s">
        <v>3167</v>
      </c>
      <c r="F523" s="69" t="s">
        <v>4234</v>
      </c>
      <c r="I523" s="2"/>
      <c r="K523" s="82">
        <v>0.63039999999999996</v>
      </c>
    </row>
    <row r="524" spans="1:19" ht="12.75" customHeight="1" x14ac:dyDescent="0.2">
      <c r="A524" s="33">
        <v>42336</v>
      </c>
      <c r="B524" t="s">
        <v>868</v>
      </c>
      <c r="C524" s="1" t="s">
        <v>2480</v>
      </c>
      <c r="D524" s="1">
        <v>1.9571759259259257E-2</v>
      </c>
      <c r="E524" t="s">
        <v>3167</v>
      </c>
      <c r="F524" s="69" t="s">
        <v>22</v>
      </c>
      <c r="I524" s="2"/>
      <c r="K524" s="82">
        <v>0.63339999999999996</v>
      </c>
    </row>
    <row r="525" spans="1:19" ht="12.75" customHeight="1" x14ac:dyDescent="0.2">
      <c r="A525" s="33">
        <v>42322</v>
      </c>
      <c r="B525" t="s">
        <v>868</v>
      </c>
      <c r="C525" s="1" t="s">
        <v>2480</v>
      </c>
      <c r="D525" s="1">
        <v>1.9108796296296294E-2</v>
      </c>
      <c r="E525" t="s">
        <v>3167</v>
      </c>
      <c r="F525" s="69" t="s">
        <v>308</v>
      </c>
      <c r="I525" s="2"/>
      <c r="K525" s="82">
        <v>0.64870000000000005</v>
      </c>
    </row>
    <row r="526" spans="1:19" ht="12.75" customHeight="1" x14ac:dyDescent="0.2">
      <c r="A526" s="33">
        <v>42315</v>
      </c>
      <c r="B526" t="s">
        <v>868</v>
      </c>
      <c r="C526" s="1" t="s">
        <v>2480</v>
      </c>
      <c r="D526" s="1">
        <v>1.9178240740740742E-2</v>
      </c>
      <c r="E526" t="s">
        <v>3167</v>
      </c>
      <c r="F526" s="69" t="s">
        <v>2476</v>
      </c>
      <c r="I526" s="2"/>
      <c r="K526" s="82">
        <v>0.64629999999999999</v>
      </c>
    </row>
    <row r="527" spans="1:19" ht="12.75" customHeight="1" x14ac:dyDescent="0.2">
      <c r="A527" s="33">
        <v>42308</v>
      </c>
      <c r="B527" t="s">
        <v>868</v>
      </c>
      <c r="C527" s="1" t="s">
        <v>2480</v>
      </c>
      <c r="D527" s="1">
        <v>1.8194444444444444E-2</v>
      </c>
      <c r="E527" t="s">
        <v>3167</v>
      </c>
      <c r="F527" s="69" t="s">
        <v>2950</v>
      </c>
      <c r="I527" s="2"/>
      <c r="K527" s="82">
        <v>0.68130000000000002</v>
      </c>
    </row>
    <row r="528" spans="1:19" ht="12.75" customHeight="1" x14ac:dyDescent="0.2">
      <c r="A528" s="33">
        <v>42301</v>
      </c>
      <c r="B528" t="s">
        <v>868</v>
      </c>
      <c r="C528" s="1" t="s">
        <v>2480</v>
      </c>
      <c r="D528" s="1">
        <v>1.8124999999999999E-2</v>
      </c>
      <c r="E528" t="s">
        <v>3167</v>
      </c>
      <c r="F528" s="69" t="s">
        <v>2759</v>
      </c>
      <c r="I528" s="2"/>
      <c r="K528" s="82">
        <v>0.68389999999999995</v>
      </c>
    </row>
    <row r="529" spans="1:11" ht="12.75" customHeight="1" x14ac:dyDescent="0.2">
      <c r="A529" s="33">
        <v>42294</v>
      </c>
      <c r="B529" t="s">
        <v>868</v>
      </c>
      <c r="C529" s="1" t="s">
        <v>2480</v>
      </c>
      <c r="D529" s="1">
        <v>1.8136574074074072E-2</v>
      </c>
      <c r="E529" t="s">
        <v>3167</v>
      </c>
      <c r="F529" s="69" t="s">
        <v>1876</v>
      </c>
      <c r="I529" s="2"/>
      <c r="K529" s="82">
        <v>0.6835</v>
      </c>
    </row>
    <row r="530" spans="1:11" x14ac:dyDescent="0.2">
      <c r="A530" s="33">
        <v>42287</v>
      </c>
      <c r="B530" t="s">
        <v>868</v>
      </c>
      <c r="C530" s="1" t="s">
        <v>2480</v>
      </c>
      <c r="D530" s="1">
        <v>1.7893518518518517E-2</v>
      </c>
      <c r="E530" t="s">
        <v>3167</v>
      </c>
      <c r="F530" s="69" t="s">
        <v>2187</v>
      </c>
      <c r="I530" s="2"/>
      <c r="K530" s="82">
        <v>0.69279999999999997</v>
      </c>
    </row>
    <row r="531" spans="1:11" x14ac:dyDescent="0.2">
      <c r="A531" s="33">
        <v>42280</v>
      </c>
      <c r="B531" t="s">
        <v>868</v>
      </c>
      <c r="C531" s="1" t="s">
        <v>2480</v>
      </c>
      <c r="D531" s="1">
        <v>1.7719907407407406E-2</v>
      </c>
      <c r="E531" t="s">
        <v>3167</v>
      </c>
      <c r="F531" s="69" t="s">
        <v>1426</v>
      </c>
      <c r="I531" s="2"/>
      <c r="K531" s="82">
        <v>0.69950000000000001</v>
      </c>
    </row>
    <row r="532" spans="1:11" x14ac:dyDescent="0.2">
      <c r="A532" s="33">
        <v>42273</v>
      </c>
      <c r="B532" t="s">
        <v>868</v>
      </c>
      <c r="C532" s="1" t="s">
        <v>2480</v>
      </c>
      <c r="D532" s="1">
        <v>1.7673611111111109E-2</v>
      </c>
      <c r="E532" s="5" t="s">
        <v>3167</v>
      </c>
      <c r="F532" s="69" t="s">
        <v>5693</v>
      </c>
      <c r="I532" s="2"/>
      <c r="K532" s="82">
        <v>0.70169999999999999</v>
      </c>
    </row>
    <row r="533" spans="1:11" x14ac:dyDescent="0.2">
      <c r="A533" s="33">
        <v>42266</v>
      </c>
      <c r="B533" t="s">
        <v>868</v>
      </c>
      <c r="C533" s="1" t="s">
        <v>2480</v>
      </c>
      <c r="D533" s="1">
        <v>1.800925925925926E-2</v>
      </c>
      <c r="E533" t="s">
        <v>3167</v>
      </c>
      <c r="F533" s="69" t="s">
        <v>5379</v>
      </c>
      <c r="K533" s="82">
        <v>0.68830000000000002</v>
      </c>
    </row>
    <row r="534" spans="1:11" x14ac:dyDescent="0.2">
      <c r="A534" s="33">
        <v>42259</v>
      </c>
      <c r="B534" t="s">
        <v>868</v>
      </c>
      <c r="C534" s="1" t="s">
        <v>2480</v>
      </c>
      <c r="D534" s="1">
        <v>1.7997685185185186E-2</v>
      </c>
      <c r="E534" t="s">
        <v>3167</v>
      </c>
      <c r="F534" s="69"/>
      <c r="K534" s="82">
        <v>0.6804</v>
      </c>
    </row>
    <row r="535" spans="1:11" x14ac:dyDescent="0.2">
      <c r="A535" s="33">
        <v>42252</v>
      </c>
      <c r="B535" t="s">
        <v>868</v>
      </c>
      <c r="C535" s="1" t="s">
        <v>2480</v>
      </c>
      <c r="D535" s="1">
        <v>1.8449074074074073E-2</v>
      </c>
      <c r="E535" t="s">
        <v>4727</v>
      </c>
      <c r="F535" s="69" t="s">
        <v>2138</v>
      </c>
      <c r="K535" s="82">
        <v>0.66369999999999996</v>
      </c>
    </row>
    <row r="536" spans="1:11" x14ac:dyDescent="0.2">
      <c r="A536" s="33">
        <v>42245</v>
      </c>
      <c r="B536" t="s">
        <v>868</v>
      </c>
      <c r="C536" s="1" t="s">
        <v>2480</v>
      </c>
      <c r="D536" s="1">
        <v>1.8692129629629631E-2</v>
      </c>
      <c r="E536" t="s">
        <v>3167</v>
      </c>
      <c r="F536" s="69" t="s">
        <v>567</v>
      </c>
      <c r="K536" s="82">
        <v>0.65510000000000002</v>
      </c>
    </row>
    <row r="537" spans="1:11" x14ac:dyDescent="0.2">
      <c r="A537" s="33">
        <v>42210</v>
      </c>
      <c r="B537" t="s">
        <v>868</v>
      </c>
      <c r="C537" s="1" t="s">
        <v>2480</v>
      </c>
      <c r="D537" s="1">
        <v>1.7789351851851851E-2</v>
      </c>
      <c r="E537" t="s">
        <v>1214</v>
      </c>
      <c r="F537" s="69" t="s">
        <v>1598</v>
      </c>
      <c r="K537" s="82">
        <v>0.68840000000000001</v>
      </c>
    </row>
    <row r="538" spans="1:11" x14ac:dyDescent="0.2">
      <c r="A538" s="33">
        <v>42203</v>
      </c>
      <c r="B538" t="s">
        <v>868</v>
      </c>
      <c r="C538" s="1" t="s">
        <v>2480</v>
      </c>
      <c r="D538" s="1">
        <v>1.7939814814814815E-2</v>
      </c>
      <c r="E538" t="s">
        <v>3167</v>
      </c>
      <c r="F538" s="69" t="s">
        <v>2477</v>
      </c>
      <c r="K538" s="82">
        <v>0.68259999999999998</v>
      </c>
    </row>
    <row r="539" spans="1:11" x14ac:dyDescent="0.2">
      <c r="A539" s="33">
        <v>42196</v>
      </c>
      <c r="B539" t="s">
        <v>868</v>
      </c>
      <c r="C539" s="1" t="s">
        <v>2480</v>
      </c>
      <c r="D539" s="1">
        <v>1.8263888888888889E-2</v>
      </c>
      <c r="E539" t="s">
        <v>3167</v>
      </c>
      <c r="F539" s="69" t="s">
        <v>5479</v>
      </c>
      <c r="K539" s="82">
        <v>0.67049999999999998</v>
      </c>
    </row>
    <row r="540" spans="1:11" x14ac:dyDescent="0.2">
      <c r="A540" s="33">
        <v>42189</v>
      </c>
      <c r="B540" t="s">
        <v>868</v>
      </c>
      <c r="C540" s="1" t="s">
        <v>2480</v>
      </c>
      <c r="D540" s="1">
        <v>1.8483796296296297E-2</v>
      </c>
      <c r="E540" t="s">
        <v>3167</v>
      </c>
      <c r="F540" s="69" t="s">
        <v>5721</v>
      </c>
      <c r="K540" s="82">
        <v>0.66249999999999998</v>
      </c>
    </row>
    <row r="541" spans="1:11" x14ac:dyDescent="0.2">
      <c r="A541" s="33">
        <v>42182</v>
      </c>
      <c r="B541" t="s">
        <v>868</v>
      </c>
      <c r="C541" s="1" t="s">
        <v>2480</v>
      </c>
      <c r="D541" s="1">
        <v>1.8668981481481481E-2</v>
      </c>
      <c r="E541" t="s">
        <v>3167</v>
      </c>
      <c r="F541" s="69" t="s">
        <v>1606</v>
      </c>
      <c r="K541" s="82">
        <v>0.65590000000000004</v>
      </c>
    </row>
    <row r="542" spans="1:11" x14ac:dyDescent="0.2">
      <c r="A542" s="33">
        <v>42175</v>
      </c>
      <c r="B542" t="s">
        <v>868</v>
      </c>
      <c r="C542" s="1" t="s">
        <v>2480</v>
      </c>
      <c r="D542" s="1">
        <v>1.8703703703703705E-2</v>
      </c>
      <c r="E542" t="s">
        <v>3167</v>
      </c>
      <c r="F542" s="69"/>
      <c r="K542" s="82">
        <v>0.65469999999999995</v>
      </c>
    </row>
    <row r="543" spans="1:11" x14ac:dyDescent="0.2">
      <c r="A543" s="33">
        <v>42168</v>
      </c>
      <c r="B543" t="s">
        <v>868</v>
      </c>
      <c r="C543" s="1" t="s">
        <v>2480</v>
      </c>
      <c r="D543" s="1">
        <v>1.8136574074074072E-2</v>
      </c>
      <c r="E543" t="s">
        <v>3167</v>
      </c>
      <c r="F543" s="69" t="s">
        <v>79</v>
      </c>
      <c r="K543" s="82">
        <v>0.67520000000000002</v>
      </c>
    </row>
    <row r="544" spans="1:11" x14ac:dyDescent="0.2">
      <c r="A544" s="33">
        <v>42161</v>
      </c>
      <c r="B544" t="s">
        <v>868</v>
      </c>
      <c r="C544" s="1" t="s">
        <v>2480</v>
      </c>
      <c r="D544" s="1">
        <v>1.8657407407407407E-2</v>
      </c>
      <c r="E544" t="s">
        <v>3167</v>
      </c>
      <c r="F544" s="69" t="s">
        <v>5172</v>
      </c>
      <c r="K544" s="82">
        <v>0.65629999999999999</v>
      </c>
    </row>
    <row r="545" spans="1:19" x14ac:dyDescent="0.2">
      <c r="A545" s="33">
        <v>42147</v>
      </c>
      <c r="B545" t="s">
        <v>868</v>
      </c>
      <c r="C545" s="1" t="s">
        <v>2480</v>
      </c>
      <c r="D545" s="1">
        <v>1.8668981481481481E-2</v>
      </c>
      <c r="E545" t="s">
        <v>1214</v>
      </c>
      <c r="F545" s="69" t="s">
        <v>2188</v>
      </c>
      <c r="K545" s="82">
        <v>0.65590000000000004</v>
      </c>
    </row>
    <row r="546" spans="1:19" x14ac:dyDescent="0.2">
      <c r="A546" s="33">
        <v>42140</v>
      </c>
      <c r="B546" t="s">
        <v>868</v>
      </c>
      <c r="C546" s="1" t="s">
        <v>2480</v>
      </c>
      <c r="D546" s="1">
        <v>1.861111111111111E-2</v>
      </c>
      <c r="E546" t="s">
        <v>1214</v>
      </c>
      <c r="F546" s="69" t="s">
        <v>3244</v>
      </c>
      <c r="K546" s="82">
        <v>0.65800000000000003</v>
      </c>
      <c r="M546" s="6"/>
    </row>
    <row r="547" spans="1:19" x14ac:dyDescent="0.2">
      <c r="A547" s="33">
        <v>42119</v>
      </c>
      <c r="B547" t="s">
        <v>868</v>
      </c>
      <c r="C547" s="1" t="s">
        <v>2480</v>
      </c>
      <c r="D547" s="1">
        <v>1.7962962962962962E-2</v>
      </c>
      <c r="E547" t="s">
        <v>1214</v>
      </c>
      <c r="F547" s="69" t="s">
        <v>388</v>
      </c>
      <c r="K547" s="82">
        <v>0.68169999999999997</v>
      </c>
    </row>
    <row r="548" spans="1:19" x14ac:dyDescent="0.2">
      <c r="A548" s="33">
        <v>42112</v>
      </c>
      <c r="B548" t="s">
        <v>868</v>
      </c>
      <c r="C548" s="1" t="s">
        <v>2480</v>
      </c>
      <c r="D548" s="1">
        <v>1.8414351851851852E-2</v>
      </c>
      <c r="E548" t="s">
        <v>1214</v>
      </c>
      <c r="F548" s="69" t="s">
        <v>5172</v>
      </c>
      <c r="K548" s="82">
        <v>0.66500000000000004</v>
      </c>
    </row>
    <row r="549" spans="1:19" x14ac:dyDescent="0.2">
      <c r="A549" s="33">
        <v>42105</v>
      </c>
      <c r="B549" t="s">
        <v>868</v>
      </c>
      <c r="C549" s="1" t="s">
        <v>2480</v>
      </c>
      <c r="D549" s="1">
        <v>1.9178240740740742E-2</v>
      </c>
      <c r="E549" t="s">
        <v>1214</v>
      </c>
      <c r="F549" s="69" t="s">
        <v>4266</v>
      </c>
      <c r="K549" s="82">
        <v>0.63849999999999996</v>
      </c>
    </row>
    <row r="550" spans="1:19" x14ac:dyDescent="0.2">
      <c r="A550" s="33">
        <v>42077</v>
      </c>
      <c r="B550" t="s">
        <v>868</v>
      </c>
      <c r="C550" s="1" t="s">
        <v>2480</v>
      </c>
      <c r="D550" s="1">
        <v>1.7800925925925925E-2</v>
      </c>
      <c r="E550" t="s">
        <v>1214</v>
      </c>
      <c r="F550" s="69" t="s">
        <v>3546</v>
      </c>
      <c r="I550" s="42"/>
      <c r="J550" s="42"/>
      <c r="K550" s="82">
        <v>0.68789999999999996</v>
      </c>
    </row>
    <row r="551" spans="1:19" x14ac:dyDescent="0.2">
      <c r="A551" s="33">
        <v>42063</v>
      </c>
      <c r="B551" t="s">
        <v>868</v>
      </c>
      <c r="C551" s="1" t="s">
        <v>2480</v>
      </c>
      <c r="D551" s="1">
        <v>1.8032407407407407E-2</v>
      </c>
      <c r="E551" t="s">
        <v>1214</v>
      </c>
      <c r="F551" s="42"/>
      <c r="K551" s="82">
        <v>0.67910000000000004</v>
      </c>
    </row>
    <row r="552" spans="1:19" x14ac:dyDescent="0.2">
      <c r="A552" s="33">
        <v>42049</v>
      </c>
      <c r="B552" t="s">
        <v>868</v>
      </c>
      <c r="C552" s="1" t="s">
        <v>2480</v>
      </c>
      <c r="D552" s="1">
        <v>1.8356481481481481E-2</v>
      </c>
      <c r="E552" t="s">
        <v>1214</v>
      </c>
      <c r="F552" s="69" t="s">
        <v>2121</v>
      </c>
      <c r="K552" s="82">
        <v>0.66710000000000003</v>
      </c>
    </row>
    <row r="553" spans="1:19" x14ac:dyDescent="0.2">
      <c r="A553" s="33">
        <v>42021</v>
      </c>
      <c r="B553" t="s">
        <v>868</v>
      </c>
      <c r="C553" s="1" t="s">
        <v>2480</v>
      </c>
      <c r="D553" s="1">
        <v>1.8333333333333333E-2</v>
      </c>
      <c r="E553" t="s">
        <v>1214</v>
      </c>
      <c r="F553" s="42" t="s">
        <v>342</v>
      </c>
      <c r="K553" s="82">
        <v>0.66790000000000005</v>
      </c>
    </row>
    <row r="554" spans="1:19" x14ac:dyDescent="0.2">
      <c r="A554" s="33">
        <v>42357</v>
      </c>
      <c r="B554" s="53" t="s">
        <v>922</v>
      </c>
      <c r="C554" s="54" t="s">
        <v>2909</v>
      </c>
      <c r="D554" s="1">
        <v>2.2418981481481481E-2</v>
      </c>
      <c r="E554" t="s">
        <v>3080</v>
      </c>
      <c r="F554" s="69" t="s">
        <v>2910</v>
      </c>
      <c r="I554" s="2"/>
      <c r="K554" s="82">
        <v>0.45689999999999997</v>
      </c>
      <c r="M554" t="s">
        <v>2911</v>
      </c>
      <c r="R554" t="s">
        <v>876</v>
      </c>
      <c r="S554" s="80"/>
    </row>
    <row r="555" spans="1:19" x14ac:dyDescent="0.2">
      <c r="A555" s="33">
        <v>42294</v>
      </c>
      <c r="B555" t="s">
        <v>1868</v>
      </c>
      <c r="C555" s="1" t="s">
        <v>1869</v>
      </c>
      <c r="D555" s="1">
        <v>1.4687499999999999E-2</v>
      </c>
      <c r="E555" t="s">
        <v>4004</v>
      </c>
      <c r="F555" s="69" t="s">
        <v>152</v>
      </c>
      <c r="I555" s="2"/>
      <c r="K555" s="82">
        <v>0.6099</v>
      </c>
    </row>
    <row r="556" spans="1:19" x14ac:dyDescent="0.2">
      <c r="A556" s="33">
        <v>42203</v>
      </c>
      <c r="B556" t="s">
        <v>1868</v>
      </c>
      <c r="C556" s="1" t="s">
        <v>1869</v>
      </c>
      <c r="D556" s="1">
        <v>1.5150462962962963E-2</v>
      </c>
      <c r="E556" t="s">
        <v>4004</v>
      </c>
      <c r="F556" s="69" t="s">
        <v>1056</v>
      </c>
      <c r="K556" s="82">
        <v>0.59130000000000005</v>
      </c>
    </row>
    <row r="557" spans="1:19" x14ac:dyDescent="0.2">
      <c r="A557" s="33">
        <v>42196</v>
      </c>
      <c r="B557" t="s">
        <v>1868</v>
      </c>
      <c r="C557" s="1" t="s">
        <v>1869</v>
      </c>
      <c r="D557" s="1">
        <v>1.5416666666666667E-2</v>
      </c>
      <c r="E557" t="s">
        <v>5654</v>
      </c>
      <c r="F557" s="69" t="s">
        <v>4546</v>
      </c>
      <c r="K557" s="82">
        <v>0.58109999999999995</v>
      </c>
    </row>
    <row r="558" spans="1:19" x14ac:dyDescent="0.2">
      <c r="A558" s="33">
        <v>42182</v>
      </c>
      <c r="B558" t="s">
        <v>1868</v>
      </c>
      <c r="C558" s="1" t="s">
        <v>1869</v>
      </c>
      <c r="D558" s="1">
        <v>1.5868055555555555E-2</v>
      </c>
      <c r="E558" t="s">
        <v>1624</v>
      </c>
      <c r="F558" s="69" t="s">
        <v>3809</v>
      </c>
      <c r="K558" s="82">
        <v>0.56459999999999999</v>
      </c>
    </row>
    <row r="559" spans="1:19" x14ac:dyDescent="0.2">
      <c r="A559" s="33">
        <v>42175</v>
      </c>
      <c r="B559" t="s">
        <v>1868</v>
      </c>
      <c r="C559" s="1" t="s">
        <v>1869</v>
      </c>
      <c r="D559" s="1">
        <v>1.503472222222222E-2</v>
      </c>
      <c r="E559" t="s">
        <v>4004</v>
      </c>
      <c r="F559" s="69"/>
      <c r="K559" s="82">
        <v>0.5958</v>
      </c>
    </row>
    <row r="560" spans="1:19" x14ac:dyDescent="0.2">
      <c r="A560" s="33">
        <v>42168</v>
      </c>
      <c r="B560" t="s">
        <v>1868</v>
      </c>
      <c r="C560" s="1" t="s">
        <v>1869</v>
      </c>
      <c r="D560" s="1">
        <v>1.53125E-2</v>
      </c>
      <c r="E560" t="s">
        <v>4004</v>
      </c>
      <c r="F560" s="69" t="s">
        <v>1118</v>
      </c>
      <c r="K560" s="82">
        <v>0.58499999999999996</v>
      </c>
    </row>
    <row r="561" spans="1:19" x14ac:dyDescent="0.2">
      <c r="A561" s="33">
        <v>42154</v>
      </c>
      <c r="B561" t="s">
        <v>1868</v>
      </c>
      <c r="C561" s="1" t="s">
        <v>1869</v>
      </c>
      <c r="D561" s="1">
        <v>1.5289351851851851E-2</v>
      </c>
      <c r="E561" t="s">
        <v>5889</v>
      </c>
      <c r="F561" s="69" t="s">
        <v>4394</v>
      </c>
      <c r="G561" s="6"/>
      <c r="H561" s="6"/>
      <c r="K561" s="82">
        <v>0.58589999999999998</v>
      </c>
    </row>
    <row r="562" spans="1:19" x14ac:dyDescent="0.2">
      <c r="A562" s="33">
        <v>42147</v>
      </c>
      <c r="B562" t="s">
        <v>1868</v>
      </c>
      <c r="C562" s="1" t="s">
        <v>1869</v>
      </c>
      <c r="D562" s="1">
        <v>1.5370370370370369E-2</v>
      </c>
      <c r="E562" t="s">
        <v>1020</v>
      </c>
      <c r="F562" s="69" t="s">
        <v>2629</v>
      </c>
      <c r="G562" s="6"/>
      <c r="H562" s="6"/>
      <c r="K562" s="82">
        <v>0.58279999999999998</v>
      </c>
    </row>
    <row r="563" spans="1:19" x14ac:dyDescent="0.2">
      <c r="A563" s="34">
        <v>42140</v>
      </c>
      <c r="B563" s="1" t="s">
        <v>4657</v>
      </c>
      <c r="C563" s="1" t="s">
        <v>1869</v>
      </c>
      <c r="D563" s="1">
        <v>1.4756944444444446E-2</v>
      </c>
      <c r="E563" t="s">
        <v>4004</v>
      </c>
      <c r="F563" s="69" t="s">
        <v>876</v>
      </c>
      <c r="K563" s="82">
        <v>0.60709999999999997</v>
      </c>
    </row>
    <row r="564" spans="1:19" x14ac:dyDescent="0.2">
      <c r="A564" s="34">
        <v>42133</v>
      </c>
      <c r="B564" s="1" t="s">
        <v>4657</v>
      </c>
      <c r="C564" s="1" t="s">
        <v>1869</v>
      </c>
      <c r="D564" s="1">
        <v>1.6886574074074075E-2</v>
      </c>
      <c r="E564" t="s">
        <v>2557</v>
      </c>
      <c r="F564" s="41"/>
      <c r="K564" s="82">
        <v>0.53049999999999997</v>
      </c>
    </row>
    <row r="565" spans="1:19" x14ac:dyDescent="0.2">
      <c r="A565" s="33">
        <v>42357</v>
      </c>
      <c r="B565" t="s">
        <v>5540</v>
      </c>
      <c r="C565" s="1" t="s">
        <v>5541</v>
      </c>
      <c r="D565" s="1">
        <v>1.818287037037037E-2</v>
      </c>
      <c r="E565" t="s">
        <v>5095</v>
      </c>
      <c r="F565" s="69" t="s">
        <v>343</v>
      </c>
      <c r="I565" s="2"/>
      <c r="K565" s="82">
        <v>0.65249999999999997</v>
      </c>
      <c r="S565" s="80"/>
    </row>
    <row r="566" spans="1:19" x14ac:dyDescent="0.2">
      <c r="A566" s="33">
        <v>42301</v>
      </c>
      <c r="B566" t="s">
        <v>5540</v>
      </c>
      <c r="C566" s="1" t="s">
        <v>5541</v>
      </c>
      <c r="D566" s="1">
        <v>1.7824074074074076E-2</v>
      </c>
      <c r="E566" t="s">
        <v>2596</v>
      </c>
      <c r="F566" s="69" t="s">
        <v>2763</v>
      </c>
      <c r="I566" s="2"/>
      <c r="K566" s="82">
        <v>0.65969999999999995</v>
      </c>
    </row>
    <row r="567" spans="1:19" x14ac:dyDescent="0.2">
      <c r="A567" s="33">
        <v>42273</v>
      </c>
      <c r="B567" t="s">
        <v>5540</v>
      </c>
      <c r="C567" s="1" t="s">
        <v>5541</v>
      </c>
      <c r="D567" s="1">
        <v>1.8206018518518517E-2</v>
      </c>
      <c r="E567" t="s">
        <v>3773</v>
      </c>
      <c r="F567" s="69" t="s">
        <v>3356</v>
      </c>
      <c r="I567" s="2"/>
      <c r="K567" s="82">
        <v>0.64590000000000003</v>
      </c>
    </row>
    <row r="568" spans="1:19" x14ac:dyDescent="0.2">
      <c r="A568" s="33">
        <v>42259</v>
      </c>
      <c r="B568" t="s">
        <v>5540</v>
      </c>
      <c r="C568" s="1" t="s">
        <v>5541</v>
      </c>
      <c r="D568" s="1">
        <v>1.7812499999999998E-2</v>
      </c>
      <c r="E568" t="s">
        <v>3072</v>
      </c>
      <c r="F568" s="69"/>
      <c r="K568" s="82">
        <v>0.66020000000000001</v>
      </c>
    </row>
    <row r="569" spans="1:19" x14ac:dyDescent="0.2">
      <c r="A569" s="33">
        <v>42196</v>
      </c>
      <c r="B569" t="s">
        <v>5540</v>
      </c>
      <c r="C569" s="1" t="s">
        <v>5541</v>
      </c>
      <c r="D569" s="1">
        <v>1.7245370370370369E-2</v>
      </c>
      <c r="E569" t="s">
        <v>5095</v>
      </c>
      <c r="F569" s="69"/>
      <c r="K569" s="82">
        <v>0.68189999999999995</v>
      </c>
    </row>
    <row r="570" spans="1:19" x14ac:dyDescent="0.2">
      <c r="A570" s="33">
        <v>42189</v>
      </c>
      <c r="B570" t="s">
        <v>5540</v>
      </c>
      <c r="C570" s="1" t="s">
        <v>5541</v>
      </c>
      <c r="D570" s="1">
        <v>1.7222222222222222E-2</v>
      </c>
      <c r="E570" t="s">
        <v>3072</v>
      </c>
      <c r="F570" s="69"/>
      <c r="K570" s="82">
        <v>0.68279999999999996</v>
      </c>
    </row>
    <row r="571" spans="1:19" x14ac:dyDescent="0.2">
      <c r="A571" s="33">
        <v>42175</v>
      </c>
      <c r="B571" t="s">
        <v>5540</v>
      </c>
      <c r="C571" s="1" t="s">
        <v>5541</v>
      </c>
      <c r="D571" s="1">
        <v>1.6967592592592593E-2</v>
      </c>
      <c r="E571" t="s">
        <v>3072</v>
      </c>
      <c r="F571" s="69" t="s">
        <v>5746</v>
      </c>
      <c r="K571" s="82">
        <v>0.69299999999999995</v>
      </c>
    </row>
    <row r="572" spans="1:19" x14ac:dyDescent="0.2">
      <c r="A572" s="33">
        <v>42168</v>
      </c>
      <c r="B572" t="s">
        <v>5540</v>
      </c>
      <c r="C572" s="1" t="s">
        <v>5541</v>
      </c>
      <c r="D572" s="1">
        <v>1.7314814814814814E-2</v>
      </c>
      <c r="E572" t="s">
        <v>3072</v>
      </c>
      <c r="F572" s="69" t="s">
        <v>3516</v>
      </c>
      <c r="K572" s="82">
        <v>0.67910000000000004</v>
      </c>
    </row>
    <row r="573" spans="1:19" x14ac:dyDescent="0.2">
      <c r="A573" s="33">
        <v>42140</v>
      </c>
      <c r="B573" t="s">
        <v>5540</v>
      </c>
      <c r="C573" s="1" t="s">
        <v>5541</v>
      </c>
      <c r="D573" s="1">
        <v>1.7592592592592594E-2</v>
      </c>
      <c r="E573" t="s">
        <v>3072</v>
      </c>
      <c r="F573" s="69" t="s">
        <v>2806</v>
      </c>
      <c r="K573" s="82">
        <v>0.66839999999999999</v>
      </c>
    </row>
    <row r="574" spans="1:19" x14ac:dyDescent="0.2">
      <c r="A574" s="33">
        <v>42098</v>
      </c>
      <c r="B574" t="s">
        <v>5540</v>
      </c>
      <c r="C574" s="1" t="s">
        <v>5541</v>
      </c>
      <c r="D574" s="1">
        <v>1.8159722222222219E-2</v>
      </c>
      <c r="E574" t="s">
        <v>1401</v>
      </c>
      <c r="F574" s="69" t="s">
        <v>2654</v>
      </c>
      <c r="K574" s="82">
        <v>0.64749999999999996</v>
      </c>
    </row>
    <row r="575" spans="1:19" x14ac:dyDescent="0.2">
      <c r="A575" s="33">
        <v>42077</v>
      </c>
      <c r="B575" t="s">
        <v>5540</v>
      </c>
      <c r="C575" s="1" t="s">
        <v>5541</v>
      </c>
      <c r="D575" s="1">
        <v>1.8472222222222223E-2</v>
      </c>
      <c r="E575" t="s">
        <v>3072</v>
      </c>
      <c r="F575" s="69" t="s">
        <v>3545</v>
      </c>
      <c r="I575" s="42"/>
      <c r="J575" s="42"/>
      <c r="K575" s="82">
        <v>0.63660000000000005</v>
      </c>
    </row>
    <row r="576" spans="1:19" x14ac:dyDescent="0.2">
      <c r="A576" s="33">
        <v>42322</v>
      </c>
      <c r="B576" t="s">
        <v>3543</v>
      </c>
      <c r="C576" s="1" t="s">
        <v>3100</v>
      </c>
      <c r="D576" s="1">
        <v>1.6423611111111111E-2</v>
      </c>
      <c r="E576" t="s">
        <v>5947</v>
      </c>
      <c r="F576" s="69" t="s">
        <v>3972</v>
      </c>
      <c r="I576" s="2"/>
      <c r="K576" s="82">
        <v>0.62370000000000003</v>
      </c>
    </row>
    <row r="577" spans="1:11" x14ac:dyDescent="0.2">
      <c r="A577" s="33">
        <v>42287</v>
      </c>
      <c r="B577" t="s">
        <v>3543</v>
      </c>
      <c r="C577" s="1" t="s">
        <v>3100</v>
      </c>
      <c r="D577" s="1">
        <v>1.653935185185185E-2</v>
      </c>
      <c r="E577" t="s">
        <v>5947</v>
      </c>
      <c r="F577" s="69" t="s">
        <v>2879</v>
      </c>
      <c r="I577" s="2"/>
      <c r="K577" s="82">
        <v>0.61929999999999996</v>
      </c>
    </row>
    <row r="578" spans="1:11" x14ac:dyDescent="0.2">
      <c r="A578" s="33">
        <v>42259</v>
      </c>
      <c r="B578" t="s">
        <v>3543</v>
      </c>
      <c r="C578" s="1" t="s">
        <v>3100</v>
      </c>
      <c r="D578" s="1">
        <v>1.6307870370370372E-2</v>
      </c>
      <c r="E578" t="s">
        <v>5947</v>
      </c>
      <c r="F578" s="69" t="s">
        <v>876</v>
      </c>
      <c r="K578" s="82">
        <v>0.62809999999999999</v>
      </c>
    </row>
    <row r="579" spans="1:11" x14ac:dyDescent="0.2">
      <c r="A579" s="33">
        <v>42245</v>
      </c>
      <c r="B579" t="s">
        <v>3543</v>
      </c>
      <c r="C579" s="1" t="s">
        <v>3100</v>
      </c>
      <c r="D579" s="1">
        <v>1.6469907407407405E-2</v>
      </c>
      <c r="E579" t="s">
        <v>5947</v>
      </c>
      <c r="F579" s="69" t="s">
        <v>3514</v>
      </c>
      <c r="K579" s="82">
        <v>0.62190000000000001</v>
      </c>
    </row>
    <row r="580" spans="1:11" x14ac:dyDescent="0.2">
      <c r="A580" s="33">
        <v>42238</v>
      </c>
      <c r="B580" t="s">
        <v>3543</v>
      </c>
      <c r="C580" s="1" t="s">
        <v>3100</v>
      </c>
      <c r="D580" s="1">
        <v>1.6319444444444445E-2</v>
      </c>
      <c r="E580" t="s">
        <v>5947</v>
      </c>
      <c r="F580" s="69" t="s">
        <v>876</v>
      </c>
      <c r="H580" t="s">
        <v>5237</v>
      </c>
      <c r="K580" s="82">
        <v>0.62770000000000004</v>
      </c>
    </row>
    <row r="581" spans="1:11" x14ac:dyDescent="0.2">
      <c r="A581" s="33">
        <v>42231</v>
      </c>
      <c r="B581" t="s">
        <v>3543</v>
      </c>
      <c r="C581" s="1" t="s">
        <v>3100</v>
      </c>
      <c r="D581" s="1">
        <v>1.6435185185185188E-2</v>
      </c>
      <c r="E581" t="s">
        <v>5947</v>
      </c>
      <c r="F581" s="69" t="s">
        <v>4279</v>
      </c>
      <c r="K581" s="82">
        <v>0.62319999999999998</v>
      </c>
    </row>
    <row r="582" spans="1:11" x14ac:dyDescent="0.2">
      <c r="A582" s="33">
        <v>42224</v>
      </c>
      <c r="B582" t="s">
        <v>3543</v>
      </c>
      <c r="C582" s="1" t="s">
        <v>3100</v>
      </c>
      <c r="D582" s="1">
        <v>1.6377314814814813E-2</v>
      </c>
      <c r="E582" t="s">
        <v>5947</v>
      </c>
      <c r="F582" s="69" t="s">
        <v>2332</v>
      </c>
      <c r="K582" s="82">
        <v>0.62539999999999996</v>
      </c>
    </row>
    <row r="583" spans="1:11" x14ac:dyDescent="0.2">
      <c r="A583" s="33">
        <v>42217</v>
      </c>
      <c r="B583" t="s">
        <v>3543</v>
      </c>
      <c r="C583" s="1" t="s">
        <v>3100</v>
      </c>
      <c r="D583" s="1">
        <v>1.7199074074074071E-2</v>
      </c>
      <c r="E583" t="s">
        <v>2543</v>
      </c>
      <c r="F583" s="69" t="s">
        <v>2629</v>
      </c>
      <c r="K583" s="82">
        <v>0.59560000000000002</v>
      </c>
    </row>
    <row r="584" spans="1:11" x14ac:dyDescent="0.2">
      <c r="A584" s="33">
        <v>42210</v>
      </c>
      <c r="B584" t="s">
        <v>3543</v>
      </c>
      <c r="C584" s="1" t="s">
        <v>3100</v>
      </c>
      <c r="D584" s="1">
        <v>1.6273148148148148E-2</v>
      </c>
      <c r="E584" t="s">
        <v>5947</v>
      </c>
      <c r="F584" s="69" t="s">
        <v>3939</v>
      </c>
      <c r="K584" s="82">
        <v>0.61629999999999996</v>
      </c>
    </row>
    <row r="585" spans="1:11" x14ac:dyDescent="0.2">
      <c r="A585" s="33">
        <v>42203</v>
      </c>
      <c r="B585" t="s">
        <v>3543</v>
      </c>
      <c r="C585" s="1" t="s">
        <v>3100</v>
      </c>
      <c r="D585" s="1">
        <v>1.6620370370370372E-2</v>
      </c>
      <c r="E585" t="s">
        <v>5947</v>
      </c>
      <c r="F585" s="69" t="s">
        <v>876</v>
      </c>
      <c r="K585" s="82">
        <v>0.61629999999999996</v>
      </c>
    </row>
    <row r="586" spans="1:11" x14ac:dyDescent="0.2">
      <c r="A586" s="33">
        <v>42196</v>
      </c>
      <c r="B586" t="s">
        <v>3543</v>
      </c>
      <c r="C586" s="1" t="s">
        <v>3100</v>
      </c>
      <c r="D586" s="1">
        <v>1.7013888888888887E-2</v>
      </c>
      <c r="E586" t="s">
        <v>5947</v>
      </c>
      <c r="F586" s="69" t="s">
        <v>876</v>
      </c>
      <c r="K586" s="82">
        <v>0.60199999999999998</v>
      </c>
    </row>
    <row r="587" spans="1:11" x14ac:dyDescent="0.2">
      <c r="A587" s="33">
        <v>42189</v>
      </c>
      <c r="B587" t="s">
        <v>3543</v>
      </c>
      <c r="C587" s="1" t="s">
        <v>3100</v>
      </c>
      <c r="D587" s="1">
        <v>1.7719907407407406E-2</v>
      </c>
      <c r="E587" t="s">
        <v>2543</v>
      </c>
      <c r="F587" s="69" t="s">
        <v>2629</v>
      </c>
      <c r="K587" s="82">
        <v>0.57809999999999995</v>
      </c>
    </row>
    <row r="588" spans="1:11" x14ac:dyDescent="0.2">
      <c r="A588" s="33">
        <v>42182</v>
      </c>
      <c r="B588" t="s">
        <v>3543</v>
      </c>
      <c r="C588" s="1" t="s">
        <v>3100</v>
      </c>
      <c r="D588" s="1">
        <v>1.7962962962962962E-2</v>
      </c>
      <c r="E588" t="s">
        <v>2543</v>
      </c>
      <c r="F588" s="69" t="s">
        <v>1101</v>
      </c>
      <c r="G588" s="42"/>
      <c r="H588" s="42"/>
      <c r="K588" s="82">
        <v>0.57020000000000004</v>
      </c>
    </row>
    <row r="589" spans="1:11" x14ac:dyDescent="0.2">
      <c r="A589" s="33">
        <v>42168</v>
      </c>
      <c r="B589" t="s">
        <v>3543</v>
      </c>
      <c r="C589" s="1" t="s">
        <v>3100</v>
      </c>
      <c r="D589" s="1">
        <v>1.7465277777777777E-2</v>
      </c>
      <c r="E589" t="s">
        <v>5947</v>
      </c>
      <c r="F589" s="69" t="s">
        <v>5427</v>
      </c>
      <c r="K589" s="82">
        <v>0.58650000000000002</v>
      </c>
    </row>
    <row r="590" spans="1:11" x14ac:dyDescent="0.2">
      <c r="A590" s="33">
        <v>42161</v>
      </c>
      <c r="B590" s="5" t="s">
        <v>3543</v>
      </c>
      <c r="C590" s="32" t="s">
        <v>3100</v>
      </c>
      <c r="D590" s="1">
        <v>1.7997685185185186E-2</v>
      </c>
      <c r="E590" t="s">
        <v>5947</v>
      </c>
      <c r="F590" s="69" t="s">
        <v>1493</v>
      </c>
      <c r="K590" s="82">
        <v>0.56910000000000005</v>
      </c>
    </row>
    <row r="591" spans="1:11" x14ac:dyDescent="0.2">
      <c r="A591" s="33">
        <v>42133</v>
      </c>
      <c r="B591" t="s">
        <v>3543</v>
      </c>
      <c r="C591" s="1" t="s">
        <v>3100</v>
      </c>
      <c r="D591" s="1">
        <v>1.7175925925925924E-2</v>
      </c>
      <c r="E591" t="s">
        <v>5947</v>
      </c>
      <c r="F591" s="69" t="s">
        <v>3253</v>
      </c>
      <c r="K591" s="82">
        <v>0.59160000000000001</v>
      </c>
    </row>
    <row r="592" spans="1:11" x14ac:dyDescent="0.2">
      <c r="A592" s="33">
        <v>42350</v>
      </c>
      <c r="B592" t="s">
        <v>5980</v>
      </c>
      <c r="C592" s="1" t="s">
        <v>4818</v>
      </c>
      <c r="D592" s="1">
        <v>2.5613425925925925E-2</v>
      </c>
      <c r="E592" t="s">
        <v>1006</v>
      </c>
      <c r="F592" s="69" t="s">
        <v>4723</v>
      </c>
      <c r="I592" s="2"/>
      <c r="K592" s="82">
        <v>0.50429999999999997</v>
      </c>
    </row>
    <row r="593" spans="1:11" x14ac:dyDescent="0.2">
      <c r="A593" s="33">
        <v>42343</v>
      </c>
      <c r="B593" s="53" t="s">
        <v>5980</v>
      </c>
      <c r="C593" s="54" t="s">
        <v>4818</v>
      </c>
      <c r="D593" s="1">
        <v>2.508101851851852E-2</v>
      </c>
      <c r="E593" t="s">
        <v>5039</v>
      </c>
      <c r="F593" s="69" t="s">
        <v>1692</v>
      </c>
      <c r="I593" s="2"/>
      <c r="K593" s="82">
        <v>0.51500000000000001</v>
      </c>
    </row>
    <row r="594" spans="1:11" x14ac:dyDescent="0.2">
      <c r="A594" s="34">
        <v>42329</v>
      </c>
      <c r="B594" s="53" t="s">
        <v>5980</v>
      </c>
      <c r="C594" s="54" t="s">
        <v>4818</v>
      </c>
      <c r="D594" s="1">
        <v>2.8599537037037034E-2</v>
      </c>
      <c r="E594" t="s">
        <v>2294</v>
      </c>
      <c r="F594" s="69" t="s">
        <v>2200</v>
      </c>
      <c r="I594" s="2"/>
      <c r="K594" s="82">
        <v>0.45679999999999998</v>
      </c>
    </row>
    <row r="595" spans="1:11" x14ac:dyDescent="0.2">
      <c r="A595" s="33">
        <v>42322</v>
      </c>
      <c r="B595" s="53" t="s">
        <v>5980</v>
      </c>
      <c r="C595" s="54" t="s">
        <v>4818</v>
      </c>
      <c r="D595" s="1">
        <v>2.4143518518518519E-2</v>
      </c>
      <c r="E595" t="s">
        <v>479</v>
      </c>
      <c r="F595" s="69" t="s">
        <v>1508</v>
      </c>
      <c r="I595" s="2"/>
      <c r="K595" s="82">
        <v>0.53500000000000003</v>
      </c>
    </row>
    <row r="596" spans="1:11" x14ac:dyDescent="0.2">
      <c r="A596" s="33">
        <v>42126</v>
      </c>
      <c r="B596" s="53" t="s">
        <v>5980</v>
      </c>
      <c r="C596" s="54" t="s">
        <v>4818</v>
      </c>
      <c r="D596" s="1">
        <v>2.855324074074074E-2</v>
      </c>
      <c r="E596" t="s">
        <v>5440</v>
      </c>
      <c r="F596" s="69"/>
      <c r="I596" s="42"/>
      <c r="J596" s="42"/>
      <c r="K596" s="82">
        <v>0.45240000000000002</v>
      </c>
    </row>
    <row r="597" spans="1:11" x14ac:dyDescent="0.2">
      <c r="A597" s="33">
        <v>42098</v>
      </c>
      <c r="B597" s="53" t="s">
        <v>5980</v>
      </c>
      <c r="C597" s="54" t="s">
        <v>4818</v>
      </c>
      <c r="D597" s="1">
        <v>2.3923611111111114E-2</v>
      </c>
      <c r="E597" t="s">
        <v>1456</v>
      </c>
      <c r="F597" s="69" t="s">
        <v>343</v>
      </c>
      <c r="K597" s="82">
        <v>0.53990000000000005</v>
      </c>
    </row>
    <row r="598" spans="1:11" x14ac:dyDescent="0.2">
      <c r="A598" s="33">
        <v>42084</v>
      </c>
      <c r="B598" s="53" t="s">
        <v>5980</v>
      </c>
      <c r="C598" s="54" t="s">
        <v>4818</v>
      </c>
      <c r="D598" s="1">
        <v>2.431712962962963E-2</v>
      </c>
      <c r="E598" t="s">
        <v>999</v>
      </c>
      <c r="F598" s="42" t="s">
        <v>1767</v>
      </c>
      <c r="K598" s="82">
        <v>0.53120000000000001</v>
      </c>
    </row>
    <row r="599" spans="1:11" x14ac:dyDescent="0.2">
      <c r="A599" s="33">
        <v>42063</v>
      </c>
      <c r="B599" s="53" t="s">
        <v>5980</v>
      </c>
      <c r="C599" s="54" t="s">
        <v>4818</v>
      </c>
      <c r="D599" s="1">
        <v>2.5706018518518517E-2</v>
      </c>
      <c r="E599" t="s">
        <v>1569</v>
      </c>
      <c r="F599" s="42"/>
      <c r="K599" s="82">
        <v>0.50249999999999995</v>
      </c>
    </row>
    <row r="600" spans="1:11" x14ac:dyDescent="0.2">
      <c r="A600" s="33">
        <v>42343</v>
      </c>
      <c r="B600" s="53" t="s">
        <v>4071</v>
      </c>
      <c r="C600" s="54" t="s">
        <v>1691</v>
      </c>
      <c r="D600" s="1">
        <v>2.5590277777777778E-2</v>
      </c>
      <c r="E600" t="s">
        <v>5039</v>
      </c>
      <c r="F600" s="69" t="s">
        <v>4689</v>
      </c>
      <c r="I600" s="2"/>
      <c r="K600" s="82">
        <v>0.46039999999999998</v>
      </c>
    </row>
    <row r="601" spans="1:11" x14ac:dyDescent="0.2">
      <c r="A601" s="33">
        <v>42364</v>
      </c>
      <c r="B601" t="s">
        <v>3011</v>
      </c>
      <c r="C601" s="1" t="s">
        <v>3012</v>
      </c>
      <c r="D601" s="1">
        <v>1.3055555555555556E-2</v>
      </c>
      <c r="E601" t="s">
        <v>3009</v>
      </c>
      <c r="F601" s="69" t="s">
        <v>3703</v>
      </c>
      <c r="I601" s="2"/>
      <c r="K601" s="82">
        <v>0.7722</v>
      </c>
    </row>
    <row r="602" spans="1:11" x14ac:dyDescent="0.2">
      <c r="A602" s="33">
        <v>42322</v>
      </c>
      <c r="B602" s="197" t="s">
        <v>3011</v>
      </c>
      <c r="C602" s="265" t="s">
        <v>3012</v>
      </c>
      <c r="D602" s="1">
        <v>1.2546296296296297E-2</v>
      </c>
      <c r="E602" t="s">
        <v>3009</v>
      </c>
      <c r="F602" s="69" t="s">
        <v>4218</v>
      </c>
      <c r="I602" s="2"/>
      <c r="K602" s="82">
        <v>0.80349999999999999</v>
      </c>
    </row>
    <row r="603" spans="1:11" x14ac:dyDescent="0.2">
      <c r="A603" s="33">
        <v>42315</v>
      </c>
      <c r="B603" s="5" t="s">
        <v>3011</v>
      </c>
      <c r="C603" s="32" t="s">
        <v>3012</v>
      </c>
      <c r="D603" s="1">
        <v>1.3020833333333334E-2</v>
      </c>
      <c r="E603" t="s">
        <v>3009</v>
      </c>
      <c r="F603" s="42" t="s">
        <v>345</v>
      </c>
      <c r="K603" s="82">
        <v>0.7742</v>
      </c>
    </row>
    <row r="604" spans="1:11" x14ac:dyDescent="0.2">
      <c r="A604" s="33">
        <v>42280</v>
      </c>
      <c r="B604" t="s">
        <v>3011</v>
      </c>
      <c r="C604" s="1" t="s">
        <v>3012</v>
      </c>
      <c r="D604" s="1">
        <v>1.2430555555555554E-2</v>
      </c>
      <c r="E604" t="s">
        <v>840</v>
      </c>
      <c r="F604" s="69" t="s">
        <v>1077</v>
      </c>
      <c r="I604" s="2"/>
      <c r="K604" s="82">
        <v>0.81100000000000005</v>
      </c>
    </row>
    <row r="605" spans="1:11" x14ac:dyDescent="0.2">
      <c r="A605" s="33">
        <v>42273</v>
      </c>
      <c r="B605" t="s">
        <v>3011</v>
      </c>
      <c r="C605" s="1" t="s">
        <v>3012</v>
      </c>
      <c r="D605" s="1">
        <v>1.238425925925926E-2</v>
      </c>
      <c r="E605" t="s">
        <v>840</v>
      </c>
      <c r="F605" s="69" t="s">
        <v>856</v>
      </c>
      <c r="I605" s="2"/>
      <c r="K605" s="82">
        <v>0.81399999999999995</v>
      </c>
    </row>
    <row r="606" spans="1:11" x14ac:dyDescent="0.2">
      <c r="A606" s="33">
        <v>42266</v>
      </c>
      <c r="B606" t="s">
        <v>3011</v>
      </c>
      <c r="C606" s="1" t="s">
        <v>3012</v>
      </c>
      <c r="D606" s="1">
        <v>1.2708333333333334E-2</v>
      </c>
      <c r="E606" t="s">
        <v>840</v>
      </c>
      <c r="F606" s="69" t="s">
        <v>5246</v>
      </c>
      <c r="K606" s="82">
        <v>0.79330000000000001</v>
      </c>
    </row>
    <row r="607" spans="1:11" x14ac:dyDescent="0.2">
      <c r="A607" s="33">
        <v>42028</v>
      </c>
      <c r="B607" t="s">
        <v>5369</v>
      </c>
      <c r="C607" s="1" t="s">
        <v>2117</v>
      </c>
      <c r="D607" s="1">
        <v>1.9791666666666666E-2</v>
      </c>
      <c r="E607" t="s">
        <v>653</v>
      </c>
      <c r="F607" s="42"/>
      <c r="K607" s="82">
        <v>0.63</v>
      </c>
    </row>
    <row r="608" spans="1:11" x14ac:dyDescent="0.2">
      <c r="A608" s="33">
        <v>42168</v>
      </c>
      <c r="B608" t="s">
        <v>4963</v>
      </c>
      <c r="C608" s="1" t="s">
        <v>4964</v>
      </c>
      <c r="D608" s="1">
        <v>1.3321759259259261E-2</v>
      </c>
      <c r="E608" t="s">
        <v>3072</v>
      </c>
      <c r="F608" s="69" t="s">
        <v>5168</v>
      </c>
      <c r="H608" t="s">
        <v>2555</v>
      </c>
      <c r="K608" s="82">
        <v>0.67769999999999997</v>
      </c>
    </row>
    <row r="609" spans="1:19" x14ac:dyDescent="0.2">
      <c r="A609" s="33">
        <v>42056</v>
      </c>
      <c r="B609" s="53" t="s">
        <v>4963</v>
      </c>
      <c r="C609" s="54" t="s">
        <v>4964</v>
      </c>
      <c r="D609" s="1">
        <v>1.3958333333333335E-2</v>
      </c>
      <c r="E609" t="s">
        <v>3167</v>
      </c>
      <c r="F609" s="69" t="s">
        <v>3004</v>
      </c>
      <c r="I609" s="6"/>
      <c r="J609" s="6"/>
      <c r="K609" s="82">
        <v>0.64680000000000004</v>
      </c>
    </row>
    <row r="610" spans="1:19" x14ac:dyDescent="0.2">
      <c r="A610" s="33">
        <v>42035</v>
      </c>
      <c r="B610" s="53" t="s">
        <v>4963</v>
      </c>
      <c r="C610" s="54" t="s">
        <v>4964</v>
      </c>
      <c r="D610" s="1">
        <v>1.5763888888888886E-2</v>
      </c>
      <c r="E610" t="s">
        <v>1401</v>
      </c>
      <c r="F610" s="42"/>
      <c r="K610" s="82">
        <v>0.57269999999999999</v>
      </c>
    </row>
    <row r="611" spans="1:19" x14ac:dyDescent="0.2">
      <c r="A611" s="33">
        <v>42098</v>
      </c>
      <c r="B611" s="53" t="s">
        <v>3746</v>
      </c>
      <c r="C611" s="54" t="s">
        <v>3747</v>
      </c>
      <c r="D611" s="1">
        <v>1.1585648148148149E-2</v>
      </c>
      <c r="E611" t="s">
        <v>129</v>
      </c>
      <c r="F611" s="69" t="s">
        <v>3238</v>
      </c>
      <c r="K611" s="82">
        <v>0.79520000000000002</v>
      </c>
    </row>
    <row r="612" spans="1:19" x14ac:dyDescent="0.2">
      <c r="A612" s="33">
        <v>42308</v>
      </c>
      <c r="B612" t="s">
        <v>1308</v>
      </c>
      <c r="C612" s="1" t="s">
        <v>428</v>
      </c>
      <c r="D612" s="1">
        <v>1.3402777777777777E-2</v>
      </c>
      <c r="E612" t="s">
        <v>5885</v>
      </c>
      <c r="F612" s="69"/>
      <c r="I612" s="2"/>
      <c r="K612" s="82">
        <v>0.74009999999999998</v>
      </c>
    </row>
    <row r="613" spans="1:19" x14ac:dyDescent="0.2">
      <c r="A613" s="33">
        <v>42280</v>
      </c>
      <c r="B613" t="s">
        <v>1308</v>
      </c>
      <c r="C613" s="1" t="s">
        <v>428</v>
      </c>
      <c r="D613" s="1">
        <v>1.3101851851851852E-2</v>
      </c>
      <c r="E613" t="s">
        <v>5885</v>
      </c>
      <c r="F613" s="69" t="s">
        <v>223</v>
      </c>
      <c r="I613" s="2"/>
      <c r="K613" s="82">
        <v>0.7571</v>
      </c>
    </row>
    <row r="614" spans="1:19" x14ac:dyDescent="0.2">
      <c r="A614" s="33">
        <v>42273</v>
      </c>
      <c r="B614" t="s">
        <v>1308</v>
      </c>
      <c r="C614" s="1" t="s">
        <v>428</v>
      </c>
      <c r="D614" s="1">
        <v>1.3287037037037036E-2</v>
      </c>
      <c r="E614" t="s">
        <v>5885</v>
      </c>
      <c r="F614" s="69" t="s">
        <v>3353</v>
      </c>
      <c r="I614" s="2"/>
      <c r="K614" s="82">
        <v>0.74650000000000005</v>
      </c>
    </row>
    <row r="615" spans="1:19" x14ac:dyDescent="0.2">
      <c r="A615" s="33">
        <v>42203</v>
      </c>
      <c r="B615" t="s">
        <v>1308</v>
      </c>
      <c r="C615" s="1" t="s">
        <v>428</v>
      </c>
      <c r="D615" s="1">
        <v>1.3773148148148147E-2</v>
      </c>
      <c r="E615" t="s">
        <v>5885</v>
      </c>
      <c r="F615" s="69" t="s">
        <v>3516</v>
      </c>
      <c r="K615" s="82">
        <v>0.72019999999999995</v>
      </c>
    </row>
    <row r="616" spans="1:19" x14ac:dyDescent="0.2">
      <c r="A616" s="33">
        <v>42168</v>
      </c>
      <c r="B616" t="s">
        <v>1308</v>
      </c>
      <c r="C616" s="1" t="s">
        <v>428</v>
      </c>
      <c r="D616" s="1">
        <v>1.3356481481481483E-2</v>
      </c>
      <c r="E616" t="s">
        <v>5885</v>
      </c>
      <c r="F616" s="69" t="s">
        <v>78</v>
      </c>
      <c r="K616" s="82">
        <v>0.74260000000000004</v>
      </c>
    </row>
    <row r="617" spans="1:19" x14ac:dyDescent="0.2">
      <c r="A617" s="33">
        <v>42063</v>
      </c>
      <c r="B617" t="s">
        <v>1308</v>
      </c>
      <c r="C617" s="1" t="s">
        <v>428</v>
      </c>
      <c r="D617" s="1">
        <v>1.3541666666666667E-2</v>
      </c>
      <c r="E617" t="s">
        <v>1120</v>
      </c>
      <c r="F617" s="42"/>
      <c r="K617" s="82">
        <v>0.72740000000000005</v>
      </c>
    </row>
    <row r="618" spans="1:19" x14ac:dyDescent="0.2">
      <c r="A618" s="33">
        <v>42308</v>
      </c>
      <c r="B618" t="s">
        <v>3508</v>
      </c>
      <c r="C618" s="1" t="s">
        <v>428</v>
      </c>
      <c r="D618" s="1">
        <v>1.3946759259259258E-2</v>
      </c>
      <c r="E618" t="s">
        <v>5885</v>
      </c>
      <c r="F618" s="69" t="s">
        <v>2948</v>
      </c>
      <c r="I618" s="2"/>
      <c r="K618" s="82">
        <v>0.70040000000000002</v>
      </c>
    </row>
    <row r="619" spans="1:19" x14ac:dyDescent="0.2">
      <c r="A619" s="33">
        <v>42140</v>
      </c>
      <c r="B619" s="53" t="s">
        <v>3508</v>
      </c>
      <c r="C619" s="54" t="s">
        <v>428</v>
      </c>
      <c r="D619" s="1">
        <v>1.4039351851851851E-2</v>
      </c>
      <c r="E619" t="s">
        <v>5885</v>
      </c>
      <c r="F619" s="69" t="s">
        <v>5743</v>
      </c>
      <c r="K619" s="82">
        <v>0.69579999999999997</v>
      </c>
    </row>
    <row r="620" spans="1:19" x14ac:dyDescent="0.2">
      <c r="A620" s="33">
        <v>42021</v>
      </c>
      <c r="B620" s="53" t="s">
        <v>3508</v>
      </c>
      <c r="C620" s="54" t="s">
        <v>428</v>
      </c>
      <c r="D620" s="1">
        <v>1.4224537037037037E-2</v>
      </c>
      <c r="E620" t="s">
        <v>5885</v>
      </c>
      <c r="F620" s="42" t="s">
        <v>1598</v>
      </c>
      <c r="K620" s="82">
        <v>0.68669999999999998</v>
      </c>
    </row>
    <row r="621" spans="1:19" x14ac:dyDescent="0.2">
      <c r="A621" s="33">
        <v>42364</v>
      </c>
      <c r="B621" t="s">
        <v>4640</v>
      </c>
      <c r="C621" s="1" t="s">
        <v>4641</v>
      </c>
      <c r="D621" t="s">
        <v>787</v>
      </c>
      <c r="E621" s="5" t="s">
        <v>5947</v>
      </c>
      <c r="F621" s="108" t="s">
        <v>5508</v>
      </c>
      <c r="G621" s="5"/>
      <c r="I621" s="2"/>
      <c r="K621" s="82"/>
    </row>
    <row r="622" spans="1:19" x14ac:dyDescent="0.2">
      <c r="A622" s="33">
        <v>42357</v>
      </c>
      <c r="B622" t="s">
        <v>4640</v>
      </c>
      <c r="C622" s="1" t="s">
        <v>4641</v>
      </c>
      <c r="D622" t="s">
        <v>787</v>
      </c>
      <c r="E622" s="5" t="s">
        <v>5947</v>
      </c>
      <c r="F622" s="108" t="s">
        <v>5508</v>
      </c>
      <c r="G622" s="5"/>
      <c r="H622" s="2"/>
      <c r="I622" s="2"/>
      <c r="K622" s="82"/>
      <c r="S622" s="80"/>
    </row>
    <row r="623" spans="1:19" x14ac:dyDescent="0.2">
      <c r="A623" s="33">
        <v>42350</v>
      </c>
      <c r="B623" t="s">
        <v>4640</v>
      </c>
      <c r="C623" s="1" t="s">
        <v>4641</v>
      </c>
      <c r="D623" t="s">
        <v>787</v>
      </c>
      <c r="E623" s="5" t="s">
        <v>5947</v>
      </c>
      <c r="F623" s="108" t="s">
        <v>5508</v>
      </c>
      <c r="G623" s="5"/>
      <c r="H623" s="5"/>
      <c r="I623" s="2"/>
      <c r="K623" s="82"/>
    </row>
    <row r="624" spans="1:19" x14ac:dyDescent="0.2">
      <c r="A624" s="34">
        <v>42329</v>
      </c>
      <c r="B624" t="s">
        <v>4640</v>
      </c>
      <c r="C624" s="1" t="s">
        <v>4641</v>
      </c>
      <c r="D624" t="s">
        <v>787</v>
      </c>
      <c r="E624" s="5" t="s">
        <v>5947</v>
      </c>
      <c r="F624" s="108" t="s">
        <v>5508</v>
      </c>
      <c r="G624" s="5"/>
      <c r="I624" s="2"/>
      <c r="K624" s="82"/>
    </row>
    <row r="625" spans="1:11" x14ac:dyDescent="0.2">
      <c r="A625" s="33">
        <v>42322</v>
      </c>
      <c r="B625" t="s">
        <v>4640</v>
      </c>
      <c r="C625" s="1" t="s">
        <v>4641</v>
      </c>
      <c r="D625" t="s">
        <v>787</v>
      </c>
      <c r="E625" s="5" t="s">
        <v>5947</v>
      </c>
      <c r="F625" s="108" t="s">
        <v>1549</v>
      </c>
      <c r="G625" s="5"/>
      <c r="H625" s="2"/>
      <c r="I625" s="2"/>
      <c r="K625" s="82"/>
    </row>
    <row r="626" spans="1:11" x14ac:dyDescent="0.2">
      <c r="A626" s="33">
        <v>42308</v>
      </c>
      <c r="B626" t="s">
        <v>4640</v>
      </c>
      <c r="C626" s="1" t="s">
        <v>4641</v>
      </c>
      <c r="D626" t="s">
        <v>787</v>
      </c>
      <c r="E626" t="s">
        <v>5517</v>
      </c>
      <c r="F626" s="69" t="s">
        <v>1549</v>
      </c>
      <c r="I626" s="2"/>
      <c r="K626" s="82"/>
    </row>
    <row r="627" spans="1:11" x14ac:dyDescent="0.2">
      <c r="A627" s="33">
        <v>42294</v>
      </c>
      <c r="B627" t="s">
        <v>4640</v>
      </c>
      <c r="C627" s="1" t="s">
        <v>4641</v>
      </c>
      <c r="D627" t="s">
        <v>787</v>
      </c>
      <c r="E627" s="5" t="s">
        <v>2020</v>
      </c>
      <c r="F627" s="108" t="s">
        <v>1549</v>
      </c>
      <c r="G627" s="5"/>
      <c r="H627" s="2"/>
    </row>
    <row r="628" spans="1:11" x14ac:dyDescent="0.2">
      <c r="A628" s="33">
        <v>42287</v>
      </c>
      <c r="B628" t="s">
        <v>4640</v>
      </c>
      <c r="C628" s="1" t="s">
        <v>4641</v>
      </c>
      <c r="D628" t="s">
        <v>787</v>
      </c>
      <c r="E628" s="5" t="s">
        <v>5947</v>
      </c>
      <c r="F628" s="108" t="s">
        <v>2331</v>
      </c>
      <c r="G628" s="5"/>
      <c r="H628" s="2"/>
      <c r="I628" s="2"/>
      <c r="K628" s="82"/>
    </row>
    <row r="629" spans="1:11" x14ac:dyDescent="0.2">
      <c r="A629" s="33">
        <v>42273</v>
      </c>
      <c r="B629" t="s">
        <v>4640</v>
      </c>
      <c r="C629" s="1" t="s">
        <v>4641</v>
      </c>
      <c r="D629" t="s">
        <v>787</v>
      </c>
      <c r="E629" s="5" t="s">
        <v>2020</v>
      </c>
      <c r="F629" s="108" t="s">
        <v>2331</v>
      </c>
      <c r="G629" s="5"/>
      <c r="H629" s="2"/>
      <c r="I629" s="2"/>
      <c r="K629" s="82"/>
    </row>
    <row r="630" spans="1:11" x14ac:dyDescent="0.2">
      <c r="A630" s="33">
        <v>42266</v>
      </c>
      <c r="B630" t="s">
        <v>4640</v>
      </c>
      <c r="C630" s="1" t="s">
        <v>4641</v>
      </c>
      <c r="D630" s="1" t="s">
        <v>787</v>
      </c>
      <c r="E630" t="s">
        <v>5947</v>
      </c>
      <c r="F630" s="69"/>
      <c r="K630" s="82"/>
    </row>
    <row r="631" spans="1:11" x14ac:dyDescent="0.2">
      <c r="A631" s="33">
        <v>42259</v>
      </c>
      <c r="B631" t="s">
        <v>4640</v>
      </c>
      <c r="C631" s="1" t="s">
        <v>4641</v>
      </c>
      <c r="D631" s="1" t="s">
        <v>787</v>
      </c>
      <c r="E631" t="s">
        <v>5947</v>
      </c>
      <c r="F631" s="69"/>
      <c r="K631" s="82"/>
    </row>
    <row r="632" spans="1:11" x14ac:dyDescent="0.2">
      <c r="A632" s="33">
        <v>42245</v>
      </c>
      <c r="B632" t="s">
        <v>4640</v>
      </c>
      <c r="C632" s="1" t="s">
        <v>4641</v>
      </c>
      <c r="D632" s="1" t="s">
        <v>787</v>
      </c>
      <c r="E632" t="s">
        <v>5947</v>
      </c>
      <c r="F632" s="69" t="s">
        <v>1549</v>
      </c>
      <c r="K632" s="82"/>
    </row>
    <row r="633" spans="1:11" x14ac:dyDescent="0.2">
      <c r="A633" s="33">
        <v>42238</v>
      </c>
      <c r="B633" t="s">
        <v>4640</v>
      </c>
      <c r="C633" s="1" t="s">
        <v>4641</v>
      </c>
      <c r="D633" t="s">
        <v>787</v>
      </c>
      <c r="E633" s="5" t="s">
        <v>5947</v>
      </c>
      <c r="F633" s="108" t="s">
        <v>5604</v>
      </c>
      <c r="G633" s="5"/>
      <c r="H633" s="2"/>
      <c r="K633" s="82"/>
    </row>
    <row r="634" spans="1:11" x14ac:dyDescent="0.2">
      <c r="A634" s="33">
        <v>42231</v>
      </c>
      <c r="B634" s="53" t="s">
        <v>4640</v>
      </c>
      <c r="C634" s="1" t="s">
        <v>4641</v>
      </c>
      <c r="D634" s="1" t="s">
        <v>787</v>
      </c>
      <c r="E634" t="s">
        <v>5947</v>
      </c>
      <c r="F634" s="69" t="s">
        <v>3783</v>
      </c>
      <c r="K634" s="82"/>
    </row>
    <row r="635" spans="1:11" x14ac:dyDescent="0.2">
      <c r="A635" s="33">
        <v>42224</v>
      </c>
      <c r="B635" t="s">
        <v>4640</v>
      </c>
      <c r="C635" s="1" t="s">
        <v>4641</v>
      </c>
      <c r="D635" t="s">
        <v>787</v>
      </c>
      <c r="E635" s="5" t="s">
        <v>5947</v>
      </c>
      <c r="F635" s="108" t="s">
        <v>2331</v>
      </c>
      <c r="G635" s="5"/>
      <c r="H635" s="2"/>
      <c r="I635" s="2"/>
      <c r="K635" s="82"/>
    </row>
    <row r="636" spans="1:11" x14ac:dyDescent="0.2">
      <c r="A636" s="33">
        <v>42203</v>
      </c>
      <c r="B636" t="s">
        <v>4640</v>
      </c>
      <c r="C636" s="1" t="s">
        <v>4641</v>
      </c>
      <c r="D636" s="1" t="s">
        <v>787</v>
      </c>
      <c r="E636" t="s">
        <v>5947</v>
      </c>
      <c r="F636" s="69" t="s">
        <v>4061</v>
      </c>
      <c r="K636" s="82"/>
    </row>
    <row r="637" spans="1:11" x14ac:dyDescent="0.2">
      <c r="A637" s="33">
        <v>42196</v>
      </c>
      <c r="B637" t="s">
        <v>4640</v>
      </c>
      <c r="C637" s="1" t="s">
        <v>4641</v>
      </c>
      <c r="D637" s="1" t="s">
        <v>787</v>
      </c>
      <c r="E637" t="s">
        <v>5947</v>
      </c>
      <c r="F637" s="69" t="s">
        <v>2052</v>
      </c>
      <c r="K637" s="82"/>
    </row>
    <row r="638" spans="1:11" x14ac:dyDescent="0.2">
      <c r="A638" s="33">
        <v>42175</v>
      </c>
      <c r="B638" t="s">
        <v>4640</v>
      </c>
      <c r="C638" s="1" t="s">
        <v>4641</v>
      </c>
      <c r="D638" t="s">
        <v>787</v>
      </c>
      <c r="E638" t="s">
        <v>5517</v>
      </c>
      <c r="F638" s="69" t="s">
        <v>2052</v>
      </c>
      <c r="G638" s="42"/>
      <c r="H638" s="42"/>
      <c r="K638" s="82"/>
    </row>
    <row r="639" spans="1:11" x14ac:dyDescent="0.2">
      <c r="A639" s="33">
        <v>42168</v>
      </c>
      <c r="B639" t="s">
        <v>4640</v>
      </c>
      <c r="C639" s="1" t="s">
        <v>4641</v>
      </c>
      <c r="D639" t="s">
        <v>787</v>
      </c>
      <c r="E639" t="s">
        <v>5517</v>
      </c>
      <c r="F639" s="69" t="s">
        <v>4854</v>
      </c>
      <c r="K639" s="82"/>
    </row>
    <row r="640" spans="1:11" x14ac:dyDescent="0.2">
      <c r="A640" s="33">
        <v>42154</v>
      </c>
      <c r="B640" t="s">
        <v>4640</v>
      </c>
      <c r="C640" s="1" t="s">
        <v>4641</v>
      </c>
      <c r="D640" s="1" t="s">
        <v>787</v>
      </c>
      <c r="E640" t="s">
        <v>5947</v>
      </c>
      <c r="F640" s="69" t="s">
        <v>1549</v>
      </c>
      <c r="K640" s="82"/>
    </row>
    <row r="641" spans="1:13" x14ac:dyDescent="0.2">
      <c r="A641" s="33">
        <v>42140</v>
      </c>
      <c r="B641" t="s">
        <v>4640</v>
      </c>
      <c r="C641" s="1" t="s">
        <v>4641</v>
      </c>
      <c r="D641" s="1" t="s">
        <v>787</v>
      </c>
      <c r="E641" t="s">
        <v>5947</v>
      </c>
      <c r="F641" s="69" t="s">
        <v>4854</v>
      </c>
      <c r="K641" s="82"/>
    </row>
    <row r="642" spans="1:13" x14ac:dyDescent="0.2">
      <c r="A642" s="33">
        <v>42133</v>
      </c>
      <c r="B642" t="s">
        <v>4640</v>
      </c>
      <c r="C642" s="1" t="s">
        <v>4641</v>
      </c>
      <c r="D642" s="1" t="s">
        <v>787</v>
      </c>
      <c r="E642" t="s">
        <v>5947</v>
      </c>
      <c r="F642" s="69" t="s">
        <v>5508</v>
      </c>
      <c r="K642" s="82"/>
    </row>
    <row r="643" spans="1:13" x14ac:dyDescent="0.2">
      <c r="A643" s="33">
        <v>42119</v>
      </c>
      <c r="B643" t="s">
        <v>4640</v>
      </c>
      <c r="C643" s="1" t="s">
        <v>4641</v>
      </c>
      <c r="D643" s="1" t="s">
        <v>787</v>
      </c>
      <c r="E643" t="s">
        <v>5947</v>
      </c>
      <c r="F643" s="69" t="s">
        <v>5508</v>
      </c>
      <c r="K643" s="82"/>
    </row>
    <row r="644" spans="1:13" x14ac:dyDescent="0.2">
      <c r="A644" s="33">
        <v>42112</v>
      </c>
      <c r="B644" t="s">
        <v>4640</v>
      </c>
      <c r="C644" s="1" t="s">
        <v>4641</v>
      </c>
      <c r="D644" s="1" t="s">
        <v>4384</v>
      </c>
      <c r="E644" t="s">
        <v>5947</v>
      </c>
      <c r="F644" s="69" t="s">
        <v>2052</v>
      </c>
      <c r="K644" s="82"/>
    </row>
    <row r="645" spans="1:13" x14ac:dyDescent="0.2">
      <c r="A645" s="33">
        <v>42105</v>
      </c>
      <c r="B645" t="s">
        <v>4640</v>
      </c>
      <c r="C645" s="1" t="s">
        <v>4641</v>
      </c>
      <c r="D645" s="1" t="s">
        <v>787</v>
      </c>
      <c r="E645" t="s">
        <v>5947</v>
      </c>
      <c r="F645" s="69" t="s">
        <v>3783</v>
      </c>
      <c r="G645" s="42"/>
      <c r="H645" s="42"/>
      <c r="K645" s="82"/>
      <c r="M645" s="6"/>
    </row>
    <row r="646" spans="1:13" x14ac:dyDescent="0.2">
      <c r="A646" s="33">
        <v>42091</v>
      </c>
      <c r="B646" t="s">
        <v>4640</v>
      </c>
      <c r="C646" s="1" t="s">
        <v>4641</v>
      </c>
      <c r="D646" t="s">
        <v>787</v>
      </c>
      <c r="E646" t="s">
        <v>5517</v>
      </c>
      <c r="F646" s="42" t="s">
        <v>4854</v>
      </c>
      <c r="H646" t="s">
        <v>3447</v>
      </c>
      <c r="K646" s="82"/>
    </row>
    <row r="647" spans="1:13" x14ac:dyDescent="0.2">
      <c r="A647" s="33">
        <v>42084</v>
      </c>
      <c r="B647" t="s">
        <v>4640</v>
      </c>
      <c r="C647" s="1" t="s">
        <v>4641</v>
      </c>
      <c r="D647" t="s">
        <v>787</v>
      </c>
      <c r="E647" t="s">
        <v>5517</v>
      </c>
      <c r="F647" s="69" t="s">
        <v>5508</v>
      </c>
      <c r="K647" s="82"/>
    </row>
    <row r="648" spans="1:13" x14ac:dyDescent="0.2">
      <c r="A648" s="33">
        <v>42077</v>
      </c>
      <c r="B648" t="s">
        <v>4640</v>
      </c>
      <c r="C648" s="1" t="s">
        <v>4641</v>
      </c>
      <c r="D648" t="s">
        <v>787</v>
      </c>
      <c r="E648" t="s">
        <v>5517</v>
      </c>
      <c r="F648" s="42" t="s">
        <v>3301</v>
      </c>
      <c r="K648" s="82"/>
    </row>
    <row r="649" spans="1:13" x14ac:dyDescent="0.2">
      <c r="A649" s="33">
        <v>42063</v>
      </c>
      <c r="B649" t="s">
        <v>4640</v>
      </c>
      <c r="C649" s="1" t="s">
        <v>4641</v>
      </c>
      <c r="D649" s="1" t="s">
        <v>787</v>
      </c>
      <c r="E649" t="s">
        <v>5947</v>
      </c>
      <c r="F649" s="42" t="s">
        <v>3301</v>
      </c>
      <c r="K649" s="82"/>
    </row>
    <row r="650" spans="1:13" x14ac:dyDescent="0.2">
      <c r="A650" s="33">
        <v>42056</v>
      </c>
      <c r="B650" t="s">
        <v>4640</v>
      </c>
      <c r="C650" s="1" t="s">
        <v>4641</v>
      </c>
      <c r="D650" t="s">
        <v>787</v>
      </c>
      <c r="E650" t="s">
        <v>5947</v>
      </c>
      <c r="F650" s="69" t="s">
        <v>4061</v>
      </c>
      <c r="I650" s="6"/>
      <c r="J650" s="6"/>
      <c r="K650" s="82"/>
    </row>
    <row r="651" spans="1:13" x14ac:dyDescent="0.2">
      <c r="A651" s="33">
        <v>42049</v>
      </c>
      <c r="B651" t="s">
        <v>4640</v>
      </c>
      <c r="C651" s="1" t="s">
        <v>4641</v>
      </c>
      <c r="D651" s="1" t="s">
        <v>4642</v>
      </c>
      <c r="E651" t="s">
        <v>5947</v>
      </c>
      <c r="F651" s="69" t="s">
        <v>2052</v>
      </c>
      <c r="G651" s="6"/>
      <c r="H651" s="6"/>
      <c r="K651" s="82"/>
    </row>
    <row r="652" spans="1:13" x14ac:dyDescent="0.2">
      <c r="A652" s="33">
        <v>42035</v>
      </c>
      <c r="B652" s="5" t="s">
        <v>4640</v>
      </c>
      <c r="C652" s="1" t="s">
        <v>4641</v>
      </c>
      <c r="D652" s="1" t="s">
        <v>787</v>
      </c>
      <c r="E652" t="s">
        <v>5947</v>
      </c>
      <c r="F652" s="42" t="s">
        <v>4854</v>
      </c>
      <c r="K652" s="82"/>
    </row>
    <row r="653" spans="1:13" x14ac:dyDescent="0.2">
      <c r="A653" s="33">
        <v>42028</v>
      </c>
      <c r="B653" t="s">
        <v>4640</v>
      </c>
      <c r="C653" s="1" t="s">
        <v>4641</v>
      </c>
      <c r="D653" s="1" t="s">
        <v>787</v>
      </c>
      <c r="E653" t="s">
        <v>5947</v>
      </c>
      <c r="F653" s="42" t="s">
        <v>3301</v>
      </c>
      <c r="K653" s="82"/>
    </row>
    <row r="654" spans="1:13" x14ac:dyDescent="0.2">
      <c r="A654" s="33">
        <v>42021</v>
      </c>
      <c r="B654" s="5" t="s">
        <v>4640</v>
      </c>
      <c r="C654" s="1" t="s">
        <v>4641</v>
      </c>
      <c r="D654" s="1" t="s">
        <v>787</v>
      </c>
      <c r="E654" t="s">
        <v>5947</v>
      </c>
      <c r="F654" s="42" t="s">
        <v>5508</v>
      </c>
      <c r="K654" s="82"/>
    </row>
    <row r="655" spans="1:13" x14ac:dyDescent="0.2">
      <c r="A655" s="33">
        <v>42014</v>
      </c>
      <c r="B655" s="5" t="s">
        <v>4640</v>
      </c>
      <c r="C655" s="1" t="s">
        <v>4641</v>
      </c>
      <c r="D655" s="1" t="s">
        <v>787</v>
      </c>
      <c r="E655" t="s">
        <v>5947</v>
      </c>
      <c r="F655" s="42" t="s">
        <v>4061</v>
      </c>
      <c r="K655" s="82"/>
    </row>
    <row r="656" spans="1:13" x14ac:dyDescent="0.2">
      <c r="A656" s="33">
        <v>42266</v>
      </c>
      <c r="B656" t="s">
        <v>435</v>
      </c>
      <c r="C656" s="1" t="s">
        <v>1936</v>
      </c>
      <c r="D656" s="1">
        <v>1.7372685185185185E-2</v>
      </c>
      <c r="E656" t="s">
        <v>4861</v>
      </c>
      <c r="F656" s="69" t="s">
        <v>5380</v>
      </c>
      <c r="K656" s="82">
        <v>0.59430000000000005</v>
      </c>
    </row>
    <row r="657" spans="1:13" x14ac:dyDescent="0.2">
      <c r="A657" s="33">
        <v>42259</v>
      </c>
      <c r="B657" t="s">
        <v>435</v>
      </c>
      <c r="C657" s="1" t="s">
        <v>1936</v>
      </c>
      <c r="D657" s="1">
        <v>1.9016203703703705E-2</v>
      </c>
      <c r="E657" t="s">
        <v>2337</v>
      </c>
      <c r="F657" s="69"/>
      <c r="K657" s="82">
        <v>0.54290000000000005</v>
      </c>
    </row>
    <row r="658" spans="1:13" x14ac:dyDescent="0.2">
      <c r="A658" s="33">
        <v>42252</v>
      </c>
      <c r="B658" t="s">
        <v>435</v>
      </c>
      <c r="C658" s="1" t="s">
        <v>1936</v>
      </c>
      <c r="D658" s="1">
        <v>1.7939814814814815E-2</v>
      </c>
      <c r="E658" t="s">
        <v>4861</v>
      </c>
      <c r="F658" s="69" t="s">
        <v>1053</v>
      </c>
      <c r="K658" s="82">
        <v>0.57550000000000001</v>
      </c>
    </row>
    <row r="659" spans="1:13" x14ac:dyDescent="0.2">
      <c r="A659" s="33">
        <v>42238</v>
      </c>
      <c r="B659" t="s">
        <v>435</v>
      </c>
      <c r="C659" s="1" t="s">
        <v>1936</v>
      </c>
      <c r="D659" s="1">
        <v>1.7777777777777778E-2</v>
      </c>
      <c r="E659" t="s">
        <v>4861</v>
      </c>
      <c r="F659" s="69" t="s">
        <v>1098</v>
      </c>
      <c r="K659" s="82">
        <v>0.58069999999999999</v>
      </c>
    </row>
    <row r="660" spans="1:13" x14ac:dyDescent="0.2">
      <c r="A660" s="33">
        <v>42231</v>
      </c>
      <c r="B660" t="s">
        <v>435</v>
      </c>
      <c r="C660" s="1" t="s">
        <v>1936</v>
      </c>
      <c r="D660" s="1">
        <v>1.7326388888888888E-2</v>
      </c>
      <c r="E660" t="s">
        <v>4861</v>
      </c>
      <c r="F660" s="69" t="s">
        <v>5622</v>
      </c>
      <c r="K660" s="82">
        <v>0.59589999999999999</v>
      </c>
    </row>
    <row r="661" spans="1:13" x14ac:dyDescent="0.2">
      <c r="A661" s="33">
        <v>42224</v>
      </c>
      <c r="B661" t="s">
        <v>435</v>
      </c>
      <c r="C661" s="1" t="s">
        <v>1936</v>
      </c>
      <c r="D661" s="1">
        <v>1.8379629629629628E-2</v>
      </c>
      <c r="E661" t="s">
        <v>4861</v>
      </c>
      <c r="F661" s="69" t="s">
        <v>5729</v>
      </c>
      <c r="K661" s="82">
        <v>0.56169999999999998</v>
      </c>
    </row>
    <row r="662" spans="1:13" x14ac:dyDescent="0.2">
      <c r="A662" s="33">
        <v>42217</v>
      </c>
      <c r="B662" t="s">
        <v>435</v>
      </c>
      <c r="C662" s="1" t="s">
        <v>1936</v>
      </c>
      <c r="D662" s="1">
        <v>1.7986111111111109E-2</v>
      </c>
      <c r="E662" t="s">
        <v>4861</v>
      </c>
      <c r="F662" s="69" t="s">
        <v>212</v>
      </c>
      <c r="K662" s="82">
        <v>0.57399999999999995</v>
      </c>
    </row>
    <row r="663" spans="1:13" x14ac:dyDescent="0.2">
      <c r="A663" s="33">
        <v>42196</v>
      </c>
      <c r="B663" t="s">
        <v>435</v>
      </c>
      <c r="C663" s="1" t="s">
        <v>1936</v>
      </c>
      <c r="D663" s="1">
        <v>1.8090277777777778E-2</v>
      </c>
      <c r="E663" t="s">
        <v>4861</v>
      </c>
      <c r="F663" s="69"/>
      <c r="K663" s="82">
        <v>0.57069999999999999</v>
      </c>
    </row>
    <row r="664" spans="1:13" x14ac:dyDescent="0.2">
      <c r="A664" s="33">
        <v>42189</v>
      </c>
      <c r="B664" t="s">
        <v>435</v>
      </c>
      <c r="C664" s="1" t="s">
        <v>1936</v>
      </c>
      <c r="D664" s="1">
        <v>1.7824074074074076E-2</v>
      </c>
      <c r="E664" t="s">
        <v>4861</v>
      </c>
      <c r="F664" s="69"/>
      <c r="K664" s="82">
        <v>0.57920000000000005</v>
      </c>
    </row>
    <row r="665" spans="1:13" x14ac:dyDescent="0.2">
      <c r="A665" s="33">
        <v>42182</v>
      </c>
      <c r="B665" t="s">
        <v>435</v>
      </c>
      <c r="C665" s="1" t="s">
        <v>1936</v>
      </c>
      <c r="D665" s="1">
        <v>1.7986111111111109E-2</v>
      </c>
      <c r="E665" t="s">
        <v>4861</v>
      </c>
      <c r="F665" s="69" t="s">
        <v>2086</v>
      </c>
      <c r="K665" s="82">
        <v>0.57399999999999995</v>
      </c>
    </row>
    <row r="666" spans="1:13" x14ac:dyDescent="0.2">
      <c r="A666" s="33">
        <v>42175</v>
      </c>
      <c r="B666" s="5" t="s">
        <v>435</v>
      </c>
      <c r="C666" s="32" t="s">
        <v>1936</v>
      </c>
      <c r="D666" s="32">
        <v>1.7002314814814814E-2</v>
      </c>
      <c r="E666" s="5" t="s">
        <v>4861</v>
      </c>
      <c r="F666" s="108" t="s">
        <v>3709</v>
      </c>
      <c r="K666" s="82">
        <v>0.60719999999999996</v>
      </c>
    </row>
    <row r="667" spans="1:13" x14ac:dyDescent="0.2">
      <c r="A667" s="33">
        <v>42168</v>
      </c>
      <c r="B667" t="s">
        <v>435</v>
      </c>
      <c r="C667" s="1" t="s">
        <v>1936</v>
      </c>
      <c r="D667" s="1">
        <v>1.8310185185185186E-2</v>
      </c>
      <c r="E667" t="s">
        <v>4861</v>
      </c>
      <c r="F667" s="69" t="s">
        <v>1485</v>
      </c>
      <c r="K667" s="82">
        <v>0.56379999999999997</v>
      </c>
    </row>
    <row r="668" spans="1:13" x14ac:dyDescent="0.2">
      <c r="A668" s="33">
        <v>42161</v>
      </c>
      <c r="B668" s="5" t="s">
        <v>435</v>
      </c>
      <c r="C668" s="32" t="s">
        <v>1936</v>
      </c>
      <c r="D668" s="1">
        <v>1.982638888888889E-2</v>
      </c>
      <c r="E668" t="s">
        <v>4861</v>
      </c>
      <c r="F668" s="69" t="s">
        <v>3190</v>
      </c>
      <c r="K668" s="82">
        <v>0.52070000000000005</v>
      </c>
    </row>
    <row r="669" spans="1:13" x14ac:dyDescent="0.2">
      <c r="A669" s="33">
        <v>42140</v>
      </c>
      <c r="B669" t="s">
        <v>435</v>
      </c>
      <c r="C669" s="1" t="s">
        <v>1936</v>
      </c>
      <c r="D669" s="1">
        <v>1.7210648148148149E-2</v>
      </c>
      <c r="E669" t="s">
        <v>4861</v>
      </c>
      <c r="F669" s="69" t="s">
        <v>4588</v>
      </c>
      <c r="K669" s="82">
        <v>0.59989999999999999</v>
      </c>
    </row>
    <row r="670" spans="1:13" x14ac:dyDescent="0.2">
      <c r="A670" s="33">
        <v>42133</v>
      </c>
      <c r="B670" t="s">
        <v>435</v>
      </c>
      <c r="C670" s="1" t="s">
        <v>1936</v>
      </c>
      <c r="D670" s="1">
        <v>1.8263888888888889E-2</v>
      </c>
      <c r="E670" t="s">
        <v>4861</v>
      </c>
      <c r="F670" s="69" t="s">
        <v>5919</v>
      </c>
      <c r="K670" s="82">
        <v>0.56530000000000002</v>
      </c>
    </row>
    <row r="671" spans="1:13" x14ac:dyDescent="0.2">
      <c r="A671" s="33">
        <v>42119</v>
      </c>
      <c r="B671" t="s">
        <v>435</v>
      </c>
      <c r="C671" s="1" t="s">
        <v>1936</v>
      </c>
      <c r="D671" s="1">
        <v>1.7187500000000001E-2</v>
      </c>
      <c r="E671" t="s">
        <v>4861</v>
      </c>
      <c r="F671" s="69" t="s">
        <v>1237</v>
      </c>
      <c r="K671" s="82">
        <v>0.60070000000000001</v>
      </c>
      <c r="M671" s="6"/>
    </row>
    <row r="672" spans="1:13" x14ac:dyDescent="0.2">
      <c r="A672" s="33">
        <v>42091</v>
      </c>
      <c r="B672" s="80" t="s">
        <v>435</v>
      </c>
      <c r="C672" s="1" t="s">
        <v>1936</v>
      </c>
      <c r="D672" s="1">
        <v>1.712962962962963E-2</v>
      </c>
      <c r="E672" t="s">
        <v>4861</v>
      </c>
      <c r="F672" s="42" t="s">
        <v>4589</v>
      </c>
      <c r="K672" s="82">
        <v>0.59799999999999998</v>
      </c>
    </row>
    <row r="673" spans="1:11" x14ac:dyDescent="0.2">
      <c r="A673" s="33">
        <v>42084</v>
      </c>
      <c r="B673" t="s">
        <v>435</v>
      </c>
      <c r="C673" s="1" t="s">
        <v>1936</v>
      </c>
      <c r="D673" s="1">
        <v>1.7662037037037035E-2</v>
      </c>
      <c r="E673" t="s">
        <v>4861</v>
      </c>
      <c r="F673" s="42" t="s">
        <v>1608</v>
      </c>
      <c r="K673" s="82">
        <v>0.57989999999999997</v>
      </c>
    </row>
    <row r="674" spans="1:11" x14ac:dyDescent="0.2">
      <c r="A674" s="33">
        <v>42077</v>
      </c>
      <c r="B674" t="s">
        <v>435</v>
      </c>
      <c r="C674" s="1" t="s">
        <v>1936</v>
      </c>
      <c r="D674" s="1">
        <v>1.7199074074074071E-2</v>
      </c>
      <c r="E674" t="s">
        <v>4861</v>
      </c>
      <c r="F674" s="69" t="s">
        <v>252</v>
      </c>
      <c r="I674" s="42"/>
      <c r="J674" s="42"/>
      <c r="K674" s="82">
        <v>0.59560000000000002</v>
      </c>
    </row>
    <row r="675" spans="1:11" x14ac:dyDescent="0.2">
      <c r="A675" s="33">
        <v>42070</v>
      </c>
      <c r="B675" t="s">
        <v>435</v>
      </c>
      <c r="C675" s="1" t="s">
        <v>1936</v>
      </c>
      <c r="D675" s="1">
        <v>1.7199074074074071E-2</v>
      </c>
      <c r="E675" t="s">
        <v>4861</v>
      </c>
      <c r="F675" s="69" t="s">
        <v>5516</v>
      </c>
      <c r="K675" s="82">
        <v>0.59560000000000002</v>
      </c>
    </row>
    <row r="676" spans="1:11" x14ac:dyDescent="0.2">
      <c r="A676" s="33">
        <v>42063</v>
      </c>
      <c r="B676" t="s">
        <v>435</v>
      </c>
      <c r="C676" s="1" t="s">
        <v>1936</v>
      </c>
      <c r="D676" s="1">
        <v>1.8078703703703704E-2</v>
      </c>
      <c r="E676" t="s">
        <v>4861</v>
      </c>
      <c r="F676" s="42"/>
      <c r="K676" s="82">
        <v>0.56659999999999999</v>
      </c>
    </row>
    <row r="677" spans="1:11" x14ac:dyDescent="0.2">
      <c r="A677" s="33">
        <v>42042</v>
      </c>
      <c r="B677" t="s">
        <v>435</v>
      </c>
      <c r="C677" s="1" t="s">
        <v>1936</v>
      </c>
      <c r="D677" s="1">
        <v>1.6400462962962964E-2</v>
      </c>
      <c r="E677" t="s">
        <v>4861</v>
      </c>
      <c r="F677" s="42" t="s">
        <v>1587</v>
      </c>
      <c r="K677" s="82">
        <v>0.62460000000000004</v>
      </c>
    </row>
    <row r="678" spans="1:11" x14ac:dyDescent="0.2">
      <c r="A678" s="33">
        <v>42035</v>
      </c>
      <c r="B678" t="s">
        <v>435</v>
      </c>
      <c r="C678" s="1" t="s">
        <v>1936</v>
      </c>
      <c r="D678" s="1">
        <v>1.6643518518518519E-2</v>
      </c>
      <c r="E678" t="s">
        <v>4861</v>
      </c>
      <c r="F678" s="42"/>
      <c r="H678" s="6"/>
      <c r="K678" s="82">
        <v>0.61539999999999995</v>
      </c>
    </row>
    <row r="679" spans="1:11" x14ac:dyDescent="0.2">
      <c r="A679" s="33">
        <v>42028</v>
      </c>
      <c r="B679" t="s">
        <v>435</v>
      </c>
      <c r="C679" s="1" t="s">
        <v>1936</v>
      </c>
      <c r="D679" s="1">
        <v>1.6840277777777777E-2</v>
      </c>
      <c r="E679" t="s">
        <v>4861</v>
      </c>
      <c r="F679" s="42"/>
      <c r="K679" s="82">
        <v>0.60819999999999996</v>
      </c>
    </row>
    <row r="680" spans="1:11" x14ac:dyDescent="0.2">
      <c r="A680" s="33">
        <v>42021</v>
      </c>
      <c r="B680" s="5" t="s">
        <v>435</v>
      </c>
      <c r="C680" s="32" t="s">
        <v>1936</v>
      </c>
      <c r="D680" s="1">
        <v>1.8229166666666668E-2</v>
      </c>
      <c r="E680" t="s">
        <v>4861</v>
      </c>
      <c r="F680" s="42" t="s">
        <v>2200</v>
      </c>
      <c r="K680" s="82">
        <v>0.56189999999999996</v>
      </c>
    </row>
    <row r="681" spans="1:11" x14ac:dyDescent="0.2">
      <c r="A681" s="33">
        <v>42014</v>
      </c>
      <c r="B681" s="5" t="s">
        <v>435</v>
      </c>
      <c r="C681" s="32" t="s">
        <v>1936</v>
      </c>
      <c r="D681" s="1">
        <v>1.7962962962962962E-2</v>
      </c>
      <c r="E681" t="s">
        <v>4861</v>
      </c>
      <c r="F681" s="42" t="s">
        <v>1520</v>
      </c>
      <c r="K681" s="82">
        <v>0.57020000000000004</v>
      </c>
    </row>
    <row r="682" spans="1:11" x14ac:dyDescent="0.2">
      <c r="A682" s="33">
        <v>42007</v>
      </c>
      <c r="B682" t="s">
        <v>435</v>
      </c>
      <c r="C682" s="1" t="s">
        <v>1936</v>
      </c>
      <c r="D682" s="1">
        <v>1.7002314814814814E-2</v>
      </c>
      <c r="E682" t="s">
        <v>4861</v>
      </c>
      <c r="F682" s="42"/>
      <c r="K682" s="82">
        <v>0.60250000000000004</v>
      </c>
    </row>
    <row r="683" spans="1:11" x14ac:dyDescent="0.2">
      <c r="A683" s="33">
        <v>42005</v>
      </c>
      <c r="B683" t="s">
        <v>435</v>
      </c>
      <c r="C683" s="1" t="s">
        <v>1936</v>
      </c>
      <c r="D683" s="1">
        <v>1.7210648148148149E-2</v>
      </c>
      <c r="E683" t="s">
        <v>1379</v>
      </c>
      <c r="F683" s="69" t="s">
        <v>141</v>
      </c>
      <c r="I683" s="6"/>
      <c r="J683" s="6"/>
      <c r="K683" s="82">
        <v>0.59519999999999995</v>
      </c>
    </row>
    <row r="684" spans="1:11" x14ac:dyDescent="0.2">
      <c r="A684" s="33">
        <v>42315</v>
      </c>
      <c r="B684" t="s">
        <v>3898</v>
      </c>
      <c r="C684" s="1" t="s">
        <v>1543</v>
      </c>
      <c r="D684" s="1">
        <v>1.8969907407407408E-2</v>
      </c>
      <c r="E684" t="s">
        <v>3167</v>
      </c>
      <c r="F684" s="69" t="s">
        <v>2044</v>
      </c>
      <c r="I684" s="2"/>
      <c r="K684" s="82">
        <v>0.51129999999999998</v>
      </c>
    </row>
    <row r="685" spans="1:11" x14ac:dyDescent="0.2">
      <c r="A685" s="33">
        <v>42245</v>
      </c>
      <c r="B685" s="206" t="s">
        <v>3898</v>
      </c>
      <c r="C685" s="254" t="s">
        <v>1543</v>
      </c>
      <c r="D685" s="1">
        <v>1.7060185185185185E-2</v>
      </c>
      <c r="E685" t="s">
        <v>3167</v>
      </c>
      <c r="F685" s="69" t="s">
        <v>568</v>
      </c>
      <c r="K685" s="82">
        <v>0.56379999999999997</v>
      </c>
    </row>
    <row r="686" spans="1:11" x14ac:dyDescent="0.2">
      <c r="A686" s="33">
        <v>42238</v>
      </c>
      <c r="B686" s="206" t="s">
        <v>3898</v>
      </c>
      <c r="C686" s="254" t="s">
        <v>1543</v>
      </c>
      <c r="D686" s="1">
        <v>1.7372685185185185E-2</v>
      </c>
      <c r="E686" t="s">
        <v>3167</v>
      </c>
      <c r="F686" s="69" t="s">
        <v>4403</v>
      </c>
      <c r="K686" s="82">
        <v>0.55359999999999998</v>
      </c>
    </row>
    <row r="687" spans="1:11" x14ac:dyDescent="0.2">
      <c r="A687" s="33">
        <v>42231</v>
      </c>
      <c r="B687" s="206" t="s">
        <v>3898</v>
      </c>
      <c r="C687" s="254" t="s">
        <v>1543</v>
      </c>
      <c r="D687" s="1">
        <v>1.9629629629629629E-2</v>
      </c>
      <c r="E687" t="s">
        <v>3167</v>
      </c>
      <c r="F687" s="69" t="s">
        <v>3809</v>
      </c>
      <c r="K687" s="82">
        <v>0.49</v>
      </c>
    </row>
    <row r="688" spans="1:11" x14ac:dyDescent="0.2">
      <c r="A688" s="33">
        <v>42196</v>
      </c>
      <c r="B688" s="206" t="s">
        <v>3898</v>
      </c>
      <c r="C688" s="254" t="s">
        <v>1543</v>
      </c>
      <c r="D688" s="1">
        <v>1.7280092592592593E-2</v>
      </c>
      <c r="E688" t="s">
        <v>3167</v>
      </c>
      <c r="F688" s="69"/>
      <c r="K688" s="82">
        <v>0.55659999999999998</v>
      </c>
    </row>
    <row r="689" spans="1:19" x14ac:dyDescent="0.2">
      <c r="A689" s="33">
        <v>42175</v>
      </c>
      <c r="B689" s="206" t="s">
        <v>3898</v>
      </c>
      <c r="C689" s="254" t="s">
        <v>1543</v>
      </c>
      <c r="D689" s="1">
        <v>1.7025462962962961E-2</v>
      </c>
      <c r="E689" t="s">
        <v>1214</v>
      </c>
      <c r="F689" s="69" t="s">
        <v>2517</v>
      </c>
      <c r="K689" s="82">
        <v>0.56489999999999996</v>
      </c>
    </row>
    <row r="690" spans="1:19" x14ac:dyDescent="0.2">
      <c r="A690" s="33">
        <v>42154</v>
      </c>
      <c r="B690" s="206" t="s">
        <v>3898</v>
      </c>
      <c r="C690" s="254" t="s">
        <v>1543</v>
      </c>
      <c r="D690" s="1">
        <v>1.7627314814814814E-2</v>
      </c>
      <c r="E690" t="s">
        <v>3167</v>
      </c>
      <c r="F690" s="69" t="s">
        <v>4394</v>
      </c>
      <c r="K690" s="82">
        <v>0.54559999999999997</v>
      </c>
    </row>
    <row r="691" spans="1:19" x14ac:dyDescent="0.2">
      <c r="A691" s="33">
        <v>42147</v>
      </c>
      <c r="B691" s="206" t="s">
        <v>3898</v>
      </c>
      <c r="C691" s="254" t="s">
        <v>1543</v>
      </c>
      <c r="D691" s="1">
        <v>1.7430555555555557E-2</v>
      </c>
      <c r="E691" t="s">
        <v>3167</v>
      </c>
      <c r="F691" s="69" t="s">
        <v>2189</v>
      </c>
      <c r="G691" s="5"/>
      <c r="K691" s="82">
        <v>0.55179999999999996</v>
      </c>
    </row>
    <row r="692" spans="1:19" x14ac:dyDescent="0.2">
      <c r="A692" s="33">
        <v>42133</v>
      </c>
      <c r="B692" s="206" t="s">
        <v>3898</v>
      </c>
      <c r="C692" s="254" t="s">
        <v>1543</v>
      </c>
      <c r="D692" s="1">
        <v>1.7557870370370373E-2</v>
      </c>
      <c r="E692" t="s">
        <v>3167</v>
      </c>
      <c r="F692" s="69" t="s">
        <v>1930</v>
      </c>
      <c r="K692" s="82">
        <v>0.54779999999999995</v>
      </c>
    </row>
    <row r="693" spans="1:19" x14ac:dyDescent="0.2">
      <c r="A693" s="33">
        <v>42119</v>
      </c>
      <c r="B693" s="206" t="s">
        <v>3898</v>
      </c>
      <c r="C693" s="254" t="s">
        <v>1543</v>
      </c>
      <c r="D693" s="1">
        <v>1.7835648148148149E-2</v>
      </c>
      <c r="E693" t="s">
        <v>3167</v>
      </c>
      <c r="F693" s="69" t="s">
        <v>5237</v>
      </c>
      <c r="K693" s="82">
        <v>0.5393</v>
      </c>
    </row>
    <row r="694" spans="1:19" x14ac:dyDescent="0.2">
      <c r="A694" s="33">
        <v>42112</v>
      </c>
      <c r="B694" s="206" t="s">
        <v>3898</v>
      </c>
      <c r="C694" s="254" t="s">
        <v>1543</v>
      </c>
      <c r="D694" s="1">
        <v>1.7534722222222222E-2</v>
      </c>
      <c r="E694" t="s">
        <v>3167</v>
      </c>
      <c r="F694" s="69" t="s">
        <v>4279</v>
      </c>
      <c r="K694" s="82">
        <v>0.54849999999999999</v>
      </c>
    </row>
    <row r="695" spans="1:19" x14ac:dyDescent="0.2">
      <c r="A695" s="33">
        <v>42105</v>
      </c>
      <c r="B695" s="197" t="s">
        <v>3898</v>
      </c>
      <c r="C695" s="265" t="s">
        <v>1543</v>
      </c>
      <c r="D695" s="1">
        <v>1.7939814814814815E-2</v>
      </c>
      <c r="E695" t="s">
        <v>3167</v>
      </c>
      <c r="F695" s="69"/>
      <c r="K695" s="82">
        <v>0.53610000000000002</v>
      </c>
    </row>
    <row r="696" spans="1:19" x14ac:dyDescent="0.2">
      <c r="A696" s="33">
        <v>42098</v>
      </c>
      <c r="B696" s="206" t="s">
        <v>3898</v>
      </c>
      <c r="C696" s="254" t="s">
        <v>1543</v>
      </c>
      <c r="D696" s="1">
        <v>2.1226851851851854E-2</v>
      </c>
      <c r="E696" t="s">
        <v>3167</v>
      </c>
      <c r="F696" s="69" t="s">
        <v>3240</v>
      </c>
      <c r="K696" s="82">
        <v>0.4531</v>
      </c>
    </row>
    <row r="697" spans="1:19" x14ac:dyDescent="0.2">
      <c r="A697" s="33">
        <v>42091</v>
      </c>
      <c r="B697" s="206" t="s">
        <v>3898</v>
      </c>
      <c r="C697" s="254" t="s">
        <v>1543</v>
      </c>
      <c r="D697" s="1">
        <v>1.8055555555555557E-2</v>
      </c>
      <c r="E697" t="s">
        <v>3167</v>
      </c>
      <c r="F697" s="42" t="s">
        <v>3459</v>
      </c>
      <c r="K697" s="82">
        <v>0.53269999999999995</v>
      </c>
    </row>
    <row r="698" spans="1:19" x14ac:dyDescent="0.2">
      <c r="A698" s="33">
        <v>42084</v>
      </c>
      <c r="B698" s="206" t="s">
        <v>3898</v>
      </c>
      <c r="C698" s="254" t="s">
        <v>1543</v>
      </c>
      <c r="D698" s="1">
        <v>1.818287037037037E-2</v>
      </c>
      <c r="E698" t="s">
        <v>3167</v>
      </c>
      <c r="F698" s="42" t="s">
        <v>4098</v>
      </c>
      <c r="K698" s="82">
        <v>0.52900000000000003</v>
      </c>
    </row>
    <row r="699" spans="1:19" x14ac:dyDescent="0.2">
      <c r="A699" s="33">
        <v>42077</v>
      </c>
      <c r="B699" s="206" t="s">
        <v>3898</v>
      </c>
      <c r="C699" s="254" t="s">
        <v>1543</v>
      </c>
      <c r="D699" s="1">
        <v>1.861111111111111E-2</v>
      </c>
      <c r="E699" t="s">
        <v>3167</v>
      </c>
      <c r="F699" s="69" t="s">
        <v>3549</v>
      </c>
      <c r="G699" s="42"/>
      <c r="H699" s="42"/>
      <c r="I699" s="42"/>
      <c r="J699" s="42"/>
      <c r="K699" s="82">
        <v>0.51680000000000004</v>
      </c>
    </row>
    <row r="700" spans="1:19" x14ac:dyDescent="0.2">
      <c r="A700" s="33">
        <v>42364</v>
      </c>
      <c r="B700" t="s">
        <v>665</v>
      </c>
      <c r="C700" s="1" t="s">
        <v>666</v>
      </c>
      <c r="D700" s="1">
        <v>1.9328703703703702E-2</v>
      </c>
      <c r="E700" t="s">
        <v>6016</v>
      </c>
      <c r="F700" s="69" t="s">
        <v>5004</v>
      </c>
      <c r="H700" t="s">
        <v>412</v>
      </c>
      <c r="I700" s="2"/>
      <c r="K700" s="82">
        <v>0.55210000000000004</v>
      </c>
      <c r="M700" t="s">
        <v>1202</v>
      </c>
    </row>
    <row r="701" spans="1:19" x14ac:dyDescent="0.2">
      <c r="A701" s="33">
        <v>42363</v>
      </c>
      <c r="B701" t="s">
        <v>665</v>
      </c>
      <c r="C701" s="1" t="s">
        <v>666</v>
      </c>
      <c r="D701" s="1" t="s">
        <v>787</v>
      </c>
      <c r="E701" s="5" t="s">
        <v>1401</v>
      </c>
      <c r="F701" s="108" t="s">
        <v>5508</v>
      </c>
      <c r="G701" s="5"/>
      <c r="I701" s="2"/>
      <c r="K701" s="82"/>
    </row>
    <row r="702" spans="1:19" x14ac:dyDescent="0.2">
      <c r="A702" s="33">
        <v>42357</v>
      </c>
      <c r="B702" t="s">
        <v>665</v>
      </c>
      <c r="C702" s="1" t="s">
        <v>666</v>
      </c>
      <c r="D702" s="1">
        <v>1.8564814814814815E-2</v>
      </c>
      <c r="E702" t="s">
        <v>3080</v>
      </c>
      <c r="F702" s="69" t="s">
        <v>5820</v>
      </c>
      <c r="I702" s="2"/>
      <c r="K702" s="82">
        <v>0.57479999999999998</v>
      </c>
      <c r="S702" s="80"/>
    </row>
    <row r="703" spans="1:19" x14ac:dyDescent="0.2">
      <c r="A703" s="33">
        <v>42350</v>
      </c>
      <c r="B703" t="s">
        <v>665</v>
      </c>
      <c r="C703" s="1" t="s">
        <v>666</v>
      </c>
      <c r="D703" s="1">
        <v>1.7928240740740741E-2</v>
      </c>
      <c r="E703" t="s">
        <v>1006</v>
      </c>
      <c r="F703" s="69" t="s">
        <v>1592</v>
      </c>
      <c r="I703" s="2"/>
      <c r="K703" s="82">
        <v>0.59519999999999995</v>
      </c>
    </row>
    <row r="704" spans="1:19" x14ac:dyDescent="0.2">
      <c r="A704" s="33">
        <v>42343</v>
      </c>
      <c r="B704" t="s">
        <v>665</v>
      </c>
      <c r="C704" s="1" t="s">
        <v>666</v>
      </c>
      <c r="D704" s="1">
        <v>1.8113425925925925E-2</v>
      </c>
      <c r="E704" t="s">
        <v>5039</v>
      </c>
      <c r="F704" s="69" t="s">
        <v>5819</v>
      </c>
      <c r="I704" s="2"/>
      <c r="K704" s="82">
        <v>0.58909999999999996</v>
      </c>
    </row>
    <row r="705" spans="1:11" x14ac:dyDescent="0.2">
      <c r="A705" s="33">
        <v>42336</v>
      </c>
      <c r="B705" t="s">
        <v>665</v>
      </c>
      <c r="C705" s="1" t="s">
        <v>666</v>
      </c>
      <c r="D705" s="1">
        <v>1.861111111111111E-2</v>
      </c>
      <c r="E705" t="s">
        <v>1719</v>
      </c>
      <c r="F705" s="69" t="s">
        <v>5572</v>
      </c>
      <c r="I705" s="2"/>
      <c r="K705" s="82">
        <v>0.57340000000000002</v>
      </c>
    </row>
    <row r="706" spans="1:11" x14ac:dyDescent="0.2">
      <c r="A706" s="34">
        <v>42329</v>
      </c>
      <c r="B706" t="s">
        <v>665</v>
      </c>
      <c r="C706" s="1" t="s">
        <v>666</v>
      </c>
      <c r="D706" s="1">
        <v>2.0300925925925927E-2</v>
      </c>
      <c r="E706" t="s">
        <v>2294</v>
      </c>
      <c r="F706" s="69" t="s">
        <v>5818</v>
      </c>
      <c r="I706" s="2"/>
      <c r="K706" s="82">
        <v>0.52569999999999995</v>
      </c>
    </row>
    <row r="707" spans="1:11" x14ac:dyDescent="0.2">
      <c r="A707" s="33">
        <v>42322</v>
      </c>
      <c r="B707" t="s">
        <v>665</v>
      </c>
      <c r="C707" s="1" t="s">
        <v>666</v>
      </c>
      <c r="D707" s="1">
        <v>1.7847222222222223E-2</v>
      </c>
      <c r="E707" t="s">
        <v>479</v>
      </c>
      <c r="F707" s="69" t="s">
        <v>2077</v>
      </c>
      <c r="I707" s="2"/>
      <c r="K707" s="82">
        <v>0.59789999999999999</v>
      </c>
    </row>
    <row r="708" spans="1:11" x14ac:dyDescent="0.2">
      <c r="A708" s="33">
        <v>42315</v>
      </c>
      <c r="B708" t="s">
        <v>665</v>
      </c>
      <c r="C708" s="1" t="s">
        <v>666</v>
      </c>
      <c r="D708" s="1">
        <v>2.1319444444444443E-2</v>
      </c>
      <c r="E708" t="s">
        <v>4510</v>
      </c>
      <c r="F708" s="69" t="s">
        <v>5617</v>
      </c>
      <c r="I708" s="2"/>
      <c r="K708" s="82">
        <v>0.50049999999999994</v>
      </c>
    </row>
    <row r="709" spans="1:11" x14ac:dyDescent="0.2">
      <c r="A709" s="33">
        <v>42308</v>
      </c>
      <c r="B709" t="s">
        <v>665</v>
      </c>
      <c r="C709" s="1" t="s">
        <v>666</v>
      </c>
      <c r="D709" s="1">
        <v>1.9618055555555555E-2</v>
      </c>
      <c r="E709" t="s">
        <v>1554</v>
      </c>
      <c r="F709" s="69" t="s">
        <v>1195</v>
      </c>
      <c r="I709" s="2"/>
      <c r="K709" s="82">
        <v>0.54400000000000004</v>
      </c>
    </row>
    <row r="710" spans="1:11" x14ac:dyDescent="0.2">
      <c r="A710" s="33">
        <v>42294</v>
      </c>
      <c r="B710" t="s">
        <v>665</v>
      </c>
      <c r="C710" s="1" t="s">
        <v>666</v>
      </c>
      <c r="D710" s="1">
        <v>1.7870370370370373E-2</v>
      </c>
      <c r="E710" t="s">
        <v>3174</v>
      </c>
      <c r="F710" s="69" t="s">
        <v>987</v>
      </c>
      <c r="I710" s="2"/>
      <c r="K710" s="82">
        <v>0.59719999999999995</v>
      </c>
    </row>
    <row r="711" spans="1:11" x14ac:dyDescent="0.2">
      <c r="A711" s="33">
        <v>42287</v>
      </c>
      <c r="B711" t="s">
        <v>665</v>
      </c>
      <c r="C711" s="1" t="s">
        <v>666</v>
      </c>
      <c r="D711" s="1">
        <v>1.9953703703703706E-2</v>
      </c>
      <c r="E711" t="s">
        <v>2995</v>
      </c>
      <c r="F711" s="69" t="s">
        <v>4186</v>
      </c>
      <c r="I711" s="2"/>
      <c r="K711" s="82">
        <v>0.53480000000000005</v>
      </c>
    </row>
    <row r="712" spans="1:11" x14ac:dyDescent="0.2">
      <c r="A712" s="33">
        <v>42280</v>
      </c>
      <c r="B712" t="s">
        <v>665</v>
      </c>
      <c r="C712" s="1" t="s">
        <v>666</v>
      </c>
      <c r="D712" s="1">
        <v>1.9849537037037037E-2</v>
      </c>
      <c r="E712" t="s">
        <v>5337</v>
      </c>
      <c r="F712" s="69" t="s">
        <v>1427</v>
      </c>
      <c r="I712" s="2"/>
      <c r="K712" s="82">
        <v>0.53759999999999997</v>
      </c>
    </row>
    <row r="713" spans="1:11" x14ac:dyDescent="0.2">
      <c r="A713" s="33">
        <v>42273</v>
      </c>
      <c r="B713" t="s">
        <v>665</v>
      </c>
      <c r="C713" s="1" t="s">
        <v>666</v>
      </c>
      <c r="D713" s="1">
        <v>1.8796296296296297E-2</v>
      </c>
      <c r="E713" t="s">
        <v>5092</v>
      </c>
      <c r="F713" s="69" t="s">
        <v>857</v>
      </c>
      <c r="I713" s="2"/>
      <c r="K713" s="82">
        <v>0.56769999999999998</v>
      </c>
    </row>
    <row r="714" spans="1:11" x14ac:dyDescent="0.2">
      <c r="A714" s="33">
        <v>42266</v>
      </c>
      <c r="B714" t="s">
        <v>665</v>
      </c>
      <c r="C714" s="1" t="s">
        <v>666</v>
      </c>
      <c r="D714" s="1">
        <v>1.9918981481481482E-2</v>
      </c>
      <c r="E714" t="s">
        <v>3669</v>
      </c>
      <c r="F714" s="69" t="s">
        <v>5247</v>
      </c>
      <c r="K714" s="82">
        <v>0.53569999999999995</v>
      </c>
    </row>
    <row r="715" spans="1:11" x14ac:dyDescent="0.2">
      <c r="A715" s="33">
        <v>42259</v>
      </c>
      <c r="B715" t="s">
        <v>665</v>
      </c>
      <c r="C715" s="1" t="s">
        <v>666</v>
      </c>
      <c r="D715" s="1">
        <v>1.9189814814814816E-2</v>
      </c>
      <c r="E715" t="s">
        <v>2337</v>
      </c>
      <c r="F715" s="69" t="s">
        <v>24</v>
      </c>
      <c r="K715" s="82">
        <v>0.55610000000000004</v>
      </c>
    </row>
    <row r="716" spans="1:11" x14ac:dyDescent="0.2">
      <c r="A716" s="33">
        <v>42252</v>
      </c>
      <c r="B716" t="s">
        <v>665</v>
      </c>
      <c r="C716" s="1" t="s">
        <v>666</v>
      </c>
      <c r="D716" s="1">
        <v>1.8622685185185183E-2</v>
      </c>
      <c r="E716" t="s">
        <v>4244</v>
      </c>
      <c r="F716" s="69" t="s">
        <v>4613</v>
      </c>
      <c r="K716" s="82">
        <v>0.57299999999999995</v>
      </c>
    </row>
    <row r="717" spans="1:11" x14ac:dyDescent="0.2">
      <c r="A717" s="33">
        <v>42245</v>
      </c>
      <c r="B717" t="s">
        <v>665</v>
      </c>
      <c r="C717" s="1" t="s">
        <v>666</v>
      </c>
      <c r="D717" s="1">
        <v>1.8912037037037036E-2</v>
      </c>
      <c r="E717" t="s">
        <v>2430</v>
      </c>
      <c r="F717" s="69" t="s">
        <v>570</v>
      </c>
      <c r="K717" s="82">
        <v>0.56430000000000002</v>
      </c>
    </row>
    <row r="718" spans="1:11" x14ac:dyDescent="0.2">
      <c r="A718" s="33">
        <v>42238</v>
      </c>
      <c r="B718" t="s">
        <v>665</v>
      </c>
      <c r="C718" s="1" t="s">
        <v>666</v>
      </c>
      <c r="D718" s="1">
        <v>1.8564814814814815E-2</v>
      </c>
      <c r="E718" t="s">
        <v>3167</v>
      </c>
      <c r="F718" s="69" t="s">
        <v>2629</v>
      </c>
      <c r="K718" s="82">
        <v>0.57479999999999998</v>
      </c>
    </row>
    <row r="719" spans="1:11" x14ac:dyDescent="0.2">
      <c r="A719" s="33">
        <v>42231</v>
      </c>
      <c r="B719" t="s">
        <v>665</v>
      </c>
      <c r="C719" s="1" t="s">
        <v>666</v>
      </c>
      <c r="D719" s="1">
        <v>1.9143518518518518E-2</v>
      </c>
      <c r="E719" t="s">
        <v>5955</v>
      </c>
      <c r="F719" s="69" t="s">
        <v>1677</v>
      </c>
      <c r="K719" s="82">
        <v>0.55740000000000001</v>
      </c>
    </row>
    <row r="720" spans="1:11" x14ac:dyDescent="0.2">
      <c r="A720" s="33">
        <v>42224</v>
      </c>
      <c r="B720" t="s">
        <v>665</v>
      </c>
      <c r="C720" s="1" t="s">
        <v>666</v>
      </c>
      <c r="D720" s="1">
        <v>1.7777777777777778E-2</v>
      </c>
      <c r="E720" t="s">
        <v>4694</v>
      </c>
      <c r="F720" s="69" t="s">
        <v>2329</v>
      </c>
      <c r="K720" s="82">
        <v>0.60029999999999994</v>
      </c>
    </row>
    <row r="721" spans="1:11" x14ac:dyDescent="0.2">
      <c r="A721" s="33">
        <v>42217</v>
      </c>
      <c r="B721" t="s">
        <v>665</v>
      </c>
      <c r="C721" s="1" t="s">
        <v>666</v>
      </c>
      <c r="D721" s="1">
        <v>1.7025462962962961E-2</v>
      </c>
      <c r="E721" t="s">
        <v>4004</v>
      </c>
      <c r="F721" s="69" t="s">
        <v>210</v>
      </c>
      <c r="K721" s="82">
        <v>0.62680000000000002</v>
      </c>
    </row>
    <row r="722" spans="1:11" x14ac:dyDescent="0.2">
      <c r="A722" s="33">
        <v>42210</v>
      </c>
      <c r="B722" t="s">
        <v>665</v>
      </c>
      <c r="C722" s="1" t="s">
        <v>666</v>
      </c>
      <c r="D722" s="1">
        <v>1.9155092592592592E-2</v>
      </c>
      <c r="E722" t="s">
        <v>161</v>
      </c>
      <c r="F722" s="69" t="s">
        <v>3452</v>
      </c>
      <c r="K722" s="82">
        <v>0.56359999999999999</v>
      </c>
    </row>
    <row r="723" spans="1:11" x14ac:dyDescent="0.2">
      <c r="A723" s="33">
        <v>42203</v>
      </c>
      <c r="B723" t="s">
        <v>665</v>
      </c>
      <c r="C723" s="1" t="s">
        <v>666</v>
      </c>
      <c r="D723" s="1">
        <v>1.7708333333333333E-2</v>
      </c>
      <c r="E723" t="s">
        <v>6003</v>
      </c>
      <c r="F723" s="69" t="s">
        <v>293</v>
      </c>
      <c r="K723" s="82">
        <v>0.59740000000000004</v>
      </c>
    </row>
    <row r="724" spans="1:11" x14ac:dyDescent="0.2">
      <c r="A724" s="33">
        <v>42196</v>
      </c>
      <c r="B724" t="s">
        <v>665</v>
      </c>
      <c r="C724" s="1" t="s">
        <v>666</v>
      </c>
      <c r="D724" s="1">
        <v>1.8263888888888889E-2</v>
      </c>
      <c r="E724" t="s">
        <v>5653</v>
      </c>
      <c r="F724" s="69" t="s">
        <v>2629</v>
      </c>
      <c r="K724" s="82">
        <v>0.57920000000000005</v>
      </c>
    </row>
    <row r="725" spans="1:11" x14ac:dyDescent="0.2">
      <c r="A725" s="33">
        <v>42189</v>
      </c>
      <c r="B725" t="s">
        <v>665</v>
      </c>
      <c r="C725" s="1" t="s">
        <v>666</v>
      </c>
      <c r="D725" s="1">
        <v>1.8402777777777778E-2</v>
      </c>
      <c r="E725" t="s">
        <v>317</v>
      </c>
      <c r="F725" s="69" t="s">
        <v>1517</v>
      </c>
      <c r="K725" s="82">
        <v>0.57479999999999998</v>
      </c>
    </row>
    <row r="726" spans="1:11" x14ac:dyDescent="0.2">
      <c r="A726" s="33">
        <v>42182</v>
      </c>
      <c r="B726" t="s">
        <v>665</v>
      </c>
      <c r="C726" s="1" t="s">
        <v>666</v>
      </c>
      <c r="D726" s="1">
        <v>1.8124999999999999E-2</v>
      </c>
      <c r="E726" t="s">
        <v>2542</v>
      </c>
      <c r="F726" s="69" t="s">
        <v>1097</v>
      </c>
      <c r="K726" s="82">
        <v>0.5837</v>
      </c>
    </row>
    <row r="727" spans="1:11" x14ac:dyDescent="0.2">
      <c r="A727" s="33">
        <v>42175</v>
      </c>
      <c r="B727" t="s">
        <v>665</v>
      </c>
      <c r="C727" s="1" t="s">
        <v>666</v>
      </c>
      <c r="D727" s="1">
        <v>1.8298611111111113E-2</v>
      </c>
      <c r="E727" t="s">
        <v>4861</v>
      </c>
      <c r="F727" s="69" t="s">
        <v>2188</v>
      </c>
      <c r="K727" s="82">
        <v>0.57809999999999995</v>
      </c>
    </row>
    <row r="728" spans="1:11" x14ac:dyDescent="0.2">
      <c r="A728" s="33">
        <v>42168</v>
      </c>
      <c r="B728" t="s">
        <v>665</v>
      </c>
      <c r="C728" s="1" t="s">
        <v>666</v>
      </c>
      <c r="D728" s="1">
        <v>1.8113425925925925E-2</v>
      </c>
      <c r="E728" t="s">
        <v>129</v>
      </c>
      <c r="F728" s="69" t="s">
        <v>3244</v>
      </c>
      <c r="K728" s="82">
        <v>0.58399999999999996</v>
      </c>
    </row>
    <row r="729" spans="1:11" x14ac:dyDescent="0.2">
      <c r="A729" s="33">
        <v>42161</v>
      </c>
      <c r="B729" t="s">
        <v>665</v>
      </c>
      <c r="C729" s="1" t="s">
        <v>666</v>
      </c>
      <c r="D729" s="1">
        <v>1.8032407407407407E-2</v>
      </c>
      <c r="E729" t="s">
        <v>3249</v>
      </c>
      <c r="F729" s="69" t="s">
        <v>5689</v>
      </c>
      <c r="H729" t="s">
        <v>991</v>
      </c>
      <c r="K729" s="82">
        <v>0.58660000000000001</v>
      </c>
    </row>
    <row r="730" spans="1:11" x14ac:dyDescent="0.2">
      <c r="A730" s="33">
        <v>42154</v>
      </c>
      <c r="B730" t="s">
        <v>665</v>
      </c>
      <c r="C730" s="1" t="s">
        <v>666</v>
      </c>
      <c r="D730" s="1">
        <v>1.8726851851851852E-2</v>
      </c>
      <c r="E730" t="s">
        <v>4936</v>
      </c>
      <c r="F730" s="69" t="s">
        <v>400</v>
      </c>
      <c r="K730" s="82">
        <v>0.56489999999999996</v>
      </c>
    </row>
    <row r="731" spans="1:11" x14ac:dyDescent="0.2">
      <c r="A731" s="33">
        <v>42147</v>
      </c>
      <c r="B731" t="s">
        <v>665</v>
      </c>
      <c r="C731" s="1" t="s">
        <v>666</v>
      </c>
      <c r="D731" s="1">
        <v>1.9896990740740739E-2</v>
      </c>
      <c r="E731" t="s">
        <v>5544</v>
      </c>
      <c r="F731" s="69" t="s">
        <v>4266</v>
      </c>
      <c r="K731" s="82">
        <v>0.53169999999999995</v>
      </c>
    </row>
    <row r="732" spans="1:11" x14ac:dyDescent="0.2">
      <c r="A732" s="33">
        <v>42133</v>
      </c>
      <c r="B732" t="s">
        <v>665</v>
      </c>
      <c r="C732" s="1" t="s">
        <v>666</v>
      </c>
      <c r="D732" s="1">
        <v>1.7858796296296296E-2</v>
      </c>
      <c r="E732" t="s">
        <v>4169</v>
      </c>
      <c r="F732" s="69" t="s">
        <v>2536</v>
      </c>
      <c r="G732" s="6"/>
      <c r="H732" s="6"/>
      <c r="K732" s="82">
        <v>0.59240000000000004</v>
      </c>
    </row>
    <row r="733" spans="1:11" x14ac:dyDescent="0.2">
      <c r="A733" s="33">
        <v>42126</v>
      </c>
      <c r="B733" t="s">
        <v>665</v>
      </c>
      <c r="C733" s="1" t="s">
        <v>666</v>
      </c>
      <c r="D733" s="1">
        <v>1.8587962962962962E-2</v>
      </c>
      <c r="E733" t="s">
        <v>2392</v>
      </c>
      <c r="F733" s="69" t="s">
        <v>1773</v>
      </c>
      <c r="I733" s="42"/>
      <c r="J733" s="42"/>
      <c r="K733" s="82">
        <v>0.56910000000000005</v>
      </c>
    </row>
    <row r="734" spans="1:11" x14ac:dyDescent="0.2">
      <c r="A734" s="33">
        <v>42119</v>
      </c>
      <c r="B734" t="s">
        <v>665</v>
      </c>
      <c r="C734" s="1" t="s">
        <v>666</v>
      </c>
      <c r="D734" s="1">
        <v>1.834490740740741E-2</v>
      </c>
      <c r="E734" t="s">
        <v>843</v>
      </c>
      <c r="F734" s="69" t="s">
        <v>4198</v>
      </c>
      <c r="K734" s="82">
        <v>0.56669999999999998</v>
      </c>
    </row>
    <row r="735" spans="1:11" x14ac:dyDescent="0.2">
      <c r="A735" s="33">
        <v>42112</v>
      </c>
      <c r="B735" t="s">
        <v>665</v>
      </c>
      <c r="C735" s="1" t="s">
        <v>666</v>
      </c>
      <c r="D735" s="1">
        <v>1.7534722222222222E-2</v>
      </c>
      <c r="E735" t="s">
        <v>4974</v>
      </c>
      <c r="F735" s="69" t="s">
        <v>2539</v>
      </c>
      <c r="K735" s="82">
        <v>0.60329999999999995</v>
      </c>
    </row>
    <row r="736" spans="1:11" x14ac:dyDescent="0.2">
      <c r="A736" s="33">
        <v>42105</v>
      </c>
      <c r="B736" t="s">
        <v>665</v>
      </c>
      <c r="C736" s="1" t="s">
        <v>666</v>
      </c>
      <c r="D736" s="1" t="s">
        <v>787</v>
      </c>
      <c r="E736" t="s">
        <v>6020</v>
      </c>
      <c r="F736" s="69" t="s">
        <v>4854</v>
      </c>
      <c r="K736" s="82"/>
    </row>
    <row r="737" spans="1:19" x14ac:dyDescent="0.2">
      <c r="A737" s="33">
        <v>42098</v>
      </c>
      <c r="B737" t="s">
        <v>665</v>
      </c>
      <c r="C737" s="1" t="s">
        <v>666</v>
      </c>
      <c r="D737" s="1">
        <v>1.7638888888888888E-2</v>
      </c>
      <c r="E737" t="s">
        <v>1456</v>
      </c>
      <c r="F737" s="69" t="s">
        <v>1713</v>
      </c>
      <c r="K737" s="82">
        <v>0.59970000000000001</v>
      </c>
    </row>
    <row r="738" spans="1:19" x14ac:dyDescent="0.2">
      <c r="A738" s="33">
        <v>42091</v>
      </c>
      <c r="B738" t="s">
        <v>665</v>
      </c>
      <c r="C738" s="1" t="s">
        <v>666</v>
      </c>
      <c r="D738" s="1">
        <v>1.7893518518518517E-2</v>
      </c>
      <c r="E738" t="s">
        <v>4727</v>
      </c>
      <c r="F738" s="42" t="s">
        <v>5917</v>
      </c>
      <c r="K738" s="82">
        <v>0.59119999999999995</v>
      </c>
    </row>
    <row r="739" spans="1:19" x14ac:dyDescent="0.2">
      <c r="A739" s="33">
        <v>42084</v>
      </c>
      <c r="B739" t="s">
        <v>665</v>
      </c>
      <c r="C739" s="1" t="s">
        <v>666</v>
      </c>
      <c r="D739" s="1">
        <v>1.8043981481481484E-2</v>
      </c>
      <c r="E739" t="s">
        <v>4509</v>
      </c>
      <c r="F739" s="42" t="s">
        <v>4728</v>
      </c>
      <c r="K739" s="82">
        <v>0.58630000000000004</v>
      </c>
      <c r="M739" t="s">
        <v>3927</v>
      </c>
    </row>
    <row r="740" spans="1:19" x14ac:dyDescent="0.2">
      <c r="A740" s="33">
        <v>42077</v>
      </c>
      <c r="B740" t="s">
        <v>665</v>
      </c>
      <c r="C740" s="1" t="s">
        <v>666</v>
      </c>
      <c r="D740" s="1">
        <v>1.7025462962962961E-2</v>
      </c>
      <c r="E740" t="s">
        <v>4861</v>
      </c>
      <c r="F740" s="69" t="s">
        <v>253</v>
      </c>
      <c r="I740" s="42"/>
      <c r="J740" s="42"/>
      <c r="K740" s="82">
        <v>0.62129999999999996</v>
      </c>
    </row>
    <row r="741" spans="1:19" x14ac:dyDescent="0.2">
      <c r="A741" s="33">
        <v>42070</v>
      </c>
      <c r="B741" t="s">
        <v>665</v>
      </c>
      <c r="C741" s="1" t="s">
        <v>666</v>
      </c>
      <c r="D741" s="1">
        <v>1.681712962962963E-2</v>
      </c>
      <c r="E741" t="s">
        <v>2593</v>
      </c>
      <c r="F741" s="69" t="s">
        <v>2512</v>
      </c>
      <c r="K741" s="82">
        <v>0.629</v>
      </c>
    </row>
    <row r="742" spans="1:19" x14ac:dyDescent="0.2">
      <c r="A742" s="33">
        <v>42063</v>
      </c>
      <c r="B742" t="s">
        <v>665</v>
      </c>
      <c r="C742" s="1" t="s">
        <v>666</v>
      </c>
      <c r="D742" s="1">
        <v>2.0104166666666666E-2</v>
      </c>
      <c r="E742" t="s">
        <v>1569</v>
      </c>
      <c r="F742" s="42" t="s">
        <v>2937</v>
      </c>
      <c r="K742" s="82">
        <v>0.5262</v>
      </c>
    </row>
    <row r="743" spans="1:19" x14ac:dyDescent="0.2">
      <c r="A743" s="33">
        <v>42056</v>
      </c>
      <c r="B743" t="s">
        <v>665</v>
      </c>
      <c r="C743" s="1" t="s">
        <v>666</v>
      </c>
      <c r="D743" s="1">
        <v>1.7615740740740741E-2</v>
      </c>
      <c r="E743" t="s">
        <v>6020</v>
      </c>
      <c r="F743" s="69"/>
      <c r="I743" s="6"/>
      <c r="J743" s="6"/>
      <c r="K743" s="82">
        <v>0.60050000000000003</v>
      </c>
    </row>
    <row r="744" spans="1:19" x14ac:dyDescent="0.2">
      <c r="A744" s="33">
        <v>42035</v>
      </c>
      <c r="B744" t="s">
        <v>665</v>
      </c>
      <c r="C744" s="1" t="s">
        <v>666</v>
      </c>
      <c r="D744" s="1">
        <v>2.0057870370370368E-2</v>
      </c>
      <c r="E744" t="s">
        <v>1401</v>
      </c>
      <c r="F744" s="42"/>
      <c r="G744" s="42"/>
      <c r="H744" s="42"/>
      <c r="K744" s="82">
        <v>0.54310000000000003</v>
      </c>
    </row>
    <row r="745" spans="1:19" x14ac:dyDescent="0.2">
      <c r="A745" s="33">
        <v>42028</v>
      </c>
      <c r="B745" t="s">
        <v>665</v>
      </c>
      <c r="C745" s="1" t="s">
        <v>666</v>
      </c>
      <c r="D745" s="1">
        <v>1.7893518518518517E-2</v>
      </c>
      <c r="E745" t="s">
        <v>3072</v>
      </c>
      <c r="F745" s="42"/>
      <c r="K745" s="82">
        <v>0.59119999999999995</v>
      </c>
    </row>
    <row r="746" spans="1:19" x14ac:dyDescent="0.2">
      <c r="A746" s="33">
        <v>42021</v>
      </c>
      <c r="B746" t="s">
        <v>665</v>
      </c>
      <c r="C746" s="1" t="s">
        <v>666</v>
      </c>
      <c r="D746" s="1">
        <v>2.0543981481481479E-2</v>
      </c>
      <c r="E746" t="s">
        <v>3009</v>
      </c>
      <c r="F746" s="42" t="s">
        <v>1607</v>
      </c>
      <c r="K746" s="82">
        <v>0.51490000000000002</v>
      </c>
    </row>
    <row r="747" spans="1:19" x14ac:dyDescent="0.2">
      <c r="A747" s="33">
        <v>42014</v>
      </c>
      <c r="B747" t="s">
        <v>665</v>
      </c>
      <c r="C747" s="1" t="s">
        <v>666</v>
      </c>
      <c r="D747" s="1">
        <v>1.7361111111111112E-2</v>
      </c>
      <c r="E747" t="s">
        <v>1783</v>
      </c>
      <c r="F747" s="42" t="s">
        <v>1521</v>
      </c>
      <c r="K747" s="82">
        <v>0.60929999999999995</v>
      </c>
    </row>
    <row r="748" spans="1:19" x14ac:dyDescent="0.2">
      <c r="A748" s="33">
        <v>42007</v>
      </c>
      <c r="B748" t="s">
        <v>665</v>
      </c>
      <c r="C748" s="1" t="s">
        <v>666</v>
      </c>
      <c r="D748" s="1">
        <v>1.7233796296296296E-2</v>
      </c>
      <c r="E748" t="s">
        <v>1401</v>
      </c>
      <c r="F748" s="42"/>
      <c r="K748" s="82">
        <v>0.61380000000000001</v>
      </c>
    </row>
    <row r="749" spans="1:19" x14ac:dyDescent="0.2">
      <c r="A749" s="33">
        <v>42005</v>
      </c>
      <c r="B749" t="s">
        <v>665</v>
      </c>
      <c r="C749" s="1" t="s">
        <v>666</v>
      </c>
      <c r="D749" s="1">
        <v>1.7824074074074076E-2</v>
      </c>
      <c r="E749" t="s">
        <v>137</v>
      </c>
      <c r="F749" s="69" t="s">
        <v>138</v>
      </c>
      <c r="I749" s="6"/>
      <c r="J749" s="6"/>
      <c r="K749" s="82">
        <v>0.59350000000000003</v>
      </c>
      <c r="M749" t="s">
        <v>4375</v>
      </c>
    </row>
    <row r="750" spans="1:19" x14ac:dyDescent="0.2">
      <c r="A750" s="33">
        <v>42005</v>
      </c>
      <c r="B750" t="s">
        <v>665</v>
      </c>
      <c r="C750" s="1" t="s">
        <v>666</v>
      </c>
      <c r="D750" s="1">
        <v>1.8460648148148146E-2</v>
      </c>
      <c r="E750" t="s">
        <v>144</v>
      </c>
      <c r="F750" s="69" t="s">
        <v>140</v>
      </c>
      <c r="H750" t="s">
        <v>990</v>
      </c>
      <c r="I750" s="6"/>
      <c r="J750" s="6" t="s">
        <v>1846</v>
      </c>
      <c r="K750" s="82">
        <v>0.57299999999999995</v>
      </c>
      <c r="M750" t="s">
        <v>4374</v>
      </c>
    </row>
    <row r="751" spans="1:19" x14ac:dyDescent="0.2">
      <c r="A751" s="33">
        <v>42357</v>
      </c>
      <c r="B751" t="s">
        <v>4677</v>
      </c>
      <c r="C751" s="1" t="s">
        <v>4678</v>
      </c>
      <c r="D751" s="1">
        <v>0.02</v>
      </c>
      <c r="E751" t="s">
        <v>5198</v>
      </c>
      <c r="F751" s="69" t="s">
        <v>5382</v>
      </c>
      <c r="I751" s="2"/>
      <c r="K751" s="82">
        <v>0.59319999999999995</v>
      </c>
      <c r="S751" s="80"/>
    </row>
    <row r="752" spans="1:19" x14ac:dyDescent="0.2">
      <c r="A752" s="33">
        <v>42350</v>
      </c>
      <c r="B752" t="s">
        <v>4677</v>
      </c>
      <c r="C752" s="1" t="s">
        <v>4678</v>
      </c>
      <c r="D752" s="1">
        <v>2.028935185185185E-2</v>
      </c>
      <c r="E752" t="s">
        <v>5198</v>
      </c>
      <c r="F752" s="69" t="s">
        <v>3515</v>
      </c>
      <c r="I752" s="2"/>
      <c r="K752" s="82">
        <v>0.5847</v>
      </c>
    </row>
    <row r="753" spans="1:11" x14ac:dyDescent="0.2">
      <c r="A753" s="33">
        <v>42343</v>
      </c>
      <c r="B753" t="s">
        <v>4677</v>
      </c>
      <c r="C753" s="1" t="s">
        <v>4678</v>
      </c>
      <c r="D753" s="1">
        <v>1.9710648148148147E-2</v>
      </c>
      <c r="E753" s="5" t="s">
        <v>1788</v>
      </c>
      <c r="F753" s="69" t="s">
        <v>5537</v>
      </c>
      <c r="I753" s="2"/>
      <c r="K753" s="82">
        <v>0.60189999999999999</v>
      </c>
    </row>
    <row r="754" spans="1:11" x14ac:dyDescent="0.2">
      <c r="A754" s="33">
        <v>42336</v>
      </c>
      <c r="B754" t="s">
        <v>4677</v>
      </c>
      <c r="C754" s="1" t="s">
        <v>4678</v>
      </c>
      <c r="D754" s="1">
        <v>2.162037037037037E-2</v>
      </c>
      <c r="E754" t="s">
        <v>5198</v>
      </c>
      <c r="F754" s="69" t="s">
        <v>2540</v>
      </c>
      <c r="I754" s="2"/>
      <c r="K754" s="82">
        <v>0.54869999999999997</v>
      </c>
    </row>
    <row r="755" spans="1:11" x14ac:dyDescent="0.2">
      <c r="A755" s="33">
        <v>42322</v>
      </c>
      <c r="B755" t="s">
        <v>4677</v>
      </c>
      <c r="C755" s="1" t="s">
        <v>4678</v>
      </c>
      <c r="D755" s="1">
        <v>2.0439814814814817E-2</v>
      </c>
      <c r="E755" t="s">
        <v>5198</v>
      </c>
      <c r="F755" s="69" t="s">
        <v>3973</v>
      </c>
      <c r="I755" s="2"/>
      <c r="K755" s="82">
        <v>0.58140000000000003</v>
      </c>
    </row>
    <row r="756" spans="1:11" x14ac:dyDescent="0.2">
      <c r="A756" s="33">
        <v>42301</v>
      </c>
      <c r="B756" t="s">
        <v>4677</v>
      </c>
      <c r="C756" s="1" t="s">
        <v>4678</v>
      </c>
      <c r="D756" s="1">
        <v>1.9432870370370371E-2</v>
      </c>
      <c r="E756" t="s">
        <v>5198</v>
      </c>
      <c r="F756" s="69" t="s">
        <v>2190</v>
      </c>
      <c r="I756" s="2"/>
      <c r="K756" s="82">
        <v>0.61050000000000004</v>
      </c>
    </row>
    <row r="757" spans="1:11" x14ac:dyDescent="0.2">
      <c r="A757" s="33">
        <v>42294</v>
      </c>
      <c r="B757" t="s">
        <v>4677</v>
      </c>
      <c r="C757" s="1" t="s">
        <v>4678</v>
      </c>
      <c r="D757" s="1">
        <v>1.9699074074074074E-2</v>
      </c>
      <c r="E757" t="s">
        <v>5198</v>
      </c>
      <c r="F757" s="69" t="s">
        <v>2413</v>
      </c>
      <c r="I757" s="2"/>
      <c r="K757" s="82">
        <v>0.60219999999999996</v>
      </c>
    </row>
    <row r="758" spans="1:11" x14ac:dyDescent="0.2">
      <c r="A758" s="33">
        <v>42287</v>
      </c>
      <c r="B758" t="s">
        <v>4677</v>
      </c>
      <c r="C758" s="1" t="s">
        <v>4678</v>
      </c>
      <c r="D758" s="1">
        <v>2.0416666666666666E-2</v>
      </c>
      <c r="E758" t="s">
        <v>1788</v>
      </c>
      <c r="F758" s="69" t="s">
        <v>4188</v>
      </c>
      <c r="I758" s="2"/>
      <c r="K758" s="82">
        <v>0.58109999999999995</v>
      </c>
    </row>
    <row r="759" spans="1:11" x14ac:dyDescent="0.2">
      <c r="A759" s="33">
        <v>42280</v>
      </c>
      <c r="B759" t="s">
        <v>4677</v>
      </c>
      <c r="C759" s="1" t="s">
        <v>4678</v>
      </c>
      <c r="D759" s="1">
        <v>2.0057870370370368E-2</v>
      </c>
      <c r="E759" t="s">
        <v>5198</v>
      </c>
      <c r="F759" s="69" t="s">
        <v>3827</v>
      </c>
      <c r="I759" s="2"/>
      <c r="K759" s="82">
        <v>0.59150000000000003</v>
      </c>
    </row>
    <row r="760" spans="1:11" x14ac:dyDescent="0.2">
      <c r="A760" s="33">
        <v>42273</v>
      </c>
      <c r="B760" s="206" t="s">
        <v>4677</v>
      </c>
      <c r="C760" s="254" t="s">
        <v>4678</v>
      </c>
      <c r="D760" s="1">
        <v>2.0277777777777777E-2</v>
      </c>
      <c r="E760" t="s">
        <v>5198</v>
      </c>
      <c r="F760" s="69" t="s">
        <v>255</v>
      </c>
      <c r="I760" s="2"/>
      <c r="K760" s="82">
        <v>0.58499999999999996</v>
      </c>
    </row>
    <row r="761" spans="1:11" x14ac:dyDescent="0.2">
      <c r="A761" s="33">
        <v>42259</v>
      </c>
      <c r="B761" s="206" t="s">
        <v>4677</v>
      </c>
      <c r="C761" s="254" t="s">
        <v>4678</v>
      </c>
      <c r="D761" s="1">
        <v>1.9409722222222221E-2</v>
      </c>
      <c r="E761" t="s">
        <v>5198</v>
      </c>
      <c r="F761" s="69" t="s">
        <v>876</v>
      </c>
      <c r="K761" s="82">
        <v>0.61119999999999997</v>
      </c>
    </row>
    <row r="762" spans="1:11" x14ac:dyDescent="0.2">
      <c r="A762" s="33">
        <v>42252</v>
      </c>
      <c r="B762" s="206" t="s">
        <v>4677</v>
      </c>
      <c r="C762" s="254" t="s">
        <v>4678</v>
      </c>
      <c r="D762" s="1">
        <v>2.1053240740740744E-2</v>
      </c>
      <c r="E762" t="s">
        <v>5198</v>
      </c>
      <c r="F762" s="69" t="s">
        <v>3290</v>
      </c>
      <c r="K762" s="82">
        <v>0.5635</v>
      </c>
    </row>
    <row r="763" spans="1:11" x14ac:dyDescent="0.2">
      <c r="A763" s="33">
        <v>42245</v>
      </c>
      <c r="B763" s="206" t="s">
        <v>4677</v>
      </c>
      <c r="C763" s="254" t="s">
        <v>4678</v>
      </c>
      <c r="D763" s="1">
        <v>1.9791666666666666E-2</v>
      </c>
      <c r="E763" t="s">
        <v>5198</v>
      </c>
      <c r="F763" s="69" t="s">
        <v>876</v>
      </c>
      <c r="K763" s="82">
        <v>0.59940000000000004</v>
      </c>
    </row>
    <row r="764" spans="1:11" x14ac:dyDescent="0.2">
      <c r="A764" s="33">
        <v>42231</v>
      </c>
      <c r="B764" s="206" t="s">
        <v>4677</v>
      </c>
      <c r="C764" s="254" t="s">
        <v>4678</v>
      </c>
      <c r="D764" s="1">
        <v>2.0775462962962964E-2</v>
      </c>
      <c r="E764" t="s">
        <v>1788</v>
      </c>
      <c r="F764" s="69" t="s">
        <v>1056</v>
      </c>
      <c r="H764" t="s">
        <v>3432</v>
      </c>
      <c r="K764" s="82">
        <v>0.57099999999999995</v>
      </c>
    </row>
    <row r="765" spans="1:11" x14ac:dyDescent="0.2">
      <c r="A765" s="33">
        <v>42224</v>
      </c>
      <c r="B765" s="206" t="s">
        <v>4677</v>
      </c>
      <c r="C765" s="254" t="s">
        <v>4678</v>
      </c>
      <c r="D765" s="1">
        <v>1.9895833333333331E-2</v>
      </c>
      <c r="E765" t="s">
        <v>5198</v>
      </c>
      <c r="F765" s="69" t="s">
        <v>4403</v>
      </c>
      <c r="K765" s="82">
        <v>0.59630000000000005</v>
      </c>
    </row>
    <row r="766" spans="1:11" x14ac:dyDescent="0.2">
      <c r="A766" s="33">
        <v>42217</v>
      </c>
      <c r="B766" s="206" t="s">
        <v>4677</v>
      </c>
      <c r="C766" s="254" t="s">
        <v>4678</v>
      </c>
      <c r="D766" s="1">
        <v>2.0185185185185184E-2</v>
      </c>
      <c r="E766" t="s">
        <v>1788</v>
      </c>
      <c r="F766" s="69" t="s">
        <v>5787</v>
      </c>
      <c r="K766" s="82">
        <v>0.5877</v>
      </c>
    </row>
    <row r="767" spans="1:11" x14ac:dyDescent="0.2">
      <c r="A767" s="33">
        <v>42203</v>
      </c>
      <c r="B767" s="206" t="s">
        <v>4677</v>
      </c>
      <c r="C767" s="254" t="s">
        <v>4678</v>
      </c>
      <c r="D767" s="1">
        <v>2.0104166666666666E-2</v>
      </c>
      <c r="E767" t="s">
        <v>1788</v>
      </c>
      <c r="F767" s="69" t="s">
        <v>4471</v>
      </c>
      <c r="K767" s="82">
        <v>0.59009999999999996</v>
      </c>
    </row>
    <row r="768" spans="1:11" x14ac:dyDescent="0.2">
      <c r="A768" s="33">
        <v>42175</v>
      </c>
      <c r="B768" s="206" t="s">
        <v>4677</v>
      </c>
      <c r="C768" s="254" t="s">
        <v>4678</v>
      </c>
      <c r="D768" s="1">
        <v>2.0057870370370368E-2</v>
      </c>
      <c r="E768" t="s">
        <v>1788</v>
      </c>
      <c r="F768" s="69" t="s">
        <v>2267</v>
      </c>
      <c r="K768" s="82">
        <v>0.59150000000000003</v>
      </c>
    </row>
    <row r="769" spans="1:11" x14ac:dyDescent="0.2">
      <c r="A769" s="33">
        <v>42168</v>
      </c>
      <c r="B769" s="206" t="s">
        <v>4677</v>
      </c>
      <c r="C769" s="254" t="s">
        <v>4678</v>
      </c>
      <c r="D769" s="1">
        <v>2.0312500000000001E-2</v>
      </c>
      <c r="E769" t="s">
        <v>5198</v>
      </c>
      <c r="F769" s="69"/>
      <c r="K769" s="82">
        <v>0.58399999999999996</v>
      </c>
    </row>
    <row r="770" spans="1:11" x14ac:dyDescent="0.2">
      <c r="A770" s="33">
        <v>42161</v>
      </c>
      <c r="B770" s="197" t="s">
        <v>4677</v>
      </c>
      <c r="C770" s="265" t="s">
        <v>4678</v>
      </c>
      <c r="D770" s="1">
        <v>2.0127314814814817E-2</v>
      </c>
      <c r="E770" t="s">
        <v>5885</v>
      </c>
      <c r="F770" s="69" t="s">
        <v>2189</v>
      </c>
      <c r="K770" s="82">
        <v>0.58940000000000003</v>
      </c>
    </row>
    <row r="771" spans="1:11" x14ac:dyDescent="0.2">
      <c r="A771" s="33">
        <v>42154</v>
      </c>
      <c r="B771" s="206" t="s">
        <v>4677</v>
      </c>
      <c r="C771" s="254" t="s">
        <v>4678</v>
      </c>
      <c r="D771" s="1">
        <v>1.9803240740740739E-2</v>
      </c>
      <c r="E771" t="s">
        <v>5198</v>
      </c>
      <c r="F771" s="69" t="s">
        <v>876</v>
      </c>
      <c r="G771" s="42"/>
      <c r="H771" s="42"/>
      <c r="K771" s="82">
        <v>0.59909999999999997</v>
      </c>
    </row>
    <row r="772" spans="1:11" x14ac:dyDescent="0.2">
      <c r="A772" s="33">
        <v>42140</v>
      </c>
      <c r="B772" s="206" t="s">
        <v>4677</v>
      </c>
      <c r="C772" s="254" t="s">
        <v>4678</v>
      </c>
      <c r="D772" s="1">
        <v>2.1331018518518517E-2</v>
      </c>
      <c r="E772" t="s">
        <v>5198</v>
      </c>
      <c r="F772" s="69" t="s">
        <v>5237</v>
      </c>
      <c r="K772" s="82">
        <v>0.55620000000000003</v>
      </c>
    </row>
    <row r="773" spans="1:11" x14ac:dyDescent="0.2">
      <c r="A773" s="33">
        <v>42126</v>
      </c>
      <c r="B773" s="206" t="s">
        <v>4677</v>
      </c>
      <c r="C773" s="254" t="s">
        <v>4678</v>
      </c>
      <c r="D773" s="1">
        <v>2.0011574074074074E-2</v>
      </c>
      <c r="E773" t="s">
        <v>5198</v>
      </c>
      <c r="F773" s="69" t="s">
        <v>2629</v>
      </c>
      <c r="I773" s="42"/>
      <c r="J773" s="42"/>
      <c r="K773" s="82">
        <v>0.59279999999999999</v>
      </c>
    </row>
    <row r="774" spans="1:11" x14ac:dyDescent="0.2">
      <c r="A774" s="33">
        <v>42119</v>
      </c>
      <c r="B774" s="206" t="s">
        <v>4677</v>
      </c>
      <c r="C774" s="254" t="s">
        <v>4678</v>
      </c>
      <c r="D774" s="1">
        <v>2.0578703703703703E-2</v>
      </c>
      <c r="E774" t="s">
        <v>1788</v>
      </c>
      <c r="F774" s="69" t="s">
        <v>1924</v>
      </c>
      <c r="K774" s="82">
        <v>0.57650000000000001</v>
      </c>
    </row>
    <row r="775" spans="1:11" x14ac:dyDescent="0.2">
      <c r="A775" s="33">
        <v>42112</v>
      </c>
      <c r="B775" s="206" t="s">
        <v>4677</v>
      </c>
      <c r="C775" s="254" t="s">
        <v>4678</v>
      </c>
      <c r="D775" s="1">
        <v>2.0798611111111111E-2</v>
      </c>
      <c r="E775" t="s">
        <v>5198</v>
      </c>
      <c r="F775" s="69" t="s">
        <v>3358</v>
      </c>
      <c r="K775" s="82">
        <v>0.57040000000000002</v>
      </c>
    </row>
    <row r="776" spans="1:11" x14ac:dyDescent="0.2">
      <c r="A776" s="33">
        <v>42105</v>
      </c>
      <c r="B776" s="197" t="s">
        <v>4677</v>
      </c>
      <c r="C776" s="265" t="s">
        <v>4678</v>
      </c>
      <c r="D776" s="1">
        <v>1.9884259259259258E-2</v>
      </c>
      <c r="E776" t="s">
        <v>1788</v>
      </c>
      <c r="F776" s="69" t="s">
        <v>4013</v>
      </c>
      <c r="H776" t="s">
        <v>4093</v>
      </c>
      <c r="K776" s="82">
        <v>0.59636</v>
      </c>
    </row>
    <row r="777" spans="1:11" x14ac:dyDescent="0.2">
      <c r="A777" s="33">
        <v>42007</v>
      </c>
      <c r="B777" t="s">
        <v>1798</v>
      </c>
      <c r="C777" s="1" t="s">
        <v>3006</v>
      </c>
      <c r="D777" s="1">
        <v>1.9398148148148147E-2</v>
      </c>
      <c r="E777" t="s">
        <v>1822</v>
      </c>
      <c r="F777" s="42" t="s">
        <v>4279</v>
      </c>
      <c r="K777" s="82">
        <v>0.54769999999999996</v>
      </c>
    </row>
    <row r="778" spans="1:11" x14ac:dyDescent="0.2">
      <c r="A778" s="33">
        <v>42287</v>
      </c>
      <c r="B778" t="s">
        <v>5637</v>
      </c>
      <c r="C778" s="1" t="s">
        <v>5638</v>
      </c>
      <c r="D778" s="1" t="s">
        <v>4642</v>
      </c>
      <c r="E778" s="5" t="s">
        <v>2593</v>
      </c>
      <c r="F778" s="69" t="s">
        <v>5508</v>
      </c>
      <c r="I778" s="2"/>
      <c r="K778" s="82"/>
    </row>
    <row r="779" spans="1:11" x14ac:dyDescent="0.2">
      <c r="A779" s="33">
        <v>42280</v>
      </c>
      <c r="B779" t="s">
        <v>5637</v>
      </c>
      <c r="C779" s="1" t="s">
        <v>5638</v>
      </c>
      <c r="D779" s="1">
        <v>1.5682870370370371E-2</v>
      </c>
      <c r="E779" t="s">
        <v>5710</v>
      </c>
      <c r="F779" s="69" t="s">
        <v>3358</v>
      </c>
      <c r="I779" s="2"/>
      <c r="K779" s="82">
        <v>0.85899999999999999</v>
      </c>
    </row>
    <row r="780" spans="1:11" x14ac:dyDescent="0.2">
      <c r="A780" s="33">
        <v>42259</v>
      </c>
      <c r="B780" s="53" t="s">
        <v>5637</v>
      </c>
      <c r="C780" s="54" t="s">
        <v>5638</v>
      </c>
      <c r="D780" s="1">
        <v>1.579861111111111E-2</v>
      </c>
      <c r="E780" s="5" t="s">
        <v>2593</v>
      </c>
      <c r="F780" s="42" t="s">
        <v>3459</v>
      </c>
      <c r="K780" s="82">
        <v>0.85270000000000001</v>
      </c>
    </row>
    <row r="781" spans="1:11" x14ac:dyDescent="0.2">
      <c r="A781" s="33">
        <v>42238</v>
      </c>
      <c r="B781" s="53" t="s">
        <v>5637</v>
      </c>
      <c r="C781" s="54" t="s">
        <v>5638</v>
      </c>
      <c r="D781" s="1" t="s">
        <v>787</v>
      </c>
      <c r="E781" s="5" t="s">
        <v>2593</v>
      </c>
      <c r="F781" s="69" t="s">
        <v>1549</v>
      </c>
      <c r="K781" s="82"/>
    </row>
    <row r="782" spans="1:11" x14ac:dyDescent="0.2">
      <c r="A782" s="33">
        <v>42154</v>
      </c>
      <c r="B782" s="53" t="s">
        <v>398</v>
      </c>
      <c r="C782" s="54" t="s">
        <v>4943</v>
      </c>
      <c r="D782" s="1">
        <v>2.9201388888888888E-2</v>
      </c>
      <c r="E782" t="s">
        <v>397</v>
      </c>
      <c r="F782" s="69" t="s">
        <v>364</v>
      </c>
      <c r="G782" s="42"/>
      <c r="H782" s="42"/>
      <c r="K782" s="82">
        <v>0.44230000000000003</v>
      </c>
    </row>
    <row r="783" spans="1:11" x14ac:dyDescent="0.2">
      <c r="A783" s="33">
        <v>42364</v>
      </c>
      <c r="B783" t="s">
        <v>2137</v>
      </c>
      <c r="C783" s="1" t="s">
        <v>4943</v>
      </c>
      <c r="D783" s="1">
        <v>3.1585648148148147E-2</v>
      </c>
      <c r="E783" t="s">
        <v>5544</v>
      </c>
      <c r="F783" s="69" t="s">
        <v>5747</v>
      </c>
      <c r="I783" s="2"/>
      <c r="K783" s="82">
        <v>0.34660000000000002</v>
      </c>
    </row>
    <row r="784" spans="1:11" x14ac:dyDescent="0.2">
      <c r="A784" s="33">
        <v>42343</v>
      </c>
      <c r="B784" t="s">
        <v>2137</v>
      </c>
      <c r="C784" s="1" t="s">
        <v>4943</v>
      </c>
      <c r="D784" s="1">
        <v>1.5752314814814813E-2</v>
      </c>
      <c r="E784" t="s">
        <v>5544</v>
      </c>
      <c r="F784" s="69" t="s">
        <v>3914</v>
      </c>
      <c r="I784" s="2"/>
      <c r="K784" s="82">
        <v>0.69510000000000005</v>
      </c>
    </row>
    <row r="785" spans="1:11" x14ac:dyDescent="0.2">
      <c r="A785" s="33">
        <v>42336</v>
      </c>
      <c r="B785" t="s">
        <v>2137</v>
      </c>
      <c r="C785" s="1" t="s">
        <v>4943</v>
      </c>
      <c r="D785" s="1">
        <v>2.0543981481481479E-2</v>
      </c>
      <c r="E785" t="s">
        <v>5544</v>
      </c>
      <c r="F785" s="69" t="s">
        <v>1992</v>
      </c>
      <c r="I785" s="2"/>
      <c r="K785" s="82">
        <v>0.53300000000000003</v>
      </c>
    </row>
    <row r="786" spans="1:11" x14ac:dyDescent="0.2">
      <c r="A786" s="33">
        <v>42315</v>
      </c>
      <c r="B786" t="s">
        <v>2137</v>
      </c>
      <c r="C786" s="1" t="s">
        <v>4943</v>
      </c>
      <c r="D786" s="1">
        <v>1.7013888888888887E-2</v>
      </c>
      <c r="E786" t="s">
        <v>803</v>
      </c>
      <c r="F786" s="69" t="s">
        <v>2263</v>
      </c>
      <c r="I786" s="2"/>
      <c r="K786" s="82">
        <v>0.64249999999999996</v>
      </c>
    </row>
    <row r="787" spans="1:11" x14ac:dyDescent="0.2">
      <c r="A787" s="33">
        <v>42308</v>
      </c>
      <c r="B787" t="s">
        <v>2137</v>
      </c>
      <c r="C787" s="1" t="s">
        <v>4943</v>
      </c>
      <c r="D787" t="s">
        <v>787</v>
      </c>
      <c r="E787" s="5" t="s">
        <v>5544</v>
      </c>
      <c r="F787" s="108" t="s">
        <v>1193</v>
      </c>
      <c r="G787" s="5"/>
      <c r="H787" s="2"/>
      <c r="I787" s="2"/>
    </row>
    <row r="788" spans="1:11" x14ac:dyDescent="0.2">
      <c r="A788" s="33">
        <v>42294</v>
      </c>
      <c r="B788" t="s">
        <v>2137</v>
      </c>
      <c r="C788" s="1" t="s">
        <v>4943</v>
      </c>
      <c r="D788" s="1">
        <v>1.7187500000000001E-2</v>
      </c>
      <c r="E788" t="s">
        <v>5544</v>
      </c>
      <c r="F788" s="69" t="s">
        <v>2737</v>
      </c>
      <c r="I788" s="2"/>
      <c r="K788" s="82">
        <v>0.63700000000000001</v>
      </c>
    </row>
    <row r="789" spans="1:11" x14ac:dyDescent="0.2">
      <c r="A789" s="33">
        <v>42280</v>
      </c>
      <c r="B789" t="s">
        <v>2137</v>
      </c>
      <c r="C789" s="1" t="s">
        <v>4943</v>
      </c>
      <c r="D789" s="1">
        <v>1.6076388888888887E-2</v>
      </c>
      <c r="E789" t="s">
        <v>5544</v>
      </c>
      <c r="F789" s="69" t="s">
        <v>5474</v>
      </c>
      <c r="I789" s="2"/>
      <c r="K789" s="82">
        <v>0.68110000000000004</v>
      </c>
    </row>
    <row r="790" spans="1:11" x14ac:dyDescent="0.2">
      <c r="A790" s="33">
        <v>42259</v>
      </c>
      <c r="B790" t="s">
        <v>2137</v>
      </c>
      <c r="C790" s="1" t="s">
        <v>4943</v>
      </c>
      <c r="D790" s="1" t="s">
        <v>787</v>
      </c>
      <c r="E790" t="s">
        <v>5544</v>
      </c>
      <c r="F790" s="69"/>
      <c r="K790" s="82"/>
    </row>
    <row r="791" spans="1:11" x14ac:dyDescent="0.2">
      <c r="A791" s="33">
        <v>42252</v>
      </c>
      <c r="B791" t="s">
        <v>2137</v>
      </c>
      <c r="C791" s="1" t="s">
        <v>4943</v>
      </c>
      <c r="D791" s="1">
        <v>1.5046296296296295E-2</v>
      </c>
      <c r="E791" t="s">
        <v>4004</v>
      </c>
      <c r="F791" s="69" t="s">
        <v>15</v>
      </c>
      <c r="K791" s="82">
        <v>0.72770000000000001</v>
      </c>
    </row>
    <row r="792" spans="1:11" x14ac:dyDescent="0.2">
      <c r="A792" s="33">
        <v>42245</v>
      </c>
      <c r="B792" t="s">
        <v>2137</v>
      </c>
      <c r="C792" s="1" t="s">
        <v>4943</v>
      </c>
      <c r="D792" s="1">
        <v>1.7719907407407406E-2</v>
      </c>
      <c r="E792" t="s">
        <v>5544</v>
      </c>
      <c r="F792" s="69" t="s">
        <v>4418</v>
      </c>
      <c r="K792" s="82">
        <v>0.6179</v>
      </c>
    </row>
    <row r="793" spans="1:11" x14ac:dyDescent="0.2">
      <c r="A793" s="33">
        <v>42238</v>
      </c>
      <c r="B793" t="s">
        <v>2137</v>
      </c>
      <c r="C793" s="1" t="s">
        <v>4943</v>
      </c>
      <c r="D793" s="1">
        <v>1.5706018518518518E-2</v>
      </c>
      <c r="E793" s="5" t="s">
        <v>1401</v>
      </c>
      <c r="F793" s="69" t="s">
        <v>3295</v>
      </c>
      <c r="K793" s="82">
        <v>0.69710000000000005</v>
      </c>
    </row>
    <row r="794" spans="1:11" x14ac:dyDescent="0.2">
      <c r="A794" s="33">
        <v>42231</v>
      </c>
      <c r="B794" t="s">
        <v>2137</v>
      </c>
      <c r="C794" s="1" t="s">
        <v>4943</v>
      </c>
      <c r="D794" s="1" t="s">
        <v>787</v>
      </c>
      <c r="E794" t="s">
        <v>5544</v>
      </c>
      <c r="F794" s="69" t="s">
        <v>4061</v>
      </c>
      <c r="K794" s="82"/>
    </row>
    <row r="795" spans="1:11" x14ac:dyDescent="0.2">
      <c r="A795" s="33">
        <v>42224</v>
      </c>
      <c r="B795" t="s">
        <v>2137</v>
      </c>
      <c r="C795" s="1" t="s">
        <v>4943</v>
      </c>
      <c r="D795" s="1">
        <v>1.6608796296296299E-2</v>
      </c>
      <c r="E795" t="s">
        <v>2326</v>
      </c>
      <c r="F795" s="69" t="s">
        <v>2330</v>
      </c>
      <c r="K795" s="82">
        <v>0.65920000000000001</v>
      </c>
    </row>
    <row r="796" spans="1:11" x14ac:dyDescent="0.2">
      <c r="A796" s="33">
        <v>42217</v>
      </c>
      <c r="B796" t="s">
        <v>2137</v>
      </c>
      <c r="C796" s="1" t="s">
        <v>4943</v>
      </c>
      <c r="D796" s="1">
        <v>1.5694444444444445E-2</v>
      </c>
      <c r="E796" t="s">
        <v>5544</v>
      </c>
      <c r="F796" s="69"/>
      <c r="K796" s="82">
        <v>0.6976</v>
      </c>
    </row>
    <row r="797" spans="1:11" x14ac:dyDescent="0.2">
      <c r="A797" s="33">
        <v>42210</v>
      </c>
      <c r="B797" t="s">
        <v>2137</v>
      </c>
      <c r="C797" s="1" t="s">
        <v>4943</v>
      </c>
      <c r="D797" s="1">
        <v>1.6516203703703703E-2</v>
      </c>
      <c r="E797" t="s">
        <v>5544</v>
      </c>
      <c r="F797" s="69" t="s">
        <v>1098</v>
      </c>
      <c r="K797" s="82">
        <v>0.66290000000000004</v>
      </c>
    </row>
    <row r="798" spans="1:11" x14ac:dyDescent="0.2">
      <c r="A798" s="33">
        <v>42203</v>
      </c>
      <c r="B798" t="s">
        <v>2137</v>
      </c>
      <c r="C798" s="1" t="s">
        <v>4943</v>
      </c>
      <c r="D798" s="1">
        <v>1.6921296296296299E-2</v>
      </c>
      <c r="E798" t="s">
        <v>5544</v>
      </c>
      <c r="F798" s="69" t="s">
        <v>5622</v>
      </c>
      <c r="K798" s="82">
        <v>0.64710000000000001</v>
      </c>
    </row>
    <row r="799" spans="1:11" x14ac:dyDescent="0.2">
      <c r="A799" s="33">
        <v>42196</v>
      </c>
      <c r="B799" t="s">
        <v>2137</v>
      </c>
      <c r="C799" s="1" t="s">
        <v>4943</v>
      </c>
      <c r="D799" s="1">
        <v>1.7430555555555557E-2</v>
      </c>
      <c r="E799" t="s">
        <v>5544</v>
      </c>
      <c r="F799" s="69"/>
      <c r="K799" s="82">
        <v>0.62819999999999998</v>
      </c>
    </row>
    <row r="800" spans="1:11" x14ac:dyDescent="0.2">
      <c r="A800" s="33">
        <v>42182</v>
      </c>
      <c r="B800" t="s">
        <v>2137</v>
      </c>
      <c r="C800" s="1" t="s">
        <v>4943</v>
      </c>
      <c r="D800" s="1">
        <v>1.8553240740740742E-2</v>
      </c>
      <c r="E800" t="s">
        <v>5544</v>
      </c>
      <c r="F800" s="69"/>
      <c r="K800" s="82">
        <v>0.59009999999999996</v>
      </c>
    </row>
    <row r="801" spans="1:11" x14ac:dyDescent="0.2">
      <c r="A801" s="33">
        <v>42161</v>
      </c>
      <c r="B801" t="s">
        <v>2137</v>
      </c>
      <c r="C801" s="1" t="s">
        <v>4943</v>
      </c>
      <c r="D801" s="1">
        <v>1.5821759259259261E-2</v>
      </c>
      <c r="E801" t="s">
        <v>5544</v>
      </c>
      <c r="F801" s="69"/>
      <c r="H801" t="s">
        <v>2938</v>
      </c>
      <c r="K801" s="82">
        <v>0.69199999999999995</v>
      </c>
    </row>
    <row r="802" spans="1:11" x14ac:dyDescent="0.2">
      <c r="A802" s="33">
        <v>42154</v>
      </c>
      <c r="B802" t="s">
        <v>2137</v>
      </c>
      <c r="C802" s="1" t="s">
        <v>4943</v>
      </c>
      <c r="D802" s="1">
        <v>2.9143518518518517E-2</v>
      </c>
      <c r="E802" t="s">
        <v>397</v>
      </c>
      <c r="F802" s="69" t="s">
        <v>917</v>
      </c>
      <c r="G802" s="6"/>
      <c r="H802" s="6"/>
      <c r="K802" s="82">
        <v>0.37569999999999998</v>
      </c>
    </row>
    <row r="803" spans="1:11" x14ac:dyDescent="0.2">
      <c r="A803" s="33">
        <v>42147</v>
      </c>
      <c r="B803" t="s">
        <v>2137</v>
      </c>
      <c r="C803" s="1" t="s">
        <v>4943</v>
      </c>
      <c r="D803" s="1">
        <v>1.6180555555555556E-2</v>
      </c>
      <c r="E803" t="s">
        <v>5544</v>
      </c>
      <c r="F803" s="69"/>
      <c r="K803" s="82">
        <v>0.67669999999999997</v>
      </c>
    </row>
    <row r="804" spans="1:11" x14ac:dyDescent="0.2">
      <c r="A804" s="33">
        <v>42140</v>
      </c>
      <c r="B804" t="s">
        <v>2137</v>
      </c>
      <c r="C804" s="1" t="s">
        <v>4943</v>
      </c>
      <c r="D804" s="32">
        <v>1.6805555555555556E-2</v>
      </c>
      <c r="E804" s="5" t="s">
        <v>5544</v>
      </c>
      <c r="F804" s="108" t="s">
        <v>3709</v>
      </c>
      <c r="K804" s="82">
        <v>0.65149999999999997</v>
      </c>
    </row>
    <row r="805" spans="1:11" x14ac:dyDescent="0.2">
      <c r="A805" s="33">
        <v>42133</v>
      </c>
      <c r="B805" t="s">
        <v>2137</v>
      </c>
      <c r="C805" s="1" t="s">
        <v>4943</v>
      </c>
      <c r="D805" t="s">
        <v>3334</v>
      </c>
      <c r="E805" t="s">
        <v>5544</v>
      </c>
      <c r="F805" s="69" t="s">
        <v>4061</v>
      </c>
      <c r="H805" t="s">
        <v>5197</v>
      </c>
      <c r="K805" s="82"/>
    </row>
    <row r="806" spans="1:11" x14ac:dyDescent="0.2">
      <c r="A806" s="33">
        <v>42126</v>
      </c>
      <c r="B806" t="s">
        <v>2137</v>
      </c>
      <c r="C806" s="1" t="s">
        <v>4943</v>
      </c>
      <c r="D806" s="1">
        <v>1.5138888888888889E-2</v>
      </c>
      <c r="E806" t="s">
        <v>1401</v>
      </c>
      <c r="F806" s="69" t="s">
        <v>3279</v>
      </c>
      <c r="I806" s="42"/>
      <c r="J806" s="42"/>
      <c r="K806" s="82">
        <v>0.72319999999999995</v>
      </c>
    </row>
    <row r="807" spans="1:11" x14ac:dyDescent="0.2">
      <c r="A807" s="33">
        <v>42119</v>
      </c>
      <c r="B807" t="s">
        <v>2137</v>
      </c>
      <c r="C807" s="1" t="s">
        <v>4943</v>
      </c>
      <c r="D807" s="1">
        <v>3.0486111111111113E-2</v>
      </c>
      <c r="E807" t="s">
        <v>5544</v>
      </c>
      <c r="F807" s="69" t="s">
        <v>1238</v>
      </c>
      <c r="K807" s="82">
        <v>0.35909999999999997</v>
      </c>
    </row>
    <row r="808" spans="1:11" x14ac:dyDescent="0.2">
      <c r="A808" s="33">
        <v>42112</v>
      </c>
      <c r="B808" t="s">
        <v>2137</v>
      </c>
      <c r="C808" s="1" t="s">
        <v>4943</v>
      </c>
      <c r="D808" s="1">
        <v>1.6909722222222225E-2</v>
      </c>
      <c r="E808" t="s">
        <v>5544</v>
      </c>
      <c r="F808" s="69" t="s">
        <v>4383</v>
      </c>
      <c r="G808" s="6"/>
      <c r="H808" s="6"/>
      <c r="K808" s="82">
        <v>0.64749999999999996</v>
      </c>
    </row>
    <row r="809" spans="1:11" x14ac:dyDescent="0.2">
      <c r="A809" s="33">
        <v>42105</v>
      </c>
      <c r="B809" t="s">
        <v>2137</v>
      </c>
      <c r="C809" s="1" t="s">
        <v>4943</v>
      </c>
      <c r="D809" s="1">
        <v>1.6932870370370369E-2</v>
      </c>
      <c r="E809" t="s">
        <v>5544</v>
      </c>
      <c r="F809" s="69" t="s">
        <v>2061</v>
      </c>
      <c r="G809" s="6"/>
      <c r="H809" s="6"/>
      <c r="K809" s="82">
        <v>0.64659999999999995</v>
      </c>
    </row>
    <row r="810" spans="1:11" x14ac:dyDescent="0.2">
      <c r="A810" s="33">
        <v>42091</v>
      </c>
      <c r="B810" t="s">
        <v>2137</v>
      </c>
      <c r="C810" s="1" t="s">
        <v>4943</v>
      </c>
      <c r="D810" s="1">
        <v>1.6296296296296295E-2</v>
      </c>
      <c r="E810" t="s">
        <v>5456</v>
      </c>
      <c r="F810" s="42" t="s">
        <v>1237</v>
      </c>
      <c r="K810" s="82">
        <v>0.67190000000000005</v>
      </c>
    </row>
    <row r="811" spans="1:11" x14ac:dyDescent="0.2">
      <c r="A811" s="33">
        <v>42084</v>
      </c>
      <c r="B811" t="s">
        <v>2137</v>
      </c>
      <c r="C811" s="1" t="s">
        <v>4943</v>
      </c>
      <c r="D811" s="1">
        <v>1.7060185185185185E-2</v>
      </c>
      <c r="E811" t="s">
        <v>5453</v>
      </c>
      <c r="F811" s="42" t="s">
        <v>4589</v>
      </c>
      <c r="K811" s="82">
        <v>0.64180000000000004</v>
      </c>
    </row>
    <row r="812" spans="1:11" x14ac:dyDescent="0.2">
      <c r="A812" s="33">
        <v>42077</v>
      </c>
      <c r="B812" t="s">
        <v>2137</v>
      </c>
      <c r="C812" s="1" t="s">
        <v>4943</v>
      </c>
      <c r="D812" s="1">
        <v>1.6168981481481482E-2</v>
      </c>
      <c r="E812" t="s">
        <v>5544</v>
      </c>
      <c r="F812" s="69" t="s">
        <v>45</v>
      </c>
      <c r="I812" s="42"/>
      <c r="J812" s="42"/>
      <c r="K812" s="82">
        <v>0.6714</v>
      </c>
    </row>
    <row r="813" spans="1:11" x14ac:dyDescent="0.2">
      <c r="A813" s="33">
        <v>42063</v>
      </c>
      <c r="B813" t="s">
        <v>2137</v>
      </c>
      <c r="C813" s="1" t="s">
        <v>4943</v>
      </c>
      <c r="D813" s="1">
        <v>2.0891203703703703E-2</v>
      </c>
      <c r="E813" t="s">
        <v>5544</v>
      </c>
      <c r="F813" s="42"/>
      <c r="K813" s="82">
        <v>0.51970000000000005</v>
      </c>
    </row>
    <row r="814" spans="1:11" x14ac:dyDescent="0.2">
      <c r="A814" s="33">
        <v>42042</v>
      </c>
      <c r="B814" t="s">
        <v>2137</v>
      </c>
      <c r="C814" s="1" t="s">
        <v>4943</v>
      </c>
      <c r="D814" s="1">
        <v>1.5960648148148151E-2</v>
      </c>
      <c r="E814" t="s">
        <v>5544</v>
      </c>
      <c r="F814" s="42" t="s">
        <v>2747</v>
      </c>
      <c r="K814" s="82">
        <v>0.68020000000000003</v>
      </c>
    </row>
    <row r="815" spans="1:11" x14ac:dyDescent="0.2">
      <c r="A815" s="33">
        <v>42035</v>
      </c>
      <c r="B815" t="s">
        <v>2137</v>
      </c>
      <c r="C815" s="1" t="s">
        <v>4943</v>
      </c>
      <c r="D815" s="1">
        <v>1.6053240740740739E-2</v>
      </c>
      <c r="E815" t="s">
        <v>1401</v>
      </c>
      <c r="F815" s="42" t="s">
        <v>5450</v>
      </c>
      <c r="G815" s="42"/>
      <c r="H815" s="42"/>
      <c r="K815" s="82">
        <v>0.67630000000000001</v>
      </c>
    </row>
    <row r="816" spans="1:11" x14ac:dyDescent="0.2">
      <c r="A816" s="33">
        <v>42014</v>
      </c>
      <c r="B816" t="s">
        <v>2137</v>
      </c>
      <c r="C816" s="1" t="s">
        <v>4943</v>
      </c>
      <c r="D816" s="1">
        <v>1.7025462962962961E-2</v>
      </c>
      <c r="E816" t="s">
        <v>2147</v>
      </c>
      <c r="F816" s="42" t="s">
        <v>1676</v>
      </c>
      <c r="K816" s="82">
        <v>0.63770000000000004</v>
      </c>
    </row>
    <row r="817" spans="1:19" x14ac:dyDescent="0.2">
      <c r="A817" s="33">
        <v>42007</v>
      </c>
      <c r="B817" t="s">
        <v>2137</v>
      </c>
      <c r="C817" s="1" t="s">
        <v>4943</v>
      </c>
      <c r="D817" s="1">
        <v>1.699074074074074E-2</v>
      </c>
      <c r="E817" t="s">
        <v>5544</v>
      </c>
      <c r="F817" s="42" t="s">
        <v>4940</v>
      </c>
      <c r="K817" s="82">
        <v>0.63900000000000001</v>
      </c>
    </row>
    <row r="818" spans="1:19" x14ac:dyDescent="0.2">
      <c r="A818" s="33">
        <v>42364</v>
      </c>
      <c r="B818" t="s">
        <v>2478</v>
      </c>
      <c r="C818" s="1" t="s">
        <v>2479</v>
      </c>
      <c r="D818" s="1">
        <v>1.5011574074074075E-2</v>
      </c>
      <c r="E818" t="s">
        <v>3167</v>
      </c>
      <c r="F818" s="69" t="s">
        <v>1203</v>
      </c>
      <c r="I818" s="2"/>
      <c r="K818" s="82">
        <v>0.68230000000000002</v>
      </c>
      <c r="M818" t="s">
        <v>1204</v>
      </c>
    </row>
    <row r="819" spans="1:19" x14ac:dyDescent="0.2">
      <c r="A819" s="33">
        <v>42363</v>
      </c>
      <c r="B819" t="s">
        <v>2478</v>
      </c>
      <c r="C819" s="1" t="s">
        <v>2479</v>
      </c>
      <c r="D819" s="1">
        <v>1.7789351851851851E-2</v>
      </c>
      <c r="E819" t="s">
        <v>3167</v>
      </c>
      <c r="F819" s="69"/>
      <c r="I819" s="2"/>
      <c r="K819" s="82">
        <v>0.57579999999999998</v>
      </c>
    </row>
    <row r="820" spans="1:19" x14ac:dyDescent="0.2">
      <c r="A820" s="33">
        <v>42357</v>
      </c>
      <c r="B820" t="s">
        <v>2478</v>
      </c>
      <c r="C820" s="1" t="s">
        <v>2479</v>
      </c>
      <c r="D820" s="1">
        <v>1.4560185185185183E-2</v>
      </c>
      <c r="E820" t="s">
        <v>3167</v>
      </c>
      <c r="F820" s="69" t="s">
        <v>1685</v>
      </c>
      <c r="I820" s="2"/>
      <c r="K820" s="82">
        <v>0.70350000000000001</v>
      </c>
      <c r="S820" s="80"/>
    </row>
    <row r="821" spans="1:19" x14ac:dyDescent="0.2">
      <c r="A821" s="33">
        <v>42350</v>
      </c>
      <c r="B821" t="s">
        <v>2478</v>
      </c>
      <c r="C821" s="1" t="s">
        <v>2479</v>
      </c>
      <c r="D821" s="1">
        <v>1.4606481481481482E-2</v>
      </c>
      <c r="E821" t="s">
        <v>3167</v>
      </c>
      <c r="F821" s="69" t="s">
        <v>4703</v>
      </c>
      <c r="I821" s="2"/>
      <c r="K821" s="82">
        <v>0.70130000000000003</v>
      </c>
    </row>
    <row r="822" spans="1:19" x14ac:dyDescent="0.2">
      <c r="A822" s="33">
        <v>42343</v>
      </c>
      <c r="B822" t="s">
        <v>2478</v>
      </c>
      <c r="C822" s="1" t="s">
        <v>2479</v>
      </c>
      <c r="D822" s="1">
        <v>1.7314814814814814E-2</v>
      </c>
      <c r="E822" s="5" t="s">
        <v>3167</v>
      </c>
      <c r="F822" s="69" t="s">
        <v>741</v>
      </c>
      <c r="I822" s="2"/>
      <c r="K822" s="82">
        <v>0.59160000000000001</v>
      </c>
    </row>
    <row r="823" spans="1:19" x14ac:dyDescent="0.2">
      <c r="A823" s="33">
        <v>42336</v>
      </c>
      <c r="B823" t="s">
        <v>2478</v>
      </c>
      <c r="C823" s="1" t="s">
        <v>2479</v>
      </c>
      <c r="D823" s="1">
        <v>1.4976851851851852E-2</v>
      </c>
      <c r="E823" t="s">
        <v>3167</v>
      </c>
      <c r="F823" s="69" t="s">
        <v>3394</v>
      </c>
      <c r="I823" s="2"/>
      <c r="K823" s="82">
        <v>0.68389999999999995</v>
      </c>
    </row>
    <row r="824" spans="1:19" x14ac:dyDescent="0.2">
      <c r="A824" s="34">
        <v>42329</v>
      </c>
      <c r="B824" t="s">
        <v>2478</v>
      </c>
      <c r="C824" s="1" t="s">
        <v>2479</v>
      </c>
      <c r="D824" s="1">
        <v>1.6828703703703703E-2</v>
      </c>
      <c r="E824" t="s">
        <v>3167</v>
      </c>
      <c r="F824" s="69" t="s">
        <v>4803</v>
      </c>
      <c r="I824" s="2"/>
      <c r="K824" s="82">
        <v>0.60870000000000002</v>
      </c>
    </row>
    <row r="825" spans="1:19" x14ac:dyDescent="0.2">
      <c r="A825" s="33">
        <v>42322</v>
      </c>
      <c r="B825" t="s">
        <v>2478</v>
      </c>
      <c r="C825" s="1" t="s">
        <v>2479</v>
      </c>
      <c r="D825" s="1">
        <v>1.4409722222222221E-2</v>
      </c>
      <c r="E825" t="s">
        <v>3528</v>
      </c>
      <c r="F825" s="69" t="s">
        <v>5355</v>
      </c>
      <c r="I825" s="2"/>
      <c r="K825" s="82">
        <v>0.71079999999999999</v>
      </c>
    </row>
    <row r="826" spans="1:19" x14ac:dyDescent="0.2">
      <c r="A826" s="33">
        <v>42315</v>
      </c>
      <c r="B826" t="s">
        <v>2478</v>
      </c>
      <c r="C826" s="1" t="s">
        <v>2479</v>
      </c>
      <c r="D826" s="1">
        <v>1.5416666666666667E-2</v>
      </c>
      <c r="E826" t="s">
        <v>3167</v>
      </c>
      <c r="F826" s="69" t="s">
        <v>2043</v>
      </c>
      <c r="I826" s="2"/>
      <c r="K826" s="82">
        <v>0.66439999999999999</v>
      </c>
    </row>
    <row r="827" spans="1:19" x14ac:dyDescent="0.2">
      <c r="A827" s="33">
        <v>42308</v>
      </c>
      <c r="B827" t="s">
        <v>2478</v>
      </c>
      <c r="C827" s="1" t="s">
        <v>2479</v>
      </c>
      <c r="D827" s="1">
        <v>1.5590277777777778E-2</v>
      </c>
      <c r="E827" t="s">
        <v>3344</v>
      </c>
      <c r="F827" s="69" t="s">
        <v>2952</v>
      </c>
      <c r="I827" s="2"/>
      <c r="K827" s="82">
        <v>0.65700000000000003</v>
      </c>
    </row>
    <row r="828" spans="1:19" x14ac:dyDescent="0.2">
      <c r="A828" s="33">
        <v>42301</v>
      </c>
      <c r="B828" t="s">
        <v>2478</v>
      </c>
      <c r="C828" s="1" t="s">
        <v>2479</v>
      </c>
      <c r="D828" s="1">
        <v>1.9479166666666669E-2</v>
      </c>
      <c r="E828" t="s">
        <v>4535</v>
      </c>
      <c r="F828" s="69" t="s">
        <v>2765</v>
      </c>
      <c r="I828" s="2"/>
      <c r="K828" s="82">
        <v>0.52580000000000005</v>
      </c>
    </row>
    <row r="829" spans="1:19" x14ac:dyDescent="0.2">
      <c r="A829" s="33">
        <v>42287</v>
      </c>
      <c r="B829" t="s">
        <v>2478</v>
      </c>
      <c r="C829" s="1" t="s">
        <v>2479</v>
      </c>
      <c r="D829" s="1">
        <v>1.4479166666666668E-2</v>
      </c>
      <c r="E829" t="s">
        <v>3912</v>
      </c>
      <c r="F829" s="69" t="s">
        <v>4187</v>
      </c>
      <c r="I829" s="2"/>
      <c r="K829" s="82">
        <v>0.70740000000000003</v>
      </c>
    </row>
    <row r="830" spans="1:19" x14ac:dyDescent="0.2">
      <c r="A830" s="33">
        <v>42280</v>
      </c>
      <c r="B830" t="s">
        <v>2478</v>
      </c>
      <c r="C830" s="1" t="s">
        <v>2479</v>
      </c>
      <c r="D830" s="1">
        <v>1.3819444444444445E-2</v>
      </c>
      <c r="E830" t="s">
        <v>3167</v>
      </c>
      <c r="F830" s="69" t="s">
        <v>2056</v>
      </c>
      <c r="I830" s="2"/>
      <c r="K830" s="82">
        <v>0.74119999999999997</v>
      </c>
    </row>
    <row r="831" spans="1:19" x14ac:dyDescent="0.2">
      <c r="A831" s="33">
        <v>42273</v>
      </c>
      <c r="B831" t="s">
        <v>2478</v>
      </c>
      <c r="C831" s="1" t="s">
        <v>2479</v>
      </c>
      <c r="D831" s="1">
        <v>1.4571759259259258E-2</v>
      </c>
      <c r="E831" s="5" t="s">
        <v>3167</v>
      </c>
      <c r="F831" s="69" t="s">
        <v>395</v>
      </c>
      <c r="I831" s="2"/>
      <c r="K831" s="82">
        <v>0.70289999999999997</v>
      </c>
    </row>
    <row r="832" spans="1:19" x14ac:dyDescent="0.2">
      <c r="A832" s="33">
        <v>42266</v>
      </c>
      <c r="B832" t="s">
        <v>2478</v>
      </c>
      <c r="C832" s="1" t="s">
        <v>2479</v>
      </c>
      <c r="D832" s="1">
        <v>1.4212962962962962E-2</v>
      </c>
      <c r="E832" t="s">
        <v>3167</v>
      </c>
      <c r="F832" s="69" t="s">
        <v>5378</v>
      </c>
      <c r="K832" s="82">
        <v>0.72070000000000001</v>
      </c>
    </row>
    <row r="833" spans="1:11" x14ac:dyDescent="0.2">
      <c r="A833" s="33">
        <v>42259</v>
      </c>
      <c r="B833" t="s">
        <v>2478</v>
      </c>
      <c r="C833" s="1" t="s">
        <v>2479</v>
      </c>
      <c r="D833" s="1">
        <v>1.7638888888888888E-2</v>
      </c>
      <c r="E833" t="s">
        <v>3167</v>
      </c>
      <c r="F833" s="69"/>
      <c r="K833" s="82">
        <v>0.58069999999999999</v>
      </c>
    </row>
    <row r="834" spans="1:11" x14ac:dyDescent="0.2">
      <c r="A834" s="33">
        <v>42252</v>
      </c>
      <c r="B834" t="s">
        <v>2478</v>
      </c>
      <c r="C834" s="1" t="s">
        <v>2479</v>
      </c>
      <c r="D834" s="1">
        <v>1.480324074074074E-2</v>
      </c>
      <c r="E834" t="s">
        <v>3167</v>
      </c>
      <c r="F834" s="69" t="s">
        <v>5417</v>
      </c>
      <c r="K834" s="82">
        <v>0.69189999999999996</v>
      </c>
    </row>
    <row r="835" spans="1:11" x14ac:dyDescent="0.2">
      <c r="A835" s="33">
        <v>42245</v>
      </c>
      <c r="B835" t="s">
        <v>2478</v>
      </c>
      <c r="C835" s="1" t="s">
        <v>2479</v>
      </c>
      <c r="D835" s="1">
        <v>1.6423611111111111E-2</v>
      </c>
      <c r="E835" t="s">
        <v>3167</v>
      </c>
      <c r="F835" s="69" t="s">
        <v>781</v>
      </c>
      <c r="K835" s="82">
        <v>0.62370000000000003</v>
      </c>
    </row>
    <row r="836" spans="1:11" x14ac:dyDescent="0.2">
      <c r="A836" s="33">
        <v>42238</v>
      </c>
      <c r="B836" t="s">
        <v>2478</v>
      </c>
      <c r="C836" s="1" t="s">
        <v>2479</v>
      </c>
      <c r="D836" s="1">
        <v>1.8518518518518521E-2</v>
      </c>
      <c r="E836" t="s">
        <v>3167</v>
      </c>
      <c r="F836" s="69" t="s">
        <v>872</v>
      </c>
      <c r="K836" s="82">
        <v>0.55310000000000004</v>
      </c>
    </row>
    <row r="837" spans="1:11" x14ac:dyDescent="0.2">
      <c r="A837" s="33">
        <v>42231</v>
      </c>
      <c r="B837" t="s">
        <v>2478</v>
      </c>
      <c r="C837" s="1" t="s">
        <v>2479</v>
      </c>
      <c r="D837" s="1">
        <v>1.3888888888888888E-2</v>
      </c>
      <c r="E837" t="s">
        <v>3167</v>
      </c>
      <c r="F837" s="69" t="s">
        <v>2336</v>
      </c>
      <c r="K837" s="82">
        <v>0.73750000000000004</v>
      </c>
    </row>
    <row r="838" spans="1:11" x14ac:dyDescent="0.2">
      <c r="A838" s="33">
        <v>42224</v>
      </c>
      <c r="B838" t="s">
        <v>2478</v>
      </c>
      <c r="C838" s="1" t="s">
        <v>2479</v>
      </c>
      <c r="D838" s="1">
        <v>1.3680555555555555E-2</v>
      </c>
      <c r="E838" t="s">
        <v>3167</v>
      </c>
      <c r="F838" s="69" t="s">
        <v>4405</v>
      </c>
      <c r="K838" s="82">
        <v>0.74680000000000002</v>
      </c>
    </row>
    <row r="839" spans="1:11" x14ac:dyDescent="0.2">
      <c r="A839" s="33">
        <v>42217</v>
      </c>
      <c r="B839" t="s">
        <v>2478</v>
      </c>
      <c r="C839" s="1" t="s">
        <v>2479</v>
      </c>
      <c r="D839" s="1">
        <v>1.7337962962962961E-2</v>
      </c>
      <c r="E839" t="s">
        <v>3167</v>
      </c>
      <c r="F839" s="69" t="s">
        <v>5723</v>
      </c>
      <c r="K839" s="82">
        <v>0.59079999999999999</v>
      </c>
    </row>
    <row r="840" spans="1:11" x14ac:dyDescent="0.2">
      <c r="A840" s="33">
        <v>42210</v>
      </c>
      <c r="B840" t="s">
        <v>2478</v>
      </c>
      <c r="C840" s="1" t="s">
        <v>2479</v>
      </c>
      <c r="D840" s="1">
        <v>1.5578703703703704E-2</v>
      </c>
      <c r="E840" t="s">
        <v>3167</v>
      </c>
      <c r="F840" s="69" t="s">
        <v>2268</v>
      </c>
      <c r="K840" s="82">
        <v>0.65749999999999997</v>
      </c>
    </row>
    <row r="841" spans="1:11" x14ac:dyDescent="0.2">
      <c r="A841" s="33">
        <v>42203</v>
      </c>
      <c r="B841" t="s">
        <v>2478</v>
      </c>
      <c r="C841" s="1" t="s">
        <v>2479</v>
      </c>
      <c r="D841" s="1">
        <v>1.9479166666666669E-2</v>
      </c>
      <c r="E841" t="s">
        <v>3167</v>
      </c>
      <c r="F841" s="69" t="s">
        <v>1054</v>
      </c>
      <c r="K841" s="82">
        <v>0.52580000000000005</v>
      </c>
    </row>
    <row r="842" spans="1:11" x14ac:dyDescent="0.2">
      <c r="A842" s="33">
        <v>42196</v>
      </c>
      <c r="B842" t="s">
        <v>2478</v>
      </c>
      <c r="C842" s="1" t="s">
        <v>2479</v>
      </c>
      <c r="D842" s="1">
        <v>1.3842592592592594E-2</v>
      </c>
      <c r="E842" t="s">
        <v>998</v>
      </c>
      <c r="F842" s="69" t="s">
        <v>4960</v>
      </c>
      <c r="K842" s="82">
        <v>0.74</v>
      </c>
    </row>
    <row r="843" spans="1:11" x14ac:dyDescent="0.2">
      <c r="A843" s="33">
        <v>42189</v>
      </c>
      <c r="B843" t="s">
        <v>2478</v>
      </c>
      <c r="C843" s="1" t="s">
        <v>2479</v>
      </c>
      <c r="D843" s="1">
        <v>1.3900462962962962E-2</v>
      </c>
      <c r="E843" t="s">
        <v>3167</v>
      </c>
      <c r="F843" s="69" t="s">
        <v>5720</v>
      </c>
      <c r="K843" s="82">
        <v>0.7369</v>
      </c>
    </row>
    <row r="844" spans="1:11" x14ac:dyDescent="0.2">
      <c r="A844" s="33">
        <v>42182</v>
      </c>
      <c r="B844" t="s">
        <v>2478</v>
      </c>
      <c r="C844" s="1" t="s">
        <v>2479</v>
      </c>
      <c r="D844" s="1">
        <v>1.3842592592592594E-2</v>
      </c>
      <c r="E844" t="s">
        <v>5963</v>
      </c>
      <c r="F844" s="69" t="s">
        <v>2549</v>
      </c>
      <c r="K844" s="82">
        <v>0.74</v>
      </c>
    </row>
    <row r="845" spans="1:11" x14ac:dyDescent="0.2">
      <c r="A845" s="33">
        <v>42175</v>
      </c>
      <c r="B845" t="s">
        <v>2478</v>
      </c>
      <c r="C845" s="1" t="s">
        <v>2479</v>
      </c>
      <c r="D845" s="1" t="s">
        <v>787</v>
      </c>
      <c r="E845" t="s">
        <v>3167</v>
      </c>
      <c r="F845" s="69" t="s">
        <v>2515</v>
      </c>
      <c r="K845" s="82"/>
    </row>
    <row r="846" spans="1:11" x14ac:dyDescent="0.2">
      <c r="A846" s="33">
        <v>42175</v>
      </c>
      <c r="B846" t="s">
        <v>2478</v>
      </c>
      <c r="C846" s="1" t="s">
        <v>2479</v>
      </c>
      <c r="D846" s="1">
        <v>1.4155092592592592E-2</v>
      </c>
      <c r="E846" t="s">
        <v>3167</v>
      </c>
      <c r="F846" s="69" t="s">
        <v>2516</v>
      </c>
      <c r="K846" s="82">
        <v>0.72360000000000002</v>
      </c>
    </row>
    <row r="847" spans="1:11" x14ac:dyDescent="0.2">
      <c r="A847" s="33">
        <v>42168</v>
      </c>
      <c r="B847" t="s">
        <v>2478</v>
      </c>
      <c r="C847" s="1" t="s">
        <v>2479</v>
      </c>
      <c r="D847" s="1">
        <v>1.8807870370370371E-2</v>
      </c>
      <c r="E847" t="s">
        <v>3167</v>
      </c>
      <c r="F847" s="69" t="s">
        <v>4437</v>
      </c>
      <c r="K847" s="82">
        <v>0.5403</v>
      </c>
    </row>
    <row r="848" spans="1:11" x14ac:dyDescent="0.2">
      <c r="A848" s="33">
        <v>42161</v>
      </c>
      <c r="B848" t="s">
        <v>2478</v>
      </c>
      <c r="C848" s="1" t="s">
        <v>2479</v>
      </c>
      <c r="D848" s="1">
        <v>1.4016203703703704E-2</v>
      </c>
      <c r="E848" t="s">
        <v>3167</v>
      </c>
      <c r="F848" s="69" t="s">
        <v>4932</v>
      </c>
      <c r="G848" s="5"/>
      <c r="H848" s="5"/>
      <c r="K848" s="82">
        <v>0.72499999999999998</v>
      </c>
    </row>
    <row r="849" spans="1:11" x14ac:dyDescent="0.2">
      <c r="A849" s="33">
        <v>42147</v>
      </c>
      <c r="B849" t="s">
        <v>2478</v>
      </c>
      <c r="C849" s="1" t="s">
        <v>2479</v>
      </c>
      <c r="D849" s="1">
        <v>1.5787037037037037E-2</v>
      </c>
      <c r="E849" t="s">
        <v>3167</v>
      </c>
      <c r="F849" s="69" t="s">
        <v>3823</v>
      </c>
      <c r="K849" s="82">
        <v>0.64370000000000005</v>
      </c>
    </row>
    <row r="850" spans="1:11" x14ac:dyDescent="0.2">
      <c r="A850" s="33">
        <v>42133</v>
      </c>
      <c r="B850" t="s">
        <v>2478</v>
      </c>
      <c r="C850" s="1" t="s">
        <v>2479</v>
      </c>
      <c r="D850" s="1">
        <v>1.3622685185185184E-2</v>
      </c>
      <c r="E850" t="s">
        <v>3167</v>
      </c>
      <c r="F850" s="69" t="s">
        <v>4170</v>
      </c>
      <c r="G850" s="42"/>
      <c r="H850" s="42"/>
      <c r="K850" s="82">
        <v>0.746</v>
      </c>
    </row>
    <row r="851" spans="1:11" x14ac:dyDescent="0.2">
      <c r="A851" s="33">
        <v>42133</v>
      </c>
      <c r="B851" t="s">
        <v>2478</v>
      </c>
      <c r="C851" s="1" t="s">
        <v>2479</v>
      </c>
      <c r="D851" s="1" t="s">
        <v>787</v>
      </c>
      <c r="E851" t="s">
        <v>3167</v>
      </c>
      <c r="F851" s="69" t="s">
        <v>1549</v>
      </c>
      <c r="K851" s="82"/>
    </row>
    <row r="852" spans="1:11" x14ac:dyDescent="0.2">
      <c r="A852" s="33">
        <v>42126</v>
      </c>
      <c r="B852" t="s">
        <v>2478</v>
      </c>
      <c r="C852" s="1" t="s">
        <v>2479</v>
      </c>
      <c r="D852" s="1">
        <v>1.4004629629629631E-2</v>
      </c>
      <c r="E852" t="s">
        <v>249</v>
      </c>
      <c r="F852" s="69" t="s">
        <v>3036</v>
      </c>
      <c r="I852" s="42" t="s">
        <v>1027</v>
      </c>
      <c r="J852" s="42"/>
      <c r="K852" s="82">
        <v>0.72560000000000002</v>
      </c>
    </row>
    <row r="853" spans="1:11" x14ac:dyDescent="0.2">
      <c r="A853" s="33">
        <v>42119</v>
      </c>
      <c r="B853" t="s">
        <v>2478</v>
      </c>
      <c r="C853" s="1" t="s">
        <v>2479</v>
      </c>
      <c r="D853" s="1">
        <v>1.5729166666666666E-2</v>
      </c>
      <c r="E853" t="s">
        <v>3167</v>
      </c>
      <c r="F853" s="69" t="s">
        <v>1265</v>
      </c>
      <c r="K853" s="82">
        <v>0.65090000000000003</v>
      </c>
    </row>
    <row r="854" spans="1:11" x14ac:dyDescent="0.2">
      <c r="A854" s="33">
        <v>42112</v>
      </c>
      <c r="B854" t="s">
        <v>2478</v>
      </c>
      <c r="C854" s="1" t="s">
        <v>2479</v>
      </c>
      <c r="D854" s="1">
        <v>1.6770833333333332E-2</v>
      </c>
      <c r="E854" t="s">
        <v>3167</v>
      </c>
      <c r="F854" s="69" t="s">
        <v>5171</v>
      </c>
      <c r="H854" t="s">
        <v>2629</v>
      </c>
      <c r="K854" s="82">
        <v>0.60589999999999999</v>
      </c>
    </row>
    <row r="855" spans="1:11" x14ac:dyDescent="0.2">
      <c r="A855" s="33">
        <v>42091</v>
      </c>
      <c r="B855" t="s">
        <v>2478</v>
      </c>
      <c r="C855" s="1" t="s">
        <v>2479</v>
      </c>
      <c r="D855" s="1">
        <v>1.4236111111111111E-2</v>
      </c>
      <c r="E855" t="s">
        <v>3167</v>
      </c>
      <c r="F855" s="42" t="s">
        <v>4031</v>
      </c>
      <c r="H855" t="s">
        <v>3040</v>
      </c>
      <c r="K855" s="82">
        <v>0.71379999999999999</v>
      </c>
    </row>
    <row r="856" spans="1:11" x14ac:dyDescent="0.2">
      <c r="A856" s="33">
        <v>42091</v>
      </c>
      <c r="B856" t="s">
        <v>2478</v>
      </c>
      <c r="C856" s="1" t="s">
        <v>2479</v>
      </c>
      <c r="D856" s="1" t="s">
        <v>787</v>
      </c>
      <c r="E856" t="s">
        <v>3167</v>
      </c>
      <c r="F856" s="42" t="s">
        <v>3301</v>
      </c>
      <c r="G856" s="42"/>
      <c r="H856" s="42"/>
      <c r="K856" s="82"/>
    </row>
    <row r="857" spans="1:11" x14ac:dyDescent="0.2">
      <c r="A857" s="33">
        <v>42084</v>
      </c>
      <c r="B857" t="s">
        <v>2478</v>
      </c>
      <c r="C857" s="1" t="s">
        <v>2479</v>
      </c>
      <c r="D857" s="1">
        <v>1.3877314814814815E-2</v>
      </c>
      <c r="E857" t="s">
        <v>3167</v>
      </c>
      <c r="F857" s="42" t="s">
        <v>4726</v>
      </c>
      <c r="K857" s="82">
        <v>0.73229999999999995</v>
      </c>
    </row>
    <row r="858" spans="1:11" x14ac:dyDescent="0.2">
      <c r="A858" s="33">
        <v>42077</v>
      </c>
      <c r="B858" t="s">
        <v>2478</v>
      </c>
      <c r="C858" s="1" t="s">
        <v>2479</v>
      </c>
      <c r="D858" s="1">
        <v>1.4050925925925927E-2</v>
      </c>
      <c r="E858" t="s">
        <v>4876</v>
      </c>
      <c r="F858" s="69"/>
      <c r="I858" s="42"/>
      <c r="J858" s="42"/>
      <c r="K858" s="82">
        <v>0.72319999999999995</v>
      </c>
    </row>
    <row r="859" spans="1:11" x14ac:dyDescent="0.2">
      <c r="A859" s="33">
        <v>42070</v>
      </c>
      <c r="B859" t="s">
        <v>2478</v>
      </c>
      <c r="C859" s="1" t="s">
        <v>2479</v>
      </c>
      <c r="D859" s="1">
        <v>1.4791666666666668E-2</v>
      </c>
      <c r="E859" t="s">
        <v>3167</v>
      </c>
      <c r="F859" s="69" t="s">
        <v>3726</v>
      </c>
      <c r="K859" s="82">
        <v>0.68700000000000006</v>
      </c>
    </row>
    <row r="860" spans="1:11" x14ac:dyDescent="0.2">
      <c r="A860" s="33">
        <v>42063</v>
      </c>
      <c r="B860" t="s">
        <v>2478</v>
      </c>
      <c r="C860" s="1" t="s">
        <v>2479</v>
      </c>
      <c r="D860" s="1">
        <v>1.4513888888888889E-2</v>
      </c>
      <c r="E860" t="s">
        <v>3167</v>
      </c>
      <c r="F860" s="42"/>
      <c r="K860" s="82">
        <v>0.70020000000000004</v>
      </c>
    </row>
    <row r="861" spans="1:11" x14ac:dyDescent="0.2">
      <c r="A861" s="33">
        <v>42056</v>
      </c>
      <c r="B861" t="s">
        <v>2478</v>
      </c>
      <c r="C861" s="1" t="s">
        <v>2479</v>
      </c>
      <c r="D861" s="1">
        <v>1.4594907407407405E-2</v>
      </c>
      <c r="E861" t="s">
        <v>3167</v>
      </c>
      <c r="F861" s="69" t="s">
        <v>5151</v>
      </c>
      <c r="I861" s="6"/>
      <c r="J861" s="6"/>
      <c r="K861" s="82">
        <v>0.69630000000000003</v>
      </c>
    </row>
    <row r="862" spans="1:11" x14ac:dyDescent="0.2">
      <c r="A862" s="33">
        <v>42049</v>
      </c>
      <c r="B862" t="s">
        <v>2478</v>
      </c>
      <c r="C862" s="1" t="s">
        <v>2479</v>
      </c>
      <c r="D862" s="1">
        <v>1.5092592592592593E-2</v>
      </c>
      <c r="E862" t="s">
        <v>3167</v>
      </c>
      <c r="F862" s="69" t="s">
        <v>2120</v>
      </c>
      <c r="K862" s="82">
        <v>0.67330000000000001</v>
      </c>
    </row>
    <row r="863" spans="1:11" x14ac:dyDescent="0.2">
      <c r="A863" s="33">
        <v>42042</v>
      </c>
      <c r="B863" t="s">
        <v>2478</v>
      </c>
      <c r="C863" s="1" t="s">
        <v>2479</v>
      </c>
      <c r="D863" s="1">
        <v>1.462962962962963E-2</v>
      </c>
      <c r="E863" t="s">
        <v>3167</v>
      </c>
      <c r="F863" s="42"/>
      <c r="K863" s="82">
        <v>0.6946</v>
      </c>
    </row>
    <row r="864" spans="1:11" x14ac:dyDescent="0.2">
      <c r="A864" s="33">
        <v>42035</v>
      </c>
      <c r="B864" t="s">
        <v>2478</v>
      </c>
      <c r="C864" s="1" t="s">
        <v>2479</v>
      </c>
      <c r="D864" s="1">
        <v>1.4502314814814815E-2</v>
      </c>
      <c r="E864" t="s">
        <v>3167</v>
      </c>
      <c r="F864" s="42"/>
      <c r="K864" s="82">
        <v>0.70069999999999999</v>
      </c>
    </row>
    <row r="865" spans="1:19" x14ac:dyDescent="0.2">
      <c r="A865" s="33">
        <v>42028</v>
      </c>
      <c r="B865" t="s">
        <v>2478</v>
      </c>
      <c r="C865" s="1" t="s">
        <v>2479</v>
      </c>
      <c r="D865" s="1">
        <v>1.4050925925925927E-2</v>
      </c>
      <c r="E865" t="s">
        <v>3167</v>
      </c>
      <c r="F865" s="42"/>
      <c r="K865" s="82">
        <v>0.72319999999999995</v>
      </c>
    </row>
    <row r="866" spans="1:19" x14ac:dyDescent="0.2">
      <c r="A866" s="33">
        <v>42021</v>
      </c>
      <c r="B866" t="s">
        <v>2478</v>
      </c>
      <c r="C866" s="1" t="s">
        <v>2479</v>
      </c>
      <c r="D866" s="1">
        <v>1.4386574074074072E-2</v>
      </c>
      <c r="E866" t="s">
        <v>3167</v>
      </c>
      <c r="F866" s="42" t="s">
        <v>1601</v>
      </c>
      <c r="K866" s="82">
        <v>0.70640000000000003</v>
      </c>
    </row>
    <row r="867" spans="1:19" x14ac:dyDescent="0.2">
      <c r="A867" s="33">
        <v>42014</v>
      </c>
      <c r="B867" t="s">
        <v>2478</v>
      </c>
      <c r="C867" s="1" t="s">
        <v>2479</v>
      </c>
      <c r="D867" s="1">
        <v>1.4097222222222221E-2</v>
      </c>
      <c r="E867" t="s">
        <v>3167</v>
      </c>
      <c r="F867" s="42" t="s">
        <v>2069</v>
      </c>
      <c r="K867" s="82">
        <v>0.72089999999999999</v>
      </c>
    </row>
    <row r="868" spans="1:19" x14ac:dyDescent="0.2">
      <c r="A868" s="33">
        <v>42007</v>
      </c>
      <c r="B868" t="s">
        <v>2478</v>
      </c>
      <c r="C868" s="1" t="s">
        <v>2479</v>
      </c>
      <c r="D868" s="1">
        <v>1.4259259259259261E-2</v>
      </c>
      <c r="E868" t="s">
        <v>3167</v>
      </c>
      <c r="F868" s="42" t="s">
        <v>4393</v>
      </c>
      <c r="G868" t="s">
        <v>1362</v>
      </c>
      <c r="K868" s="82">
        <v>0.7127</v>
      </c>
    </row>
    <row r="869" spans="1:19" x14ac:dyDescent="0.2">
      <c r="A869" s="33">
        <v>42005</v>
      </c>
      <c r="B869" t="s">
        <v>2478</v>
      </c>
      <c r="C869" s="1" t="s">
        <v>2479</v>
      </c>
      <c r="D869" s="1">
        <v>1.4768518518518519E-2</v>
      </c>
      <c r="E869" t="s">
        <v>142</v>
      </c>
      <c r="F869" s="69" t="s">
        <v>141</v>
      </c>
      <c r="I869" s="6"/>
      <c r="J869" s="6"/>
      <c r="K869" s="82">
        <v>0.68810000000000004</v>
      </c>
    </row>
    <row r="870" spans="1:19" x14ac:dyDescent="0.2">
      <c r="A870" s="33">
        <v>42005</v>
      </c>
      <c r="B870" t="s">
        <v>2478</v>
      </c>
      <c r="C870" s="1" t="s">
        <v>2479</v>
      </c>
      <c r="D870" s="1">
        <v>1.4050925925925927E-2</v>
      </c>
      <c r="E870" t="s">
        <v>1214</v>
      </c>
      <c r="F870" s="69" t="s">
        <v>139</v>
      </c>
      <c r="G870" t="s">
        <v>1646</v>
      </c>
      <c r="I870" s="6"/>
      <c r="J870" s="6"/>
      <c r="K870" s="82">
        <v>0.72319999999999995</v>
      </c>
    </row>
    <row r="871" spans="1:19" x14ac:dyDescent="0.2">
      <c r="A871" s="33">
        <v>42336</v>
      </c>
      <c r="B871" s="206" t="s">
        <v>3843</v>
      </c>
      <c r="C871" s="254" t="s">
        <v>5626</v>
      </c>
      <c r="D871" s="1">
        <v>1.8831018518518518E-2</v>
      </c>
      <c r="E871" t="s">
        <v>5539</v>
      </c>
      <c r="F871" s="69" t="s">
        <v>5038</v>
      </c>
      <c r="I871" s="2"/>
      <c r="K871" s="82">
        <v>0.5857</v>
      </c>
    </row>
    <row r="872" spans="1:19" x14ac:dyDescent="0.2">
      <c r="A872" s="33">
        <v>42182</v>
      </c>
      <c r="B872" s="206" t="s">
        <v>3843</v>
      </c>
      <c r="C872" s="254" t="s">
        <v>5626</v>
      </c>
      <c r="D872" s="1">
        <v>1.9930555555555556E-2</v>
      </c>
      <c r="E872" t="s">
        <v>5911</v>
      </c>
      <c r="F872" s="69" t="s">
        <v>4057</v>
      </c>
      <c r="K872" s="82">
        <v>0.5534</v>
      </c>
    </row>
    <row r="873" spans="1:19" x14ac:dyDescent="0.2">
      <c r="A873" s="33">
        <v>42175</v>
      </c>
      <c r="B873" s="206" t="s">
        <v>3843</v>
      </c>
      <c r="C873" s="254" t="s">
        <v>5626</v>
      </c>
      <c r="D873" s="1">
        <v>1.7858796296296296E-2</v>
      </c>
      <c r="E873" t="s">
        <v>2962</v>
      </c>
      <c r="F873" s="69" t="s">
        <v>5627</v>
      </c>
      <c r="K873" s="82">
        <v>0.61760000000000004</v>
      </c>
    </row>
    <row r="874" spans="1:19" x14ac:dyDescent="0.2">
      <c r="A874" s="33">
        <v>42140</v>
      </c>
      <c r="B874" t="s">
        <v>3535</v>
      </c>
      <c r="C874" s="1" t="s">
        <v>3536</v>
      </c>
      <c r="D874" s="1">
        <v>1.224537037037037E-2</v>
      </c>
      <c r="E874" t="s">
        <v>5885</v>
      </c>
      <c r="F874" s="69" t="s">
        <v>3217</v>
      </c>
      <c r="G874" s="42"/>
      <c r="H874" s="42"/>
      <c r="K874" s="82">
        <v>0.79210000000000003</v>
      </c>
    </row>
    <row r="875" spans="1:19" x14ac:dyDescent="0.2">
      <c r="A875" s="33">
        <v>42021</v>
      </c>
      <c r="B875" s="5" t="s">
        <v>3535</v>
      </c>
      <c r="C875" s="32" t="s">
        <v>3536</v>
      </c>
      <c r="D875" s="1">
        <v>1.2349537037037039E-2</v>
      </c>
      <c r="E875" t="s">
        <v>5885</v>
      </c>
      <c r="F875" s="42" t="s">
        <v>4590</v>
      </c>
      <c r="K875" s="82">
        <v>0.78539999999999999</v>
      </c>
    </row>
    <row r="876" spans="1:19" x14ac:dyDescent="0.2">
      <c r="A876" s="33">
        <v>42343</v>
      </c>
      <c r="B876" s="53" t="s">
        <v>3230</v>
      </c>
      <c r="C876" s="54" t="s">
        <v>49</v>
      </c>
      <c r="D876" s="1">
        <v>1.8796296296296297E-2</v>
      </c>
      <c r="E876" t="s">
        <v>5544</v>
      </c>
      <c r="F876" s="69" t="s">
        <v>5237</v>
      </c>
      <c r="I876" s="2"/>
      <c r="K876" s="82">
        <v>0.58250000000000002</v>
      </c>
    </row>
    <row r="877" spans="1:19" x14ac:dyDescent="0.2">
      <c r="A877" s="33">
        <v>42336</v>
      </c>
      <c r="B877" t="s">
        <v>3230</v>
      </c>
      <c r="C877" s="1" t="s">
        <v>49</v>
      </c>
      <c r="D877" s="1">
        <v>1.9780092592592592E-2</v>
      </c>
      <c r="E877" t="s">
        <v>5544</v>
      </c>
      <c r="F877" s="69" t="s">
        <v>4279</v>
      </c>
      <c r="I877" s="2"/>
      <c r="K877" s="82">
        <v>0.55349999999999999</v>
      </c>
    </row>
    <row r="878" spans="1:19" x14ac:dyDescent="0.2">
      <c r="A878" s="33">
        <v>42364</v>
      </c>
      <c r="B878" t="s">
        <v>866</v>
      </c>
      <c r="C878" s="1" t="s">
        <v>4635</v>
      </c>
      <c r="D878" s="1">
        <v>2.3090277777777779E-2</v>
      </c>
      <c r="E878" s="5" t="s">
        <v>5883</v>
      </c>
      <c r="F878" s="108"/>
      <c r="G878" s="5"/>
      <c r="I878" s="2"/>
      <c r="K878" s="82">
        <v>0.45810000000000001</v>
      </c>
    </row>
    <row r="879" spans="1:19" x14ac:dyDescent="0.2">
      <c r="A879" s="33">
        <v>42357</v>
      </c>
      <c r="B879" t="s">
        <v>866</v>
      </c>
      <c r="C879" s="1" t="s">
        <v>4635</v>
      </c>
      <c r="D879" s="1">
        <v>2.3865740740740743E-2</v>
      </c>
      <c r="E879" t="s">
        <v>5883</v>
      </c>
      <c r="F879" s="69" t="s">
        <v>970</v>
      </c>
      <c r="I879" s="2"/>
      <c r="K879" s="82">
        <v>0.44330000000000003</v>
      </c>
      <c r="S879" s="80"/>
    </row>
    <row r="880" spans="1:19" x14ac:dyDescent="0.2">
      <c r="A880" s="33">
        <v>42350</v>
      </c>
      <c r="B880" t="s">
        <v>866</v>
      </c>
      <c r="C880" s="1" t="s">
        <v>4635</v>
      </c>
      <c r="D880" s="1">
        <v>2.1828703703703701E-2</v>
      </c>
      <c r="E880" t="s">
        <v>5883</v>
      </c>
      <c r="F880" s="69" t="s">
        <v>4182</v>
      </c>
      <c r="I880" s="2"/>
      <c r="K880" s="82">
        <v>0.48459999999999998</v>
      </c>
    </row>
    <row r="881" spans="1:19" x14ac:dyDescent="0.2">
      <c r="A881" s="33">
        <v>42343</v>
      </c>
      <c r="B881" s="206" t="s">
        <v>866</v>
      </c>
      <c r="C881" s="254" t="s">
        <v>4635</v>
      </c>
      <c r="D881" s="1" t="s">
        <v>787</v>
      </c>
      <c r="E881" s="5" t="s">
        <v>5883</v>
      </c>
      <c r="F881" s="69" t="s">
        <v>3745</v>
      </c>
      <c r="I881" s="2"/>
      <c r="K881" s="82"/>
    </row>
    <row r="882" spans="1:19" x14ac:dyDescent="0.2">
      <c r="A882" s="33">
        <v>42336</v>
      </c>
      <c r="B882" s="206" t="s">
        <v>866</v>
      </c>
      <c r="C882" s="254" t="s">
        <v>4635</v>
      </c>
      <c r="D882" s="1">
        <v>1.9699074074074074E-2</v>
      </c>
      <c r="E882" t="s">
        <v>5883</v>
      </c>
      <c r="F882" s="69" t="s">
        <v>2172</v>
      </c>
      <c r="I882" s="2"/>
      <c r="K882" s="82">
        <v>0.53700000000000003</v>
      </c>
    </row>
    <row r="883" spans="1:19" x14ac:dyDescent="0.2">
      <c r="A883" s="33">
        <v>42322</v>
      </c>
      <c r="B883" s="206" t="s">
        <v>866</v>
      </c>
      <c r="C883" s="254" t="s">
        <v>4635</v>
      </c>
      <c r="D883" s="1">
        <v>1.9930555555555556E-2</v>
      </c>
      <c r="E883" t="s">
        <v>5883</v>
      </c>
      <c r="F883" s="69" t="s">
        <v>5635</v>
      </c>
      <c r="I883" s="2"/>
      <c r="K883" s="82">
        <v>0.53080000000000005</v>
      </c>
    </row>
    <row r="884" spans="1:19" x14ac:dyDescent="0.2">
      <c r="A884" s="33">
        <v>42042</v>
      </c>
      <c r="B884" s="53" t="s">
        <v>866</v>
      </c>
      <c r="C884" s="54" t="s">
        <v>4639</v>
      </c>
      <c r="D884" s="1">
        <v>1.7118055555555556E-2</v>
      </c>
      <c r="E884" t="s">
        <v>5095</v>
      </c>
      <c r="F884" s="42" t="s">
        <v>5381</v>
      </c>
      <c r="K884" s="82">
        <v>0.56659999999999999</v>
      </c>
    </row>
    <row r="885" spans="1:19" x14ac:dyDescent="0.2">
      <c r="A885" s="33">
        <v>42042</v>
      </c>
      <c r="B885" s="53" t="s">
        <v>2984</v>
      </c>
      <c r="C885" s="54" t="s">
        <v>4639</v>
      </c>
      <c r="D885" s="1">
        <v>1.7337962962962961E-2</v>
      </c>
      <c r="E885" t="s">
        <v>5095</v>
      </c>
      <c r="F885" s="42" t="s">
        <v>5381</v>
      </c>
      <c r="K885" s="82">
        <v>0.67959999999999998</v>
      </c>
    </row>
    <row r="886" spans="1:19" x14ac:dyDescent="0.2">
      <c r="A886" s="33">
        <v>42357</v>
      </c>
      <c r="B886" t="s">
        <v>2822</v>
      </c>
      <c r="C886" s="1" t="s">
        <v>2823</v>
      </c>
      <c r="D886" t="s">
        <v>787</v>
      </c>
      <c r="E886" s="5" t="s">
        <v>5544</v>
      </c>
      <c r="F886" s="108" t="s">
        <v>4000</v>
      </c>
      <c r="G886" s="5"/>
      <c r="H886" s="2"/>
      <c r="I886" s="2"/>
      <c r="K886" s="82"/>
      <c r="S886" s="80"/>
    </row>
    <row r="887" spans="1:19" x14ac:dyDescent="0.2">
      <c r="A887" s="33">
        <v>42350</v>
      </c>
      <c r="B887" t="s">
        <v>2822</v>
      </c>
      <c r="C887" s="1" t="s">
        <v>2823</v>
      </c>
      <c r="D887" s="1">
        <v>1.4490740740740742E-2</v>
      </c>
      <c r="E887" t="s">
        <v>5544</v>
      </c>
      <c r="F887" s="69" t="s">
        <v>210</v>
      </c>
      <c r="I887" s="2"/>
      <c r="K887" s="82">
        <v>0.71650000000000003</v>
      </c>
    </row>
    <row r="888" spans="1:19" x14ac:dyDescent="0.2">
      <c r="A888" s="33">
        <v>42343</v>
      </c>
      <c r="B888" t="s">
        <v>2822</v>
      </c>
      <c r="C888" s="1" t="s">
        <v>2823</v>
      </c>
      <c r="D888" s="1">
        <v>1.4583333333333332E-2</v>
      </c>
      <c r="E888" t="s">
        <v>5544</v>
      </c>
      <c r="F888" s="69" t="s">
        <v>5547</v>
      </c>
      <c r="I888" s="2"/>
      <c r="K888" s="82">
        <v>0.71189999999999998</v>
      </c>
    </row>
    <row r="889" spans="1:19" x14ac:dyDescent="0.2">
      <c r="A889" s="33">
        <v>42336</v>
      </c>
      <c r="B889" t="s">
        <v>2822</v>
      </c>
      <c r="C889" s="1" t="s">
        <v>2823</v>
      </c>
      <c r="D889" s="1">
        <v>1.4305555555555557E-2</v>
      </c>
      <c r="E889" t="s">
        <v>5544</v>
      </c>
      <c r="F889" s="69" t="s">
        <v>1524</v>
      </c>
      <c r="I889" s="2"/>
      <c r="K889" s="82">
        <v>0.72570000000000001</v>
      </c>
    </row>
    <row r="890" spans="1:19" x14ac:dyDescent="0.2">
      <c r="A890" s="34">
        <v>42329</v>
      </c>
      <c r="B890" t="s">
        <v>2822</v>
      </c>
      <c r="C890" s="1" t="s">
        <v>2823</v>
      </c>
      <c r="D890" s="1">
        <v>1.486111111111111E-2</v>
      </c>
      <c r="E890" t="s">
        <v>5544</v>
      </c>
      <c r="F890" s="69" t="s">
        <v>5908</v>
      </c>
      <c r="I890" s="2"/>
      <c r="K890" s="82">
        <v>0.6986</v>
      </c>
    </row>
    <row r="891" spans="1:19" x14ac:dyDescent="0.2">
      <c r="A891" s="33">
        <v>42322</v>
      </c>
      <c r="B891" t="s">
        <v>2822</v>
      </c>
      <c r="C891" s="1" t="s">
        <v>2823</v>
      </c>
      <c r="D891" t="s">
        <v>787</v>
      </c>
      <c r="E891" s="5" t="s">
        <v>5544</v>
      </c>
      <c r="F891" s="108" t="s">
        <v>4000</v>
      </c>
      <c r="G891" s="5"/>
      <c r="H891" s="2"/>
      <c r="I891" s="2"/>
      <c r="K891" s="82"/>
    </row>
    <row r="892" spans="1:19" x14ac:dyDescent="0.2">
      <c r="A892" s="33">
        <v>42315</v>
      </c>
      <c r="B892" t="s">
        <v>2822</v>
      </c>
      <c r="C892" s="1" t="s">
        <v>2823</v>
      </c>
      <c r="D892" s="1">
        <v>1.4710648148148148E-2</v>
      </c>
      <c r="E892" t="s">
        <v>5544</v>
      </c>
      <c r="F892" s="69" t="s">
        <v>79</v>
      </c>
      <c r="I892" s="2"/>
      <c r="K892" s="82">
        <v>0.70569999999999999</v>
      </c>
    </row>
    <row r="893" spans="1:19" x14ac:dyDescent="0.2">
      <c r="A893" s="33">
        <v>42308</v>
      </c>
      <c r="B893" t="s">
        <v>2822</v>
      </c>
      <c r="C893" s="1" t="s">
        <v>2823</v>
      </c>
      <c r="D893" s="1">
        <v>1.4849537037037036E-2</v>
      </c>
      <c r="E893" t="s">
        <v>5544</v>
      </c>
      <c r="F893" s="69" t="s">
        <v>1194</v>
      </c>
      <c r="I893" s="2"/>
      <c r="K893" s="82">
        <v>0.69910000000000005</v>
      </c>
    </row>
    <row r="894" spans="1:19" x14ac:dyDescent="0.2">
      <c r="A894" s="33">
        <v>42301</v>
      </c>
      <c r="B894" t="s">
        <v>2822</v>
      </c>
      <c r="C894" s="1" t="s">
        <v>2823</v>
      </c>
      <c r="D894" s="1">
        <v>1.4490740740740742E-2</v>
      </c>
      <c r="E894" t="s">
        <v>5544</v>
      </c>
      <c r="F894" s="69" t="s">
        <v>2746</v>
      </c>
      <c r="I894" s="2"/>
      <c r="K894" s="82">
        <v>0.71650000000000003</v>
      </c>
    </row>
    <row r="895" spans="1:19" x14ac:dyDescent="0.2">
      <c r="A895" s="33">
        <v>42294</v>
      </c>
      <c r="B895" s="197" t="s">
        <v>2822</v>
      </c>
      <c r="C895" s="265" t="s">
        <v>2823</v>
      </c>
      <c r="D895" s="1">
        <v>1.6712962962962961E-2</v>
      </c>
      <c r="E895" t="s">
        <v>5544</v>
      </c>
      <c r="F895" s="69"/>
      <c r="I895" s="2"/>
      <c r="K895" s="82">
        <v>0.62119999999999997</v>
      </c>
    </row>
    <row r="896" spans="1:19" x14ac:dyDescent="0.2">
      <c r="A896" s="33">
        <v>42287</v>
      </c>
      <c r="B896" t="s">
        <v>2822</v>
      </c>
      <c r="C896" s="1" t="s">
        <v>2823</v>
      </c>
      <c r="D896" s="1">
        <v>1.4780092592592595E-2</v>
      </c>
      <c r="E896" s="5" t="s">
        <v>5544</v>
      </c>
      <c r="F896" s="69"/>
      <c r="I896" s="2"/>
      <c r="K896" s="82">
        <v>0.70240000000000002</v>
      </c>
    </row>
    <row r="897" spans="1:11" x14ac:dyDescent="0.2">
      <c r="A897" s="33">
        <v>42280</v>
      </c>
      <c r="B897" t="s">
        <v>2822</v>
      </c>
      <c r="C897" s="1" t="s">
        <v>2823</v>
      </c>
      <c r="D897" s="1">
        <v>1.4618055555555556E-2</v>
      </c>
      <c r="E897" t="s">
        <v>5544</v>
      </c>
      <c r="F897" s="69" t="s">
        <v>1583</v>
      </c>
      <c r="I897" s="2"/>
      <c r="K897" s="82">
        <v>0.71020000000000005</v>
      </c>
    </row>
    <row r="898" spans="1:11" x14ac:dyDescent="0.2">
      <c r="A898" s="33">
        <v>42273</v>
      </c>
      <c r="B898" t="s">
        <v>2822</v>
      </c>
      <c r="C898" s="1" t="s">
        <v>2823</v>
      </c>
      <c r="D898" s="1" t="s">
        <v>787</v>
      </c>
      <c r="E898" t="s">
        <v>5544</v>
      </c>
      <c r="F898" s="69" t="s">
        <v>2726</v>
      </c>
      <c r="I898" s="2"/>
      <c r="K898" s="82"/>
    </row>
    <row r="899" spans="1:11" x14ac:dyDescent="0.2">
      <c r="A899" s="33">
        <v>42273</v>
      </c>
      <c r="B899" t="s">
        <v>2822</v>
      </c>
      <c r="C899" s="1" t="s">
        <v>2823</v>
      </c>
      <c r="D899" s="1">
        <v>1.4537037037037038E-2</v>
      </c>
      <c r="E899" t="s">
        <v>5544</v>
      </c>
      <c r="F899" s="69" t="s">
        <v>363</v>
      </c>
      <c r="I899" s="2"/>
      <c r="K899" s="82">
        <v>0.71419999999999995</v>
      </c>
    </row>
    <row r="900" spans="1:11" x14ac:dyDescent="0.2">
      <c r="A900" s="33">
        <v>42266</v>
      </c>
      <c r="B900" t="s">
        <v>2822</v>
      </c>
      <c r="C900" s="1" t="s">
        <v>2823</v>
      </c>
      <c r="D900" s="1">
        <v>1.4745370370370372E-2</v>
      </c>
      <c r="E900" t="s">
        <v>5544</v>
      </c>
      <c r="F900" s="69" t="s">
        <v>5297</v>
      </c>
      <c r="K900" s="82">
        <v>0.70350000000000001</v>
      </c>
    </row>
    <row r="901" spans="1:11" x14ac:dyDescent="0.2">
      <c r="A901" s="33">
        <v>42252</v>
      </c>
      <c r="B901" t="s">
        <v>2822</v>
      </c>
      <c r="C901" s="1" t="s">
        <v>2823</v>
      </c>
      <c r="D901" s="1">
        <v>1.5590277777777778E-2</v>
      </c>
      <c r="E901" t="s">
        <v>1120</v>
      </c>
      <c r="F901" s="69" t="s">
        <v>16</v>
      </c>
      <c r="K901" s="82">
        <v>0.66590000000000005</v>
      </c>
    </row>
    <row r="902" spans="1:11" x14ac:dyDescent="0.2">
      <c r="A902" s="33">
        <v>42245</v>
      </c>
      <c r="B902" t="s">
        <v>2822</v>
      </c>
      <c r="C902" s="1" t="s">
        <v>2823</v>
      </c>
      <c r="D902" s="1">
        <v>1.5011574074074075E-2</v>
      </c>
      <c r="E902" t="s">
        <v>5544</v>
      </c>
      <c r="F902" s="69" t="s">
        <v>342</v>
      </c>
      <c r="K902" s="82">
        <v>0.69159999999999999</v>
      </c>
    </row>
    <row r="903" spans="1:11" x14ac:dyDescent="0.2">
      <c r="A903" s="33">
        <v>42238</v>
      </c>
      <c r="B903" t="s">
        <v>2822</v>
      </c>
      <c r="C903" s="1" t="s">
        <v>2823</v>
      </c>
      <c r="D903" s="1">
        <v>1.539351851851852E-2</v>
      </c>
      <c r="E903" s="5" t="s">
        <v>5544</v>
      </c>
      <c r="F903" s="69" t="s">
        <v>4059</v>
      </c>
      <c r="K903" s="82">
        <v>0.6744</v>
      </c>
    </row>
    <row r="904" spans="1:11" x14ac:dyDescent="0.2">
      <c r="A904" s="33">
        <v>42217</v>
      </c>
      <c r="B904" t="s">
        <v>2822</v>
      </c>
      <c r="C904" s="1" t="s">
        <v>2823</v>
      </c>
      <c r="D904" s="1">
        <v>2.9756944444444447E-2</v>
      </c>
      <c r="E904" t="s">
        <v>5544</v>
      </c>
      <c r="F904" s="69" t="s">
        <v>5794</v>
      </c>
      <c r="K904" s="82">
        <v>0.34889999999999999</v>
      </c>
    </row>
    <row r="905" spans="1:11" x14ac:dyDescent="0.2">
      <c r="A905" s="33">
        <v>42210</v>
      </c>
      <c r="B905" t="s">
        <v>2822</v>
      </c>
      <c r="C905" s="1" t="s">
        <v>2823</v>
      </c>
      <c r="D905" s="1">
        <v>1.480324074074074E-2</v>
      </c>
      <c r="E905" t="s">
        <v>5544</v>
      </c>
      <c r="F905" s="69" t="s">
        <v>2688</v>
      </c>
      <c r="K905" s="82">
        <v>0.70130000000000003</v>
      </c>
    </row>
    <row r="906" spans="1:11" x14ac:dyDescent="0.2">
      <c r="A906" s="33">
        <v>42203</v>
      </c>
      <c r="B906" t="s">
        <v>2822</v>
      </c>
      <c r="C906" s="1" t="s">
        <v>2823</v>
      </c>
      <c r="D906" s="1">
        <v>1.4560185185185183E-2</v>
      </c>
      <c r="E906" t="s">
        <v>5544</v>
      </c>
      <c r="F906" s="69" t="s">
        <v>3555</v>
      </c>
      <c r="K906" s="82">
        <v>0.71299999999999997</v>
      </c>
    </row>
    <row r="907" spans="1:11" x14ac:dyDescent="0.2">
      <c r="A907" s="33">
        <v>42196</v>
      </c>
      <c r="B907" t="s">
        <v>2822</v>
      </c>
      <c r="C907" s="1" t="s">
        <v>2823</v>
      </c>
      <c r="D907" s="1">
        <v>1.4895833333333332E-2</v>
      </c>
      <c r="E907" t="s">
        <v>5544</v>
      </c>
      <c r="F907" s="69"/>
      <c r="K907" s="82">
        <v>0.69699999999999995</v>
      </c>
    </row>
    <row r="908" spans="1:11" x14ac:dyDescent="0.2">
      <c r="A908" s="33">
        <v>42189</v>
      </c>
      <c r="B908" t="s">
        <v>2822</v>
      </c>
      <c r="C908" s="1" t="s">
        <v>2823</v>
      </c>
      <c r="D908" s="1">
        <v>1.494212962962963E-2</v>
      </c>
      <c r="E908" t="s">
        <v>5544</v>
      </c>
      <c r="F908" s="69" t="s">
        <v>3828</v>
      </c>
      <c r="K908" s="82">
        <v>0.69479999999999997</v>
      </c>
    </row>
    <row r="909" spans="1:11" x14ac:dyDescent="0.2">
      <c r="A909" s="33">
        <v>42182</v>
      </c>
      <c r="B909" t="s">
        <v>2822</v>
      </c>
      <c r="C909" s="1" t="s">
        <v>2823</v>
      </c>
      <c r="D909" s="1">
        <v>1.5127314814814816E-2</v>
      </c>
      <c r="E909" t="s">
        <v>5544</v>
      </c>
      <c r="F909" s="69" t="s">
        <v>5325</v>
      </c>
      <c r="G909" s="42" t="s">
        <v>4960</v>
      </c>
      <c r="H909" s="42"/>
      <c r="K909" s="82">
        <v>0.68630000000000002</v>
      </c>
    </row>
    <row r="910" spans="1:11" x14ac:dyDescent="0.2">
      <c r="A910" s="33">
        <v>42175</v>
      </c>
      <c r="B910" t="s">
        <v>2822</v>
      </c>
      <c r="C910" s="1" t="s">
        <v>2823</v>
      </c>
      <c r="D910" s="1">
        <v>1.4837962962962963E-2</v>
      </c>
      <c r="E910" t="s">
        <v>5544</v>
      </c>
      <c r="F910" s="69" t="s">
        <v>363</v>
      </c>
      <c r="K910" s="82">
        <v>0.69969999999999999</v>
      </c>
    </row>
    <row r="911" spans="1:11" x14ac:dyDescent="0.2">
      <c r="A911" s="33">
        <v>42168</v>
      </c>
      <c r="B911" t="s">
        <v>2822</v>
      </c>
      <c r="C911" s="1" t="s">
        <v>2823</v>
      </c>
      <c r="D911" s="1">
        <v>1.4849537037037036E-2</v>
      </c>
      <c r="E911" t="s">
        <v>5544</v>
      </c>
      <c r="F911" s="69" t="s">
        <v>363</v>
      </c>
      <c r="K911" s="82">
        <v>0.69910000000000005</v>
      </c>
    </row>
    <row r="912" spans="1:11" x14ac:dyDescent="0.2">
      <c r="A912" s="33">
        <v>42161</v>
      </c>
      <c r="B912" s="53" t="s">
        <v>2822</v>
      </c>
      <c r="C912" s="54" t="s">
        <v>2823</v>
      </c>
      <c r="D912" s="1">
        <v>1.4895833333333332E-2</v>
      </c>
      <c r="E912" t="s">
        <v>5544</v>
      </c>
      <c r="F912" s="69" t="s">
        <v>973</v>
      </c>
      <c r="G912" s="6"/>
      <c r="H912" s="6"/>
      <c r="K912" s="82">
        <v>0.69699999999999995</v>
      </c>
    </row>
    <row r="913" spans="1:19" x14ac:dyDescent="0.2">
      <c r="A913" s="33">
        <v>42154</v>
      </c>
      <c r="B913" s="53" t="s">
        <v>2822</v>
      </c>
      <c r="C913" s="54" t="s">
        <v>2823</v>
      </c>
      <c r="D913" s="1">
        <v>1.494212962962963E-2</v>
      </c>
      <c r="E913" t="s">
        <v>5544</v>
      </c>
      <c r="F913" s="69" t="s">
        <v>2746</v>
      </c>
      <c r="K913" s="82">
        <v>0.69479999999999997</v>
      </c>
    </row>
    <row r="914" spans="1:19" x14ac:dyDescent="0.2">
      <c r="A914" s="33">
        <v>42147</v>
      </c>
      <c r="B914" s="53" t="s">
        <v>2822</v>
      </c>
      <c r="C914" s="54" t="s">
        <v>2823</v>
      </c>
      <c r="D914" s="1" t="s">
        <v>787</v>
      </c>
      <c r="E914" t="s">
        <v>5544</v>
      </c>
      <c r="F914" s="69" t="s">
        <v>4000</v>
      </c>
      <c r="K914" s="82"/>
    </row>
    <row r="915" spans="1:19" x14ac:dyDescent="0.2">
      <c r="A915" s="33">
        <v>42140</v>
      </c>
      <c r="B915" s="53" t="s">
        <v>2822</v>
      </c>
      <c r="C915" s="54" t="s">
        <v>2823</v>
      </c>
      <c r="D915" s="1">
        <v>1.503472222222222E-2</v>
      </c>
      <c r="E915" t="s">
        <v>5544</v>
      </c>
      <c r="F915" s="69" t="s">
        <v>3319</v>
      </c>
      <c r="K915" s="82">
        <v>0.6905</v>
      </c>
    </row>
    <row r="916" spans="1:19" x14ac:dyDescent="0.2">
      <c r="A916" s="33">
        <v>42133</v>
      </c>
      <c r="B916" s="53" t="s">
        <v>2822</v>
      </c>
      <c r="C916" s="54" t="s">
        <v>2823</v>
      </c>
      <c r="D916" s="1">
        <v>1.511574074074074E-2</v>
      </c>
      <c r="E916" t="s">
        <v>5544</v>
      </c>
      <c r="F916" s="69" t="s">
        <v>4232</v>
      </c>
      <c r="K916" s="82">
        <v>0.68679999999999997</v>
      </c>
    </row>
    <row r="917" spans="1:19" x14ac:dyDescent="0.2">
      <c r="A917" s="33">
        <v>42126</v>
      </c>
      <c r="B917" s="196" t="s">
        <v>2822</v>
      </c>
      <c r="C917" s="347" t="s">
        <v>2823</v>
      </c>
      <c r="D917" s="1">
        <v>1.5057870370370369E-2</v>
      </c>
      <c r="E917" t="s">
        <v>5544</v>
      </c>
      <c r="F917" s="69" t="s">
        <v>3280</v>
      </c>
      <c r="I917" s="42"/>
      <c r="J917" s="42"/>
      <c r="K917" s="82">
        <v>0.6895</v>
      </c>
    </row>
    <row r="918" spans="1:19" x14ac:dyDescent="0.2">
      <c r="A918" s="33">
        <v>42119</v>
      </c>
      <c r="B918" s="206" t="s">
        <v>2822</v>
      </c>
      <c r="C918" s="254" t="s">
        <v>2823</v>
      </c>
      <c r="D918" s="1">
        <v>1.5081018518518516E-2</v>
      </c>
      <c r="E918" t="s">
        <v>5544</v>
      </c>
      <c r="F918" s="69" t="s">
        <v>1424</v>
      </c>
      <c r="K918" s="82">
        <v>0.68840000000000001</v>
      </c>
    </row>
    <row r="919" spans="1:19" x14ac:dyDescent="0.2">
      <c r="A919" s="33">
        <v>42112</v>
      </c>
      <c r="B919" s="206" t="s">
        <v>2822</v>
      </c>
      <c r="C919" s="254" t="s">
        <v>2823</v>
      </c>
      <c r="D919" s="1">
        <v>1.5196759259259259E-2</v>
      </c>
      <c r="E919" t="s">
        <v>5544</v>
      </c>
      <c r="F919" s="69" t="s">
        <v>3105</v>
      </c>
      <c r="K919" s="82">
        <v>0.68320000000000003</v>
      </c>
    </row>
    <row r="920" spans="1:19" x14ac:dyDescent="0.2">
      <c r="A920" s="33">
        <v>42105</v>
      </c>
      <c r="B920" s="197" t="s">
        <v>2822</v>
      </c>
      <c r="C920" s="265" t="s">
        <v>2823</v>
      </c>
      <c r="D920" s="1">
        <v>1.5266203703703705E-2</v>
      </c>
      <c r="E920" t="s">
        <v>5544</v>
      </c>
      <c r="F920" s="69"/>
      <c r="G920" s="6"/>
      <c r="H920" s="6"/>
      <c r="K920" s="82">
        <v>0.68010000000000004</v>
      </c>
    </row>
    <row r="921" spans="1:19" x14ac:dyDescent="0.2">
      <c r="A921" s="33">
        <v>42098</v>
      </c>
      <c r="B921" s="206" t="s">
        <v>2822</v>
      </c>
      <c r="C921" s="254" t="s">
        <v>2823</v>
      </c>
      <c r="D921" s="1">
        <v>1.5300925925925926E-2</v>
      </c>
      <c r="E921" t="s">
        <v>5544</v>
      </c>
      <c r="F921" s="69" t="s">
        <v>233</v>
      </c>
      <c r="G921" s="6"/>
      <c r="H921" s="6"/>
      <c r="K921" s="82">
        <v>0.67849999999999999</v>
      </c>
    </row>
    <row r="922" spans="1:19" x14ac:dyDescent="0.2">
      <c r="A922" s="33">
        <v>42091</v>
      </c>
      <c r="B922" s="206" t="s">
        <v>2822</v>
      </c>
      <c r="C922" s="254" t="s">
        <v>2823</v>
      </c>
      <c r="D922" s="1">
        <v>1.5150462962962963E-2</v>
      </c>
      <c r="E922" t="s">
        <v>5544</v>
      </c>
      <c r="F922" s="42" t="s">
        <v>5780</v>
      </c>
      <c r="K922" s="82">
        <v>0.68530000000000002</v>
      </c>
    </row>
    <row r="923" spans="1:19" x14ac:dyDescent="0.2">
      <c r="A923" s="33">
        <v>42084</v>
      </c>
      <c r="B923" s="206" t="s">
        <v>2822</v>
      </c>
      <c r="C923" s="254" t="s">
        <v>2823</v>
      </c>
      <c r="D923" t="s">
        <v>4642</v>
      </c>
      <c r="E923" t="s">
        <v>5544</v>
      </c>
      <c r="F923" s="42" t="s">
        <v>4000</v>
      </c>
      <c r="K923" s="82"/>
    </row>
    <row r="924" spans="1:19" x14ac:dyDescent="0.2">
      <c r="A924" s="33">
        <v>42077</v>
      </c>
      <c r="B924" s="206" t="s">
        <v>2822</v>
      </c>
      <c r="C924" s="254" t="s">
        <v>2823</v>
      </c>
      <c r="D924" s="1">
        <v>1.5358796296296296E-2</v>
      </c>
      <c r="E924" t="s">
        <v>5544</v>
      </c>
      <c r="F924" s="69" t="s">
        <v>2062</v>
      </c>
      <c r="I924" s="42"/>
      <c r="J924" s="42"/>
      <c r="K924" s="82">
        <v>0.67600000000000005</v>
      </c>
    </row>
    <row r="925" spans="1:19" x14ac:dyDescent="0.2">
      <c r="A925" s="33">
        <v>42070</v>
      </c>
      <c r="B925" s="206" t="s">
        <v>2822</v>
      </c>
      <c r="C925" s="254" t="s">
        <v>2823</v>
      </c>
      <c r="D925" s="1">
        <v>1.5081018518518516E-2</v>
      </c>
      <c r="E925" t="s">
        <v>5544</v>
      </c>
      <c r="F925" s="69" t="s">
        <v>801</v>
      </c>
      <c r="K925" s="82">
        <v>0.68610000000000004</v>
      </c>
    </row>
    <row r="926" spans="1:19" x14ac:dyDescent="0.2">
      <c r="A926" s="33">
        <v>42063</v>
      </c>
      <c r="B926" s="206" t="s">
        <v>2822</v>
      </c>
      <c r="C926" s="254" t="s">
        <v>2823</v>
      </c>
      <c r="D926" s="1">
        <v>1.5162037037037036E-2</v>
      </c>
      <c r="E926" t="s">
        <v>5544</v>
      </c>
      <c r="F926" s="42" t="s">
        <v>363</v>
      </c>
      <c r="K926" s="82">
        <v>0.68240000000000001</v>
      </c>
    </row>
    <row r="927" spans="1:19" x14ac:dyDescent="0.2">
      <c r="A927" s="33">
        <v>42056</v>
      </c>
      <c r="B927" s="206" t="s">
        <v>2822</v>
      </c>
      <c r="C927" s="254" t="s">
        <v>2823</v>
      </c>
      <c r="D927" s="1">
        <v>1.6134259259259261E-2</v>
      </c>
      <c r="E927" t="s">
        <v>5885</v>
      </c>
      <c r="F927" s="69" t="s">
        <v>2629</v>
      </c>
      <c r="I927" s="6"/>
      <c r="J927" s="6"/>
      <c r="K927" s="82">
        <v>0.64129999999999998</v>
      </c>
      <c r="S927" s="5"/>
    </row>
    <row r="928" spans="1:19" x14ac:dyDescent="0.2">
      <c r="A928" s="33">
        <v>42049</v>
      </c>
      <c r="B928" s="206" t="s">
        <v>2822</v>
      </c>
      <c r="C928" s="254" t="s">
        <v>2823</v>
      </c>
      <c r="D928" s="1">
        <v>1.5509259259259257E-2</v>
      </c>
      <c r="E928" t="s">
        <v>5544</v>
      </c>
      <c r="F928" s="69" t="s">
        <v>3803</v>
      </c>
      <c r="K928" s="82">
        <v>0.66720000000000002</v>
      </c>
    </row>
    <row r="929" spans="1:19" x14ac:dyDescent="0.2">
      <c r="A929" s="33">
        <v>42042</v>
      </c>
      <c r="B929" s="206" t="s">
        <v>2822</v>
      </c>
      <c r="C929" s="254" t="s">
        <v>2823</v>
      </c>
      <c r="D929" s="1">
        <v>1.5335648148148147E-2</v>
      </c>
      <c r="E929" t="s">
        <v>5544</v>
      </c>
      <c r="F929" s="42" t="s">
        <v>2746</v>
      </c>
      <c r="K929" s="82">
        <v>0.67469999999999997</v>
      </c>
    </row>
    <row r="930" spans="1:19" x14ac:dyDescent="0.2">
      <c r="A930" s="33">
        <v>42035</v>
      </c>
      <c r="B930" s="197" t="s">
        <v>2822</v>
      </c>
      <c r="C930" s="265" t="s">
        <v>2823</v>
      </c>
      <c r="D930" s="1">
        <v>1.5555555555555553E-2</v>
      </c>
      <c r="E930" t="s">
        <v>5544</v>
      </c>
      <c r="F930" s="42"/>
      <c r="K930" s="82">
        <v>0.66520000000000001</v>
      </c>
      <c r="S930" s="5"/>
    </row>
    <row r="931" spans="1:19" x14ac:dyDescent="0.2">
      <c r="A931" s="33">
        <v>42028</v>
      </c>
      <c r="B931" s="206" t="s">
        <v>2822</v>
      </c>
      <c r="C931" s="254" t="s">
        <v>2823</v>
      </c>
      <c r="D931" s="1">
        <v>1.5520833333333333E-2</v>
      </c>
      <c r="E931" t="s">
        <v>5544</v>
      </c>
      <c r="F931" s="42" t="s">
        <v>796</v>
      </c>
      <c r="K931" s="82">
        <v>0.66669999999999996</v>
      </c>
    </row>
    <row r="932" spans="1:19" x14ac:dyDescent="0.2">
      <c r="A932" s="33">
        <v>42021</v>
      </c>
      <c r="B932" s="197" t="s">
        <v>2822</v>
      </c>
      <c r="C932" s="265" t="s">
        <v>2823</v>
      </c>
      <c r="D932" s="1" t="s">
        <v>787</v>
      </c>
      <c r="E932" t="s">
        <v>5544</v>
      </c>
      <c r="F932" s="42" t="s">
        <v>4000</v>
      </c>
      <c r="K932" s="82"/>
    </row>
    <row r="933" spans="1:19" x14ac:dyDescent="0.2">
      <c r="A933" s="33">
        <v>42014</v>
      </c>
      <c r="B933" s="197" t="s">
        <v>2822</v>
      </c>
      <c r="C933" s="265" t="s">
        <v>2823</v>
      </c>
      <c r="D933" s="1">
        <v>1.579861111111111E-2</v>
      </c>
      <c r="E933" t="s">
        <v>5544</v>
      </c>
      <c r="F933" s="42" t="s">
        <v>3136</v>
      </c>
      <c r="K933" s="82">
        <v>0.65490000000000004</v>
      </c>
    </row>
    <row r="934" spans="1:19" x14ac:dyDescent="0.2">
      <c r="A934" s="33">
        <v>42091</v>
      </c>
      <c r="B934" s="53" t="s">
        <v>866</v>
      </c>
      <c r="C934" s="54" t="s">
        <v>4030</v>
      </c>
      <c r="D934" s="1">
        <v>2.1446759259259259E-2</v>
      </c>
      <c r="E934" t="s">
        <v>5885</v>
      </c>
      <c r="F934" s="42" t="s">
        <v>4653</v>
      </c>
      <c r="K934" s="82">
        <v>0.50190000000000001</v>
      </c>
    </row>
    <row r="935" spans="1:19" x14ac:dyDescent="0.2">
      <c r="A935" s="33">
        <v>42343</v>
      </c>
      <c r="B935" t="s">
        <v>429</v>
      </c>
      <c r="C935" s="1" t="s">
        <v>430</v>
      </c>
      <c r="D935" s="1">
        <v>1.7905092592592594E-2</v>
      </c>
      <c r="E935" t="s">
        <v>5544</v>
      </c>
      <c r="F935" s="69" t="s">
        <v>5382</v>
      </c>
      <c r="I935" s="2"/>
      <c r="K935" s="82">
        <v>0.63280000000000003</v>
      </c>
    </row>
    <row r="936" spans="1:19" x14ac:dyDescent="0.2">
      <c r="A936" s="33">
        <v>42336</v>
      </c>
      <c r="B936" t="s">
        <v>429</v>
      </c>
      <c r="C936" s="1" t="s">
        <v>430</v>
      </c>
      <c r="D936" s="1">
        <v>1.8564814814814815E-2</v>
      </c>
      <c r="E936" t="s">
        <v>5544</v>
      </c>
      <c r="F936" s="69" t="s">
        <v>3515</v>
      </c>
      <c r="I936" s="2"/>
      <c r="K936" s="82">
        <v>0.61029999999999995</v>
      </c>
    </row>
    <row r="937" spans="1:19" x14ac:dyDescent="0.2">
      <c r="A937" s="33">
        <v>42175</v>
      </c>
      <c r="B937" t="s">
        <v>429</v>
      </c>
      <c r="C937" s="1" t="s">
        <v>430</v>
      </c>
      <c r="D937" s="1">
        <v>1.7372685185185185E-2</v>
      </c>
      <c r="E937" t="s">
        <v>5544</v>
      </c>
      <c r="F937" s="69" t="s">
        <v>4879</v>
      </c>
      <c r="K937" s="82">
        <v>0.64690000000000003</v>
      </c>
    </row>
    <row r="938" spans="1:19" x14ac:dyDescent="0.2">
      <c r="A938" s="33">
        <v>42126</v>
      </c>
      <c r="B938" t="s">
        <v>429</v>
      </c>
      <c r="C938" s="1" t="s">
        <v>430</v>
      </c>
      <c r="D938" s="1">
        <v>1.6932870370370369E-2</v>
      </c>
      <c r="E938" t="s">
        <v>5544</v>
      </c>
      <c r="F938" s="69" t="s">
        <v>2540</v>
      </c>
      <c r="I938" s="42"/>
      <c r="J938" s="42"/>
      <c r="K938" s="82">
        <v>0.66369999999999996</v>
      </c>
    </row>
    <row r="939" spans="1:19" x14ac:dyDescent="0.2">
      <c r="A939" s="33">
        <v>42091</v>
      </c>
      <c r="B939" t="s">
        <v>429</v>
      </c>
      <c r="C939" s="1" t="s">
        <v>430</v>
      </c>
      <c r="D939" s="1">
        <v>1.7361111111111112E-2</v>
      </c>
      <c r="E939" t="s">
        <v>5544</v>
      </c>
      <c r="F939" s="42" t="s">
        <v>1792</v>
      </c>
      <c r="K939" s="82">
        <v>0.64729999999999999</v>
      </c>
    </row>
    <row r="940" spans="1:19" x14ac:dyDescent="0.2">
      <c r="A940" s="33">
        <v>42070</v>
      </c>
      <c r="B940" t="s">
        <v>429</v>
      </c>
      <c r="C940" s="1" t="s">
        <v>430</v>
      </c>
      <c r="D940" s="1">
        <v>1.6574074074074074E-2</v>
      </c>
      <c r="E940" t="s">
        <v>5544</v>
      </c>
      <c r="F940" s="69" t="s">
        <v>2629</v>
      </c>
      <c r="G940" s="42"/>
      <c r="H940" s="42"/>
      <c r="K940" s="82">
        <v>0.67810000000000004</v>
      </c>
    </row>
    <row r="941" spans="1:19" x14ac:dyDescent="0.2">
      <c r="A941" s="33">
        <v>42063</v>
      </c>
      <c r="B941" t="s">
        <v>429</v>
      </c>
      <c r="C941" s="1" t="s">
        <v>430</v>
      </c>
      <c r="D941" s="1">
        <v>1.7037037037037038E-2</v>
      </c>
      <c r="E941" t="s">
        <v>5544</v>
      </c>
      <c r="F941" s="41"/>
      <c r="K941" s="82">
        <v>0.65959999999999996</v>
      </c>
      <c r="S941" s="5"/>
    </row>
    <row r="942" spans="1:19" x14ac:dyDescent="0.2">
      <c r="A942" s="33">
        <v>42056</v>
      </c>
      <c r="B942" t="s">
        <v>429</v>
      </c>
      <c r="C942" s="1" t="s">
        <v>430</v>
      </c>
      <c r="D942" s="1">
        <v>1.6608796296296299E-2</v>
      </c>
      <c r="E942" t="s">
        <v>5544</v>
      </c>
      <c r="F942" s="69" t="s">
        <v>2629</v>
      </c>
      <c r="I942" s="6"/>
      <c r="J942" s="6"/>
      <c r="K942" s="82">
        <v>0.67669999999999997</v>
      </c>
    </row>
    <row r="943" spans="1:19" x14ac:dyDescent="0.2">
      <c r="A943" s="33">
        <v>42049</v>
      </c>
      <c r="B943" t="s">
        <v>429</v>
      </c>
      <c r="C943" s="1" t="s">
        <v>430</v>
      </c>
      <c r="D943" s="1">
        <v>1.695601851851852E-2</v>
      </c>
      <c r="E943" t="s">
        <v>5544</v>
      </c>
      <c r="F943" s="69" t="s">
        <v>2629</v>
      </c>
      <c r="K943" s="82">
        <v>0.66279999999999994</v>
      </c>
    </row>
    <row r="944" spans="1:19" x14ac:dyDescent="0.2">
      <c r="A944" s="33">
        <v>42014</v>
      </c>
      <c r="B944" s="5" t="s">
        <v>429</v>
      </c>
      <c r="C944" s="32" t="s">
        <v>430</v>
      </c>
      <c r="D944" s="1">
        <v>1.7141203703703704E-2</v>
      </c>
      <c r="E944" t="s">
        <v>5544</v>
      </c>
      <c r="F944" s="42" t="s">
        <v>2070</v>
      </c>
      <c r="K944" s="82">
        <v>0.65559999999999996</v>
      </c>
    </row>
    <row r="945" spans="1:19" x14ac:dyDescent="0.2">
      <c r="A945" s="33">
        <v>42364</v>
      </c>
      <c r="B945" s="206" t="s">
        <v>4878</v>
      </c>
      <c r="C945" s="254" t="s">
        <v>3250</v>
      </c>
      <c r="D945" s="1">
        <v>2.0023148148148148E-2</v>
      </c>
      <c r="E945" t="s">
        <v>2424</v>
      </c>
      <c r="F945" s="69" t="s">
        <v>2629</v>
      </c>
      <c r="I945" s="2"/>
      <c r="K945" s="82">
        <v>0.51390000000000002</v>
      </c>
    </row>
    <row r="946" spans="1:19" x14ac:dyDescent="0.2">
      <c r="A946" s="33">
        <v>42357</v>
      </c>
      <c r="B946" s="206" t="s">
        <v>4878</v>
      </c>
      <c r="C946" s="254" t="s">
        <v>3250</v>
      </c>
      <c r="D946" s="1">
        <v>2.1504629629629627E-2</v>
      </c>
      <c r="E946" t="s">
        <v>4739</v>
      </c>
      <c r="F946" s="69" t="s">
        <v>295</v>
      </c>
      <c r="I946" s="2"/>
      <c r="K946" s="82">
        <v>0.47849999999999998</v>
      </c>
      <c r="S946" s="80"/>
    </row>
    <row r="947" spans="1:19" x14ac:dyDescent="0.2">
      <c r="A947" s="33">
        <v>42350</v>
      </c>
      <c r="B947" s="206" t="s">
        <v>4878</v>
      </c>
      <c r="C947" s="254" t="s">
        <v>3250</v>
      </c>
      <c r="D947" s="1">
        <v>2.0486111111111111E-2</v>
      </c>
      <c r="E947" t="s">
        <v>1007</v>
      </c>
      <c r="F947" s="69" t="s">
        <v>1008</v>
      </c>
      <c r="I947" s="2"/>
      <c r="K947" s="82">
        <v>0.50229999999999997</v>
      </c>
    </row>
    <row r="948" spans="1:19" x14ac:dyDescent="0.2">
      <c r="A948" s="33">
        <v>42343</v>
      </c>
      <c r="B948" s="206" t="s">
        <v>4878</v>
      </c>
      <c r="C948" s="254" t="s">
        <v>3250</v>
      </c>
      <c r="D948" s="1">
        <v>2.2303240740740738E-2</v>
      </c>
      <c r="E948" t="s">
        <v>850</v>
      </c>
      <c r="F948" s="69" t="s">
        <v>5765</v>
      </c>
      <c r="I948" s="2"/>
      <c r="K948" s="82">
        <v>0.46129999999999999</v>
      </c>
    </row>
    <row r="949" spans="1:19" x14ac:dyDescent="0.2">
      <c r="A949" s="33">
        <v>42133</v>
      </c>
      <c r="B949" s="206" t="s">
        <v>4878</v>
      </c>
      <c r="C949" s="254" t="s">
        <v>3250</v>
      </c>
      <c r="D949" s="1">
        <v>2.4351851851851857E-2</v>
      </c>
      <c r="E949" t="s">
        <v>4004</v>
      </c>
      <c r="F949" s="69" t="s">
        <v>255</v>
      </c>
      <c r="K949" s="82">
        <v>0.42249999999999999</v>
      </c>
    </row>
    <row r="950" spans="1:19" x14ac:dyDescent="0.2">
      <c r="A950" s="33">
        <v>42084</v>
      </c>
      <c r="B950" s="206" t="s">
        <v>4878</v>
      </c>
      <c r="C950" s="254" t="s">
        <v>3250</v>
      </c>
      <c r="D950" s="1">
        <v>2.0543981481481479E-2</v>
      </c>
      <c r="E950" t="s">
        <v>5948</v>
      </c>
      <c r="F950" s="42" t="s">
        <v>3928</v>
      </c>
      <c r="K950" s="82">
        <v>0.50029999999999997</v>
      </c>
    </row>
    <row r="951" spans="1:19" x14ac:dyDescent="0.2">
      <c r="A951" s="33">
        <v>42035</v>
      </c>
      <c r="B951" s="206" t="s">
        <v>4878</v>
      </c>
      <c r="C951" s="254" t="s">
        <v>3250</v>
      </c>
      <c r="D951" s="1">
        <v>2.1284722222222222E-2</v>
      </c>
      <c r="E951" t="s">
        <v>2818</v>
      </c>
      <c r="F951" s="42"/>
      <c r="G951" s="42"/>
      <c r="H951" s="42"/>
      <c r="K951" s="82">
        <v>0.4829</v>
      </c>
    </row>
    <row r="952" spans="1:19" x14ac:dyDescent="0.2">
      <c r="A952" s="33">
        <v>42028</v>
      </c>
      <c r="B952" s="206" t="s">
        <v>855</v>
      </c>
      <c r="C952" s="254" t="s">
        <v>3250</v>
      </c>
      <c r="D952" s="1">
        <v>2.1226851851851854E-2</v>
      </c>
      <c r="E952" t="s">
        <v>3072</v>
      </c>
      <c r="F952" s="42"/>
      <c r="K952" s="82">
        <v>0.48420000000000002</v>
      </c>
    </row>
    <row r="953" spans="1:19" x14ac:dyDescent="0.2">
      <c r="A953" s="33">
        <v>42252</v>
      </c>
      <c r="B953" t="s">
        <v>435</v>
      </c>
      <c r="C953" s="1" t="s">
        <v>4419</v>
      </c>
      <c r="D953" s="1">
        <v>2.3530092592592592E-2</v>
      </c>
      <c r="E953" t="s">
        <v>4727</v>
      </c>
      <c r="F953" s="69" t="s">
        <v>17</v>
      </c>
      <c r="K953" s="82">
        <v>0.55930000000000002</v>
      </c>
    </row>
    <row r="954" spans="1:19" x14ac:dyDescent="0.2">
      <c r="A954" s="33">
        <v>42245</v>
      </c>
      <c r="B954" t="s">
        <v>435</v>
      </c>
      <c r="C954" s="1" t="s">
        <v>4419</v>
      </c>
      <c r="D954" s="1">
        <v>2.1990740740740741E-2</v>
      </c>
      <c r="E954" t="s">
        <v>1401</v>
      </c>
      <c r="F954" s="69" t="s">
        <v>4420</v>
      </c>
      <c r="K954" s="82">
        <v>0.59840000000000004</v>
      </c>
    </row>
    <row r="955" spans="1:19" x14ac:dyDescent="0.2">
      <c r="A955" s="33">
        <v>42287</v>
      </c>
      <c r="B955" t="s">
        <v>3184</v>
      </c>
      <c r="C955" s="1" t="s">
        <v>3185</v>
      </c>
      <c r="D955" s="1">
        <v>2.0462962962962964E-2</v>
      </c>
      <c r="E955" t="s">
        <v>5453</v>
      </c>
      <c r="F955" s="69" t="s">
        <v>1113</v>
      </c>
      <c r="I955" s="2"/>
      <c r="K955" s="82">
        <v>0.56389999999999996</v>
      </c>
    </row>
    <row r="956" spans="1:19" x14ac:dyDescent="0.2">
      <c r="A956" s="33">
        <v>42280</v>
      </c>
      <c r="B956" t="s">
        <v>3184</v>
      </c>
      <c r="C956" s="1" t="s">
        <v>3185</v>
      </c>
      <c r="D956" s="1">
        <v>1.8020833333333333E-2</v>
      </c>
      <c r="E956" t="s">
        <v>5453</v>
      </c>
      <c r="F956" s="69" t="s">
        <v>315</v>
      </c>
      <c r="I956" s="2"/>
      <c r="K956" s="82">
        <v>0.64029999999999998</v>
      </c>
    </row>
    <row r="957" spans="1:19" x14ac:dyDescent="0.2">
      <c r="A957" s="33">
        <v>42238</v>
      </c>
      <c r="B957" t="s">
        <v>3184</v>
      </c>
      <c r="C957" s="1" t="s">
        <v>3185</v>
      </c>
      <c r="D957" s="1">
        <v>1.9351851851851853E-2</v>
      </c>
      <c r="E957" s="5" t="s">
        <v>5456</v>
      </c>
      <c r="F957" s="69" t="s">
        <v>1054</v>
      </c>
      <c r="K957" s="82">
        <v>0.59630000000000005</v>
      </c>
    </row>
    <row r="958" spans="1:19" x14ac:dyDescent="0.2">
      <c r="A958" s="33">
        <v>42175</v>
      </c>
      <c r="B958" t="s">
        <v>3184</v>
      </c>
      <c r="C958" s="1" t="s">
        <v>3185</v>
      </c>
      <c r="D958" s="1">
        <v>1.7870370370370373E-2</v>
      </c>
      <c r="E958" t="s">
        <v>5453</v>
      </c>
      <c r="F958" s="69" t="s">
        <v>4932</v>
      </c>
      <c r="K958" s="82">
        <v>0.64570000000000005</v>
      </c>
    </row>
    <row r="959" spans="1:19" x14ac:dyDescent="0.2">
      <c r="A959" s="33">
        <v>42140</v>
      </c>
      <c r="B959" t="s">
        <v>3184</v>
      </c>
      <c r="C959" s="1" t="s">
        <v>3185</v>
      </c>
      <c r="D959" s="1">
        <v>1.6898148148148148E-2</v>
      </c>
      <c r="E959" t="s">
        <v>1401</v>
      </c>
      <c r="F959" s="69" t="s">
        <v>1265</v>
      </c>
      <c r="G959" s="6"/>
      <c r="H959" s="6"/>
      <c r="K959" s="82">
        <v>0.68289999999999995</v>
      </c>
    </row>
    <row r="960" spans="1:19" x14ac:dyDescent="0.2">
      <c r="A960" s="33">
        <v>42105</v>
      </c>
      <c r="B960" t="s">
        <v>3184</v>
      </c>
      <c r="C960" s="1" t="s">
        <v>3185</v>
      </c>
      <c r="D960" s="1">
        <v>1.6793981481481483E-2</v>
      </c>
      <c r="E960" t="s">
        <v>5453</v>
      </c>
      <c r="F960" s="69" t="s">
        <v>4031</v>
      </c>
      <c r="K960" s="82">
        <v>0.68089999999999995</v>
      </c>
    </row>
    <row r="961" spans="1:19" x14ac:dyDescent="0.2">
      <c r="A961" s="33">
        <v>42007</v>
      </c>
      <c r="B961" t="s">
        <v>3184</v>
      </c>
      <c r="C961" s="1" t="s">
        <v>3185</v>
      </c>
      <c r="D961" s="1">
        <v>1.7789351851851851E-2</v>
      </c>
      <c r="E961" t="s">
        <v>5453</v>
      </c>
      <c r="F961" s="42" t="s">
        <v>5169</v>
      </c>
      <c r="K961" s="82">
        <v>0.64280000000000004</v>
      </c>
    </row>
    <row r="962" spans="1:19" x14ac:dyDescent="0.2">
      <c r="A962" s="33">
        <v>42336</v>
      </c>
      <c r="B962" t="s">
        <v>1525</v>
      </c>
      <c r="C962" s="1" t="s">
        <v>1525</v>
      </c>
      <c r="D962" s="1">
        <v>1.0486111111111111E-2</v>
      </c>
      <c r="E962" t="s">
        <v>5544</v>
      </c>
      <c r="F962" s="69" t="s">
        <v>1526</v>
      </c>
      <c r="I962" s="2"/>
      <c r="K962" s="82">
        <v>0.85429999999999995</v>
      </c>
    </row>
    <row r="963" spans="1:19" x14ac:dyDescent="0.2">
      <c r="A963" s="33">
        <v>42357</v>
      </c>
      <c r="B963" t="s">
        <v>1794</v>
      </c>
      <c r="C963" s="1" t="s">
        <v>1795</v>
      </c>
      <c r="D963" s="1">
        <v>2.1689814814814815E-2</v>
      </c>
      <c r="E963" t="s">
        <v>5544</v>
      </c>
      <c r="F963" s="69" t="s">
        <v>3003</v>
      </c>
      <c r="I963" s="2"/>
      <c r="K963" s="82">
        <v>0.57150000000000001</v>
      </c>
      <c r="S963" s="80"/>
    </row>
    <row r="964" spans="1:19" x14ac:dyDescent="0.2">
      <c r="A964" s="33">
        <v>42350</v>
      </c>
      <c r="B964" t="s">
        <v>1794</v>
      </c>
      <c r="C964" s="1" t="s">
        <v>1795</v>
      </c>
      <c r="D964" s="1">
        <v>2.1863425925925925E-2</v>
      </c>
      <c r="E964" t="s">
        <v>2818</v>
      </c>
      <c r="F964" s="69" t="s">
        <v>2552</v>
      </c>
      <c r="I964" s="2"/>
      <c r="K964" s="82">
        <v>0.56699999999999995</v>
      </c>
    </row>
    <row r="965" spans="1:19" x14ac:dyDescent="0.2">
      <c r="A965" s="33">
        <v>42343</v>
      </c>
      <c r="B965" t="s">
        <v>1794</v>
      </c>
      <c r="C965" s="1" t="s">
        <v>1795</v>
      </c>
      <c r="D965" t="s">
        <v>787</v>
      </c>
      <c r="E965" s="5" t="s">
        <v>5544</v>
      </c>
      <c r="F965" s="108" t="s">
        <v>4854</v>
      </c>
      <c r="G965" s="5"/>
      <c r="H965" s="2"/>
      <c r="I965" s="2"/>
      <c r="K965" s="82"/>
    </row>
    <row r="966" spans="1:19" x14ac:dyDescent="0.2">
      <c r="A966" s="33">
        <v>42336</v>
      </c>
      <c r="B966" t="s">
        <v>1794</v>
      </c>
      <c r="C966" s="1" t="s">
        <v>1795</v>
      </c>
      <c r="D966" s="1">
        <v>2.1840277777777778E-2</v>
      </c>
      <c r="E966" t="s">
        <v>5544</v>
      </c>
      <c r="F966" s="69" t="s">
        <v>2130</v>
      </c>
      <c r="I966" s="2"/>
      <c r="K966" s="82">
        <v>0.56759999999999999</v>
      </c>
    </row>
    <row r="967" spans="1:19" x14ac:dyDescent="0.2">
      <c r="A967" s="34">
        <v>42329</v>
      </c>
      <c r="B967" t="s">
        <v>1794</v>
      </c>
      <c r="C967" s="1" t="s">
        <v>1795</v>
      </c>
      <c r="D967" s="1" t="s">
        <v>787</v>
      </c>
      <c r="E967" t="s">
        <v>5544</v>
      </c>
      <c r="F967" s="69" t="s">
        <v>2836</v>
      </c>
      <c r="I967" s="2"/>
      <c r="K967" s="82"/>
    </row>
    <row r="968" spans="1:19" x14ac:dyDescent="0.2">
      <c r="A968" s="33">
        <v>42322</v>
      </c>
      <c r="B968" t="s">
        <v>1794</v>
      </c>
      <c r="C968" s="1" t="s">
        <v>1795</v>
      </c>
      <c r="D968" s="1">
        <v>2.2592592592592591E-2</v>
      </c>
      <c r="E968" t="s">
        <v>4176</v>
      </c>
      <c r="F968" s="69" t="s">
        <v>4219</v>
      </c>
      <c r="I968" s="2"/>
      <c r="K968" s="82">
        <v>0.54869999999999997</v>
      </c>
    </row>
    <row r="969" spans="1:19" x14ac:dyDescent="0.2">
      <c r="A969" s="33">
        <v>42315</v>
      </c>
      <c r="B969" t="s">
        <v>1794</v>
      </c>
      <c r="C969" s="1" t="s">
        <v>1795</v>
      </c>
      <c r="D969" s="1">
        <v>2.2638888888888889E-2</v>
      </c>
      <c r="E969" t="s">
        <v>5821</v>
      </c>
      <c r="F969" s="69" t="s">
        <v>2335</v>
      </c>
      <c r="I969" s="2"/>
      <c r="K969" s="82">
        <v>0.54749999999999999</v>
      </c>
    </row>
    <row r="970" spans="1:19" x14ac:dyDescent="0.2">
      <c r="A970" s="33">
        <v>42308</v>
      </c>
      <c r="B970" t="s">
        <v>1794</v>
      </c>
      <c r="C970" s="1" t="s">
        <v>1795</v>
      </c>
      <c r="D970" s="1">
        <v>2.2962962962962966E-2</v>
      </c>
      <c r="E970" t="s">
        <v>5544</v>
      </c>
      <c r="F970" s="69" t="s">
        <v>3909</v>
      </c>
      <c r="I970" s="2"/>
      <c r="K970" s="82">
        <v>0.53979999999999995</v>
      </c>
    </row>
    <row r="971" spans="1:19" x14ac:dyDescent="0.2">
      <c r="A971" s="33">
        <v>42294</v>
      </c>
      <c r="B971" t="s">
        <v>1794</v>
      </c>
      <c r="C971" s="1" t="s">
        <v>1795</v>
      </c>
      <c r="D971" s="1">
        <v>2.013888888888889E-2</v>
      </c>
      <c r="E971" t="s">
        <v>4004</v>
      </c>
      <c r="F971" s="69" t="s">
        <v>2710</v>
      </c>
      <c r="I971" s="2"/>
      <c r="K971" s="82">
        <v>0.61550000000000005</v>
      </c>
    </row>
    <row r="972" spans="1:19" x14ac:dyDescent="0.2">
      <c r="A972" s="33">
        <v>42287</v>
      </c>
      <c r="B972" t="s">
        <v>1794</v>
      </c>
      <c r="C972" s="1" t="s">
        <v>1795</v>
      </c>
      <c r="D972" s="1">
        <v>2.0879629629629626E-2</v>
      </c>
      <c r="E972" t="s">
        <v>1719</v>
      </c>
      <c r="F972" s="69" t="s">
        <v>2629</v>
      </c>
      <c r="I972" s="2"/>
      <c r="K972" s="82">
        <v>0.59370000000000001</v>
      </c>
    </row>
    <row r="973" spans="1:19" x14ac:dyDescent="0.2">
      <c r="A973" s="33">
        <v>42280</v>
      </c>
      <c r="B973" t="s">
        <v>1794</v>
      </c>
      <c r="C973" s="1" t="s">
        <v>1795</v>
      </c>
      <c r="D973" s="1">
        <v>2.0659722222222222E-2</v>
      </c>
      <c r="E973" t="s">
        <v>5544</v>
      </c>
      <c r="F973" s="69" t="s">
        <v>224</v>
      </c>
      <c r="G973" t="s">
        <v>978</v>
      </c>
      <c r="I973" s="2"/>
      <c r="K973" s="82">
        <v>0.6</v>
      </c>
    </row>
    <row r="974" spans="1:19" x14ac:dyDescent="0.2">
      <c r="A974" s="33">
        <v>42273</v>
      </c>
      <c r="B974" t="s">
        <v>1794</v>
      </c>
      <c r="C974" s="1" t="s">
        <v>1795</v>
      </c>
      <c r="D974" s="1">
        <v>2.1250000000000002E-2</v>
      </c>
      <c r="E974" t="s">
        <v>6021</v>
      </c>
      <c r="F974" s="69" t="s">
        <v>2629</v>
      </c>
      <c r="I974" s="2"/>
      <c r="K974" s="82">
        <v>0.58330000000000004</v>
      </c>
    </row>
    <row r="975" spans="1:19" x14ac:dyDescent="0.2">
      <c r="A975" s="33">
        <v>42266</v>
      </c>
      <c r="B975" t="s">
        <v>1794</v>
      </c>
      <c r="C975" s="1" t="s">
        <v>1795</v>
      </c>
      <c r="D975" s="1">
        <v>2.0601851851851854E-2</v>
      </c>
      <c r="E975" t="s">
        <v>209</v>
      </c>
      <c r="F975" s="69" t="s">
        <v>2629</v>
      </c>
      <c r="K975" s="82">
        <v>0.60170000000000001</v>
      </c>
    </row>
    <row r="976" spans="1:19" x14ac:dyDescent="0.2">
      <c r="A976" s="33">
        <v>42252</v>
      </c>
      <c r="B976" t="s">
        <v>1794</v>
      </c>
      <c r="C976" s="1" t="s">
        <v>1795</v>
      </c>
      <c r="D976" s="1">
        <v>2.1250000000000002E-2</v>
      </c>
      <c r="E976" t="s">
        <v>4727</v>
      </c>
      <c r="F976" s="69" t="s">
        <v>4531</v>
      </c>
      <c r="K976" s="82">
        <v>0.58330000000000004</v>
      </c>
    </row>
    <row r="977" spans="1:13" x14ac:dyDescent="0.2">
      <c r="A977" s="33">
        <v>42245</v>
      </c>
      <c r="B977" t="s">
        <v>1794</v>
      </c>
      <c r="C977" s="1" t="s">
        <v>1795</v>
      </c>
      <c r="D977" s="1">
        <v>2.0682870370370372E-2</v>
      </c>
      <c r="E977" t="s">
        <v>5544</v>
      </c>
      <c r="F977" s="69" t="s">
        <v>4899</v>
      </c>
      <c r="K977" s="82">
        <v>0.59930000000000005</v>
      </c>
    </row>
    <row r="978" spans="1:13" x14ac:dyDescent="0.2">
      <c r="A978" s="33">
        <v>42238</v>
      </c>
      <c r="B978" t="s">
        <v>1794</v>
      </c>
      <c r="C978" s="1" t="s">
        <v>1795</v>
      </c>
      <c r="D978" s="1">
        <v>2.1967592592592594E-2</v>
      </c>
      <c r="E978" t="s">
        <v>3167</v>
      </c>
      <c r="F978" s="69" t="s">
        <v>873</v>
      </c>
      <c r="K978" s="82">
        <v>0.56430000000000002</v>
      </c>
    </row>
    <row r="979" spans="1:13" x14ac:dyDescent="0.2">
      <c r="A979" s="33">
        <v>42231</v>
      </c>
      <c r="B979" t="s">
        <v>1794</v>
      </c>
      <c r="C979" s="1" t="s">
        <v>1795</v>
      </c>
      <c r="D979" s="1">
        <v>2.1770833333333336E-2</v>
      </c>
      <c r="E979" t="s">
        <v>6016</v>
      </c>
      <c r="F979" s="69" t="s">
        <v>2629</v>
      </c>
      <c r="K979" s="82">
        <v>0.56940000000000002</v>
      </c>
    </row>
    <row r="980" spans="1:13" x14ac:dyDescent="0.2">
      <c r="A980" s="33">
        <v>42224</v>
      </c>
      <c r="B980" t="s">
        <v>1794</v>
      </c>
      <c r="C980" s="1" t="s">
        <v>1795</v>
      </c>
      <c r="D980" s="1">
        <v>2.146990740740741E-2</v>
      </c>
      <c r="E980" t="s">
        <v>4694</v>
      </c>
      <c r="F980" s="69" t="s">
        <v>1372</v>
      </c>
      <c r="K980" s="82">
        <v>0.57740000000000002</v>
      </c>
    </row>
    <row r="981" spans="1:13" x14ac:dyDescent="0.2">
      <c r="A981" s="33">
        <v>42217</v>
      </c>
      <c r="B981" t="s">
        <v>1794</v>
      </c>
      <c r="C981" s="1" t="s">
        <v>1795</v>
      </c>
      <c r="D981" s="1">
        <v>2.101851851851852E-2</v>
      </c>
      <c r="E981" t="s">
        <v>5544</v>
      </c>
      <c r="F981" s="69" t="s">
        <v>1311</v>
      </c>
      <c r="K981" s="82">
        <v>0.58979999999999999</v>
      </c>
    </row>
    <row r="982" spans="1:13" x14ac:dyDescent="0.2">
      <c r="A982" s="33">
        <v>42210</v>
      </c>
      <c r="B982" t="s">
        <v>1794</v>
      </c>
      <c r="C982" s="1" t="s">
        <v>1795</v>
      </c>
      <c r="D982" s="1">
        <v>2.1724537037037039E-2</v>
      </c>
      <c r="E982" t="s">
        <v>5654</v>
      </c>
      <c r="F982" s="69" t="s">
        <v>970</v>
      </c>
      <c r="K982" s="82">
        <v>0.5706</v>
      </c>
    </row>
    <row r="983" spans="1:13" x14ac:dyDescent="0.2">
      <c r="A983" s="33">
        <v>42203</v>
      </c>
      <c r="B983" t="s">
        <v>1794</v>
      </c>
      <c r="C983" s="1" t="s">
        <v>1795</v>
      </c>
      <c r="D983" s="1">
        <v>2.2488425925925926E-2</v>
      </c>
      <c r="E983" t="s">
        <v>5821</v>
      </c>
      <c r="F983" s="69" t="s">
        <v>3557</v>
      </c>
      <c r="K983" s="82">
        <v>0.55120000000000002</v>
      </c>
    </row>
    <row r="984" spans="1:13" x14ac:dyDescent="0.2">
      <c r="A984" s="33">
        <v>42182</v>
      </c>
      <c r="B984" t="s">
        <v>1794</v>
      </c>
      <c r="C984" s="1" t="s">
        <v>1795</v>
      </c>
      <c r="D984" s="1">
        <v>2.2129629629629628E-2</v>
      </c>
      <c r="E984" t="s">
        <v>527</v>
      </c>
      <c r="F984" s="69" t="s">
        <v>5888</v>
      </c>
      <c r="K984" s="82">
        <v>0.56010000000000004</v>
      </c>
      <c r="M984" t="s">
        <v>5678</v>
      </c>
    </row>
    <row r="985" spans="1:13" x14ac:dyDescent="0.2">
      <c r="A985" s="33">
        <v>42175</v>
      </c>
      <c r="B985" t="s">
        <v>1794</v>
      </c>
      <c r="C985" s="1" t="s">
        <v>1795</v>
      </c>
      <c r="D985" s="1">
        <v>2.1203703703703707E-2</v>
      </c>
      <c r="E985" t="s">
        <v>4861</v>
      </c>
      <c r="F985" s="69" t="s">
        <v>3089</v>
      </c>
      <c r="K985" s="82">
        <v>0.58460000000000001</v>
      </c>
    </row>
    <row r="986" spans="1:13" x14ac:dyDescent="0.2">
      <c r="A986" s="33">
        <v>42168</v>
      </c>
      <c r="B986" t="s">
        <v>1794</v>
      </c>
      <c r="C986" s="1" t="s">
        <v>1795</v>
      </c>
      <c r="D986" s="1">
        <v>2.1203703703703707E-2</v>
      </c>
      <c r="E986" t="s">
        <v>5544</v>
      </c>
      <c r="F986" s="69"/>
      <c r="K986" s="82">
        <v>0.58460000000000001</v>
      </c>
    </row>
    <row r="987" spans="1:13" x14ac:dyDescent="0.2">
      <c r="A987" s="33">
        <v>42161</v>
      </c>
      <c r="B987" t="s">
        <v>1794</v>
      </c>
      <c r="C987" s="1" t="s">
        <v>1795</v>
      </c>
      <c r="D987" s="1">
        <v>2.1666666666666667E-2</v>
      </c>
      <c r="E987" t="s">
        <v>476</v>
      </c>
      <c r="F987" s="69" t="s">
        <v>5690</v>
      </c>
      <c r="K987" s="82">
        <v>0.57210000000000005</v>
      </c>
    </row>
    <row r="988" spans="1:13" x14ac:dyDescent="0.2">
      <c r="A988" s="33">
        <v>42147</v>
      </c>
      <c r="B988" t="s">
        <v>1794</v>
      </c>
      <c r="C988" s="1" t="s">
        <v>1795</v>
      </c>
      <c r="D988" s="1">
        <v>2.1840277777777778E-2</v>
      </c>
      <c r="E988" t="s">
        <v>5544</v>
      </c>
      <c r="F988" s="69" t="s">
        <v>2476</v>
      </c>
      <c r="K988" s="82">
        <v>0.56759999999999999</v>
      </c>
    </row>
    <row r="989" spans="1:13" x14ac:dyDescent="0.2">
      <c r="A989" s="33">
        <v>42140</v>
      </c>
      <c r="B989" t="s">
        <v>1794</v>
      </c>
      <c r="C989" s="1" t="s">
        <v>1795</v>
      </c>
      <c r="D989" s="1">
        <v>2.1631944444444443E-2</v>
      </c>
      <c r="E989" t="s">
        <v>1719</v>
      </c>
      <c r="F989" s="69" t="s">
        <v>3220</v>
      </c>
      <c r="K989" s="82">
        <v>0.57299999999999995</v>
      </c>
    </row>
    <row r="990" spans="1:13" x14ac:dyDescent="0.2">
      <c r="A990" s="33">
        <v>42133</v>
      </c>
      <c r="B990" t="s">
        <v>1794</v>
      </c>
      <c r="C990" s="1" t="s">
        <v>1795</v>
      </c>
      <c r="D990" s="1">
        <v>2.2372685185185186E-2</v>
      </c>
      <c r="E990" t="s">
        <v>6021</v>
      </c>
      <c r="F990" s="69" t="s">
        <v>4231</v>
      </c>
      <c r="G990" s="42"/>
      <c r="H990" s="42"/>
      <c r="I990" t="s">
        <v>1932</v>
      </c>
      <c r="K990" s="82">
        <v>0.55410000000000004</v>
      </c>
    </row>
    <row r="991" spans="1:13" x14ac:dyDescent="0.2">
      <c r="A991" s="33">
        <v>42126</v>
      </c>
      <c r="B991" t="s">
        <v>1794</v>
      </c>
      <c r="C991" s="1" t="s">
        <v>1795</v>
      </c>
      <c r="D991" s="1">
        <v>2.1446759259259259E-2</v>
      </c>
      <c r="E991" t="s">
        <v>2593</v>
      </c>
      <c r="F991" s="69" t="s">
        <v>2572</v>
      </c>
      <c r="I991" s="42"/>
      <c r="J991" s="42"/>
      <c r="K991" s="82">
        <v>0.57799999999999996</v>
      </c>
    </row>
    <row r="992" spans="1:13" x14ac:dyDescent="0.2">
      <c r="A992" s="33">
        <v>42119</v>
      </c>
      <c r="B992" t="s">
        <v>1794</v>
      </c>
      <c r="C992" s="1" t="s">
        <v>1795</v>
      </c>
      <c r="D992" s="1">
        <v>2.2627314814814819E-2</v>
      </c>
      <c r="E992" t="s">
        <v>1805</v>
      </c>
      <c r="F992" s="69" t="s">
        <v>2110</v>
      </c>
      <c r="K992" s="82">
        <v>0.54779999999999995</v>
      </c>
    </row>
    <row r="993" spans="1:19" x14ac:dyDescent="0.2">
      <c r="A993" s="33">
        <v>42112</v>
      </c>
      <c r="B993" t="s">
        <v>1794</v>
      </c>
      <c r="C993" s="1" t="s">
        <v>1795</v>
      </c>
      <c r="D993" s="1">
        <v>2.2800925925925929E-2</v>
      </c>
      <c r="E993" t="s">
        <v>1569</v>
      </c>
      <c r="F993" s="69" t="s">
        <v>2338</v>
      </c>
      <c r="K993" s="82">
        <v>0.54369999999999996</v>
      </c>
    </row>
    <row r="994" spans="1:19" x14ac:dyDescent="0.2">
      <c r="A994" s="33">
        <v>42105</v>
      </c>
      <c r="B994" t="s">
        <v>1794</v>
      </c>
      <c r="C994" s="1" t="s">
        <v>1795</v>
      </c>
      <c r="D994" s="1">
        <v>2.1238425925925924E-2</v>
      </c>
      <c r="E994" t="s">
        <v>1371</v>
      </c>
      <c r="F994" s="69" t="s">
        <v>827</v>
      </c>
      <c r="G994" s="6"/>
      <c r="H994" s="6"/>
      <c r="K994" s="82">
        <v>0.5837</v>
      </c>
    </row>
    <row r="995" spans="1:19" x14ac:dyDescent="0.2">
      <c r="A995" s="33">
        <v>42098</v>
      </c>
      <c r="B995" t="s">
        <v>1794</v>
      </c>
      <c r="C995" s="1" t="s">
        <v>1795</v>
      </c>
      <c r="D995" s="1">
        <v>2.1504629629629627E-2</v>
      </c>
      <c r="E995" t="s">
        <v>5544</v>
      </c>
      <c r="F995" s="69" t="s">
        <v>5743</v>
      </c>
      <c r="K995" s="82">
        <v>0.56940000000000002</v>
      </c>
    </row>
    <row r="996" spans="1:19" x14ac:dyDescent="0.2">
      <c r="A996" s="33">
        <v>42091</v>
      </c>
      <c r="B996" t="s">
        <v>1794</v>
      </c>
      <c r="C996" s="1" t="s">
        <v>1795</v>
      </c>
      <c r="D996" s="1">
        <v>2.2650462962962966E-2</v>
      </c>
      <c r="E996" t="s">
        <v>4727</v>
      </c>
      <c r="F996" s="42" t="s">
        <v>5917</v>
      </c>
      <c r="J996" t="s">
        <v>2159</v>
      </c>
      <c r="K996" s="82">
        <v>0.54059999999999997</v>
      </c>
    </row>
    <row r="997" spans="1:19" x14ac:dyDescent="0.2">
      <c r="A997" s="33">
        <v>42084</v>
      </c>
      <c r="B997" t="s">
        <v>1794</v>
      </c>
      <c r="C997" s="1" t="s">
        <v>1795</v>
      </c>
      <c r="D997" s="1">
        <v>2.1307870370370369E-2</v>
      </c>
      <c r="E997" t="s">
        <v>420</v>
      </c>
      <c r="F997" s="42" t="s">
        <v>5409</v>
      </c>
      <c r="J997" t="s">
        <v>2159</v>
      </c>
      <c r="K997" s="82">
        <v>0.57469999999999999</v>
      </c>
    </row>
    <row r="998" spans="1:19" x14ac:dyDescent="0.2">
      <c r="A998" s="33">
        <v>42077</v>
      </c>
      <c r="B998" t="s">
        <v>1794</v>
      </c>
      <c r="C998" s="1" t="s">
        <v>1795</v>
      </c>
      <c r="D998" s="1">
        <v>2.1134259259259259E-2</v>
      </c>
      <c r="E998" t="s">
        <v>5544</v>
      </c>
      <c r="F998" s="69" t="s">
        <v>2061</v>
      </c>
      <c r="I998" s="42"/>
      <c r="J998" s="42"/>
      <c r="K998" s="82">
        <v>0.57940000000000003</v>
      </c>
    </row>
    <row r="999" spans="1:19" x14ac:dyDescent="0.2">
      <c r="A999" s="33">
        <v>42063</v>
      </c>
      <c r="B999" t="s">
        <v>1794</v>
      </c>
      <c r="C999" s="1" t="s">
        <v>1795</v>
      </c>
      <c r="D999" s="1">
        <v>2.1446759259259259E-2</v>
      </c>
      <c r="E999" t="s">
        <v>5544</v>
      </c>
      <c r="F999" s="42"/>
      <c r="K999" s="82">
        <v>0.57099999999999995</v>
      </c>
    </row>
    <row r="1000" spans="1:19" x14ac:dyDescent="0.2">
      <c r="A1000" s="33">
        <v>42056</v>
      </c>
      <c r="B1000" t="s">
        <v>1794</v>
      </c>
      <c r="C1000" s="1" t="s">
        <v>1795</v>
      </c>
      <c r="D1000" s="1">
        <v>2.1493055555555557E-2</v>
      </c>
      <c r="E1000" t="s">
        <v>6020</v>
      </c>
      <c r="F1000" s="69" t="s">
        <v>4654</v>
      </c>
      <c r="I1000" s="6"/>
      <c r="J1000" s="6"/>
      <c r="K1000" s="82">
        <v>0.56969999999999998</v>
      </c>
    </row>
    <row r="1001" spans="1:19" x14ac:dyDescent="0.2">
      <c r="A1001" s="33">
        <v>42049</v>
      </c>
      <c r="B1001" t="s">
        <v>1794</v>
      </c>
      <c r="C1001" s="1" t="s">
        <v>1795</v>
      </c>
      <c r="D1001" s="1">
        <v>2.162037037037037E-2</v>
      </c>
      <c r="E1001" t="s">
        <v>209</v>
      </c>
      <c r="F1001" s="69" t="s">
        <v>1791</v>
      </c>
      <c r="K1001" s="82">
        <v>0.56640000000000001</v>
      </c>
    </row>
    <row r="1002" spans="1:19" x14ac:dyDescent="0.2">
      <c r="A1002" s="33">
        <v>42042</v>
      </c>
      <c r="B1002" t="s">
        <v>1794</v>
      </c>
      <c r="C1002" s="1" t="s">
        <v>1795</v>
      </c>
      <c r="D1002" s="1">
        <v>2.2175925925925929E-2</v>
      </c>
      <c r="E1002" t="s">
        <v>5544</v>
      </c>
      <c r="F1002" s="42" t="s">
        <v>2749</v>
      </c>
      <c r="K1002" s="82">
        <v>0.55220000000000002</v>
      </c>
    </row>
    <row r="1003" spans="1:19" x14ac:dyDescent="0.2">
      <c r="A1003" s="33">
        <v>42021</v>
      </c>
      <c r="B1003" t="s">
        <v>1794</v>
      </c>
      <c r="C1003" s="1" t="s">
        <v>1795</v>
      </c>
      <c r="D1003" s="1">
        <v>2.146990740740741E-2</v>
      </c>
      <c r="E1003" t="s">
        <v>5544</v>
      </c>
      <c r="F1003" s="42" t="s">
        <v>1606</v>
      </c>
      <c r="K1003" s="82">
        <v>0.57040000000000002</v>
      </c>
    </row>
    <row r="1004" spans="1:19" x14ac:dyDescent="0.2">
      <c r="A1004" s="33">
        <v>42014</v>
      </c>
      <c r="B1004" t="s">
        <v>1794</v>
      </c>
      <c r="C1004" s="1" t="s">
        <v>1795</v>
      </c>
      <c r="D1004" s="1" t="s">
        <v>787</v>
      </c>
      <c r="E1004" t="s">
        <v>5544</v>
      </c>
      <c r="F1004" s="42" t="s">
        <v>629</v>
      </c>
      <c r="K1004" s="82"/>
      <c r="M1004" s="6"/>
    </row>
    <row r="1005" spans="1:19" x14ac:dyDescent="0.2">
      <c r="A1005" s="33">
        <v>42007</v>
      </c>
      <c r="B1005" t="s">
        <v>1794</v>
      </c>
      <c r="C1005" s="1" t="s">
        <v>1795</v>
      </c>
      <c r="D1005" s="1">
        <v>2.3032407407407404E-2</v>
      </c>
      <c r="E1005" t="s">
        <v>5544</v>
      </c>
      <c r="F1005" s="42" t="s">
        <v>4392</v>
      </c>
      <c r="K1005" s="82">
        <v>0.53169999999999995</v>
      </c>
    </row>
    <row r="1006" spans="1:19" x14ac:dyDescent="0.2">
      <c r="A1006" s="33">
        <v>42364</v>
      </c>
      <c r="B1006" t="s">
        <v>431</v>
      </c>
      <c r="C1006" s="1" t="s">
        <v>433</v>
      </c>
      <c r="D1006" s="1">
        <v>2.0231481481481482E-2</v>
      </c>
      <c r="E1006" t="s">
        <v>5095</v>
      </c>
      <c r="F1006" s="69" t="s">
        <v>5745</v>
      </c>
      <c r="I1006" s="2"/>
      <c r="K1006" s="82">
        <v>0.55030000000000001</v>
      </c>
      <c r="M1006" t="s">
        <v>1207</v>
      </c>
    </row>
    <row r="1007" spans="1:19" x14ac:dyDescent="0.2">
      <c r="A1007" s="33">
        <v>42363</v>
      </c>
      <c r="B1007" t="s">
        <v>431</v>
      </c>
      <c r="C1007" s="1" t="s">
        <v>433</v>
      </c>
      <c r="D1007" s="1">
        <v>1.996527777777778E-2</v>
      </c>
      <c r="E1007" t="s">
        <v>4727</v>
      </c>
      <c r="F1007" s="69" t="s">
        <v>5723</v>
      </c>
      <c r="I1007" s="2"/>
      <c r="K1007" s="82">
        <v>0.55769999999999997</v>
      </c>
    </row>
    <row r="1008" spans="1:19" x14ac:dyDescent="0.2">
      <c r="A1008" s="33">
        <v>42357</v>
      </c>
      <c r="B1008" t="s">
        <v>431</v>
      </c>
      <c r="C1008" s="1" t="s">
        <v>433</v>
      </c>
      <c r="D1008" s="1">
        <v>1.744212962962963E-2</v>
      </c>
      <c r="E1008" t="s">
        <v>5095</v>
      </c>
      <c r="F1008" s="69" t="s">
        <v>2268</v>
      </c>
      <c r="I1008" s="2"/>
      <c r="K1008" s="82">
        <v>0.63839999999999997</v>
      </c>
      <c r="S1008" s="80"/>
    </row>
    <row r="1009" spans="1:11" x14ac:dyDescent="0.2">
      <c r="A1009" s="33">
        <v>42350</v>
      </c>
      <c r="B1009" t="s">
        <v>431</v>
      </c>
      <c r="C1009" s="1" t="s">
        <v>433</v>
      </c>
      <c r="D1009" s="1">
        <v>1.6863425925925928E-2</v>
      </c>
      <c r="E1009" t="s">
        <v>5095</v>
      </c>
      <c r="F1009" s="69" t="s">
        <v>2554</v>
      </c>
      <c r="I1009" s="2"/>
      <c r="K1009" s="82">
        <v>0.6603</v>
      </c>
    </row>
    <row r="1010" spans="1:11" x14ac:dyDescent="0.2">
      <c r="A1010" s="33">
        <v>42343</v>
      </c>
      <c r="B1010" t="s">
        <v>431</v>
      </c>
      <c r="C1010" s="1" t="s">
        <v>433</v>
      </c>
      <c r="D1010" s="1">
        <v>1.7384259259259262E-2</v>
      </c>
      <c r="E1010" s="5" t="s">
        <v>5095</v>
      </c>
      <c r="F1010" s="69" t="s">
        <v>5534</v>
      </c>
      <c r="I1010" s="2"/>
      <c r="K1010" s="82">
        <v>0.64049999999999996</v>
      </c>
    </row>
    <row r="1011" spans="1:11" x14ac:dyDescent="0.2">
      <c r="A1011" s="33">
        <v>42336</v>
      </c>
      <c r="B1011" t="s">
        <v>431</v>
      </c>
      <c r="C1011" s="1" t="s">
        <v>433</v>
      </c>
      <c r="D1011" s="1">
        <v>2.013888888888889E-2</v>
      </c>
      <c r="E1011" t="s">
        <v>5095</v>
      </c>
      <c r="F1011" s="69" t="s">
        <v>5720</v>
      </c>
      <c r="I1011" s="2"/>
      <c r="K1011" s="82">
        <v>0.55289999999999995</v>
      </c>
    </row>
    <row r="1012" spans="1:11" x14ac:dyDescent="0.2">
      <c r="A1012" s="34">
        <v>42329</v>
      </c>
      <c r="B1012" t="s">
        <v>431</v>
      </c>
      <c r="C1012" s="1" t="s">
        <v>433</v>
      </c>
      <c r="D1012" s="1">
        <v>2.0011574074074074E-2</v>
      </c>
      <c r="E1012" t="s">
        <v>5095</v>
      </c>
      <c r="F1012" s="69" t="s">
        <v>4506</v>
      </c>
      <c r="I1012" s="2"/>
      <c r="K1012" s="82">
        <v>0.55640000000000001</v>
      </c>
    </row>
    <row r="1013" spans="1:11" x14ac:dyDescent="0.2">
      <c r="A1013" s="33">
        <v>42322</v>
      </c>
      <c r="B1013" t="s">
        <v>431</v>
      </c>
      <c r="C1013" s="1" t="s">
        <v>433</v>
      </c>
      <c r="D1013" s="1">
        <v>2.0312500000000001E-2</v>
      </c>
      <c r="E1013" t="s">
        <v>5095</v>
      </c>
      <c r="F1013" s="69" t="s">
        <v>3971</v>
      </c>
      <c r="I1013" s="2"/>
      <c r="K1013" s="82">
        <v>0.54810000000000003</v>
      </c>
    </row>
    <row r="1014" spans="1:11" x14ac:dyDescent="0.2">
      <c r="A1014" s="33">
        <v>42315</v>
      </c>
      <c r="B1014" t="s">
        <v>431</v>
      </c>
      <c r="C1014" s="1" t="s">
        <v>433</v>
      </c>
      <c r="D1014" s="1">
        <v>1.8622685185185183E-2</v>
      </c>
      <c r="E1014" t="s">
        <v>5095</v>
      </c>
      <c r="F1014" s="69" t="s">
        <v>5613</v>
      </c>
      <c r="I1014" s="2"/>
      <c r="K1014" s="82">
        <v>0.59789999999999999</v>
      </c>
    </row>
    <row r="1015" spans="1:11" x14ac:dyDescent="0.2">
      <c r="A1015" s="33">
        <v>42308</v>
      </c>
      <c r="B1015" t="s">
        <v>431</v>
      </c>
      <c r="C1015" s="1" t="s">
        <v>433</v>
      </c>
      <c r="D1015" s="1">
        <v>2.0023148148148148E-2</v>
      </c>
      <c r="E1015" t="s">
        <v>5095</v>
      </c>
      <c r="F1015" s="69" t="s">
        <v>4932</v>
      </c>
      <c r="I1015" s="2"/>
      <c r="K1015" s="82">
        <v>0.55610000000000004</v>
      </c>
    </row>
    <row r="1016" spans="1:11" x14ac:dyDescent="0.2">
      <c r="A1016" s="33">
        <v>42294</v>
      </c>
      <c r="B1016" t="s">
        <v>431</v>
      </c>
      <c r="C1016" s="1" t="s">
        <v>433</v>
      </c>
      <c r="D1016" s="1">
        <v>1.9942129629629629E-2</v>
      </c>
      <c r="E1016" t="s">
        <v>5095</v>
      </c>
      <c r="F1016" s="69" t="s">
        <v>3823</v>
      </c>
      <c r="I1016" s="2"/>
      <c r="K1016" s="82">
        <v>0.55830000000000002</v>
      </c>
    </row>
    <row r="1017" spans="1:11" x14ac:dyDescent="0.2">
      <c r="A1017" s="33">
        <v>42280</v>
      </c>
      <c r="B1017" t="s">
        <v>431</v>
      </c>
      <c r="C1017" s="1" t="s">
        <v>433</v>
      </c>
      <c r="D1017" s="1">
        <v>2.5694444444444447E-2</v>
      </c>
      <c r="E1017" t="s">
        <v>5095</v>
      </c>
      <c r="F1017" s="69" t="s">
        <v>3672</v>
      </c>
      <c r="I1017" s="2"/>
      <c r="K1017" s="82">
        <v>0.43330000000000002</v>
      </c>
    </row>
    <row r="1018" spans="1:11" x14ac:dyDescent="0.2">
      <c r="A1018" s="33">
        <v>42273</v>
      </c>
      <c r="B1018" t="s">
        <v>431</v>
      </c>
      <c r="C1018" s="1" t="s">
        <v>433</v>
      </c>
      <c r="D1018" s="1">
        <v>1.9143518518518518E-2</v>
      </c>
      <c r="E1018" t="s">
        <v>5095</v>
      </c>
      <c r="F1018" s="69" t="s">
        <v>393</v>
      </c>
      <c r="I1018" s="2"/>
      <c r="K1018" s="82">
        <v>0.58520000000000005</v>
      </c>
    </row>
    <row r="1019" spans="1:11" x14ac:dyDescent="0.2">
      <c r="A1019" s="33">
        <v>42266</v>
      </c>
      <c r="B1019" t="s">
        <v>431</v>
      </c>
      <c r="C1019" s="1" t="s">
        <v>433</v>
      </c>
      <c r="D1019" s="1">
        <v>1.6041666666666666E-2</v>
      </c>
      <c r="E1019" t="s">
        <v>5095</v>
      </c>
      <c r="F1019" s="69" t="s">
        <v>1265</v>
      </c>
      <c r="K1019" s="82">
        <v>0.69410000000000005</v>
      </c>
    </row>
    <row r="1020" spans="1:11" x14ac:dyDescent="0.2">
      <c r="A1020" s="33">
        <v>42259</v>
      </c>
      <c r="B1020" t="s">
        <v>431</v>
      </c>
      <c r="C1020" s="1" t="s">
        <v>433</v>
      </c>
      <c r="D1020" s="1" t="s">
        <v>787</v>
      </c>
      <c r="E1020" t="s">
        <v>5095</v>
      </c>
      <c r="F1020" s="42"/>
      <c r="K1020" s="82"/>
    </row>
    <row r="1021" spans="1:11" x14ac:dyDescent="0.2">
      <c r="A1021" s="33">
        <v>42252</v>
      </c>
      <c r="B1021" t="s">
        <v>431</v>
      </c>
      <c r="C1021" s="1" t="s">
        <v>433</v>
      </c>
      <c r="D1021" s="1">
        <v>1.8692129629629631E-2</v>
      </c>
      <c r="E1021" t="s">
        <v>5095</v>
      </c>
      <c r="F1021" s="69" t="s">
        <v>5150</v>
      </c>
      <c r="K1021" s="82">
        <v>0.59570000000000001</v>
      </c>
    </row>
    <row r="1022" spans="1:11" x14ac:dyDescent="0.2">
      <c r="A1022" s="33">
        <v>42245</v>
      </c>
      <c r="B1022" t="s">
        <v>431</v>
      </c>
      <c r="C1022" s="1" t="s">
        <v>433</v>
      </c>
      <c r="D1022" s="1">
        <v>1.621527777777778E-2</v>
      </c>
      <c r="E1022" t="s">
        <v>5095</v>
      </c>
      <c r="F1022" s="69" t="s">
        <v>569</v>
      </c>
      <c r="K1022" s="82">
        <v>0.68669999999999998</v>
      </c>
    </row>
    <row r="1023" spans="1:11" x14ac:dyDescent="0.2">
      <c r="A1023" s="33">
        <v>42238</v>
      </c>
      <c r="B1023" t="s">
        <v>431</v>
      </c>
      <c r="C1023" s="1" t="s">
        <v>433</v>
      </c>
      <c r="D1023" s="1">
        <v>1.650462962962963E-2</v>
      </c>
      <c r="E1023" t="s">
        <v>5095</v>
      </c>
      <c r="F1023" s="69" t="s">
        <v>4726</v>
      </c>
      <c r="K1023" s="82">
        <v>0.67449999999999999</v>
      </c>
    </row>
    <row r="1024" spans="1:11" x14ac:dyDescent="0.2">
      <c r="A1024" s="33">
        <v>42231</v>
      </c>
      <c r="B1024" t="s">
        <v>431</v>
      </c>
      <c r="C1024" s="1" t="s">
        <v>433</v>
      </c>
      <c r="D1024" s="1">
        <v>1.6759259259259258E-2</v>
      </c>
      <c r="E1024" t="s">
        <v>5095</v>
      </c>
      <c r="F1024" s="69" t="s">
        <v>3431</v>
      </c>
      <c r="K1024" s="82">
        <v>0.66439999999999999</v>
      </c>
    </row>
    <row r="1025" spans="1:12" x14ac:dyDescent="0.2">
      <c r="A1025" s="33">
        <v>42224</v>
      </c>
      <c r="B1025" t="s">
        <v>431</v>
      </c>
      <c r="C1025" s="1" t="s">
        <v>433</v>
      </c>
      <c r="D1025" s="1">
        <v>1.6770833333333332E-2</v>
      </c>
      <c r="E1025" t="s">
        <v>5095</v>
      </c>
      <c r="F1025" s="69" t="s">
        <v>2208</v>
      </c>
      <c r="K1025" s="82">
        <v>0.66390000000000005</v>
      </c>
    </row>
    <row r="1026" spans="1:12" x14ac:dyDescent="0.2">
      <c r="A1026" s="33">
        <v>42217</v>
      </c>
      <c r="B1026" t="s">
        <v>431</v>
      </c>
      <c r="C1026" s="1" t="s">
        <v>433</v>
      </c>
      <c r="D1026" s="1">
        <v>1.8078703703703704E-2</v>
      </c>
      <c r="E1026" t="s">
        <v>5095</v>
      </c>
      <c r="F1026" s="69" t="s">
        <v>896</v>
      </c>
      <c r="K1026" s="82">
        <v>0.6159</v>
      </c>
    </row>
    <row r="1027" spans="1:12" x14ac:dyDescent="0.2">
      <c r="A1027" s="33">
        <v>42203</v>
      </c>
      <c r="B1027" t="s">
        <v>431</v>
      </c>
      <c r="C1027" s="1" t="s">
        <v>433</v>
      </c>
      <c r="D1027" s="1">
        <v>2.1284722222222222E-2</v>
      </c>
      <c r="E1027" t="s">
        <v>5095</v>
      </c>
      <c r="F1027" s="69" t="s">
        <v>1055</v>
      </c>
      <c r="K1027" s="82">
        <v>0.52310000000000001</v>
      </c>
    </row>
    <row r="1028" spans="1:12" x14ac:dyDescent="0.2">
      <c r="A1028" s="33">
        <v>42196</v>
      </c>
      <c r="B1028" t="s">
        <v>431</v>
      </c>
      <c r="C1028" s="1" t="s">
        <v>433</v>
      </c>
      <c r="D1028" s="1">
        <v>1.6875000000000001E-2</v>
      </c>
      <c r="E1028" t="s">
        <v>5095</v>
      </c>
      <c r="F1028" s="69"/>
      <c r="K1028" s="82">
        <v>0.65980000000000005</v>
      </c>
    </row>
    <row r="1029" spans="1:12" x14ac:dyDescent="0.2">
      <c r="A1029" s="33">
        <v>42189</v>
      </c>
      <c r="B1029" t="s">
        <v>431</v>
      </c>
      <c r="C1029" s="1" t="s">
        <v>433</v>
      </c>
      <c r="D1029" s="1">
        <v>2.2210648148148149E-2</v>
      </c>
      <c r="E1029" t="s">
        <v>5095</v>
      </c>
      <c r="F1029" s="69" t="s">
        <v>5688</v>
      </c>
      <c r="K1029" s="82">
        <v>0.50129999999999997</v>
      </c>
    </row>
    <row r="1030" spans="1:12" x14ac:dyDescent="0.2">
      <c r="A1030" s="33">
        <v>42182</v>
      </c>
      <c r="B1030" t="s">
        <v>431</v>
      </c>
      <c r="C1030" s="1" t="s">
        <v>433</v>
      </c>
      <c r="D1030" s="1">
        <v>1.6250000000000001E-2</v>
      </c>
      <c r="E1030" t="s">
        <v>5095</v>
      </c>
      <c r="F1030" s="69" t="s">
        <v>413</v>
      </c>
      <c r="K1030" s="82">
        <v>0.68520000000000003</v>
      </c>
    </row>
    <row r="1031" spans="1:12" x14ac:dyDescent="0.2">
      <c r="A1031" s="33">
        <v>42175</v>
      </c>
      <c r="B1031" t="s">
        <v>431</v>
      </c>
      <c r="C1031" s="1" t="s">
        <v>433</v>
      </c>
      <c r="D1031" s="1">
        <v>1.6331018518518519E-2</v>
      </c>
      <c r="E1031" t="s">
        <v>5095</v>
      </c>
      <c r="F1031" s="69" t="s">
        <v>2514</v>
      </c>
      <c r="K1031" s="82">
        <v>0.68179999999999996</v>
      </c>
    </row>
    <row r="1032" spans="1:12" x14ac:dyDescent="0.2">
      <c r="A1032" s="33">
        <v>42168</v>
      </c>
      <c r="B1032" t="s">
        <v>431</v>
      </c>
      <c r="C1032" s="1" t="s">
        <v>433</v>
      </c>
      <c r="D1032" s="1">
        <v>1.6944444444444443E-2</v>
      </c>
      <c r="E1032" t="s">
        <v>5095</v>
      </c>
      <c r="F1032" s="69"/>
      <c r="K1032" s="82">
        <v>0.65710000000000002</v>
      </c>
    </row>
    <row r="1033" spans="1:12" x14ac:dyDescent="0.2">
      <c r="A1033" s="33">
        <v>42161</v>
      </c>
      <c r="B1033" s="5" t="s">
        <v>431</v>
      </c>
      <c r="C1033" s="32" t="s">
        <v>433</v>
      </c>
      <c r="D1033" s="1">
        <v>2.2187499999999999E-2</v>
      </c>
      <c r="E1033" t="s">
        <v>5095</v>
      </c>
      <c r="F1033" s="69" t="s">
        <v>5688</v>
      </c>
      <c r="K1033" s="82">
        <v>0.50180000000000002</v>
      </c>
    </row>
    <row r="1034" spans="1:12" x14ac:dyDescent="0.2">
      <c r="A1034" s="33">
        <v>42154</v>
      </c>
      <c r="B1034" t="s">
        <v>431</v>
      </c>
      <c r="C1034" s="1" t="s">
        <v>433</v>
      </c>
      <c r="D1034" s="1">
        <v>1.6736111111111111E-2</v>
      </c>
      <c r="E1034" t="s">
        <v>5095</v>
      </c>
      <c r="F1034" s="69" t="s">
        <v>1362</v>
      </c>
      <c r="G1034" s="42"/>
      <c r="H1034" s="42"/>
      <c r="K1034" s="82">
        <v>0.6653</v>
      </c>
    </row>
    <row r="1035" spans="1:12" x14ac:dyDescent="0.2">
      <c r="A1035" s="33">
        <v>42140</v>
      </c>
      <c r="B1035" s="5" t="s">
        <v>431</v>
      </c>
      <c r="C1035" s="32" t="s">
        <v>433</v>
      </c>
      <c r="D1035" s="1">
        <v>1.9351851851851853E-2</v>
      </c>
      <c r="E1035" t="s">
        <v>5095</v>
      </c>
      <c r="F1035" s="69" t="s">
        <v>3243</v>
      </c>
      <c r="K1035" s="82">
        <v>0.57540000000000002</v>
      </c>
    </row>
    <row r="1036" spans="1:12" x14ac:dyDescent="0.2">
      <c r="A1036" s="33">
        <v>42133</v>
      </c>
      <c r="B1036" t="s">
        <v>431</v>
      </c>
      <c r="C1036" s="1" t="s">
        <v>433</v>
      </c>
      <c r="D1036" s="1">
        <v>2.0810185185185185E-2</v>
      </c>
      <c r="E1036" t="s">
        <v>5095</v>
      </c>
      <c r="F1036" s="69" t="s">
        <v>1646</v>
      </c>
      <c r="K1036" s="82">
        <v>0.53500000000000003</v>
      </c>
    </row>
    <row r="1037" spans="1:12" x14ac:dyDescent="0.2">
      <c r="A1037" s="33">
        <v>42126</v>
      </c>
      <c r="B1037" s="5" t="s">
        <v>431</v>
      </c>
      <c r="C1037" s="1" t="s">
        <v>433</v>
      </c>
      <c r="D1037" s="1" t="s">
        <v>787</v>
      </c>
      <c r="E1037" t="s">
        <v>5095</v>
      </c>
      <c r="F1037" s="69" t="s">
        <v>2969</v>
      </c>
      <c r="I1037" s="42"/>
      <c r="J1037" s="42"/>
      <c r="K1037" s="82"/>
    </row>
    <row r="1038" spans="1:12" x14ac:dyDescent="0.2">
      <c r="A1038" s="33">
        <v>42119</v>
      </c>
      <c r="B1038" t="s">
        <v>431</v>
      </c>
      <c r="C1038" s="1" t="s">
        <v>433</v>
      </c>
      <c r="D1038" s="1">
        <v>1.7349537037037038E-2</v>
      </c>
      <c r="E1038" t="s">
        <v>5095</v>
      </c>
      <c r="F1038" s="69" t="s">
        <v>1423</v>
      </c>
      <c r="K1038" s="82">
        <v>0.64180000000000004</v>
      </c>
      <c r="L1038" s="72"/>
    </row>
    <row r="1039" spans="1:12" x14ac:dyDescent="0.2">
      <c r="A1039" s="33">
        <v>42112</v>
      </c>
      <c r="B1039" t="s">
        <v>431</v>
      </c>
      <c r="C1039" s="1" t="s">
        <v>433</v>
      </c>
      <c r="D1039" s="1">
        <v>1.6238425925925924E-2</v>
      </c>
      <c r="E1039" t="s">
        <v>5095</v>
      </c>
      <c r="F1039" s="69" t="s">
        <v>1953</v>
      </c>
      <c r="K1039" s="82">
        <v>0.68079999999999996</v>
      </c>
    </row>
    <row r="1040" spans="1:12" x14ac:dyDescent="0.2">
      <c r="A1040" s="33">
        <v>42098</v>
      </c>
      <c r="B1040" t="s">
        <v>431</v>
      </c>
      <c r="C1040" s="1" t="s">
        <v>433</v>
      </c>
      <c r="D1040" s="1">
        <v>2.2141203703703705E-2</v>
      </c>
      <c r="E1040" t="s">
        <v>5095</v>
      </c>
      <c r="F1040" s="69" t="s">
        <v>3449</v>
      </c>
      <c r="K1040" s="82">
        <v>0.49869999999999998</v>
      </c>
    </row>
    <row r="1041" spans="1:19" x14ac:dyDescent="0.2">
      <c r="A1041" s="33">
        <v>42091</v>
      </c>
      <c r="B1041" s="80" t="s">
        <v>431</v>
      </c>
      <c r="C1041" s="1" t="s">
        <v>433</v>
      </c>
      <c r="D1041" s="1">
        <v>2.0069444444444442E-2</v>
      </c>
      <c r="E1041" t="s">
        <v>5095</v>
      </c>
      <c r="F1041" s="42" t="s">
        <v>5324</v>
      </c>
      <c r="G1041" s="42"/>
      <c r="H1041" s="42"/>
      <c r="K1041" s="82">
        <v>0.55020000000000002</v>
      </c>
    </row>
    <row r="1042" spans="1:19" x14ac:dyDescent="0.2">
      <c r="A1042" s="33">
        <v>42084</v>
      </c>
      <c r="B1042" t="s">
        <v>431</v>
      </c>
      <c r="C1042" s="1" t="s">
        <v>433</v>
      </c>
      <c r="D1042" s="1">
        <v>1.982638888888889E-2</v>
      </c>
      <c r="E1042" t="s">
        <v>5095</v>
      </c>
      <c r="F1042" s="42" t="s">
        <v>1128</v>
      </c>
      <c r="K1042" s="82">
        <v>0.55689999999999995</v>
      </c>
    </row>
    <row r="1043" spans="1:19" x14ac:dyDescent="0.2">
      <c r="A1043" s="33">
        <v>42077</v>
      </c>
      <c r="B1043" t="s">
        <v>431</v>
      </c>
      <c r="C1043" s="1" t="s">
        <v>433</v>
      </c>
      <c r="D1043" s="1">
        <v>1.9907407407407408E-2</v>
      </c>
      <c r="E1043" t="s">
        <v>5095</v>
      </c>
      <c r="F1043" s="69" t="s">
        <v>4965</v>
      </c>
      <c r="G1043" s="6"/>
      <c r="H1043" s="6" t="s">
        <v>2477</v>
      </c>
      <c r="I1043" s="42"/>
      <c r="J1043" s="42"/>
      <c r="K1043" s="82">
        <v>0.55469999999999997</v>
      </c>
    </row>
    <row r="1044" spans="1:19" x14ac:dyDescent="0.2">
      <c r="A1044" s="33">
        <v>42070</v>
      </c>
      <c r="B1044" t="s">
        <v>431</v>
      </c>
      <c r="C1044" s="1" t="s">
        <v>433</v>
      </c>
      <c r="D1044" s="1">
        <v>2.2916666666666669E-2</v>
      </c>
      <c r="E1044" t="s">
        <v>5095</v>
      </c>
      <c r="F1044" s="69" t="s">
        <v>3725</v>
      </c>
      <c r="K1044" s="82">
        <v>0.48180000000000001</v>
      </c>
    </row>
    <row r="1045" spans="1:19" x14ac:dyDescent="0.2">
      <c r="A1045" s="33">
        <v>42063</v>
      </c>
      <c r="B1045" t="s">
        <v>431</v>
      </c>
      <c r="C1045" s="1" t="s">
        <v>433</v>
      </c>
      <c r="D1045" s="1">
        <v>1.7199074074074071E-2</v>
      </c>
      <c r="E1045" t="s">
        <v>5095</v>
      </c>
      <c r="F1045" s="42"/>
      <c r="K1045" s="82">
        <v>0.64200000000000002</v>
      </c>
    </row>
    <row r="1046" spans="1:19" x14ac:dyDescent="0.2">
      <c r="A1046" s="33">
        <v>42056</v>
      </c>
      <c r="B1046" t="s">
        <v>431</v>
      </c>
      <c r="C1046" s="1" t="s">
        <v>433</v>
      </c>
      <c r="D1046" s="1">
        <v>1.8749999999999999E-2</v>
      </c>
      <c r="E1046" t="s">
        <v>5095</v>
      </c>
      <c r="F1046" s="69" t="s">
        <v>5150</v>
      </c>
      <c r="I1046" s="6"/>
      <c r="J1046" s="6"/>
      <c r="K1046" s="82">
        <v>0.58889999999999998</v>
      </c>
    </row>
    <row r="1047" spans="1:19" x14ac:dyDescent="0.2">
      <c r="A1047" s="33">
        <v>42049</v>
      </c>
      <c r="B1047" t="s">
        <v>431</v>
      </c>
      <c r="C1047" s="1" t="s">
        <v>433</v>
      </c>
      <c r="D1047" s="1">
        <v>1.9467592592592595E-2</v>
      </c>
      <c r="E1047" t="s">
        <v>5095</v>
      </c>
      <c r="F1047" s="69" t="s">
        <v>1119</v>
      </c>
      <c r="K1047" s="82">
        <v>0.56720000000000004</v>
      </c>
    </row>
    <row r="1048" spans="1:19" x14ac:dyDescent="0.2">
      <c r="A1048" s="33">
        <v>42042</v>
      </c>
      <c r="B1048" t="s">
        <v>431</v>
      </c>
      <c r="C1048" s="1" t="s">
        <v>433</v>
      </c>
      <c r="D1048" s="1">
        <v>1.8333333333333333E-2</v>
      </c>
      <c r="E1048" t="s">
        <v>5095</v>
      </c>
      <c r="F1048" s="42" t="s">
        <v>2983</v>
      </c>
      <c r="K1048" s="82">
        <v>0.60229999999999995</v>
      </c>
    </row>
    <row r="1049" spans="1:19" x14ac:dyDescent="0.2">
      <c r="A1049" s="33">
        <v>42035</v>
      </c>
      <c r="B1049" t="s">
        <v>431</v>
      </c>
      <c r="C1049" s="1" t="s">
        <v>433</v>
      </c>
      <c r="D1049" s="1">
        <v>1.8749999999999999E-2</v>
      </c>
      <c r="E1049" t="s">
        <v>5095</v>
      </c>
      <c r="F1049" s="42"/>
      <c r="K1049" s="82">
        <v>0.58889999999999998</v>
      </c>
    </row>
    <row r="1050" spans="1:19" x14ac:dyDescent="0.2">
      <c r="A1050" s="33">
        <v>42028</v>
      </c>
      <c r="B1050" t="s">
        <v>431</v>
      </c>
      <c r="C1050" s="1" t="s">
        <v>433</v>
      </c>
      <c r="D1050" s="1">
        <v>1.6655092592592593E-2</v>
      </c>
      <c r="E1050" t="s">
        <v>5095</v>
      </c>
      <c r="F1050" s="42"/>
      <c r="K1050" s="82">
        <v>0.66300000000000003</v>
      </c>
    </row>
    <row r="1051" spans="1:19" x14ac:dyDescent="0.2">
      <c r="A1051" s="33">
        <v>42021</v>
      </c>
      <c r="B1051" s="5" t="s">
        <v>431</v>
      </c>
      <c r="C1051" s="32" t="s">
        <v>433</v>
      </c>
      <c r="D1051" s="1">
        <v>1.6481481481481482E-2</v>
      </c>
      <c r="E1051" t="s">
        <v>5095</v>
      </c>
      <c r="F1051" s="42" t="s">
        <v>1602</v>
      </c>
      <c r="K1051" s="82">
        <v>0.66990000000000005</v>
      </c>
    </row>
    <row r="1052" spans="1:19" x14ac:dyDescent="0.2">
      <c r="A1052" s="33">
        <v>42007</v>
      </c>
      <c r="B1052" t="s">
        <v>431</v>
      </c>
      <c r="C1052" s="1" t="s">
        <v>433</v>
      </c>
      <c r="D1052" s="1">
        <v>1.8090277777777778E-2</v>
      </c>
      <c r="E1052" t="s">
        <v>5095</v>
      </c>
      <c r="F1052" s="42" t="s">
        <v>4395</v>
      </c>
      <c r="K1052" s="82">
        <v>0.61040000000000005</v>
      </c>
    </row>
    <row r="1053" spans="1:19" x14ac:dyDescent="0.2">
      <c r="A1053" s="33">
        <v>42005</v>
      </c>
      <c r="B1053" t="s">
        <v>431</v>
      </c>
      <c r="C1053" s="1" t="s">
        <v>433</v>
      </c>
      <c r="D1053" s="1">
        <v>1.9594907407407405E-2</v>
      </c>
      <c r="E1053" t="s">
        <v>1670</v>
      </c>
      <c r="F1053" s="69" t="s">
        <v>139</v>
      </c>
      <c r="H1053" t="s">
        <v>1205</v>
      </c>
      <c r="I1053" s="6"/>
      <c r="J1053" s="6"/>
      <c r="K1053" s="82">
        <v>0.5635</v>
      </c>
    </row>
    <row r="1054" spans="1:19" x14ac:dyDescent="0.2">
      <c r="A1054" s="33">
        <v>42005</v>
      </c>
      <c r="B1054" t="s">
        <v>431</v>
      </c>
      <c r="C1054" s="1" t="s">
        <v>433</v>
      </c>
      <c r="D1054" s="1">
        <v>1.8715277777777779E-2</v>
      </c>
      <c r="E1054" t="s">
        <v>2372</v>
      </c>
      <c r="F1054" s="69" t="s">
        <v>138</v>
      </c>
      <c r="H1054" t="s">
        <v>1206</v>
      </c>
      <c r="I1054" s="6"/>
      <c r="J1054" s="6"/>
      <c r="K1054" s="82">
        <v>0.59</v>
      </c>
      <c r="S1054" s="5"/>
    </row>
    <row r="1055" spans="1:19" x14ac:dyDescent="0.2">
      <c r="A1055" s="33">
        <v>42175</v>
      </c>
      <c r="B1055" s="53" t="s">
        <v>3398</v>
      </c>
      <c r="C1055" s="54" t="s">
        <v>683</v>
      </c>
      <c r="D1055" s="1">
        <v>1.8414351851851852E-2</v>
      </c>
      <c r="E1055" t="s">
        <v>5544</v>
      </c>
      <c r="F1055" s="69" t="s">
        <v>363</v>
      </c>
      <c r="K1055" s="82">
        <v>0.55189999999999995</v>
      </c>
    </row>
    <row r="1056" spans="1:19" x14ac:dyDescent="0.2">
      <c r="A1056" s="33">
        <v>42154</v>
      </c>
      <c r="B1056" s="53" t="s">
        <v>402</v>
      </c>
      <c r="C1056" s="54" t="s">
        <v>403</v>
      </c>
      <c r="D1056" s="1">
        <v>1.3101851851851852E-2</v>
      </c>
      <c r="E1056" t="s">
        <v>248</v>
      </c>
      <c r="F1056" s="108" t="s">
        <v>404</v>
      </c>
      <c r="I1056" s="5"/>
      <c r="K1056" s="82">
        <v>0.71819999999999995</v>
      </c>
    </row>
    <row r="1057" spans="1:19" x14ac:dyDescent="0.2">
      <c r="A1057" s="33">
        <v>42217</v>
      </c>
      <c r="B1057" s="53" t="s">
        <v>5788</v>
      </c>
      <c r="C1057" s="54" t="s">
        <v>5789</v>
      </c>
      <c r="D1057" s="1">
        <v>2.148148148148148E-2</v>
      </c>
      <c r="E1057" t="s">
        <v>1719</v>
      </c>
      <c r="F1057" s="69" t="s">
        <v>2057</v>
      </c>
      <c r="K1057" s="82">
        <v>0.63629999999999998</v>
      </c>
    </row>
    <row r="1058" spans="1:19" x14ac:dyDescent="0.2">
      <c r="A1058" s="33">
        <v>42350</v>
      </c>
      <c r="B1058" t="s">
        <v>4578</v>
      </c>
      <c r="C1058" s="1" t="s">
        <v>4579</v>
      </c>
      <c r="D1058" s="1">
        <v>1.6585648148148148E-2</v>
      </c>
      <c r="E1058" t="s">
        <v>5544</v>
      </c>
      <c r="F1058" s="69" t="s">
        <v>3514</v>
      </c>
      <c r="I1058" s="2"/>
      <c r="K1058" s="82">
        <v>0.63009999999999999</v>
      </c>
    </row>
    <row r="1059" spans="1:19" x14ac:dyDescent="0.2">
      <c r="A1059" s="33">
        <v>42322</v>
      </c>
      <c r="B1059" s="80" t="s">
        <v>4578</v>
      </c>
      <c r="C1059" s="1" t="s">
        <v>4579</v>
      </c>
      <c r="D1059" s="1">
        <v>1.7013888888888887E-2</v>
      </c>
      <c r="E1059" t="s">
        <v>5544</v>
      </c>
      <c r="F1059" s="69" t="s">
        <v>3977</v>
      </c>
      <c r="I1059" s="2"/>
      <c r="K1059" s="82">
        <v>0.61429999999999996</v>
      </c>
    </row>
    <row r="1060" spans="1:19" x14ac:dyDescent="0.2">
      <c r="A1060" s="33">
        <v>42315</v>
      </c>
      <c r="B1060" t="s">
        <v>4578</v>
      </c>
      <c r="C1060" s="1" t="s">
        <v>4579</v>
      </c>
      <c r="D1060" s="1">
        <v>1.7858796296296296E-2</v>
      </c>
      <c r="E1060" t="s">
        <v>5544</v>
      </c>
      <c r="F1060" s="69" t="s">
        <v>4590</v>
      </c>
      <c r="I1060" s="2"/>
      <c r="K1060" s="82">
        <v>0.58520000000000005</v>
      </c>
    </row>
    <row r="1061" spans="1:19" x14ac:dyDescent="0.2">
      <c r="A1061" s="33">
        <v>42294</v>
      </c>
      <c r="B1061" t="s">
        <v>4578</v>
      </c>
      <c r="C1061" s="1" t="s">
        <v>4579</v>
      </c>
      <c r="D1061" s="1">
        <v>1.5949074074074074E-2</v>
      </c>
      <c r="E1061" t="s">
        <v>5544</v>
      </c>
      <c r="F1061" s="69" t="s">
        <v>4096</v>
      </c>
      <c r="I1061" s="2"/>
      <c r="K1061" s="82">
        <v>0.65529999999999999</v>
      </c>
    </row>
    <row r="1062" spans="1:19" x14ac:dyDescent="0.2">
      <c r="A1062" s="33">
        <v>42287</v>
      </c>
      <c r="B1062" t="s">
        <v>4578</v>
      </c>
      <c r="C1062" s="1" t="s">
        <v>4579</v>
      </c>
      <c r="D1062" s="1">
        <v>1.6273148148148148E-2</v>
      </c>
      <c r="E1062" t="s">
        <v>5544</v>
      </c>
      <c r="F1062" s="69"/>
      <c r="I1062" s="2"/>
      <c r="K1062" s="82">
        <v>0.64219999999999999</v>
      </c>
    </row>
    <row r="1063" spans="1:19" x14ac:dyDescent="0.2">
      <c r="A1063" s="33">
        <v>42263</v>
      </c>
      <c r="B1063" t="s">
        <v>4578</v>
      </c>
      <c r="C1063" s="1" t="s">
        <v>4579</v>
      </c>
      <c r="D1063" s="1">
        <v>1.6319444444444445E-2</v>
      </c>
      <c r="E1063" t="s">
        <v>5544</v>
      </c>
      <c r="F1063" s="69" t="s">
        <v>2629</v>
      </c>
      <c r="I1063" s="2"/>
      <c r="K1063" s="82">
        <v>0.64039999999999997</v>
      </c>
    </row>
    <row r="1064" spans="1:19" x14ac:dyDescent="0.2">
      <c r="A1064" s="33">
        <v>42336</v>
      </c>
      <c r="B1064" t="s">
        <v>5571</v>
      </c>
      <c r="C1064" s="1" t="s">
        <v>4579</v>
      </c>
      <c r="D1064" s="1">
        <v>1.6655092592592593E-2</v>
      </c>
      <c r="E1064" t="s">
        <v>5544</v>
      </c>
      <c r="F1064" s="69" t="s">
        <v>5237</v>
      </c>
      <c r="I1064" s="2"/>
      <c r="K1064" s="82">
        <v>0.62749999999999995</v>
      </c>
    </row>
    <row r="1065" spans="1:19" x14ac:dyDescent="0.2">
      <c r="A1065" s="33">
        <v>42357</v>
      </c>
      <c r="B1065" t="s">
        <v>503</v>
      </c>
      <c r="C1065" s="1" t="s">
        <v>504</v>
      </c>
      <c r="D1065" t="s">
        <v>787</v>
      </c>
      <c r="E1065" s="5" t="s">
        <v>5198</v>
      </c>
      <c r="F1065" s="108" t="s">
        <v>4061</v>
      </c>
      <c r="G1065" s="5"/>
      <c r="H1065" s="2"/>
      <c r="I1065" s="2"/>
      <c r="K1065" s="82"/>
      <c r="S1065" s="80"/>
    </row>
    <row r="1066" spans="1:19" x14ac:dyDescent="0.2">
      <c r="A1066" s="33">
        <v>42350</v>
      </c>
      <c r="B1066" t="s">
        <v>503</v>
      </c>
      <c r="C1066" s="1" t="s">
        <v>504</v>
      </c>
      <c r="D1066" s="1" t="s">
        <v>1593</v>
      </c>
      <c r="E1066" t="s">
        <v>5198</v>
      </c>
      <c r="F1066" s="69"/>
      <c r="I1066" s="2"/>
      <c r="K1066" s="82"/>
    </row>
    <row r="1067" spans="1:19" x14ac:dyDescent="0.2">
      <c r="A1067" s="33">
        <v>42343</v>
      </c>
      <c r="B1067" t="s">
        <v>503</v>
      </c>
      <c r="C1067" s="1" t="s">
        <v>504</v>
      </c>
      <c r="D1067" s="1" t="s">
        <v>787</v>
      </c>
      <c r="E1067" s="5" t="s">
        <v>5198</v>
      </c>
      <c r="F1067" s="69" t="s">
        <v>4061</v>
      </c>
      <c r="I1067" s="2"/>
      <c r="K1067" s="82"/>
    </row>
    <row r="1068" spans="1:19" x14ac:dyDescent="0.2">
      <c r="A1068" s="33">
        <v>42336</v>
      </c>
      <c r="B1068" t="s">
        <v>503</v>
      </c>
      <c r="C1068" s="1" t="s">
        <v>504</v>
      </c>
      <c r="D1068" s="1" t="s">
        <v>787</v>
      </c>
      <c r="E1068" t="s">
        <v>5198</v>
      </c>
      <c r="F1068" s="69"/>
      <c r="I1068" s="2"/>
      <c r="K1068" s="82"/>
    </row>
    <row r="1069" spans="1:19" x14ac:dyDescent="0.2">
      <c r="A1069" s="33">
        <v>42280</v>
      </c>
      <c r="B1069" s="53" t="s">
        <v>503</v>
      </c>
      <c r="C1069" s="1" t="s">
        <v>504</v>
      </c>
      <c r="D1069" s="1" t="s">
        <v>787</v>
      </c>
      <c r="E1069" t="s">
        <v>5198</v>
      </c>
      <c r="F1069" s="69" t="s">
        <v>4061</v>
      </c>
      <c r="I1069" s="2"/>
      <c r="K1069" s="82"/>
    </row>
    <row r="1070" spans="1:19" x14ac:dyDescent="0.2">
      <c r="A1070" s="33">
        <v>42245</v>
      </c>
      <c r="B1070" t="s">
        <v>503</v>
      </c>
      <c r="C1070" s="1" t="s">
        <v>504</v>
      </c>
      <c r="D1070" s="1" t="s">
        <v>787</v>
      </c>
      <c r="E1070" t="s">
        <v>5198</v>
      </c>
      <c r="F1070" s="69" t="s">
        <v>4061</v>
      </c>
      <c r="K1070" s="82"/>
    </row>
    <row r="1071" spans="1:19" x14ac:dyDescent="0.2">
      <c r="A1071" s="33">
        <v>42238</v>
      </c>
      <c r="B1071" t="s">
        <v>503</v>
      </c>
      <c r="C1071" s="1" t="s">
        <v>504</v>
      </c>
      <c r="D1071" s="1" t="s">
        <v>787</v>
      </c>
      <c r="E1071" s="5" t="s">
        <v>5198</v>
      </c>
      <c r="F1071" s="69" t="s">
        <v>4061</v>
      </c>
      <c r="K1071" s="82"/>
    </row>
    <row r="1072" spans="1:19" x14ac:dyDescent="0.2">
      <c r="A1072" s="33">
        <v>42231</v>
      </c>
      <c r="B1072" s="53" t="s">
        <v>503</v>
      </c>
      <c r="C1072" s="1" t="s">
        <v>504</v>
      </c>
      <c r="D1072" s="1" t="s">
        <v>787</v>
      </c>
      <c r="E1072" t="s">
        <v>5198</v>
      </c>
      <c r="F1072" s="69" t="s">
        <v>4061</v>
      </c>
      <c r="K1072" s="82"/>
    </row>
    <row r="1073" spans="1:11" x14ac:dyDescent="0.2">
      <c r="A1073" s="33">
        <v>42210</v>
      </c>
      <c r="B1073" t="s">
        <v>503</v>
      </c>
      <c r="C1073" s="1" t="s">
        <v>504</v>
      </c>
      <c r="D1073" t="s">
        <v>787</v>
      </c>
      <c r="E1073" t="s">
        <v>5198</v>
      </c>
      <c r="F1073" s="69" t="s">
        <v>4061</v>
      </c>
      <c r="K1073" s="82"/>
    </row>
    <row r="1074" spans="1:11" x14ac:dyDescent="0.2">
      <c r="A1074" s="33">
        <v>42203</v>
      </c>
      <c r="B1074" t="s">
        <v>503</v>
      </c>
      <c r="C1074" s="1" t="s">
        <v>504</v>
      </c>
      <c r="D1074" s="1" t="s">
        <v>787</v>
      </c>
      <c r="E1074" t="s">
        <v>5198</v>
      </c>
      <c r="F1074" s="69" t="s">
        <v>4061</v>
      </c>
      <c r="K1074" s="82"/>
    </row>
    <row r="1075" spans="1:11" x14ac:dyDescent="0.2">
      <c r="A1075" s="33">
        <v>42182</v>
      </c>
      <c r="B1075" t="s">
        <v>503</v>
      </c>
      <c r="C1075" s="1" t="s">
        <v>504</v>
      </c>
      <c r="D1075" s="1" t="s">
        <v>787</v>
      </c>
      <c r="E1075" t="s">
        <v>5198</v>
      </c>
      <c r="F1075" s="69" t="s">
        <v>4061</v>
      </c>
      <c r="K1075" s="82"/>
    </row>
    <row r="1076" spans="1:11" x14ac:dyDescent="0.2">
      <c r="A1076" s="33">
        <v>42168</v>
      </c>
      <c r="B1076" t="s">
        <v>503</v>
      </c>
      <c r="C1076" s="1" t="s">
        <v>504</v>
      </c>
      <c r="D1076" t="s">
        <v>787</v>
      </c>
      <c r="E1076" t="s">
        <v>5198</v>
      </c>
      <c r="F1076" s="69" t="s">
        <v>4061</v>
      </c>
      <c r="G1076" s="42"/>
      <c r="H1076" s="42"/>
      <c r="K1076" s="82"/>
    </row>
    <row r="1077" spans="1:11" x14ac:dyDescent="0.2">
      <c r="A1077" s="33">
        <v>42154</v>
      </c>
      <c r="B1077" t="s">
        <v>503</v>
      </c>
      <c r="C1077" s="1" t="s">
        <v>504</v>
      </c>
      <c r="D1077" s="1" t="s">
        <v>787</v>
      </c>
      <c r="E1077" t="s">
        <v>5198</v>
      </c>
      <c r="F1077" s="69"/>
      <c r="K1077" s="82"/>
    </row>
    <row r="1078" spans="1:11" x14ac:dyDescent="0.2">
      <c r="A1078" s="33">
        <v>42147</v>
      </c>
      <c r="B1078" t="s">
        <v>503</v>
      </c>
      <c r="C1078" s="1" t="s">
        <v>504</v>
      </c>
      <c r="D1078" s="1" t="s">
        <v>787</v>
      </c>
      <c r="E1078" t="s">
        <v>5198</v>
      </c>
      <c r="F1078" s="69"/>
      <c r="K1078" s="82"/>
    </row>
    <row r="1079" spans="1:11" x14ac:dyDescent="0.2">
      <c r="A1079" s="33">
        <v>42140</v>
      </c>
      <c r="B1079" t="s">
        <v>503</v>
      </c>
      <c r="C1079" s="1" t="s">
        <v>504</v>
      </c>
      <c r="D1079" s="1" t="s">
        <v>787</v>
      </c>
      <c r="E1079" t="s">
        <v>5198</v>
      </c>
      <c r="F1079" s="69" t="s">
        <v>4061</v>
      </c>
      <c r="K1079" s="82"/>
    </row>
    <row r="1080" spans="1:11" x14ac:dyDescent="0.2">
      <c r="A1080" s="33">
        <v>42119</v>
      </c>
      <c r="B1080" t="s">
        <v>503</v>
      </c>
      <c r="C1080" s="1" t="s">
        <v>504</v>
      </c>
      <c r="D1080" s="1" t="s">
        <v>787</v>
      </c>
      <c r="E1080" t="s">
        <v>5198</v>
      </c>
      <c r="F1080" s="69" t="s">
        <v>4061</v>
      </c>
      <c r="K1080" s="82"/>
    </row>
    <row r="1081" spans="1:11" x14ac:dyDescent="0.2">
      <c r="A1081" s="33">
        <v>42112</v>
      </c>
      <c r="B1081" t="s">
        <v>503</v>
      </c>
      <c r="C1081" s="1" t="s">
        <v>504</v>
      </c>
      <c r="D1081" s="1" t="s">
        <v>787</v>
      </c>
      <c r="E1081" t="s">
        <v>5198</v>
      </c>
      <c r="F1081" s="69" t="s">
        <v>4061</v>
      </c>
      <c r="K1081" s="82"/>
    </row>
    <row r="1082" spans="1:11" x14ac:dyDescent="0.2">
      <c r="A1082" s="33">
        <v>42098</v>
      </c>
      <c r="B1082" t="s">
        <v>503</v>
      </c>
      <c r="C1082" s="1" t="s">
        <v>504</v>
      </c>
      <c r="D1082" s="1" t="s">
        <v>787</v>
      </c>
      <c r="E1082" t="s">
        <v>5198</v>
      </c>
      <c r="F1082" s="69" t="s">
        <v>4061</v>
      </c>
      <c r="G1082" s="42"/>
      <c r="H1082" s="42"/>
      <c r="K1082" s="82"/>
    </row>
    <row r="1083" spans="1:11" x14ac:dyDescent="0.2">
      <c r="A1083" s="33">
        <v>42091</v>
      </c>
      <c r="B1083" s="80" t="s">
        <v>503</v>
      </c>
      <c r="C1083" s="1" t="s">
        <v>504</v>
      </c>
      <c r="D1083" s="1" t="s">
        <v>787</v>
      </c>
      <c r="E1083" t="s">
        <v>5198</v>
      </c>
      <c r="F1083" s="42" t="s">
        <v>4061</v>
      </c>
      <c r="K1083" s="82"/>
    </row>
    <row r="1084" spans="1:11" x14ac:dyDescent="0.2">
      <c r="A1084" s="33">
        <v>42084</v>
      </c>
      <c r="B1084" s="80" t="s">
        <v>503</v>
      </c>
      <c r="C1084" s="334" t="s">
        <v>504</v>
      </c>
      <c r="D1084" s="1" t="s">
        <v>787</v>
      </c>
      <c r="E1084" t="s">
        <v>5198</v>
      </c>
      <c r="F1084" s="42"/>
      <c r="K1084" s="82"/>
    </row>
    <row r="1085" spans="1:11" x14ac:dyDescent="0.2">
      <c r="A1085" s="33">
        <v>42077</v>
      </c>
      <c r="B1085" t="s">
        <v>503</v>
      </c>
      <c r="C1085" s="1" t="s">
        <v>504</v>
      </c>
      <c r="D1085" s="1" t="s">
        <v>787</v>
      </c>
      <c r="E1085" t="s">
        <v>5198</v>
      </c>
      <c r="F1085" s="69" t="s">
        <v>4061</v>
      </c>
      <c r="G1085" s="6"/>
      <c r="H1085" s="6"/>
      <c r="I1085" s="42"/>
      <c r="J1085" s="42"/>
      <c r="K1085" s="82"/>
    </row>
    <row r="1086" spans="1:11" x14ac:dyDescent="0.2">
      <c r="A1086" s="33">
        <v>42063</v>
      </c>
      <c r="B1086" t="s">
        <v>503</v>
      </c>
      <c r="C1086" s="1" t="s">
        <v>504</v>
      </c>
      <c r="D1086" t="s">
        <v>787</v>
      </c>
      <c r="E1086" t="s">
        <v>5198</v>
      </c>
      <c r="F1086" s="41"/>
      <c r="K1086" s="82"/>
    </row>
    <row r="1087" spans="1:11" x14ac:dyDescent="0.2">
      <c r="A1087" s="33">
        <v>42021</v>
      </c>
      <c r="B1087" t="s">
        <v>503</v>
      </c>
      <c r="C1087" s="1" t="s">
        <v>504</v>
      </c>
      <c r="D1087" s="1" t="s">
        <v>787</v>
      </c>
      <c r="E1087" t="s">
        <v>5198</v>
      </c>
      <c r="F1087" s="69" t="s">
        <v>4061</v>
      </c>
      <c r="I1087" s="6"/>
      <c r="J1087" s="6"/>
      <c r="K1087" s="82"/>
    </row>
    <row r="1088" spans="1:11" x14ac:dyDescent="0.2">
      <c r="A1088" s="33">
        <v>42168</v>
      </c>
      <c r="B1088" s="53" t="s">
        <v>2304</v>
      </c>
      <c r="C1088" s="54" t="s">
        <v>3961</v>
      </c>
      <c r="D1088" s="1">
        <v>1.9432870370370371E-2</v>
      </c>
      <c r="E1088" t="s">
        <v>2593</v>
      </c>
      <c r="F1088" s="69" t="s">
        <v>876</v>
      </c>
      <c r="K1088" s="82">
        <v>0.63009999999999999</v>
      </c>
    </row>
    <row r="1089" spans="1:19" x14ac:dyDescent="0.2">
      <c r="A1089" s="33">
        <v>42154</v>
      </c>
      <c r="B1089" s="53" t="s">
        <v>2304</v>
      </c>
      <c r="C1089" s="54" t="s">
        <v>3961</v>
      </c>
      <c r="D1089" s="1">
        <v>1.9571759259259257E-2</v>
      </c>
      <c r="E1089" t="s">
        <v>1719</v>
      </c>
      <c r="F1089" s="69" t="s">
        <v>5972</v>
      </c>
      <c r="K1089" s="82">
        <v>0.62570000000000003</v>
      </c>
    </row>
    <row r="1090" spans="1:19" x14ac:dyDescent="0.2">
      <c r="A1090" s="33">
        <v>42140</v>
      </c>
      <c r="B1090" s="53" t="s">
        <v>2304</v>
      </c>
      <c r="C1090" s="54" t="s">
        <v>3961</v>
      </c>
      <c r="D1090" s="1">
        <v>1.9722222222222221E-2</v>
      </c>
      <c r="E1090" t="s">
        <v>2593</v>
      </c>
      <c r="F1090" s="69" t="s">
        <v>876</v>
      </c>
      <c r="K1090" s="82">
        <v>0.62090000000000001</v>
      </c>
    </row>
    <row r="1091" spans="1:19" x14ac:dyDescent="0.2">
      <c r="A1091" s="33">
        <v>42126</v>
      </c>
      <c r="B1091" s="53" t="s">
        <v>2304</v>
      </c>
      <c r="C1091" s="54" t="s">
        <v>3961</v>
      </c>
      <c r="D1091" s="1">
        <v>1.996527777777778E-2</v>
      </c>
      <c r="E1091" t="s">
        <v>4452</v>
      </c>
      <c r="F1091" s="69" t="s">
        <v>876</v>
      </c>
      <c r="I1091" s="42"/>
      <c r="J1091" s="42"/>
      <c r="K1091" s="82">
        <v>0.61329999999999996</v>
      </c>
    </row>
    <row r="1092" spans="1:19" x14ac:dyDescent="0.2">
      <c r="A1092" s="33">
        <v>42077</v>
      </c>
      <c r="B1092" s="53" t="s">
        <v>2304</v>
      </c>
      <c r="C1092" s="54" t="s">
        <v>3961</v>
      </c>
      <c r="D1092" s="1">
        <v>2.0173611111111111E-2</v>
      </c>
      <c r="E1092" t="s">
        <v>4452</v>
      </c>
      <c r="F1092" s="69" t="s">
        <v>1814</v>
      </c>
      <c r="G1092" s="6"/>
      <c r="H1092" s="6"/>
      <c r="I1092" s="6"/>
      <c r="J1092" s="6"/>
      <c r="K1092" s="82">
        <v>0.60699999999999998</v>
      </c>
    </row>
    <row r="1093" spans="1:19" x14ac:dyDescent="0.2">
      <c r="A1093" s="33">
        <v>42063</v>
      </c>
      <c r="B1093" s="53" t="s">
        <v>2304</v>
      </c>
      <c r="C1093" s="54" t="s">
        <v>3961</v>
      </c>
      <c r="D1093" s="1">
        <v>2.1979166666666664E-2</v>
      </c>
      <c r="E1093" t="s">
        <v>2593</v>
      </c>
      <c r="F1093" s="42" t="s">
        <v>4689</v>
      </c>
      <c r="G1093" s="6"/>
      <c r="H1093" s="6"/>
      <c r="K1093" s="82">
        <v>0.55710000000000004</v>
      </c>
    </row>
    <row r="1094" spans="1:19" x14ac:dyDescent="0.2">
      <c r="A1094" s="33">
        <v>42049</v>
      </c>
      <c r="B1094" s="53" t="s">
        <v>2304</v>
      </c>
      <c r="C1094" s="54" t="s">
        <v>3961</v>
      </c>
      <c r="D1094" s="1">
        <v>2.1898148148148149E-2</v>
      </c>
      <c r="E1094" t="s">
        <v>4452</v>
      </c>
      <c r="F1094" s="69" t="s">
        <v>643</v>
      </c>
      <c r="K1094" s="82">
        <v>0.55920000000000003</v>
      </c>
    </row>
    <row r="1095" spans="1:19" x14ac:dyDescent="0.2">
      <c r="A1095" s="33">
        <v>42363</v>
      </c>
      <c r="B1095" s="206" t="s">
        <v>4977</v>
      </c>
      <c r="C1095" s="254" t="s">
        <v>3961</v>
      </c>
      <c r="D1095" s="1">
        <v>1.7407407407407406E-2</v>
      </c>
      <c r="E1095" t="s">
        <v>4509</v>
      </c>
      <c r="F1095" s="69"/>
      <c r="I1095" s="2"/>
      <c r="K1095" s="82">
        <v>0.59040000000000004</v>
      </c>
    </row>
    <row r="1096" spans="1:19" x14ac:dyDescent="0.2">
      <c r="A1096" s="33">
        <v>42336</v>
      </c>
      <c r="B1096" s="206" t="s">
        <v>4977</v>
      </c>
      <c r="C1096" s="254" t="s">
        <v>3961</v>
      </c>
      <c r="D1096" s="1">
        <v>1.5370370370370369E-2</v>
      </c>
      <c r="E1096" t="s">
        <v>4004</v>
      </c>
      <c r="F1096" s="69" t="s">
        <v>1068</v>
      </c>
      <c r="I1096" s="2"/>
      <c r="K1096" s="82">
        <v>0.66869999999999996</v>
      </c>
    </row>
    <row r="1097" spans="1:19" x14ac:dyDescent="0.2">
      <c r="A1097" s="34">
        <v>42329</v>
      </c>
      <c r="B1097" s="206" t="s">
        <v>4977</v>
      </c>
      <c r="C1097" s="254" t="s">
        <v>3961</v>
      </c>
      <c r="D1097" s="1">
        <v>1.4953703703703705E-2</v>
      </c>
      <c r="E1097" t="s">
        <v>4004</v>
      </c>
      <c r="F1097" s="69" t="s">
        <v>1843</v>
      </c>
      <c r="I1097" s="2"/>
      <c r="K1097" s="82">
        <v>0.68730000000000002</v>
      </c>
    </row>
    <row r="1098" spans="1:19" x14ac:dyDescent="0.2">
      <c r="A1098" s="33">
        <v>42259</v>
      </c>
      <c r="B1098" s="206" t="s">
        <v>4977</v>
      </c>
      <c r="C1098" s="254" t="s">
        <v>3961</v>
      </c>
      <c r="D1098" s="1">
        <v>1.5046296296296295E-2</v>
      </c>
      <c r="E1098" t="s">
        <v>4004</v>
      </c>
      <c r="F1098" s="69"/>
      <c r="K1098" s="82">
        <v>0.68310000000000004</v>
      </c>
    </row>
    <row r="1099" spans="1:19" x14ac:dyDescent="0.2">
      <c r="A1099" s="33">
        <v>42231</v>
      </c>
      <c r="B1099" s="206" t="s">
        <v>4977</v>
      </c>
      <c r="C1099" s="254" t="s">
        <v>3961</v>
      </c>
      <c r="D1099" s="1">
        <v>1.5127314814814816E-2</v>
      </c>
      <c r="E1099" t="s">
        <v>4765</v>
      </c>
      <c r="F1099" s="69" t="s">
        <v>4766</v>
      </c>
      <c r="K1099" s="82">
        <v>0.6794</v>
      </c>
    </row>
    <row r="1100" spans="1:19" x14ac:dyDescent="0.2">
      <c r="A1100" s="33">
        <v>42070</v>
      </c>
      <c r="B1100" s="206" t="s">
        <v>4977</v>
      </c>
      <c r="C1100" s="254" t="s">
        <v>3961</v>
      </c>
      <c r="D1100" s="1">
        <v>1.4826388888888889E-2</v>
      </c>
      <c r="E1100" t="s">
        <v>4004</v>
      </c>
      <c r="F1100" s="69" t="s">
        <v>5382</v>
      </c>
      <c r="G1100" s="5"/>
      <c r="H1100" s="5"/>
      <c r="K1100" s="82">
        <v>0.69320000000000004</v>
      </c>
    </row>
    <row r="1101" spans="1:19" x14ac:dyDescent="0.2">
      <c r="A1101" s="33">
        <v>42035</v>
      </c>
      <c r="B1101" s="206" t="s">
        <v>4977</v>
      </c>
      <c r="C1101" s="254" t="s">
        <v>3961</v>
      </c>
      <c r="D1101" s="1">
        <v>1.5462962962962963E-2</v>
      </c>
      <c r="E1101" t="s">
        <v>1024</v>
      </c>
      <c r="F1101" s="42"/>
      <c r="K1101" s="82">
        <v>0.66469999999999996</v>
      </c>
    </row>
    <row r="1102" spans="1:19" x14ac:dyDescent="0.2">
      <c r="A1102" s="33">
        <v>42238</v>
      </c>
      <c r="B1102" s="206" t="s">
        <v>5602</v>
      </c>
      <c r="C1102" s="254" t="s">
        <v>3961</v>
      </c>
      <c r="D1102" s="1">
        <v>1.4618055555555556E-2</v>
      </c>
      <c r="E1102" t="s">
        <v>4004</v>
      </c>
      <c r="F1102" s="69" t="s">
        <v>875</v>
      </c>
      <c r="K1102" s="82">
        <v>0.70309999999999995</v>
      </c>
    </row>
    <row r="1103" spans="1:19" x14ac:dyDescent="0.2">
      <c r="A1103" s="33">
        <v>42363</v>
      </c>
      <c r="B1103" t="s">
        <v>3960</v>
      </c>
      <c r="C1103" s="1" t="s">
        <v>3961</v>
      </c>
      <c r="D1103" s="1">
        <v>1.4999999999999999E-2</v>
      </c>
      <c r="E1103" t="s">
        <v>4509</v>
      </c>
      <c r="F1103" s="69" t="s">
        <v>2736</v>
      </c>
      <c r="I1103" s="5" t="s">
        <v>1485</v>
      </c>
      <c r="K1103" s="82">
        <v>0.70520000000000005</v>
      </c>
      <c r="M1103" t="s">
        <v>1197</v>
      </c>
    </row>
    <row r="1104" spans="1:19" x14ac:dyDescent="0.2">
      <c r="A1104" s="33">
        <v>42357</v>
      </c>
      <c r="B1104" t="s">
        <v>3960</v>
      </c>
      <c r="C1104" s="1" t="s">
        <v>3961</v>
      </c>
      <c r="D1104" s="1">
        <v>1.4444444444444446E-2</v>
      </c>
      <c r="E1104" t="s">
        <v>5554</v>
      </c>
      <c r="F1104" s="69" t="s">
        <v>1889</v>
      </c>
      <c r="I1104" s="2"/>
      <c r="K1104" s="82">
        <v>0.73240000000000005</v>
      </c>
      <c r="S1104" s="80"/>
    </row>
    <row r="1105" spans="1:13" x14ac:dyDescent="0.2">
      <c r="A1105" s="33">
        <v>42350</v>
      </c>
      <c r="B1105" t="s">
        <v>3960</v>
      </c>
      <c r="C1105" s="1" t="s">
        <v>3961</v>
      </c>
      <c r="D1105" s="1">
        <v>1.5439814814814816E-2</v>
      </c>
      <c r="E1105" t="s">
        <v>2995</v>
      </c>
      <c r="F1105" s="69" t="s">
        <v>1290</v>
      </c>
      <c r="I1105" s="2"/>
      <c r="K1105" s="82">
        <v>0.68520000000000003</v>
      </c>
    </row>
    <row r="1106" spans="1:13" x14ac:dyDescent="0.2">
      <c r="A1106" s="33">
        <v>42343</v>
      </c>
      <c r="B1106" t="s">
        <v>3960</v>
      </c>
      <c r="C1106" s="1" t="s">
        <v>3961</v>
      </c>
      <c r="D1106" s="1">
        <v>1.4386574074074072E-2</v>
      </c>
      <c r="E1106" s="5" t="s">
        <v>4452</v>
      </c>
      <c r="F1106" s="69" t="s">
        <v>5535</v>
      </c>
      <c r="I1106" s="2"/>
      <c r="K1106" s="82">
        <v>0.73529999999999995</v>
      </c>
    </row>
    <row r="1107" spans="1:13" x14ac:dyDescent="0.2">
      <c r="A1107" s="33">
        <v>42336</v>
      </c>
      <c r="B1107" t="s">
        <v>3960</v>
      </c>
      <c r="C1107" s="1" t="s">
        <v>3961</v>
      </c>
      <c r="D1107" s="1">
        <v>1.4224537037037037E-2</v>
      </c>
      <c r="E1107" t="s">
        <v>2593</v>
      </c>
      <c r="F1107" s="69" t="s">
        <v>3488</v>
      </c>
      <c r="I1107" s="2"/>
      <c r="K1107" s="82">
        <v>0.74370000000000003</v>
      </c>
    </row>
    <row r="1108" spans="1:13" x14ac:dyDescent="0.2">
      <c r="A1108" s="34">
        <v>42329</v>
      </c>
      <c r="B1108" t="s">
        <v>3960</v>
      </c>
      <c r="C1108" s="1" t="s">
        <v>3961</v>
      </c>
      <c r="D1108" s="1">
        <v>1.4178240740740741E-2</v>
      </c>
      <c r="E1108" t="s">
        <v>4004</v>
      </c>
      <c r="F1108" s="69" t="s">
        <v>2629</v>
      </c>
      <c r="I1108" s="2"/>
      <c r="K1108" s="82">
        <v>0.74609999999999999</v>
      </c>
    </row>
    <row r="1109" spans="1:13" x14ac:dyDescent="0.2">
      <c r="A1109" s="33">
        <v>42322</v>
      </c>
      <c r="B1109" t="s">
        <v>3960</v>
      </c>
      <c r="C1109" s="1" t="s">
        <v>3961</v>
      </c>
      <c r="D1109" s="1">
        <v>1.5509259259259257E-2</v>
      </c>
      <c r="E1109" t="s">
        <v>5055</v>
      </c>
      <c r="F1109" s="69" t="s">
        <v>3975</v>
      </c>
      <c r="I1109" s="2"/>
      <c r="K1109" s="82">
        <v>0.68210000000000004</v>
      </c>
    </row>
    <row r="1110" spans="1:13" x14ac:dyDescent="0.2">
      <c r="A1110" s="33">
        <v>42308</v>
      </c>
      <c r="B1110" t="s">
        <v>3960</v>
      </c>
      <c r="C1110" s="1" t="s">
        <v>3961</v>
      </c>
      <c r="D1110" s="1">
        <v>1.4317129629629631E-2</v>
      </c>
      <c r="E1110" t="s">
        <v>4452</v>
      </c>
      <c r="F1110" s="69" t="s">
        <v>2629</v>
      </c>
      <c r="I1110" s="2"/>
      <c r="K1110" s="82">
        <v>0.7389</v>
      </c>
    </row>
    <row r="1111" spans="1:13" x14ac:dyDescent="0.2">
      <c r="A1111" s="33">
        <v>42294</v>
      </c>
      <c r="B1111" t="s">
        <v>3960</v>
      </c>
      <c r="C1111" s="1" t="s">
        <v>3961</v>
      </c>
      <c r="D1111" s="1">
        <v>1.5810185185185184E-2</v>
      </c>
      <c r="E1111" t="s">
        <v>4452</v>
      </c>
      <c r="F1111" s="69" t="s">
        <v>2847</v>
      </c>
      <c r="I1111" s="2"/>
      <c r="K1111" s="82">
        <v>0.66910000000000003</v>
      </c>
    </row>
    <row r="1112" spans="1:13" x14ac:dyDescent="0.2">
      <c r="A1112" s="33">
        <v>42280</v>
      </c>
      <c r="B1112" t="s">
        <v>3960</v>
      </c>
      <c r="C1112" s="1" t="s">
        <v>3961</v>
      </c>
      <c r="D1112" s="1">
        <v>1.40625E-2</v>
      </c>
      <c r="E1112" t="s">
        <v>2593</v>
      </c>
      <c r="F1112" s="69" t="s">
        <v>5709</v>
      </c>
      <c r="I1112" s="2"/>
      <c r="K1112" s="82">
        <v>0.75229999999999997</v>
      </c>
    </row>
    <row r="1113" spans="1:13" x14ac:dyDescent="0.2">
      <c r="A1113" s="33">
        <v>42259</v>
      </c>
      <c r="B1113" t="s">
        <v>3960</v>
      </c>
      <c r="C1113" s="1" t="s">
        <v>3961</v>
      </c>
      <c r="D1113" s="1">
        <v>1.4907407407407406E-2</v>
      </c>
      <c r="E1113" t="s">
        <v>2392</v>
      </c>
      <c r="F1113" s="69" t="s">
        <v>386</v>
      </c>
      <c r="K1113" s="82">
        <v>0.70960000000000001</v>
      </c>
    </row>
    <row r="1114" spans="1:13" x14ac:dyDescent="0.2">
      <c r="A1114" s="33">
        <v>42252</v>
      </c>
      <c r="B1114" t="s">
        <v>3960</v>
      </c>
      <c r="C1114" s="1" t="s">
        <v>3961</v>
      </c>
      <c r="D1114" s="1">
        <v>1.5625E-2</v>
      </c>
      <c r="E1114" t="s">
        <v>5337</v>
      </c>
      <c r="F1114" s="69" t="s">
        <v>2629</v>
      </c>
      <c r="K1114" s="82">
        <v>0.67700000000000005</v>
      </c>
    </row>
    <row r="1115" spans="1:13" x14ac:dyDescent="0.2">
      <c r="A1115" s="33">
        <v>42238</v>
      </c>
      <c r="B1115" t="s">
        <v>3960</v>
      </c>
      <c r="C1115" s="1" t="s">
        <v>3961</v>
      </c>
      <c r="D1115" s="1">
        <v>1.4363425925925925E-2</v>
      </c>
      <c r="E1115" t="s">
        <v>4004</v>
      </c>
      <c r="F1115" s="69" t="s">
        <v>874</v>
      </c>
      <c r="K1115" s="82">
        <v>0.73089999999999999</v>
      </c>
    </row>
    <row r="1116" spans="1:13" x14ac:dyDescent="0.2">
      <c r="A1116" s="33">
        <v>42231</v>
      </c>
      <c r="B1116" t="s">
        <v>3960</v>
      </c>
      <c r="C1116" s="1" t="s">
        <v>3961</v>
      </c>
      <c r="D1116" s="1">
        <v>1.4826388888888889E-2</v>
      </c>
      <c r="E1116" t="s">
        <v>4765</v>
      </c>
      <c r="F1116" s="69" t="s">
        <v>1679</v>
      </c>
      <c r="K1116" s="82">
        <v>0.70799999999999996</v>
      </c>
    </row>
    <row r="1117" spans="1:13" x14ac:dyDescent="0.2">
      <c r="A1117" s="33">
        <v>42224</v>
      </c>
      <c r="B1117" t="s">
        <v>3960</v>
      </c>
      <c r="C1117" s="1" t="s">
        <v>3961</v>
      </c>
      <c r="D1117" s="1">
        <v>1.4398148148148148E-2</v>
      </c>
      <c r="E1117" t="s">
        <v>4452</v>
      </c>
      <c r="F1117" s="69" t="s">
        <v>4702</v>
      </c>
      <c r="K1117" s="368">
        <v>0.72909999999999997</v>
      </c>
      <c r="M1117" s="26"/>
    </row>
    <row r="1118" spans="1:13" x14ac:dyDescent="0.2">
      <c r="A1118" s="33">
        <v>42217</v>
      </c>
      <c r="B1118" t="s">
        <v>3960</v>
      </c>
      <c r="C1118" s="1" t="s">
        <v>3961</v>
      </c>
      <c r="D1118" s="1">
        <v>1.4826388888888889E-2</v>
      </c>
      <c r="E1118" t="s">
        <v>4727</v>
      </c>
      <c r="F1118" s="69" t="s">
        <v>1310</v>
      </c>
      <c r="K1118" s="82">
        <v>0.70799999999999996</v>
      </c>
    </row>
    <row r="1119" spans="1:13" x14ac:dyDescent="0.2">
      <c r="A1119" s="33">
        <v>42210</v>
      </c>
      <c r="B1119" t="s">
        <v>3960</v>
      </c>
      <c r="C1119" s="1" t="s">
        <v>3961</v>
      </c>
      <c r="D1119" s="1">
        <v>1.4791666666666668E-2</v>
      </c>
      <c r="E1119" t="s">
        <v>5821</v>
      </c>
      <c r="F1119" s="69" t="s">
        <v>2252</v>
      </c>
      <c r="K1119" s="82">
        <v>0.7097</v>
      </c>
    </row>
    <row r="1120" spans="1:13" x14ac:dyDescent="0.2">
      <c r="A1120" s="33">
        <v>42203</v>
      </c>
      <c r="B1120" t="s">
        <v>3960</v>
      </c>
      <c r="C1120" s="1" t="s">
        <v>3961</v>
      </c>
      <c r="D1120" s="1">
        <v>1.5011574074074075E-2</v>
      </c>
      <c r="E1120" t="s">
        <v>5588</v>
      </c>
      <c r="F1120" s="69" t="s">
        <v>5589</v>
      </c>
      <c r="K1120" s="82">
        <v>0.69930000000000003</v>
      </c>
    </row>
    <row r="1121" spans="1:13" x14ac:dyDescent="0.2">
      <c r="A1121" s="33">
        <v>42196</v>
      </c>
      <c r="B1121" t="s">
        <v>3960</v>
      </c>
      <c r="C1121" s="1" t="s">
        <v>3961</v>
      </c>
      <c r="D1121" s="1">
        <v>1.4641203703703703E-2</v>
      </c>
      <c r="E1121" t="s">
        <v>5654</v>
      </c>
      <c r="F1121" s="69" t="s">
        <v>2093</v>
      </c>
      <c r="K1121" s="82">
        <v>0.71699999999999997</v>
      </c>
    </row>
    <row r="1122" spans="1:13" x14ac:dyDescent="0.2">
      <c r="A1122" s="33">
        <v>42189</v>
      </c>
      <c r="B1122" t="s">
        <v>3960</v>
      </c>
      <c r="C1122" s="1" t="s">
        <v>3961</v>
      </c>
      <c r="D1122" s="1">
        <v>1.4953703703703705E-2</v>
      </c>
      <c r="E1122" t="s">
        <v>4974</v>
      </c>
      <c r="F1122" s="69" t="s">
        <v>4444</v>
      </c>
      <c r="K1122" s="82">
        <v>0.70199999999999996</v>
      </c>
    </row>
    <row r="1123" spans="1:13" x14ac:dyDescent="0.2">
      <c r="A1123" s="33">
        <v>42175</v>
      </c>
      <c r="B1123" t="s">
        <v>3960</v>
      </c>
      <c r="C1123" s="1" t="s">
        <v>3961</v>
      </c>
      <c r="D1123" s="1">
        <v>1.4814814814814814E-2</v>
      </c>
      <c r="E1123" t="s">
        <v>2593</v>
      </c>
      <c r="F1123" s="69" t="s">
        <v>2629</v>
      </c>
      <c r="K1123" s="82">
        <v>0.70860000000000001</v>
      </c>
    </row>
    <row r="1124" spans="1:13" x14ac:dyDescent="0.2">
      <c r="A1124" s="33">
        <v>42154</v>
      </c>
      <c r="B1124" t="s">
        <v>3960</v>
      </c>
      <c r="C1124" s="1" t="s">
        <v>3961</v>
      </c>
      <c r="D1124" s="1">
        <v>1.486111111111111E-2</v>
      </c>
      <c r="E1124" t="s">
        <v>1719</v>
      </c>
      <c r="F1124" s="69" t="s">
        <v>2680</v>
      </c>
      <c r="K1124" s="82">
        <v>0.70640000000000003</v>
      </c>
    </row>
    <row r="1125" spans="1:13" x14ac:dyDescent="0.2">
      <c r="A1125" s="33">
        <v>42126</v>
      </c>
      <c r="B1125" t="s">
        <v>3960</v>
      </c>
      <c r="C1125" s="1" t="s">
        <v>3961</v>
      </c>
      <c r="D1125" s="1">
        <v>1.6168981481481482E-2</v>
      </c>
      <c r="E1125" t="s">
        <v>2995</v>
      </c>
      <c r="F1125" s="69" t="s">
        <v>2997</v>
      </c>
      <c r="I1125" s="42" t="s">
        <v>2103</v>
      </c>
      <c r="J1125" s="42"/>
      <c r="K1125" s="82">
        <v>0.6492</v>
      </c>
    </row>
    <row r="1126" spans="1:13" x14ac:dyDescent="0.2">
      <c r="A1126" s="33">
        <v>42084</v>
      </c>
      <c r="B1126" t="s">
        <v>3960</v>
      </c>
      <c r="C1126" s="1" t="s">
        <v>3961</v>
      </c>
      <c r="D1126" s="1">
        <v>1.494212962962963E-2</v>
      </c>
      <c r="E1126" t="s">
        <v>2593</v>
      </c>
      <c r="F1126" s="42" t="s">
        <v>4277</v>
      </c>
      <c r="K1126" s="82">
        <v>0.7026</v>
      </c>
    </row>
    <row r="1127" spans="1:13" x14ac:dyDescent="0.2">
      <c r="A1127" s="33">
        <v>42077</v>
      </c>
      <c r="B1127" t="s">
        <v>3960</v>
      </c>
      <c r="C1127" s="1" t="s">
        <v>3961</v>
      </c>
      <c r="D1127" s="1">
        <v>1.4733796296296295E-2</v>
      </c>
      <c r="E1127" t="s">
        <v>4452</v>
      </c>
      <c r="F1127" s="69" t="s">
        <v>5731</v>
      </c>
      <c r="I1127" s="42"/>
      <c r="J1127" s="42"/>
      <c r="K1127" s="82">
        <v>0.71250000000000002</v>
      </c>
    </row>
    <row r="1128" spans="1:13" x14ac:dyDescent="0.2">
      <c r="A1128" s="33">
        <v>42070</v>
      </c>
      <c r="B1128" t="s">
        <v>3960</v>
      </c>
      <c r="C1128" s="1" t="s">
        <v>3961</v>
      </c>
      <c r="D1128" s="1">
        <v>1.511574074074074E-2</v>
      </c>
      <c r="E1128" t="s">
        <v>2593</v>
      </c>
      <c r="F1128" s="69" t="s">
        <v>4960</v>
      </c>
      <c r="K1128" s="82">
        <v>0.69450000000000001</v>
      </c>
    </row>
    <row r="1129" spans="1:13" x14ac:dyDescent="0.2">
      <c r="A1129" s="33">
        <v>42063</v>
      </c>
      <c r="B1129" t="s">
        <v>3960</v>
      </c>
      <c r="C1129" s="1" t="s">
        <v>3961</v>
      </c>
      <c r="D1129" s="1">
        <v>2.1851851851851848E-2</v>
      </c>
      <c r="E1129" t="s">
        <v>2593</v>
      </c>
      <c r="F1129" s="42" t="s">
        <v>5810</v>
      </c>
      <c r="K1129" s="82">
        <v>0.47789999999999999</v>
      </c>
    </row>
    <row r="1130" spans="1:13" x14ac:dyDescent="0.2">
      <c r="A1130" s="33">
        <v>42049</v>
      </c>
      <c r="B1130" t="s">
        <v>3960</v>
      </c>
      <c r="C1130" s="1" t="s">
        <v>3961</v>
      </c>
      <c r="D1130" s="1">
        <v>1.5625E-2</v>
      </c>
      <c r="E1130" t="s">
        <v>4452</v>
      </c>
      <c r="F1130" s="69" t="s">
        <v>642</v>
      </c>
      <c r="G1130" s="42"/>
      <c r="H1130" s="42"/>
      <c r="K1130" s="82">
        <v>0.67190000000000005</v>
      </c>
    </row>
    <row r="1131" spans="1:13" x14ac:dyDescent="0.2">
      <c r="A1131" s="33">
        <v>42042</v>
      </c>
      <c r="B1131" t="s">
        <v>3960</v>
      </c>
      <c r="C1131" s="1" t="s">
        <v>3961</v>
      </c>
      <c r="D1131" s="1">
        <v>1.5300925925925926E-2</v>
      </c>
      <c r="E1131" t="s">
        <v>1569</v>
      </c>
      <c r="F1131" s="42" t="s">
        <v>4398</v>
      </c>
      <c r="K1131" s="82">
        <v>0.68610000000000004</v>
      </c>
    </row>
    <row r="1132" spans="1:13" x14ac:dyDescent="0.2">
      <c r="A1132" s="33">
        <v>42021</v>
      </c>
      <c r="B1132" s="5" t="s">
        <v>3960</v>
      </c>
      <c r="C1132" s="32" t="s">
        <v>3961</v>
      </c>
      <c r="D1132" s="1">
        <v>1.5289351851851851E-2</v>
      </c>
      <c r="E1132" t="s">
        <v>4452</v>
      </c>
      <c r="F1132" s="42" t="s">
        <v>1603</v>
      </c>
      <c r="G1132" s="6"/>
      <c r="H1132" s="6"/>
      <c r="K1132" s="82">
        <v>0.68659999999999999</v>
      </c>
    </row>
    <row r="1133" spans="1:13" x14ac:dyDescent="0.2">
      <c r="A1133" s="33">
        <v>42007</v>
      </c>
      <c r="B1133" t="s">
        <v>3960</v>
      </c>
      <c r="C1133" s="1" t="s">
        <v>3961</v>
      </c>
      <c r="D1133" s="1">
        <v>1.5555555555555553E-2</v>
      </c>
      <c r="E1133" t="s">
        <v>983</v>
      </c>
      <c r="F1133" s="42" t="s">
        <v>1129</v>
      </c>
      <c r="K1133" s="82">
        <v>0.67490000000000006</v>
      </c>
    </row>
    <row r="1134" spans="1:13" x14ac:dyDescent="0.2">
      <c r="A1134" s="33">
        <v>42005</v>
      </c>
      <c r="B1134" t="s">
        <v>3960</v>
      </c>
      <c r="C1134" s="1" t="s">
        <v>3961</v>
      </c>
      <c r="D1134" s="1">
        <v>1.5590277777777778E-2</v>
      </c>
      <c r="E1134" t="s">
        <v>143</v>
      </c>
      <c r="F1134" s="69" t="s">
        <v>139</v>
      </c>
      <c r="I1134" s="6"/>
      <c r="J1134" s="6"/>
      <c r="K1134" s="82">
        <v>0.67330000000000001</v>
      </c>
      <c r="M1134" t="s">
        <v>4372</v>
      </c>
    </row>
    <row r="1135" spans="1:13" x14ac:dyDescent="0.2">
      <c r="A1135" s="33">
        <v>42005</v>
      </c>
      <c r="B1135" t="s">
        <v>3960</v>
      </c>
      <c r="C1135" s="1" t="s">
        <v>3961</v>
      </c>
      <c r="D1135" s="1">
        <v>1.5763888888888886E-2</v>
      </c>
      <c r="E1135" t="s">
        <v>3116</v>
      </c>
      <c r="F1135" s="69" t="s">
        <v>141</v>
      </c>
      <c r="H1135" t="s">
        <v>4653</v>
      </c>
      <c r="I1135" s="6"/>
      <c r="J1135" s="6"/>
      <c r="K1135" s="82">
        <v>0.66590000000000005</v>
      </c>
      <c r="M1135" t="s">
        <v>4373</v>
      </c>
    </row>
    <row r="1136" spans="1:13" x14ac:dyDescent="0.2">
      <c r="A1136" s="33">
        <v>42363</v>
      </c>
      <c r="B1136" t="s">
        <v>870</v>
      </c>
      <c r="C1136" s="1" t="s">
        <v>871</v>
      </c>
      <c r="D1136" s="1">
        <v>1.4131944444444445E-2</v>
      </c>
      <c r="E1136" t="s">
        <v>4004</v>
      </c>
      <c r="F1136" s="69" t="s">
        <v>5857</v>
      </c>
      <c r="I1136" s="2"/>
      <c r="K1136" s="82">
        <v>0.74860000000000004</v>
      </c>
    </row>
    <row r="1137" spans="1:19" x14ac:dyDescent="0.2">
      <c r="A1137" s="33">
        <v>42336</v>
      </c>
      <c r="B1137" t="s">
        <v>870</v>
      </c>
      <c r="C1137" s="1" t="s">
        <v>871</v>
      </c>
      <c r="D1137" s="1">
        <v>1.4699074074074074E-2</v>
      </c>
      <c r="E1137" t="s">
        <v>5883</v>
      </c>
      <c r="F1137" s="69" t="s">
        <v>5698</v>
      </c>
      <c r="I1137" s="2"/>
      <c r="K1137" s="82">
        <v>0.71970000000000001</v>
      </c>
    </row>
    <row r="1138" spans="1:19" x14ac:dyDescent="0.2">
      <c r="A1138" s="33">
        <v>42182</v>
      </c>
      <c r="B1138" t="s">
        <v>5649</v>
      </c>
      <c r="C1138" s="1" t="s">
        <v>2417</v>
      </c>
      <c r="D1138" s="1">
        <v>3.6608796296296299E-2</v>
      </c>
      <c r="E1138" t="s">
        <v>2544</v>
      </c>
      <c r="F1138" s="69" t="s">
        <v>3253</v>
      </c>
      <c r="G1138" s="42"/>
      <c r="H1138" s="42"/>
      <c r="K1138" s="82">
        <v>0.2447</v>
      </c>
    </row>
    <row r="1139" spans="1:19" x14ac:dyDescent="0.2">
      <c r="A1139" s="33">
        <v>42357</v>
      </c>
      <c r="B1139" t="s">
        <v>2416</v>
      </c>
      <c r="C1139" s="1" t="s">
        <v>2417</v>
      </c>
      <c r="D1139" t="s">
        <v>787</v>
      </c>
      <c r="E1139" s="5" t="s">
        <v>4727</v>
      </c>
      <c r="F1139" s="108" t="s">
        <v>4854</v>
      </c>
      <c r="G1139" s="5"/>
      <c r="H1139" s="2"/>
      <c r="I1139" s="2"/>
      <c r="K1139" s="82"/>
      <c r="S1139" s="80"/>
    </row>
    <row r="1140" spans="1:19" x14ac:dyDescent="0.2">
      <c r="A1140" s="33">
        <v>42308</v>
      </c>
      <c r="B1140" t="s">
        <v>2416</v>
      </c>
      <c r="C1140" s="1" t="s">
        <v>2417</v>
      </c>
      <c r="D1140" s="1">
        <v>2.1145833333333332E-2</v>
      </c>
      <c r="E1140" s="5" t="s">
        <v>5960</v>
      </c>
      <c r="F1140" s="69" t="s">
        <v>2957</v>
      </c>
      <c r="I1140" s="2"/>
      <c r="K1140" s="82">
        <v>0.62839999999999996</v>
      </c>
    </row>
    <row r="1141" spans="1:19" x14ac:dyDescent="0.2">
      <c r="A1141" s="33">
        <v>42294</v>
      </c>
      <c r="B1141" t="s">
        <v>2416</v>
      </c>
      <c r="C1141" s="1" t="s">
        <v>2417</v>
      </c>
      <c r="D1141" s="1">
        <v>2.0891203703703703E-2</v>
      </c>
      <c r="E1141" t="s">
        <v>4727</v>
      </c>
      <c r="F1141" s="69"/>
      <c r="I1141" s="2"/>
      <c r="K1141" s="82">
        <v>0.63600000000000001</v>
      </c>
    </row>
    <row r="1142" spans="1:19" x14ac:dyDescent="0.2">
      <c r="A1142" s="33">
        <v>42266</v>
      </c>
      <c r="B1142" t="s">
        <v>2416</v>
      </c>
      <c r="C1142" s="1" t="s">
        <v>2417</v>
      </c>
      <c r="D1142" s="1">
        <v>2.0150462962962964E-2</v>
      </c>
      <c r="E1142" t="s">
        <v>5653</v>
      </c>
      <c r="F1142" s="69" t="s">
        <v>2629</v>
      </c>
      <c r="K1142" s="82">
        <v>0.65939999999999999</v>
      </c>
    </row>
    <row r="1143" spans="1:19" x14ac:dyDescent="0.2">
      <c r="A1143" s="33">
        <v>42245</v>
      </c>
      <c r="B1143" t="s">
        <v>2416</v>
      </c>
      <c r="C1143" s="1" t="s">
        <v>2417</v>
      </c>
      <c r="D1143" s="1" t="s">
        <v>787</v>
      </c>
      <c r="E1143" t="s">
        <v>4727</v>
      </c>
      <c r="F1143" s="69" t="s">
        <v>1549</v>
      </c>
      <c r="K1143" s="82"/>
    </row>
    <row r="1144" spans="1:19" x14ac:dyDescent="0.2">
      <c r="A1144" s="33">
        <v>42231</v>
      </c>
      <c r="B1144" s="53" t="s">
        <v>2416</v>
      </c>
      <c r="C1144" s="1" t="s">
        <v>2417</v>
      </c>
      <c r="D1144" s="1">
        <v>2.0543981481481479E-2</v>
      </c>
      <c r="E1144" t="s">
        <v>1678</v>
      </c>
      <c r="F1144" s="69" t="s">
        <v>1680</v>
      </c>
      <c r="K1144" s="82">
        <v>0.64980000000000004</v>
      </c>
    </row>
    <row r="1145" spans="1:19" x14ac:dyDescent="0.2">
      <c r="A1145" s="33">
        <v>42224</v>
      </c>
      <c r="B1145" t="s">
        <v>2416</v>
      </c>
      <c r="C1145" s="1" t="s">
        <v>2417</v>
      </c>
      <c r="D1145" s="1">
        <v>2.0231481481481482E-2</v>
      </c>
      <c r="E1145" t="s">
        <v>1534</v>
      </c>
      <c r="F1145" s="69" t="s">
        <v>737</v>
      </c>
      <c r="K1145" s="82">
        <v>0.65680000000000005</v>
      </c>
    </row>
    <row r="1146" spans="1:19" x14ac:dyDescent="0.2">
      <c r="A1146" s="33">
        <v>42217</v>
      </c>
      <c r="B1146" t="s">
        <v>2416</v>
      </c>
      <c r="C1146" s="1" t="s">
        <v>2417</v>
      </c>
      <c r="D1146" s="1" t="s">
        <v>787</v>
      </c>
      <c r="E1146" t="s">
        <v>4727</v>
      </c>
      <c r="F1146" s="69" t="s">
        <v>1522</v>
      </c>
      <c r="K1146" s="82"/>
    </row>
    <row r="1147" spans="1:19" x14ac:dyDescent="0.2">
      <c r="A1147" s="33">
        <v>42210</v>
      </c>
      <c r="B1147" t="s">
        <v>2416</v>
      </c>
      <c r="C1147" s="1" t="s">
        <v>2417</v>
      </c>
      <c r="D1147" s="1">
        <v>2.1666666666666667E-2</v>
      </c>
      <c r="E1147" t="s">
        <v>4727</v>
      </c>
      <c r="F1147" s="69" t="s">
        <v>4471</v>
      </c>
      <c r="K1147" s="82">
        <v>0.61319999999999997</v>
      </c>
    </row>
    <row r="1148" spans="1:19" x14ac:dyDescent="0.2">
      <c r="A1148" s="33">
        <v>42189</v>
      </c>
      <c r="B1148" t="s">
        <v>2416</v>
      </c>
      <c r="C1148" s="1" t="s">
        <v>2417</v>
      </c>
      <c r="D1148" s="1">
        <v>2.0057870370370368E-2</v>
      </c>
      <c r="E1148" t="s">
        <v>3860</v>
      </c>
      <c r="F1148" s="69" t="s">
        <v>3194</v>
      </c>
      <c r="G1148" s="6"/>
      <c r="H1148" s="6"/>
      <c r="K1148" s="82">
        <v>0.66239999999999999</v>
      </c>
    </row>
    <row r="1149" spans="1:19" x14ac:dyDescent="0.2">
      <c r="A1149" s="33">
        <v>42182</v>
      </c>
      <c r="B1149" t="s">
        <v>2416</v>
      </c>
      <c r="C1149" s="1" t="s">
        <v>2417</v>
      </c>
      <c r="D1149" s="1">
        <v>1.9814814814814816E-2</v>
      </c>
      <c r="E1149" t="s">
        <v>2544</v>
      </c>
      <c r="F1149" s="69" t="s">
        <v>2546</v>
      </c>
      <c r="K1149" s="82">
        <v>0.67059999999999997</v>
      </c>
    </row>
    <row r="1150" spans="1:19" x14ac:dyDescent="0.2">
      <c r="A1150" s="33">
        <v>42175</v>
      </c>
      <c r="B1150" t="s">
        <v>2416</v>
      </c>
      <c r="C1150" s="1" t="s">
        <v>2417</v>
      </c>
      <c r="D1150" s="1">
        <v>2.0057870370370368E-2</v>
      </c>
      <c r="E1150" t="s">
        <v>291</v>
      </c>
      <c r="F1150" s="69" t="s">
        <v>3438</v>
      </c>
      <c r="K1150" s="82">
        <v>0.66239999999999999</v>
      </c>
    </row>
    <row r="1151" spans="1:19" x14ac:dyDescent="0.2">
      <c r="A1151" s="33">
        <v>42161</v>
      </c>
      <c r="B1151" s="5" t="s">
        <v>2416</v>
      </c>
      <c r="C1151" s="32" t="s">
        <v>2417</v>
      </c>
      <c r="D1151" s="1" t="s">
        <v>787</v>
      </c>
      <c r="E1151" t="s">
        <v>4727</v>
      </c>
      <c r="F1151" s="69" t="s">
        <v>4854</v>
      </c>
      <c r="K1151" s="82"/>
    </row>
    <row r="1152" spans="1:19" x14ac:dyDescent="0.2">
      <c r="A1152" s="33">
        <v>42154</v>
      </c>
      <c r="B1152" t="s">
        <v>2416</v>
      </c>
      <c r="C1152" s="1" t="s">
        <v>2417</v>
      </c>
      <c r="D1152" s="1">
        <v>2.0682870370370372E-2</v>
      </c>
      <c r="E1152" t="s">
        <v>4727</v>
      </c>
      <c r="F1152" s="69" t="s">
        <v>2629</v>
      </c>
      <c r="K1152" s="82">
        <v>0.64239999999999997</v>
      </c>
    </row>
    <row r="1153" spans="1:19" x14ac:dyDescent="0.2">
      <c r="A1153" s="33">
        <v>42147</v>
      </c>
      <c r="B1153" t="s">
        <v>2416</v>
      </c>
      <c r="C1153" s="1" t="s">
        <v>2417</v>
      </c>
      <c r="D1153" s="1" t="s">
        <v>787</v>
      </c>
      <c r="E1153" t="s">
        <v>4727</v>
      </c>
      <c r="F1153" s="69" t="s">
        <v>3664</v>
      </c>
      <c r="K1153" s="82"/>
    </row>
    <row r="1154" spans="1:19" x14ac:dyDescent="0.2">
      <c r="A1154" s="33">
        <v>42140</v>
      </c>
      <c r="B1154" t="s">
        <v>2416</v>
      </c>
      <c r="C1154" s="1" t="s">
        <v>2417</v>
      </c>
      <c r="D1154" s="1">
        <v>1.9976851851851853E-2</v>
      </c>
      <c r="E1154" t="s">
        <v>3072</v>
      </c>
      <c r="F1154" s="69" t="s">
        <v>5971</v>
      </c>
      <c r="H1154" t="s">
        <v>2171</v>
      </c>
      <c r="K1154" s="82">
        <v>0.66510000000000002</v>
      </c>
    </row>
    <row r="1155" spans="1:19" x14ac:dyDescent="0.2">
      <c r="A1155" s="33">
        <v>42119</v>
      </c>
      <c r="B1155" s="53" t="s">
        <v>2416</v>
      </c>
      <c r="C1155" s="54" t="s">
        <v>2417</v>
      </c>
      <c r="D1155" s="1" t="s">
        <v>787</v>
      </c>
      <c r="E1155" t="s">
        <v>4727</v>
      </c>
      <c r="F1155" s="69" t="s">
        <v>4061</v>
      </c>
      <c r="K1155" s="82"/>
    </row>
    <row r="1156" spans="1:19" x14ac:dyDescent="0.2">
      <c r="A1156" s="33">
        <v>42091</v>
      </c>
      <c r="B1156" s="53" t="s">
        <v>2416</v>
      </c>
      <c r="C1156" s="54" t="s">
        <v>2417</v>
      </c>
      <c r="D1156" t="s">
        <v>787</v>
      </c>
      <c r="E1156" t="s">
        <v>4727</v>
      </c>
      <c r="F1156" s="42" t="s">
        <v>4061</v>
      </c>
      <c r="K1156" s="82"/>
    </row>
    <row r="1157" spans="1:19" x14ac:dyDescent="0.2">
      <c r="A1157" s="33">
        <v>42084</v>
      </c>
      <c r="B1157" s="53" t="s">
        <v>2416</v>
      </c>
      <c r="C1157" s="54" t="s">
        <v>2417</v>
      </c>
      <c r="D1157" s="1">
        <v>2.1574074074074075E-2</v>
      </c>
      <c r="E1157" t="s">
        <v>4727</v>
      </c>
      <c r="F1157" s="42" t="s">
        <v>5204</v>
      </c>
      <c r="G1157" s="42"/>
      <c r="H1157" s="42"/>
      <c r="K1157" s="82">
        <v>0.60729999999999995</v>
      </c>
    </row>
    <row r="1158" spans="1:19" x14ac:dyDescent="0.2">
      <c r="A1158" s="33">
        <v>42049</v>
      </c>
      <c r="B1158" s="53" t="s">
        <v>2416</v>
      </c>
      <c r="C1158" s="54" t="s">
        <v>2417</v>
      </c>
      <c r="D1158" s="1">
        <v>2.1585648148148145E-2</v>
      </c>
      <c r="E1158" t="s">
        <v>5453</v>
      </c>
      <c r="F1158" s="69" t="s">
        <v>3358</v>
      </c>
      <c r="K1158" s="82">
        <v>0.60699999999999998</v>
      </c>
    </row>
    <row r="1159" spans="1:19" x14ac:dyDescent="0.2">
      <c r="A1159" s="33">
        <v>42042</v>
      </c>
      <c r="B1159" s="53" t="s">
        <v>2416</v>
      </c>
      <c r="C1159" s="54" t="s">
        <v>2417</v>
      </c>
      <c r="D1159" s="1">
        <v>2.1412037037037035E-2</v>
      </c>
      <c r="E1159" t="s">
        <v>2406</v>
      </c>
      <c r="F1159" s="42"/>
      <c r="G1159" s="42"/>
      <c r="H1159" s="42"/>
      <c r="K1159" s="82">
        <v>0.6119</v>
      </c>
    </row>
    <row r="1160" spans="1:19" x14ac:dyDescent="0.2">
      <c r="A1160" s="33">
        <v>42126</v>
      </c>
      <c r="B1160" s="53" t="s">
        <v>3322</v>
      </c>
      <c r="C1160" s="54" t="s">
        <v>2417</v>
      </c>
      <c r="D1160" s="1">
        <v>2.0891203703703703E-2</v>
      </c>
      <c r="E1160" t="s">
        <v>3323</v>
      </c>
      <c r="F1160" s="69"/>
      <c r="I1160" s="42"/>
      <c r="J1160" s="42"/>
      <c r="K1160" s="82">
        <v>0.60060000000000002</v>
      </c>
    </row>
    <row r="1161" spans="1:19" x14ac:dyDescent="0.2">
      <c r="A1161" s="33">
        <v>42363</v>
      </c>
      <c r="B1161" t="s">
        <v>866</v>
      </c>
      <c r="C1161" s="1" t="s">
        <v>2417</v>
      </c>
      <c r="D1161" s="1">
        <v>1.6967592592592593E-2</v>
      </c>
      <c r="E1161" t="s">
        <v>4727</v>
      </c>
      <c r="F1161" s="69" t="s">
        <v>876</v>
      </c>
      <c r="I1161" s="2"/>
      <c r="K1161" s="82">
        <v>0.6623</v>
      </c>
    </row>
    <row r="1162" spans="1:19" x14ac:dyDescent="0.2">
      <c r="A1162" s="33">
        <v>42357</v>
      </c>
      <c r="B1162" t="s">
        <v>866</v>
      </c>
      <c r="C1162" s="1" t="s">
        <v>2417</v>
      </c>
      <c r="D1162" t="s">
        <v>787</v>
      </c>
      <c r="E1162" s="5" t="s">
        <v>4727</v>
      </c>
      <c r="F1162" s="108" t="s">
        <v>3916</v>
      </c>
      <c r="G1162" s="5"/>
      <c r="H1162" s="2"/>
      <c r="I1162" s="2"/>
      <c r="K1162" s="82"/>
      <c r="S1162" s="80"/>
    </row>
    <row r="1163" spans="1:19" x14ac:dyDescent="0.2">
      <c r="A1163" s="33">
        <v>42336</v>
      </c>
      <c r="B1163" t="s">
        <v>866</v>
      </c>
      <c r="C1163" s="1" t="s">
        <v>2417</v>
      </c>
      <c r="D1163" s="1">
        <v>1.6527777777777777E-2</v>
      </c>
      <c r="E1163" t="s">
        <v>2635</v>
      </c>
      <c r="F1163" s="69" t="s">
        <v>3489</v>
      </c>
      <c r="I1163" s="2"/>
      <c r="K1163" s="82">
        <v>0.68</v>
      </c>
    </row>
    <row r="1164" spans="1:19" x14ac:dyDescent="0.2">
      <c r="A1164" s="33">
        <v>42294</v>
      </c>
      <c r="B1164" t="s">
        <v>866</v>
      </c>
      <c r="C1164" s="1" t="s">
        <v>2417</v>
      </c>
      <c r="D1164" s="1">
        <v>2.0902777777777781E-2</v>
      </c>
      <c r="E1164" t="s">
        <v>4727</v>
      </c>
      <c r="F1164" s="69" t="s">
        <v>4483</v>
      </c>
      <c r="I1164" s="2"/>
      <c r="K1164" s="82">
        <v>0.53769999999999996</v>
      </c>
    </row>
    <row r="1165" spans="1:19" x14ac:dyDescent="0.2">
      <c r="A1165" s="33">
        <v>42287</v>
      </c>
      <c r="B1165" t="s">
        <v>866</v>
      </c>
      <c r="C1165" s="1" t="s">
        <v>2417</v>
      </c>
      <c r="D1165" s="1">
        <v>1.7326388888888888E-2</v>
      </c>
      <c r="E1165" t="s">
        <v>41</v>
      </c>
      <c r="F1165" s="69" t="s">
        <v>3146</v>
      </c>
      <c r="I1165" s="2"/>
      <c r="K1165" s="82">
        <v>0.64859999999999995</v>
      </c>
    </row>
    <row r="1166" spans="1:19" x14ac:dyDescent="0.2">
      <c r="A1166" s="33">
        <v>42259</v>
      </c>
      <c r="B1166" t="s">
        <v>866</v>
      </c>
      <c r="C1166" s="1" t="s">
        <v>2417</v>
      </c>
      <c r="D1166" s="1">
        <v>1.7384259259259262E-2</v>
      </c>
      <c r="E1166" t="s">
        <v>4727</v>
      </c>
      <c r="F1166" s="69"/>
      <c r="K1166" s="82">
        <v>0.64649999999999996</v>
      </c>
    </row>
    <row r="1167" spans="1:19" x14ac:dyDescent="0.2">
      <c r="A1167" s="33">
        <v>42245</v>
      </c>
      <c r="B1167" t="s">
        <v>866</v>
      </c>
      <c r="C1167" s="1" t="s">
        <v>2417</v>
      </c>
      <c r="D1167" s="1" t="s">
        <v>787</v>
      </c>
      <c r="E1167" t="s">
        <v>4727</v>
      </c>
      <c r="F1167" s="69" t="s">
        <v>1549</v>
      </c>
      <c r="K1167" s="82"/>
    </row>
    <row r="1168" spans="1:19" x14ac:dyDescent="0.2">
      <c r="A1168" s="33">
        <v>42231</v>
      </c>
      <c r="B1168" s="53" t="s">
        <v>866</v>
      </c>
      <c r="C1168" s="1" t="s">
        <v>2417</v>
      </c>
      <c r="D1168" s="1">
        <v>2.0543981481481479E-2</v>
      </c>
      <c r="E1168" t="s">
        <v>1678</v>
      </c>
      <c r="F1168" s="69" t="s">
        <v>5223</v>
      </c>
      <c r="K1168" s="82">
        <v>0.54700000000000004</v>
      </c>
    </row>
    <row r="1169" spans="1:11" x14ac:dyDescent="0.2">
      <c r="A1169" s="33">
        <v>42224</v>
      </c>
      <c r="B1169" t="s">
        <v>866</v>
      </c>
      <c r="C1169" s="1" t="s">
        <v>2417</v>
      </c>
      <c r="D1169" s="1">
        <v>2.0300925925925927E-2</v>
      </c>
      <c r="E1169" t="s">
        <v>1534</v>
      </c>
      <c r="F1169" s="69" t="s">
        <v>738</v>
      </c>
      <c r="K1169" s="82">
        <v>0.55359999999999998</v>
      </c>
    </row>
    <row r="1170" spans="1:11" x14ac:dyDescent="0.2">
      <c r="A1170" s="33">
        <v>42217</v>
      </c>
      <c r="B1170" t="s">
        <v>866</v>
      </c>
      <c r="C1170" s="1" t="s">
        <v>2417</v>
      </c>
      <c r="D1170" s="1" t="s">
        <v>787</v>
      </c>
      <c r="E1170" t="s">
        <v>4727</v>
      </c>
      <c r="F1170" s="69" t="s">
        <v>5508</v>
      </c>
      <c r="K1170" s="82"/>
    </row>
    <row r="1171" spans="1:11" x14ac:dyDescent="0.2">
      <c r="A1171" s="33">
        <v>42210</v>
      </c>
      <c r="B1171" t="s">
        <v>866</v>
      </c>
      <c r="C1171" s="1" t="s">
        <v>2417</v>
      </c>
      <c r="D1171" s="1">
        <v>2.1678240740740738E-2</v>
      </c>
      <c r="E1171" t="s">
        <v>4727</v>
      </c>
      <c r="F1171" s="69" t="s">
        <v>1056</v>
      </c>
      <c r="K1171" s="82">
        <v>0.51839999999999997</v>
      </c>
    </row>
    <row r="1172" spans="1:11" x14ac:dyDescent="0.2">
      <c r="A1172" s="33">
        <v>42203</v>
      </c>
      <c r="B1172" s="5" t="s">
        <v>866</v>
      </c>
      <c r="C1172" s="32" t="s">
        <v>2417</v>
      </c>
      <c r="D1172" s="1">
        <v>1.6782407407407409E-2</v>
      </c>
      <c r="E1172" t="s">
        <v>1534</v>
      </c>
      <c r="F1172" s="69" t="s">
        <v>4403</v>
      </c>
      <c r="K1172" s="82">
        <v>0.66969999999999996</v>
      </c>
    </row>
    <row r="1173" spans="1:11" x14ac:dyDescent="0.2">
      <c r="A1173" s="33">
        <v>42189</v>
      </c>
      <c r="B1173" t="s">
        <v>866</v>
      </c>
      <c r="C1173" s="1" t="s">
        <v>2417</v>
      </c>
      <c r="D1173" s="1">
        <v>2.0057870370370368E-2</v>
      </c>
      <c r="E1173" t="s">
        <v>3860</v>
      </c>
      <c r="F1173" s="69"/>
      <c r="K1173" s="82">
        <v>0.56030000000000002</v>
      </c>
    </row>
    <row r="1174" spans="1:11" x14ac:dyDescent="0.2">
      <c r="A1174" s="33">
        <v>42182</v>
      </c>
      <c r="B1174" t="s">
        <v>866</v>
      </c>
      <c r="C1174" s="1" t="s">
        <v>2417</v>
      </c>
      <c r="D1174" s="1">
        <v>1.982638888888889E-2</v>
      </c>
      <c r="E1174" t="s">
        <v>2544</v>
      </c>
      <c r="F1174" s="69" t="s">
        <v>4471</v>
      </c>
      <c r="K1174" s="82">
        <v>0.56679999999999997</v>
      </c>
    </row>
    <row r="1175" spans="1:11" x14ac:dyDescent="0.2">
      <c r="A1175" s="33">
        <v>42175</v>
      </c>
      <c r="B1175" t="s">
        <v>866</v>
      </c>
      <c r="C1175" s="1" t="s">
        <v>2417</v>
      </c>
      <c r="D1175" s="1">
        <v>2.0081018518518519E-2</v>
      </c>
      <c r="E1175" t="s">
        <v>291</v>
      </c>
      <c r="F1175" s="69"/>
      <c r="H1175" t="s">
        <v>3694</v>
      </c>
      <c r="K1175" s="82">
        <v>0.55969999999999998</v>
      </c>
    </row>
    <row r="1176" spans="1:11" x14ac:dyDescent="0.2">
      <c r="A1176" s="33">
        <v>42168</v>
      </c>
      <c r="B1176" t="s">
        <v>866</v>
      </c>
      <c r="C1176" s="1" t="s">
        <v>2417</v>
      </c>
      <c r="D1176" s="1">
        <v>1.650462962962963E-2</v>
      </c>
      <c r="E1176" t="s">
        <v>1534</v>
      </c>
      <c r="F1176" s="69" t="s">
        <v>3805</v>
      </c>
      <c r="K1176" s="82">
        <v>0.68089999999999995</v>
      </c>
    </row>
    <row r="1177" spans="1:11" x14ac:dyDescent="0.2">
      <c r="A1177" s="33">
        <v>42161</v>
      </c>
      <c r="B1177" s="5" t="s">
        <v>866</v>
      </c>
      <c r="C1177" s="32" t="s">
        <v>2417</v>
      </c>
      <c r="D1177" s="1" t="s">
        <v>787</v>
      </c>
      <c r="E1177" t="s">
        <v>4727</v>
      </c>
      <c r="F1177" s="69" t="s">
        <v>5699</v>
      </c>
      <c r="K1177" s="82"/>
    </row>
    <row r="1178" spans="1:11" x14ac:dyDescent="0.2">
      <c r="A1178" s="33">
        <v>42154</v>
      </c>
      <c r="B1178" t="s">
        <v>866</v>
      </c>
      <c r="C1178" s="1" t="s">
        <v>2417</v>
      </c>
      <c r="D1178" s="1">
        <v>2.0694444444444446E-2</v>
      </c>
      <c r="E1178" t="s">
        <v>4727</v>
      </c>
      <c r="F1178" s="69" t="s">
        <v>2629</v>
      </c>
      <c r="G1178" s="6"/>
      <c r="H1178" s="6" t="s">
        <v>4882</v>
      </c>
      <c r="K1178" s="82">
        <v>0.54310000000000003</v>
      </c>
    </row>
    <row r="1179" spans="1:11" x14ac:dyDescent="0.2">
      <c r="A1179" s="33">
        <v>42147</v>
      </c>
      <c r="B1179" t="s">
        <v>866</v>
      </c>
      <c r="C1179" s="1" t="s">
        <v>2417</v>
      </c>
      <c r="D1179" s="1" t="s">
        <v>787</v>
      </c>
      <c r="E1179" t="s">
        <v>4727</v>
      </c>
      <c r="F1179" s="69" t="s">
        <v>4854</v>
      </c>
      <c r="G1179" s="6"/>
      <c r="H1179" s="6" t="s">
        <v>4882</v>
      </c>
      <c r="K1179" s="82"/>
    </row>
    <row r="1180" spans="1:11" x14ac:dyDescent="0.2">
      <c r="A1180" s="33">
        <v>42140</v>
      </c>
      <c r="B1180" t="s">
        <v>866</v>
      </c>
      <c r="C1180" s="1" t="s">
        <v>2417</v>
      </c>
      <c r="D1180" s="1">
        <v>1.9988425925925927E-2</v>
      </c>
      <c r="E1180" t="s">
        <v>3072</v>
      </c>
      <c r="F1180" s="69" t="s">
        <v>5971</v>
      </c>
      <c r="K1180" s="82">
        <v>0.56220000000000003</v>
      </c>
    </row>
    <row r="1181" spans="1:11" x14ac:dyDescent="0.2">
      <c r="A1181" s="33">
        <v>42126</v>
      </c>
      <c r="B1181" t="s">
        <v>866</v>
      </c>
      <c r="C1181" s="1" t="s">
        <v>2417</v>
      </c>
      <c r="D1181" s="1">
        <v>2.0902777777777781E-2</v>
      </c>
      <c r="E1181" t="s">
        <v>3323</v>
      </c>
      <c r="F1181" s="69" t="s">
        <v>1360</v>
      </c>
      <c r="I1181" s="42"/>
      <c r="J1181" s="42"/>
      <c r="K1181" s="82">
        <v>0.53769999999999996</v>
      </c>
    </row>
    <row r="1182" spans="1:11" x14ac:dyDescent="0.2">
      <c r="A1182" s="33">
        <v>42119</v>
      </c>
      <c r="B1182" t="s">
        <v>866</v>
      </c>
      <c r="C1182" s="1" t="s">
        <v>2417</v>
      </c>
      <c r="D1182" s="1" t="s">
        <v>787</v>
      </c>
      <c r="E1182" t="s">
        <v>4727</v>
      </c>
      <c r="F1182" s="69" t="s">
        <v>4061</v>
      </c>
      <c r="K1182" s="82"/>
    </row>
    <row r="1183" spans="1:11" x14ac:dyDescent="0.2">
      <c r="A1183" s="33">
        <v>42091</v>
      </c>
      <c r="B1183" t="s">
        <v>866</v>
      </c>
      <c r="C1183" s="1" t="s">
        <v>2417</v>
      </c>
      <c r="D1183" t="s">
        <v>787</v>
      </c>
      <c r="E1183" t="s">
        <v>4727</v>
      </c>
      <c r="F1183" s="42" t="s">
        <v>4061</v>
      </c>
      <c r="K1183" s="82"/>
    </row>
    <row r="1184" spans="1:11" x14ac:dyDescent="0.2">
      <c r="A1184" s="33">
        <v>42084</v>
      </c>
      <c r="B1184" t="s">
        <v>866</v>
      </c>
      <c r="C1184" s="1" t="s">
        <v>2417</v>
      </c>
      <c r="D1184" s="1">
        <v>2.1574074074074075E-2</v>
      </c>
      <c r="E1184" t="s">
        <v>4727</v>
      </c>
      <c r="F1184" s="42" t="s">
        <v>5204</v>
      </c>
      <c r="K1184" s="82">
        <v>0.52090000000000003</v>
      </c>
    </row>
    <row r="1185" spans="1:11" x14ac:dyDescent="0.2">
      <c r="A1185" s="33">
        <v>42049</v>
      </c>
      <c r="B1185" t="s">
        <v>866</v>
      </c>
      <c r="C1185" s="1" t="s">
        <v>2417</v>
      </c>
      <c r="D1185" s="1">
        <v>2.1597222222222223E-2</v>
      </c>
      <c r="E1185" t="s">
        <v>5453</v>
      </c>
      <c r="F1185" s="69" t="s">
        <v>4590</v>
      </c>
      <c r="K1185" s="82">
        <v>0.51549999999999996</v>
      </c>
    </row>
    <row r="1186" spans="1:11" x14ac:dyDescent="0.2">
      <c r="A1186" s="33">
        <v>42042</v>
      </c>
      <c r="B1186" t="s">
        <v>866</v>
      </c>
      <c r="C1186" s="1" t="s">
        <v>2417</v>
      </c>
      <c r="D1186" s="1">
        <v>2.1435185185185186E-2</v>
      </c>
      <c r="E1186" t="s">
        <v>2406</v>
      </c>
      <c r="F1186" s="42" t="s">
        <v>3693</v>
      </c>
      <c r="K1186" s="82">
        <v>0.51939999999999997</v>
      </c>
    </row>
    <row r="1187" spans="1:11" x14ac:dyDescent="0.2">
      <c r="A1187" s="33">
        <v>42035</v>
      </c>
      <c r="B1187" t="s">
        <v>866</v>
      </c>
      <c r="C1187" s="1" t="s">
        <v>2417</v>
      </c>
      <c r="D1187" s="1">
        <v>2.2060185185185183E-2</v>
      </c>
      <c r="E1187" t="s">
        <v>910</v>
      </c>
      <c r="F1187" s="42" t="s">
        <v>913</v>
      </c>
      <c r="K1187" s="82">
        <v>0.50470000000000004</v>
      </c>
    </row>
    <row r="1188" spans="1:11" x14ac:dyDescent="0.2">
      <c r="A1188" s="33">
        <v>42028</v>
      </c>
      <c r="B1188" t="s">
        <v>866</v>
      </c>
      <c r="C1188" s="1" t="s">
        <v>2417</v>
      </c>
      <c r="D1188" s="1">
        <v>2.210648148148148E-2</v>
      </c>
      <c r="E1188" t="s">
        <v>444</v>
      </c>
      <c r="F1188" s="42" t="s">
        <v>795</v>
      </c>
      <c r="K1188" s="82">
        <v>0.50370000000000004</v>
      </c>
    </row>
    <row r="1189" spans="1:11" x14ac:dyDescent="0.2">
      <c r="A1189" s="33">
        <v>42308</v>
      </c>
      <c r="B1189" t="s">
        <v>1296</v>
      </c>
      <c r="C1189" s="1" t="s">
        <v>2417</v>
      </c>
      <c r="D1189" s="1">
        <v>2.1157407407407406E-2</v>
      </c>
      <c r="E1189" s="5" t="s">
        <v>5960</v>
      </c>
      <c r="F1189" s="69" t="s">
        <v>427</v>
      </c>
      <c r="I1189" s="2"/>
      <c r="K1189" s="82">
        <v>0.53120000000000001</v>
      </c>
    </row>
    <row r="1190" spans="1:11" x14ac:dyDescent="0.2">
      <c r="A1190" s="33">
        <v>42266</v>
      </c>
      <c r="B1190" t="s">
        <v>1296</v>
      </c>
      <c r="C1190" s="1" t="s">
        <v>2417</v>
      </c>
      <c r="D1190" s="1">
        <v>2.0162037037037037E-2</v>
      </c>
      <c r="E1190" t="s">
        <v>5653</v>
      </c>
      <c r="F1190" s="69"/>
      <c r="K1190" s="82">
        <v>0.55740000000000001</v>
      </c>
    </row>
    <row r="1191" spans="1:11" x14ac:dyDescent="0.2">
      <c r="A1191" s="33">
        <v>42182</v>
      </c>
      <c r="B1191" t="s">
        <v>4015</v>
      </c>
      <c r="C1191" s="1" t="s">
        <v>2417</v>
      </c>
      <c r="D1191" s="1">
        <v>2.0578703703703703E-2</v>
      </c>
      <c r="E1191" t="s">
        <v>2544</v>
      </c>
      <c r="F1191" s="69" t="s">
        <v>3253</v>
      </c>
      <c r="K1191" s="82">
        <v>0.43530000000000002</v>
      </c>
    </row>
    <row r="1192" spans="1:11" x14ac:dyDescent="0.2">
      <c r="A1192" s="33">
        <v>42182</v>
      </c>
      <c r="B1192" t="s">
        <v>4016</v>
      </c>
      <c r="C1192" s="1" t="s">
        <v>2417</v>
      </c>
      <c r="D1192" s="1">
        <v>3.6608796296296299E-2</v>
      </c>
      <c r="E1192" t="s">
        <v>2544</v>
      </c>
      <c r="F1192" s="69" t="s">
        <v>3253</v>
      </c>
      <c r="K1192" s="82">
        <v>0.28549999999999998</v>
      </c>
    </row>
    <row r="1193" spans="1:11" x14ac:dyDescent="0.2">
      <c r="A1193" s="33">
        <v>42182</v>
      </c>
      <c r="B1193" t="s">
        <v>481</v>
      </c>
      <c r="C1193" s="1" t="s">
        <v>2417</v>
      </c>
      <c r="D1193" s="1">
        <v>2.0358796296296295E-2</v>
      </c>
      <c r="E1193" t="s">
        <v>2544</v>
      </c>
      <c r="F1193" s="69" t="s">
        <v>3253</v>
      </c>
      <c r="K1193" s="82">
        <v>0.44230000000000003</v>
      </c>
    </row>
    <row r="1194" spans="1:11" x14ac:dyDescent="0.2">
      <c r="A1194" s="33">
        <v>42364</v>
      </c>
      <c r="B1194" t="s">
        <v>3820</v>
      </c>
      <c r="C1194" s="1" t="s">
        <v>3821</v>
      </c>
      <c r="D1194" s="1">
        <v>2.3090277777777779E-2</v>
      </c>
      <c r="E1194" t="s">
        <v>5963</v>
      </c>
      <c r="F1194" s="69" t="s">
        <v>4842</v>
      </c>
      <c r="I1194" s="2"/>
      <c r="K1194" s="82">
        <v>0.39900000000000002</v>
      </c>
    </row>
    <row r="1195" spans="1:11" x14ac:dyDescent="0.2">
      <c r="A1195" s="34">
        <v>42329</v>
      </c>
      <c r="B1195" t="s">
        <v>3820</v>
      </c>
      <c r="C1195" s="1" t="s">
        <v>3821</v>
      </c>
      <c r="D1195" s="1">
        <v>2.0798611111111111E-2</v>
      </c>
      <c r="E1195" t="s">
        <v>3072</v>
      </c>
      <c r="F1195" s="69" t="s">
        <v>343</v>
      </c>
      <c r="I1195" s="2"/>
      <c r="K1195" s="82">
        <v>0.44019999999999998</v>
      </c>
    </row>
    <row r="1196" spans="1:11" x14ac:dyDescent="0.2">
      <c r="A1196" s="33">
        <v>42301</v>
      </c>
      <c r="B1196" t="s">
        <v>3820</v>
      </c>
      <c r="C1196" s="1" t="s">
        <v>3821</v>
      </c>
      <c r="D1196" s="1">
        <v>1.8252314814814815E-2</v>
      </c>
      <c r="E1196" t="s">
        <v>3072</v>
      </c>
      <c r="F1196" s="69" t="s">
        <v>5504</v>
      </c>
      <c r="I1196" s="2"/>
      <c r="K1196" s="82">
        <v>0.50160000000000005</v>
      </c>
    </row>
    <row r="1197" spans="1:11" x14ac:dyDescent="0.2">
      <c r="A1197" s="33">
        <v>42294</v>
      </c>
      <c r="B1197" t="s">
        <v>3820</v>
      </c>
      <c r="C1197" s="1" t="s">
        <v>3821</v>
      </c>
      <c r="D1197" s="1">
        <v>1.7638888888888888E-2</v>
      </c>
      <c r="E1197" t="s">
        <v>3072</v>
      </c>
      <c r="F1197" s="69" t="s">
        <v>2741</v>
      </c>
      <c r="I1197" s="2"/>
      <c r="K1197" s="82">
        <v>0.51900000000000002</v>
      </c>
    </row>
    <row r="1198" spans="1:11" x14ac:dyDescent="0.2">
      <c r="A1198" s="33">
        <v>42287</v>
      </c>
      <c r="B1198" t="s">
        <v>3820</v>
      </c>
      <c r="C1198" s="1" t="s">
        <v>3821</v>
      </c>
      <c r="D1198" s="1">
        <v>1.7731481481481483E-2</v>
      </c>
      <c r="E1198" t="s">
        <v>3072</v>
      </c>
      <c r="F1198" s="69" t="s">
        <v>346</v>
      </c>
      <c r="I1198" s="2"/>
      <c r="K1198" s="82">
        <v>0.51629999999999998</v>
      </c>
    </row>
    <row r="1199" spans="1:11" x14ac:dyDescent="0.2">
      <c r="A1199" s="33">
        <v>42280</v>
      </c>
      <c r="B1199" t="s">
        <v>3820</v>
      </c>
      <c r="C1199" s="1" t="s">
        <v>3821</v>
      </c>
      <c r="D1199" s="1">
        <v>1.7881944444444443E-2</v>
      </c>
      <c r="E1199" t="s">
        <v>3072</v>
      </c>
      <c r="F1199" s="69"/>
      <c r="I1199" s="2"/>
      <c r="K1199" s="82">
        <v>0.51200000000000001</v>
      </c>
    </row>
    <row r="1200" spans="1:11" x14ac:dyDescent="0.2">
      <c r="A1200" s="33">
        <v>42266</v>
      </c>
      <c r="B1200" t="s">
        <v>3820</v>
      </c>
      <c r="C1200" s="1" t="s">
        <v>3821</v>
      </c>
      <c r="D1200" s="1">
        <v>1.8460648148148146E-2</v>
      </c>
      <c r="E1200" t="s">
        <v>4281</v>
      </c>
      <c r="F1200" s="69" t="s">
        <v>4960</v>
      </c>
      <c r="K1200" s="82">
        <v>0.49590000000000001</v>
      </c>
    </row>
    <row r="1201" spans="1:11" x14ac:dyDescent="0.2">
      <c r="A1201" s="33">
        <v>42259</v>
      </c>
      <c r="B1201" t="s">
        <v>3820</v>
      </c>
      <c r="C1201" s="1" t="s">
        <v>3821</v>
      </c>
      <c r="D1201" s="1">
        <v>3.2372685185185185E-2</v>
      </c>
      <c r="E1201" t="s">
        <v>3072</v>
      </c>
      <c r="F1201" s="69" t="s">
        <v>4550</v>
      </c>
      <c r="K1201" s="82">
        <v>0.2828</v>
      </c>
    </row>
    <row r="1202" spans="1:11" x14ac:dyDescent="0.2">
      <c r="A1202" s="33">
        <v>42252</v>
      </c>
      <c r="B1202" t="s">
        <v>3820</v>
      </c>
      <c r="C1202" s="1" t="s">
        <v>3821</v>
      </c>
      <c r="D1202" s="1" t="s">
        <v>787</v>
      </c>
      <c r="E1202" t="s">
        <v>3072</v>
      </c>
      <c r="F1202" s="69"/>
      <c r="K1202" s="82"/>
    </row>
    <row r="1203" spans="1:11" x14ac:dyDescent="0.2">
      <c r="A1203" s="33">
        <v>42245</v>
      </c>
      <c r="B1203" t="s">
        <v>3820</v>
      </c>
      <c r="C1203" s="1" t="s">
        <v>3821</v>
      </c>
      <c r="D1203" s="1">
        <v>1.8113425925925925E-2</v>
      </c>
      <c r="E1203" t="s">
        <v>3072</v>
      </c>
      <c r="F1203" s="69" t="s">
        <v>3516</v>
      </c>
      <c r="K1203" s="82">
        <v>0.50539999999999996</v>
      </c>
    </row>
    <row r="1204" spans="1:11" x14ac:dyDescent="0.2">
      <c r="A1204" s="33">
        <v>42238</v>
      </c>
      <c r="B1204" t="s">
        <v>3820</v>
      </c>
      <c r="C1204" s="1" t="s">
        <v>3821</v>
      </c>
      <c r="D1204" s="1">
        <v>1.8043981481481484E-2</v>
      </c>
      <c r="E1204" t="s">
        <v>3072</v>
      </c>
      <c r="F1204" s="69" t="s">
        <v>2806</v>
      </c>
      <c r="K1204" s="82">
        <v>0.50739999999999996</v>
      </c>
    </row>
    <row r="1205" spans="1:11" x14ac:dyDescent="0.2">
      <c r="A1205" s="33">
        <v>42231</v>
      </c>
      <c r="B1205" t="s">
        <v>3820</v>
      </c>
      <c r="C1205" s="1" t="s">
        <v>3821</v>
      </c>
      <c r="D1205" s="1">
        <v>1.8888888888888889E-2</v>
      </c>
      <c r="E1205" t="s">
        <v>3072</v>
      </c>
      <c r="F1205" s="69" t="s">
        <v>3433</v>
      </c>
      <c r="K1205" s="82">
        <v>0.48470000000000002</v>
      </c>
    </row>
    <row r="1206" spans="1:11" x14ac:dyDescent="0.2">
      <c r="A1206" s="33">
        <v>42224</v>
      </c>
      <c r="B1206" t="s">
        <v>3820</v>
      </c>
      <c r="C1206" s="1" t="s">
        <v>3821</v>
      </c>
      <c r="D1206" s="1">
        <v>1.8391203703703705E-2</v>
      </c>
      <c r="E1206" t="s">
        <v>3072</v>
      </c>
      <c r="F1206" s="69" t="s">
        <v>736</v>
      </c>
      <c r="K1206" s="82">
        <v>0.49780000000000002</v>
      </c>
    </row>
    <row r="1207" spans="1:11" x14ac:dyDescent="0.2">
      <c r="A1207" s="33">
        <v>42217</v>
      </c>
      <c r="B1207" t="s">
        <v>3820</v>
      </c>
      <c r="C1207" s="1" t="s">
        <v>3821</v>
      </c>
      <c r="D1207" s="1">
        <v>1.9212962962962963E-2</v>
      </c>
      <c r="E1207" t="s">
        <v>3072</v>
      </c>
      <c r="F1207" s="69" t="s">
        <v>211</v>
      </c>
      <c r="K1207" s="82">
        <v>0.47649999999999998</v>
      </c>
    </row>
    <row r="1208" spans="1:11" x14ac:dyDescent="0.2">
      <c r="A1208" s="33">
        <v>42203</v>
      </c>
      <c r="B1208" t="s">
        <v>3820</v>
      </c>
      <c r="C1208" s="1" t="s">
        <v>3821</v>
      </c>
      <c r="D1208" s="1" t="s">
        <v>787</v>
      </c>
      <c r="E1208" t="s">
        <v>3072</v>
      </c>
      <c r="F1208" s="69" t="s">
        <v>1522</v>
      </c>
      <c r="K1208" s="82"/>
    </row>
    <row r="1209" spans="1:11" x14ac:dyDescent="0.2">
      <c r="A1209" s="33">
        <v>42182</v>
      </c>
      <c r="B1209" t="s">
        <v>3820</v>
      </c>
      <c r="C1209" s="1" t="s">
        <v>3821</v>
      </c>
      <c r="D1209" s="1">
        <v>1.892361111111111E-2</v>
      </c>
      <c r="E1209" t="s">
        <v>3072</v>
      </c>
      <c r="F1209" s="69"/>
      <c r="K1209" s="82">
        <v>0.48380000000000001</v>
      </c>
    </row>
    <row r="1210" spans="1:11" x14ac:dyDescent="0.2">
      <c r="A1210" s="33">
        <v>42175</v>
      </c>
      <c r="B1210" t="s">
        <v>3820</v>
      </c>
      <c r="C1210" s="1" t="s">
        <v>3821</v>
      </c>
      <c r="D1210" s="1">
        <v>2.8391203703703707E-2</v>
      </c>
      <c r="E1210" t="s">
        <v>3072</v>
      </c>
      <c r="F1210" s="69" t="s">
        <v>5747</v>
      </c>
      <c r="K1210" s="82">
        <v>0.32250000000000001</v>
      </c>
    </row>
    <row r="1211" spans="1:11" x14ac:dyDescent="0.2">
      <c r="A1211" s="33">
        <v>42168</v>
      </c>
      <c r="B1211" t="s">
        <v>3820</v>
      </c>
      <c r="C1211" s="1" t="s">
        <v>3821</v>
      </c>
      <c r="D1211" s="1">
        <v>1.7569444444444447E-2</v>
      </c>
      <c r="E1211" t="s">
        <v>3072</v>
      </c>
      <c r="F1211" s="108" t="s">
        <v>1164</v>
      </c>
      <c r="K1211" s="82">
        <v>0.52110000000000001</v>
      </c>
    </row>
    <row r="1212" spans="1:11" x14ac:dyDescent="0.2">
      <c r="A1212" s="33">
        <v>42161</v>
      </c>
      <c r="B1212" t="s">
        <v>3820</v>
      </c>
      <c r="C1212" s="1" t="s">
        <v>3821</v>
      </c>
      <c r="D1212" s="1">
        <v>1.741898148148148E-2</v>
      </c>
      <c r="E1212" t="s">
        <v>3072</v>
      </c>
      <c r="F1212" s="69" t="s">
        <v>2242</v>
      </c>
      <c r="G1212" s="42"/>
      <c r="H1212" s="42"/>
      <c r="K1212" s="82">
        <v>0.52559999999999996</v>
      </c>
    </row>
    <row r="1213" spans="1:11" x14ac:dyDescent="0.2">
      <c r="A1213" s="33">
        <v>42154</v>
      </c>
      <c r="B1213" t="s">
        <v>3820</v>
      </c>
      <c r="C1213" s="1" t="s">
        <v>3821</v>
      </c>
      <c r="D1213" s="1">
        <v>1.744212962962963E-2</v>
      </c>
      <c r="E1213" t="s">
        <v>3072</v>
      </c>
      <c r="F1213" s="69" t="s">
        <v>2104</v>
      </c>
      <c r="K1213" s="82">
        <v>0.52490000000000003</v>
      </c>
    </row>
    <row r="1214" spans="1:11" x14ac:dyDescent="0.2">
      <c r="A1214" s="33">
        <v>42147</v>
      </c>
      <c r="B1214" t="s">
        <v>3820</v>
      </c>
      <c r="C1214" s="1" t="s">
        <v>3821</v>
      </c>
      <c r="D1214" s="1">
        <v>1.7326388888888888E-2</v>
      </c>
      <c r="E1214" t="s">
        <v>3072</v>
      </c>
      <c r="F1214" s="69" t="s">
        <v>1991</v>
      </c>
      <c r="K1214" s="82">
        <v>0.52839999999999998</v>
      </c>
    </row>
    <row r="1215" spans="1:11" x14ac:dyDescent="0.2">
      <c r="A1215" s="33">
        <v>42140</v>
      </c>
      <c r="B1215" t="s">
        <v>3820</v>
      </c>
      <c r="C1215" s="1" t="s">
        <v>3821</v>
      </c>
      <c r="D1215" s="1">
        <v>1.818287037037037E-2</v>
      </c>
      <c r="E1215" t="s">
        <v>3072</v>
      </c>
      <c r="F1215" s="69" t="s">
        <v>3188</v>
      </c>
      <c r="K1215" s="82">
        <v>0.50349999999999995</v>
      </c>
    </row>
    <row r="1216" spans="1:11" x14ac:dyDescent="0.2">
      <c r="A1216" s="33">
        <v>42133</v>
      </c>
      <c r="B1216" t="s">
        <v>3820</v>
      </c>
      <c r="C1216" s="1" t="s">
        <v>3821</v>
      </c>
      <c r="D1216" s="1">
        <v>1.7812499999999998E-2</v>
      </c>
      <c r="E1216" t="s">
        <v>3072</v>
      </c>
      <c r="F1216" s="69" t="s">
        <v>876</v>
      </c>
      <c r="K1216" s="82">
        <v>0.51400000000000001</v>
      </c>
    </row>
    <row r="1217" spans="1:14" x14ac:dyDescent="0.2">
      <c r="A1217" s="33">
        <v>42126</v>
      </c>
      <c r="B1217" t="s">
        <v>3820</v>
      </c>
      <c r="C1217" s="1" t="s">
        <v>3821</v>
      </c>
      <c r="D1217" s="1">
        <v>1.8206018518518517E-2</v>
      </c>
      <c r="E1217" t="s">
        <v>3072</v>
      </c>
      <c r="F1217" s="69" t="s">
        <v>1870</v>
      </c>
      <c r="I1217" s="42"/>
      <c r="J1217" s="42"/>
      <c r="K1217" s="82">
        <v>0.50290000000000001</v>
      </c>
    </row>
    <row r="1218" spans="1:14" x14ac:dyDescent="0.2">
      <c r="A1218" s="33">
        <v>42119</v>
      </c>
      <c r="B1218" t="s">
        <v>3820</v>
      </c>
      <c r="C1218" s="1" t="s">
        <v>3821</v>
      </c>
      <c r="D1218" s="1">
        <v>1.8738425925925926E-2</v>
      </c>
      <c r="E1218" t="s">
        <v>3072</v>
      </c>
      <c r="F1218" s="69" t="s">
        <v>272</v>
      </c>
      <c r="K1218" s="82">
        <v>0.48859999999999998</v>
      </c>
    </row>
    <row r="1219" spans="1:14" x14ac:dyDescent="0.2">
      <c r="A1219" s="33">
        <v>42112</v>
      </c>
      <c r="B1219" t="s">
        <v>3820</v>
      </c>
      <c r="C1219" s="1" t="s">
        <v>3821</v>
      </c>
      <c r="D1219" s="1">
        <v>1.9004629629629632E-2</v>
      </c>
      <c r="E1219" t="s">
        <v>3072</v>
      </c>
      <c r="F1219" s="69" t="s">
        <v>347</v>
      </c>
      <c r="K1219" s="82">
        <v>0.48170000000000002</v>
      </c>
    </row>
    <row r="1220" spans="1:14" x14ac:dyDescent="0.2">
      <c r="A1220" s="33">
        <v>42105</v>
      </c>
      <c r="B1220" t="s">
        <v>3820</v>
      </c>
      <c r="C1220" s="1" t="s">
        <v>3821</v>
      </c>
      <c r="D1220" s="1">
        <v>1.9490740740740743E-2</v>
      </c>
      <c r="E1220" t="s">
        <v>3072</v>
      </c>
      <c r="F1220" s="69"/>
      <c r="K1220" s="82">
        <v>0.46970000000000001</v>
      </c>
    </row>
    <row r="1221" spans="1:14" x14ac:dyDescent="0.2">
      <c r="A1221" s="33">
        <v>42098</v>
      </c>
      <c r="B1221" t="s">
        <v>3820</v>
      </c>
      <c r="C1221" s="1" t="s">
        <v>3821</v>
      </c>
      <c r="D1221" s="1">
        <v>1.9710648148148147E-2</v>
      </c>
      <c r="E1221" t="s">
        <v>3072</v>
      </c>
      <c r="F1221" s="69" t="s">
        <v>1067</v>
      </c>
      <c r="K1221" s="82">
        <v>0.46450000000000002</v>
      </c>
      <c r="N1221" s="80"/>
    </row>
    <row r="1222" spans="1:14" x14ac:dyDescent="0.2">
      <c r="A1222" s="33">
        <v>42091</v>
      </c>
      <c r="B1222" t="s">
        <v>3820</v>
      </c>
      <c r="C1222" s="1" t="s">
        <v>3821</v>
      </c>
      <c r="D1222" s="1">
        <v>2.0752314814814814E-2</v>
      </c>
      <c r="E1222" t="s">
        <v>802</v>
      </c>
      <c r="F1222" s="42" t="s">
        <v>4032</v>
      </c>
      <c r="G1222" s="42"/>
      <c r="H1222" s="42"/>
      <c r="K1222" s="82">
        <v>0.44119999999999998</v>
      </c>
    </row>
    <row r="1223" spans="1:14" x14ac:dyDescent="0.2">
      <c r="A1223" s="33">
        <v>42084</v>
      </c>
      <c r="B1223" t="s">
        <v>3820</v>
      </c>
      <c r="C1223" s="1" t="s">
        <v>3821</v>
      </c>
      <c r="D1223" s="1">
        <v>2.7847222222222221E-2</v>
      </c>
      <c r="E1223" t="s">
        <v>3072</v>
      </c>
      <c r="F1223" s="42" t="s">
        <v>1768</v>
      </c>
      <c r="K1223" s="82"/>
    </row>
    <row r="1224" spans="1:14" x14ac:dyDescent="0.2">
      <c r="A1224" s="33">
        <v>42077</v>
      </c>
      <c r="B1224" t="s">
        <v>3820</v>
      </c>
      <c r="C1224" s="1" t="s">
        <v>3821</v>
      </c>
      <c r="D1224" s="1">
        <v>2.0844907407407406E-2</v>
      </c>
      <c r="E1224" t="s">
        <v>3072</v>
      </c>
      <c r="F1224" s="69" t="s">
        <v>3544</v>
      </c>
      <c r="I1224" s="42"/>
      <c r="J1224" s="42"/>
      <c r="K1224" s="82">
        <v>0.43919999999999998</v>
      </c>
    </row>
    <row r="1225" spans="1:14" x14ac:dyDescent="0.2">
      <c r="A1225" s="33">
        <v>42070</v>
      </c>
      <c r="B1225" t="s">
        <v>3820</v>
      </c>
      <c r="C1225" s="1" t="s">
        <v>3821</v>
      </c>
      <c r="D1225" s="1" t="s">
        <v>787</v>
      </c>
      <c r="E1225" t="s">
        <v>3072</v>
      </c>
      <c r="F1225" s="41"/>
      <c r="H1225" t="s">
        <v>36</v>
      </c>
      <c r="K1225" s="82"/>
    </row>
    <row r="1226" spans="1:14" x14ac:dyDescent="0.2">
      <c r="A1226" s="33">
        <v>42063</v>
      </c>
      <c r="B1226" t="s">
        <v>3820</v>
      </c>
      <c r="C1226" s="1" t="s">
        <v>3821</v>
      </c>
      <c r="D1226" s="1">
        <v>2.1111111111111108E-2</v>
      </c>
      <c r="E1226" t="s">
        <v>3072</v>
      </c>
      <c r="F1226" s="42" t="s">
        <v>2418</v>
      </c>
      <c r="K1226" s="82">
        <v>0.43369999999999997</v>
      </c>
    </row>
    <row r="1227" spans="1:14" x14ac:dyDescent="0.2">
      <c r="A1227" s="33">
        <v>42056</v>
      </c>
      <c r="B1227" t="s">
        <v>3820</v>
      </c>
      <c r="C1227" s="1" t="s">
        <v>3821</v>
      </c>
      <c r="D1227" s="1">
        <v>2.0810185185185185E-2</v>
      </c>
      <c r="E1227" t="s">
        <v>3072</v>
      </c>
      <c r="F1227" s="69" t="s">
        <v>55</v>
      </c>
      <c r="I1227" s="6"/>
      <c r="J1227" s="6"/>
      <c r="K1227" s="82">
        <v>0.43990000000000001</v>
      </c>
    </row>
    <row r="1228" spans="1:14" x14ac:dyDescent="0.2">
      <c r="A1228" s="33">
        <v>42049</v>
      </c>
      <c r="B1228" t="s">
        <v>3820</v>
      </c>
      <c r="C1228" s="1" t="s">
        <v>3821</v>
      </c>
      <c r="D1228" s="1">
        <v>2.0347222222222221E-2</v>
      </c>
      <c r="E1228" t="s">
        <v>3072</v>
      </c>
      <c r="F1228" s="69" t="s">
        <v>2500</v>
      </c>
      <c r="K1228" s="82">
        <v>0.44990000000000002</v>
      </c>
    </row>
    <row r="1229" spans="1:14" x14ac:dyDescent="0.2">
      <c r="A1229" s="33">
        <v>42042</v>
      </c>
      <c r="B1229" t="s">
        <v>3820</v>
      </c>
      <c r="C1229" s="1" t="s">
        <v>3821</v>
      </c>
      <c r="D1229" s="1">
        <v>2.0474537037037038E-2</v>
      </c>
      <c r="E1229" t="s">
        <v>3072</v>
      </c>
      <c r="F1229" s="42" t="s">
        <v>5382</v>
      </c>
      <c r="K1229" s="82">
        <v>0.4471</v>
      </c>
    </row>
    <row r="1230" spans="1:14" x14ac:dyDescent="0.2">
      <c r="A1230" s="33">
        <v>42028</v>
      </c>
      <c r="B1230" t="s">
        <v>3820</v>
      </c>
      <c r="C1230" s="1" t="s">
        <v>3821</v>
      </c>
      <c r="D1230" s="1">
        <v>2.1064814814814814E-2</v>
      </c>
      <c r="E1230" t="s">
        <v>3072</v>
      </c>
      <c r="F1230" s="42"/>
      <c r="K1230" s="82">
        <v>0.43459999999999999</v>
      </c>
    </row>
    <row r="1231" spans="1:14" x14ac:dyDescent="0.2">
      <c r="A1231" s="33">
        <v>42007</v>
      </c>
      <c r="B1231" t="s">
        <v>3820</v>
      </c>
      <c r="C1231" s="1" t="s">
        <v>3821</v>
      </c>
      <c r="D1231" s="1">
        <v>2.1180555555555553E-2</v>
      </c>
      <c r="E1231" t="s">
        <v>3072</v>
      </c>
      <c r="F1231" s="42" t="s">
        <v>4879</v>
      </c>
      <c r="K1231" s="82">
        <v>0.43219999999999997</v>
      </c>
    </row>
    <row r="1232" spans="1:14" x14ac:dyDescent="0.2">
      <c r="A1232" s="33">
        <v>42005</v>
      </c>
      <c r="B1232" t="s">
        <v>3820</v>
      </c>
      <c r="C1232" s="1" t="s">
        <v>3821</v>
      </c>
      <c r="D1232" s="1">
        <v>2.0474537037037038E-2</v>
      </c>
      <c r="E1232" t="s">
        <v>1670</v>
      </c>
      <c r="F1232" s="69" t="s">
        <v>139</v>
      </c>
      <c r="I1232" s="6"/>
      <c r="J1232" s="6"/>
      <c r="K1232" s="82">
        <v>0.4471</v>
      </c>
    </row>
    <row r="1233" spans="1:11" x14ac:dyDescent="0.2">
      <c r="A1233" s="33">
        <v>42005</v>
      </c>
      <c r="B1233" t="s">
        <v>3820</v>
      </c>
      <c r="C1233" s="1" t="s">
        <v>3821</v>
      </c>
      <c r="D1233" s="1">
        <v>2.255787037037037E-2</v>
      </c>
      <c r="E1233" t="s">
        <v>2372</v>
      </c>
      <c r="F1233" s="69" t="s">
        <v>138</v>
      </c>
      <c r="G1233" s="367"/>
      <c r="I1233" s="6"/>
      <c r="J1233" s="6"/>
      <c r="K1233" s="82">
        <v>0.40579999999999999</v>
      </c>
    </row>
    <row r="1234" spans="1:11" x14ac:dyDescent="0.2">
      <c r="A1234" s="34">
        <v>42329</v>
      </c>
      <c r="B1234" s="206" t="s">
        <v>4893</v>
      </c>
      <c r="C1234" s="254" t="s">
        <v>4894</v>
      </c>
      <c r="D1234" s="1">
        <v>1.6516203703703703E-2</v>
      </c>
      <c r="E1234" t="s">
        <v>129</v>
      </c>
      <c r="F1234" s="69" t="s">
        <v>1102</v>
      </c>
      <c r="I1234" s="2"/>
      <c r="K1234" s="82">
        <v>0.64049999999999996</v>
      </c>
    </row>
    <row r="1235" spans="1:11" x14ac:dyDescent="0.2">
      <c r="A1235" s="33">
        <v>42287</v>
      </c>
      <c r="B1235" t="s">
        <v>4893</v>
      </c>
      <c r="C1235" s="1" t="s">
        <v>4894</v>
      </c>
      <c r="D1235" s="1">
        <v>1.6724537037037034E-2</v>
      </c>
      <c r="E1235" t="s">
        <v>5453</v>
      </c>
      <c r="F1235" s="69" t="s">
        <v>5673</v>
      </c>
      <c r="I1235" s="2"/>
      <c r="K1235" s="82">
        <v>0.63249999999999995</v>
      </c>
    </row>
    <row r="1236" spans="1:11" x14ac:dyDescent="0.2">
      <c r="A1236" s="33">
        <v>42280</v>
      </c>
      <c r="B1236" t="s">
        <v>4893</v>
      </c>
      <c r="C1236" s="1" t="s">
        <v>4894</v>
      </c>
      <c r="D1236" s="1">
        <v>1.6192129629629629E-2</v>
      </c>
      <c r="E1236" t="s">
        <v>129</v>
      </c>
      <c r="F1236" s="69"/>
      <c r="I1236" s="2"/>
      <c r="K1236" s="82">
        <v>0.65329999999999999</v>
      </c>
    </row>
    <row r="1237" spans="1:11" x14ac:dyDescent="0.2">
      <c r="A1237" s="33">
        <v>42238</v>
      </c>
      <c r="B1237" t="s">
        <v>4893</v>
      </c>
      <c r="C1237" s="1" t="s">
        <v>4894</v>
      </c>
      <c r="D1237" s="1">
        <v>1.4814814814814814E-2</v>
      </c>
      <c r="E1237" t="s">
        <v>5456</v>
      </c>
      <c r="F1237" s="69" t="s">
        <v>3460</v>
      </c>
      <c r="K1237" s="82">
        <v>0.71409999999999996</v>
      </c>
    </row>
    <row r="1238" spans="1:11" x14ac:dyDescent="0.2">
      <c r="A1238" s="33">
        <v>42161</v>
      </c>
      <c r="B1238" s="206" t="s">
        <v>4893</v>
      </c>
      <c r="C1238" s="254" t="s">
        <v>4894</v>
      </c>
      <c r="D1238" s="1">
        <v>1.5752314814814813E-2</v>
      </c>
      <c r="E1238" t="s">
        <v>129</v>
      </c>
      <c r="F1238" s="69" t="s">
        <v>5623</v>
      </c>
      <c r="K1238" s="82">
        <v>0.67159999999999997</v>
      </c>
    </row>
    <row r="1239" spans="1:11" x14ac:dyDescent="0.2">
      <c r="A1239" s="33">
        <v>42147</v>
      </c>
      <c r="B1239" s="206" t="s">
        <v>4893</v>
      </c>
      <c r="C1239" s="254" t="s">
        <v>4894</v>
      </c>
      <c r="D1239" s="1">
        <v>1.4398148148148148E-2</v>
      </c>
      <c r="E1239" t="s">
        <v>135</v>
      </c>
      <c r="F1239" s="69"/>
      <c r="G1239" s="42"/>
      <c r="H1239" s="42"/>
      <c r="K1239" s="82">
        <v>0.73470000000000002</v>
      </c>
    </row>
    <row r="1240" spans="1:11" x14ac:dyDescent="0.2">
      <c r="A1240" s="33">
        <v>42091</v>
      </c>
      <c r="B1240" s="53" t="s">
        <v>4893</v>
      </c>
      <c r="C1240" s="54" t="s">
        <v>4894</v>
      </c>
      <c r="D1240" s="1" t="s">
        <v>787</v>
      </c>
      <c r="E1240" t="s">
        <v>129</v>
      </c>
      <c r="F1240" s="42" t="s">
        <v>4854</v>
      </c>
      <c r="K1240" s="82"/>
    </row>
    <row r="1241" spans="1:11" x14ac:dyDescent="0.2">
      <c r="A1241" s="33">
        <v>42084</v>
      </c>
      <c r="B1241" s="53" t="s">
        <v>4893</v>
      </c>
      <c r="C1241" s="54" t="s">
        <v>4894</v>
      </c>
      <c r="D1241" s="1">
        <v>1.3368055555555557E-2</v>
      </c>
      <c r="E1241" t="s">
        <v>129</v>
      </c>
      <c r="F1241" s="42"/>
      <c r="K1241" s="82">
        <v>0.7853</v>
      </c>
    </row>
    <row r="1242" spans="1:11" x14ac:dyDescent="0.2">
      <c r="A1242" s="33">
        <v>42077</v>
      </c>
      <c r="B1242" s="53" t="s">
        <v>4893</v>
      </c>
      <c r="C1242" s="54" t="s">
        <v>4894</v>
      </c>
      <c r="D1242" s="1">
        <v>1.3587962962962963E-2</v>
      </c>
      <c r="E1242" t="s">
        <v>129</v>
      </c>
      <c r="F1242" s="69" t="s">
        <v>3548</v>
      </c>
      <c r="I1242" s="42"/>
      <c r="J1242" s="42"/>
      <c r="K1242" s="82">
        <v>0.77259999999999995</v>
      </c>
    </row>
    <row r="1243" spans="1:11" x14ac:dyDescent="0.2">
      <c r="A1243" s="33">
        <v>42070</v>
      </c>
      <c r="B1243" s="53" t="s">
        <v>4893</v>
      </c>
      <c r="C1243" s="54" t="s">
        <v>4894</v>
      </c>
      <c r="D1243" s="1">
        <v>1.3356481481481483E-2</v>
      </c>
      <c r="E1243" t="s">
        <v>129</v>
      </c>
      <c r="F1243" s="69" t="s">
        <v>4688</v>
      </c>
      <c r="K1243" s="82">
        <v>0.78600000000000003</v>
      </c>
    </row>
    <row r="1244" spans="1:11" x14ac:dyDescent="0.2">
      <c r="A1244" s="33">
        <v>42056</v>
      </c>
      <c r="B1244" s="53" t="s">
        <v>4893</v>
      </c>
      <c r="C1244" s="54" t="s">
        <v>4894</v>
      </c>
      <c r="D1244" s="1">
        <v>1.7152777777777777E-2</v>
      </c>
      <c r="E1244" t="s">
        <v>5453</v>
      </c>
      <c r="F1244" s="69"/>
      <c r="H1244" t="s">
        <v>3958</v>
      </c>
      <c r="I1244" s="6"/>
      <c r="J1244" s="6"/>
      <c r="K1244" s="82">
        <v>0.61199999999999999</v>
      </c>
    </row>
    <row r="1245" spans="1:11" x14ac:dyDescent="0.2">
      <c r="A1245" s="33">
        <v>42042</v>
      </c>
      <c r="B1245" s="53" t="s">
        <v>4893</v>
      </c>
      <c r="C1245" s="54" t="s">
        <v>4894</v>
      </c>
      <c r="D1245" t="s">
        <v>787</v>
      </c>
      <c r="E1245" t="s">
        <v>129</v>
      </c>
      <c r="F1245" s="42" t="s">
        <v>4854</v>
      </c>
      <c r="K1245" s="82"/>
    </row>
    <row r="1246" spans="1:11" x14ac:dyDescent="0.2">
      <c r="A1246" s="33">
        <v>42021</v>
      </c>
      <c r="B1246" s="53" t="s">
        <v>4893</v>
      </c>
      <c r="C1246" s="54" t="s">
        <v>4894</v>
      </c>
      <c r="D1246" s="1">
        <v>1.3692129629629629E-2</v>
      </c>
      <c r="E1246" t="s">
        <v>129</v>
      </c>
      <c r="F1246" s="42" t="s">
        <v>346</v>
      </c>
      <c r="G1246" s="42"/>
      <c r="H1246" s="42"/>
      <c r="K1246" s="82">
        <v>0.76670000000000005</v>
      </c>
    </row>
    <row r="1247" spans="1:11" x14ac:dyDescent="0.2">
      <c r="A1247" s="33">
        <v>42014</v>
      </c>
      <c r="B1247" s="53" t="s">
        <v>4893</v>
      </c>
      <c r="C1247" s="54" t="s">
        <v>4894</v>
      </c>
      <c r="D1247" s="1">
        <v>1.3356481481481483E-2</v>
      </c>
      <c r="E1247" t="s">
        <v>129</v>
      </c>
      <c r="F1247" s="42" t="s">
        <v>936</v>
      </c>
      <c r="K1247" s="82">
        <v>0.78600000000000003</v>
      </c>
    </row>
    <row r="1248" spans="1:11" x14ac:dyDescent="0.2">
      <c r="A1248" s="33">
        <v>42007</v>
      </c>
      <c r="B1248" s="53" t="s">
        <v>4893</v>
      </c>
      <c r="C1248" s="54" t="s">
        <v>4894</v>
      </c>
      <c r="D1248" s="1">
        <v>1.4560185185185183E-2</v>
      </c>
      <c r="E1248" t="s">
        <v>5453</v>
      </c>
      <c r="F1248" s="42" t="s">
        <v>5168</v>
      </c>
      <c r="K1248" s="82">
        <v>0.72099999999999997</v>
      </c>
    </row>
    <row r="1249" spans="1:11" x14ac:dyDescent="0.2">
      <c r="A1249" s="33">
        <v>42005</v>
      </c>
      <c r="B1249" s="53" t="s">
        <v>4893</v>
      </c>
      <c r="C1249" s="54" t="s">
        <v>4894</v>
      </c>
      <c r="D1249" s="1">
        <v>1.3391203703703704E-2</v>
      </c>
      <c r="E1249" t="s">
        <v>5885</v>
      </c>
      <c r="F1249" s="69" t="s">
        <v>139</v>
      </c>
      <c r="G1249" s="6"/>
      <c r="H1249" s="6"/>
      <c r="K1249" s="82">
        <v>0.78390000000000004</v>
      </c>
    </row>
    <row r="1250" spans="1:11" x14ac:dyDescent="0.2">
      <c r="A1250" s="33">
        <v>42005</v>
      </c>
      <c r="B1250" s="53" t="s">
        <v>4893</v>
      </c>
      <c r="C1250" s="54" t="s">
        <v>4894</v>
      </c>
      <c r="D1250" s="1">
        <v>1.4236111111111111E-2</v>
      </c>
      <c r="E1250" t="s">
        <v>4822</v>
      </c>
      <c r="F1250" s="69" t="s">
        <v>138</v>
      </c>
      <c r="I1250" s="6"/>
      <c r="J1250" s="6"/>
      <c r="K1250" s="82">
        <v>0.73740000000000006</v>
      </c>
    </row>
    <row r="1251" spans="1:11" x14ac:dyDescent="0.2">
      <c r="A1251" s="33">
        <v>42168</v>
      </c>
      <c r="B1251" s="53" t="s">
        <v>3535</v>
      </c>
      <c r="C1251" s="54" t="s">
        <v>3386</v>
      </c>
      <c r="D1251" s="1">
        <v>1.3391203703703704E-2</v>
      </c>
      <c r="E1251" t="s">
        <v>5095</v>
      </c>
      <c r="F1251" s="69" t="s">
        <v>3387</v>
      </c>
      <c r="K1251" s="82">
        <v>0.79</v>
      </c>
    </row>
    <row r="1252" spans="1:11" x14ac:dyDescent="0.2">
      <c r="A1252" s="33">
        <v>42196</v>
      </c>
      <c r="B1252" s="53" t="s">
        <v>5744</v>
      </c>
      <c r="C1252" s="54" t="s">
        <v>1730</v>
      </c>
      <c r="D1252" s="1">
        <v>1.7245370370370369E-2</v>
      </c>
      <c r="E1252" t="s">
        <v>4492</v>
      </c>
      <c r="F1252" s="69" t="s">
        <v>1113</v>
      </c>
      <c r="K1252" s="82">
        <v>0.68320000000000003</v>
      </c>
    </row>
    <row r="1253" spans="1:11" x14ac:dyDescent="0.2">
      <c r="A1253" s="33">
        <v>42189</v>
      </c>
      <c r="B1253" s="53" t="s">
        <v>5744</v>
      </c>
      <c r="C1253" s="54" t="s">
        <v>1730</v>
      </c>
      <c r="D1253" s="1">
        <v>2.0046296296296295E-2</v>
      </c>
      <c r="E1253" t="s">
        <v>5885</v>
      </c>
      <c r="F1253" s="69" t="s">
        <v>315</v>
      </c>
      <c r="K1253" s="82">
        <v>0.58779999999999999</v>
      </c>
    </row>
    <row r="1254" spans="1:11" x14ac:dyDescent="0.2">
      <c r="A1254" s="33">
        <v>42175</v>
      </c>
      <c r="B1254" s="53" t="s">
        <v>5744</v>
      </c>
      <c r="C1254" s="54" t="s">
        <v>1730</v>
      </c>
      <c r="D1254" s="1">
        <v>1.7326388888888888E-2</v>
      </c>
      <c r="E1254" t="s">
        <v>129</v>
      </c>
      <c r="F1254" s="69" t="s">
        <v>5745</v>
      </c>
      <c r="G1254" s="6"/>
      <c r="H1254" s="6"/>
      <c r="K1254" s="82">
        <v>0.68</v>
      </c>
    </row>
    <row r="1255" spans="1:11" x14ac:dyDescent="0.2">
      <c r="A1255" s="33">
        <v>42196</v>
      </c>
      <c r="B1255" s="53" t="s">
        <v>3535</v>
      </c>
      <c r="C1255" s="54" t="s">
        <v>1730</v>
      </c>
      <c r="D1255" s="1">
        <v>1.4525462962962964E-2</v>
      </c>
      <c r="E1255" t="s">
        <v>1569</v>
      </c>
      <c r="F1255" s="69" t="s">
        <v>5745</v>
      </c>
      <c r="G1255" s="6"/>
      <c r="H1255" s="6"/>
      <c r="K1255" s="82">
        <v>0.72829999999999995</v>
      </c>
    </row>
    <row r="1256" spans="1:11" x14ac:dyDescent="0.2">
      <c r="A1256" s="33">
        <v>42189</v>
      </c>
      <c r="B1256" s="53" t="s">
        <v>3535</v>
      </c>
      <c r="C1256" s="54" t="s">
        <v>1730</v>
      </c>
      <c r="D1256" s="1">
        <v>1.6064814814814813E-2</v>
      </c>
      <c r="E1256" t="s">
        <v>5885</v>
      </c>
      <c r="F1256" s="69" t="s">
        <v>5723</v>
      </c>
      <c r="K1256" s="82">
        <v>0.65849999999999997</v>
      </c>
    </row>
    <row r="1257" spans="1:11" x14ac:dyDescent="0.2">
      <c r="A1257" s="33">
        <v>42175</v>
      </c>
      <c r="B1257" s="53" t="s">
        <v>3535</v>
      </c>
      <c r="C1257" s="54" t="s">
        <v>1730</v>
      </c>
      <c r="D1257" s="1">
        <v>1.7118055555555556E-2</v>
      </c>
      <c r="E1257" t="s">
        <v>129</v>
      </c>
      <c r="F1257" s="69" t="s">
        <v>2268</v>
      </c>
      <c r="K1257" s="82">
        <v>0.61799999999999999</v>
      </c>
    </row>
    <row r="1258" spans="1:11" x14ac:dyDescent="0.2">
      <c r="A1258" s="33">
        <v>42021</v>
      </c>
      <c r="B1258" s="53" t="s">
        <v>3535</v>
      </c>
      <c r="C1258" s="54" t="s">
        <v>1730</v>
      </c>
      <c r="D1258" s="1">
        <v>1.4768518518518519E-2</v>
      </c>
      <c r="E1258" t="s">
        <v>5885</v>
      </c>
      <c r="F1258" s="42" t="s">
        <v>1600</v>
      </c>
      <c r="G1258" t="s">
        <v>3987</v>
      </c>
      <c r="K1258" s="82">
        <v>0.71630000000000005</v>
      </c>
    </row>
    <row r="1259" spans="1:11" x14ac:dyDescent="0.2">
      <c r="A1259" s="33">
        <v>42287</v>
      </c>
      <c r="B1259" s="53" t="s">
        <v>4229</v>
      </c>
      <c r="C1259" s="54" t="s">
        <v>440</v>
      </c>
      <c r="D1259" s="1">
        <v>2.2268518518518521E-2</v>
      </c>
      <c r="E1259" t="s">
        <v>1719</v>
      </c>
      <c r="F1259" s="69" t="s">
        <v>4471</v>
      </c>
      <c r="I1259" s="2"/>
      <c r="K1259" s="82">
        <v>0.4834</v>
      </c>
    </row>
    <row r="1260" spans="1:11" x14ac:dyDescent="0.2">
      <c r="A1260" s="33">
        <v>42280</v>
      </c>
      <c r="B1260" s="53" t="s">
        <v>4229</v>
      </c>
      <c r="C1260" s="54" t="s">
        <v>440</v>
      </c>
      <c r="D1260" s="1">
        <v>2.0613425925925927E-2</v>
      </c>
      <c r="E1260" t="s">
        <v>1719</v>
      </c>
      <c r="F1260" s="69" t="s">
        <v>4445</v>
      </c>
      <c r="I1260" s="2"/>
      <c r="K1260" s="82">
        <v>0.5222</v>
      </c>
    </row>
    <row r="1261" spans="1:11" x14ac:dyDescent="0.2">
      <c r="A1261" s="33">
        <v>42252</v>
      </c>
      <c r="B1261" s="53" t="s">
        <v>4229</v>
      </c>
      <c r="C1261" s="54" t="s">
        <v>440</v>
      </c>
      <c r="D1261" s="1">
        <v>2.0682870370370372E-2</v>
      </c>
      <c r="E1261" t="s">
        <v>1719</v>
      </c>
      <c r="F1261" s="69" t="s">
        <v>4463</v>
      </c>
      <c r="K1261" s="82">
        <v>0.52039999999999997</v>
      </c>
    </row>
    <row r="1262" spans="1:11" x14ac:dyDescent="0.2">
      <c r="A1262" s="33">
        <v>42182</v>
      </c>
      <c r="B1262" s="53" t="s">
        <v>4229</v>
      </c>
      <c r="C1262" s="54" t="s">
        <v>440</v>
      </c>
      <c r="D1262" s="1">
        <v>2.0972222222222222E-2</v>
      </c>
      <c r="E1262" t="s">
        <v>1719</v>
      </c>
      <c r="F1262" s="69" t="s">
        <v>2548</v>
      </c>
      <c r="K1262" s="82">
        <v>0.51319999999999999</v>
      </c>
    </row>
    <row r="1263" spans="1:11" x14ac:dyDescent="0.2">
      <c r="A1263" s="33">
        <v>42161</v>
      </c>
      <c r="B1263" s="53" t="s">
        <v>4229</v>
      </c>
      <c r="C1263" s="54" t="s">
        <v>440</v>
      </c>
      <c r="D1263" s="1">
        <v>2.1701388888888892E-2</v>
      </c>
      <c r="E1263" t="s">
        <v>1719</v>
      </c>
      <c r="F1263" s="69" t="s">
        <v>5696</v>
      </c>
      <c r="K1263" s="82">
        <v>0.496</v>
      </c>
    </row>
    <row r="1264" spans="1:11" x14ac:dyDescent="0.2">
      <c r="A1264" s="33">
        <v>42140</v>
      </c>
      <c r="B1264" s="53" t="s">
        <v>4229</v>
      </c>
      <c r="C1264" s="54" t="s">
        <v>440</v>
      </c>
      <c r="D1264" s="1">
        <v>2.2233796296296297E-2</v>
      </c>
      <c r="E1264" t="s">
        <v>1719</v>
      </c>
      <c r="F1264" s="69" t="s">
        <v>3221</v>
      </c>
      <c r="K1264" s="82">
        <v>0.48409999999999997</v>
      </c>
    </row>
    <row r="1265" spans="1:19" x14ac:dyDescent="0.2">
      <c r="A1265" s="33">
        <v>42056</v>
      </c>
      <c r="B1265" t="s">
        <v>439</v>
      </c>
      <c r="C1265" s="1" t="s">
        <v>440</v>
      </c>
      <c r="D1265" s="1">
        <v>2.0960648148148148E-2</v>
      </c>
      <c r="E1265" t="s">
        <v>5947</v>
      </c>
      <c r="F1265" s="69" t="s">
        <v>345</v>
      </c>
      <c r="I1265" s="6"/>
      <c r="J1265" s="6"/>
      <c r="K1265" s="82">
        <v>0.62509999999999999</v>
      </c>
    </row>
    <row r="1266" spans="1:19" x14ac:dyDescent="0.2">
      <c r="A1266" s="33">
        <v>42007</v>
      </c>
      <c r="B1266" t="s">
        <v>439</v>
      </c>
      <c r="C1266" s="1" t="s">
        <v>440</v>
      </c>
      <c r="D1266" s="1">
        <v>2.1400462962962965E-2</v>
      </c>
      <c r="E1266" t="s">
        <v>5947</v>
      </c>
      <c r="F1266" s="42"/>
      <c r="G1266" s="42"/>
      <c r="H1266" s="42"/>
      <c r="K1266" s="82">
        <v>0.60360000000000003</v>
      </c>
    </row>
    <row r="1267" spans="1:19" x14ac:dyDescent="0.2">
      <c r="A1267" s="33">
        <v>42364</v>
      </c>
      <c r="B1267" t="s">
        <v>4259</v>
      </c>
      <c r="C1267" s="1" t="s">
        <v>440</v>
      </c>
      <c r="D1267" s="1">
        <v>2.4965277777777781E-2</v>
      </c>
      <c r="E1267" t="s">
        <v>891</v>
      </c>
      <c r="F1267" s="69" t="s">
        <v>3241</v>
      </c>
      <c r="I1267" s="2"/>
      <c r="K1267" s="82">
        <v>0.47199999999999998</v>
      </c>
    </row>
    <row r="1268" spans="1:19" x14ac:dyDescent="0.2">
      <c r="A1268" s="33">
        <v>42357</v>
      </c>
      <c r="B1268" t="s">
        <v>4259</v>
      </c>
      <c r="C1268" s="1" t="s">
        <v>440</v>
      </c>
      <c r="D1268" s="1">
        <v>2.4537037037037038E-2</v>
      </c>
      <c r="E1268" t="s">
        <v>5095</v>
      </c>
      <c r="F1268" s="69" t="s">
        <v>1067</v>
      </c>
      <c r="I1268" s="2"/>
      <c r="K1268" s="82">
        <v>0.48020000000000002</v>
      </c>
      <c r="S1268" s="80"/>
    </row>
    <row r="1269" spans="1:19" x14ac:dyDescent="0.2">
      <c r="A1269" s="33">
        <v>42322</v>
      </c>
      <c r="B1269" s="206" t="s">
        <v>4259</v>
      </c>
      <c r="C1269" s="254" t="s">
        <v>440</v>
      </c>
      <c r="D1269" s="1">
        <v>2.2604166666666665E-2</v>
      </c>
      <c r="E1269" t="s">
        <v>5095</v>
      </c>
      <c r="F1269" s="69" t="s">
        <v>5358</v>
      </c>
      <c r="I1269" s="2"/>
      <c r="K1269" s="82">
        <v>0.5212</v>
      </c>
    </row>
    <row r="1270" spans="1:19" x14ac:dyDescent="0.2">
      <c r="A1270" s="33">
        <v>42301</v>
      </c>
      <c r="B1270" t="s">
        <v>4259</v>
      </c>
      <c r="C1270" s="1" t="s">
        <v>440</v>
      </c>
      <c r="D1270" s="1">
        <v>2.2476851851851855E-2</v>
      </c>
      <c r="E1270" t="s">
        <v>1214</v>
      </c>
      <c r="F1270" s="69" t="s">
        <v>2629</v>
      </c>
      <c r="I1270" s="2"/>
      <c r="K1270" s="82">
        <v>0.5242</v>
      </c>
    </row>
    <row r="1271" spans="1:19" x14ac:dyDescent="0.2">
      <c r="A1271" s="33">
        <v>42294</v>
      </c>
      <c r="B1271" t="s">
        <v>4259</v>
      </c>
      <c r="C1271" s="1" t="s">
        <v>440</v>
      </c>
      <c r="D1271" s="1">
        <v>2.2847222222222224E-2</v>
      </c>
      <c r="E1271" t="s">
        <v>5095</v>
      </c>
      <c r="F1271" s="69" t="s">
        <v>3544</v>
      </c>
      <c r="I1271" s="2"/>
      <c r="K1271" s="82">
        <v>0.51570000000000005</v>
      </c>
    </row>
    <row r="1272" spans="1:19" x14ac:dyDescent="0.2">
      <c r="A1272" s="33">
        <v>42280</v>
      </c>
      <c r="B1272" t="s">
        <v>4259</v>
      </c>
      <c r="C1272" s="1" t="s">
        <v>440</v>
      </c>
      <c r="D1272" s="1">
        <v>2.2349537037037032E-2</v>
      </c>
      <c r="E1272" t="s">
        <v>5095</v>
      </c>
      <c r="F1272" s="69" t="s">
        <v>1425</v>
      </c>
      <c r="I1272" s="2"/>
      <c r="K1272" s="82">
        <v>0.52100000000000002</v>
      </c>
    </row>
    <row r="1273" spans="1:19" x14ac:dyDescent="0.2">
      <c r="A1273" s="33">
        <v>42259</v>
      </c>
      <c r="B1273" t="s">
        <v>4259</v>
      </c>
      <c r="C1273" s="1" t="s">
        <v>440</v>
      </c>
      <c r="D1273" s="1">
        <v>2.4837962962962964E-2</v>
      </c>
      <c r="E1273" t="s">
        <v>2636</v>
      </c>
      <c r="F1273" s="69"/>
      <c r="K1273" s="82">
        <v>0.46879999999999999</v>
      </c>
    </row>
    <row r="1274" spans="1:19" x14ac:dyDescent="0.2">
      <c r="A1274" s="33">
        <v>42252</v>
      </c>
      <c r="B1274" s="206" t="s">
        <v>4259</v>
      </c>
      <c r="C1274" s="254" t="s">
        <v>440</v>
      </c>
      <c r="D1274" s="1">
        <v>2.4224537037037034E-2</v>
      </c>
      <c r="E1274" t="s">
        <v>891</v>
      </c>
      <c r="F1274" s="69" t="s">
        <v>21</v>
      </c>
      <c r="K1274" s="82">
        <v>0.48060000000000003</v>
      </c>
    </row>
    <row r="1275" spans="1:19" x14ac:dyDescent="0.2">
      <c r="A1275" s="33">
        <v>42203</v>
      </c>
      <c r="B1275" s="206" t="s">
        <v>4259</v>
      </c>
      <c r="C1275" s="254" t="s">
        <v>440</v>
      </c>
      <c r="D1275" s="1">
        <v>2.2129629629629628E-2</v>
      </c>
      <c r="E1275" t="s">
        <v>4500</v>
      </c>
      <c r="F1275" s="69" t="s">
        <v>3558</v>
      </c>
      <c r="K1275" s="82">
        <v>0.5262</v>
      </c>
    </row>
    <row r="1276" spans="1:19" x14ac:dyDescent="0.2">
      <c r="A1276" s="33">
        <v>42189</v>
      </c>
      <c r="B1276" s="206" t="s">
        <v>4259</v>
      </c>
      <c r="C1276" s="254" t="s">
        <v>440</v>
      </c>
      <c r="D1276" s="1">
        <v>2.3981481481481479E-2</v>
      </c>
      <c r="E1276" t="s">
        <v>5095</v>
      </c>
      <c r="F1276" s="69" t="s">
        <v>3515</v>
      </c>
      <c r="K1276" s="82">
        <v>0.48549999999999999</v>
      </c>
    </row>
    <row r="1277" spans="1:19" x14ac:dyDescent="0.2">
      <c r="A1277" s="33">
        <v>42133</v>
      </c>
      <c r="B1277" s="206" t="s">
        <v>4259</v>
      </c>
      <c r="C1277" s="254" t="s">
        <v>440</v>
      </c>
      <c r="D1277" s="1">
        <v>2.3252314814814812E-2</v>
      </c>
      <c r="E1277" t="s">
        <v>5095</v>
      </c>
      <c r="F1277" s="69" t="s">
        <v>4879</v>
      </c>
      <c r="G1277" s="6"/>
      <c r="H1277" s="6"/>
      <c r="K1277" s="82">
        <v>0.50070000000000003</v>
      </c>
    </row>
    <row r="1278" spans="1:19" x14ac:dyDescent="0.2">
      <c r="A1278" s="33">
        <v>42098</v>
      </c>
      <c r="B1278" s="206" t="s">
        <v>4259</v>
      </c>
      <c r="C1278" s="254" t="s">
        <v>440</v>
      </c>
      <c r="D1278" s="1">
        <v>2.6400462962962962E-2</v>
      </c>
      <c r="E1278" t="s">
        <v>3450</v>
      </c>
      <c r="F1278" s="69" t="s">
        <v>3451</v>
      </c>
      <c r="K1278" s="82">
        <v>0.441</v>
      </c>
      <c r="M1278" t="s">
        <v>3743</v>
      </c>
    </row>
    <row r="1279" spans="1:19" x14ac:dyDescent="0.2">
      <c r="A1279" s="33">
        <v>42091</v>
      </c>
      <c r="B1279" s="206" t="s">
        <v>4259</v>
      </c>
      <c r="C1279" s="254" t="s">
        <v>440</v>
      </c>
      <c r="D1279" s="1">
        <v>2.3136574074074077E-2</v>
      </c>
      <c r="E1279" t="s">
        <v>4727</v>
      </c>
      <c r="F1279" s="42" t="s">
        <v>1792</v>
      </c>
      <c r="K1279" s="82">
        <v>0.50329999999999997</v>
      </c>
    </row>
    <row r="1280" spans="1:19" x14ac:dyDescent="0.2">
      <c r="A1280" s="33">
        <v>42084</v>
      </c>
      <c r="B1280" s="206" t="s">
        <v>4259</v>
      </c>
      <c r="C1280" s="254" t="s">
        <v>440</v>
      </c>
      <c r="D1280" s="1">
        <v>2.2592592592592591E-2</v>
      </c>
      <c r="E1280" t="s">
        <v>5095</v>
      </c>
      <c r="F1280" s="42" t="s">
        <v>3926</v>
      </c>
      <c r="K1280" s="82">
        <v>0.51539999999999997</v>
      </c>
      <c r="M1280" t="s">
        <v>3925</v>
      </c>
    </row>
    <row r="1281" spans="1:13" x14ac:dyDescent="0.2">
      <c r="A1281" s="33">
        <v>42077</v>
      </c>
      <c r="B1281" s="206" t="s">
        <v>4259</v>
      </c>
      <c r="C1281" s="254" t="s">
        <v>440</v>
      </c>
      <c r="D1281" s="1">
        <v>2.3101851851851849E-2</v>
      </c>
      <c r="E1281" t="s">
        <v>1214</v>
      </c>
      <c r="F1281" s="69" t="s">
        <v>3801</v>
      </c>
      <c r="G1281" t="s">
        <v>2629</v>
      </c>
      <c r="I1281" s="42"/>
      <c r="J1281" s="42"/>
      <c r="K1281" s="82">
        <v>0.504</v>
      </c>
    </row>
    <row r="1282" spans="1:13" x14ac:dyDescent="0.2">
      <c r="A1282" s="33">
        <v>42063</v>
      </c>
      <c r="B1282" s="206" t="s">
        <v>4259</v>
      </c>
      <c r="C1282" s="254" t="s">
        <v>440</v>
      </c>
      <c r="D1282" t="s">
        <v>787</v>
      </c>
      <c r="E1282" t="s">
        <v>5095</v>
      </c>
      <c r="F1282" s="41"/>
      <c r="G1282" s="6"/>
      <c r="K1282" s="82"/>
    </row>
    <row r="1283" spans="1:13" x14ac:dyDescent="0.2">
      <c r="A1283" s="33">
        <v>42005</v>
      </c>
      <c r="B1283" s="206" t="s">
        <v>4259</v>
      </c>
      <c r="C1283" s="254" t="s">
        <v>440</v>
      </c>
      <c r="D1283" s="1">
        <v>2.6041666666666668E-2</v>
      </c>
      <c r="E1283" t="s">
        <v>2372</v>
      </c>
      <c r="F1283" s="69" t="s">
        <v>138</v>
      </c>
      <c r="G1283" s="6"/>
      <c r="H1283" s="6"/>
      <c r="I1283" s="6"/>
      <c r="J1283" s="6"/>
      <c r="K1283" s="82">
        <v>0.4471</v>
      </c>
    </row>
    <row r="1284" spans="1:13" x14ac:dyDescent="0.2">
      <c r="A1284" s="33">
        <v>42077</v>
      </c>
      <c r="B1284" t="s">
        <v>3898</v>
      </c>
      <c r="C1284" s="1" t="s">
        <v>3899</v>
      </c>
      <c r="D1284" s="1">
        <v>1.5150462962962963E-2</v>
      </c>
      <c r="E1284" t="s">
        <v>5186</v>
      </c>
      <c r="F1284" s="69" t="s">
        <v>168</v>
      </c>
      <c r="I1284" s="42"/>
      <c r="J1284" s="42"/>
      <c r="K1284" s="82">
        <v>0.68679999999999997</v>
      </c>
    </row>
    <row r="1285" spans="1:13" x14ac:dyDescent="0.2">
      <c r="A1285" s="33">
        <v>42336</v>
      </c>
      <c r="B1285" t="s">
        <v>5668</v>
      </c>
      <c r="C1285" s="1" t="s">
        <v>5669</v>
      </c>
      <c r="D1285" s="1">
        <v>1.5555555555555553E-2</v>
      </c>
      <c r="E1285" t="s">
        <v>3009</v>
      </c>
      <c r="F1285" s="69" t="s">
        <v>3485</v>
      </c>
      <c r="I1285" s="2"/>
      <c r="K1285" s="82">
        <v>0.628</v>
      </c>
    </row>
    <row r="1286" spans="1:13" x14ac:dyDescent="0.2">
      <c r="A1286" s="33">
        <v>42238</v>
      </c>
      <c r="B1286" s="206" t="s">
        <v>5668</v>
      </c>
      <c r="C1286" s="254" t="s">
        <v>5669</v>
      </c>
      <c r="D1286" s="1">
        <v>1.5729166666666666E-2</v>
      </c>
      <c r="E1286" s="5" t="s">
        <v>3009</v>
      </c>
      <c r="F1286" s="69" t="s">
        <v>2057</v>
      </c>
      <c r="K1286" s="82">
        <v>0.621</v>
      </c>
    </row>
    <row r="1287" spans="1:13" x14ac:dyDescent="0.2">
      <c r="A1287" s="33">
        <v>42281</v>
      </c>
      <c r="B1287" t="s">
        <v>3962</v>
      </c>
      <c r="C1287" s="1" t="s">
        <v>5543</v>
      </c>
      <c r="D1287" s="1" t="s">
        <v>787</v>
      </c>
      <c r="E1287" t="s">
        <v>2690</v>
      </c>
      <c r="F1287" s="41"/>
    </row>
    <row r="1288" spans="1:13" x14ac:dyDescent="0.2">
      <c r="A1288" s="33">
        <v>42231</v>
      </c>
      <c r="B1288" t="s">
        <v>3962</v>
      </c>
      <c r="C1288" s="1" t="s">
        <v>5543</v>
      </c>
      <c r="D1288" s="1">
        <v>1.5972222222222224E-2</v>
      </c>
      <c r="E1288" t="s">
        <v>5948</v>
      </c>
      <c r="F1288" s="69" t="s">
        <v>705</v>
      </c>
      <c r="K1288" s="82">
        <v>0.66810000000000003</v>
      </c>
      <c r="M1288" t="s">
        <v>1106</v>
      </c>
    </row>
    <row r="1289" spans="1:13" x14ac:dyDescent="0.2">
      <c r="A1289" s="33">
        <v>42231</v>
      </c>
      <c r="B1289" t="s">
        <v>866</v>
      </c>
      <c r="C1289" s="1" t="s">
        <v>5543</v>
      </c>
      <c r="D1289" s="1">
        <v>1.3483796296296298E-2</v>
      </c>
      <c r="E1289" t="s">
        <v>5948</v>
      </c>
      <c r="F1289" s="69" t="s">
        <v>2668</v>
      </c>
      <c r="K1289" s="82">
        <v>0.75970000000000004</v>
      </c>
      <c r="M1289" t="s">
        <v>1106</v>
      </c>
    </row>
    <row r="1290" spans="1:13" x14ac:dyDescent="0.2">
      <c r="A1290" s="33">
        <v>42315</v>
      </c>
      <c r="B1290" t="s">
        <v>2703</v>
      </c>
      <c r="C1290" s="1" t="s">
        <v>5543</v>
      </c>
      <c r="D1290" s="1">
        <v>2.0844907407407406E-2</v>
      </c>
      <c r="E1290" t="s">
        <v>1401</v>
      </c>
      <c r="F1290" s="69" t="s">
        <v>5808</v>
      </c>
      <c r="I1290" s="2"/>
      <c r="K1290" s="82">
        <v>0.56520000000000004</v>
      </c>
    </row>
    <row r="1291" spans="1:13" x14ac:dyDescent="0.2">
      <c r="A1291" s="33">
        <v>42308</v>
      </c>
      <c r="B1291" t="s">
        <v>2703</v>
      </c>
      <c r="C1291" s="1" t="s">
        <v>5543</v>
      </c>
      <c r="D1291" s="1">
        <v>2.1284722222222222E-2</v>
      </c>
      <c r="E1291" t="s">
        <v>5981</v>
      </c>
      <c r="F1291" s="69" t="s">
        <v>272</v>
      </c>
      <c r="I1291" s="2"/>
      <c r="K1291" s="82">
        <v>0.55359999999999998</v>
      </c>
    </row>
    <row r="1292" spans="1:13" x14ac:dyDescent="0.2">
      <c r="A1292" s="33">
        <v>42301</v>
      </c>
      <c r="B1292" t="s">
        <v>2703</v>
      </c>
      <c r="C1292" s="1" t="s">
        <v>5543</v>
      </c>
      <c r="D1292" s="1">
        <v>2.0891203703703703E-2</v>
      </c>
      <c r="E1292" t="s">
        <v>1401</v>
      </c>
      <c r="F1292" s="69" t="s">
        <v>347</v>
      </c>
      <c r="I1292" s="2"/>
      <c r="K1292" s="82">
        <v>0.56399999999999995</v>
      </c>
    </row>
    <row r="1293" spans="1:13" x14ac:dyDescent="0.2">
      <c r="A1293" s="33">
        <v>42231</v>
      </c>
      <c r="B1293" s="53" t="s">
        <v>2703</v>
      </c>
      <c r="C1293" s="54" t="s">
        <v>5543</v>
      </c>
      <c r="D1293" s="1">
        <v>2.0659722222222222E-2</v>
      </c>
      <c r="E1293" t="s">
        <v>5544</v>
      </c>
      <c r="F1293" s="69" t="s">
        <v>1067</v>
      </c>
      <c r="K1293" s="82">
        <v>0.57030000000000003</v>
      </c>
    </row>
    <row r="1294" spans="1:13" x14ac:dyDescent="0.2">
      <c r="A1294" s="33">
        <v>42224</v>
      </c>
      <c r="B1294" t="s">
        <v>2703</v>
      </c>
      <c r="C1294" s="1" t="s">
        <v>5543</v>
      </c>
      <c r="D1294" s="1">
        <v>2.0671296296296295E-2</v>
      </c>
      <c r="E1294" s="5" t="s">
        <v>1401</v>
      </c>
      <c r="F1294" s="69" t="s">
        <v>4885</v>
      </c>
      <c r="K1294" s="82">
        <v>0.56999999999999995</v>
      </c>
    </row>
    <row r="1295" spans="1:13" x14ac:dyDescent="0.2">
      <c r="A1295" s="33">
        <v>42210</v>
      </c>
      <c r="B1295" s="53" t="s">
        <v>2703</v>
      </c>
      <c r="C1295" s="54" t="s">
        <v>5543</v>
      </c>
      <c r="D1295" s="1">
        <v>2.148148148148148E-2</v>
      </c>
      <c r="E1295" t="s">
        <v>3773</v>
      </c>
      <c r="F1295" s="69" t="s">
        <v>1068</v>
      </c>
      <c r="K1295" s="82">
        <v>0.54849999999999999</v>
      </c>
    </row>
    <row r="1296" spans="1:13" x14ac:dyDescent="0.2">
      <c r="A1296" s="33">
        <v>42175</v>
      </c>
      <c r="B1296" t="s">
        <v>2703</v>
      </c>
      <c r="C1296" s="1" t="s">
        <v>5543</v>
      </c>
      <c r="D1296" s="1">
        <v>2.0497685185185185E-2</v>
      </c>
      <c r="E1296" t="s">
        <v>1401</v>
      </c>
      <c r="F1296" s="69" t="s">
        <v>3544</v>
      </c>
      <c r="K1296" s="82">
        <v>0.57479999999999998</v>
      </c>
    </row>
    <row r="1297" spans="1:12" x14ac:dyDescent="0.2">
      <c r="A1297" s="33">
        <v>42147</v>
      </c>
      <c r="B1297" s="53" t="s">
        <v>2703</v>
      </c>
      <c r="C1297" s="54" t="s">
        <v>5543</v>
      </c>
      <c r="D1297" s="1">
        <v>2.0393518518518519E-2</v>
      </c>
      <c r="E1297" t="s">
        <v>5544</v>
      </c>
      <c r="F1297" s="69" t="s">
        <v>55</v>
      </c>
      <c r="K1297" s="82">
        <v>0.57779999999999998</v>
      </c>
    </row>
    <row r="1298" spans="1:12" x14ac:dyDescent="0.2">
      <c r="A1298" s="33">
        <v>42140</v>
      </c>
      <c r="B1298" s="53" t="s">
        <v>2703</v>
      </c>
      <c r="C1298" s="54" t="s">
        <v>5543</v>
      </c>
      <c r="D1298" s="1">
        <v>2.0474537037037038E-2</v>
      </c>
      <c r="E1298" t="s">
        <v>1401</v>
      </c>
      <c r="F1298" s="69" t="s">
        <v>2500</v>
      </c>
      <c r="K1298" s="82">
        <v>0.57550000000000001</v>
      </c>
    </row>
    <row r="1299" spans="1:12" x14ac:dyDescent="0.2">
      <c r="A1299" s="33">
        <v>42133</v>
      </c>
      <c r="B1299" s="53" t="s">
        <v>2703</v>
      </c>
      <c r="C1299" s="54" t="s">
        <v>5543</v>
      </c>
      <c r="D1299" s="1">
        <v>2.0405092592592593E-2</v>
      </c>
      <c r="E1299" t="s">
        <v>1401</v>
      </c>
      <c r="F1299" s="69"/>
      <c r="K1299" s="82">
        <v>0.57740000000000002</v>
      </c>
    </row>
    <row r="1300" spans="1:12" x14ac:dyDescent="0.2">
      <c r="A1300" s="33">
        <v>42126</v>
      </c>
      <c r="B1300" s="53" t="s">
        <v>2703</v>
      </c>
      <c r="C1300" s="54" t="s">
        <v>5543</v>
      </c>
      <c r="D1300" s="1">
        <v>2.0775462962962964E-2</v>
      </c>
      <c r="E1300" t="s">
        <v>1401</v>
      </c>
      <c r="F1300" s="69" t="s">
        <v>3515</v>
      </c>
      <c r="I1300" s="42"/>
      <c r="J1300" s="42"/>
      <c r="K1300" s="82">
        <v>0.56710000000000005</v>
      </c>
    </row>
    <row r="1301" spans="1:12" x14ac:dyDescent="0.2">
      <c r="A1301" s="33">
        <v>42098</v>
      </c>
      <c r="B1301" s="53" t="s">
        <v>2703</v>
      </c>
      <c r="C1301" s="54" t="s">
        <v>5543</v>
      </c>
      <c r="D1301" s="1">
        <v>2.0833333333333332E-2</v>
      </c>
      <c r="E1301" t="s">
        <v>5544</v>
      </c>
      <c r="F1301" s="69" t="s">
        <v>4879</v>
      </c>
      <c r="K1301" s="82">
        <v>0.56559999999999999</v>
      </c>
    </row>
    <row r="1302" spans="1:12" x14ac:dyDescent="0.2">
      <c r="A1302" s="33">
        <v>42063</v>
      </c>
      <c r="B1302" s="53" t="s">
        <v>2703</v>
      </c>
      <c r="C1302" s="54" t="s">
        <v>5543</v>
      </c>
      <c r="D1302" s="1">
        <v>2.0752314814814814E-2</v>
      </c>
      <c r="E1302" t="s">
        <v>5544</v>
      </c>
      <c r="F1302" s="42"/>
      <c r="K1302" s="82">
        <v>0.56779999999999997</v>
      </c>
      <c r="L1302" s="26"/>
    </row>
    <row r="1303" spans="1:12" x14ac:dyDescent="0.2">
      <c r="A1303" s="33">
        <v>42056</v>
      </c>
      <c r="B1303" s="53" t="s">
        <v>2703</v>
      </c>
      <c r="C1303" s="54" t="s">
        <v>5543</v>
      </c>
      <c r="D1303" s="1" t="s">
        <v>787</v>
      </c>
      <c r="E1303" t="s">
        <v>5544</v>
      </c>
      <c r="F1303" s="69" t="s">
        <v>3301</v>
      </c>
      <c r="I1303" s="6"/>
      <c r="J1303" s="6"/>
      <c r="K1303" s="82"/>
    </row>
    <row r="1304" spans="1:12" x14ac:dyDescent="0.2">
      <c r="A1304" s="33">
        <v>42049</v>
      </c>
      <c r="B1304" s="53" t="s">
        <v>2703</v>
      </c>
      <c r="C1304" s="54" t="s">
        <v>5543</v>
      </c>
      <c r="D1304" s="1">
        <v>2.1215277777777777E-2</v>
      </c>
      <c r="E1304" t="s">
        <v>1401</v>
      </c>
      <c r="F1304" s="69" t="s">
        <v>1792</v>
      </c>
      <c r="K1304" s="82">
        <v>0.5554</v>
      </c>
    </row>
    <row r="1305" spans="1:12" x14ac:dyDescent="0.2">
      <c r="A1305" s="33">
        <v>42315</v>
      </c>
      <c r="B1305" t="s">
        <v>1794</v>
      </c>
      <c r="C1305" s="1" t="s">
        <v>5543</v>
      </c>
      <c r="D1305" s="1">
        <v>1.6655092592592593E-2</v>
      </c>
      <c r="E1305" t="s">
        <v>1401</v>
      </c>
      <c r="F1305" s="69" t="s">
        <v>4480</v>
      </c>
      <c r="I1305" s="2"/>
      <c r="K1305" s="82">
        <v>0.62470000000000003</v>
      </c>
    </row>
    <row r="1306" spans="1:12" x14ac:dyDescent="0.2">
      <c r="A1306" s="33">
        <v>42301</v>
      </c>
      <c r="B1306" t="s">
        <v>1794</v>
      </c>
      <c r="C1306" s="1" t="s">
        <v>5543</v>
      </c>
      <c r="D1306" s="1">
        <v>1.6354166666666666E-2</v>
      </c>
      <c r="E1306" t="s">
        <v>1401</v>
      </c>
      <c r="F1306" s="69" t="s">
        <v>272</v>
      </c>
      <c r="I1306" s="2"/>
      <c r="K1306" s="82">
        <v>0.63919999999999999</v>
      </c>
    </row>
    <row r="1307" spans="1:12" x14ac:dyDescent="0.2">
      <c r="A1307" s="33">
        <v>42294</v>
      </c>
      <c r="B1307" t="s">
        <v>1794</v>
      </c>
      <c r="C1307" s="1" t="s">
        <v>5543</v>
      </c>
      <c r="D1307" s="1">
        <v>1.6342592592592593E-2</v>
      </c>
      <c r="E1307" t="s">
        <v>1401</v>
      </c>
      <c r="F1307" s="69" t="s">
        <v>347</v>
      </c>
      <c r="I1307" s="2"/>
      <c r="K1307" s="82">
        <v>0.63670000000000004</v>
      </c>
    </row>
    <row r="1308" spans="1:12" x14ac:dyDescent="0.2">
      <c r="A1308" s="33">
        <v>42287</v>
      </c>
      <c r="B1308" t="s">
        <v>1794</v>
      </c>
      <c r="C1308" s="1" t="s">
        <v>5543</v>
      </c>
      <c r="D1308" s="1">
        <v>1.6631944444444446E-2</v>
      </c>
      <c r="E1308" t="s">
        <v>5544</v>
      </c>
      <c r="F1308" s="69" t="s">
        <v>3512</v>
      </c>
      <c r="I1308" s="2"/>
      <c r="K1308" s="82">
        <v>0.62560000000000004</v>
      </c>
    </row>
    <row r="1309" spans="1:12" x14ac:dyDescent="0.2">
      <c r="A1309" s="33">
        <v>42280</v>
      </c>
      <c r="B1309" t="s">
        <v>1794</v>
      </c>
      <c r="C1309" s="1" t="s">
        <v>5543</v>
      </c>
      <c r="D1309" s="1">
        <v>1.6145833333333335E-2</v>
      </c>
      <c r="E1309" t="s">
        <v>1401</v>
      </c>
      <c r="F1309" s="69" t="s">
        <v>1067</v>
      </c>
      <c r="I1309" s="2"/>
      <c r="K1309" s="82">
        <v>0.64439999999999997</v>
      </c>
    </row>
    <row r="1310" spans="1:12" x14ac:dyDescent="0.2">
      <c r="A1310" s="33">
        <v>42266</v>
      </c>
      <c r="B1310" t="s">
        <v>1794</v>
      </c>
      <c r="C1310" s="1" t="s">
        <v>5543</v>
      </c>
      <c r="D1310" s="1">
        <v>1.6446759259259262E-2</v>
      </c>
      <c r="E1310" t="s">
        <v>1401</v>
      </c>
      <c r="F1310" s="69" t="s">
        <v>4885</v>
      </c>
      <c r="K1310" s="82">
        <v>0.63270000000000004</v>
      </c>
    </row>
    <row r="1311" spans="1:12" x14ac:dyDescent="0.2">
      <c r="A1311" s="33">
        <v>42245</v>
      </c>
      <c r="B1311" t="s">
        <v>1794</v>
      </c>
      <c r="C1311" s="1" t="s">
        <v>5543</v>
      </c>
      <c r="D1311" s="1">
        <v>1.653935185185185E-2</v>
      </c>
      <c r="E1311" t="s">
        <v>1401</v>
      </c>
      <c r="F1311" s="69" t="s">
        <v>1068</v>
      </c>
      <c r="K1311" s="82">
        <v>0.62909999999999999</v>
      </c>
    </row>
    <row r="1312" spans="1:12" x14ac:dyDescent="0.2">
      <c r="A1312" s="33">
        <v>42231</v>
      </c>
      <c r="B1312" t="s">
        <v>1794</v>
      </c>
      <c r="C1312" s="1" t="s">
        <v>5543</v>
      </c>
      <c r="D1312" s="1">
        <v>1.6608796296296299E-2</v>
      </c>
      <c r="E1312" t="s">
        <v>5544</v>
      </c>
      <c r="F1312" s="69"/>
      <c r="K1312" s="82">
        <v>0.62649999999999995</v>
      </c>
    </row>
    <row r="1313" spans="1:11" x14ac:dyDescent="0.2">
      <c r="A1313" s="33">
        <v>42224</v>
      </c>
      <c r="B1313" t="s">
        <v>1794</v>
      </c>
      <c r="C1313" s="1" t="s">
        <v>5543</v>
      </c>
      <c r="D1313" s="1">
        <v>1.7141203703703704E-2</v>
      </c>
      <c r="E1313" s="5" t="s">
        <v>1401</v>
      </c>
      <c r="F1313" s="69" t="s">
        <v>2418</v>
      </c>
      <c r="K1313" s="82">
        <v>0.60699999999999998</v>
      </c>
    </row>
    <row r="1314" spans="1:11" x14ac:dyDescent="0.2">
      <c r="A1314" s="33">
        <v>42210</v>
      </c>
      <c r="B1314" t="s">
        <v>1794</v>
      </c>
      <c r="C1314" s="1" t="s">
        <v>5543</v>
      </c>
      <c r="D1314" s="1">
        <v>1.7777777777777778E-2</v>
      </c>
      <c r="E1314" t="s">
        <v>3773</v>
      </c>
      <c r="F1314" s="69" t="s">
        <v>969</v>
      </c>
      <c r="K1314" s="82">
        <v>0.58530000000000004</v>
      </c>
    </row>
    <row r="1315" spans="1:11" x14ac:dyDescent="0.2">
      <c r="A1315" s="33">
        <v>42203</v>
      </c>
      <c r="B1315" t="s">
        <v>1794</v>
      </c>
      <c r="C1315" s="1" t="s">
        <v>5543</v>
      </c>
      <c r="D1315" s="1">
        <v>1.653935185185185E-2</v>
      </c>
      <c r="E1315" t="s">
        <v>1401</v>
      </c>
      <c r="F1315" s="69" t="s">
        <v>2500</v>
      </c>
      <c r="K1315" s="82">
        <v>0.62909999999999999</v>
      </c>
    </row>
    <row r="1316" spans="1:11" x14ac:dyDescent="0.2">
      <c r="A1316" s="33">
        <v>42196</v>
      </c>
      <c r="B1316" t="s">
        <v>1794</v>
      </c>
      <c r="C1316" s="1" t="s">
        <v>5543</v>
      </c>
      <c r="D1316" s="1">
        <v>1.6898148148148148E-2</v>
      </c>
      <c r="E1316" t="s">
        <v>1401</v>
      </c>
      <c r="F1316" s="69"/>
      <c r="K1316" s="82">
        <v>0.61580000000000001</v>
      </c>
    </row>
    <row r="1317" spans="1:11" x14ac:dyDescent="0.2">
      <c r="A1317" s="33">
        <v>42175</v>
      </c>
      <c r="B1317" t="s">
        <v>1794</v>
      </c>
      <c r="C1317" s="1" t="s">
        <v>5543</v>
      </c>
      <c r="D1317" s="1">
        <v>1.7997685185185186E-2</v>
      </c>
      <c r="E1317" t="s">
        <v>1401</v>
      </c>
      <c r="F1317" s="69" t="s">
        <v>2510</v>
      </c>
      <c r="G1317" s="6"/>
      <c r="H1317" s="6"/>
      <c r="K1317" s="82">
        <v>0.57809999999999995</v>
      </c>
    </row>
    <row r="1318" spans="1:11" x14ac:dyDescent="0.2">
      <c r="A1318" s="33">
        <v>42147</v>
      </c>
      <c r="B1318" t="s">
        <v>1794</v>
      </c>
      <c r="C1318" s="1" t="s">
        <v>5543</v>
      </c>
      <c r="D1318" s="1">
        <v>1.6689814814814817E-2</v>
      </c>
      <c r="E1318" t="s">
        <v>5544</v>
      </c>
      <c r="F1318" s="69"/>
      <c r="K1318" s="82">
        <v>0.62339999999999995</v>
      </c>
    </row>
    <row r="1319" spans="1:11" x14ac:dyDescent="0.2">
      <c r="A1319" s="33">
        <v>42140</v>
      </c>
      <c r="B1319" t="s">
        <v>1794</v>
      </c>
      <c r="C1319" s="1" t="s">
        <v>5543</v>
      </c>
      <c r="D1319" s="1">
        <v>1.6122685185185184E-2</v>
      </c>
      <c r="E1319" t="s">
        <v>1401</v>
      </c>
      <c r="F1319" s="69" t="s">
        <v>2540</v>
      </c>
      <c r="K1319" s="82">
        <v>0.64539999999999997</v>
      </c>
    </row>
    <row r="1320" spans="1:11" x14ac:dyDescent="0.2">
      <c r="A1320" s="33">
        <v>42133</v>
      </c>
      <c r="B1320" t="s">
        <v>1794</v>
      </c>
      <c r="C1320" s="1" t="s">
        <v>5543</v>
      </c>
      <c r="D1320" s="1">
        <v>1.5914351851851853E-2</v>
      </c>
      <c r="E1320" t="s">
        <v>1401</v>
      </c>
      <c r="F1320" s="69" t="s">
        <v>876</v>
      </c>
      <c r="K1320" s="82">
        <v>0.65380000000000005</v>
      </c>
    </row>
    <row r="1321" spans="1:11" x14ac:dyDescent="0.2">
      <c r="A1321" s="33">
        <v>42126</v>
      </c>
      <c r="B1321" t="s">
        <v>1794</v>
      </c>
      <c r="C1321" s="1" t="s">
        <v>5543</v>
      </c>
      <c r="D1321" s="1" t="s">
        <v>787</v>
      </c>
      <c r="E1321" t="s">
        <v>1401</v>
      </c>
      <c r="F1321" s="69" t="s">
        <v>3988</v>
      </c>
      <c r="I1321" s="42"/>
      <c r="J1321" s="42"/>
      <c r="K1321" s="82"/>
    </row>
    <row r="1322" spans="1:11" x14ac:dyDescent="0.2">
      <c r="A1322" s="33">
        <v>42112</v>
      </c>
      <c r="B1322" t="s">
        <v>1794</v>
      </c>
      <c r="C1322" s="1" t="s">
        <v>5543</v>
      </c>
      <c r="D1322" s="1">
        <v>1.8807870370370371E-2</v>
      </c>
      <c r="E1322" t="s">
        <v>1401</v>
      </c>
      <c r="F1322" s="69" t="s">
        <v>5170</v>
      </c>
      <c r="K1322" s="82">
        <v>0.55320000000000003</v>
      </c>
    </row>
    <row r="1323" spans="1:11" x14ac:dyDescent="0.2">
      <c r="A1323" s="33">
        <v>42049</v>
      </c>
      <c r="B1323" t="s">
        <v>1794</v>
      </c>
      <c r="C1323" s="1" t="s">
        <v>5543</v>
      </c>
      <c r="D1323" s="1">
        <v>1.6250000000000001E-2</v>
      </c>
      <c r="E1323" t="s">
        <v>1401</v>
      </c>
      <c r="F1323" s="69" t="s">
        <v>2270</v>
      </c>
      <c r="K1323" s="82">
        <v>0.63529999999999998</v>
      </c>
    </row>
    <row r="1324" spans="1:11" x14ac:dyDescent="0.2">
      <c r="A1324" s="33">
        <v>42308</v>
      </c>
      <c r="B1324" t="s">
        <v>5433</v>
      </c>
      <c r="C1324" s="1" t="s">
        <v>5543</v>
      </c>
      <c r="D1324" s="1">
        <v>2.1296296296296299E-2</v>
      </c>
      <c r="E1324" t="s">
        <v>5981</v>
      </c>
      <c r="F1324" s="69" t="s">
        <v>2954</v>
      </c>
      <c r="I1324" s="2"/>
      <c r="K1324" s="82">
        <v>0.48859999999999998</v>
      </c>
    </row>
    <row r="1325" spans="1:11" x14ac:dyDescent="0.2">
      <c r="A1325" s="33">
        <v>42007</v>
      </c>
      <c r="B1325" t="s">
        <v>5433</v>
      </c>
      <c r="C1325" s="1" t="s">
        <v>5543</v>
      </c>
      <c r="D1325" s="1">
        <v>1.6076388888888887E-2</v>
      </c>
      <c r="E1325" t="s">
        <v>1401</v>
      </c>
      <c r="F1325" s="42" t="s">
        <v>876</v>
      </c>
      <c r="G1325" s="42"/>
      <c r="H1325" s="42"/>
      <c r="K1325" s="82">
        <v>0.64219999999999999</v>
      </c>
    </row>
    <row r="1326" spans="1:11" x14ac:dyDescent="0.2">
      <c r="A1326" s="33">
        <v>42203</v>
      </c>
      <c r="B1326" t="s">
        <v>3687</v>
      </c>
      <c r="C1326" s="1" t="s">
        <v>3688</v>
      </c>
      <c r="D1326" s="1">
        <v>1.6643518518518519E-2</v>
      </c>
      <c r="E1326" t="s">
        <v>6003</v>
      </c>
      <c r="F1326" s="69" t="s">
        <v>5587</v>
      </c>
      <c r="K1326" s="82">
        <v>0.73570000000000002</v>
      </c>
    </row>
    <row r="1327" spans="1:11" x14ac:dyDescent="0.2">
      <c r="A1327" s="33">
        <v>42315</v>
      </c>
      <c r="B1327" t="s">
        <v>3535</v>
      </c>
      <c r="C1327" s="1" t="s">
        <v>1026</v>
      </c>
      <c r="D1327" s="1">
        <v>1.5879629629629629E-2</v>
      </c>
      <c r="E1327" t="s">
        <v>1116</v>
      </c>
      <c r="F1327" s="69" t="s">
        <v>4209</v>
      </c>
      <c r="K1327" s="82">
        <v>0.6552</v>
      </c>
    </row>
    <row r="1328" spans="1:11" x14ac:dyDescent="0.2">
      <c r="A1328" s="33">
        <v>42336</v>
      </c>
      <c r="B1328" t="s">
        <v>3535</v>
      </c>
      <c r="C1328" s="1" t="s">
        <v>1026</v>
      </c>
      <c r="D1328" s="1">
        <v>1.5636574074074074E-2</v>
      </c>
      <c r="E1328" t="s">
        <v>4817</v>
      </c>
      <c r="F1328" s="69" t="s">
        <v>5574</v>
      </c>
      <c r="I1328" s="2"/>
      <c r="K1328" s="82">
        <v>0.66539999999999999</v>
      </c>
    </row>
    <row r="1329" spans="1:19" x14ac:dyDescent="0.2">
      <c r="A1329" s="33">
        <v>42357</v>
      </c>
      <c r="B1329" t="s">
        <v>4789</v>
      </c>
      <c r="C1329" s="1" t="s">
        <v>4788</v>
      </c>
      <c r="D1329" s="1">
        <v>1.7210648148148149E-2</v>
      </c>
      <c r="E1329" t="s">
        <v>802</v>
      </c>
      <c r="F1329" s="69" t="s">
        <v>1686</v>
      </c>
      <c r="I1329" s="2"/>
      <c r="K1329" s="82">
        <v>0.64090000000000003</v>
      </c>
      <c r="S1329" s="80"/>
    </row>
    <row r="1330" spans="1:19" x14ac:dyDescent="0.2">
      <c r="A1330" s="33">
        <v>42336</v>
      </c>
      <c r="B1330" t="s">
        <v>4789</v>
      </c>
      <c r="C1330" s="1" t="s">
        <v>4788</v>
      </c>
      <c r="D1330" s="1">
        <v>1.8090277777777778E-2</v>
      </c>
      <c r="E1330" t="s">
        <v>803</v>
      </c>
      <c r="F1330" s="69" t="s">
        <v>3486</v>
      </c>
      <c r="I1330" s="2"/>
      <c r="K1330" s="82">
        <v>0.60970000000000002</v>
      </c>
    </row>
    <row r="1331" spans="1:19" x14ac:dyDescent="0.2">
      <c r="A1331" s="33">
        <v>42217</v>
      </c>
      <c r="B1331" t="s">
        <v>4789</v>
      </c>
      <c r="C1331" s="1" t="s">
        <v>4788</v>
      </c>
      <c r="D1331" s="1">
        <v>1.8518518518518521E-2</v>
      </c>
      <c r="E1331" t="s">
        <v>803</v>
      </c>
      <c r="F1331" s="69" t="s">
        <v>2548</v>
      </c>
      <c r="K1331" s="82">
        <v>0.59560000000000002</v>
      </c>
    </row>
    <row r="1332" spans="1:19" x14ac:dyDescent="0.2">
      <c r="A1332" s="33">
        <v>42210</v>
      </c>
      <c r="B1332" t="s">
        <v>4789</v>
      </c>
      <c r="C1332" s="1" t="s">
        <v>4788</v>
      </c>
      <c r="D1332" s="1">
        <v>1.8854166666666665E-2</v>
      </c>
      <c r="E1332" t="s">
        <v>803</v>
      </c>
      <c r="F1332" s="69" t="s">
        <v>363</v>
      </c>
      <c r="K1332" s="82">
        <v>0.58499999999999996</v>
      </c>
    </row>
    <row r="1333" spans="1:19" x14ac:dyDescent="0.2">
      <c r="A1333" s="33">
        <v>42168</v>
      </c>
      <c r="B1333" t="s">
        <v>4789</v>
      </c>
      <c r="C1333" s="1" t="s">
        <v>4788</v>
      </c>
      <c r="D1333" s="1">
        <v>0.02</v>
      </c>
      <c r="E1333" t="s">
        <v>803</v>
      </c>
      <c r="F1333" s="69" t="s">
        <v>705</v>
      </c>
      <c r="K1333" s="82">
        <v>0.55149999999999999</v>
      </c>
    </row>
    <row r="1334" spans="1:19" x14ac:dyDescent="0.2">
      <c r="A1334" s="33">
        <v>42049</v>
      </c>
      <c r="B1334" t="s">
        <v>4789</v>
      </c>
      <c r="C1334" s="1" t="s">
        <v>4788</v>
      </c>
      <c r="D1334" s="1">
        <v>2.0358796296296295E-2</v>
      </c>
      <c r="E1334" t="s">
        <v>803</v>
      </c>
      <c r="F1334" s="69" t="s">
        <v>2500</v>
      </c>
      <c r="G1334" s="6"/>
      <c r="H1334" s="6"/>
      <c r="K1334" s="82">
        <v>0.54179999999999995</v>
      </c>
    </row>
    <row r="1335" spans="1:19" x14ac:dyDescent="0.2">
      <c r="A1335" s="33">
        <v>42343</v>
      </c>
      <c r="B1335" t="s">
        <v>5542</v>
      </c>
      <c r="C1335" s="1" t="s">
        <v>4788</v>
      </c>
      <c r="D1335" s="1">
        <v>1.8784722222222223E-2</v>
      </c>
      <c r="E1335" s="5" t="s">
        <v>803</v>
      </c>
      <c r="F1335" s="69" t="s">
        <v>5538</v>
      </c>
      <c r="I1335" s="2"/>
      <c r="K1335" s="82">
        <v>0.55389999999999995</v>
      </c>
    </row>
    <row r="1336" spans="1:19" x14ac:dyDescent="0.2">
      <c r="A1336" s="34">
        <v>42329</v>
      </c>
      <c r="B1336" t="s">
        <v>5542</v>
      </c>
      <c r="C1336" s="1" t="s">
        <v>4788</v>
      </c>
      <c r="D1336" s="1">
        <v>1.9131944444444444E-2</v>
      </c>
      <c r="E1336" t="s">
        <v>803</v>
      </c>
      <c r="F1336" s="69" t="s">
        <v>5907</v>
      </c>
      <c r="I1336" s="2"/>
      <c r="K1336" s="82">
        <v>0.54390000000000005</v>
      </c>
    </row>
    <row r="1337" spans="1:19" x14ac:dyDescent="0.2">
      <c r="A1337" s="33">
        <v>42049</v>
      </c>
      <c r="B1337" t="s">
        <v>5542</v>
      </c>
      <c r="C1337" s="1" t="s">
        <v>4788</v>
      </c>
      <c r="D1337" s="1">
        <v>2.0370370370370369E-2</v>
      </c>
      <c r="E1337" t="s">
        <v>803</v>
      </c>
      <c r="F1337" s="69" t="s">
        <v>2500</v>
      </c>
      <c r="G1337" s="42"/>
      <c r="H1337" s="42"/>
      <c r="K1337" s="82">
        <v>0.50680000000000003</v>
      </c>
    </row>
    <row r="1338" spans="1:19" x14ac:dyDescent="0.2">
      <c r="A1338" s="33">
        <v>42252</v>
      </c>
      <c r="B1338" t="s">
        <v>3541</v>
      </c>
      <c r="C1338" s="1" t="s">
        <v>1574</v>
      </c>
      <c r="D1338" s="1">
        <v>1.9606481481481482E-2</v>
      </c>
      <c r="E1338" t="s">
        <v>1214</v>
      </c>
      <c r="F1338" s="69" t="s">
        <v>2517</v>
      </c>
      <c r="K1338" s="82">
        <v>0.57969999999999999</v>
      </c>
      <c r="L1338" t="s">
        <v>5961</v>
      </c>
    </row>
    <row r="1339" spans="1:19" x14ac:dyDescent="0.2">
      <c r="A1339" s="33">
        <v>42364</v>
      </c>
      <c r="B1339" t="s">
        <v>922</v>
      </c>
      <c r="C1339" s="1" t="s">
        <v>5833</v>
      </c>
      <c r="D1339" s="1">
        <v>1.4201388888888888E-2</v>
      </c>
      <c r="E1339" t="s">
        <v>5834</v>
      </c>
      <c r="F1339" s="69" t="s">
        <v>4118</v>
      </c>
      <c r="G1339" t="s">
        <v>2629</v>
      </c>
      <c r="H1339" t="s">
        <v>5018</v>
      </c>
      <c r="I1339" t="s">
        <v>4399</v>
      </c>
      <c r="K1339" s="82">
        <v>0.72130000000000005</v>
      </c>
      <c r="M1339" t="s">
        <v>4119</v>
      </c>
    </row>
    <row r="1340" spans="1:19" x14ac:dyDescent="0.2">
      <c r="A1340" s="33">
        <v>42357</v>
      </c>
      <c r="B1340" s="53" t="s">
        <v>922</v>
      </c>
      <c r="C1340" s="54" t="s">
        <v>5833</v>
      </c>
      <c r="D1340" s="1">
        <v>1.3923611111111111E-2</v>
      </c>
      <c r="E1340" t="s">
        <v>5885</v>
      </c>
      <c r="F1340" s="69" t="s">
        <v>2738</v>
      </c>
      <c r="K1340" s="82">
        <v>0.73570000000000002</v>
      </c>
    </row>
    <row r="1341" spans="1:19" x14ac:dyDescent="0.2">
      <c r="A1341" s="33">
        <v>42308</v>
      </c>
      <c r="B1341" s="53" t="s">
        <v>922</v>
      </c>
      <c r="C1341" s="54" t="s">
        <v>5833</v>
      </c>
      <c r="D1341" s="1">
        <v>1.3449074074074073E-2</v>
      </c>
      <c r="E1341" t="s">
        <v>5885</v>
      </c>
      <c r="F1341" s="69" t="s">
        <v>2684</v>
      </c>
      <c r="I1341" s="2"/>
      <c r="K1341" s="82">
        <v>0.76160000000000005</v>
      </c>
    </row>
    <row r="1342" spans="1:19" x14ac:dyDescent="0.2">
      <c r="A1342" s="33">
        <v>42140</v>
      </c>
      <c r="B1342" s="53" t="s">
        <v>922</v>
      </c>
      <c r="C1342" s="54" t="s">
        <v>5833</v>
      </c>
      <c r="D1342" s="1">
        <v>1.3333333333333334E-2</v>
      </c>
      <c r="E1342" t="s">
        <v>5885</v>
      </c>
      <c r="F1342" s="69" t="s">
        <v>2748</v>
      </c>
      <c r="K1342" s="82">
        <v>0.76819999999999999</v>
      </c>
    </row>
    <row r="1343" spans="1:19" x14ac:dyDescent="0.2">
      <c r="A1343" s="33">
        <v>42084</v>
      </c>
      <c r="B1343" s="53" t="s">
        <v>922</v>
      </c>
      <c r="C1343" s="54" t="s">
        <v>5833</v>
      </c>
      <c r="D1343" s="1">
        <v>1.5879629629629629E-2</v>
      </c>
      <c r="E1343" t="s">
        <v>5885</v>
      </c>
      <c r="F1343" s="42" t="s">
        <v>4323</v>
      </c>
      <c r="K1343" s="82">
        <v>0.64500000000000002</v>
      </c>
    </row>
    <row r="1344" spans="1:19" x14ac:dyDescent="0.2">
      <c r="A1344" s="33">
        <v>42056</v>
      </c>
      <c r="B1344" s="53" t="s">
        <v>922</v>
      </c>
      <c r="C1344" s="54" t="s">
        <v>5833</v>
      </c>
      <c r="D1344" s="1">
        <v>1.6493055555555556E-2</v>
      </c>
      <c r="E1344" t="s">
        <v>5885</v>
      </c>
      <c r="F1344" s="69" t="s">
        <v>4656</v>
      </c>
      <c r="K1344" s="82">
        <v>0.61609999999999998</v>
      </c>
    </row>
    <row r="1345" spans="1:17" x14ac:dyDescent="0.2">
      <c r="A1345" s="33">
        <v>42021</v>
      </c>
      <c r="B1345" s="53" t="s">
        <v>922</v>
      </c>
      <c r="C1345" s="54" t="s">
        <v>5833</v>
      </c>
      <c r="D1345" s="1">
        <v>1.3587962962962963E-2</v>
      </c>
      <c r="E1345" t="s">
        <v>5885</v>
      </c>
      <c r="F1345" s="42" t="s">
        <v>1604</v>
      </c>
      <c r="K1345" s="82">
        <v>0.74790000000000001</v>
      </c>
    </row>
    <row r="1346" spans="1:17" x14ac:dyDescent="0.2">
      <c r="A1346" s="33">
        <v>42007</v>
      </c>
      <c r="B1346" s="53" t="s">
        <v>922</v>
      </c>
      <c r="C1346" s="54" t="s">
        <v>5833</v>
      </c>
      <c r="D1346" s="1">
        <v>1.4131944444444445E-2</v>
      </c>
      <c r="E1346" t="s">
        <v>5885</v>
      </c>
      <c r="F1346" s="42" t="s">
        <v>2475</v>
      </c>
      <c r="G1346" s="42"/>
      <c r="H1346" s="42"/>
      <c r="K1346" s="82">
        <v>0.71909999999999996</v>
      </c>
    </row>
    <row r="1347" spans="1:17" x14ac:dyDescent="0.2">
      <c r="A1347" s="33">
        <v>42005</v>
      </c>
      <c r="B1347" s="53" t="s">
        <v>922</v>
      </c>
      <c r="C1347" s="54" t="s">
        <v>5833</v>
      </c>
      <c r="D1347" s="1">
        <v>1.383101851851852E-2</v>
      </c>
      <c r="E1347" t="s">
        <v>5885</v>
      </c>
      <c r="F1347" s="69" t="s">
        <v>139</v>
      </c>
      <c r="G1347" s="42" t="s">
        <v>672</v>
      </c>
      <c r="H1347" t="s">
        <v>5157</v>
      </c>
      <c r="K1347" s="82">
        <v>0.73470000000000002</v>
      </c>
      <c r="M1347" t="s">
        <v>5158</v>
      </c>
    </row>
    <row r="1348" spans="1:17" x14ac:dyDescent="0.2">
      <c r="A1348" s="33">
        <v>42005</v>
      </c>
      <c r="B1348" s="53" t="s">
        <v>922</v>
      </c>
      <c r="C1348" s="54" t="s">
        <v>5833</v>
      </c>
      <c r="D1348" s="1">
        <v>1.5196759259259259E-2</v>
      </c>
      <c r="E1348" t="s">
        <v>4822</v>
      </c>
      <c r="F1348" s="69" t="s">
        <v>138</v>
      </c>
      <c r="G1348" s="42" t="s">
        <v>4386</v>
      </c>
      <c r="I1348" s="6"/>
      <c r="J1348" s="6"/>
      <c r="K1348" s="82">
        <v>0.66869999999999996</v>
      </c>
    </row>
    <row r="1349" spans="1:17" x14ac:dyDescent="0.2">
      <c r="A1349" s="33">
        <v>42056</v>
      </c>
      <c r="B1349" s="53" t="s">
        <v>4657</v>
      </c>
      <c r="C1349" s="54" t="s">
        <v>5833</v>
      </c>
      <c r="D1349" s="1">
        <v>1.7048611111111112E-2</v>
      </c>
      <c r="E1349" t="s">
        <v>5885</v>
      </c>
      <c r="F1349" s="69" t="s">
        <v>4658</v>
      </c>
      <c r="G1349" s="6"/>
      <c r="H1349" s="6"/>
      <c r="K1349" s="82">
        <v>0.62319999999999998</v>
      </c>
    </row>
    <row r="1350" spans="1:17" x14ac:dyDescent="0.2">
      <c r="A1350" s="33">
        <v>42308</v>
      </c>
      <c r="B1350" t="s">
        <v>53</v>
      </c>
      <c r="C1350" s="1" t="s">
        <v>3846</v>
      </c>
      <c r="D1350" s="1">
        <v>1.5474537037037038E-2</v>
      </c>
      <c r="E1350" t="s">
        <v>5095</v>
      </c>
      <c r="F1350" s="69" t="s">
        <v>2660</v>
      </c>
      <c r="I1350" s="2"/>
      <c r="K1350" s="82">
        <v>0.73219999999999996</v>
      </c>
    </row>
    <row r="1351" spans="1:17" x14ac:dyDescent="0.2">
      <c r="A1351" s="33">
        <v>42021</v>
      </c>
      <c r="B1351" s="53" t="s">
        <v>53</v>
      </c>
      <c r="C1351" s="54" t="s">
        <v>3846</v>
      </c>
      <c r="D1351" s="1">
        <v>1.5266203703703705E-2</v>
      </c>
      <c r="E1351" t="s">
        <v>5095</v>
      </c>
      <c r="F1351" s="42" t="s">
        <v>3077</v>
      </c>
      <c r="K1351" s="82">
        <v>0.73619999999999997</v>
      </c>
    </row>
    <row r="1352" spans="1:17" x14ac:dyDescent="0.2">
      <c r="A1352" s="33">
        <v>42112</v>
      </c>
      <c r="B1352" s="53" t="s">
        <v>3289</v>
      </c>
      <c r="C1352" s="54" t="s">
        <v>4945</v>
      </c>
      <c r="D1352" s="1">
        <v>1.3761574074074074E-2</v>
      </c>
      <c r="E1352" t="s">
        <v>5198</v>
      </c>
      <c r="F1352" s="69" t="s">
        <v>3290</v>
      </c>
      <c r="K1352" s="82">
        <v>0.8024</v>
      </c>
    </row>
    <row r="1353" spans="1:17" x14ac:dyDescent="0.2">
      <c r="A1353" s="33">
        <v>42336</v>
      </c>
      <c r="B1353" t="s">
        <v>864</v>
      </c>
      <c r="C1353" s="1" t="s">
        <v>865</v>
      </c>
      <c r="D1353" s="1">
        <v>1.4456018518518519E-2</v>
      </c>
      <c r="E1353" t="s">
        <v>5198</v>
      </c>
      <c r="F1353" s="69" t="s">
        <v>4885</v>
      </c>
      <c r="I1353" s="2"/>
      <c r="K1353" s="82">
        <v>0.7702</v>
      </c>
    </row>
    <row r="1354" spans="1:17" x14ac:dyDescent="0.2">
      <c r="A1354" s="34">
        <v>42329</v>
      </c>
      <c r="B1354" t="s">
        <v>864</v>
      </c>
      <c r="C1354" s="1" t="s">
        <v>865</v>
      </c>
      <c r="D1354" s="1">
        <v>1.4456018518518519E-2</v>
      </c>
      <c r="E1354" t="s">
        <v>3072</v>
      </c>
      <c r="F1354" s="69" t="s">
        <v>4948</v>
      </c>
      <c r="I1354" s="2"/>
      <c r="K1354" s="82">
        <v>0.7702</v>
      </c>
    </row>
    <row r="1355" spans="1:17" x14ac:dyDescent="0.2">
      <c r="A1355" s="33">
        <v>42287</v>
      </c>
      <c r="B1355" t="s">
        <v>864</v>
      </c>
      <c r="C1355" s="1" t="s">
        <v>865</v>
      </c>
      <c r="D1355" s="1">
        <v>1.5057870370370369E-2</v>
      </c>
      <c r="E1355" t="s">
        <v>4936</v>
      </c>
      <c r="F1355" s="69" t="s">
        <v>3544</v>
      </c>
      <c r="I1355" s="2"/>
      <c r="K1355" s="82">
        <v>0.73939999999999995</v>
      </c>
    </row>
    <row r="1356" spans="1:17" x14ac:dyDescent="0.2">
      <c r="A1356" s="33">
        <v>42259</v>
      </c>
      <c r="B1356" t="s">
        <v>864</v>
      </c>
      <c r="C1356" s="1" t="s">
        <v>865</v>
      </c>
      <c r="D1356" s="1">
        <v>1.4467592592592593E-2</v>
      </c>
      <c r="E1356" t="s">
        <v>4837</v>
      </c>
      <c r="F1356" s="69" t="s">
        <v>4553</v>
      </c>
      <c r="K1356" s="82">
        <v>0.76319999999999999</v>
      </c>
    </row>
    <row r="1357" spans="1:17" x14ac:dyDescent="0.2">
      <c r="A1357" s="33">
        <v>42238</v>
      </c>
      <c r="B1357" t="s">
        <v>864</v>
      </c>
      <c r="C1357" s="1" t="s">
        <v>865</v>
      </c>
      <c r="D1357" s="1">
        <v>1.3981481481481482E-2</v>
      </c>
      <c r="E1357" t="s">
        <v>3167</v>
      </c>
      <c r="F1357" s="69" t="s">
        <v>55</v>
      </c>
      <c r="K1357" s="82">
        <v>0.78969999999999996</v>
      </c>
    </row>
    <row r="1358" spans="1:17" x14ac:dyDescent="0.2">
      <c r="A1358" s="33">
        <v>42182</v>
      </c>
      <c r="B1358" t="s">
        <v>864</v>
      </c>
      <c r="C1358" s="1" t="s">
        <v>865</v>
      </c>
      <c r="D1358" s="1">
        <v>1.3182870370370371E-2</v>
      </c>
      <c r="E1358" t="s">
        <v>3072</v>
      </c>
      <c r="F1358" s="69" t="s">
        <v>5327</v>
      </c>
      <c r="K1358" s="82">
        <v>0.83760000000000001</v>
      </c>
      <c r="M1358" t="s">
        <v>5326</v>
      </c>
    </row>
    <row r="1359" spans="1:17" x14ac:dyDescent="0.2">
      <c r="A1359" s="33">
        <v>42175</v>
      </c>
      <c r="B1359" t="s">
        <v>864</v>
      </c>
      <c r="C1359" s="1" t="s">
        <v>865</v>
      </c>
      <c r="D1359" s="1">
        <v>1.3900462962962962E-2</v>
      </c>
      <c r="E1359" t="s">
        <v>4936</v>
      </c>
      <c r="F1359" s="69" t="s">
        <v>1815</v>
      </c>
      <c r="K1359" s="82">
        <v>0.79430000000000001</v>
      </c>
    </row>
    <row r="1360" spans="1:17" x14ac:dyDescent="0.2">
      <c r="A1360" s="33">
        <v>42154</v>
      </c>
      <c r="B1360" t="s">
        <v>864</v>
      </c>
      <c r="C1360" s="1" t="s">
        <v>865</v>
      </c>
      <c r="D1360" s="1">
        <v>1.3645833333333331E-2</v>
      </c>
      <c r="E1360" t="s">
        <v>5947</v>
      </c>
      <c r="F1360" s="69" t="s">
        <v>2681</v>
      </c>
      <c r="K1360" s="82">
        <v>0.80920000000000003</v>
      </c>
      <c r="L1360" t="s">
        <v>812</v>
      </c>
      <c r="O1360">
        <v>375</v>
      </c>
      <c r="Q1360" t="s">
        <v>1212</v>
      </c>
    </row>
    <row r="1361" spans="1:11" x14ac:dyDescent="0.2">
      <c r="A1361" s="33">
        <v>42133</v>
      </c>
      <c r="B1361" t="s">
        <v>864</v>
      </c>
      <c r="C1361" s="1" t="s">
        <v>865</v>
      </c>
      <c r="D1361" s="1">
        <v>1.3946759259259258E-2</v>
      </c>
      <c r="E1361" t="s">
        <v>2818</v>
      </c>
      <c r="F1361" s="69" t="s">
        <v>4879</v>
      </c>
      <c r="K1361" s="82">
        <v>0.79169999999999996</v>
      </c>
    </row>
    <row r="1362" spans="1:11" x14ac:dyDescent="0.2">
      <c r="A1362" s="33">
        <v>42112</v>
      </c>
      <c r="B1362" t="s">
        <v>864</v>
      </c>
      <c r="C1362" s="1" t="s">
        <v>865</v>
      </c>
      <c r="D1362" s="1">
        <v>1.3715277777777778E-2</v>
      </c>
      <c r="E1362" t="s">
        <v>5198</v>
      </c>
      <c r="F1362" s="69" t="s">
        <v>2540</v>
      </c>
      <c r="G1362" s="42"/>
      <c r="H1362" s="42"/>
      <c r="K1362" s="82">
        <v>0.80510000000000004</v>
      </c>
    </row>
    <row r="1363" spans="1:11" x14ac:dyDescent="0.2">
      <c r="A1363" s="33">
        <v>42294</v>
      </c>
      <c r="B1363" s="53" t="s">
        <v>3753</v>
      </c>
      <c r="C1363" s="54" t="s">
        <v>3752</v>
      </c>
      <c r="D1363" s="1">
        <v>1.9722222222222221E-2</v>
      </c>
      <c r="E1363" t="s">
        <v>5883</v>
      </c>
      <c r="F1363" s="69" t="s">
        <v>461</v>
      </c>
      <c r="I1363" s="2"/>
      <c r="K1363" s="82">
        <v>0.6643</v>
      </c>
    </row>
    <row r="1364" spans="1:11" x14ac:dyDescent="0.2">
      <c r="A1364" s="33">
        <v>42238</v>
      </c>
      <c r="B1364" s="53" t="s">
        <v>3753</v>
      </c>
      <c r="C1364" s="54" t="s">
        <v>3752</v>
      </c>
      <c r="D1364" s="1">
        <v>1.9479166666666669E-2</v>
      </c>
      <c r="E1364" s="5" t="s">
        <v>5883</v>
      </c>
      <c r="F1364" s="69" t="s">
        <v>3294</v>
      </c>
      <c r="K1364" s="82">
        <v>0.67259999999999998</v>
      </c>
    </row>
    <row r="1365" spans="1:11" x14ac:dyDescent="0.2">
      <c r="A1365" s="33">
        <v>42203</v>
      </c>
      <c r="B1365" s="53" t="s">
        <v>3753</v>
      </c>
      <c r="C1365" s="54" t="s">
        <v>3752</v>
      </c>
      <c r="D1365" s="1">
        <v>2.0254629629629629E-2</v>
      </c>
      <c r="E1365" t="s">
        <v>5883</v>
      </c>
      <c r="F1365" s="69" t="s">
        <v>55</v>
      </c>
      <c r="K1365" s="82">
        <v>0.64690000000000003</v>
      </c>
    </row>
    <row r="1366" spans="1:11" x14ac:dyDescent="0.2">
      <c r="A1366" s="33">
        <v>42056</v>
      </c>
      <c r="B1366" s="53" t="s">
        <v>3753</v>
      </c>
      <c r="C1366" s="54" t="s">
        <v>3752</v>
      </c>
      <c r="D1366" s="1">
        <v>2.1527777777777781E-2</v>
      </c>
      <c r="E1366" t="s">
        <v>5883</v>
      </c>
      <c r="F1366" s="69" t="s">
        <v>1792</v>
      </c>
      <c r="I1366" s="6"/>
      <c r="J1366" s="6"/>
      <c r="K1366" s="82">
        <v>0.60860000000000003</v>
      </c>
    </row>
    <row r="1367" spans="1:11" x14ac:dyDescent="0.2">
      <c r="A1367" s="33">
        <v>42042</v>
      </c>
      <c r="B1367" s="53" t="s">
        <v>3753</v>
      </c>
      <c r="C1367" s="54" t="s">
        <v>3752</v>
      </c>
      <c r="D1367" s="1">
        <v>2.0856481481481479E-2</v>
      </c>
      <c r="E1367" t="s">
        <v>5883</v>
      </c>
      <c r="F1367" s="42" t="s">
        <v>4057</v>
      </c>
      <c r="K1367" s="82">
        <v>0.62819999999999998</v>
      </c>
    </row>
    <row r="1368" spans="1:11" x14ac:dyDescent="0.2">
      <c r="A1368" s="33">
        <v>42042</v>
      </c>
      <c r="B1368" s="53" t="s">
        <v>3535</v>
      </c>
      <c r="C1368" s="54" t="s">
        <v>3752</v>
      </c>
      <c r="D1368" s="1">
        <v>2.1423611111111112E-2</v>
      </c>
      <c r="E1368" t="s">
        <v>5883</v>
      </c>
      <c r="F1368" s="42" t="s">
        <v>4516</v>
      </c>
      <c r="K1368" s="82">
        <v>0.58620000000000005</v>
      </c>
    </row>
    <row r="1369" spans="1:11" x14ac:dyDescent="0.2">
      <c r="A1369" s="33">
        <v>42343</v>
      </c>
      <c r="B1369" t="s">
        <v>3508</v>
      </c>
      <c r="C1369" s="1" t="s">
        <v>3237</v>
      </c>
      <c r="D1369" s="1">
        <v>1.8564814814814815E-2</v>
      </c>
      <c r="E1369" s="5" t="s">
        <v>5883</v>
      </c>
      <c r="F1369" s="69" t="s">
        <v>4233</v>
      </c>
      <c r="I1369" s="2"/>
      <c r="K1369" s="82">
        <v>0.55169999999999997</v>
      </c>
    </row>
    <row r="1370" spans="1:11" x14ac:dyDescent="0.2">
      <c r="A1370" s="33">
        <v>42070</v>
      </c>
      <c r="B1370" t="s">
        <v>3508</v>
      </c>
      <c r="C1370" s="1" t="s">
        <v>3237</v>
      </c>
      <c r="D1370" s="1">
        <v>1.8217592592592594E-2</v>
      </c>
      <c r="E1370" t="s">
        <v>5883</v>
      </c>
      <c r="F1370" s="69" t="s">
        <v>4691</v>
      </c>
      <c r="K1370" s="82">
        <v>0.55779999999999996</v>
      </c>
    </row>
    <row r="1371" spans="1:11" x14ac:dyDescent="0.2">
      <c r="A1371" s="33">
        <v>42336</v>
      </c>
      <c r="B1371" s="206" t="s">
        <v>726</v>
      </c>
      <c r="C1371" s="254" t="s">
        <v>5628</v>
      </c>
      <c r="D1371" s="1">
        <v>1.9560185185185184E-2</v>
      </c>
      <c r="E1371" t="s">
        <v>5539</v>
      </c>
      <c r="F1371" s="69" t="s">
        <v>345</v>
      </c>
      <c r="I1371" s="2"/>
      <c r="K1371" s="82">
        <v>0.54320000000000002</v>
      </c>
    </row>
    <row r="1372" spans="1:11" x14ac:dyDescent="0.2">
      <c r="A1372" s="33">
        <v>42182</v>
      </c>
      <c r="B1372" s="206" t="s">
        <v>726</v>
      </c>
      <c r="C1372" s="254" t="s">
        <v>5628</v>
      </c>
      <c r="D1372" s="1">
        <v>1.9930555555555556E-2</v>
      </c>
      <c r="E1372" t="s">
        <v>5911</v>
      </c>
      <c r="F1372" s="69" t="s">
        <v>411</v>
      </c>
      <c r="K1372" s="82">
        <v>0.53310000000000002</v>
      </c>
    </row>
    <row r="1373" spans="1:11" x14ac:dyDescent="0.2">
      <c r="A1373" s="33">
        <v>42175</v>
      </c>
      <c r="B1373" s="206" t="s">
        <v>726</v>
      </c>
      <c r="C1373" s="254" t="s">
        <v>5628</v>
      </c>
      <c r="D1373" s="1">
        <v>1.7870370370370373E-2</v>
      </c>
      <c r="E1373" t="s">
        <v>2962</v>
      </c>
      <c r="F1373" s="69" t="s">
        <v>4433</v>
      </c>
      <c r="K1373" s="82">
        <v>0.5907</v>
      </c>
    </row>
    <row r="1374" spans="1:11" x14ac:dyDescent="0.2">
      <c r="A1374" s="33">
        <v>42161</v>
      </c>
      <c r="B1374" s="5" t="s">
        <v>53</v>
      </c>
      <c r="C1374" s="32" t="s">
        <v>54</v>
      </c>
      <c r="D1374" s="1">
        <v>1.8900462962962963E-2</v>
      </c>
      <c r="E1374" t="s">
        <v>5885</v>
      </c>
      <c r="F1374" s="69" t="s">
        <v>5697</v>
      </c>
      <c r="K1374" s="82">
        <v>0.62770000000000004</v>
      </c>
    </row>
    <row r="1375" spans="1:11" x14ac:dyDescent="0.2">
      <c r="A1375" s="33">
        <v>42084</v>
      </c>
      <c r="B1375" t="s">
        <v>4477</v>
      </c>
      <c r="C1375" s="1" t="s">
        <v>54</v>
      </c>
      <c r="D1375" s="1">
        <v>1.9340277777777779E-2</v>
      </c>
      <c r="E1375" t="s">
        <v>5885</v>
      </c>
      <c r="F1375" s="42" t="s">
        <v>364</v>
      </c>
      <c r="K1375" s="82">
        <v>0.61339999999999995</v>
      </c>
    </row>
    <row r="1376" spans="1:11" x14ac:dyDescent="0.2">
      <c r="A1376" s="33">
        <v>42182</v>
      </c>
      <c r="B1376" t="s">
        <v>260</v>
      </c>
      <c r="C1376" s="1" t="s">
        <v>261</v>
      </c>
      <c r="D1376" s="1">
        <v>2.3622685185185188E-2</v>
      </c>
      <c r="E1376" t="s">
        <v>806</v>
      </c>
      <c r="F1376" s="69" t="s">
        <v>1102</v>
      </c>
      <c r="K1376" s="82">
        <v>0.59040000000000004</v>
      </c>
    </row>
    <row r="1377" spans="1:11" x14ac:dyDescent="0.2">
      <c r="A1377" s="33">
        <v>42105</v>
      </c>
      <c r="B1377" s="53" t="s">
        <v>260</v>
      </c>
      <c r="C1377" s="54" t="s">
        <v>261</v>
      </c>
      <c r="D1377" s="1">
        <v>2.5717592592592594E-2</v>
      </c>
      <c r="E1377" t="s">
        <v>806</v>
      </c>
      <c r="F1377" s="69" t="s">
        <v>343</v>
      </c>
      <c r="K1377" s="82">
        <v>0.5423</v>
      </c>
    </row>
    <row r="1378" spans="1:11" x14ac:dyDescent="0.2">
      <c r="A1378" s="33">
        <v>42070</v>
      </c>
      <c r="B1378" s="53" t="s">
        <v>260</v>
      </c>
      <c r="C1378" s="54" t="s">
        <v>261</v>
      </c>
      <c r="D1378" s="1">
        <v>2.5590277777777778E-2</v>
      </c>
      <c r="E1378" t="s">
        <v>806</v>
      </c>
      <c r="F1378" s="69" t="s">
        <v>4655</v>
      </c>
      <c r="K1378" s="82">
        <v>0.54500000000000004</v>
      </c>
    </row>
    <row r="1379" spans="1:11" x14ac:dyDescent="0.2">
      <c r="A1379" s="33">
        <v>42056</v>
      </c>
      <c r="B1379" s="53" t="s">
        <v>260</v>
      </c>
      <c r="C1379" s="54" t="s">
        <v>261</v>
      </c>
      <c r="D1379" t="s">
        <v>787</v>
      </c>
      <c r="E1379" t="s">
        <v>806</v>
      </c>
      <c r="F1379" s="41"/>
      <c r="G1379" s="6"/>
      <c r="I1379" s="6"/>
      <c r="J1379" s="6"/>
      <c r="K1379" s="82"/>
    </row>
    <row r="1380" spans="1:11" x14ac:dyDescent="0.2">
      <c r="A1380" s="33">
        <v>42350</v>
      </c>
      <c r="B1380" t="s">
        <v>3755</v>
      </c>
      <c r="C1380" s="1" t="s">
        <v>261</v>
      </c>
      <c r="D1380" s="1">
        <v>2.6111111111111113E-2</v>
      </c>
      <c r="E1380" t="s">
        <v>806</v>
      </c>
      <c r="F1380" s="69" t="s">
        <v>2200</v>
      </c>
      <c r="I1380" s="2"/>
      <c r="K1380" s="82">
        <v>0.58240000000000003</v>
      </c>
    </row>
    <row r="1381" spans="1:11" x14ac:dyDescent="0.2">
      <c r="A1381" s="33">
        <v>42182</v>
      </c>
      <c r="B1381" t="s">
        <v>3755</v>
      </c>
      <c r="C1381" s="1" t="s">
        <v>261</v>
      </c>
      <c r="D1381" s="1">
        <v>2.2708333333333334E-2</v>
      </c>
      <c r="E1381" t="s">
        <v>806</v>
      </c>
      <c r="F1381" s="69" t="s">
        <v>1102</v>
      </c>
      <c r="G1381" s="6"/>
      <c r="H1381" s="6"/>
      <c r="K1381" s="82">
        <v>0.66969999999999996</v>
      </c>
    </row>
    <row r="1382" spans="1:11" x14ac:dyDescent="0.2">
      <c r="A1382" s="33">
        <v>42105</v>
      </c>
      <c r="B1382" s="53" t="s">
        <v>3755</v>
      </c>
      <c r="C1382" s="54" t="s">
        <v>261</v>
      </c>
      <c r="D1382" s="1">
        <v>2.3946759259259261E-2</v>
      </c>
      <c r="E1382" t="s">
        <v>806</v>
      </c>
      <c r="F1382" s="69" t="s">
        <v>343</v>
      </c>
      <c r="H1382" t="s">
        <v>4471</v>
      </c>
      <c r="K1382" s="82">
        <v>0.62490000000000001</v>
      </c>
    </row>
    <row r="1383" spans="1:11" x14ac:dyDescent="0.2">
      <c r="A1383" s="33">
        <v>42070</v>
      </c>
      <c r="B1383" s="53" t="s">
        <v>3755</v>
      </c>
      <c r="C1383" s="54" t="s">
        <v>261</v>
      </c>
      <c r="D1383" s="1">
        <v>2.4155092592592589E-2</v>
      </c>
      <c r="E1383" t="s">
        <v>806</v>
      </c>
      <c r="F1383" s="69" t="s">
        <v>346</v>
      </c>
      <c r="K1383" s="82">
        <v>0.61950000000000005</v>
      </c>
    </row>
    <row r="1384" spans="1:11" x14ac:dyDescent="0.2">
      <c r="A1384" s="33">
        <v>42056</v>
      </c>
      <c r="B1384" s="53" t="s">
        <v>3755</v>
      </c>
      <c r="C1384" s="54" t="s">
        <v>261</v>
      </c>
      <c r="D1384" s="1">
        <v>2.4525462962962968E-2</v>
      </c>
      <c r="E1384" t="s">
        <v>806</v>
      </c>
      <c r="F1384" s="41"/>
      <c r="K1384" s="82">
        <v>0.61020000000000008</v>
      </c>
    </row>
    <row r="1385" spans="1:11" x14ac:dyDescent="0.2">
      <c r="A1385" s="33">
        <v>42035</v>
      </c>
      <c r="B1385" s="53" t="s">
        <v>3755</v>
      </c>
      <c r="C1385" s="54" t="s">
        <v>261</v>
      </c>
      <c r="D1385" s="1">
        <v>2.3240740740740742E-2</v>
      </c>
      <c r="E1385" t="s">
        <v>806</v>
      </c>
      <c r="F1385" s="42" t="s">
        <v>3516</v>
      </c>
      <c r="K1385" s="82">
        <v>0.64390000000000003</v>
      </c>
    </row>
    <row r="1386" spans="1:11" x14ac:dyDescent="0.2">
      <c r="A1386" s="33">
        <v>42014</v>
      </c>
      <c r="B1386" s="53" t="s">
        <v>3755</v>
      </c>
      <c r="C1386" s="54" t="s">
        <v>261</v>
      </c>
      <c r="D1386" s="1">
        <v>2.4189814814814817E-2</v>
      </c>
      <c r="E1386" t="s">
        <v>806</v>
      </c>
      <c r="F1386" s="42" t="s">
        <v>2654</v>
      </c>
      <c r="K1386" s="82">
        <v>0.61870000000000003</v>
      </c>
    </row>
    <row r="1387" spans="1:11" x14ac:dyDescent="0.2">
      <c r="A1387" s="33">
        <v>42035</v>
      </c>
      <c r="B1387" s="53" t="s">
        <v>1349</v>
      </c>
      <c r="C1387" s="54" t="s">
        <v>261</v>
      </c>
      <c r="D1387" s="1">
        <v>2.6064814814814815E-2</v>
      </c>
      <c r="E1387" t="s">
        <v>806</v>
      </c>
      <c r="F1387" s="42" t="s">
        <v>3516</v>
      </c>
      <c r="K1387" s="82">
        <v>0.53510000000000002</v>
      </c>
    </row>
    <row r="1388" spans="1:11" x14ac:dyDescent="0.2">
      <c r="A1388" s="34">
        <v>42329</v>
      </c>
      <c r="B1388" s="53" t="s">
        <v>726</v>
      </c>
      <c r="C1388" s="54" t="s">
        <v>1289</v>
      </c>
      <c r="D1388" s="1">
        <v>1.6006944444444445E-2</v>
      </c>
      <c r="E1388" t="s">
        <v>444</v>
      </c>
      <c r="F1388" s="69" t="s">
        <v>4590</v>
      </c>
      <c r="I1388" s="2"/>
      <c r="K1388" s="82">
        <v>0.77569999999999995</v>
      </c>
    </row>
    <row r="1389" spans="1:11" x14ac:dyDescent="0.2">
      <c r="A1389" s="33">
        <v>42308</v>
      </c>
      <c r="B1389" t="s">
        <v>726</v>
      </c>
      <c r="C1389" s="1" t="s">
        <v>1289</v>
      </c>
      <c r="D1389" s="1">
        <v>1.6192129629629629E-2</v>
      </c>
      <c r="E1389" t="s">
        <v>444</v>
      </c>
      <c r="F1389" s="69" t="s">
        <v>3358</v>
      </c>
      <c r="I1389" s="2"/>
      <c r="K1389" s="82">
        <v>0.76629999999999998</v>
      </c>
    </row>
    <row r="1390" spans="1:11" x14ac:dyDescent="0.2">
      <c r="A1390" s="33">
        <v>42280</v>
      </c>
      <c r="B1390" t="s">
        <v>726</v>
      </c>
      <c r="C1390" s="1" t="s">
        <v>1289</v>
      </c>
      <c r="D1390" s="1">
        <v>1.5648148148148151E-2</v>
      </c>
      <c r="E1390" t="s">
        <v>444</v>
      </c>
      <c r="F1390" s="69" t="s">
        <v>766</v>
      </c>
      <c r="I1390" s="2"/>
      <c r="K1390" s="82">
        <v>0.79290000000000005</v>
      </c>
    </row>
    <row r="1391" spans="1:11" x14ac:dyDescent="0.2">
      <c r="A1391" s="33">
        <v>42203</v>
      </c>
      <c r="B1391" t="s">
        <v>726</v>
      </c>
      <c r="C1391" s="1" t="s">
        <v>1289</v>
      </c>
      <c r="D1391" s="1">
        <v>1.6122685185185184E-2</v>
      </c>
      <c r="E1391" t="s">
        <v>1563</v>
      </c>
      <c r="F1391" s="69" t="s">
        <v>1815</v>
      </c>
      <c r="K1391" s="82">
        <v>0.76959999999999995</v>
      </c>
    </row>
    <row r="1392" spans="1:11" x14ac:dyDescent="0.2">
      <c r="A1392" s="34">
        <v>42140</v>
      </c>
      <c r="B1392" s="53" t="s">
        <v>726</v>
      </c>
      <c r="C1392" s="83" t="s">
        <v>1289</v>
      </c>
      <c r="D1392" s="1">
        <v>1.5625E-2</v>
      </c>
      <c r="E1392" t="s">
        <v>444</v>
      </c>
      <c r="F1392" s="69" t="s">
        <v>5697</v>
      </c>
      <c r="K1392" s="314">
        <v>0.79410000000000003</v>
      </c>
    </row>
    <row r="1393" spans="1:11" x14ac:dyDescent="0.2">
      <c r="A1393" s="34">
        <v>42091</v>
      </c>
      <c r="B1393" s="53" t="s">
        <v>726</v>
      </c>
      <c r="C1393" s="83" t="s">
        <v>1289</v>
      </c>
      <c r="D1393" s="1">
        <v>1.5428240740740741E-2</v>
      </c>
      <c r="E1393" t="s">
        <v>444</v>
      </c>
      <c r="F1393" s="69" t="s">
        <v>2307</v>
      </c>
      <c r="K1393" s="314">
        <v>0.79369999999999996</v>
      </c>
    </row>
  </sheetData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561"/>
  <sheetViews>
    <sheetView topLeftCell="A895" workbookViewId="0">
      <selection activeCell="I459" sqref="I459"/>
    </sheetView>
  </sheetViews>
  <sheetFormatPr defaultRowHeight="12.75" x14ac:dyDescent="0.2"/>
  <cols>
    <col min="1" max="1" width="12.5703125" customWidth="1"/>
    <col min="3" max="3" width="12.85546875" customWidth="1"/>
    <col min="5" max="5" width="15.140625" customWidth="1"/>
    <col min="6" max="6" width="18.28515625" customWidth="1"/>
    <col min="11" max="11" width="9.140625" style="10"/>
  </cols>
  <sheetData>
    <row r="1" spans="1:11" x14ac:dyDescent="0.2">
      <c r="A1" s="2">
        <v>2014</v>
      </c>
      <c r="B1" t="s">
        <v>1212</v>
      </c>
      <c r="C1" s="9" t="s">
        <v>1212</v>
      </c>
      <c r="E1" t="s">
        <v>1212</v>
      </c>
      <c r="F1" s="41"/>
    </row>
    <row r="2" spans="1:11" x14ac:dyDescent="0.2">
      <c r="A2" s="33">
        <v>41972</v>
      </c>
      <c r="B2" s="2" t="s">
        <v>4580</v>
      </c>
      <c r="C2" s="3" t="s">
        <v>4581</v>
      </c>
      <c r="D2" s="1">
        <v>1.9930555555555556E-2</v>
      </c>
      <c r="E2" t="s">
        <v>5198</v>
      </c>
      <c r="F2" s="69"/>
      <c r="K2" s="314">
        <v>0.5645</v>
      </c>
    </row>
    <row r="3" spans="1:11" x14ac:dyDescent="0.2">
      <c r="A3" s="33">
        <v>41965</v>
      </c>
      <c r="B3" t="s">
        <v>4580</v>
      </c>
      <c r="C3" s="1" t="s">
        <v>4581</v>
      </c>
      <c r="D3" s="1">
        <v>2.074074074074074E-2</v>
      </c>
      <c r="E3" t="s">
        <v>5947</v>
      </c>
      <c r="F3" s="5" t="s">
        <v>2566</v>
      </c>
      <c r="G3" s="5"/>
      <c r="H3" s="5"/>
      <c r="I3" s="5"/>
      <c r="J3" s="5"/>
      <c r="K3" s="314">
        <v>0.54239999999999999</v>
      </c>
    </row>
    <row r="4" spans="1:11" x14ac:dyDescent="0.2">
      <c r="A4" s="33">
        <v>41916</v>
      </c>
      <c r="B4" t="s">
        <v>4580</v>
      </c>
      <c r="C4" s="1" t="s">
        <v>4581</v>
      </c>
      <c r="D4" s="1">
        <v>1.8043981481481484E-2</v>
      </c>
      <c r="E4" t="s">
        <v>5947</v>
      </c>
      <c r="F4" s="69"/>
      <c r="K4" s="314">
        <v>0.62350000000000005</v>
      </c>
    </row>
    <row r="5" spans="1:11" x14ac:dyDescent="0.2">
      <c r="A5" s="33">
        <v>41902</v>
      </c>
      <c r="B5" t="s">
        <v>4580</v>
      </c>
      <c r="C5" s="1" t="s">
        <v>4581</v>
      </c>
      <c r="D5" s="1">
        <v>1.849537037037037E-2</v>
      </c>
      <c r="E5" t="s">
        <v>5198</v>
      </c>
      <c r="F5" s="69" t="s">
        <v>4895</v>
      </c>
      <c r="K5" s="314">
        <v>0.60829999999999995</v>
      </c>
    </row>
    <row r="6" spans="1:11" x14ac:dyDescent="0.2">
      <c r="A6" s="33">
        <v>41867</v>
      </c>
      <c r="B6" t="s">
        <v>4580</v>
      </c>
      <c r="C6" s="1" t="s">
        <v>4581</v>
      </c>
      <c r="D6" s="1">
        <v>1.9409722222222221E-2</v>
      </c>
      <c r="E6" t="s">
        <v>5947</v>
      </c>
      <c r="F6" s="69"/>
      <c r="K6" s="314">
        <v>0.5736</v>
      </c>
    </row>
    <row r="7" spans="1:11" x14ac:dyDescent="0.2">
      <c r="A7" s="33">
        <v>41853</v>
      </c>
      <c r="B7" t="s">
        <v>4580</v>
      </c>
      <c r="C7" s="1" t="s">
        <v>4581</v>
      </c>
      <c r="D7" s="1">
        <v>1.8831018518518518E-2</v>
      </c>
      <c r="E7" t="s">
        <v>5947</v>
      </c>
      <c r="F7" s="69" t="s">
        <v>4885</v>
      </c>
      <c r="K7" s="314">
        <v>0.59130000000000005</v>
      </c>
    </row>
    <row r="8" spans="1:11" x14ac:dyDescent="0.2">
      <c r="A8" s="34">
        <v>41832</v>
      </c>
      <c r="B8" t="s">
        <v>4580</v>
      </c>
      <c r="C8" s="9" t="s">
        <v>4581</v>
      </c>
      <c r="D8" s="1">
        <v>1.9884259259259258E-2</v>
      </c>
      <c r="E8" t="s">
        <v>5947</v>
      </c>
      <c r="F8" s="69"/>
      <c r="K8" s="314">
        <v>0.56000000000000005</v>
      </c>
    </row>
    <row r="9" spans="1:11" x14ac:dyDescent="0.2">
      <c r="A9" s="34">
        <v>41818</v>
      </c>
      <c r="B9" t="s">
        <v>4580</v>
      </c>
      <c r="C9" s="9" t="s">
        <v>4581</v>
      </c>
      <c r="D9" s="1">
        <v>1.9340277777777779E-2</v>
      </c>
      <c r="E9" t="s">
        <v>5947</v>
      </c>
      <c r="F9" s="69"/>
      <c r="K9" s="314">
        <v>0.57569999999999999</v>
      </c>
    </row>
    <row r="10" spans="1:11" x14ac:dyDescent="0.2">
      <c r="A10" s="34">
        <v>41811</v>
      </c>
      <c r="B10" t="s">
        <v>4580</v>
      </c>
      <c r="C10" s="9" t="s">
        <v>4581</v>
      </c>
      <c r="D10" s="1">
        <v>1.8900462962962963E-2</v>
      </c>
      <c r="E10" t="s">
        <v>5947</v>
      </c>
      <c r="F10" s="42" t="s">
        <v>2418</v>
      </c>
      <c r="K10" s="314">
        <v>0.58909999999999996</v>
      </c>
    </row>
    <row r="11" spans="1:11" x14ac:dyDescent="0.2">
      <c r="A11" s="34">
        <v>41797</v>
      </c>
      <c r="B11" t="s">
        <v>4580</v>
      </c>
      <c r="C11" s="9" t="s">
        <v>4581</v>
      </c>
      <c r="D11" s="1">
        <v>2.193287037037037E-2</v>
      </c>
      <c r="E11" t="s">
        <v>5947</v>
      </c>
      <c r="F11" s="42" t="s">
        <v>55</v>
      </c>
      <c r="K11" s="314">
        <v>0.50770000000000004</v>
      </c>
    </row>
    <row r="12" spans="1:11" x14ac:dyDescent="0.2">
      <c r="A12" s="34">
        <v>41769</v>
      </c>
      <c r="B12" s="5" t="s">
        <v>4580</v>
      </c>
      <c r="C12" s="104" t="s">
        <v>4581</v>
      </c>
      <c r="D12" s="1">
        <v>1.894675925925926E-2</v>
      </c>
      <c r="E12" t="s">
        <v>5947</v>
      </c>
      <c r="F12" s="42" t="s">
        <v>2500</v>
      </c>
      <c r="K12" s="314">
        <v>0.5877</v>
      </c>
    </row>
    <row r="13" spans="1:11" x14ac:dyDescent="0.2">
      <c r="A13" s="34">
        <v>41755</v>
      </c>
      <c r="B13" t="s">
        <v>4580</v>
      </c>
      <c r="C13" s="9" t="s">
        <v>4581</v>
      </c>
      <c r="D13" s="1">
        <v>1.9594907407407405E-2</v>
      </c>
      <c r="E13" t="s">
        <v>5947</v>
      </c>
      <c r="F13" s="42"/>
      <c r="K13" s="314">
        <v>0.56820000000000004</v>
      </c>
    </row>
    <row r="14" spans="1:11" x14ac:dyDescent="0.2">
      <c r="A14" s="34">
        <v>41748</v>
      </c>
      <c r="B14" t="s">
        <v>4580</v>
      </c>
      <c r="C14" s="9" t="s">
        <v>4581</v>
      </c>
      <c r="D14" s="1">
        <v>1.9270833333333334E-2</v>
      </c>
      <c r="E14" t="s">
        <v>5947</v>
      </c>
      <c r="F14" s="69"/>
      <c r="K14" s="314">
        <v>0.57779999999999998</v>
      </c>
    </row>
    <row r="15" spans="1:11" x14ac:dyDescent="0.2">
      <c r="A15" s="34">
        <v>41741</v>
      </c>
      <c r="B15" t="s">
        <v>4580</v>
      </c>
      <c r="C15" s="9" t="s">
        <v>4581</v>
      </c>
      <c r="D15" s="1">
        <v>1.8599537037037036E-2</v>
      </c>
      <c r="E15" t="s">
        <v>5947</v>
      </c>
      <c r="F15" s="69" t="s">
        <v>3995</v>
      </c>
      <c r="K15" s="314">
        <v>0.59860000000000002</v>
      </c>
    </row>
    <row r="16" spans="1:11" x14ac:dyDescent="0.2">
      <c r="A16" s="34">
        <v>41727</v>
      </c>
      <c r="B16" t="s">
        <v>4580</v>
      </c>
      <c r="C16" s="9" t="s">
        <v>4581</v>
      </c>
      <c r="D16" s="1">
        <v>1.8576388888888889E-2</v>
      </c>
      <c r="E16" t="s">
        <v>5885</v>
      </c>
      <c r="F16" s="69"/>
      <c r="K16" s="314">
        <v>0.59940000000000004</v>
      </c>
    </row>
    <row r="17" spans="1:11" x14ac:dyDescent="0.2">
      <c r="A17" s="34">
        <v>41713</v>
      </c>
      <c r="B17" t="s">
        <v>4580</v>
      </c>
      <c r="C17" s="9" t="s">
        <v>4581</v>
      </c>
      <c r="D17" s="1">
        <v>1.9675925925925927E-2</v>
      </c>
      <c r="E17" t="s">
        <v>5947</v>
      </c>
      <c r="F17" s="69"/>
      <c r="K17" s="314">
        <v>0.56589999999999996</v>
      </c>
    </row>
    <row r="18" spans="1:11" x14ac:dyDescent="0.2">
      <c r="A18" s="34">
        <v>41706</v>
      </c>
      <c r="B18" t="s">
        <v>4580</v>
      </c>
      <c r="C18" s="9" t="s">
        <v>4581</v>
      </c>
      <c r="D18" s="1">
        <v>2.0254629629629629E-2</v>
      </c>
      <c r="E18" t="s">
        <v>5947</v>
      </c>
      <c r="F18" s="69" t="s">
        <v>2665</v>
      </c>
      <c r="K18" s="314">
        <v>0.54969999999999997</v>
      </c>
    </row>
    <row r="19" spans="1:11" x14ac:dyDescent="0.2">
      <c r="A19" s="34">
        <v>41699</v>
      </c>
      <c r="B19" t="s">
        <v>4580</v>
      </c>
      <c r="C19" s="9" t="s">
        <v>4581</v>
      </c>
      <c r="D19" s="1" t="s">
        <v>787</v>
      </c>
      <c r="E19" t="s">
        <v>5947</v>
      </c>
      <c r="F19" s="42"/>
      <c r="K19" s="314"/>
    </row>
    <row r="20" spans="1:11" x14ac:dyDescent="0.2">
      <c r="A20" s="34">
        <v>41685</v>
      </c>
      <c r="B20" t="s">
        <v>4580</v>
      </c>
      <c r="C20" s="9" t="s">
        <v>4581</v>
      </c>
      <c r="D20" s="1">
        <v>1.9791666666666666E-2</v>
      </c>
      <c r="E20" t="s">
        <v>5947</v>
      </c>
      <c r="F20" s="69" t="s">
        <v>4413</v>
      </c>
      <c r="K20" s="314">
        <v>0.56259999999999999</v>
      </c>
    </row>
    <row r="21" spans="1:11" x14ac:dyDescent="0.2">
      <c r="A21" s="34">
        <v>41664</v>
      </c>
      <c r="B21" t="s">
        <v>4580</v>
      </c>
      <c r="C21" s="9" t="s">
        <v>4581</v>
      </c>
      <c r="D21" s="1">
        <v>2.013888888888889E-2</v>
      </c>
      <c r="E21" t="s">
        <v>5947</v>
      </c>
      <c r="F21" s="69" t="s">
        <v>2241</v>
      </c>
      <c r="K21" s="314">
        <v>0.55289999999999995</v>
      </c>
    </row>
    <row r="22" spans="1:11" x14ac:dyDescent="0.2">
      <c r="A22" s="34"/>
      <c r="C22" s="9"/>
      <c r="D22" s="1"/>
      <c r="F22" s="69"/>
      <c r="K22" s="314"/>
    </row>
    <row r="23" spans="1:11" x14ac:dyDescent="0.2">
      <c r="A23" s="33">
        <v>42000</v>
      </c>
      <c r="B23" s="2" t="s">
        <v>868</v>
      </c>
      <c r="C23" s="3" t="s">
        <v>869</v>
      </c>
      <c r="D23" s="1">
        <v>2.0810185185185185E-2</v>
      </c>
      <c r="E23" t="s">
        <v>5544</v>
      </c>
      <c r="F23" s="42"/>
      <c r="K23" s="314">
        <v>0.68520000000000003</v>
      </c>
    </row>
    <row r="24" spans="1:11" x14ac:dyDescent="0.2">
      <c r="A24" s="33">
        <v>41998</v>
      </c>
      <c r="B24" t="s">
        <v>868</v>
      </c>
      <c r="C24" s="1" t="s">
        <v>869</v>
      </c>
      <c r="D24" s="1">
        <v>2.0590277777777777E-2</v>
      </c>
      <c r="E24" t="s">
        <v>5885</v>
      </c>
      <c r="F24" s="69" t="s">
        <v>3496</v>
      </c>
      <c r="K24" s="314">
        <v>0.6925</v>
      </c>
    </row>
    <row r="25" spans="1:11" x14ac:dyDescent="0.2">
      <c r="A25" s="33">
        <v>41986</v>
      </c>
      <c r="B25" t="s">
        <v>868</v>
      </c>
      <c r="C25" s="1" t="s">
        <v>869</v>
      </c>
      <c r="D25" s="1">
        <v>2.0034722222222221E-2</v>
      </c>
      <c r="E25" t="s">
        <v>5544</v>
      </c>
      <c r="F25" s="69" t="s">
        <v>4938</v>
      </c>
      <c r="K25" s="314">
        <v>0.7117</v>
      </c>
    </row>
    <row r="26" spans="1:11" x14ac:dyDescent="0.2">
      <c r="A26" s="33">
        <v>41979</v>
      </c>
      <c r="B26" t="s">
        <v>868</v>
      </c>
      <c r="C26" s="1" t="s">
        <v>869</v>
      </c>
      <c r="D26" s="1">
        <v>2.6967592592592595E-2</v>
      </c>
      <c r="E26" t="s">
        <v>5544</v>
      </c>
      <c r="F26" s="69" t="s">
        <v>1178</v>
      </c>
      <c r="K26" s="314">
        <v>0.52880000000000005</v>
      </c>
    </row>
    <row r="27" spans="1:11" x14ac:dyDescent="0.2">
      <c r="A27" s="33">
        <v>41972</v>
      </c>
      <c r="B27" t="s">
        <v>868</v>
      </c>
      <c r="C27" s="1" t="s">
        <v>869</v>
      </c>
      <c r="D27" s="1">
        <v>1.96875E-2</v>
      </c>
      <c r="E27" t="s">
        <v>5544</v>
      </c>
      <c r="F27" s="69"/>
      <c r="K27" s="314">
        <v>0.72430000000000005</v>
      </c>
    </row>
    <row r="28" spans="1:11" x14ac:dyDescent="0.2">
      <c r="A28" s="33">
        <v>41965</v>
      </c>
      <c r="B28" t="s">
        <v>868</v>
      </c>
      <c r="C28" s="1" t="s">
        <v>869</v>
      </c>
      <c r="D28" s="1">
        <v>2.1597222222222223E-2</v>
      </c>
      <c r="E28" t="s">
        <v>5544</v>
      </c>
      <c r="F28" s="5" t="s">
        <v>634</v>
      </c>
      <c r="G28" s="5"/>
      <c r="H28" s="5"/>
      <c r="I28" s="5"/>
      <c r="J28" s="5"/>
      <c r="K28" s="314">
        <v>0.66020000000000001</v>
      </c>
    </row>
    <row r="29" spans="1:11" x14ac:dyDescent="0.2">
      <c r="A29" s="33">
        <v>41958</v>
      </c>
      <c r="B29" t="s">
        <v>868</v>
      </c>
      <c r="C29" s="1" t="s">
        <v>869</v>
      </c>
      <c r="D29" s="1">
        <v>1.9618055555555555E-2</v>
      </c>
      <c r="E29" t="s">
        <v>5544</v>
      </c>
      <c r="F29" s="42"/>
      <c r="K29" s="314">
        <v>0.72740000000000005</v>
      </c>
    </row>
    <row r="30" spans="1:11" x14ac:dyDescent="0.2">
      <c r="A30" s="33">
        <v>41951</v>
      </c>
      <c r="B30" t="s">
        <v>868</v>
      </c>
      <c r="C30" s="1" t="s">
        <v>869</v>
      </c>
      <c r="D30" s="1">
        <v>1.9733796296296298E-2</v>
      </c>
      <c r="E30" t="s">
        <v>5544</v>
      </c>
      <c r="F30" s="69"/>
      <c r="K30" s="314">
        <v>0.72260000000000002</v>
      </c>
    </row>
    <row r="31" spans="1:11" x14ac:dyDescent="0.2">
      <c r="A31" s="33">
        <v>41944</v>
      </c>
      <c r="B31" t="s">
        <v>868</v>
      </c>
      <c r="C31" s="1" t="s">
        <v>869</v>
      </c>
      <c r="D31" s="1">
        <v>2.0775462962962964E-2</v>
      </c>
      <c r="E31" t="s">
        <v>5544</v>
      </c>
      <c r="F31" s="42" t="s">
        <v>5408</v>
      </c>
      <c r="K31" s="314">
        <v>0.68640000000000001</v>
      </c>
    </row>
    <row r="32" spans="1:11" x14ac:dyDescent="0.2">
      <c r="A32" s="33">
        <v>41937</v>
      </c>
      <c r="B32" t="s">
        <v>868</v>
      </c>
      <c r="C32" s="1" t="s">
        <v>869</v>
      </c>
      <c r="D32" s="1">
        <v>2.0949074074074075E-2</v>
      </c>
      <c r="E32" t="s">
        <v>5544</v>
      </c>
      <c r="F32" s="69"/>
      <c r="K32" s="314">
        <v>0.68069999999999997</v>
      </c>
    </row>
    <row r="33" spans="1:11" x14ac:dyDescent="0.2">
      <c r="A33" s="33">
        <v>41930</v>
      </c>
      <c r="B33" t="s">
        <v>868</v>
      </c>
      <c r="C33" s="1" t="s">
        <v>869</v>
      </c>
      <c r="D33" s="1">
        <v>2.1458333333333333E-2</v>
      </c>
      <c r="E33" t="s">
        <v>5544</v>
      </c>
      <c r="F33" s="69"/>
      <c r="K33" s="314">
        <v>0.66449999999999998</v>
      </c>
    </row>
    <row r="34" spans="1:11" x14ac:dyDescent="0.2">
      <c r="A34" s="33">
        <v>41923</v>
      </c>
      <c r="B34" t="s">
        <v>868</v>
      </c>
      <c r="C34" s="1" t="s">
        <v>869</v>
      </c>
      <c r="D34" s="1">
        <v>2.071759259259259E-2</v>
      </c>
      <c r="E34" t="s">
        <v>5544</v>
      </c>
      <c r="F34" s="69"/>
      <c r="K34" s="314">
        <v>0.68830000000000002</v>
      </c>
    </row>
    <row r="35" spans="1:11" x14ac:dyDescent="0.2">
      <c r="A35" s="33">
        <v>41916</v>
      </c>
      <c r="B35" t="s">
        <v>868</v>
      </c>
      <c r="C35" s="1" t="s">
        <v>869</v>
      </c>
      <c r="D35" s="1">
        <v>1.923611111111111E-2</v>
      </c>
      <c r="E35" t="s">
        <v>5544</v>
      </c>
      <c r="F35" s="69" t="s">
        <v>4386</v>
      </c>
      <c r="K35" s="314">
        <v>0.74129999999999996</v>
      </c>
    </row>
    <row r="36" spans="1:11" x14ac:dyDescent="0.2">
      <c r="A36" s="33">
        <v>41909</v>
      </c>
      <c r="B36" t="s">
        <v>868</v>
      </c>
      <c r="C36" s="1" t="s">
        <v>869</v>
      </c>
      <c r="D36" s="1">
        <v>1.9421296296296294E-2</v>
      </c>
      <c r="E36" t="s">
        <v>5544</v>
      </c>
      <c r="F36" s="42" t="s">
        <v>672</v>
      </c>
      <c r="K36" s="314">
        <v>0.73419999999999996</v>
      </c>
    </row>
    <row r="37" spans="1:11" x14ac:dyDescent="0.2">
      <c r="A37" s="33">
        <v>41902</v>
      </c>
      <c r="B37" t="s">
        <v>868</v>
      </c>
      <c r="C37" s="1" t="s">
        <v>869</v>
      </c>
      <c r="D37" s="1">
        <v>1.9363425925925926E-2</v>
      </c>
      <c r="E37" t="s">
        <v>5544</v>
      </c>
      <c r="F37" s="69"/>
      <c r="K37" s="314">
        <v>0.73640000000000005</v>
      </c>
    </row>
    <row r="38" spans="1:11" x14ac:dyDescent="0.2">
      <c r="A38" s="33">
        <v>41895</v>
      </c>
      <c r="B38" t="s">
        <v>868</v>
      </c>
      <c r="C38" s="1" t="s">
        <v>869</v>
      </c>
      <c r="D38" s="1">
        <v>1.9259259259259261E-2</v>
      </c>
      <c r="E38" t="s">
        <v>5544</v>
      </c>
      <c r="F38" s="69" t="s">
        <v>2098</v>
      </c>
      <c r="K38" s="314">
        <v>0.74039999999999995</v>
      </c>
    </row>
    <row r="39" spans="1:11" x14ac:dyDescent="0.2">
      <c r="A39" s="33">
        <v>41888</v>
      </c>
      <c r="B39" t="s">
        <v>868</v>
      </c>
      <c r="C39" s="1" t="s">
        <v>869</v>
      </c>
      <c r="D39" s="1">
        <v>1.9618055555555555E-2</v>
      </c>
      <c r="E39" t="s">
        <v>5544</v>
      </c>
      <c r="F39" s="69"/>
      <c r="K39" s="314">
        <v>0.7268</v>
      </c>
    </row>
    <row r="40" spans="1:11" x14ac:dyDescent="0.2">
      <c r="A40" s="33">
        <v>41881</v>
      </c>
      <c r="B40" t="s">
        <v>868</v>
      </c>
      <c r="C40" s="1" t="s">
        <v>869</v>
      </c>
      <c r="D40" s="1">
        <v>2.0370370370370369E-2</v>
      </c>
      <c r="E40" t="s">
        <v>5453</v>
      </c>
      <c r="F40" s="42"/>
      <c r="K40" s="314">
        <v>0.7</v>
      </c>
    </row>
    <row r="41" spans="1:11" x14ac:dyDescent="0.2">
      <c r="A41" s="33">
        <v>41874</v>
      </c>
      <c r="B41" t="s">
        <v>868</v>
      </c>
      <c r="C41" s="1" t="s">
        <v>869</v>
      </c>
      <c r="D41" s="1">
        <v>1.9444444444444445E-2</v>
      </c>
      <c r="E41" t="s">
        <v>5544</v>
      </c>
      <c r="F41" s="69" t="s">
        <v>119</v>
      </c>
      <c r="K41" s="314">
        <v>0.73329999999999995</v>
      </c>
    </row>
    <row r="42" spans="1:11" x14ac:dyDescent="0.2">
      <c r="A42" s="33">
        <v>41867</v>
      </c>
      <c r="B42" t="s">
        <v>868</v>
      </c>
      <c r="C42" s="1" t="s">
        <v>869</v>
      </c>
      <c r="D42" s="1">
        <v>1.9490740740740743E-2</v>
      </c>
      <c r="E42" t="s">
        <v>5544</v>
      </c>
      <c r="F42" s="69" t="s">
        <v>3888</v>
      </c>
      <c r="K42" s="314">
        <v>0.73160000000000003</v>
      </c>
    </row>
    <row r="43" spans="1:11" x14ac:dyDescent="0.2">
      <c r="A43" s="33">
        <v>41860</v>
      </c>
      <c r="B43" t="s">
        <v>868</v>
      </c>
      <c r="C43" s="1" t="s">
        <v>869</v>
      </c>
      <c r="D43" s="1">
        <v>1.9884259259259258E-2</v>
      </c>
      <c r="E43" t="s">
        <v>5544</v>
      </c>
      <c r="F43" s="69"/>
      <c r="K43" s="314">
        <v>0.71709999999999996</v>
      </c>
    </row>
    <row r="44" spans="1:11" x14ac:dyDescent="0.2">
      <c r="A44" s="33">
        <v>41853</v>
      </c>
      <c r="B44" t="s">
        <v>868</v>
      </c>
      <c r="C44" s="1" t="s">
        <v>869</v>
      </c>
      <c r="D44" s="1">
        <v>1.9641203703703706E-2</v>
      </c>
      <c r="E44" t="s">
        <v>5544</v>
      </c>
      <c r="F44" s="69" t="s">
        <v>3888</v>
      </c>
      <c r="K44" s="314">
        <v>0.72599999999999998</v>
      </c>
    </row>
    <row r="45" spans="1:11" x14ac:dyDescent="0.2">
      <c r="A45" s="34">
        <v>41846</v>
      </c>
      <c r="B45" t="s">
        <v>868</v>
      </c>
      <c r="C45" s="1" t="s">
        <v>869</v>
      </c>
      <c r="D45" s="1">
        <v>1.982638888888889E-2</v>
      </c>
      <c r="E45" t="s">
        <v>5544</v>
      </c>
      <c r="F45" s="69" t="s">
        <v>3424</v>
      </c>
      <c r="K45" s="314">
        <v>0.71919999999999995</v>
      </c>
    </row>
    <row r="46" spans="1:11" x14ac:dyDescent="0.2">
      <c r="A46" s="34">
        <v>41839</v>
      </c>
      <c r="B46" t="s">
        <v>868</v>
      </c>
      <c r="C46" s="1" t="s">
        <v>869</v>
      </c>
      <c r="D46" s="1">
        <v>2.0578703703703703E-2</v>
      </c>
      <c r="E46" t="s">
        <v>5544</v>
      </c>
      <c r="F46" s="69" t="s">
        <v>4651</v>
      </c>
      <c r="H46" t="s">
        <v>4652</v>
      </c>
      <c r="K46" s="314">
        <v>0.69289999999999996</v>
      </c>
    </row>
    <row r="47" spans="1:11" x14ac:dyDescent="0.2">
      <c r="A47" s="34">
        <v>41832</v>
      </c>
      <c r="B47" t="s">
        <v>868</v>
      </c>
      <c r="C47" s="9" t="s">
        <v>869</v>
      </c>
      <c r="D47" s="1">
        <v>1.9768518518518515E-2</v>
      </c>
      <c r="E47" t="s">
        <v>5544</v>
      </c>
      <c r="F47" s="69"/>
      <c r="K47" s="314">
        <v>0.72130000000000005</v>
      </c>
    </row>
    <row r="48" spans="1:11" x14ac:dyDescent="0.2">
      <c r="A48" s="34">
        <v>41825</v>
      </c>
      <c r="B48" t="s">
        <v>868</v>
      </c>
      <c r="C48" s="9" t="s">
        <v>869</v>
      </c>
      <c r="D48" s="1">
        <v>1.982638888888889E-2</v>
      </c>
      <c r="E48" t="s">
        <v>5544</v>
      </c>
      <c r="F48" s="69"/>
      <c r="K48" s="314">
        <v>0.71919999999999995</v>
      </c>
    </row>
    <row r="49" spans="1:11" x14ac:dyDescent="0.2">
      <c r="A49" s="34">
        <v>41818</v>
      </c>
      <c r="B49" t="s">
        <v>868</v>
      </c>
      <c r="C49" s="9" t="s">
        <v>869</v>
      </c>
      <c r="D49" s="1">
        <v>2.101851851851852E-2</v>
      </c>
      <c r="E49" t="s">
        <v>5544</v>
      </c>
      <c r="F49" s="69"/>
      <c r="K49" s="314">
        <v>0.6784</v>
      </c>
    </row>
    <row r="50" spans="1:11" x14ac:dyDescent="0.2">
      <c r="A50" s="34">
        <v>41804</v>
      </c>
      <c r="B50" t="s">
        <v>868</v>
      </c>
      <c r="C50" s="9" t="s">
        <v>869</v>
      </c>
      <c r="D50" s="1">
        <v>2.1527777777777781E-2</v>
      </c>
      <c r="E50" t="s">
        <v>5453</v>
      </c>
      <c r="F50" s="69"/>
      <c r="K50" s="314">
        <v>0.66239999999999999</v>
      </c>
    </row>
    <row r="51" spans="1:11" x14ac:dyDescent="0.2">
      <c r="A51" s="34">
        <v>41797</v>
      </c>
      <c r="B51" t="s">
        <v>868</v>
      </c>
      <c r="C51" s="9" t="s">
        <v>869</v>
      </c>
      <c r="D51" s="1">
        <v>2.0682870370370372E-2</v>
      </c>
      <c r="E51" t="s">
        <v>5544</v>
      </c>
      <c r="F51" s="42" t="s">
        <v>381</v>
      </c>
      <c r="K51" s="314">
        <v>0.68940000000000001</v>
      </c>
    </row>
    <row r="52" spans="1:11" x14ac:dyDescent="0.2">
      <c r="A52" s="34">
        <v>41790</v>
      </c>
      <c r="B52" t="s">
        <v>868</v>
      </c>
      <c r="C52" s="9" t="s">
        <v>869</v>
      </c>
      <c r="D52" s="1">
        <v>2.0324074074074074E-2</v>
      </c>
      <c r="E52" t="s">
        <v>5544</v>
      </c>
      <c r="F52" s="69" t="s">
        <v>4821</v>
      </c>
      <c r="K52" s="314">
        <v>0.7016</v>
      </c>
    </row>
    <row r="53" spans="1:11" x14ac:dyDescent="0.2">
      <c r="A53" s="34">
        <v>41783</v>
      </c>
      <c r="B53" t="s">
        <v>868</v>
      </c>
      <c r="C53" s="9" t="s">
        <v>869</v>
      </c>
      <c r="D53" s="1">
        <v>2.1030092592592597E-2</v>
      </c>
      <c r="E53" t="s">
        <v>5544</v>
      </c>
      <c r="F53" s="69" t="s">
        <v>2386</v>
      </c>
      <c r="K53" s="314">
        <v>0.67800000000000005</v>
      </c>
    </row>
    <row r="54" spans="1:11" x14ac:dyDescent="0.2">
      <c r="A54" s="34">
        <v>41776</v>
      </c>
      <c r="B54" t="s">
        <v>868</v>
      </c>
      <c r="C54" s="9" t="s">
        <v>869</v>
      </c>
      <c r="D54" s="1">
        <v>2.0497685185185185E-2</v>
      </c>
      <c r="E54" t="s">
        <v>5544</v>
      </c>
      <c r="F54" s="69"/>
      <c r="K54" s="314">
        <v>0.6804</v>
      </c>
    </row>
    <row r="55" spans="1:11" x14ac:dyDescent="0.2">
      <c r="A55" s="34">
        <v>41762</v>
      </c>
      <c r="B55" t="s">
        <v>868</v>
      </c>
      <c r="C55" s="9" t="s">
        <v>869</v>
      </c>
      <c r="D55" s="1">
        <v>2.0254629629629629E-2</v>
      </c>
      <c r="E55" t="s">
        <v>5544</v>
      </c>
      <c r="F55" s="69" t="s">
        <v>1492</v>
      </c>
      <c r="K55" s="314">
        <v>0.68859999999999999</v>
      </c>
    </row>
    <row r="56" spans="1:11" x14ac:dyDescent="0.2">
      <c r="A56" s="34">
        <v>41748</v>
      </c>
      <c r="B56" t="s">
        <v>868</v>
      </c>
      <c r="C56" s="9" t="s">
        <v>869</v>
      </c>
      <c r="D56" s="1">
        <v>1.9675925925925927E-2</v>
      </c>
      <c r="E56" t="s">
        <v>5544</v>
      </c>
      <c r="F56" s="69" t="s">
        <v>1350</v>
      </c>
      <c r="K56" s="314">
        <v>0.70879999999999999</v>
      </c>
    </row>
    <row r="57" spans="1:11" x14ac:dyDescent="0.2">
      <c r="A57" s="34">
        <v>41741</v>
      </c>
      <c r="B57" t="s">
        <v>868</v>
      </c>
      <c r="C57" s="9" t="s">
        <v>869</v>
      </c>
      <c r="D57" s="1">
        <v>2.045138888888889E-2</v>
      </c>
      <c r="E57" t="s">
        <v>5544</v>
      </c>
      <c r="F57" s="69"/>
      <c r="K57" s="314">
        <v>0.68189999999999995</v>
      </c>
    </row>
    <row r="58" spans="1:11" x14ac:dyDescent="0.2">
      <c r="A58" s="34">
        <v>41734</v>
      </c>
      <c r="B58" t="s">
        <v>868</v>
      </c>
      <c r="C58" s="9" t="s">
        <v>869</v>
      </c>
      <c r="D58" s="1">
        <v>2.011574074074074E-2</v>
      </c>
      <c r="E58" t="s">
        <v>5544</v>
      </c>
      <c r="F58" s="42" t="s">
        <v>3989</v>
      </c>
      <c r="K58" s="314">
        <v>0.6925</v>
      </c>
    </row>
    <row r="59" spans="1:11" x14ac:dyDescent="0.2">
      <c r="A59" s="34">
        <v>41713</v>
      </c>
      <c r="B59" t="s">
        <v>868</v>
      </c>
      <c r="C59" s="9" t="s">
        <v>869</v>
      </c>
      <c r="D59" s="1">
        <v>2.165509259259259E-2</v>
      </c>
      <c r="E59" t="s">
        <v>5544</v>
      </c>
      <c r="F59" s="69"/>
      <c r="K59" s="314">
        <v>0.64400000000000002</v>
      </c>
    </row>
    <row r="60" spans="1:11" x14ac:dyDescent="0.2">
      <c r="A60" s="34">
        <v>41706</v>
      </c>
      <c r="B60" t="s">
        <v>868</v>
      </c>
      <c r="C60" s="9" t="s">
        <v>869</v>
      </c>
      <c r="D60" s="1">
        <v>2.2476851851851855E-2</v>
      </c>
      <c r="E60" t="s">
        <v>5544</v>
      </c>
      <c r="F60" s="69" t="s">
        <v>506</v>
      </c>
      <c r="K60" s="314">
        <v>0.62050000000000005</v>
      </c>
    </row>
    <row r="61" spans="1:11" x14ac:dyDescent="0.2">
      <c r="A61" s="34">
        <v>41692</v>
      </c>
      <c r="B61" t="s">
        <v>868</v>
      </c>
      <c r="C61" s="9" t="s">
        <v>869</v>
      </c>
      <c r="D61" s="1">
        <v>2.074074074074074E-2</v>
      </c>
      <c r="E61" t="s">
        <v>5544</v>
      </c>
      <c r="F61" s="69"/>
      <c r="K61" s="314">
        <v>0.67320000000000002</v>
      </c>
    </row>
    <row r="62" spans="1:11" x14ac:dyDescent="0.2">
      <c r="A62" s="34">
        <v>41685</v>
      </c>
      <c r="B62" t="s">
        <v>868</v>
      </c>
      <c r="C62" s="9" t="s">
        <v>869</v>
      </c>
      <c r="D62" s="1">
        <v>2.1296296296296299E-2</v>
      </c>
      <c r="E62" t="s">
        <v>5544</v>
      </c>
      <c r="F62" s="69" t="s">
        <v>2025</v>
      </c>
      <c r="K62" s="314">
        <v>0.65449999999999997</v>
      </c>
    </row>
    <row r="63" spans="1:11" x14ac:dyDescent="0.2">
      <c r="A63" s="34">
        <v>41678</v>
      </c>
      <c r="B63" t="s">
        <v>868</v>
      </c>
      <c r="C63" s="9" t="s">
        <v>869</v>
      </c>
      <c r="D63" s="1">
        <v>2.1527777777777781E-2</v>
      </c>
      <c r="E63" t="s">
        <v>5544</v>
      </c>
      <c r="F63" s="69" t="s">
        <v>4591</v>
      </c>
      <c r="K63" s="314">
        <v>0.64780000000000004</v>
      </c>
    </row>
    <row r="64" spans="1:11" x14ac:dyDescent="0.2">
      <c r="A64" s="34">
        <v>41671</v>
      </c>
      <c r="B64" t="s">
        <v>868</v>
      </c>
      <c r="C64" s="9" t="s">
        <v>869</v>
      </c>
      <c r="D64" s="1">
        <v>2.0856481481481479E-2</v>
      </c>
      <c r="E64" t="s">
        <v>5544</v>
      </c>
      <c r="F64" s="69" t="s">
        <v>2186</v>
      </c>
      <c r="K64" s="314">
        <v>0.66869999999999996</v>
      </c>
    </row>
    <row r="65" spans="1:11" x14ac:dyDescent="0.2">
      <c r="A65" s="34">
        <v>41664</v>
      </c>
      <c r="B65" t="s">
        <v>868</v>
      </c>
      <c r="C65" s="9" t="s">
        <v>869</v>
      </c>
      <c r="D65" s="1">
        <v>2.1331018518518517E-2</v>
      </c>
      <c r="E65" t="s">
        <v>5544</v>
      </c>
      <c r="F65" s="69"/>
      <c r="K65" s="314">
        <v>0.65380000000000005</v>
      </c>
    </row>
    <row r="66" spans="1:11" x14ac:dyDescent="0.2">
      <c r="A66" s="34">
        <v>41657</v>
      </c>
      <c r="B66" t="s">
        <v>868</v>
      </c>
      <c r="C66" s="9" t="s">
        <v>869</v>
      </c>
      <c r="D66" s="1">
        <v>2.1365740740740741E-2</v>
      </c>
      <c r="E66" t="s">
        <v>5544</v>
      </c>
      <c r="F66" s="69"/>
      <c r="K66" s="314">
        <v>0.65280000000000005</v>
      </c>
    </row>
    <row r="67" spans="1:11" x14ac:dyDescent="0.2">
      <c r="A67" s="34">
        <v>41650</v>
      </c>
      <c r="B67" t="s">
        <v>868</v>
      </c>
      <c r="C67" s="9" t="s">
        <v>869</v>
      </c>
      <c r="D67" s="1">
        <v>2.0821759259259259E-2</v>
      </c>
      <c r="E67" t="s">
        <v>5544</v>
      </c>
      <c r="F67" s="69"/>
      <c r="K67" s="314">
        <v>0.66979999999999995</v>
      </c>
    </row>
    <row r="68" spans="1:11" x14ac:dyDescent="0.2">
      <c r="A68" s="33">
        <v>41993</v>
      </c>
      <c r="B68" t="s">
        <v>1938</v>
      </c>
      <c r="C68" s="1" t="s">
        <v>869</v>
      </c>
      <c r="D68" s="1">
        <v>1.9907407407407408E-2</v>
      </c>
      <c r="E68" t="s">
        <v>5544</v>
      </c>
      <c r="F68" s="42" t="s">
        <v>124</v>
      </c>
      <c r="K68" s="314">
        <v>0.71630000000000005</v>
      </c>
    </row>
    <row r="69" spans="1:11" x14ac:dyDescent="0.2">
      <c r="A69" s="34">
        <v>41811</v>
      </c>
      <c r="B69" t="s">
        <v>1938</v>
      </c>
      <c r="C69" s="9" t="s">
        <v>869</v>
      </c>
      <c r="D69" s="1">
        <v>2.1111111111111108E-2</v>
      </c>
      <c r="E69" t="s">
        <v>1401</v>
      </c>
      <c r="F69" s="42" t="s">
        <v>1584</v>
      </c>
      <c r="K69" s="314">
        <v>0.6754</v>
      </c>
    </row>
    <row r="70" spans="1:11" x14ac:dyDescent="0.2">
      <c r="A70" s="34">
        <v>41769</v>
      </c>
      <c r="B70" t="s">
        <v>1938</v>
      </c>
      <c r="C70" s="9" t="s">
        <v>869</v>
      </c>
      <c r="D70" s="1">
        <v>2.0555555555555556E-2</v>
      </c>
      <c r="E70" t="s">
        <v>5544</v>
      </c>
      <c r="F70" s="42"/>
      <c r="K70" s="314">
        <v>0.67849999999999999</v>
      </c>
    </row>
    <row r="71" spans="1:11" x14ac:dyDescent="0.2">
      <c r="A71" s="34">
        <v>41727</v>
      </c>
      <c r="B71" t="s">
        <v>1938</v>
      </c>
      <c r="C71" s="9" t="s">
        <v>869</v>
      </c>
      <c r="D71" s="1">
        <v>2.1284722222222222E-2</v>
      </c>
      <c r="E71" t="s">
        <v>5544</v>
      </c>
      <c r="F71" s="69" t="s">
        <v>1989</v>
      </c>
      <c r="K71" s="314">
        <v>0.6552</v>
      </c>
    </row>
    <row r="72" spans="1:11" x14ac:dyDescent="0.2">
      <c r="A72" s="34">
        <v>41720</v>
      </c>
      <c r="B72" t="s">
        <v>1938</v>
      </c>
      <c r="C72" s="9" t="s">
        <v>869</v>
      </c>
      <c r="D72" s="1">
        <v>2.1412037037037035E-2</v>
      </c>
      <c r="E72" t="s">
        <v>5544</v>
      </c>
      <c r="F72" s="69"/>
      <c r="K72" s="314">
        <v>0.65139999999999998</v>
      </c>
    </row>
    <row r="73" spans="1:11" x14ac:dyDescent="0.2">
      <c r="A73" s="34">
        <v>41699</v>
      </c>
      <c r="B73" t="s">
        <v>1938</v>
      </c>
      <c r="C73" s="9" t="s">
        <v>869</v>
      </c>
      <c r="D73" s="1">
        <v>2.2592592592592591E-2</v>
      </c>
      <c r="E73" t="s">
        <v>5544</v>
      </c>
      <c r="F73" s="42" t="s">
        <v>5500</v>
      </c>
      <c r="K73" s="314">
        <v>0.61729999999999996</v>
      </c>
    </row>
    <row r="74" spans="1:11" x14ac:dyDescent="0.2">
      <c r="A74" s="34">
        <v>41643</v>
      </c>
      <c r="B74" t="s">
        <v>1938</v>
      </c>
      <c r="C74" s="9" t="s">
        <v>869</v>
      </c>
      <c r="D74" s="1" t="s">
        <v>787</v>
      </c>
      <c r="E74" t="s">
        <v>5544</v>
      </c>
      <c r="F74" s="69" t="s">
        <v>4061</v>
      </c>
      <c r="K74" s="314"/>
    </row>
    <row r="75" spans="1:11" x14ac:dyDescent="0.2">
      <c r="A75" s="34"/>
      <c r="C75" s="9"/>
      <c r="D75" s="1"/>
      <c r="F75" s="69"/>
      <c r="K75" s="314"/>
    </row>
    <row r="76" spans="1:11" x14ac:dyDescent="0.2">
      <c r="A76" s="33">
        <v>42000</v>
      </c>
      <c r="B76" s="2" t="s">
        <v>481</v>
      </c>
      <c r="C76" s="3" t="s">
        <v>4575</v>
      </c>
      <c r="D76" s="1">
        <v>1.5162037037037036E-2</v>
      </c>
      <c r="E76" t="s">
        <v>5095</v>
      </c>
      <c r="F76" s="42" t="s">
        <v>5005</v>
      </c>
      <c r="K76" s="314">
        <v>0.64429999999999998</v>
      </c>
    </row>
    <row r="77" spans="1:11" x14ac:dyDescent="0.2">
      <c r="A77" s="33">
        <v>41944</v>
      </c>
      <c r="B77" t="s">
        <v>481</v>
      </c>
      <c r="C77" s="1" t="s">
        <v>4575</v>
      </c>
      <c r="D77" s="1">
        <v>1.5891203703703703E-2</v>
      </c>
      <c r="E77" t="s">
        <v>5095</v>
      </c>
      <c r="F77" s="42" t="s">
        <v>5237</v>
      </c>
      <c r="K77" s="314">
        <v>0.61470000000000002</v>
      </c>
    </row>
    <row r="78" spans="1:11" x14ac:dyDescent="0.2">
      <c r="A78" s="33">
        <v>41930</v>
      </c>
      <c r="B78" t="s">
        <v>481</v>
      </c>
      <c r="C78" s="1" t="s">
        <v>4575</v>
      </c>
      <c r="D78" s="1">
        <v>1.7627314814814814E-2</v>
      </c>
      <c r="E78" t="s">
        <v>803</v>
      </c>
      <c r="F78" s="69" t="s">
        <v>4279</v>
      </c>
      <c r="K78" s="314">
        <v>0.55420000000000003</v>
      </c>
    </row>
    <row r="79" spans="1:11" x14ac:dyDescent="0.2">
      <c r="A79" s="33">
        <v>41902</v>
      </c>
      <c r="B79" t="s">
        <v>481</v>
      </c>
      <c r="C79" s="1" t="s">
        <v>4575</v>
      </c>
      <c r="D79" s="1">
        <v>1.6354166666666666E-2</v>
      </c>
      <c r="E79" t="s">
        <v>803</v>
      </c>
      <c r="F79" s="69" t="s">
        <v>4898</v>
      </c>
      <c r="K79" s="314">
        <v>0.59309999999999996</v>
      </c>
    </row>
    <row r="80" spans="1:11" x14ac:dyDescent="0.2">
      <c r="A80" s="33"/>
      <c r="C80" s="1"/>
      <c r="D80" s="1"/>
      <c r="F80" s="69"/>
      <c r="K80" s="314"/>
    </row>
    <row r="81" spans="1:11" x14ac:dyDescent="0.2">
      <c r="A81" s="34">
        <v>41755</v>
      </c>
      <c r="B81" s="53" t="s">
        <v>1545</v>
      </c>
      <c r="C81" s="83" t="s">
        <v>1546</v>
      </c>
      <c r="D81" s="1">
        <v>1.7974537037037035E-2</v>
      </c>
      <c r="E81" t="s">
        <v>5453</v>
      </c>
      <c r="F81" s="42" t="s">
        <v>1548</v>
      </c>
      <c r="K81" s="314">
        <v>0.745</v>
      </c>
    </row>
    <row r="82" spans="1:11" x14ac:dyDescent="0.2">
      <c r="A82" s="34">
        <v>41811</v>
      </c>
      <c r="B82" s="53" t="s">
        <v>866</v>
      </c>
      <c r="C82" s="83" t="s">
        <v>4144</v>
      </c>
      <c r="D82" s="1">
        <v>1.6736111111111111E-2</v>
      </c>
      <c r="E82" t="s">
        <v>161</v>
      </c>
      <c r="F82" s="69" t="s">
        <v>2507</v>
      </c>
      <c r="K82" s="314">
        <v>0.5927</v>
      </c>
    </row>
    <row r="83" spans="1:11" x14ac:dyDescent="0.2">
      <c r="A83" s="34">
        <v>41797</v>
      </c>
      <c r="B83" s="53" t="s">
        <v>866</v>
      </c>
      <c r="C83" s="83" t="s">
        <v>4144</v>
      </c>
      <c r="D83" s="1">
        <v>1.7511574074074072E-2</v>
      </c>
      <c r="E83" t="s">
        <v>4216</v>
      </c>
      <c r="F83" s="42" t="s">
        <v>5226</v>
      </c>
      <c r="K83" s="314">
        <v>0.56640000000000001</v>
      </c>
    </row>
    <row r="84" spans="1:11" x14ac:dyDescent="0.2">
      <c r="A84" s="34">
        <v>41727</v>
      </c>
      <c r="B84" s="53" t="s">
        <v>866</v>
      </c>
      <c r="C84" s="83" t="s">
        <v>4144</v>
      </c>
      <c r="D84" s="1">
        <v>1.7164351851851851E-2</v>
      </c>
      <c r="E84" t="s">
        <v>161</v>
      </c>
      <c r="F84" s="69" t="s">
        <v>2448</v>
      </c>
      <c r="K84" s="314">
        <v>0.57789999999999997</v>
      </c>
    </row>
    <row r="85" spans="1:11" x14ac:dyDescent="0.2">
      <c r="A85" s="33">
        <v>41909</v>
      </c>
      <c r="B85" s="53" t="s">
        <v>3756</v>
      </c>
      <c r="C85" s="54" t="s">
        <v>3757</v>
      </c>
      <c r="D85" s="1">
        <v>1.6909722222222225E-2</v>
      </c>
      <c r="E85" t="s">
        <v>3072</v>
      </c>
      <c r="F85" s="42" t="s">
        <v>3758</v>
      </c>
      <c r="K85" s="314">
        <v>0.74</v>
      </c>
    </row>
    <row r="86" spans="1:11" x14ac:dyDescent="0.2">
      <c r="A86" s="33"/>
      <c r="B86" s="53"/>
      <c r="C86" s="54"/>
      <c r="D86" s="1"/>
      <c r="F86" s="42"/>
      <c r="K86" s="314"/>
    </row>
    <row r="87" spans="1:11" x14ac:dyDescent="0.2">
      <c r="A87" s="33">
        <v>41902</v>
      </c>
      <c r="B87" s="2" t="s">
        <v>3251</v>
      </c>
      <c r="C87" s="3" t="s">
        <v>3252</v>
      </c>
      <c r="D87" s="1">
        <v>1.7118055555555556E-2</v>
      </c>
      <c r="E87" t="s">
        <v>5095</v>
      </c>
      <c r="F87" s="69" t="s">
        <v>876</v>
      </c>
      <c r="K87" s="314">
        <v>0.75460000000000005</v>
      </c>
    </row>
    <row r="88" spans="1:11" x14ac:dyDescent="0.2">
      <c r="A88" s="33">
        <v>41895</v>
      </c>
      <c r="B88" t="s">
        <v>3251</v>
      </c>
      <c r="C88" s="1" t="s">
        <v>3252</v>
      </c>
      <c r="D88" s="1">
        <v>1.7280092592592593E-2</v>
      </c>
      <c r="E88" t="s">
        <v>3072</v>
      </c>
      <c r="F88" s="69" t="s">
        <v>1345</v>
      </c>
      <c r="K88" s="314">
        <v>0.74750000000000005</v>
      </c>
    </row>
    <row r="89" spans="1:11" x14ac:dyDescent="0.2">
      <c r="A89" s="34">
        <v>41846</v>
      </c>
      <c r="B89" t="s">
        <v>3251</v>
      </c>
      <c r="C89" s="1" t="s">
        <v>3252</v>
      </c>
      <c r="D89" s="1">
        <v>1.7256944444444446E-2</v>
      </c>
      <c r="E89" t="s">
        <v>5095</v>
      </c>
      <c r="F89" s="69" t="s">
        <v>2784</v>
      </c>
      <c r="K89" s="314">
        <v>0.73839999999999995</v>
      </c>
    </row>
    <row r="90" spans="1:11" x14ac:dyDescent="0.2">
      <c r="A90" s="34">
        <v>41762</v>
      </c>
      <c r="B90" t="s">
        <v>3251</v>
      </c>
      <c r="C90" s="9" t="s">
        <v>3252</v>
      </c>
      <c r="D90" s="1">
        <v>1.7245370370370369E-2</v>
      </c>
      <c r="E90" t="s">
        <v>5883</v>
      </c>
      <c r="F90" s="69" t="s">
        <v>2629</v>
      </c>
      <c r="K90" s="314">
        <v>0.7389</v>
      </c>
    </row>
    <row r="91" spans="1:11" x14ac:dyDescent="0.2">
      <c r="A91" s="34">
        <v>41748</v>
      </c>
      <c r="B91" t="s">
        <v>3251</v>
      </c>
      <c r="C91" s="9" t="s">
        <v>3252</v>
      </c>
      <c r="D91" s="1">
        <v>1.7199074074074071E-2</v>
      </c>
      <c r="E91" t="s">
        <v>3167</v>
      </c>
      <c r="F91" s="69" t="s">
        <v>2629</v>
      </c>
      <c r="K91" s="314">
        <v>0.7409</v>
      </c>
    </row>
    <row r="92" spans="1:11" x14ac:dyDescent="0.2">
      <c r="A92" s="34">
        <v>41734</v>
      </c>
      <c r="B92" t="s">
        <v>3251</v>
      </c>
      <c r="C92" s="9" t="s">
        <v>3252</v>
      </c>
      <c r="D92" s="1">
        <v>1.7326388888888888E-2</v>
      </c>
      <c r="E92" t="s">
        <v>5095</v>
      </c>
      <c r="F92" s="42" t="s">
        <v>876</v>
      </c>
      <c r="K92" s="314">
        <v>0.73550000000000004</v>
      </c>
    </row>
    <row r="93" spans="1:11" x14ac:dyDescent="0.2">
      <c r="A93" s="34">
        <v>41713</v>
      </c>
      <c r="B93" t="s">
        <v>3251</v>
      </c>
      <c r="C93" s="9" t="s">
        <v>3252</v>
      </c>
      <c r="D93" s="1">
        <v>1.7465277777777777E-2</v>
      </c>
      <c r="E93" t="s">
        <v>5883</v>
      </c>
      <c r="F93" s="69" t="s">
        <v>2730</v>
      </c>
      <c r="K93" s="314">
        <v>0.72960000000000003</v>
      </c>
    </row>
    <row r="94" spans="1:11" x14ac:dyDescent="0.2">
      <c r="A94" s="34">
        <v>41706</v>
      </c>
      <c r="B94" t="s">
        <v>3251</v>
      </c>
      <c r="C94" s="9" t="s">
        <v>3252</v>
      </c>
      <c r="D94" s="1">
        <v>1.7407407407407406E-2</v>
      </c>
      <c r="E94" t="s">
        <v>5653</v>
      </c>
      <c r="F94" s="69" t="s">
        <v>4425</v>
      </c>
      <c r="K94" s="314">
        <v>0.73199999999999998</v>
      </c>
    </row>
    <row r="95" spans="1:11" x14ac:dyDescent="0.2">
      <c r="A95" s="34">
        <v>41699</v>
      </c>
      <c r="B95" s="5" t="s">
        <v>3251</v>
      </c>
      <c r="C95" s="104" t="s">
        <v>3252</v>
      </c>
      <c r="D95" s="1">
        <v>1.7893518518518517E-2</v>
      </c>
      <c r="E95" t="s">
        <v>1214</v>
      </c>
      <c r="F95" s="42" t="s">
        <v>330</v>
      </c>
      <c r="K95" s="314">
        <v>0.71220000000000006</v>
      </c>
    </row>
    <row r="96" spans="1:11" x14ac:dyDescent="0.2">
      <c r="A96" s="34">
        <v>41671</v>
      </c>
      <c r="B96" t="s">
        <v>3251</v>
      </c>
      <c r="C96" s="9" t="s">
        <v>3252</v>
      </c>
      <c r="D96" s="1">
        <v>1.8356481481481481E-2</v>
      </c>
      <c r="E96" t="s">
        <v>3167</v>
      </c>
      <c r="F96" s="69"/>
      <c r="K96" s="314">
        <v>0.69420000000000004</v>
      </c>
    </row>
    <row r="97" spans="1:12" x14ac:dyDescent="0.2">
      <c r="A97" s="34">
        <v>41664</v>
      </c>
      <c r="B97" t="s">
        <v>3251</v>
      </c>
      <c r="C97" s="9" t="s">
        <v>3252</v>
      </c>
      <c r="D97" s="1">
        <v>1.8194444444444444E-2</v>
      </c>
      <c r="E97" t="s">
        <v>3072</v>
      </c>
      <c r="F97" s="69" t="s">
        <v>3255</v>
      </c>
      <c r="K97" s="314">
        <v>0.70040000000000002</v>
      </c>
    </row>
    <row r="98" spans="1:12" x14ac:dyDescent="0.2">
      <c r="A98" s="34">
        <v>41657</v>
      </c>
      <c r="B98" t="s">
        <v>3251</v>
      </c>
      <c r="C98" s="9" t="s">
        <v>3252</v>
      </c>
      <c r="D98" s="1">
        <v>1.8159722222222219E-2</v>
      </c>
      <c r="E98" t="s">
        <v>5095</v>
      </c>
      <c r="F98" s="69" t="s">
        <v>3253</v>
      </c>
      <c r="K98" s="314">
        <v>0.70169999999999999</v>
      </c>
    </row>
    <row r="99" spans="1:12" x14ac:dyDescent="0.2">
      <c r="A99" s="34"/>
      <c r="C99" s="9"/>
      <c r="D99" s="1"/>
      <c r="F99" s="69"/>
      <c r="K99" s="314"/>
    </row>
    <row r="100" spans="1:12" x14ac:dyDescent="0.2">
      <c r="A100" s="33">
        <v>42000</v>
      </c>
      <c r="B100" s="2" t="s">
        <v>4264</v>
      </c>
      <c r="C100" s="3" t="s">
        <v>5239</v>
      </c>
      <c r="D100" s="1" t="s">
        <v>787</v>
      </c>
      <c r="E100" t="s">
        <v>5198</v>
      </c>
      <c r="F100" s="42" t="s">
        <v>4061</v>
      </c>
      <c r="K100" s="314"/>
    </row>
    <row r="101" spans="1:12" x14ac:dyDescent="0.2">
      <c r="A101" s="33">
        <v>41979</v>
      </c>
      <c r="B101" s="206" t="s">
        <v>4264</v>
      </c>
      <c r="C101" s="254" t="s">
        <v>5239</v>
      </c>
      <c r="D101" s="1">
        <v>1.5439814814814816E-2</v>
      </c>
      <c r="E101" t="s">
        <v>5198</v>
      </c>
      <c r="F101" s="69" t="s">
        <v>2629</v>
      </c>
      <c r="K101" s="314">
        <v>0.7631</v>
      </c>
    </row>
    <row r="102" spans="1:12" x14ac:dyDescent="0.2">
      <c r="A102" s="33">
        <v>41972</v>
      </c>
      <c r="B102" t="s">
        <v>4264</v>
      </c>
      <c r="C102" s="1" t="s">
        <v>5239</v>
      </c>
      <c r="D102" s="1">
        <v>1.5914351851851853E-2</v>
      </c>
      <c r="E102" t="s">
        <v>5198</v>
      </c>
      <c r="F102" s="69" t="s">
        <v>2418</v>
      </c>
      <c r="K102" s="314">
        <v>0.74039999999999995</v>
      </c>
    </row>
    <row r="103" spans="1:12" x14ac:dyDescent="0.2">
      <c r="A103" s="33">
        <v>41951</v>
      </c>
      <c r="B103" s="206" t="s">
        <v>4264</v>
      </c>
      <c r="C103" s="254" t="s">
        <v>5239</v>
      </c>
      <c r="D103" s="1">
        <v>1.5578703703703704E-2</v>
      </c>
      <c r="E103" t="s">
        <v>5198</v>
      </c>
      <c r="F103" s="69" t="s">
        <v>471</v>
      </c>
      <c r="K103" s="314">
        <v>0.75629999999999997</v>
      </c>
      <c r="L103" t="s">
        <v>4217</v>
      </c>
    </row>
    <row r="104" spans="1:12" x14ac:dyDescent="0.2">
      <c r="A104" s="33">
        <v>41923</v>
      </c>
      <c r="B104" s="206" t="s">
        <v>4264</v>
      </c>
      <c r="C104" s="254" t="s">
        <v>5239</v>
      </c>
      <c r="D104" s="1">
        <v>1.6307870370370372E-2</v>
      </c>
      <c r="E104" t="s">
        <v>5198</v>
      </c>
      <c r="F104" s="69" t="s">
        <v>2975</v>
      </c>
      <c r="K104" s="314">
        <v>0.72250000000000003</v>
      </c>
    </row>
    <row r="105" spans="1:12" x14ac:dyDescent="0.2">
      <c r="A105" s="33">
        <v>41867</v>
      </c>
      <c r="B105" t="s">
        <v>4264</v>
      </c>
      <c r="C105" s="1" t="s">
        <v>5239</v>
      </c>
      <c r="D105" s="1" t="s">
        <v>787</v>
      </c>
      <c r="E105" t="s">
        <v>5198</v>
      </c>
      <c r="F105" s="69" t="s">
        <v>5204</v>
      </c>
      <c r="K105" s="314"/>
    </row>
    <row r="106" spans="1:12" x14ac:dyDescent="0.2">
      <c r="A106" s="34">
        <v>41797</v>
      </c>
      <c r="B106" s="53" t="s">
        <v>4264</v>
      </c>
      <c r="C106" s="83" t="s">
        <v>5239</v>
      </c>
      <c r="D106" s="1">
        <v>1.5138888888888889E-2</v>
      </c>
      <c r="E106" t="s">
        <v>5883</v>
      </c>
      <c r="F106" s="42" t="s">
        <v>996</v>
      </c>
      <c r="K106" s="314">
        <v>0.76910000000000001</v>
      </c>
    </row>
    <row r="107" spans="1:12" x14ac:dyDescent="0.2">
      <c r="A107" s="34">
        <v>41769</v>
      </c>
      <c r="B107" s="53" t="s">
        <v>4264</v>
      </c>
      <c r="C107" s="83" t="s">
        <v>5239</v>
      </c>
      <c r="D107" s="1">
        <v>1.5173611111111112E-2</v>
      </c>
      <c r="E107" t="s">
        <v>5883</v>
      </c>
      <c r="F107" s="41"/>
      <c r="K107" s="314">
        <v>0.76739999999999997</v>
      </c>
    </row>
    <row r="108" spans="1:12" x14ac:dyDescent="0.2">
      <c r="A108" s="34">
        <v>41755</v>
      </c>
      <c r="B108" s="53" t="s">
        <v>4264</v>
      </c>
      <c r="C108" s="83" t="s">
        <v>5239</v>
      </c>
      <c r="D108" s="1">
        <v>1.4999999999999999E-2</v>
      </c>
      <c r="E108" t="s">
        <v>5883</v>
      </c>
      <c r="F108" s="42" t="s">
        <v>192</v>
      </c>
      <c r="K108" s="314">
        <v>0.7762</v>
      </c>
    </row>
    <row r="109" spans="1:12" x14ac:dyDescent="0.2">
      <c r="A109" s="34">
        <v>41741</v>
      </c>
      <c r="B109" s="53" t="s">
        <v>4264</v>
      </c>
      <c r="C109" s="83" t="s">
        <v>5239</v>
      </c>
      <c r="D109" s="1">
        <v>1.5324074074074073E-2</v>
      </c>
      <c r="E109" t="s">
        <v>5947</v>
      </c>
      <c r="F109" s="69" t="s">
        <v>2629</v>
      </c>
      <c r="K109" s="314">
        <v>0.75980000000000003</v>
      </c>
    </row>
    <row r="110" spans="1:12" x14ac:dyDescent="0.2">
      <c r="A110" s="34">
        <v>41706</v>
      </c>
      <c r="B110" s="53" t="s">
        <v>4264</v>
      </c>
      <c r="C110" s="83" t="s">
        <v>5239</v>
      </c>
      <c r="D110" s="136" t="s">
        <v>787</v>
      </c>
      <c r="E110" t="s">
        <v>5947</v>
      </c>
      <c r="F110" s="69"/>
      <c r="K110" s="314"/>
    </row>
    <row r="111" spans="1:12" x14ac:dyDescent="0.2">
      <c r="A111" s="34">
        <v>41699</v>
      </c>
      <c r="B111" s="53" t="s">
        <v>4264</v>
      </c>
      <c r="C111" s="83" t="s">
        <v>5239</v>
      </c>
      <c r="D111" s="1">
        <v>1.6099537037037037E-2</v>
      </c>
      <c r="E111" t="s">
        <v>5947</v>
      </c>
      <c r="F111" s="42"/>
      <c r="K111" s="314">
        <v>0.72319999999999995</v>
      </c>
    </row>
    <row r="112" spans="1:12" x14ac:dyDescent="0.2">
      <c r="A112" s="34">
        <v>41671</v>
      </c>
      <c r="B112" s="53" t="s">
        <v>4264</v>
      </c>
      <c r="C112" s="83" t="s">
        <v>5239</v>
      </c>
      <c r="D112" s="1">
        <v>1.712962962962963E-2</v>
      </c>
      <c r="E112" t="s">
        <v>5947</v>
      </c>
      <c r="F112" s="41"/>
      <c r="K112" s="314">
        <v>0.67969999999999997</v>
      </c>
    </row>
    <row r="113" spans="1:11" x14ac:dyDescent="0.2">
      <c r="A113" s="34">
        <v>41664</v>
      </c>
      <c r="B113" s="53" t="s">
        <v>4264</v>
      </c>
      <c r="C113" s="83" t="s">
        <v>5239</v>
      </c>
      <c r="D113" s="1">
        <v>1.5555555555555553E-2</v>
      </c>
      <c r="E113" t="s">
        <v>5883</v>
      </c>
      <c r="F113" s="69" t="s">
        <v>2237</v>
      </c>
      <c r="K113" s="314">
        <v>0.74850000000000005</v>
      </c>
    </row>
    <row r="114" spans="1:11" x14ac:dyDescent="0.2">
      <c r="A114" s="34"/>
      <c r="B114" s="53"/>
      <c r="C114" s="83"/>
      <c r="D114" s="1"/>
      <c r="F114" s="69"/>
      <c r="K114" s="314"/>
    </row>
    <row r="115" spans="1:11" x14ac:dyDescent="0.2">
      <c r="A115" s="33">
        <v>41965</v>
      </c>
      <c r="B115" s="2" t="s">
        <v>922</v>
      </c>
      <c r="C115" s="3" t="s">
        <v>5956</v>
      </c>
      <c r="D115" s="1">
        <v>2.7384259259259257E-2</v>
      </c>
      <c r="E115" t="s">
        <v>5337</v>
      </c>
      <c r="F115" s="5" t="s">
        <v>1664</v>
      </c>
      <c r="G115" s="5"/>
      <c r="H115" s="5"/>
      <c r="I115" s="5"/>
      <c r="J115" s="5"/>
      <c r="K115" s="314">
        <v>0.49869999999999998</v>
      </c>
    </row>
    <row r="116" spans="1:11" x14ac:dyDescent="0.2">
      <c r="A116" s="33">
        <v>42000</v>
      </c>
      <c r="B116" s="53" t="s">
        <v>834</v>
      </c>
      <c r="C116" s="54" t="s">
        <v>436</v>
      </c>
      <c r="D116" s="1">
        <v>2.1527777777777781E-2</v>
      </c>
      <c r="E116" t="s">
        <v>4004</v>
      </c>
      <c r="F116" s="42"/>
      <c r="K116" s="314" t="s">
        <v>578</v>
      </c>
    </row>
    <row r="117" spans="1:11" x14ac:dyDescent="0.2">
      <c r="A117" s="33">
        <v>42000</v>
      </c>
      <c r="B117" t="s">
        <v>435</v>
      </c>
      <c r="C117" s="1" t="s">
        <v>436</v>
      </c>
      <c r="D117" s="1">
        <v>2.045138888888889E-2</v>
      </c>
      <c r="E117" t="s">
        <v>4004</v>
      </c>
      <c r="F117" s="42" t="s">
        <v>2629</v>
      </c>
      <c r="K117" s="314">
        <v>0.61399999999999999</v>
      </c>
    </row>
    <row r="118" spans="1:11" x14ac:dyDescent="0.2">
      <c r="A118" s="33">
        <v>41993</v>
      </c>
      <c r="B118" t="s">
        <v>435</v>
      </c>
      <c r="C118" s="1" t="s">
        <v>436</v>
      </c>
      <c r="D118" s="1">
        <v>2.0300925925925927E-2</v>
      </c>
      <c r="E118" t="s">
        <v>5653</v>
      </c>
      <c r="F118" s="42" t="s">
        <v>2770</v>
      </c>
      <c r="K118" s="314">
        <v>0.61860000000000004</v>
      </c>
    </row>
    <row r="119" spans="1:11" x14ac:dyDescent="0.2">
      <c r="A119" s="33">
        <v>41972</v>
      </c>
      <c r="B119" t="s">
        <v>435</v>
      </c>
      <c r="C119" s="1" t="s">
        <v>436</v>
      </c>
      <c r="D119" s="1">
        <v>2.0625000000000001E-2</v>
      </c>
      <c r="E119" t="s">
        <v>5653</v>
      </c>
      <c r="F119" s="69" t="s">
        <v>898</v>
      </c>
      <c r="K119" s="314">
        <v>0.6089</v>
      </c>
    </row>
    <row r="120" spans="1:11" x14ac:dyDescent="0.2">
      <c r="A120" s="33">
        <v>41958</v>
      </c>
      <c r="B120" t="s">
        <v>435</v>
      </c>
      <c r="C120" s="1" t="s">
        <v>436</v>
      </c>
      <c r="D120" s="1">
        <v>2.0486111111111111E-2</v>
      </c>
      <c r="E120" t="s">
        <v>5653</v>
      </c>
      <c r="F120" s="42"/>
      <c r="K120" s="314">
        <v>0.61299999999999999</v>
      </c>
    </row>
    <row r="121" spans="1:11" x14ac:dyDescent="0.2">
      <c r="A121" s="33">
        <v>41951</v>
      </c>
      <c r="B121" t="s">
        <v>435</v>
      </c>
      <c r="C121" s="1" t="s">
        <v>436</v>
      </c>
      <c r="D121" s="1">
        <v>2.0370370370370369E-2</v>
      </c>
      <c r="E121" t="s">
        <v>5653</v>
      </c>
      <c r="F121" s="69"/>
      <c r="K121" s="314">
        <v>0.61650000000000005</v>
      </c>
    </row>
    <row r="122" spans="1:11" x14ac:dyDescent="0.2">
      <c r="A122" s="33">
        <v>41944</v>
      </c>
      <c r="B122" t="s">
        <v>435</v>
      </c>
      <c r="C122" s="1" t="s">
        <v>436</v>
      </c>
      <c r="D122" s="1">
        <v>2.0486111111111111E-2</v>
      </c>
      <c r="E122" t="s">
        <v>5653</v>
      </c>
      <c r="F122" s="42" t="s">
        <v>1888</v>
      </c>
      <c r="K122" s="314">
        <v>0.61299999999999999</v>
      </c>
    </row>
    <row r="123" spans="1:11" x14ac:dyDescent="0.2">
      <c r="A123" s="33">
        <v>41937</v>
      </c>
      <c r="B123" t="s">
        <v>435</v>
      </c>
      <c r="C123" s="1" t="s">
        <v>436</v>
      </c>
      <c r="D123" s="1">
        <v>2.074074074074074E-2</v>
      </c>
      <c r="E123" t="s">
        <v>5653</v>
      </c>
      <c r="F123" s="69" t="s">
        <v>4595</v>
      </c>
      <c r="K123" s="314">
        <v>0.60550000000000004</v>
      </c>
    </row>
    <row r="124" spans="1:11" x14ac:dyDescent="0.2">
      <c r="A124" s="33">
        <v>41916</v>
      </c>
      <c r="B124" t="s">
        <v>435</v>
      </c>
      <c r="C124" s="1" t="s">
        <v>436</v>
      </c>
      <c r="D124" s="1">
        <v>2.0509259259259258E-2</v>
      </c>
      <c r="E124" t="s">
        <v>6027</v>
      </c>
      <c r="F124" s="69"/>
      <c r="K124" s="314">
        <v>0.61229999999999996</v>
      </c>
    </row>
    <row r="125" spans="1:11" x14ac:dyDescent="0.2">
      <c r="A125" s="33">
        <v>41909</v>
      </c>
      <c r="B125" t="s">
        <v>435</v>
      </c>
      <c r="C125" s="1" t="s">
        <v>436</v>
      </c>
      <c r="D125" s="1">
        <v>2.0590277777777777E-2</v>
      </c>
      <c r="E125" t="s">
        <v>5653</v>
      </c>
      <c r="F125" s="42"/>
      <c r="K125" s="314">
        <v>0.6099</v>
      </c>
    </row>
    <row r="126" spans="1:11" x14ac:dyDescent="0.2">
      <c r="A126" s="33">
        <v>41888</v>
      </c>
      <c r="B126" s="5" t="s">
        <v>435</v>
      </c>
      <c r="C126" s="1" t="s">
        <v>436</v>
      </c>
      <c r="D126" s="1">
        <v>1.9976851851851853E-2</v>
      </c>
      <c r="E126" t="s">
        <v>5653</v>
      </c>
      <c r="F126" s="108" t="s">
        <v>5672</v>
      </c>
      <c r="G126" s="5"/>
      <c r="K126" s="314">
        <v>0.62860000000000005</v>
      </c>
    </row>
    <row r="127" spans="1:11" x14ac:dyDescent="0.2">
      <c r="A127" s="33">
        <v>41881</v>
      </c>
      <c r="B127" t="s">
        <v>435</v>
      </c>
      <c r="C127" s="1" t="s">
        <v>436</v>
      </c>
      <c r="D127" s="1">
        <v>2.0509259259259258E-2</v>
      </c>
      <c r="E127" t="s">
        <v>5653</v>
      </c>
      <c r="F127" s="42"/>
      <c r="K127" s="314">
        <v>0.61229999999999996</v>
      </c>
    </row>
    <row r="128" spans="1:11" x14ac:dyDescent="0.2">
      <c r="A128" s="33">
        <v>41874</v>
      </c>
      <c r="B128" t="s">
        <v>435</v>
      </c>
      <c r="C128" s="1" t="s">
        <v>436</v>
      </c>
      <c r="D128" s="1">
        <v>2.0196759259259258E-2</v>
      </c>
      <c r="E128" t="s">
        <v>5653</v>
      </c>
      <c r="F128" s="69" t="s">
        <v>2629</v>
      </c>
      <c r="K128" s="314">
        <v>0.62180000000000002</v>
      </c>
    </row>
    <row r="129" spans="1:11" x14ac:dyDescent="0.2">
      <c r="A129" s="33">
        <v>41867</v>
      </c>
      <c r="B129" t="s">
        <v>435</v>
      </c>
      <c r="C129" s="1" t="s">
        <v>436</v>
      </c>
      <c r="D129" s="1">
        <v>2.0763888888888887E-2</v>
      </c>
      <c r="E129" t="s">
        <v>5653</v>
      </c>
      <c r="F129" s="69" t="s">
        <v>2629</v>
      </c>
      <c r="K129" s="314">
        <v>0.6048</v>
      </c>
    </row>
    <row r="130" spans="1:11" x14ac:dyDescent="0.2">
      <c r="A130" s="33">
        <v>41853</v>
      </c>
      <c r="B130" t="s">
        <v>435</v>
      </c>
      <c r="C130" s="1" t="s">
        <v>436</v>
      </c>
      <c r="D130" s="1">
        <v>2.1319444444444443E-2</v>
      </c>
      <c r="E130" t="s">
        <v>5653</v>
      </c>
      <c r="F130" s="69" t="s">
        <v>4663</v>
      </c>
      <c r="K130" s="314">
        <v>0.58899999999999997</v>
      </c>
    </row>
    <row r="131" spans="1:11" x14ac:dyDescent="0.2">
      <c r="A131" s="34">
        <v>41839</v>
      </c>
      <c r="B131" t="s">
        <v>435</v>
      </c>
      <c r="C131" s="1" t="s">
        <v>436</v>
      </c>
      <c r="D131" s="1">
        <v>2.2083333333333333E-2</v>
      </c>
      <c r="E131" t="s">
        <v>5653</v>
      </c>
      <c r="F131" s="69" t="s">
        <v>2843</v>
      </c>
      <c r="K131" s="314">
        <v>0.56869999999999998</v>
      </c>
    </row>
    <row r="132" spans="1:11" x14ac:dyDescent="0.2">
      <c r="A132" s="34">
        <v>41832</v>
      </c>
      <c r="B132" t="s">
        <v>435</v>
      </c>
      <c r="C132" s="9" t="s">
        <v>436</v>
      </c>
      <c r="D132" s="1">
        <v>2.1666666666666667E-2</v>
      </c>
      <c r="E132" t="s">
        <v>5653</v>
      </c>
      <c r="F132" s="108" t="s">
        <v>1164</v>
      </c>
      <c r="G132" s="5"/>
      <c r="K132" s="314">
        <v>0.5796</v>
      </c>
    </row>
    <row r="133" spans="1:11" x14ac:dyDescent="0.2">
      <c r="A133" s="34">
        <v>41811</v>
      </c>
      <c r="B133" t="s">
        <v>435</v>
      </c>
      <c r="C133" s="9" t="s">
        <v>436</v>
      </c>
      <c r="D133" s="1">
        <v>2.101851851851852E-2</v>
      </c>
      <c r="E133" t="s">
        <v>5653</v>
      </c>
      <c r="F133" s="42" t="s">
        <v>2197</v>
      </c>
      <c r="K133" s="314">
        <v>0.59750000000000003</v>
      </c>
    </row>
    <row r="134" spans="1:11" x14ac:dyDescent="0.2">
      <c r="A134" s="34">
        <v>41804</v>
      </c>
      <c r="B134" t="s">
        <v>435</v>
      </c>
      <c r="C134" s="9" t="s">
        <v>436</v>
      </c>
      <c r="D134" s="1">
        <v>2.1504629629629627E-2</v>
      </c>
      <c r="E134" t="s">
        <v>5653</v>
      </c>
      <c r="F134" s="69" t="s">
        <v>2104</v>
      </c>
      <c r="K134" s="314">
        <v>0.58399999999999996</v>
      </c>
    </row>
    <row r="135" spans="1:11" x14ac:dyDescent="0.2">
      <c r="A135" s="34">
        <v>41797</v>
      </c>
      <c r="B135" t="s">
        <v>435</v>
      </c>
      <c r="C135" s="9" t="s">
        <v>436</v>
      </c>
      <c r="D135" s="1">
        <v>2.1585648148148145E-2</v>
      </c>
      <c r="E135" t="s">
        <v>5653</v>
      </c>
      <c r="F135" s="42" t="s">
        <v>3987</v>
      </c>
      <c r="K135" s="314">
        <v>0.58179999999999998</v>
      </c>
    </row>
    <row r="136" spans="1:11" x14ac:dyDescent="0.2">
      <c r="A136" s="34">
        <v>41790</v>
      </c>
      <c r="B136" t="s">
        <v>435</v>
      </c>
      <c r="C136" s="9" t="s">
        <v>436</v>
      </c>
      <c r="D136" s="1">
        <v>2.0601851851851854E-2</v>
      </c>
      <c r="E136" t="s">
        <v>4004</v>
      </c>
      <c r="F136" s="69" t="s">
        <v>1579</v>
      </c>
      <c r="K136" s="314">
        <v>0.60960000000000003</v>
      </c>
    </row>
    <row r="137" spans="1:11" x14ac:dyDescent="0.2">
      <c r="A137" s="34">
        <v>41783</v>
      </c>
      <c r="B137" t="s">
        <v>435</v>
      </c>
      <c r="C137" s="9" t="s">
        <v>436</v>
      </c>
      <c r="D137" s="1">
        <v>2.2210648148148149E-2</v>
      </c>
      <c r="E137" t="s">
        <v>5653</v>
      </c>
      <c r="F137" s="42"/>
      <c r="K137" s="314">
        <v>0.56540000000000001</v>
      </c>
    </row>
    <row r="138" spans="1:11" x14ac:dyDescent="0.2">
      <c r="A138" s="34">
        <v>41769</v>
      </c>
      <c r="B138" t="s">
        <v>435</v>
      </c>
      <c r="C138" s="9" t="s">
        <v>436</v>
      </c>
      <c r="D138" s="1">
        <v>2.1504629629629627E-2</v>
      </c>
      <c r="E138" t="s">
        <v>5653</v>
      </c>
      <c r="F138" s="42"/>
      <c r="K138" s="314">
        <v>0.58399999999999996</v>
      </c>
    </row>
    <row r="139" spans="1:11" x14ac:dyDescent="0.2">
      <c r="A139" s="34">
        <v>41762</v>
      </c>
      <c r="B139" t="s">
        <v>435</v>
      </c>
      <c r="C139" s="9" t="s">
        <v>436</v>
      </c>
      <c r="D139" s="1">
        <v>2.1354166666666664E-2</v>
      </c>
      <c r="E139" t="s">
        <v>5653</v>
      </c>
      <c r="F139" s="69" t="s">
        <v>2629</v>
      </c>
      <c r="K139" s="314">
        <v>0.58050000000000002</v>
      </c>
    </row>
    <row r="140" spans="1:11" x14ac:dyDescent="0.2">
      <c r="A140" s="34">
        <v>41755</v>
      </c>
      <c r="B140" t="s">
        <v>435</v>
      </c>
      <c r="C140" s="9" t="s">
        <v>436</v>
      </c>
      <c r="D140" s="1">
        <v>2.2164351851851852E-2</v>
      </c>
      <c r="E140" t="s">
        <v>5653</v>
      </c>
      <c r="F140" s="42" t="s">
        <v>2629</v>
      </c>
      <c r="K140" s="314">
        <v>0.55930000000000002</v>
      </c>
    </row>
    <row r="141" spans="1:11" x14ac:dyDescent="0.2">
      <c r="A141" s="34">
        <v>41748</v>
      </c>
      <c r="B141" t="s">
        <v>435</v>
      </c>
      <c r="C141" s="9" t="s">
        <v>436</v>
      </c>
      <c r="D141" s="1">
        <v>2.2280092592592591E-2</v>
      </c>
      <c r="E141" t="s">
        <v>5653</v>
      </c>
      <c r="F141" s="69"/>
      <c r="K141" s="314">
        <v>0.55640000000000001</v>
      </c>
    </row>
    <row r="142" spans="1:11" x14ac:dyDescent="0.2">
      <c r="A142" s="34">
        <v>41741</v>
      </c>
      <c r="B142" t="s">
        <v>435</v>
      </c>
      <c r="C142" s="9" t="s">
        <v>436</v>
      </c>
      <c r="D142" s="1">
        <v>2.3171296296296297E-2</v>
      </c>
      <c r="E142" t="s">
        <v>5095</v>
      </c>
      <c r="F142" s="69" t="s">
        <v>2786</v>
      </c>
      <c r="K142" s="314">
        <v>0.53500000000000003</v>
      </c>
    </row>
    <row r="143" spans="1:11" x14ac:dyDescent="0.2">
      <c r="A143" s="34">
        <v>41692</v>
      </c>
      <c r="B143" t="s">
        <v>435</v>
      </c>
      <c r="C143" s="9" t="s">
        <v>436</v>
      </c>
      <c r="D143" s="1">
        <v>2.0625000000000001E-2</v>
      </c>
      <c r="E143" t="s">
        <v>4004</v>
      </c>
      <c r="F143" s="69" t="s">
        <v>5803</v>
      </c>
      <c r="K143" s="314">
        <v>0.60099999999999998</v>
      </c>
    </row>
    <row r="144" spans="1:11" x14ac:dyDescent="0.2">
      <c r="A144" s="34">
        <v>41678</v>
      </c>
      <c r="B144" t="s">
        <v>435</v>
      </c>
      <c r="C144" s="9" t="s">
        <v>436</v>
      </c>
      <c r="D144" s="1">
        <v>2.2129629629629628E-2</v>
      </c>
      <c r="E144" t="s">
        <v>5095</v>
      </c>
      <c r="F144" s="69"/>
      <c r="K144" s="314">
        <v>0.56010000000000004</v>
      </c>
    </row>
    <row r="145" spans="1:11" x14ac:dyDescent="0.2">
      <c r="A145" s="34">
        <v>41664</v>
      </c>
      <c r="B145" t="s">
        <v>435</v>
      </c>
      <c r="C145" s="9" t="s">
        <v>436</v>
      </c>
      <c r="D145" s="1">
        <v>2.1886574074074072E-2</v>
      </c>
      <c r="E145" t="s">
        <v>5095</v>
      </c>
      <c r="F145" s="69"/>
      <c r="K145" s="314">
        <v>0.56640000000000001</v>
      </c>
    </row>
    <row r="146" spans="1:11" x14ac:dyDescent="0.2">
      <c r="A146" s="34">
        <v>41657</v>
      </c>
      <c r="B146" t="s">
        <v>435</v>
      </c>
      <c r="C146" s="9" t="s">
        <v>436</v>
      </c>
      <c r="D146" s="1">
        <v>2.2511574074074073E-2</v>
      </c>
      <c r="E146" t="s">
        <v>5095</v>
      </c>
      <c r="F146" s="69"/>
      <c r="K146" s="314">
        <v>0.55059999999999998</v>
      </c>
    </row>
    <row r="147" spans="1:11" x14ac:dyDescent="0.2">
      <c r="A147" s="34"/>
      <c r="C147" s="9"/>
      <c r="D147" s="1"/>
      <c r="F147" s="69"/>
      <c r="K147" s="314"/>
    </row>
    <row r="148" spans="1:11" x14ac:dyDescent="0.2">
      <c r="A148" s="33">
        <v>41965</v>
      </c>
      <c r="B148" s="2" t="s">
        <v>863</v>
      </c>
      <c r="C148" s="3" t="s">
        <v>2250</v>
      </c>
      <c r="D148" s="1">
        <v>1.6516203703703703E-2</v>
      </c>
      <c r="E148" t="s">
        <v>5883</v>
      </c>
      <c r="F148" s="42" t="s">
        <v>1067</v>
      </c>
      <c r="K148" s="314">
        <v>0.78349999999999997</v>
      </c>
    </row>
    <row r="149" spans="1:11" x14ac:dyDescent="0.2">
      <c r="A149" s="33">
        <v>41958</v>
      </c>
      <c r="B149" t="s">
        <v>863</v>
      </c>
      <c r="C149" s="1" t="s">
        <v>2250</v>
      </c>
      <c r="D149" s="1">
        <v>1.6782407407407409E-2</v>
      </c>
      <c r="E149" t="s">
        <v>3072</v>
      </c>
      <c r="F149" s="42" t="s">
        <v>4885</v>
      </c>
      <c r="K149" s="314">
        <v>0.72740000000000005</v>
      </c>
    </row>
    <row r="150" spans="1:11" x14ac:dyDescent="0.2">
      <c r="A150" s="33">
        <v>41937</v>
      </c>
      <c r="B150" t="s">
        <v>863</v>
      </c>
      <c r="C150" s="1" t="s">
        <v>2250</v>
      </c>
      <c r="D150" s="1">
        <v>1.5960648148148151E-2</v>
      </c>
      <c r="E150" t="s">
        <v>5885</v>
      </c>
      <c r="F150" s="69" t="s">
        <v>1068</v>
      </c>
      <c r="K150" s="314">
        <v>0.81069999999999998</v>
      </c>
    </row>
    <row r="151" spans="1:11" x14ac:dyDescent="0.2">
      <c r="A151" s="34">
        <v>41713</v>
      </c>
      <c r="B151" t="s">
        <v>863</v>
      </c>
      <c r="C151" s="9" t="s">
        <v>2250</v>
      </c>
      <c r="D151" s="1">
        <v>1.6666666666666666E-2</v>
      </c>
      <c r="E151" t="s">
        <v>5095</v>
      </c>
      <c r="F151" s="69"/>
      <c r="K151" s="314">
        <v>0.77639999999999998</v>
      </c>
    </row>
    <row r="152" spans="1:11" x14ac:dyDescent="0.2">
      <c r="A152" s="34"/>
      <c r="C152" s="9"/>
      <c r="D152" s="1"/>
      <c r="F152" s="69"/>
      <c r="K152" s="314"/>
    </row>
    <row r="153" spans="1:11" x14ac:dyDescent="0.2">
      <c r="A153" s="34">
        <v>41741</v>
      </c>
      <c r="B153" s="132" t="s">
        <v>5485</v>
      </c>
      <c r="C153" s="133" t="s">
        <v>3082</v>
      </c>
      <c r="D153" s="1">
        <v>1.6782407407407409E-2</v>
      </c>
      <c r="E153" t="s">
        <v>5947</v>
      </c>
      <c r="F153" s="69" t="s">
        <v>1635</v>
      </c>
      <c r="K153" s="314">
        <v>0.64690000000000003</v>
      </c>
    </row>
    <row r="154" spans="1:11" x14ac:dyDescent="0.2">
      <c r="A154" s="34">
        <v>41706</v>
      </c>
      <c r="B154" s="53" t="s">
        <v>5485</v>
      </c>
      <c r="C154" s="83" t="s">
        <v>3082</v>
      </c>
      <c r="D154" s="1">
        <v>1.7245370370370369E-2</v>
      </c>
      <c r="E154" t="s">
        <v>5947</v>
      </c>
      <c r="F154" s="69" t="s">
        <v>3768</v>
      </c>
      <c r="K154" s="314">
        <v>0.62419999999999998</v>
      </c>
    </row>
    <row r="155" spans="1:11" x14ac:dyDescent="0.2">
      <c r="A155" s="33">
        <v>41965</v>
      </c>
      <c r="B155" s="53" t="s">
        <v>1661</v>
      </c>
      <c r="C155" s="54" t="s">
        <v>1662</v>
      </c>
      <c r="D155" s="1">
        <v>2.7766203703703706E-2</v>
      </c>
      <c r="E155" t="s">
        <v>5885</v>
      </c>
      <c r="F155" s="5" t="s">
        <v>1663</v>
      </c>
      <c r="G155" s="5"/>
      <c r="H155" s="5"/>
      <c r="I155" s="5"/>
      <c r="J155" s="5"/>
      <c r="K155" s="314">
        <v>0.70030000000000003</v>
      </c>
    </row>
    <row r="156" spans="1:11" x14ac:dyDescent="0.2">
      <c r="A156" s="33">
        <v>41916</v>
      </c>
      <c r="B156" s="53" t="s">
        <v>3182</v>
      </c>
      <c r="C156" s="54" t="s">
        <v>3183</v>
      </c>
      <c r="D156" s="1">
        <v>1.3935185185185184E-2</v>
      </c>
      <c r="E156" t="s">
        <v>5544</v>
      </c>
      <c r="F156" s="69"/>
      <c r="K156" s="314">
        <v>0.7591</v>
      </c>
    </row>
    <row r="157" spans="1:11" x14ac:dyDescent="0.2">
      <c r="A157" s="33">
        <v>41895</v>
      </c>
      <c r="B157" s="53" t="s">
        <v>3182</v>
      </c>
      <c r="C157" s="54" t="s">
        <v>3183</v>
      </c>
      <c r="D157" s="1">
        <v>1.3958333333333335E-2</v>
      </c>
      <c r="E157" t="s">
        <v>2818</v>
      </c>
      <c r="F157" s="69" t="s">
        <v>120</v>
      </c>
      <c r="K157" s="314">
        <v>0.75790000000000002</v>
      </c>
    </row>
    <row r="158" spans="1:11" x14ac:dyDescent="0.2">
      <c r="A158" s="33">
        <v>41853</v>
      </c>
      <c r="B158" s="53" t="s">
        <v>3182</v>
      </c>
      <c r="C158" s="54" t="s">
        <v>3183</v>
      </c>
      <c r="D158" s="1">
        <v>1.4710648148148148E-2</v>
      </c>
      <c r="E158" t="s">
        <v>2846</v>
      </c>
      <c r="F158" s="69"/>
      <c r="K158" s="314">
        <v>0.71909999999999996</v>
      </c>
    </row>
    <row r="159" spans="1:11" x14ac:dyDescent="0.2">
      <c r="A159" s="34">
        <v>41797</v>
      </c>
      <c r="B159" s="53" t="s">
        <v>3182</v>
      </c>
      <c r="C159" s="83" t="s">
        <v>3183</v>
      </c>
      <c r="D159" s="1">
        <v>1.3726851851851851E-2</v>
      </c>
      <c r="E159" t="s">
        <v>5544</v>
      </c>
      <c r="F159" s="42" t="s">
        <v>2660</v>
      </c>
      <c r="K159" s="314">
        <v>0.77070000000000005</v>
      </c>
    </row>
    <row r="160" spans="1:11" x14ac:dyDescent="0.2">
      <c r="A160" s="34">
        <v>41748</v>
      </c>
      <c r="B160" s="53" t="s">
        <v>3182</v>
      </c>
      <c r="C160" s="83" t="s">
        <v>3183</v>
      </c>
      <c r="D160" s="1">
        <v>1.3761574074074074E-2</v>
      </c>
      <c r="E160" t="s">
        <v>5544</v>
      </c>
      <c r="F160" s="41"/>
      <c r="K160" s="314">
        <v>0.76280000000000003</v>
      </c>
    </row>
    <row r="161" spans="1:11" x14ac:dyDescent="0.2">
      <c r="A161" s="34">
        <v>41769</v>
      </c>
      <c r="B161" s="53" t="s">
        <v>27</v>
      </c>
      <c r="C161" s="83" t="s">
        <v>3183</v>
      </c>
      <c r="D161" s="1">
        <v>1.4548611111111111E-2</v>
      </c>
      <c r="E161" t="s">
        <v>5544</v>
      </c>
      <c r="F161" s="42"/>
      <c r="K161" s="314">
        <v>0.72709999999999997</v>
      </c>
    </row>
    <row r="162" spans="1:11" x14ac:dyDescent="0.2">
      <c r="A162" s="33">
        <v>41916</v>
      </c>
      <c r="B162" s="53" t="s">
        <v>3843</v>
      </c>
      <c r="C162" s="54" t="s">
        <v>3183</v>
      </c>
      <c r="D162" s="1">
        <v>1.8020833333333333E-2</v>
      </c>
      <c r="E162" t="s">
        <v>5544</v>
      </c>
      <c r="F162" s="69"/>
      <c r="K162" s="314">
        <v>0.65380000000000005</v>
      </c>
    </row>
    <row r="163" spans="1:11" x14ac:dyDescent="0.2">
      <c r="A163" s="34">
        <v>41797</v>
      </c>
      <c r="B163" s="53" t="s">
        <v>3843</v>
      </c>
      <c r="C163" s="83" t="s">
        <v>3183</v>
      </c>
      <c r="D163" s="1">
        <v>1.7280092592592593E-2</v>
      </c>
      <c r="E163" t="s">
        <v>5544</v>
      </c>
      <c r="F163" s="42" t="s">
        <v>4480</v>
      </c>
      <c r="K163" s="314">
        <v>0.67379999999999995</v>
      </c>
    </row>
    <row r="164" spans="1:11" x14ac:dyDescent="0.2">
      <c r="A164" s="34">
        <v>41769</v>
      </c>
      <c r="B164" s="53" t="s">
        <v>3843</v>
      </c>
      <c r="C164" s="83" t="s">
        <v>3183</v>
      </c>
      <c r="D164" s="1">
        <v>1.7175925925925924E-2</v>
      </c>
      <c r="E164" t="s">
        <v>5544</v>
      </c>
      <c r="F164" s="42"/>
      <c r="K164" s="314">
        <v>0.67789999999999995</v>
      </c>
    </row>
    <row r="165" spans="1:11" x14ac:dyDescent="0.2">
      <c r="A165" s="34">
        <v>41727</v>
      </c>
      <c r="B165" s="53" t="s">
        <v>3843</v>
      </c>
      <c r="C165" s="83" t="s">
        <v>3183</v>
      </c>
      <c r="D165" s="1">
        <v>1.7731481481481483E-2</v>
      </c>
      <c r="E165" t="s">
        <v>5544</v>
      </c>
      <c r="F165" s="69" t="s">
        <v>4145</v>
      </c>
      <c r="K165" s="314">
        <v>0.65669999999999995</v>
      </c>
    </row>
    <row r="166" spans="1:11" x14ac:dyDescent="0.2">
      <c r="A166" s="34"/>
      <c r="B166" s="53"/>
      <c r="C166" s="83"/>
      <c r="D166" s="1"/>
      <c r="F166" s="69"/>
      <c r="K166" s="314"/>
    </row>
    <row r="167" spans="1:11" x14ac:dyDescent="0.2">
      <c r="A167" s="33">
        <v>41986</v>
      </c>
      <c r="B167" s="2" t="s">
        <v>4269</v>
      </c>
      <c r="C167" s="3" t="s">
        <v>4270</v>
      </c>
      <c r="D167" s="1">
        <v>1.53125E-2</v>
      </c>
      <c r="E167" t="s">
        <v>129</v>
      </c>
      <c r="F167" s="69" t="s">
        <v>4940</v>
      </c>
      <c r="K167" s="314">
        <v>0.61</v>
      </c>
    </row>
    <row r="168" spans="1:11" x14ac:dyDescent="0.2">
      <c r="A168" s="33">
        <v>41965</v>
      </c>
      <c r="B168" t="s">
        <v>4269</v>
      </c>
      <c r="C168" s="1" t="s">
        <v>4270</v>
      </c>
      <c r="D168" s="1">
        <v>1.5416666666666667E-2</v>
      </c>
      <c r="E168" t="s">
        <v>129</v>
      </c>
      <c r="F168" s="5" t="s">
        <v>2568</v>
      </c>
      <c r="G168" s="5"/>
      <c r="H168" s="5"/>
      <c r="I168" s="5"/>
      <c r="J168" s="5"/>
      <c r="K168" s="314">
        <v>0.60589999999999999</v>
      </c>
    </row>
    <row r="169" spans="1:11" x14ac:dyDescent="0.2">
      <c r="A169" s="33">
        <v>41944</v>
      </c>
      <c r="B169" s="206" t="s">
        <v>4269</v>
      </c>
      <c r="C169" s="254" t="s">
        <v>4270</v>
      </c>
      <c r="D169" s="1">
        <v>1.5243055555555557E-2</v>
      </c>
      <c r="E169" t="s">
        <v>129</v>
      </c>
      <c r="F169" s="42" t="s">
        <v>2200</v>
      </c>
      <c r="K169" s="314">
        <v>0.61280000000000001</v>
      </c>
    </row>
    <row r="170" spans="1:11" x14ac:dyDescent="0.2">
      <c r="A170" s="33">
        <v>41930</v>
      </c>
      <c r="B170" t="s">
        <v>4269</v>
      </c>
      <c r="C170" s="1" t="s">
        <v>4270</v>
      </c>
      <c r="D170" s="1">
        <v>1.5289351851851851E-2</v>
      </c>
      <c r="E170" t="s">
        <v>129</v>
      </c>
      <c r="F170" s="69" t="s">
        <v>4275</v>
      </c>
      <c r="K170" s="314">
        <v>0.6109</v>
      </c>
    </row>
    <row r="171" spans="1:11" x14ac:dyDescent="0.2">
      <c r="A171" s="33">
        <v>41916</v>
      </c>
      <c r="B171" t="s">
        <v>4269</v>
      </c>
      <c r="C171" s="1" t="s">
        <v>4270</v>
      </c>
      <c r="D171" s="1">
        <v>1.5520833333333333E-2</v>
      </c>
      <c r="E171" t="s">
        <v>129</v>
      </c>
      <c r="F171" s="69" t="s">
        <v>4388</v>
      </c>
      <c r="K171" s="314">
        <v>0.6018</v>
      </c>
    </row>
    <row r="172" spans="1:11" x14ac:dyDescent="0.2">
      <c r="A172" s="33">
        <v>41909</v>
      </c>
      <c r="B172" t="s">
        <v>4269</v>
      </c>
      <c r="C172" s="1" t="s">
        <v>4270</v>
      </c>
      <c r="D172" s="1">
        <v>1.5277777777777777E-2</v>
      </c>
      <c r="E172" t="s">
        <v>129</v>
      </c>
      <c r="F172" s="42"/>
      <c r="K172" s="314">
        <v>0.61140000000000005</v>
      </c>
    </row>
    <row r="173" spans="1:11" x14ac:dyDescent="0.2">
      <c r="A173" s="33">
        <v>41895</v>
      </c>
      <c r="B173" s="5" t="s">
        <v>4269</v>
      </c>
      <c r="C173" s="1" t="s">
        <v>4270</v>
      </c>
      <c r="D173" s="1">
        <v>1.5277777777777777E-2</v>
      </c>
      <c r="E173" t="s">
        <v>129</v>
      </c>
      <c r="F173" s="69"/>
      <c r="K173" s="314">
        <v>0.61140000000000005</v>
      </c>
    </row>
    <row r="174" spans="1:11" x14ac:dyDescent="0.2">
      <c r="A174" s="33">
        <v>41888</v>
      </c>
      <c r="B174" s="5" t="s">
        <v>4269</v>
      </c>
      <c r="C174" s="1" t="s">
        <v>4270</v>
      </c>
      <c r="D174" s="1">
        <v>1.5127314814814816E-2</v>
      </c>
      <c r="E174" t="s">
        <v>129</v>
      </c>
      <c r="F174" s="69"/>
      <c r="K174" s="314">
        <v>0.61739999999999995</v>
      </c>
    </row>
    <row r="175" spans="1:11" x14ac:dyDescent="0.2">
      <c r="A175" s="33">
        <v>41881</v>
      </c>
      <c r="B175" t="s">
        <v>4269</v>
      </c>
      <c r="C175" s="1" t="s">
        <v>4270</v>
      </c>
      <c r="D175" s="1">
        <v>1.5243055555555557E-2</v>
      </c>
      <c r="E175" t="s">
        <v>129</v>
      </c>
      <c r="F175" s="42"/>
      <c r="K175" s="314">
        <v>0.60819999999999996</v>
      </c>
    </row>
    <row r="176" spans="1:11" x14ac:dyDescent="0.2">
      <c r="A176" s="33">
        <v>41874</v>
      </c>
      <c r="B176" t="s">
        <v>4269</v>
      </c>
      <c r="C176" s="1" t="s">
        <v>4270</v>
      </c>
      <c r="D176" s="1">
        <v>1.5439814814814816E-2</v>
      </c>
      <c r="E176" t="s">
        <v>806</v>
      </c>
      <c r="F176" s="69"/>
      <c r="G176" t="s">
        <v>3414</v>
      </c>
      <c r="K176" s="314">
        <v>0.60040000000000004</v>
      </c>
    </row>
    <row r="177" spans="1:11" x14ac:dyDescent="0.2">
      <c r="A177" s="33">
        <v>41867</v>
      </c>
      <c r="B177" t="s">
        <v>4269</v>
      </c>
      <c r="C177" s="1" t="s">
        <v>4270</v>
      </c>
      <c r="D177" s="1">
        <v>1.5138888888888889E-2</v>
      </c>
      <c r="E177" t="s">
        <v>129</v>
      </c>
      <c r="F177" s="69"/>
      <c r="K177" s="314">
        <v>0.61240000000000006</v>
      </c>
    </row>
    <row r="178" spans="1:11" x14ac:dyDescent="0.2">
      <c r="A178" s="33">
        <v>41860</v>
      </c>
      <c r="B178" t="s">
        <v>4269</v>
      </c>
      <c r="C178" s="1" t="s">
        <v>4270</v>
      </c>
      <c r="D178" s="1">
        <v>1.5439814814814816E-2</v>
      </c>
      <c r="E178" t="s">
        <v>129</v>
      </c>
      <c r="F178" s="69"/>
      <c r="K178" s="314">
        <v>0.60040000000000004</v>
      </c>
    </row>
    <row r="179" spans="1:11" x14ac:dyDescent="0.2">
      <c r="A179" s="34">
        <v>41846</v>
      </c>
      <c r="B179" t="s">
        <v>4269</v>
      </c>
      <c r="C179" s="1" t="s">
        <v>4270</v>
      </c>
      <c r="D179" s="1">
        <v>1.5370370370370369E-2</v>
      </c>
      <c r="E179" t="s">
        <v>129</v>
      </c>
      <c r="F179" s="69"/>
      <c r="K179" s="314">
        <v>0.60319999999999996</v>
      </c>
    </row>
    <row r="180" spans="1:11" x14ac:dyDescent="0.2">
      <c r="A180" s="34">
        <v>41832</v>
      </c>
      <c r="B180" t="s">
        <v>4269</v>
      </c>
      <c r="C180" s="9" t="s">
        <v>4270</v>
      </c>
      <c r="D180" s="1">
        <v>1.5219907407407409E-2</v>
      </c>
      <c r="E180" t="s">
        <v>129</v>
      </c>
      <c r="F180" s="69" t="s">
        <v>5731</v>
      </c>
      <c r="K180" s="314">
        <v>0.60909999999999997</v>
      </c>
    </row>
    <row r="181" spans="1:11" x14ac:dyDescent="0.2">
      <c r="A181" s="34">
        <v>41825</v>
      </c>
      <c r="B181" t="s">
        <v>4269</v>
      </c>
      <c r="C181" s="9" t="s">
        <v>4270</v>
      </c>
      <c r="D181" s="1">
        <v>1.525462962962963E-2</v>
      </c>
      <c r="E181" t="s">
        <v>129</v>
      </c>
      <c r="F181" s="69"/>
      <c r="K181" s="314">
        <v>0.60770000000000002</v>
      </c>
    </row>
    <row r="182" spans="1:11" x14ac:dyDescent="0.2">
      <c r="A182" s="34">
        <v>41818</v>
      </c>
      <c r="B182" t="s">
        <v>4269</v>
      </c>
      <c r="C182" s="9" t="s">
        <v>4270</v>
      </c>
      <c r="D182" s="1">
        <v>1.5092592592592593E-2</v>
      </c>
      <c r="E182" t="s">
        <v>129</v>
      </c>
      <c r="F182" s="69"/>
      <c r="K182" s="314">
        <v>0.61429999999999996</v>
      </c>
    </row>
    <row r="183" spans="1:11" x14ac:dyDescent="0.2">
      <c r="A183" s="34">
        <v>41804</v>
      </c>
      <c r="B183" t="s">
        <v>4269</v>
      </c>
      <c r="C183" s="9" t="s">
        <v>4270</v>
      </c>
      <c r="D183" s="1">
        <v>1.4999999999999999E-2</v>
      </c>
      <c r="E183" t="s">
        <v>129</v>
      </c>
      <c r="F183" s="69"/>
      <c r="K183" s="314">
        <v>0.61809999999999998</v>
      </c>
    </row>
    <row r="184" spans="1:11" x14ac:dyDescent="0.2">
      <c r="A184" s="34">
        <v>41797</v>
      </c>
      <c r="B184" t="s">
        <v>4269</v>
      </c>
      <c r="C184" s="9" t="s">
        <v>4270</v>
      </c>
      <c r="D184" s="1">
        <v>1.5625E-2</v>
      </c>
      <c r="E184" t="s">
        <v>129</v>
      </c>
      <c r="F184" s="42" t="s">
        <v>4479</v>
      </c>
      <c r="K184" s="314">
        <v>0.59330000000000005</v>
      </c>
    </row>
    <row r="185" spans="1:11" x14ac:dyDescent="0.2">
      <c r="A185" s="34">
        <v>41790</v>
      </c>
      <c r="B185" s="5" t="s">
        <v>4269</v>
      </c>
      <c r="C185" s="104" t="s">
        <v>4270</v>
      </c>
      <c r="D185" s="1" t="s">
        <v>787</v>
      </c>
      <c r="E185" t="s">
        <v>129</v>
      </c>
      <c r="F185" s="69"/>
      <c r="K185" s="314"/>
    </row>
    <row r="186" spans="1:11" x14ac:dyDescent="0.2">
      <c r="A186" s="34">
        <v>41776</v>
      </c>
      <c r="B186" s="53" t="s">
        <v>4269</v>
      </c>
      <c r="C186" s="83" t="s">
        <v>4270</v>
      </c>
      <c r="D186" s="1">
        <v>1.4884259259259259E-2</v>
      </c>
      <c r="E186" t="s">
        <v>129</v>
      </c>
      <c r="F186" s="69"/>
      <c r="K186" s="314">
        <v>0.62290000000000001</v>
      </c>
    </row>
    <row r="187" spans="1:11" x14ac:dyDescent="0.2">
      <c r="A187" s="34">
        <v>41769</v>
      </c>
      <c r="B187" s="53" t="s">
        <v>4269</v>
      </c>
      <c r="C187" s="83" t="s">
        <v>4270</v>
      </c>
      <c r="D187" s="1">
        <v>1.4872685185185185E-2</v>
      </c>
      <c r="E187" t="s">
        <v>129</v>
      </c>
      <c r="F187" s="42"/>
      <c r="K187" s="314">
        <v>0.62329999999999997</v>
      </c>
    </row>
    <row r="188" spans="1:11" x14ac:dyDescent="0.2">
      <c r="A188" s="34">
        <v>41762</v>
      </c>
      <c r="B188" s="53" t="s">
        <v>4269</v>
      </c>
      <c r="C188" s="83" t="s">
        <v>4270</v>
      </c>
      <c r="D188" s="1">
        <v>1.4756944444444446E-2</v>
      </c>
      <c r="E188" t="s">
        <v>129</v>
      </c>
      <c r="F188" s="69"/>
      <c r="K188" s="314">
        <v>0.62819999999999998</v>
      </c>
    </row>
    <row r="189" spans="1:11" x14ac:dyDescent="0.2">
      <c r="A189" s="34">
        <v>41755</v>
      </c>
      <c r="B189" s="53" t="s">
        <v>4269</v>
      </c>
      <c r="C189" s="83" t="s">
        <v>4270</v>
      </c>
      <c r="D189" s="1">
        <v>1.4965277777777779E-2</v>
      </c>
      <c r="E189" t="s">
        <v>129</v>
      </c>
      <c r="F189" s="42"/>
      <c r="K189" s="314">
        <v>0.61950000000000005</v>
      </c>
    </row>
    <row r="190" spans="1:11" x14ac:dyDescent="0.2">
      <c r="A190" s="34">
        <v>41748</v>
      </c>
      <c r="B190" s="53" t="s">
        <v>4269</v>
      </c>
      <c r="C190" s="83" t="s">
        <v>4270</v>
      </c>
      <c r="D190" s="1">
        <v>1.4953703703703705E-2</v>
      </c>
      <c r="E190" t="s">
        <v>129</v>
      </c>
      <c r="F190" s="69" t="s">
        <v>3374</v>
      </c>
      <c r="K190" s="314">
        <v>0.62</v>
      </c>
    </row>
    <row r="191" spans="1:11" x14ac:dyDescent="0.2">
      <c r="A191" s="34">
        <v>41741</v>
      </c>
      <c r="B191" s="53" t="s">
        <v>4269</v>
      </c>
      <c r="C191" s="83" t="s">
        <v>4270</v>
      </c>
      <c r="D191" s="1">
        <v>1.4953703703703705E-2</v>
      </c>
      <c r="E191" t="s">
        <v>129</v>
      </c>
      <c r="F191" s="69"/>
      <c r="K191" s="314">
        <v>0.62</v>
      </c>
    </row>
    <row r="192" spans="1:11" x14ac:dyDescent="0.2">
      <c r="A192" s="34">
        <v>41734</v>
      </c>
      <c r="B192" s="53" t="s">
        <v>4269</v>
      </c>
      <c r="C192" s="83" t="s">
        <v>4270</v>
      </c>
      <c r="D192" s="1">
        <v>1.4837962962962963E-2</v>
      </c>
      <c r="E192" t="s">
        <v>129</v>
      </c>
      <c r="F192" s="42"/>
      <c r="K192" s="314">
        <v>0.62480000000000002</v>
      </c>
    </row>
    <row r="193" spans="1:21" x14ac:dyDescent="0.2">
      <c r="A193" s="34">
        <v>41727</v>
      </c>
      <c r="B193" s="53" t="s">
        <v>4269</v>
      </c>
      <c r="C193" s="83" t="s">
        <v>4270</v>
      </c>
      <c r="D193" s="1">
        <v>1.4780092592592595E-2</v>
      </c>
      <c r="E193" t="s">
        <v>129</v>
      </c>
      <c r="F193" s="69"/>
      <c r="K193" s="314">
        <v>0.62729999999999997</v>
      </c>
    </row>
    <row r="194" spans="1:21" x14ac:dyDescent="0.2">
      <c r="A194" s="34">
        <v>41720</v>
      </c>
      <c r="B194" s="53" t="s">
        <v>4269</v>
      </c>
      <c r="C194" s="83" t="s">
        <v>4270</v>
      </c>
      <c r="D194" s="1">
        <v>1.4837962962962963E-2</v>
      </c>
      <c r="E194" t="s">
        <v>129</v>
      </c>
      <c r="F194" s="69"/>
      <c r="K194" s="314">
        <v>0.62480000000000002</v>
      </c>
    </row>
    <row r="195" spans="1:21" x14ac:dyDescent="0.2">
      <c r="A195" s="34">
        <v>41713</v>
      </c>
      <c r="B195" s="53" t="s">
        <v>4269</v>
      </c>
      <c r="C195" s="83" t="s">
        <v>4270</v>
      </c>
      <c r="D195" s="1">
        <v>1.4652777777777778E-2</v>
      </c>
      <c r="E195" t="s">
        <v>129</v>
      </c>
      <c r="F195" s="69"/>
      <c r="K195" s="314">
        <v>0.63270000000000004</v>
      </c>
    </row>
    <row r="196" spans="1:21" x14ac:dyDescent="0.2">
      <c r="A196" s="34">
        <v>41706</v>
      </c>
      <c r="B196" s="53" t="s">
        <v>4269</v>
      </c>
      <c r="C196" s="83" t="s">
        <v>4270</v>
      </c>
      <c r="D196" s="1">
        <v>1.4537037037037038E-2</v>
      </c>
      <c r="E196" t="s">
        <v>129</v>
      </c>
      <c r="F196" s="69" t="s">
        <v>5570</v>
      </c>
      <c r="K196" s="314">
        <v>0.63770000000000004</v>
      </c>
    </row>
    <row r="197" spans="1:21" x14ac:dyDescent="0.2">
      <c r="A197" s="34">
        <v>41699</v>
      </c>
      <c r="B197" s="53" t="s">
        <v>4269</v>
      </c>
      <c r="C197" s="83" t="s">
        <v>4270</v>
      </c>
      <c r="D197" s="1">
        <v>1.4791666666666668E-2</v>
      </c>
      <c r="E197" t="s">
        <v>129</v>
      </c>
      <c r="F197" s="42" t="s">
        <v>332</v>
      </c>
      <c r="K197" s="314">
        <v>0.62680000000000002</v>
      </c>
    </row>
    <row r="198" spans="1:21" x14ac:dyDescent="0.2">
      <c r="A198" s="34"/>
      <c r="B198" s="53"/>
      <c r="C198" s="83"/>
      <c r="D198" s="1"/>
      <c r="F198" s="42"/>
      <c r="K198" s="314"/>
    </row>
    <row r="199" spans="1:21" x14ac:dyDescent="0.2">
      <c r="A199" s="33">
        <v>42000</v>
      </c>
      <c r="B199" s="2" t="s">
        <v>866</v>
      </c>
      <c r="C199" s="3" t="s">
        <v>867</v>
      </c>
      <c r="D199" s="1">
        <v>1.7291666666666667E-2</v>
      </c>
      <c r="E199" t="s">
        <v>5885</v>
      </c>
      <c r="F199" s="42"/>
      <c r="K199" s="314">
        <v>0.72619999999999996</v>
      </c>
    </row>
    <row r="200" spans="1:21" x14ac:dyDescent="0.2">
      <c r="A200" s="33">
        <v>41998</v>
      </c>
      <c r="B200" t="s">
        <v>866</v>
      </c>
      <c r="C200" s="1" t="s">
        <v>867</v>
      </c>
      <c r="D200" s="1">
        <v>1.6898148148148148E-2</v>
      </c>
      <c r="E200" t="s">
        <v>5885</v>
      </c>
      <c r="F200" s="69"/>
      <c r="K200" s="314">
        <v>0.74319999999999997</v>
      </c>
    </row>
    <row r="201" spans="1:21" x14ac:dyDescent="0.2">
      <c r="A201" s="33">
        <v>41986</v>
      </c>
      <c r="B201" t="s">
        <v>866</v>
      </c>
      <c r="C201" s="1" t="s">
        <v>867</v>
      </c>
      <c r="D201" s="1">
        <v>1.7199074074074071E-2</v>
      </c>
      <c r="E201" t="s">
        <v>5885</v>
      </c>
      <c r="F201" s="69"/>
      <c r="K201" s="314">
        <v>0.73009999999999997</v>
      </c>
    </row>
    <row r="202" spans="1:21" x14ac:dyDescent="0.2">
      <c r="A202" s="33">
        <v>41979</v>
      </c>
      <c r="B202" t="s">
        <v>866</v>
      </c>
      <c r="C202" s="1" t="s">
        <v>867</v>
      </c>
      <c r="D202" s="1">
        <v>1.7199074074074071E-2</v>
      </c>
      <c r="E202" t="s">
        <v>5885</v>
      </c>
      <c r="F202" s="69"/>
      <c r="K202" s="314">
        <v>0.73009999999999997</v>
      </c>
    </row>
    <row r="203" spans="1:21" x14ac:dyDescent="0.2">
      <c r="A203" s="33">
        <v>41965</v>
      </c>
      <c r="B203" t="s">
        <v>866</v>
      </c>
      <c r="C203" s="1" t="s">
        <v>867</v>
      </c>
      <c r="D203" s="1">
        <v>1.7407407407407406E-2</v>
      </c>
      <c r="E203" t="s">
        <v>5885</v>
      </c>
      <c r="F203" s="5" t="s">
        <v>5371</v>
      </c>
      <c r="G203" s="5"/>
      <c r="H203" s="5"/>
      <c r="I203" s="5"/>
      <c r="J203" s="5"/>
      <c r="K203" s="314">
        <v>0.72140000000000004</v>
      </c>
    </row>
    <row r="204" spans="1:21" x14ac:dyDescent="0.2">
      <c r="A204" s="33">
        <v>41958</v>
      </c>
      <c r="B204" t="s">
        <v>866</v>
      </c>
      <c r="C204" s="1" t="s">
        <v>867</v>
      </c>
      <c r="D204" s="1">
        <v>1.7534722222222222E-2</v>
      </c>
      <c r="E204" t="s">
        <v>5885</v>
      </c>
      <c r="F204" s="42" t="s">
        <v>2188</v>
      </c>
      <c r="K204" s="314">
        <v>0.71619999999999995</v>
      </c>
      <c r="L204" t="s">
        <v>1738</v>
      </c>
    </row>
    <row r="205" spans="1:21" x14ac:dyDescent="0.2">
      <c r="A205" s="33">
        <v>41888</v>
      </c>
      <c r="B205" s="5" t="s">
        <v>866</v>
      </c>
      <c r="C205" s="1" t="s">
        <v>867</v>
      </c>
      <c r="D205" s="1">
        <v>1.6550925925925924E-2</v>
      </c>
      <c r="E205" t="s">
        <v>5885</v>
      </c>
      <c r="F205" s="69"/>
      <c r="K205" s="314">
        <v>0.75870000000000004</v>
      </c>
    </row>
    <row r="206" spans="1:21" x14ac:dyDescent="0.2">
      <c r="A206" s="33">
        <v>41881</v>
      </c>
      <c r="B206" t="s">
        <v>866</v>
      </c>
      <c r="C206" s="1" t="s">
        <v>867</v>
      </c>
      <c r="D206" s="1">
        <v>1.6481481481481482E-2</v>
      </c>
      <c r="E206" t="s">
        <v>5885</v>
      </c>
      <c r="F206" s="42"/>
      <c r="K206" s="314">
        <v>0.76190000000000002</v>
      </c>
      <c r="U206" s="5"/>
    </row>
    <row r="207" spans="1:21" x14ac:dyDescent="0.2">
      <c r="A207" s="33">
        <v>41874</v>
      </c>
      <c r="B207" t="s">
        <v>866</v>
      </c>
      <c r="C207" s="1" t="s">
        <v>867</v>
      </c>
      <c r="D207" s="1">
        <v>1.6238425925925924E-2</v>
      </c>
      <c r="E207" t="s">
        <v>5885</v>
      </c>
      <c r="F207" s="69"/>
      <c r="K207" s="314">
        <v>0.77329999999999999</v>
      </c>
    </row>
    <row r="208" spans="1:21" x14ac:dyDescent="0.2">
      <c r="A208" s="33">
        <v>41867</v>
      </c>
      <c r="B208" t="s">
        <v>866</v>
      </c>
      <c r="C208" s="1" t="s">
        <v>867</v>
      </c>
      <c r="D208" s="1">
        <v>1.6493055555555556E-2</v>
      </c>
      <c r="E208" t="s">
        <v>5885</v>
      </c>
      <c r="F208" s="69"/>
      <c r="K208" s="314">
        <v>0.76139999999999997</v>
      </c>
      <c r="U208" s="5"/>
    </row>
    <row r="209" spans="1:11" x14ac:dyDescent="0.2">
      <c r="A209" s="33">
        <v>41853</v>
      </c>
      <c r="B209" t="s">
        <v>866</v>
      </c>
      <c r="C209" s="1" t="s">
        <v>867</v>
      </c>
      <c r="D209" s="1">
        <v>1.653935185185185E-2</v>
      </c>
      <c r="E209" t="s">
        <v>5885</v>
      </c>
      <c r="F209" s="69"/>
      <c r="K209" s="314">
        <v>0.75929999999999997</v>
      </c>
    </row>
    <row r="210" spans="1:11" x14ac:dyDescent="0.2">
      <c r="A210" s="34">
        <v>41832</v>
      </c>
      <c r="B210" t="s">
        <v>866</v>
      </c>
      <c r="C210" s="9" t="s">
        <v>867</v>
      </c>
      <c r="D210" s="1">
        <v>1.6354166666666666E-2</v>
      </c>
      <c r="E210" t="s">
        <v>5885</v>
      </c>
      <c r="F210" s="69"/>
      <c r="K210" s="314">
        <v>0.76790000000000003</v>
      </c>
    </row>
    <row r="211" spans="1:11" x14ac:dyDescent="0.2">
      <c r="A211" s="34">
        <v>41825</v>
      </c>
      <c r="B211" t="s">
        <v>866</v>
      </c>
      <c r="C211" s="9" t="s">
        <v>867</v>
      </c>
      <c r="D211" s="1">
        <v>1.6597222222222222E-2</v>
      </c>
      <c r="E211" t="s">
        <v>5885</v>
      </c>
      <c r="F211" s="69"/>
      <c r="K211" s="314">
        <v>0.75660000000000005</v>
      </c>
    </row>
    <row r="212" spans="1:11" x14ac:dyDescent="0.2">
      <c r="A212" s="34">
        <v>41804</v>
      </c>
      <c r="B212" t="s">
        <v>866</v>
      </c>
      <c r="C212" s="9" t="s">
        <v>867</v>
      </c>
      <c r="D212" s="1">
        <v>1.6585648148148148E-2</v>
      </c>
      <c r="E212" t="s">
        <v>5885</v>
      </c>
      <c r="F212" s="69" t="s">
        <v>2689</v>
      </c>
      <c r="K212" s="314">
        <v>0.75719999999999998</v>
      </c>
    </row>
    <row r="213" spans="1:11" x14ac:dyDescent="0.2">
      <c r="A213" s="34">
        <v>41797</v>
      </c>
      <c r="B213" t="s">
        <v>866</v>
      </c>
      <c r="C213" s="9" t="s">
        <v>867</v>
      </c>
      <c r="D213" s="1">
        <v>1.6446759259259262E-2</v>
      </c>
      <c r="E213" t="s">
        <v>5885</v>
      </c>
      <c r="F213" s="42" t="s">
        <v>2688</v>
      </c>
      <c r="K213" s="314">
        <v>0.76349999999999996</v>
      </c>
    </row>
    <row r="214" spans="1:11" x14ac:dyDescent="0.2">
      <c r="A214" s="34">
        <v>41776</v>
      </c>
      <c r="B214" t="s">
        <v>866</v>
      </c>
      <c r="C214" s="9" t="s">
        <v>867</v>
      </c>
      <c r="D214" s="1">
        <v>1.6400462962962964E-2</v>
      </c>
      <c r="E214" t="s">
        <v>5885</v>
      </c>
      <c r="F214" s="69"/>
      <c r="K214" s="314">
        <v>0.76570000000000005</v>
      </c>
    </row>
    <row r="215" spans="1:11" x14ac:dyDescent="0.2">
      <c r="A215" s="34">
        <v>41769</v>
      </c>
      <c r="B215" t="s">
        <v>866</v>
      </c>
      <c r="C215" s="9" t="s">
        <v>867</v>
      </c>
      <c r="D215" s="1">
        <v>1.6562500000000001E-2</v>
      </c>
      <c r="E215" t="s">
        <v>5885</v>
      </c>
      <c r="F215" s="42"/>
      <c r="K215" s="314">
        <v>0.75819999999999999</v>
      </c>
    </row>
    <row r="216" spans="1:11" x14ac:dyDescent="0.2">
      <c r="A216" s="34">
        <v>41762</v>
      </c>
      <c r="B216" t="s">
        <v>866</v>
      </c>
      <c r="C216" s="9" t="s">
        <v>867</v>
      </c>
      <c r="D216" s="1">
        <v>1.6261574074074074E-2</v>
      </c>
      <c r="E216" t="s">
        <v>5885</v>
      </c>
      <c r="F216" s="69"/>
      <c r="K216" s="314">
        <v>0.7722</v>
      </c>
    </row>
    <row r="217" spans="1:11" x14ac:dyDescent="0.2">
      <c r="A217" s="34">
        <v>41755</v>
      </c>
      <c r="B217" t="s">
        <v>866</v>
      </c>
      <c r="C217" s="9" t="s">
        <v>867</v>
      </c>
      <c r="D217" s="1">
        <v>1.6701388888888887E-2</v>
      </c>
      <c r="E217" t="s">
        <v>1120</v>
      </c>
      <c r="F217" s="42"/>
      <c r="K217" s="314">
        <v>0.75190000000000001</v>
      </c>
    </row>
    <row r="218" spans="1:11" x14ac:dyDescent="0.2">
      <c r="A218" s="34">
        <v>41748</v>
      </c>
      <c r="B218" t="s">
        <v>866</v>
      </c>
      <c r="C218" s="9" t="s">
        <v>867</v>
      </c>
      <c r="D218" s="1">
        <v>1.6377314814814813E-2</v>
      </c>
      <c r="E218" t="s">
        <v>5885</v>
      </c>
      <c r="F218" s="69"/>
      <c r="K218" s="314">
        <v>0.76680000000000004</v>
      </c>
    </row>
    <row r="219" spans="1:11" x14ac:dyDescent="0.2">
      <c r="A219" s="34">
        <v>41741</v>
      </c>
      <c r="B219" t="s">
        <v>866</v>
      </c>
      <c r="C219" s="9" t="s">
        <v>867</v>
      </c>
      <c r="D219" s="1">
        <v>1.6631944444444446E-2</v>
      </c>
      <c r="E219" t="s">
        <v>5885</v>
      </c>
      <c r="F219" s="69" t="s">
        <v>3993</v>
      </c>
      <c r="K219" s="314">
        <v>0.755</v>
      </c>
    </row>
    <row r="220" spans="1:11" x14ac:dyDescent="0.2">
      <c r="A220" s="34">
        <v>41734</v>
      </c>
      <c r="B220" t="s">
        <v>866</v>
      </c>
      <c r="C220" s="9" t="s">
        <v>867</v>
      </c>
      <c r="D220" s="1">
        <v>1.6782407407407409E-2</v>
      </c>
      <c r="E220" t="s">
        <v>5885</v>
      </c>
      <c r="F220" s="42" t="s">
        <v>3991</v>
      </c>
      <c r="K220" s="314">
        <v>0.74829999999999997</v>
      </c>
    </row>
    <row r="221" spans="1:11" x14ac:dyDescent="0.2">
      <c r="A221" s="34">
        <v>41706</v>
      </c>
      <c r="B221" t="s">
        <v>866</v>
      </c>
      <c r="C221" s="9" t="s">
        <v>867</v>
      </c>
      <c r="D221" s="1">
        <v>1.6793981481481483E-2</v>
      </c>
      <c r="E221" t="s">
        <v>5885</v>
      </c>
      <c r="F221" s="69" t="s">
        <v>4426</v>
      </c>
      <c r="K221" s="314">
        <v>0.74780000000000002</v>
      </c>
    </row>
    <row r="222" spans="1:11" x14ac:dyDescent="0.2">
      <c r="A222" s="34">
        <v>41699</v>
      </c>
      <c r="B222" t="s">
        <v>866</v>
      </c>
      <c r="C222" s="9" t="s">
        <v>867</v>
      </c>
      <c r="D222" s="1">
        <v>1.7314814814814814E-2</v>
      </c>
      <c r="E222" t="s">
        <v>5885</v>
      </c>
      <c r="F222" s="42" t="s">
        <v>2248</v>
      </c>
      <c r="K222" s="314">
        <v>0.72529999999999994</v>
      </c>
    </row>
    <row r="223" spans="1:11" x14ac:dyDescent="0.2">
      <c r="A223" s="34">
        <v>41664</v>
      </c>
      <c r="B223" t="s">
        <v>866</v>
      </c>
      <c r="C223" s="9" t="s">
        <v>867</v>
      </c>
      <c r="D223" s="1">
        <v>1.7118055555555556E-2</v>
      </c>
      <c r="E223" t="s">
        <v>5885</v>
      </c>
      <c r="F223" s="69"/>
      <c r="K223" s="314">
        <v>0.72409999999999997</v>
      </c>
    </row>
    <row r="224" spans="1:11" x14ac:dyDescent="0.2">
      <c r="A224" s="33">
        <v>41860</v>
      </c>
      <c r="B224" t="s">
        <v>1296</v>
      </c>
      <c r="C224" s="1" t="s">
        <v>867</v>
      </c>
      <c r="D224" s="1">
        <v>1.6759259259259258E-2</v>
      </c>
      <c r="E224" t="s">
        <v>5885</v>
      </c>
      <c r="F224" s="69"/>
      <c r="K224" s="314">
        <v>0.74929999999999997</v>
      </c>
    </row>
    <row r="225" spans="1:18" x14ac:dyDescent="0.2">
      <c r="A225" s="34">
        <v>41846</v>
      </c>
      <c r="B225" t="s">
        <v>1296</v>
      </c>
      <c r="C225" s="1" t="s">
        <v>867</v>
      </c>
      <c r="D225" s="1">
        <v>1.6608796296296299E-2</v>
      </c>
      <c r="E225" t="s">
        <v>5885</v>
      </c>
      <c r="F225" s="69"/>
      <c r="K225" s="314">
        <v>0.75609999999999999</v>
      </c>
    </row>
    <row r="226" spans="1:18" x14ac:dyDescent="0.2">
      <c r="A226" s="34"/>
      <c r="C226" s="1"/>
      <c r="D226" s="1"/>
      <c r="F226" s="69"/>
      <c r="K226" s="314"/>
    </row>
    <row r="227" spans="1:18" x14ac:dyDescent="0.2">
      <c r="A227" s="34">
        <v>41769</v>
      </c>
      <c r="B227" s="53" t="s">
        <v>3398</v>
      </c>
      <c r="C227" s="83" t="s">
        <v>3399</v>
      </c>
      <c r="D227" s="1">
        <v>1.7847222222222223E-2</v>
      </c>
      <c r="E227" t="s">
        <v>5885</v>
      </c>
      <c r="F227" s="42" t="s">
        <v>345</v>
      </c>
      <c r="K227" s="314">
        <v>0.52329999999999999</v>
      </c>
    </row>
    <row r="228" spans="1:18" x14ac:dyDescent="0.2">
      <c r="A228" s="34">
        <v>41762</v>
      </c>
      <c r="B228" s="53" t="s">
        <v>3398</v>
      </c>
      <c r="C228" s="83" t="s">
        <v>3399</v>
      </c>
      <c r="D228" s="1">
        <v>1.6793981481481483E-2</v>
      </c>
      <c r="E228" t="s">
        <v>5885</v>
      </c>
      <c r="F228" s="69"/>
      <c r="K228" s="314">
        <v>0.55620000000000003</v>
      </c>
    </row>
    <row r="229" spans="1:18" x14ac:dyDescent="0.2">
      <c r="A229" s="33">
        <v>41986</v>
      </c>
      <c r="B229" s="53" t="s">
        <v>4327</v>
      </c>
      <c r="C229" s="54" t="s">
        <v>1637</v>
      </c>
      <c r="D229" s="1">
        <v>1.4791666666666668E-2</v>
      </c>
      <c r="E229" t="s">
        <v>3072</v>
      </c>
      <c r="F229" s="69" t="s">
        <v>1451</v>
      </c>
      <c r="K229" s="314">
        <v>0.76060000000000005</v>
      </c>
    </row>
    <row r="230" spans="1:18" x14ac:dyDescent="0.2">
      <c r="A230" s="33"/>
      <c r="B230" s="53"/>
      <c r="C230" s="54"/>
      <c r="D230" s="1"/>
      <c r="F230" s="69"/>
      <c r="K230" s="314"/>
    </row>
    <row r="231" spans="1:18" x14ac:dyDescent="0.2">
      <c r="A231" s="33">
        <v>42000</v>
      </c>
      <c r="B231" s="2" t="s">
        <v>3508</v>
      </c>
      <c r="C231" s="3" t="s">
        <v>3632</v>
      </c>
      <c r="D231" s="1">
        <v>1.5636574074074074E-2</v>
      </c>
      <c r="E231" t="s">
        <v>5885</v>
      </c>
      <c r="F231" s="42" t="s">
        <v>2055</v>
      </c>
      <c r="K231" s="314">
        <v>0.66539999999999999</v>
      </c>
    </row>
    <row r="232" spans="1:18" x14ac:dyDescent="0.2">
      <c r="A232" s="33">
        <v>41998</v>
      </c>
      <c r="B232" t="s">
        <v>3508</v>
      </c>
      <c r="C232" s="1" t="s">
        <v>3632</v>
      </c>
      <c r="D232" s="1">
        <v>1.6238425925925924E-2</v>
      </c>
      <c r="E232" t="s">
        <v>5885</v>
      </c>
      <c r="F232" s="69"/>
      <c r="K232" s="314">
        <v>0.64080000000000004</v>
      </c>
    </row>
    <row r="233" spans="1:18" x14ac:dyDescent="0.2">
      <c r="A233" s="33">
        <v>41993</v>
      </c>
      <c r="B233" t="s">
        <v>3508</v>
      </c>
      <c r="C233" s="1" t="s">
        <v>3632</v>
      </c>
      <c r="D233" s="1">
        <v>1.7361111111111112E-2</v>
      </c>
      <c r="E233" t="s">
        <v>5885</v>
      </c>
      <c r="F233" s="42" t="s">
        <v>3854</v>
      </c>
      <c r="H233" t="s">
        <v>3079</v>
      </c>
      <c r="K233" s="314">
        <v>0.59930000000000005</v>
      </c>
      <c r="M233" t="s">
        <v>2856</v>
      </c>
    </row>
    <row r="234" spans="1:18" x14ac:dyDescent="0.2">
      <c r="A234" s="33">
        <v>41986</v>
      </c>
      <c r="B234" t="s">
        <v>3508</v>
      </c>
      <c r="C234" s="1" t="s">
        <v>3632</v>
      </c>
      <c r="D234" s="1">
        <v>1.4537037037037038E-2</v>
      </c>
      <c r="E234" t="s">
        <v>5885</v>
      </c>
      <c r="F234" s="69" t="s">
        <v>829</v>
      </c>
      <c r="K234" s="314">
        <v>0.71579999999999999</v>
      </c>
      <c r="Q234" s="5"/>
      <c r="R234" s="5"/>
    </row>
    <row r="235" spans="1:18" x14ac:dyDescent="0.2">
      <c r="A235" s="33">
        <v>41979</v>
      </c>
      <c r="B235" t="s">
        <v>3508</v>
      </c>
      <c r="C235" s="1" t="s">
        <v>3632</v>
      </c>
      <c r="D235" s="1">
        <v>1.4699074074074074E-2</v>
      </c>
      <c r="E235" t="s">
        <v>5885</v>
      </c>
      <c r="F235" s="69"/>
      <c r="K235" s="314">
        <v>0.70789999999999997</v>
      </c>
    </row>
    <row r="236" spans="1:18" x14ac:dyDescent="0.2">
      <c r="A236" s="33">
        <v>41972</v>
      </c>
      <c r="B236" t="s">
        <v>3508</v>
      </c>
      <c r="C236" s="1" t="s">
        <v>3632</v>
      </c>
      <c r="D236" s="1">
        <v>1.4814814814814814E-2</v>
      </c>
      <c r="E236" t="s">
        <v>1120</v>
      </c>
      <c r="F236" s="69" t="s">
        <v>5743</v>
      </c>
      <c r="K236" s="314">
        <v>0.70230000000000004</v>
      </c>
    </row>
    <row r="237" spans="1:18" x14ac:dyDescent="0.2">
      <c r="A237" s="33">
        <v>41965</v>
      </c>
      <c r="B237" s="5" t="s">
        <v>3508</v>
      </c>
      <c r="C237" s="32" t="s">
        <v>3632</v>
      </c>
      <c r="D237" s="32">
        <v>1.4675925925925926E-2</v>
      </c>
      <c r="E237" s="5" t="s">
        <v>5885</v>
      </c>
      <c r="F237" s="5" t="s">
        <v>5370</v>
      </c>
      <c r="G237" s="5"/>
      <c r="H237" s="5"/>
      <c r="I237" s="5"/>
      <c r="J237" s="5"/>
      <c r="K237" s="318">
        <v>0.70899999999999996</v>
      </c>
      <c r="L237" s="5"/>
      <c r="M237" s="5"/>
      <c r="N237" s="5"/>
      <c r="O237" s="5"/>
      <c r="P237" s="5"/>
    </row>
    <row r="238" spans="1:18" x14ac:dyDescent="0.2">
      <c r="A238" s="33">
        <v>41958</v>
      </c>
      <c r="B238" t="s">
        <v>3508</v>
      </c>
      <c r="C238" s="1" t="s">
        <v>3632</v>
      </c>
      <c r="D238" s="1">
        <v>1.4768518518518519E-2</v>
      </c>
      <c r="E238" t="s">
        <v>5885</v>
      </c>
      <c r="F238" s="42" t="s">
        <v>5917</v>
      </c>
      <c r="K238" s="314">
        <v>0.70569999999999999</v>
      </c>
    </row>
    <row r="239" spans="1:18" x14ac:dyDescent="0.2">
      <c r="A239" s="33">
        <v>41951</v>
      </c>
      <c r="B239" t="s">
        <v>3508</v>
      </c>
      <c r="C239" s="1" t="s">
        <v>3632</v>
      </c>
      <c r="D239" s="1">
        <v>1.6736111111111111E-2</v>
      </c>
      <c r="E239" t="s">
        <v>5885</v>
      </c>
      <c r="F239" s="69" t="s">
        <v>4124</v>
      </c>
      <c r="K239" s="314">
        <v>0.62170000000000003</v>
      </c>
    </row>
    <row r="240" spans="1:18" x14ac:dyDescent="0.2">
      <c r="A240" s="33">
        <v>41937</v>
      </c>
      <c r="B240" t="s">
        <v>3508</v>
      </c>
      <c r="C240" s="1" t="s">
        <v>3632</v>
      </c>
      <c r="D240" s="1">
        <v>1.6736111111111111E-2</v>
      </c>
      <c r="E240" t="s">
        <v>5885</v>
      </c>
      <c r="F240" s="69"/>
      <c r="K240" s="314">
        <v>0.62170000000000003</v>
      </c>
    </row>
    <row r="241" spans="1:11" x14ac:dyDescent="0.2">
      <c r="A241" s="33">
        <v>41930</v>
      </c>
      <c r="B241" t="s">
        <v>3508</v>
      </c>
      <c r="C241" s="1" t="s">
        <v>3632</v>
      </c>
      <c r="D241" s="1">
        <v>1.5277777777777777E-2</v>
      </c>
      <c r="E241" t="s">
        <v>5885</v>
      </c>
      <c r="F241" s="69" t="s">
        <v>4273</v>
      </c>
      <c r="K241" s="314">
        <v>0.68110000000000004</v>
      </c>
    </row>
    <row r="242" spans="1:11" x14ac:dyDescent="0.2">
      <c r="A242" s="33">
        <v>41923</v>
      </c>
      <c r="B242" t="s">
        <v>3508</v>
      </c>
      <c r="C242" s="1" t="s">
        <v>3632</v>
      </c>
      <c r="D242" s="1">
        <v>1.5891203703703703E-2</v>
      </c>
      <c r="E242" t="s">
        <v>5885</v>
      </c>
      <c r="F242" s="69"/>
      <c r="K242" s="314">
        <v>0.65480000000000005</v>
      </c>
    </row>
    <row r="243" spans="1:11" x14ac:dyDescent="0.2">
      <c r="A243" s="33">
        <v>41916</v>
      </c>
      <c r="B243" t="s">
        <v>3508</v>
      </c>
      <c r="C243" s="1" t="s">
        <v>3632</v>
      </c>
      <c r="D243" s="1">
        <v>1.5648148148148151E-2</v>
      </c>
      <c r="E243" t="s">
        <v>5885</v>
      </c>
      <c r="F243" s="69" t="s">
        <v>2592</v>
      </c>
      <c r="K243" s="314">
        <v>0.66490000000000005</v>
      </c>
    </row>
    <row r="244" spans="1:11" x14ac:dyDescent="0.2">
      <c r="A244" s="33">
        <v>41909</v>
      </c>
      <c r="B244" t="s">
        <v>3508</v>
      </c>
      <c r="C244" s="1" t="s">
        <v>3632</v>
      </c>
      <c r="D244" s="1">
        <v>1.6053240740740739E-2</v>
      </c>
      <c r="E244" t="s">
        <v>1120</v>
      </c>
      <c r="F244" s="42" t="s">
        <v>259</v>
      </c>
      <c r="K244" s="314">
        <v>0.6482</v>
      </c>
    </row>
    <row r="245" spans="1:11" x14ac:dyDescent="0.2">
      <c r="A245" s="33">
        <v>41902</v>
      </c>
      <c r="B245" t="s">
        <v>3508</v>
      </c>
      <c r="C245" s="1" t="s">
        <v>3632</v>
      </c>
      <c r="D245" s="1">
        <v>2.0474537037037038E-2</v>
      </c>
      <c r="E245" t="s">
        <v>5885</v>
      </c>
      <c r="F245" s="69" t="s">
        <v>224</v>
      </c>
      <c r="K245" s="314">
        <v>0.49969999999999998</v>
      </c>
    </row>
    <row r="246" spans="1:11" x14ac:dyDescent="0.2">
      <c r="A246" s="33">
        <v>41895</v>
      </c>
      <c r="B246" t="s">
        <v>3508</v>
      </c>
      <c r="C246" s="1" t="s">
        <v>3632</v>
      </c>
      <c r="D246" s="1">
        <v>1.462962962962963E-2</v>
      </c>
      <c r="E246" t="s">
        <v>5885</v>
      </c>
      <c r="F246" s="69" t="s">
        <v>1344</v>
      </c>
      <c r="K246" s="314">
        <v>0.71120000000000005</v>
      </c>
    </row>
    <row r="247" spans="1:11" x14ac:dyDescent="0.2">
      <c r="A247" s="33">
        <v>41888</v>
      </c>
      <c r="B247" s="5" t="s">
        <v>3508</v>
      </c>
      <c r="C247" s="1" t="s">
        <v>3632</v>
      </c>
      <c r="D247" s="1">
        <v>1.6203703703703703E-2</v>
      </c>
      <c r="E247" t="s">
        <v>5885</v>
      </c>
      <c r="F247" s="69"/>
      <c r="K247" s="314">
        <v>0.6421</v>
      </c>
    </row>
    <row r="248" spans="1:11" x14ac:dyDescent="0.2">
      <c r="A248" s="33">
        <v>41874</v>
      </c>
      <c r="B248" t="s">
        <v>3508</v>
      </c>
      <c r="C248" s="1" t="s">
        <v>3632</v>
      </c>
      <c r="D248" s="1">
        <v>1.5520833333333333E-2</v>
      </c>
      <c r="E248" t="s">
        <v>5885</v>
      </c>
      <c r="F248" s="69"/>
      <c r="K248" s="314">
        <v>0.6704</v>
      </c>
    </row>
    <row r="249" spans="1:11" x14ac:dyDescent="0.2">
      <c r="A249" s="33">
        <v>41860</v>
      </c>
      <c r="B249" t="s">
        <v>3508</v>
      </c>
      <c r="C249" s="1" t="s">
        <v>3632</v>
      </c>
      <c r="D249" s="1">
        <v>1.5706018518518518E-2</v>
      </c>
      <c r="E249" t="s">
        <v>5885</v>
      </c>
      <c r="F249" s="69"/>
      <c r="K249" s="314">
        <v>0.66249999999999998</v>
      </c>
    </row>
    <row r="250" spans="1:11" x14ac:dyDescent="0.2">
      <c r="A250" s="33">
        <v>41853</v>
      </c>
      <c r="B250" t="s">
        <v>3508</v>
      </c>
      <c r="C250" s="1" t="s">
        <v>3632</v>
      </c>
      <c r="D250" s="1">
        <v>1.4907407407407406E-2</v>
      </c>
      <c r="E250" t="s">
        <v>5885</v>
      </c>
      <c r="F250" s="69"/>
      <c r="K250" s="314">
        <v>0.69799999999999995</v>
      </c>
    </row>
    <row r="251" spans="1:11" x14ac:dyDescent="0.2">
      <c r="A251" s="34">
        <v>41846</v>
      </c>
      <c r="B251" t="s">
        <v>3508</v>
      </c>
      <c r="C251" s="1" t="s">
        <v>3632</v>
      </c>
      <c r="D251" s="1">
        <v>1.5277777777777777E-2</v>
      </c>
      <c r="E251" t="s">
        <v>1003</v>
      </c>
      <c r="F251" s="69" t="s">
        <v>1297</v>
      </c>
      <c r="K251" s="314">
        <v>0.67579999999999996</v>
      </c>
    </row>
    <row r="252" spans="1:11" x14ac:dyDescent="0.2">
      <c r="A252" s="34">
        <v>41839</v>
      </c>
      <c r="B252" t="s">
        <v>3508</v>
      </c>
      <c r="C252" s="1" t="s">
        <v>3632</v>
      </c>
      <c r="D252" s="1">
        <v>1.8842592592592591E-2</v>
      </c>
      <c r="E252" t="s">
        <v>5885</v>
      </c>
      <c r="F252" s="69"/>
      <c r="K252" s="314">
        <v>0.54790000000000005</v>
      </c>
    </row>
    <row r="253" spans="1:11" x14ac:dyDescent="0.2">
      <c r="A253" s="34">
        <v>41832</v>
      </c>
      <c r="B253" t="s">
        <v>3508</v>
      </c>
      <c r="C253" s="9" t="s">
        <v>3632</v>
      </c>
      <c r="D253" s="1">
        <v>1.6840277777777777E-2</v>
      </c>
      <c r="E253" t="s">
        <v>5885</v>
      </c>
      <c r="F253" s="69"/>
      <c r="K253" s="314">
        <v>0.61309999999999998</v>
      </c>
    </row>
    <row r="254" spans="1:11" x14ac:dyDescent="0.2">
      <c r="A254" s="34">
        <v>41818</v>
      </c>
      <c r="B254" t="s">
        <v>3508</v>
      </c>
      <c r="C254" s="9" t="s">
        <v>3632</v>
      </c>
      <c r="D254" s="1">
        <v>1.4745370370370372E-2</v>
      </c>
      <c r="E254" t="s">
        <v>5885</v>
      </c>
      <c r="F254" s="69"/>
      <c r="K254" s="314">
        <v>0.70020000000000004</v>
      </c>
    </row>
    <row r="255" spans="1:11" x14ac:dyDescent="0.2">
      <c r="A255" s="34">
        <v>41811</v>
      </c>
      <c r="B255" t="s">
        <v>3508</v>
      </c>
      <c r="C255" s="9" t="s">
        <v>3632</v>
      </c>
      <c r="D255" s="1">
        <v>1.5486111111111112E-2</v>
      </c>
      <c r="E255" t="s">
        <v>5885</v>
      </c>
      <c r="F255" s="42" t="s">
        <v>342</v>
      </c>
      <c r="K255" s="314">
        <v>0.66669999999999996</v>
      </c>
    </row>
    <row r="256" spans="1:11" x14ac:dyDescent="0.2">
      <c r="A256" s="34">
        <v>41804</v>
      </c>
      <c r="B256" t="s">
        <v>3508</v>
      </c>
      <c r="C256" s="9" t="s">
        <v>3632</v>
      </c>
      <c r="D256" s="1">
        <v>1.5300925925925926E-2</v>
      </c>
      <c r="E256" t="s">
        <v>5885</v>
      </c>
      <c r="F256" s="69"/>
      <c r="K256" s="314">
        <v>0.67469999999999997</v>
      </c>
    </row>
    <row r="257" spans="1:11" x14ac:dyDescent="0.2">
      <c r="A257" s="34">
        <v>41797</v>
      </c>
      <c r="B257" t="s">
        <v>3508</v>
      </c>
      <c r="C257" s="9" t="s">
        <v>3632</v>
      </c>
      <c r="D257" s="114">
        <v>1.9224537037037037E-2</v>
      </c>
      <c r="E257" t="s">
        <v>5885</v>
      </c>
      <c r="F257" s="42" t="s">
        <v>2689</v>
      </c>
      <c r="K257" s="314">
        <v>0.53700000000000003</v>
      </c>
    </row>
    <row r="258" spans="1:11" x14ac:dyDescent="0.2">
      <c r="A258" s="34">
        <v>41790</v>
      </c>
      <c r="B258" t="s">
        <v>3508</v>
      </c>
      <c r="C258" s="9" t="s">
        <v>3632</v>
      </c>
      <c r="D258" s="1">
        <v>1.462962962962963E-2</v>
      </c>
      <c r="E258" t="s">
        <v>5885</v>
      </c>
      <c r="F258" s="69"/>
      <c r="K258" s="314">
        <v>0.70569999999999999</v>
      </c>
    </row>
    <row r="259" spans="1:11" x14ac:dyDescent="0.2">
      <c r="A259" s="34">
        <v>41783</v>
      </c>
      <c r="B259" t="s">
        <v>3508</v>
      </c>
      <c r="C259" s="9" t="s">
        <v>3632</v>
      </c>
      <c r="D259" s="1">
        <v>1.818287037037037E-2</v>
      </c>
      <c r="E259" t="s">
        <v>5885</v>
      </c>
      <c r="F259" s="69"/>
      <c r="K259" s="314">
        <v>0.56779999999999997</v>
      </c>
    </row>
    <row r="260" spans="1:11" x14ac:dyDescent="0.2">
      <c r="A260" s="34">
        <v>41776</v>
      </c>
      <c r="B260" t="s">
        <v>3508</v>
      </c>
      <c r="C260" s="9" t="s">
        <v>3632</v>
      </c>
      <c r="D260" s="1">
        <v>1.4699074074074074E-2</v>
      </c>
      <c r="E260" t="s">
        <v>5885</v>
      </c>
      <c r="F260" s="69"/>
      <c r="K260" s="314">
        <v>0.70240000000000002</v>
      </c>
    </row>
    <row r="261" spans="1:11" x14ac:dyDescent="0.2">
      <c r="A261" s="34">
        <v>41769</v>
      </c>
      <c r="B261" t="s">
        <v>3508</v>
      </c>
      <c r="C261" s="9" t="s">
        <v>3632</v>
      </c>
      <c r="D261" s="1">
        <v>1.5347222222222222E-2</v>
      </c>
      <c r="E261" t="s">
        <v>5885</v>
      </c>
      <c r="F261" s="42"/>
      <c r="K261" s="314">
        <v>0.67269999999999996</v>
      </c>
    </row>
    <row r="262" spans="1:11" x14ac:dyDescent="0.2">
      <c r="A262" s="34">
        <v>41755</v>
      </c>
      <c r="B262" t="s">
        <v>3508</v>
      </c>
      <c r="C262" s="9" t="s">
        <v>3632</v>
      </c>
      <c r="D262" s="1">
        <v>1.5023148148148148E-2</v>
      </c>
      <c r="E262" t="s">
        <v>1120</v>
      </c>
      <c r="F262" s="42"/>
      <c r="K262" s="314">
        <v>0.68720000000000003</v>
      </c>
    </row>
    <row r="263" spans="1:11" x14ac:dyDescent="0.2">
      <c r="A263" s="34">
        <v>41741</v>
      </c>
      <c r="B263" t="s">
        <v>3508</v>
      </c>
      <c r="C263" s="9" t="s">
        <v>3632</v>
      </c>
      <c r="D263" s="1">
        <v>1.579861111111111E-2</v>
      </c>
      <c r="E263" t="s">
        <v>4901</v>
      </c>
      <c r="F263" s="69" t="s">
        <v>1830</v>
      </c>
      <c r="K263" s="314">
        <v>0.65349999999999997</v>
      </c>
    </row>
    <row r="264" spans="1:11" x14ac:dyDescent="0.2">
      <c r="A264" s="34">
        <v>41734</v>
      </c>
      <c r="B264" t="s">
        <v>3508</v>
      </c>
      <c r="C264" s="9" t="s">
        <v>3632</v>
      </c>
      <c r="D264" s="1">
        <v>1.4606481481481482E-2</v>
      </c>
      <c r="E264" t="s">
        <v>5885</v>
      </c>
      <c r="F264" s="42"/>
      <c r="K264" s="314">
        <v>0.70679999999999998</v>
      </c>
    </row>
    <row r="265" spans="1:11" x14ac:dyDescent="0.2">
      <c r="A265" s="34">
        <v>41727</v>
      </c>
      <c r="B265" t="s">
        <v>3508</v>
      </c>
      <c r="C265" s="9" t="s">
        <v>3632</v>
      </c>
      <c r="D265" s="1">
        <v>1.4756944444444446E-2</v>
      </c>
      <c r="E265" t="s">
        <v>5885</v>
      </c>
      <c r="F265" s="69"/>
      <c r="K265" s="314">
        <v>0.6996</v>
      </c>
    </row>
    <row r="266" spans="1:11" x14ac:dyDescent="0.2">
      <c r="A266" s="34">
        <v>41720</v>
      </c>
      <c r="B266" t="s">
        <v>3508</v>
      </c>
      <c r="C266" s="9" t="s">
        <v>3632</v>
      </c>
      <c r="D266" s="1">
        <v>1.5497685185185186E-2</v>
      </c>
      <c r="E266" t="s">
        <v>5885</v>
      </c>
      <c r="F266" s="69"/>
      <c r="K266" s="314">
        <v>0.66620000000000001</v>
      </c>
    </row>
    <row r="267" spans="1:11" x14ac:dyDescent="0.2">
      <c r="A267" s="34">
        <v>41713</v>
      </c>
      <c r="B267" t="s">
        <v>3508</v>
      </c>
      <c r="C267" s="9" t="s">
        <v>3632</v>
      </c>
      <c r="D267" s="1" t="s">
        <v>787</v>
      </c>
      <c r="E267" t="s">
        <v>5885</v>
      </c>
      <c r="F267" s="69"/>
      <c r="K267" s="314"/>
    </row>
    <row r="268" spans="1:11" x14ac:dyDescent="0.2">
      <c r="A268" s="34">
        <v>41692</v>
      </c>
      <c r="B268" t="s">
        <v>3508</v>
      </c>
      <c r="C268" s="9" t="s">
        <v>5802</v>
      </c>
      <c r="D268" s="1">
        <v>1.8124999999999999E-2</v>
      </c>
      <c r="E268" t="s">
        <v>5885</v>
      </c>
      <c r="F268" s="69"/>
      <c r="K268" s="314">
        <v>0.5696</v>
      </c>
    </row>
    <row r="269" spans="1:11" x14ac:dyDescent="0.2">
      <c r="A269" s="34">
        <v>41685</v>
      </c>
      <c r="B269" t="s">
        <v>3508</v>
      </c>
      <c r="C269" s="9" t="s">
        <v>3632</v>
      </c>
      <c r="D269" s="1">
        <v>1.5868055555555555E-2</v>
      </c>
      <c r="E269" t="s">
        <v>5885</v>
      </c>
      <c r="F269" s="69" t="s">
        <v>4411</v>
      </c>
      <c r="K269" s="314">
        <v>0.65059999999999996</v>
      </c>
    </row>
    <row r="270" spans="1:11" x14ac:dyDescent="0.2">
      <c r="A270" s="34">
        <v>41671</v>
      </c>
      <c r="B270" t="s">
        <v>3508</v>
      </c>
      <c r="C270" s="9" t="s">
        <v>3632</v>
      </c>
      <c r="D270" s="1">
        <v>1.5625E-2</v>
      </c>
      <c r="E270" t="s">
        <v>5885</v>
      </c>
      <c r="F270" s="69"/>
      <c r="K270" s="314">
        <v>0.66069999999999995</v>
      </c>
    </row>
    <row r="271" spans="1:11" x14ac:dyDescent="0.2">
      <c r="A271" s="34">
        <v>41664</v>
      </c>
      <c r="B271" t="s">
        <v>3508</v>
      </c>
      <c r="C271" s="9" t="s">
        <v>3632</v>
      </c>
      <c r="D271" s="1">
        <v>1.5706018518518518E-2</v>
      </c>
      <c r="E271" t="s">
        <v>5885</v>
      </c>
      <c r="F271" s="69"/>
      <c r="K271" s="314">
        <v>0.6573</v>
      </c>
    </row>
    <row r="272" spans="1:11" x14ac:dyDescent="0.2">
      <c r="A272" s="34">
        <v>41657</v>
      </c>
      <c r="B272" t="s">
        <v>3508</v>
      </c>
      <c r="C272" s="9" t="s">
        <v>3632</v>
      </c>
      <c r="D272" s="1">
        <v>1.4907407407407406E-2</v>
      </c>
      <c r="E272" t="s">
        <v>5885</v>
      </c>
      <c r="F272" s="69"/>
      <c r="K272" s="314">
        <v>0.6925</v>
      </c>
    </row>
    <row r="273" spans="1:20" x14ac:dyDescent="0.2">
      <c r="A273" s="34">
        <v>41640</v>
      </c>
      <c r="B273" t="s">
        <v>3508</v>
      </c>
      <c r="C273" s="9" t="s">
        <v>3632</v>
      </c>
      <c r="D273" s="1">
        <v>1.621527777777778E-2</v>
      </c>
      <c r="E273" t="s">
        <v>5885</v>
      </c>
      <c r="F273" s="69"/>
      <c r="K273" s="314">
        <v>0.63670000000000004</v>
      </c>
    </row>
    <row r="274" spans="1:20" x14ac:dyDescent="0.2">
      <c r="A274" s="34">
        <v>41640</v>
      </c>
      <c r="B274" t="s">
        <v>3508</v>
      </c>
      <c r="C274" s="9" t="s">
        <v>3632</v>
      </c>
      <c r="D274" s="1">
        <v>1.6759259259259258E-2</v>
      </c>
      <c r="E274" t="s">
        <v>2147</v>
      </c>
      <c r="F274" s="69"/>
      <c r="K274" s="314">
        <v>0.61599999999999999</v>
      </c>
    </row>
    <row r="275" spans="1:20" x14ac:dyDescent="0.2">
      <c r="A275" s="33">
        <v>41867</v>
      </c>
      <c r="B275" t="s">
        <v>3999</v>
      </c>
      <c r="C275" s="1" t="s">
        <v>3632</v>
      </c>
      <c r="D275" s="1">
        <v>1.539351851851852E-2</v>
      </c>
      <c r="E275" t="s">
        <v>5198</v>
      </c>
      <c r="F275" s="69" t="s">
        <v>5204</v>
      </c>
      <c r="H275" t="s">
        <v>5805</v>
      </c>
      <c r="K275" s="314">
        <v>0.67589999999999995</v>
      </c>
    </row>
    <row r="276" spans="1:20" x14ac:dyDescent="0.2">
      <c r="A276" s="34">
        <v>41762</v>
      </c>
      <c r="B276" t="s">
        <v>3999</v>
      </c>
      <c r="C276" s="9" t="s">
        <v>3632</v>
      </c>
      <c r="D276" s="1">
        <v>1.4849537037037036E-2</v>
      </c>
      <c r="E276" t="s">
        <v>998</v>
      </c>
      <c r="F276" s="69" t="s">
        <v>2071</v>
      </c>
      <c r="K276" s="314">
        <v>0.69520000000000004</v>
      </c>
    </row>
    <row r="277" spans="1:20" x14ac:dyDescent="0.2">
      <c r="A277" s="34">
        <v>41748</v>
      </c>
      <c r="B277" t="s">
        <v>3999</v>
      </c>
      <c r="C277" s="9" t="s">
        <v>3632</v>
      </c>
      <c r="D277" s="1">
        <v>1.7326388888888888E-2</v>
      </c>
      <c r="E277" t="s">
        <v>5885</v>
      </c>
      <c r="F277" s="69"/>
      <c r="K277" s="314">
        <v>0.59589999999999999</v>
      </c>
    </row>
    <row r="278" spans="1:20" x14ac:dyDescent="0.2">
      <c r="A278" s="34"/>
      <c r="C278" s="9"/>
      <c r="D278" s="1"/>
      <c r="F278" s="69"/>
      <c r="K278" s="314"/>
    </row>
    <row r="279" spans="1:20" x14ac:dyDescent="0.2">
      <c r="A279" s="33">
        <v>41998</v>
      </c>
      <c r="B279" s="53" t="s">
        <v>4259</v>
      </c>
      <c r="C279" s="54" t="s">
        <v>3632</v>
      </c>
      <c r="D279" s="1">
        <v>2.1874999999999999E-2</v>
      </c>
      <c r="E279" t="s">
        <v>5885</v>
      </c>
      <c r="F279" s="69" t="s">
        <v>5225</v>
      </c>
      <c r="K279" s="314">
        <v>0.55289999999999995</v>
      </c>
    </row>
    <row r="280" spans="1:20" x14ac:dyDescent="0.2">
      <c r="A280" s="33">
        <v>41965</v>
      </c>
      <c r="B280" s="53" t="s">
        <v>4259</v>
      </c>
      <c r="C280" s="54" t="s">
        <v>3632</v>
      </c>
      <c r="D280" s="1">
        <v>2.0023148148148148E-2</v>
      </c>
      <c r="E280" t="s">
        <v>5885</v>
      </c>
      <c r="F280" s="5" t="s">
        <v>5372</v>
      </c>
      <c r="G280" s="5"/>
      <c r="H280" s="5"/>
      <c r="I280" s="5"/>
      <c r="J280" s="5"/>
      <c r="K280" s="314">
        <v>0.59599999999999997</v>
      </c>
      <c r="S280" s="5"/>
      <c r="T280" s="5"/>
    </row>
    <row r="281" spans="1:20" x14ac:dyDescent="0.2">
      <c r="A281" s="33">
        <v>41958</v>
      </c>
      <c r="B281" s="53" t="s">
        <v>4259</v>
      </c>
      <c r="C281" s="54" t="s">
        <v>3632</v>
      </c>
      <c r="D281" s="1">
        <v>1.9155092592592592E-2</v>
      </c>
      <c r="E281" t="s">
        <v>5885</v>
      </c>
      <c r="F281" s="42" t="s">
        <v>5918</v>
      </c>
      <c r="K281" s="314">
        <v>0.623</v>
      </c>
    </row>
    <row r="282" spans="1:20" x14ac:dyDescent="0.2">
      <c r="A282" s="33">
        <v>41902</v>
      </c>
      <c r="B282" s="53" t="s">
        <v>4259</v>
      </c>
      <c r="C282" s="54" t="s">
        <v>3632</v>
      </c>
      <c r="D282" s="1">
        <v>1.9432870370370371E-2</v>
      </c>
      <c r="E282" t="s">
        <v>5947</v>
      </c>
      <c r="F282" s="69" t="s">
        <v>2086</v>
      </c>
      <c r="K282" s="314">
        <v>0.61409999999999998</v>
      </c>
    </row>
    <row r="283" spans="1:20" x14ac:dyDescent="0.2">
      <c r="A283" s="33">
        <v>41888</v>
      </c>
      <c r="B283" s="84" t="s">
        <v>4259</v>
      </c>
      <c r="C283" s="234" t="s">
        <v>3632</v>
      </c>
      <c r="D283" s="1">
        <v>1.9166666666666669E-2</v>
      </c>
      <c r="E283" t="s">
        <v>5947</v>
      </c>
      <c r="F283" s="108" t="s">
        <v>3709</v>
      </c>
      <c r="G283" s="5"/>
      <c r="K283" s="314">
        <v>0.62260000000000004</v>
      </c>
    </row>
    <row r="284" spans="1:20" x14ac:dyDescent="0.2">
      <c r="A284" s="33">
        <v>41874</v>
      </c>
      <c r="B284" s="53" t="s">
        <v>4259</v>
      </c>
      <c r="C284" s="54" t="s">
        <v>3632</v>
      </c>
      <c r="D284" s="1">
        <v>1.9166666666666669E-2</v>
      </c>
      <c r="E284" t="s">
        <v>5885</v>
      </c>
      <c r="F284" s="69" t="s">
        <v>1485</v>
      </c>
      <c r="K284" s="314">
        <v>0.62260000000000004</v>
      </c>
    </row>
    <row r="285" spans="1:20" x14ac:dyDescent="0.2">
      <c r="A285" s="33">
        <v>41867</v>
      </c>
      <c r="B285" s="53" t="s">
        <v>4259</v>
      </c>
      <c r="C285" s="54" t="s">
        <v>3632</v>
      </c>
      <c r="D285" s="1">
        <v>1.8692129629629631E-2</v>
      </c>
      <c r="E285" t="s">
        <v>5198</v>
      </c>
      <c r="F285" s="69" t="s">
        <v>5204</v>
      </c>
      <c r="H285" t="s">
        <v>3190</v>
      </c>
      <c r="K285" s="314">
        <v>0.63839999999999997</v>
      </c>
    </row>
    <row r="286" spans="1:20" x14ac:dyDescent="0.2">
      <c r="A286" s="34">
        <v>41783</v>
      </c>
      <c r="B286" s="53" t="s">
        <v>4259</v>
      </c>
      <c r="C286" s="83" t="s">
        <v>3632</v>
      </c>
      <c r="D286" s="1">
        <v>1.8171296296296297E-2</v>
      </c>
      <c r="E286" t="s">
        <v>5885</v>
      </c>
      <c r="F286" s="69" t="s">
        <v>2383</v>
      </c>
      <c r="K286" s="314">
        <v>0.65669999999999995</v>
      </c>
    </row>
    <row r="287" spans="1:20" x14ac:dyDescent="0.2">
      <c r="A287" s="34"/>
      <c r="C287" s="9"/>
      <c r="D287" s="1"/>
      <c r="F287" s="69"/>
      <c r="K287" s="314"/>
    </row>
    <row r="288" spans="1:20" x14ac:dyDescent="0.2">
      <c r="A288" s="33">
        <v>41958</v>
      </c>
      <c r="B288" s="53" t="s">
        <v>4721</v>
      </c>
      <c r="C288" s="54" t="s">
        <v>4619</v>
      </c>
      <c r="D288" s="1">
        <v>1.5196759259259259E-2</v>
      </c>
      <c r="E288" t="s">
        <v>5885</v>
      </c>
      <c r="F288" s="42"/>
      <c r="K288" s="314">
        <v>0.77100000000000002</v>
      </c>
    </row>
    <row r="289" spans="1:20" x14ac:dyDescent="0.2">
      <c r="A289" s="33">
        <v>41902</v>
      </c>
      <c r="B289" s="53" t="s">
        <v>4721</v>
      </c>
      <c r="C289" s="54" t="s">
        <v>4619</v>
      </c>
      <c r="D289" s="1">
        <v>1.4571759259259258E-2</v>
      </c>
      <c r="E289" t="s">
        <v>5885</v>
      </c>
      <c r="F289" s="41"/>
      <c r="K289" s="315">
        <v>0.996</v>
      </c>
    </row>
    <row r="290" spans="1:20" x14ac:dyDescent="0.2">
      <c r="A290" s="33"/>
      <c r="B290" s="53"/>
      <c r="C290" s="54"/>
      <c r="D290" s="1"/>
      <c r="F290" s="41"/>
      <c r="K290" s="315"/>
    </row>
    <row r="291" spans="1:20" x14ac:dyDescent="0.2">
      <c r="A291" s="33">
        <v>42000</v>
      </c>
      <c r="B291" s="2" t="s">
        <v>4576</v>
      </c>
      <c r="C291" s="3" t="s">
        <v>4577</v>
      </c>
      <c r="D291" s="1">
        <v>1.6342592592592593E-2</v>
      </c>
      <c r="E291" t="s">
        <v>5883</v>
      </c>
      <c r="F291" s="42"/>
      <c r="K291" s="314">
        <v>0.59350000000000003</v>
      </c>
    </row>
    <row r="292" spans="1:20" x14ac:dyDescent="0.2">
      <c r="A292" s="33">
        <v>41993</v>
      </c>
      <c r="B292" t="s">
        <v>4576</v>
      </c>
      <c r="C292" s="1" t="s">
        <v>4577</v>
      </c>
      <c r="D292" s="1">
        <v>1.6759259259259258E-2</v>
      </c>
      <c r="E292" t="s">
        <v>5883</v>
      </c>
      <c r="F292" s="42" t="s">
        <v>2086</v>
      </c>
      <c r="K292" s="314">
        <v>0.57869999999999999</v>
      </c>
    </row>
    <row r="293" spans="1:20" x14ac:dyDescent="0.2">
      <c r="A293" s="33">
        <v>41986</v>
      </c>
      <c r="B293" s="5" t="s">
        <v>4576</v>
      </c>
      <c r="C293" s="32" t="s">
        <v>4577</v>
      </c>
      <c r="D293" s="32">
        <v>1.5972222222222224E-2</v>
      </c>
      <c r="E293" s="5" t="s">
        <v>5883</v>
      </c>
      <c r="F293" s="108" t="s">
        <v>3709</v>
      </c>
      <c r="G293" s="5"/>
      <c r="H293" s="307" t="s">
        <v>2269</v>
      </c>
      <c r="K293" s="314">
        <v>0.60719999999999996</v>
      </c>
    </row>
    <row r="294" spans="1:20" x14ac:dyDescent="0.2">
      <c r="A294" s="33">
        <v>41979</v>
      </c>
      <c r="B294" t="s">
        <v>4576</v>
      </c>
      <c r="C294" s="1" t="s">
        <v>4577</v>
      </c>
      <c r="D294" s="1">
        <v>1.5590277777777778E-2</v>
      </c>
      <c r="E294" t="s">
        <v>5883</v>
      </c>
      <c r="F294" s="69" t="s">
        <v>2788</v>
      </c>
      <c r="K294" s="314">
        <v>0.62209999999999999</v>
      </c>
    </row>
    <row r="295" spans="1:20" x14ac:dyDescent="0.2">
      <c r="A295" s="33">
        <v>41972</v>
      </c>
      <c r="B295" t="s">
        <v>4576</v>
      </c>
      <c r="C295" s="1" t="s">
        <v>4577</v>
      </c>
      <c r="D295" s="114">
        <v>1.5821759259259261E-2</v>
      </c>
      <c r="E295" t="s">
        <v>5883</v>
      </c>
      <c r="F295" s="69" t="s">
        <v>3190</v>
      </c>
      <c r="K295" s="314">
        <v>0.61299999999999999</v>
      </c>
    </row>
    <row r="296" spans="1:20" x14ac:dyDescent="0.2">
      <c r="A296" s="33">
        <v>41965</v>
      </c>
      <c r="B296" t="s">
        <v>4576</v>
      </c>
      <c r="C296" s="1" t="s">
        <v>4577</v>
      </c>
      <c r="D296" s="1">
        <v>1.579861111111111E-2</v>
      </c>
      <c r="E296" t="s">
        <v>5883</v>
      </c>
      <c r="F296" s="5" t="s">
        <v>1665</v>
      </c>
      <c r="G296" s="5"/>
      <c r="H296" s="5"/>
      <c r="I296" s="5"/>
      <c r="J296" s="5"/>
      <c r="K296" s="314">
        <v>0.6139</v>
      </c>
    </row>
    <row r="297" spans="1:20" x14ac:dyDescent="0.2">
      <c r="A297" s="33">
        <v>41958</v>
      </c>
      <c r="B297" t="s">
        <v>4576</v>
      </c>
      <c r="C297" s="1" t="s">
        <v>4577</v>
      </c>
      <c r="D297" s="1">
        <v>1.5844907407407408E-2</v>
      </c>
      <c r="E297" t="s">
        <v>5883</v>
      </c>
      <c r="F297" s="42" t="s">
        <v>5919</v>
      </c>
      <c r="K297" s="314">
        <v>0.61209999999999998</v>
      </c>
    </row>
    <row r="298" spans="1:20" x14ac:dyDescent="0.2">
      <c r="A298" s="33">
        <v>41951</v>
      </c>
      <c r="B298" t="s">
        <v>4576</v>
      </c>
      <c r="C298" s="1" t="s">
        <v>4577</v>
      </c>
      <c r="D298" s="1">
        <v>1.7152777777777777E-2</v>
      </c>
      <c r="E298" t="s">
        <v>129</v>
      </c>
      <c r="F298" s="69" t="s">
        <v>1237</v>
      </c>
      <c r="K298" s="314">
        <v>0.5655</v>
      </c>
      <c r="S298" s="5"/>
      <c r="T298" s="5"/>
    </row>
    <row r="299" spans="1:20" x14ac:dyDescent="0.2">
      <c r="A299" s="33">
        <v>41930</v>
      </c>
      <c r="B299" t="s">
        <v>4576</v>
      </c>
      <c r="C299" s="1" t="s">
        <v>4577</v>
      </c>
      <c r="D299" s="1">
        <v>1.7141203703703704E-2</v>
      </c>
      <c r="E299" t="s">
        <v>5883</v>
      </c>
      <c r="F299" s="69" t="s">
        <v>4589</v>
      </c>
      <c r="H299" t="s">
        <v>4276</v>
      </c>
      <c r="K299" s="314">
        <v>0.56579999999999997</v>
      </c>
    </row>
    <row r="300" spans="1:20" x14ac:dyDescent="0.2">
      <c r="A300" s="33">
        <v>41923</v>
      </c>
      <c r="B300" t="s">
        <v>4576</v>
      </c>
      <c r="C300" s="1" t="s">
        <v>4577</v>
      </c>
      <c r="D300" s="1">
        <v>1.6250000000000001E-2</v>
      </c>
      <c r="E300" t="s">
        <v>5883</v>
      </c>
      <c r="F300" s="69"/>
      <c r="K300" s="314">
        <v>0.59430000000000005</v>
      </c>
    </row>
    <row r="301" spans="1:20" x14ac:dyDescent="0.2">
      <c r="A301" s="33">
        <v>41867</v>
      </c>
      <c r="B301" t="s">
        <v>4576</v>
      </c>
      <c r="C301" s="1" t="s">
        <v>4577</v>
      </c>
      <c r="D301" s="1">
        <v>1.6493055555555556E-2</v>
      </c>
      <c r="E301" t="s">
        <v>129</v>
      </c>
      <c r="F301" s="69"/>
      <c r="K301" s="314">
        <v>0.58809999999999996</v>
      </c>
    </row>
    <row r="302" spans="1:20" x14ac:dyDescent="0.2">
      <c r="A302" s="33">
        <v>41860</v>
      </c>
      <c r="B302" t="s">
        <v>4576</v>
      </c>
      <c r="C302" s="1" t="s">
        <v>4577</v>
      </c>
      <c r="D302" s="1">
        <v>1.653935185185185E-2</v>
      </c>
      <c r="E302" t="s">
        <v>129</v>
      </c>
      <c r="F302" s="69"/>
      <c r="K302" s="314">
        <v>0.58640000000000003</v>
      </c>
    </row>
    <row r="303" spans="1:20" x14ac:dyDescent="0.2">
      <c r="A303" s="34">
        <v>41825</v>
      </c>
      <c r="B303" t="s">
        <v>4576</v>
      </c>
      <c r="C303" s="9" t="s">
        <v>4577</v>
      </c>
      <c r="D303" s="1">
        <v>1.6944444444444443E-2</v>
      </c>
      <c r="E303" t="s">
        <v>5883</v>
      </c>
      <c r="F303" s="69" t="s">
        <v>5450</v>
      </c>
      <c r="K303" s="314">
        <v>0.57240000000000002</v>
      </c>
    </row>
    <row r="304" spans="1:20" x14ac:dyDescent="0.2">
      <c r="A304" s="34">
        <v>41811</v>
      </c>
      <c r="B304" t="s">
        <v>4576</v>
      </c>
      <c r="C304" s="9" t="s">
        <v>4577</v>
      </c>
      <c r="D304" s="1">
        <v>1.7685185185185182E-2</v>
      </c>
      <c r="E304" t="s">
        <v>5883</v>
      </c>
      <c r="F304" s="42" t="s">
        <v>1587</v>
      </c>
      <c r="K304" s="314">
        <v>0.5484</v>
      </c>
    </row>
    <row r="305" spans="1:11" x14ac:dyDescent="0.2">
      <c r="A305" s="34">
        <v>41776</v>
      </c>
      <c r="B305" t="s">
        <v>4576</v>
      </c>
      <c r="C305" s="9" t="s">
        <v>4577</v>
      </c>
      <c r="D305" s="1">
        <v>1.6307870370370372E-2</v>
      </c>
      <c r="E305" t="s">
        <v>129</v>
      </c>
      <c r="F305" s="69" t="s">
        <v>363</v>
      </c>
      <c r="K305" s="314">
        <v>0.58979999999999999</v>
      </c>
    </row>
    <row r="306" spans="1:11" x14ac:dyDescent="0.2">
      <c r="A306" s="34">
        <v>41769</v>
      </c>
      <c r="B306" s="5" t="s">
        <v>4576</v>
      </c>
      <c r="C306" s="104" t="s">
        <v>4577</v>
      </c>
      <c r="D306" s="1">
        <v>1.6979166666666667E-2</v>
      </c>
      <c r="E306" t="s">
        <v>129</v>
      </c>
      <c r="F306" s="42" t="s">
        <v>348</v>
      </c>
      <c r="K306" s="314">
        <v>0.5665</v>
      </c>
    </row>
    <row r="307" spans="1:11" x14ac:dyDescent="0.2">
      <c r="A307" s="34">
        <v>41762</v>
      </c>
      <c r="B307" t="s">
        <v>4576</v>
      </c>
      <c r="C307" s="9" t="s">
        <v>4577</v>
      </c>
      <c r="D307" s="1">
        <v>1.7291666666666667E-2</v>
      </c>
      <c r="E307" t="s">
        <v>5883</v>
      </c>
      <c r="F307" s="69" t="s">
        <v>2200</v>
      </c>
      <c r="K307" s="314">
        <v>0.55620000000000003</v>
      </c>
    </row>
    <row r="308" spans="1:11" x14ac:dyDescent="0.2">
      <c r="A308" s="34">
        <v>41727</v>
      </c>
      <c r="B308" t="s">
        <v>4576</v>
      </c>
      <c r="C308" s="9" t="s">
        <v>4577</v>
      </c>
      <c r="D308" s="1">
        <v>1.6712962962962961E-2</v>
      </c>
      <c r="E308" t="s">
        <v>5883</v>
      </c>
      <c r="F308" s="69"/>
      <c r="K308" s="314">
        <v>0.57550000000000001</v>
      </c>
    </row>
    <row r="309" spans="1:11" x14ac:dyDescent="0.2">
      <c r="A309" s="34">
        <v>41706</v>
      </c>
      <c r="B309" t="s">
        <v>4576</v>
      </c>
      <c r="C309" s="9" t="s">
        <v>4577</v>
      </c>
      <c r="D309" s="1">
        <v>1.7546296296296296E-2</v>
      </c>
      <c r="E309" t="s">
        <v>5883</v>
      </c>
      <c r="F309" s="69" t="s">
        <v>508</v>
      </c>
      <c r="K309" s="314">
        <v>0.54820000000000002</v>
      </c>
    </row>
    <row r="310" spans="1:11" x14ac:dyDescent="0.2">
      <c r="A310" s="34">
        <v>41699</v>
      </c>
      <c r="B310" t="s">
        <v>4576</v>
      </c>
      <c r="C310" s="9" t="s">
        <v>4577</v>
      </c>
      <c r="D310" s="1">
        <v>1.6354166666666666E-2</v>
      </c>
      <c r="E310" t="s">
        <v>5883</v>
      </c>
      <c r="F310" s="42" t="s">
        <v>5754</v>
      </c>
      <c r="K310" s="314">
        <v>0.58809999999999996</v>
      </c>
    </row>
    <row r="311" spans="1:11" x14ac:dyDescent="0.2">
      <c r="A311" s="34">
        <v>41678</v>
      </c>
      <c r="B311" t="s">
        <v>4576</v>
      </c>
      <c r="C311" s="9" t="s">
        <v>4577</v>
      </c>
      <c r="D311" s="1">
        <v>1.6886574074074075E-2</v>
      </c>
      <c r="E311" t="s">
        <v>5883</v>
      </c>
      <c r="F311" s="69"/>
      <c r="K311" s="314">
        <v>0.5696</v>
      </c>
    </row>
    <row r="312" spans="1:11" x14ac:dyDescent="0.2">
      <c r="A312" s="34">
        <v>41664</v>
      </c>
      <c r="B312" t="s">
        <v>4576</v>
      </c>
      <c r="C312" s="9" t="s">
        <v>4577</v>
      </c>
      <c r="D312" s="1">
        <v>1.6805555555555556E-2</v>
      </c>
      <c r="E312" t="s">
        <v>5883</v>
      </c>
      <c r="F312" s="69" t="s">
        <v>2238</v>
      </c>
      <c r="K312" s="314">
        <v>0.57230000000000003</v>
      </c>
    </row>
    <row r="313" spans="1:11" x14ac:dyDescent="0.2">
      <c r="A313" s="34">
        <v>41650</v>
      </c>
      <c r="B313" t="s">
        <v>4576</v>
      </c>
      <c r="C313" s="9" t="s">
        <v>4577</v>
      </c>
      <c r="D313" s="1">
        <v>1.621527777777778E-2</v>
      </c>
      <c r="E313" t="s">
        <v>5883</v>
      </c>
      <c r="F313" s="69"/>
      <c r="K313" s="314">
        <v>0.59309999999999996</v>
      </c>
    </row>
    <row r="314" spans="1:11" x14ac:dyDescent="0.2">
      <c r="A314" s="34">
        <v>41643</v>
      </c>
      <c r="B314" t="s">
        <v>4576</v>
      </c>
      <c r="C314" s="9" t="s">
        <v>4577</v>
      </c>
      <c r="D314" s="1">
        <v>1.6458333333333332E-2</v>
      </c>
      <c r="E314" t="s">
        <v>5883</v>
      </c>
      <c r="F314" s="69"/>
      <c r="K314" s="314">
        <v>0.58440000000000003</v>
      </c>
    </row>
    <row r="315" spans="1:11" x14ac:dyDescent="0.2">
      <c r="A315" s="34"/>
      <c r="C315" s="9"/>
      <c r="D315" s="1"/>
      <c r="F315" s="69"/>
      <c r="K315" s="314"/>
    </row>
    <row r="316" spans="1:11" x14ac:dyDescent="0.2">
      <c r="A316" s="34">
        <v>41699</v>
      </c>
      <c r="B316" s="2" t="s">
        <v>1349</v>
      </c>
      <c r="C316" s="99" t="s">
        <v>3343</v>
      </c>
      <c r="D316" s="1">
        <v>1.7962962962962962E-2</v>
      </c>
      <c r="E316" t="s">
        <v>5883</v>
      </c>
      <c r="F316" s="42" t="s">
        <v>758</v>
      </c>
      <c r="K316" s="314">
        <v>0.54700000000000004</v>
      </c>
    </row>
    <row r="317" spans="1:11" x14ac:dyDescent="0.2">
      <c r="A317" s="34">
        <v>41692</v>
      </c>
      <c r="B317" t="s">
        <v>1349</v>
      </c>
      <c r="C317" s="9" t="s">
        <v>3343</v>
      </c>
      <c r="D317" s="1">
        <v>1.9409722222222221E-2</v>
      </c>
      <c r="E317" t="s">
        <v>5883</v>
      </c>
      <c r="F317" s="69"/>
      <c r="K317" s="314">
        <v>0.49969999999999998</v>
      </c>
    </row>
    <row r="318" spans="1:11" x14ac:dyDescent="0.2">
      <c r="A318" s="34">
        <v>41671</v>
      </c>
      <c r="B318" t="s">
        <v>1349</v>
      </c>
      <c r="C318" s="9" t="s">
        <v>3343</v>
      </c>
      <c r="D318" s="1">
        <v>1.9780092592592592E-2</v>
      </c>
      <c r="E318" t="s">
        <v>5883</v>
      </c>
      <c r="F318" s="69"/>
      <c r="K318" s="314">
        <v>0.49030000000000001</v>
      </c>
    </row>
    <row r="319" spans="1:11" x14ac:dyDescent="0.2">
      <c r="A319" s="34">
        <v>41664</v>
      </c>
      <c r="B319" t="s">
        <v>1349</v>
      </c>
      <c r="C319" s="9" t="s">
        <v>3343</v>
      </c>
      <c r="D319" s="1">
        <v>1.800925925925926E-2</v>
      </c>
      <c r="E319" t="s">
        <v>5883</v>
      </c>
      <c r="F319" s="69" t="s">
        <v>2239</v>
      </c>
      <c r="K319" s="314">
        <v>0.53859999999999997</v>
      </c>
    </row>
    <row r="320" spans="1:11" x14ac:dyDescent="0.2">
      <c r="A320" s="34">
        <v>41650</v>
      </c>
      <c r="B320" t="s">
        <v>1349</v>
      </c>
      <c r="C320" s="9" t="s">
        <v>3343</v>
      </c>
      <c r="D320" s="1">
        <v>1.8472222222222223E-2</v>
      </c>
      <c r="E320" t="s">
        <v>5883</v>
      </c>
      <c r="F320" s="69"/>
      <c r="K320" s="314">
        <v>0.52510000000000001</v>
      </c>
    </row>
    <row r="321" spans="1:12" x14ac:dyDescent="0.2">
      <c r="A321" s="34">
        <v>41643</v>
      </c>
      <c r="B321" t="s">
        <v>1349</v>
      </c>
      <c r="C321" s="9" t="s">
        <v>3343</v>
      </c>
      <c r="D321" s="1">
        <v>1.861111111111111E-2</v>
      </c>
      <c r="E321" t="s">
        <v>5883</v>
      </c>
      <c r="F321" s="69" t="s">
        <v>4522</v>
      </c>
      <c r="K321" s="314">
        <v>0.52110000000000001</v>
      </c>
    </row>
    <row r="322" spans="1:12" x14ac:dyDescent="0.2">
      <c r="A322" s="34"/>
      <c r="C322" s="9"/>
      <c r="D322" s="1"/>
      <c r="F322" s="69"/>
      <c r="K322" s="314"/>
    </row>
    <row r="323" spans="1:12" x14ac:dyDescent="0.2">
      <c r="A323" s="33">
        <v>41916</v>
      </c>
      <c r="B323" s="2" t="s">
        <v>1589</v>
      </c>
      <c r="C323" s="3" t="s">
        <v>1590</v>
      </c>
      <c r="D323" s="1">
        <v>1.6851851851851851E-2</v>
      </c>
      <c r="E323" t="s">
        <v>4863</v>
      </c>
      <c r="F323" s="69" t="s">
        <v>2057</v>
      </c>
      <c r="K323" s="314">
        <v>0.69089999999999996</v>
      </c>
    </row>
    <row r="324" spans="1:12" x14ac:dyDescent="0.2">
      <c r="A324" s="33"/>
      <c r="C324" s="1"/>
      <c r="D324" s="1"/>
      <c r="F324" s="69"/>
      <c r="K324" s="314"/>
    </row>
    <row r="325" spans="1:12" x14ac:dyDescent="0.2">
      <c r="A325" s="33">
        <v>42000</v>
      </c>
      <c r="B325" s="2" t="s">
        <v>1796</v>
      </c>
      <c r="C325" s="3" t="s">
        <v>1797</v>
      </c>
      <c r="D325" s="1">
        <v>1.8425925925925925E-2</v>
      </c>
      <c r="E325" t="s">
        <v>5883</v>
      </c>
      <c r="F325" s="42"/>
      <c r="K325" s="314">
        <v>0.58919999999999995</v>
      </c>
    </row>
    <row r="326" spans="1:12" x14ac:dyDescent="0.2">
      <c r="A326" s="33">
        <v>41998</v>
      </c>
      <c r="B326" t="s">
        <v>1796</v>
      </c>
      <c r="C326" s="1" t="s">
        <v>1797</v>
      </c>
      <c r="D326" s="1">
        <v>2.0486111111111111E-2</v>
      </c>
      <c r="E326" t="s">
        <v>129</v>
      </c>
      <c r="F326" s="69" t="s">
        <v>3415</v>
      </c>
      <c r="K326" s="314">
        <v>0.52990000000000004</v>
      </c>
      <c r="L326" t="s">
        <v>3416</v>
      </c>
    </row>
    <row r="327" spans="1:12" x14ac:dyDescent="0.2">
      <c r="A327" s="33">
        <v>41916</v>
      </c>
      <c r="B327" t="s">
        <v>1796</v>
      </c>
      <c r="C327" s="1" t="s">
        <v>1797</v>
      </c>
      <c r="D327" s="1">
        <v>1.8449074074074073E-2</v>
      </c>
      <c r="E327" t="s">
        <v>4935</v>
      </c>
      <c r="F327" s="69"/>
      <c r="K327" s="314">
        <v>0.58850000000000002</v>
      </c>
    </row>
    <row r="328" spans="1:12" x14ac:dyDescent="0.2">
      <c r="A328" s="33">
        <v>41874</v>
      </c>
      <c r="B328" t="s">
        <v>1796</v>
      </c>
      <c r="C328" s="1" t="s">
        <v>1797</v>
      </c>
      <c r="D328" s="1">
        <v>1.9074074074074073E-2</v>
      </c>
      <c r="E328" t="s">
        <v>5883</v>
      </c>
      <c r="F328" s="69"/>
      <c r="K328" s="314">
        <v>0.56920000000000004</v>
      </c>
    </row>
    <row r="329" spans="1:12" x14ac:dyDescent="0.2">
      <c r="A329" s="33">
        <v>41867</v>
      </c>
      <c r="B329" t="s">
        <v>1796</v>
      </c>
      <c r="C329" s="1" t="s">
        <v>1797</v>
      </c>
      <c r="D329" s="1">
        <v>2.0231481481481482E-2</v>
      </c>
      <c r="E329" t="s">
        <v>5198</v>
      </c>
      <c r="F329" s="69" t="s">
        <v>5204</v>
      </c>
      <c r="H329" t="s">
        <v>427</v>
      </c>
      <c r="K329" s="314">
        <v>0.53659999999999997</v>
      </c>
    </row>
    <row r="330" spans="1:12" x14ac:dyDescent="0.2">
      <c r="A330" s="34">
        <v>41790</v>
      </c>
      <c r="B330" t="s">
        <v>1796</v>
      </c>
      <c r="C330" s="9" t="s">
        <v>1797</v>
      </c>
      <c r="D330" s="1">
        <v>1.7858796296296296E-2</v>
      </c>
      <c r="E330" t="s">
        <v>1075</v>
      </c>
      <c r="F330" s="69" t="s">
        <v>5178</v>
      </c>
      <c r="K330" s="314">
        <v>0.6079</v>
      </c>
    </row>
    <row r="331" spans="1:12" x14ac:dyDescent="0.2">
      <c r="A331" s="34">
        <v>41762</v>
      </c>
      <c r="B331" t="s">
        <v>1796</v>
      </c>
      <c r="C331" s="9" t="s">
        <v>1797</v>
      </c>
      <c r="D331" s="1">
        <v>1.7013888888888887E-2</v>
      </c>
      <c r="E331" t="s">
        <v>5883</v>
      </c>
      <c r="F331" s="69" t="s">
        <v>917</v>
      </c>
      <c r="K331" s="314">
        <v>0.6381</v>
      </c>
    </row>
    <row r="332" spans="1:12" x14ac:dyDescent="0.2">
      <c r="A332" s="34">
        <v>41720</v>
      </c>
      <c r="B332" s="5" t="s">
        <v>1796</v>
      </c>
      <c r="C332" s="104" t="s">
        <v>1797</v>
      </c>
      <c r="D332" s="1" t="s">
        <v>787</v>
      </c>
      <c r="E332" t="s">
        <v>5883</v>
      </c>
      <c r="F332" s="69"/>
      <c r="K332" s="314"/>
    </row>
    <row r="333" spans="1:12" x14ac:dyDescent="0.2">
      <c r="A333" s="34">
        <v>41706</v>
      </c>
      <c r="B333" t="s">
        <v>1796</v>
      </c>
      <c r="C333" s="9" t="s">
        <v>1797</v>
      </c>
      <c r="D333" s="1">
        <v>1.7638888888888888E-2</v>
      </c>
      <c r="E333" t="s">
        <v>5883</v>
      </c>
      <c r="F333" s="69" t="s">
        <v>507</v>
      </c>
      <c r="K333" s="314">
        <v>0.61550000000000005</v>
      </c>
    </row>
    <row r="334" spans="1:12" x14ac:dyDescent="0.2">
      <c r="A334" s="34">
        <v>41699</v>
      </c>
      <c r="B334" t="s">
        <v>1796</v>
      </c>
      <c r="C334" s="9" t="s">
        <v>1797</v>
      </c>
      <c r="D334" s="1">
        <v>1.6597222222222222E-2</v>
      </c>
      <c r="E334" t="s">
        <v>5883</v>
      </c>
      <c r="F334" s="42" t="s">
        <v>575</v>
      </c>
      <c r="K334" s="314">
        <v>0.65410000000000001</v>
      </c>
    </row>
    <row r="335" spans="1:12" x14ac:dyDescent="0.2">
      <c r="A335" s="34">
        <v>41692</v>
      </c>
      <c r="B335" t="s">
        <v>1796</v>
      </c>
      <c r="C335" s="9" t="s">
        <v>1797</v>
      </c>
      <c r="D335" s="1">
        <v>1.9918981481481482E-2</v>
      </c>
      <c r="E335" t="s">
        <v>5883</v>
      </c>
      <c r="F335" s="69"/>
      <c r="K335" s="314">
        <v>0.54500000000000004</v>
      </c>
    </row>
    <row r="336" spans="1:12" x14ac:dyDescent="0.2">
      <c r="A336" s="34">
        <v>41685</v>
      </c>
      <c r="B336" t="s">
        <v>1796</v>
      </c>
      <c r="C336" s="9" t="s">
        <v>1797</v>
      </c>
      <c r="D336" s="1">
        <v>1.8634259259259257E-2</v>
      </c>
      <c r="E336" t="s">
        <v>5883</v>
      </c>
      <c r="F336" s="69" t="s">
        <v>4410</v>
      </c>
      <c r="K336" s="314">
        <v>0.58260000000000001</v>
      </c>
    </row>
    <row r="337" spans="1:11" x14ac:dyDescent="0.2">
      <c r="A337" s="34">
        <v>41678</v>
      </c>
      <c r="B337" t="s">
        <v>1796</v>
      </c>
      <c r="C337" s="9" t="s">
        <v>1797</v>
      </c>
      <c r="D337" s="1">
        <v>2.0706018518518519E-2</v>
      </c>
      <c r="E337" t="s">
        <v>5883</v>
      </c>
      <c r="F337" s="69" t="s">
        <v>4588</v>
      </c>
      <c r="K337" s="314">
        <v>0.52429999999999999</v>
      </c>
    </row>
    <row r="338" spans="1:11" x14ac:dyDescent="0.2">
      <c r="A338" s="34">
        <v>41643</v>
      </c>
      <c r="B338" t="s">
        <v>1796</v>
      </c>
      <c r="C338" s="9" t="s">
        <v>1797</v>
      </c>
      <c r="D338" s="1">
        <v>1.8564814814814815E-2</v>
      </c>
      <c r="E338" t="s">
        <v>5883</v>
      </c>
      <c r="F338" s="69" t="s">
        <v>4520</v>
      </c>
      <c r="K338" s="314">
        <v>0.57979999999999998</v>
      </c>
    </row>
    <row r="339" spans="1:11" x14ac:dyDescent="0.2">
      <c r="A339" s="34">
        <v>41640</v>
      </c>
      <c r="B339" t="s">
        <v>1796</v>
      </c>
      <c r="C339" s="9" t="s">
        <v>1797</v>
      </c>
      <c r="D339" s="1">
        <v>1.8761574074074073E-2</v>
      </c>
      <c r="E339" t="s">
        <v>559</v>
      </c>
      <c r="F339" s="69" t="s">
        <v>414</v>
      </c>
      <c r="K339" s="314">
        <v>0.57369999999999999</v>
      </c>
    </row>
    <row r="340" spans="1:11" x14ac:dyDescent="0.2">
      <c r="A340" s="34">
        <v>41640</v>
      </c>
      <c r="B340" t="s">
        <v>1796</v>
      </c>
      <c r="C340" s="9" t="s">
        <v>1797</v>
      </c>
      <c r="D340" s="1">
        <v>1.8912037037037036E-2</v>
      </c>
      <c r="E340" t="s">
        <v>6016</v>
      </c>
      <c r="F340" s="69" t="s">
        <v>415</v>
      </c>
      <c r="K340" s="314">
        <v>0.56920000000000004</v>
      </c>
    </row>
    <row r="341" spans="1:11" x14ac:dyDescent="0.2">
      <c r="A341" s="34"/>
      <c r="C341" s="9"/>
      <c r="D341" s="1"/>
      <c r="F341" s="69"/>
      <c r="K341" s="314"/>
    </row>
    <row r="342" spans="1:11" x14ac:dyDescent="0.2">
      <c r="A342" s="33">
        <v>42000</v>
      </c>
      <c r="B342" s="2" t="s">
        <v>868</v>
      </c>
      <c r="C342" s="3" t="s">
        <v>2480</v>
      </c>
      <c r="D342" s="1">
        <v>1.8726851851851852E-2</v>
      </c>
      <c r="E342" t="s">
        <v>1214</v>
      </c>
      <c r="F342" s="42"/>
      <c r="K342" s="314">
        <v>0.65390000000000004</v>
      </c>
    </row>
    <row r="343" spans="1:11" x14ac:dyDescent="0.2">
      <c r="A343" s="33">
        <v>41986</v>
      </c>
      <c r="B343" t="s">
        <v>868</v>
      </c>
      <c r="C343" s="1" t="s">
        <v>2480</v>
      </c>
      <c r="D343" s="1">
        <v>1.8414351851851852E-2</v>
      </c>
      <c r="E343" t="s">
        <v>1214</v>
      </c>
      <c r="F343" s="69" t="s">
        <v>2688</v>
      </c>
      <c r="K343" s="314">
        <v>0.65669999999999995</v>
      </c>
    </row>
    <row r="344" spans="1:11" x14ac:dyDescent="0.2">
      <c r="A344" s="33">
        <v>41965</v>
      </c>
      <c r="B344" t="s">
        <v>868</v>
      </c>
      <c r="C344" s="1" t="s">
        <v>2480</v>
      </c>
      <c r="D344" s="1">
        <v>1.8275462962962962E-2</v>
      </c>
      <c r="E344" t="s">
        <v>1214</v>
      </c>
      <c r="F344" s="5" t="s">
        <v>256</v>
      </c>
      <c r="G344" s="5"/>
      <c r="H344" s="5"/>
      <c r="I344" s="5"/>
      <c r="J344" s="5"/>
      <c r="K344" s="314">
        <v>0.67</v>
      </c>
    </row>
    <row r="345" spans="1:11" x14ac:dyDescent="0.2">
      <c r="A345" s="33">
        <v>41958</v>
      </c>
      <c r="B345" t="s">
        <v>868</v>
      </c>
      <c r="C345" s="1" t="s">
        <v>2480</v>
      </c>
      <c r="D345" s="1">
        <v>1.834490740740741E-2</v>
      </c>
      <c r="E345" t="s">
        <v>1214</v>
      </c>
      <c r="F345" s="42" t="s">
        <v>3686</v>
      </c>
      <c r="K345" s="314">
        <v>0.66749999999999998</v>
      </c>
    </row>
    <row r="346" spans="1:11" x14ac:dyDescent="0.2">
      <c r="A346" s="33">
        <v>41944</v>
      </c>
      <c r="B346" t="s">
        <v>868</v>
      </c>
      <c r="C346" s="1" t="s">
        <v>2480</v>
      </c>
      <c r="D346" s="1">
        <v>1.8553240740740742E-2</v>
      </c>
      <c r="E346" t="s">
        <v>1214</v>
      </c>
      <c r="F346" s="42" t="s">
        <v>3828</v>
      </c>
      <c r="K346" s="314">
        <v>0.66</v>
      </c>
    </row>
    <row r="347" spans="1:11" x14ac:dyDescent="0.2">
      <c r="A347" s="33">
        <v>41937</v>
      </c>
      <c r="B347" t="s">
        <v>868</v>
      </c>
      <c r="C347" s="1" t="s">
        <v>2480</v>
      </c>
      <c r="D347" s="1">
        <v>1.8541666666666668E-2</v>
      </c>
      <c r="E347" t="s">
        <v>1214</v>
      </c>
      <c r="F347" s="69" t="s">
        <v>4594</v>
      </c>
      <c r="K347" s="314">
        <v>0.66039999999999999</v>
      </c>
    </row>
    <row r="348" spans="1:11" x14ac:dyDescent="0.2">
      <c r="A348" s="33">
        <v>41916</v>
      </c>
      <c r="B348" t="s">
        <v>868</v>
      </c>
      <c r="C348" s="1" t="s">
        <v>2480</v>
      </c>
      <c r="D348" s="1">
        <v>1.9016203703703705E-2</v>
      </c>
      <c r="E348" t="s">
        <v>3167</v>
      </c>
      <c r="F348" s="69"/>
      <c r="K348" s="314">
        <v>0.64390000000000003</v>
      </c>
    </row>
    <row r="349" spans="1:11" x14ac:dyDescent="0.2">
      <c r="A349" s="33">
        <v>41888</v>
      </c>
      <c r="B349" t="s">
        <v>868</v>
      </c>
      <c r="C349" s="1" t="s">
        <v>2480</v>
      </c>
      <c r="D349" s="1">
        <v>1.7777777777777778E-2</v>
      </c>
      <c r="E349" t="s">
        <v>1214</v>
      </c>
      <c r="F349" s="69" t="s">
        <v>3002</v>
      </c>
      <c r="K349" s="314">
        <v>0.68100000000000005</v>
      </c>
    </row>
    <row r="350" spans="1:11" x14ac:dyDescent="0.2">
      <c r="A350" s="33">
        <v>41881</v>
      </c>
      <c r="B350" t="s">
        <v>868</v>
      </c>
      <c r="C350" s="1" t="s">
        <v>2480</v>
      </c>
      <c r="D350" s="1">
        <v>1.8101851851851852E-2</v>
      </c>
      <c r="E350" t="s">
        <v>1214</v>
      </c>
      <c r="F350" s="42" t="s">
        <v>3357</v>
      </c>
      <c r="K350" s="314">
        <v>0.66879999999999995</v>
      </c>
    </row>
    <row r="351" spans="1:11" x14ac:dyDescent="0.2">
      <c r="A351" s="33">
        <v>41874</v>
      </c>
      <c r="B351" t="s">
        <v>868</v>
      </c>
      <c r="C351" s="1" t="s">
        <v>2480</v>
      </c>
      <c r="D351" s="1">
        <v>1.8136574074074072E-2</v>
      </c>
      <c r="E351" t="s">
        <v>1214</v>
      </c>
      <c r="F351" s="69" t="s">
        <v>1486</v>
      </c>
      <c r="K351" s="314">
        <v>0.66749999999999998</v>
      </c>
    </row>
    <row r="352" spans="1:11" x14ac:dyDescent="0.2">
      <c r="A352" s="33">
        <v>41860</v>
      </c>
      <c r="B352" t="s">
        <v>868</v>
      </c>
      <c r="C352" s="1" t="s">
        <v>2480</v>
      </c>
      <c r="D352" s="1">
        <v>1.8564814814814815E-2</v>
      </c>
      <c r="E352" t="s">
        <v>1214</v>
      </c>
      <c r="F352" s="69" t="s">
        <v>3888</v>
      </c>
      <c r="K352" s="314">
        <v>0.65210000000000001</v>
      </c>
    </row>
    <row r="353" spans="1:11" x14ac:dyDescent="0.2">
      <c r="A353" s="33">
        <v>41853</v>
      </c>
      <c r="B353" t="s">
        <v>868</v>
      </c>
      <c r="C353" s="1" t="s">
        <v>2480</v>
      </c>
      <c r="D353" s="1">
        <v>1.9212962962962963E-2</v>
      </c>
      <c r="E353" t="s">
        <v>1214</v>
      </c>
      <c r="F353" s="69" t="s">
        <v>3888</v>
      </c>
      <c r="K353" s="314">
        <v>0.63009999999999999</v>
      </c>
    </row>
    <row r="354" spans="1:11" x14ac:dyDescent="0.2">
      <c r="A354" s="34">
        <v>41846</v>
      </c>
      <c r="B354" t="s">
        <v>868</v>
      </c>
      <c r="C354" s="1" t="s">
        <v>2480</v>
      </c>
      <c r="D354" s="1">
        <v>1.9560185185185184E-2</v>
      </c>
      <c r="E354" t="s">
        <v>1214</v>
      </c>
      <c r="F354" s="69"/>
      <c r="K354" s="314">
        <v>0.61890000000000001</v>
      </c>
    </row>
    <row r="355" spans="1:11" x14ac:dyDescent="0.2">
      <c r="A355" s="34">
        <v>41818</v>
      </c>
      <c r="B355" t="s">
        <v>868</v>
      </c>
      <c r="C355" s="9" t="s">
        <v>2480</v>
      </c>
      <c r="D355" s="1">
        <v>1.9305555555555555E-2</v>
      </c>
      <c r="E355" t="s">
        <v>1214</v>
      </c>
      <c r="F355" s="69"/>
      <c r="K355" s="314">
        <v>0.62709999999999999</v>
      </c>
    </row>
    <row r="356" spans="1:11" x14ac:dyDescent="0.2">
      <c r="A356" s="34">
        <v>41748</v>
      </c>
      <c r="B356" t="s">
        <v>868</v>
      </c>
      <c r="C356" s="9" t="s">
        <v>2480</v>
      </c>
      <c r="D356" s="1">
        <v>1.9270833333333334E-2</v>
      </c>
      <c r="E356" t="s">
        <v>1214</v>
      </c>
      <c r="F356" s="69"/>
      <c r="K356" s="314">
        <v>0.62819999999999998</v>
      </c>
    </row>
    <row r="357" spans="1:11" x14ac:dyDescent="0.2">
      <c r="A357" s="34">
        <v>41741</v>
      </c>
      <c r="B357" t="s">
        <v>868</v>
      </c>
      <c r="C357" s="9" t="s">
        <v>2480</v>
      </c>
      <c r="D357" s="1">
        <v>1.9490740740740743E-2</v>
      </c>
      <c r="E357" t="s">
        <v>1214</v>
      </c>
      <c r="F357" s="69" t="s">
        <v>4098</v>
      </c>
      <c r="K357" s="314">
        <v>0.62109999999999999</v>
      </c>
    </row>
    <row r="358" spans="1:11" x14ac:dyDescent="0.2">
      <c r="A358" s="34">
        <v>41734</v>
      </c>
      <c r="B358" t="s">
        <v>868</v>
      </c>
      <c r="C358" s="9" t="s">
        <v>2480</v>
      </c>
      <c r="D358" s="1">
        <v>1.9884259259259258E-2</v>
      </c>
      <c r="E358" t="s">
        <v>1214</v>
      </c>
      <c r="F358" s="42" t="s">
        <v>852</v>
      </c>
      <c r="K358" s="314">
        <v>0.60880000000000001</v>
      </c>
    </row>
    <row r="359" spans="1:11" x14ac:dyDescent="0.2">
      <c r="A359" s="33">
        <v>41993</v>
      </c>
      <c r="B359" t="s">
        <v>1938</v>
      </c>
      <c r="C359" s="1" t="s">
        <v>2480</v>
      </c>
      <c r="D359" s="1">
        <v>1.8541666666666668E-2</v>
      </c>
      <c r="E359" t="s">
        <v>1214</v>
      </c>
      <c r="F359" s="42" t="s">
        <v>2215</v>
      </c>
      <c r="K359" s="314">
        <v>0.66039999999999999</v>
      </c>
    </row>
    <row r="360" spans="1:11" x14ac:dyDescent="0.2">
      <c r="A360" s="33">
        <v>41867</v>
      </c>
      <c r="B360" t="s">
        <v>1938</v>
      </c>
      <c r="C360" s="1" t="s">
        <v>2480</v>
      </c>
      <c r="D360" s="1">
        <v>1.8356481481481481E-2</v>
      </c>
      <c r="E360" t="s">
        <v>1214</v>
      </c>
      <c r="F360" s="69" t="s">
        <v>5940</v>
      </c>
      <c r="K360" s="314">
        <v>0.65949999999999998</v>
      </c>
    </row>
    <row r="361" spans="1:11" x14ac:dyDescent="0.2">
      <c r="A361" s="34">
        <v>41811</v>
      </c>
      <c r="B361" t="s">
        <v>1938</v>
      </c>
      <c r="C361" s="9" t="s">
        <v>2480</v>
      </c>
      <c r="D361" s="1">
        <v>1.9930555555555556E-2</v>
      </c>
      <c r="E361" t="s">
        <v>1214</v>
      </c>
      <c r="F361" s="42" t="s">
        <v>2198</v>
      </c>
      <c r="K361" s="314">
        <v>0.60740000000000005</v>
      </c>
    </row>
    <row r="362" spans="1:11" x14ac:dyDescent="0.2">
      <c r="A362" s="34">
        <v>41713</v>
      </c>
      <c r="B362" t="s">
        <v>1938</v>
      </c>
      <c r="C362" s="9" t="s">
        <v>2480</v>
      </c>
      <c r="D362" s="1">
        <v>2.0428240740740743E-2</v>
      </c>
      <c r="E362" t="s">
        <v>1214</v>
      </c>
      <c r="F362" s="69"/>
      <c r="K362" s="314">
        <v>0.59260000000000002</v>
      </c>
    </row>
    <row r="363" spans="1:11" x14ac:dyDescent="0.2">
      <c r="A363" s="34"/>
      <c r="C363" s="9"/>
      <c r="D363" s="1"/>
      <c r="F363" s="69"/>
      <c r="K363" s="314"/>
    </row>
    <row r="364" spans="1:11" x14ac:dyDescent="0.2">
      <c r="A364" s="33">
        <v>41895</v>
      </c>
      <c r="B364" s="241" t="s">
        <v>583</v>
      </c>
      <c r="C364" s="242" t="s">
        <v>4525</v>
      </c>
      <c r="D364" s="1">
        <v>1.7662037037037035E-2</v>
      </c>
      <c r="E364" t="s">
        <v>5948</v>
      </c>
      <c r="F364" s="243" t="s">
        <v>2130</v>
      </c>
      <c r="G364" s="123"/>
      <c r="K364" s="314">
        <v>0.77390000000000003</v>
      </c>
    </row>
    <row r="365" spans="1:11" x14ac:dyDescent="0.2">
      <c r="A365" s="33"/>
      <c r="B365" s="772"/>
      <c r="C365" s="773"/>
      <c r="D365" s="1"/>
      <c r="F365" s="774"/>
      <c r="G365" s="367"/>
      <c r="K365" s="314"/>
    </row>
    <row r="366" spans="1:11" x14ac:dyDescent="0.2">
      <c r="A366" s="33">
        <v>41965</v>
      </c>
      <c r="B366" s="2" t="s">
        <v>5540</v>
      </c>
      <c r="C366" s="3" t="s">
        <v>5541</v>
      </c>
      <c r="D366" s="1">
        <v>1.7916666666666668E-2</v>
      </c>
      <c r="E366" t="s">
        <v>1401</v>
      </c>
      <c r="F366" s="5" t="s">
        <v>3077</v>
      </c>
      <c r="G366" s="5"/>
      <c r="H366" s="5"/>
      <c r="I366" s="5"/>
      <c r="J366" s="5"/>
      <c r="K366" s="314">
        <v>0.65629999999999999</v>
      </c>
    </row>
    <row r="367" spans="1:11" x14ac:dyDescent="0.2">
      <c r="A367" s="33">
        <v>41958</v>
      </c>
      <c r="B367" t="s">
        <v>5540</v>
      </c>
      <c r="C367" s="1" t="s">
        <v>5541</v>
      </c>
      <c r="D367" s="1">
        <v>1.7974537037037035E-2</v>
      </c>
      <c r="E367" t="s">
        <v>1401</v>
      </c>
      <c r="F367" s="42"/>
      <c r="K367" s="314">
        <v>0.6542</v>
      </c>
    </row>
    <row r="368" spans="1:11" x14ac:dyDescent="0.2">
      <c r="A368" s="33">
        <v>41916</v>
      </c>
      <c r="B368" t="s">
        <v>5540</v>
      </c>
      <c r="C368" s="1" t="s">
        <v>5541</v>
      </c>
      <c r="D368" s="1">
        <v>1.8067129629629631E-2</v>
      </c>
      <c r="E368" t="s">
        <v>5095</v>
      </c>
      <c r="F368" s="69"/>
      <c r="K368" s="314">
        <v>0.64449999999999996</v>
      </c>
    </row>
    <row r="369" spans="1:11" x14ac:dyDescent="0.2">
      <c r="A369" s="33">
        <v>41895</v>
      </c>
      <c r="B369" s="125" t="s">
        <v>5540</v>
      </c>
      <c r="C369" s="236" t="s">
        <v>5541</v>
      </c>
      <c r="D369" s="1">
        <v>1.7037037037037038E-2</v>
      </c>
      <c r="E369" t="s">
        <v>3072</v>
      </c>
      <c r="F369" s="126" t="s">
        <v>1164</v>
      </c>
      <c r="G369" s="125"/>
      <c r="H369" t="s">
        <v>2639</v>
      </c>
      <c r="K369" s="314">
        <v>0.68340000000000001</v>
      </c>
    </row>
    <row r="370" spans="1:11" x14ac:dyDescent="0.2">
      <c r="A370" s="33">
        <v>41888</v>
      </c>
      <c r="B370" t="s">
        <v>5540</v>
      </c>
      <c r="C370" s="1" t="s">
        <v>5541</v>
      </c>
      <c r="D370" s="1">
        <v>1.7048611111111112E-2</v>
      </c>
      <c r="E370" t="s">
        <v>3072</v>
      </c>
      <c r="F370" s="69" t="s">
        <v>2242</v>
      </c>
      <c r="K370" s="314">
        <v>0.68300000000000005</v>
      </c>
    </row>
    <row r="371" spans="1:11" x14ac:dyDescent="0.2">
      <c r="A371" s="33">
        <v>41881</v>
      </c>
      <c r="B371" t="s">
        <v>5540</v>
      </c>
      <c r="C371" s="1" t="s">
        <v>5541</v>
      </c>
      <c r="D371" s="1">
        <v>1.7696759259259259E-2</v>
      </c>
      <c r="E371" t="s">
        <v>3072</v>
      </c>
      <c r="F371" s="42" t="s">
        <v>2104</v>
      </c>
      <c r="K371" s="314">
        <v>0.65790000000000004</v>
      </c>
    </row>
    <row r="372" spans="1:11" x14ac:dyDescent="0.2">
      <c r="A372" s="33">
        <v>41874</v>
      </c>
      <c r="B372" t="s">
        <v>5540</v>
      </c>
      <c r="C372" s="1" t="s">
        <v>5541</v>
      </c>
      <c r="D372" s="1">
        <v>1.818287037037037E-2</v>
      </c>
      <c r="E372" t="s">
        <v>3773</v>
      </c>
      <c r="F372" s="69"/>
      <c r="G372" t="s">
        <v>2629</v>
      </c>
      <c r="K372" s="314">
        <v>0.64039999999999997</v>
      </c>
    </row>
    <row r="373" spans="1:11" x14ac:dyDescent="0.2">
      <c r="A373" s="33">
        <v>41867</v>
      </c>
      <c r="B373" t="s">
        <v>5540</v>
      </c>
      <c r="C373" s="1" t="s">
        <v>5541</v>
      </c>
      <c r="D373" s="1">
        <v>1.7824074074074076E-2</v>
      </c>
      <c r="E373" t="s">
        <v>1401</v>
      </c>
      <c r="F373" s="69" t="s">
        <v>3188</v>
      </c>
      <c r="K373" s="314">
        <v>0.6532</v>
      </c>
    </row>
    <row r="374" spans="1:11" x14ac:dyDescent="0.2">
      <c r="A374" s="34">
        <v>41818</v>
      </c>
      <c r="B374" t="s">
        <v>5540</v>
      </c>
      <c r="C374" s="9" t="s">
        <v>5541</v>
      </c>
      <c r="D374" s="1">
        <v>1.7500000000000002E-2</v>
      </c>
      <c r="E374" t="s">
        <v>1401</v>
      </c>
      <c r="F374" s="69"/>
      <c r="K374" s="314">
        <v>0.6653</v>
      </c>
    </row>
    <row r="375" spans="1:11" x14ac:dyDescent="0.2">
      <c r="A375" s="34">
        <v>41804</v>
      </c>
      <c r="B375" t="s">
        <v>5540</v>
      </c>
      <c r="C375" s="9" t="s">
        <v>5541</v>
      </c>
      <c r="D375" s="1">
        <v>1.8113425925925925E-2</v>
      </c>
      <c r="E375" t="s">
        <v>5095</v>
      </c>
      <c r="F375" s="69"/>
      <c r="K375" s="314">
        <v>0.64280000000000004</v>
      </c>
    </row>
    <row r="376" spans="1:11" x14ac:dyDescent="0.2">
      <c r="A376" s="34">
        <v>41748</v>
      </c>
      <c r="B376" t="s">
        <v>5540</v>
      </c>
      <c r="C376" s="9" t="s">
        <v>5541</v>
      </c>
      <c r="D376" s="1">
        <v>1.8090277777777778E-2</v>
      </c>
      <c r="E376" t="s">
        <v>3072</v>
      </c>
      <c r="F376" s="69"/>
      <c r="K376" s="314">
        <v>0.64390000000000003</v>
      </c>
    </row>
    <row r="377" spans="1:11" x14ac:dyDescent="0.2">
      <c r="A377" s="34">
        <v>41741</v>
      </c>
      <c r="B377" t="s">
        <v>5540</v>
      </c>
      <c r="C377" s="9" t="s">
        <v>5541</v>
      </c>
      <c r="D377" s="1">
        <v>1.8981481481481481E-2</v>
      </c>
      <c r="E377" s="42" t="s">
        <v>3773</v>
      </c>
      <c r="F377" s="69" t="s">
        <v>2259</v>
      </c>
      <c r="K377" s="314">
        <v>0.61339999999999995</v>
      </c>
    </row>
    <row r="378" spans="1:11" x14ac:dyDescent="0.2">
      <c r="A378" s="34">
        <v>41727</v>
      </c>
      <c r="B378" t="s">
        <v>5540</v>
      </c>
      <c r="C378" s="9" t="s">
        <v>5541</v>
      </c>
      <c r="D378" s="1">
        <v>1.7731481481481483E-2</v>
      </c>
      <c r="E378" t="s">
        <v>3072</v>
      </c>
      <c r="F378" s="69"/>
      <c r="K378" s="314">
        <v>0.65669999999999995</v>
      </c>
    </row>
    <row r="379" spans="1:11" x14ac:dyDescent="0.2">
      <c r="A379" s="34">
        <v>41713</v>
      </c>
      <c r="B379" t="s">
        <v>5540</v>
      </c>
      <c r="C379" s="9" t="s">
        <v>5541</v>
      </c>
      <c r="D379" s="1">
        <v>1.7916666666666668E-2</v>
      </c>
      <c r="E379" t="s">
        <v>3072</v>
      </c>
      <c r="F379" s="69"/>
      <c r="K379" s="314">
        <v>0.64990000000000003</v>
      </c>
    </row>
    <row r="380" spans="1:11" x14ac:dyDescent="0.2">
      <c r="A380" s="34">
        <v>41706</v>
      </c>
      <c r="B380" s="5" t="s">
        <v>5540</v>
      </c>
      <c r="C380" s="104" t="s">
        <v>5541</v>
      </c>
      <c r="D380" s="1">
        <v>1.8657407407407407E-2</v>
      </c>
      <c r="E380" t="s">
        <v>3072</v>
      </c>
      <c r="F380" s="69" t="s">
        <v>4045</v>
      </c>
      <c r="K380" s="314">
        <v>0.62409999999999999</v>
      </c>
    </row>
    <row r="381" spans="1:11" x14ac:dyDescent="0.2">
      <c r="A381" s="34"/>
      <c r="B381" s="5"/>
      <c r="C381" s="104"/>
      <c r="D381" s="1"/>
      <c r="F381" s="69"/>
      <c r="K381" s="314"/>
    </row>
    <row r="382" spans="1:11" x14ac:dyDescent="0.2">
      <c r="A382" s="33">
        <v>42000</v>
      </c>
      <c r="B382" s="53" t="s">
        <v>5980</v>
      </c>
      <c r="C382" s="54" t="s">
        <v>4818</v>
      </c>
      <c r="D382" s="1">
        <v>2.2650462962962966E-2</v>
      </c>
      <c r="E382" t="s">
        <v>2312</v>
      </c>
      <c r="F382" s="42" t="s">
        <v>1164</v>
      </c>
      <c r="K382" s="314">
        <v>0.56259999999999999</v>
      </c>
    </row>
    <row r="383" spans="1:11" x14ac:dyDescent="0.2">
      <c r="A383" s="33">
        <v>41951</v>
      </c>
      <c r="B383" s="53" t="s">
        <v>5980</v>
      </c>
      <c r="C383" s="54" t="s">
        <v>4818</v>
      </c>
      <c r="D383" s="1">
        <v>2.4189814814814817E-2</v>
      </c>
      <c r="E383" t="s">
        <v>470</v>
      </c>
      <c r="F383" s="69"/>
      <c r="K383" s="314">
        <v>0.52680000000000005</v>
      </c>
    </row>
    <row r="384" spans="1:11" x14ac:dyDescent="0.2">
      <c r="A384" s="33">
        <v>41944</v>
      </c>
      <c r="B384" s="53" t="s">
        <v>5980</v>
      </c>
      <c r="C384" s="54" t="s">
        <v>4818</v>
      </c>
      <c r="D384" s="1">
        <v>2.2418981481481481E-2</v>
      </c>
      <c r="E384" t="s">
        <v>4817</v>
      </c>
      <c r="F384" s="42" t="s">
        <v>1577</v>
      </c>
      <c r="K384" s="314">
        <v>0.56840000000000002</v>
      </c>
    </row>
    <row r="385" spans="1:12" x14ac:dyDescent="0.2">
      <c r="A385" s="33"/>
      <c r="B385" s="53"/>
      <c r="C385" s="54"/>
      <c r="D385" s="1"/>
      <c r="F385" s="42"/>
      <c r="K385" s="314"/>
    </row>
    <row r="386" spans="1:12" x14ac:dyDescent="0.2">
      <c r="A386" s="33">
        <v>41993</v>
      </c>
      <c r="B386" s="319" t="s">
        <v>3011</v>
      </c>
      <c r="C386" s="320" t="s">
        <v>3012</v>
      </c>
      <c r="D386" s="1">
        <v>1.2453703703703703E-2</v>
      </c>
      <c r="E386" t="s">
        <v>3009</v>
      </c>
      <c r="F386" s="42" t="s">
        <v>936</v>
      </c>
      <c r="K386" s="314">
        <v>0.80300000000000005</v>
      </c>
    </row>
    <row r="387" spans="1:12" x14ac:dyDescent="0.2">
      <c r="A387" s="33">
        <v>41979</v>
      </c>
      <c r="B387" s="206" t="s">
        <v>3011</v>
      </c>
      <c r="C387" s="254" t="s">
        <v>3012</v>
      </c>
      <c r="D387" s="1">
        <v>1.2534722222222223E-2</v>
      </c>
      <c r="E387" t="s">
        <v>3009</v>
      </c>
      <c r="F387" s="42" t="s">
        <v>937</v>
      </c>
      <c r="K387" s="314">
        <v>0.79779999999999995</v>
      </c>
    </row>
    <row r="388" spans="1:12" x14ac:dyDescent="0.2">
      <c r="A388" s="34">
        <v>41825</v>
      </c>
      <c r="B388" s="206" t="s">
        <v>3011</v>
      </c>
      <c r="C388" s="254" t="s">
        <v>3012</v>
      </c>
      <c r="D388" s="1">
        <v>1.2500000000000001E-2</v>
      </c>
      <c r="E388" t="s">
        <v>3009</v>
      </c>
      <c r="F388" s="69" t="s">
        <v>3514</v>
      </c>
      <c r="K388" s="314">
        <v>0.8</v>
      </c>
    </row>
    <row r="389" spans="1:12" x14ac:dyDescent="0.2">
      <c r="A389" s="33">
        <v>41972</v>
      </c>
      <c r="B389" s="197" t="s">
        <v>3209</v>
      </c>
      <c r="C389" s="265" t="s">
        <v>3012</v>
      </c>
      <c r="D389" s="1">
        <v>1.2407407407407409E-2</v>
      </c>
      <c r="E389" t="s">
        <v>3009</v>
      </c>
      <c r="F389" s="69"/>
      <c r="K389" s="314">
        <v>0.80600000000000005</v>
      </c>
    </row>
    <row r="390" spans="1:12" x14ac:dyDescent="0.2">
      <c r="A390" s="33"/>
      <c r="B390" s="197"/>
      <c r="C390" s="265"/>
      <c r="D390" s="1"/>
      <c r="F390" s="69"/>
      <c r="K390" s="314"/>
    </row>
    <row r="391" spans="1:12" x14ac:dyDescent="0.2">
      <c r="A391" s="33">
        <v>41951</v>
      </c>
      <c r="B391" s="2" t="s">
        <v>5369</v>
      </c>
      <c r="C391" s="3" t="s">
        <v>2117</v>
      </c>
      <c r="D391" s="1">
        <v>1.8831018518518518E-2</v>
      </c>
      <c r="E391" t="s">
        <v>653</v>
      </c>
      <c r="F391" s="69" t="s">
        <v>1236</v>
      </c>
      <c r="K391" s="314">
        <v>0.6583</v>
      </c>
      <c r="L391" t="s">
        <v>2463</v>
      </c>
    </row>
    <row r="392" spans="1:12" x14ac:dyDescent="0.2">
      <c r="A392" s="33">
        <v>41902</v>
      </c>
      <c r="B392" t="s">
        <v>5369</v>
      </c>
      <c r="C392" s="1" t="s">
        <v>2117</v>
      </c>
      <c r="D392" s="1">
        <v>1.8912037037037036E-2</v>
      </c>
      <c r="E392" t="s">
        <v>653</v>
      </c>
      <c r="F392" s="69" t="s">
        <v>2083</v>
      </c>
      <c r="K392" s="314">
        <v>0.65539999999999998</v>
      </c>
    </row>
    <row r="393" spans="1:12" x14ac:dyDescent="0.2">
      <c r="A393" s="33">
        <v>41881</v>
      </c>
      <c r="B393" t="s">
        <v>5369</v>
      </c>
      <c r="C393" s="1" t="s">
        <v>2117</v>
      </c>
      <c r="D393" s="1">
        <v>1.9131944444444444E-2</v>
      </c>
      <c r="E393" t="s">
        <v>653</v>
      </c>
      <c r="F393" s="42" t="s">
        <v>3358</v>
      </c>
      <c r="K393" s="314">
        <v>0.64790000000000003</v>
      </c>
    </row>
    <row r="394" spans="1:12" x14ac:dyDescent="0.2">
      <c r="A394" s="33">
        <v>41860</v>
      </c>
      <c r="B394" t="s">
        <v>5369</v>
      </c>
      <c r="C394" s="1" t="s">
        <v>2117</v>
      </c>
      <c r="D394" s="1">
        <v>1.9386574074074073E-2</v>
      </c>
      <c r="E394" t="s">
        <v>653</v>
      </c>
      <c r="F394" s="69" t="s">
        <v>3459</v>
      </c>
      <c r="K394" s="314">
        <v>0.63939999999999997</v>
      </c>
    </row>
    <row r="395" spans="1:12" x14ac:dyDescent="0.2">
      <c r="A395" s="34">
        <v>41825</v>
      </c>
      <c r="B395" t="s">
        <v>5369</v>
      </c>
      <c r="C395" s="9" t="s">
        <v>2117</v>
      </c>
      <c r="D395" s="1">
        <v>1.8981481481481481E-2</v>
      </c>
      <c r="E395" t="s">
        <v>2521</v>
      </c>
      <c r="F395" s="69" t="s">
        <v>1163</v>
      </c>
      <c r="K395" s="314">
        <v>0.64510000000000001</v>
      </c>
    </row>
    <row r="396" spans="1:12" x14ac:dyDescent="0.2">
      <c r="A396" s="34">
        <v>41727</v>
      </c>
      <c r="B396" t="s">
        <v>5369</v>
      </c>
      <c r="C396" s="9" t="s">
        <v>2117</v>
      </c>
      <c r="D396" s="1">
        <v>2.1261574074074075E-2</v>
      </c>
      <c r="E396" t="s">
        <v>2284</v>
      </c>
      <c r="F396" s="69" t="s">
        <v>2447</v>
      </c>
      <c r="K396" s="314">
        <v>0.57589999999999997</v>
      </c>
    </row>
    <row r="397" spans="1:12" x14ac:dyDescent="0.2">
      <c r="A397" s="34">
        <v>41706</v>
      </c>
      <c r="B397" t="s">
        <v>5369</v>
      </c>
      <c r="C397" s="9" t="s">
        <v>2117</v>
      </c>
      <c r="D397" s="1">
        <v>1.9629629629629629E-2</v>
      </c>
      <c r="E397" t="s">
        <v>2662</v>
      </c>
      <c r="F397" s="69" t="s">
        <v>1994</v>
      </c>
      <c r="K397" s="314">
        <v>0.62380000000000002</v>
      </c>
    </row>
    <row r="398" spans="1:12" x14ac:dyDescent="0.2">
      <c r="A398" s="34">
        <v>41657</v>
      </c>
      <c r="B398" t="s">
        <v>5369</v>
      </c>
      <c r="C398" s="9" t="s">
        <v>2117</v>
      </c>
      <c r="D398" s="1">
        <v>1.9293981481481485E-2</v>
      </c>
      <c r="E398" t="s">
        <v>2526</v>
      </c>
      <c r="F398" s="69" t="s">
        <v>705</v>
      </c>
      <c r="K398" s="314">
        <v>0.63470000000000004</v>
      </c>
    </row>
    <row r="399" spans="1:12" x14ac:dyDescent="0.2">
      <c r="A399" s="34"/>
      <c r="C399" s="9"/>
      <c r="D399" s="1"/>
      <c r="F399" s="69"/>
      <c r="K399" s="314"/>
    </row>
    <row r="400" spans="1:12" x14ac:dyDescent="0.2">
      <c r="A400" s="33">
        <v>41951</v>
      </c>
      <c r="B400" s="53" t="s">
        <v>4071</v>
      </c>
      <c r="C400" s="54" t="s">
        <v>4084</v>
      </c>
      <c r="D400" s="1">
        <v>2.704861111111111E-2</v>
      </c>
      <c r="E400" t="s">
        <v>469</v>
      </c>
      <c r="F400" s="69" t="s">
        <v>1493</v>
      </c>
      <c r="K400" s="314">
        <v>0.43049999999999999</v>
      </c>
    </row>
    <row r="401" spans="1:11" x14ac:dyDescent="0.2">
      <c r="A401" s="33">
        <v>41860</v>
      </c>
      <c r="B401" s="53" t="s">
        <v>4229</v>
      </c>
      <c r="C401" s="54" t="s">
        <v>4230</v>
      </c>
      <c r="D401" s="1">
        <v>1.7233796296296296E-2</v>
      </c>
      <c r="E401" t="s">
        <v>5155</v>
      </c>
      <c r="F401" s="69" t="s">
        <v>4228</v>
      </c>
      <c r="K401" s="314">
        <v>0.74950000000000006</v>
      </c>
    </row>
    <row r="402" spans="1:11" x14ac:dyDescent="0.2">
      <c r="A402" s="33"/>
      <c r="B402" s="53"/>
      <c r="C402" s="54"/>
      <c r="D402" s="1"/>
      <c r="F402" s="69"/>
      <c r="K402" s="314"/>
    </row>
    <row r="403" spans="1:11" x14ac:dyDescent="0.2">
      <c r="A403" s="33">
        <v>41909</v>
      </c>
      <c r="B403" s="53" t="s">
        <v>4963</v>
      </c>
      <c r="C403" s="54" t="s">
        <v>4964</v>
      </c>
      <c r="D403" s="1">
        <v>1.8402777777777778E-2</v>
      </c>
      <c r="E403" t="s">
        <v>3072</v>
      </c>
      <c r="F403" s="42"/>
      <c r="K403" s="314">
        <v>0.48930000000000001</v>
      </c>
    </row>
    <row r="404" spans="1:11" x14ac:dyDescent="0.2">
      <c r="A404" s="33">
        <v>41881</v>
      </c>
      <c r="B404" s="53" t="s">
        <v>4963</v>
      </c>
      <c r="C404" s="54" t="s">
        <v>4964</v>
      </c>
      <c r="D404" s="1">
        <v>1.4444444444444446E-2</v>
      </c>
      <c r="E404" t="s">
        <v>3072</v>
      </c>
      <c r="F404" s="42" t="s">
        <v>343</v>
      </c>
      <c r="K404" s="314">
        <v>0.62339999999999995</v>
      </c>
    </row>
    <row r="405" spans="1:11" x14ac:dyDescent="0.2">
      <c r="A405" s="34">
        <v>41797</v>
      </c>
      <c r="B405" s="53" t="s">
        <v>4963</v>
      </c>
      <c r="C405" s="83" t="s">
        <v>4964</v>
      </c>
      <c r="D405" s="1">
        <v>1.8032407407407407E-2</v>
      </c>
      <c r="E405" t="s">
        <v>5095</v>
      </c>
      <c r="F405" s="42" t="s">
        <v>3516</v>
      </c>
      <c r="K405" s="314">
        <v>0.49940000000000001</v>
      </c>
    </row>
    <row r="406" spans="1:11" x14ac:dyDescent="0.2">
      <c r="A406" s="34">
        <v>41755</v>
      </c>
      <c r="B406" s="53" t="s">
        <v>4963</v>
      </c>
      <c r="C406" s="83" t="s">
        <v>4964</v>
      </c>
      <c r="D406" s="1" t="s">
        <v>787</v>
      </c>
      <c r="E406" t="s">
        <v>3072</v>
      </c>
      <c r="F406" s="42"/>
      <c r="K406" s="314"/>
    </row>
    <row r="407" spans="1:11" x14ac:dyDescent="0.2">
      <c r="A407" s="34">
        <v>41741</v>
      </c>
      <c r="B407" s="53" t="s">
        <v>4963</v>
      </c>
      <c r="C407" s="83" t="s">
        <v>4964</v>
      </c>
      <c r="D407" s="1">
        <v>1.9305555555555555E-2</v>
      </c>
      <c r="E407" t="s">
        <v>3072</v>
      </c>
      <c r="F407" s="69"/>
      <c r="K407" s="314">
        <v>0.46639999999999998</v>
      </c>
    </row>
    <row r="408" spans="1:11" x14ac:dyDescent="0.2">
      <c r="A408" s="34">
        <v>41720</v>
      </c>
      <c r="B408" s="53" t="s">
        <v>4963</v>
      </c>
      <c r="C408" s="83" t="s">
        <v>4964</v>
      </c>
      <c r="D408" s="1">
        <v>1.3668981481481482E-2</v>
      </c>
      <c r="E408" t="s">
        <v>3072</v>
      </c>
      <c r="F408" s="69"/>
      <c r="K408" s="314">
        <v>0.65880000000000005</v>
      </c>
    </row>
    <row r="409" spans="1:11" x14ac:dyDescent="0.2">
      <c r="A409" s="141">
        <v>41713</v>
      </c>
      <c r="B409" s="178" t="s">
        <v>4963</v>
      </c>
      <c r="C409" s="179" t="s">
        <v>4964</v>
      </c>
      <c r="D409" s="168">
        <v>1.4085648148148151E-2</v>
      </c>
      <c r="E409" s="115" t="s">
        <v>5963</v>
      </c>
      <c r="F409" s="177"/>
      <c r="G409" s="115"/>
      <c r="H409" s="115"/>
      <c r="I409" s="115"/>
      <c r="J409" s="115"/>
      <c r="K409" s="316">
        <v>0.63929999999999998</v>
      </c>
    </row>
    <row r="410" spans="1:11" x14ac:dyDescent="0.2">
      <c r="A410" s="34">
        <v>41706</v>
      </c>
      <c r="B410" s="53" t="s">
        <v>4963</v>
      </c>
      <c r="C410" s="83" t="s">
        <v>4964</v>
      </c>
      <c r="D410" s="1">
        <v>1.4166666666666666E-2</v>
      </c>
      <c r="E410" t="s">
        <v>3072</v>
      </c>
      <c r="F410" s="69" t="s">
        <v>3401</v>
      </c>
      <c r="K410" s="314">
        <v>0.63560000000000005</v>
      </c>
    </row>
    <row r="411" spans="1:11" x14ac:dyDescent="0.2">
      <c r="A411" s="34">
        <v>41699</v>
      </c>
      <c r="B411" s="53" t="s">
        <v>4963</v>
      </c>
      <c r="C411" s="83" t="s">
        <v>4964</v>
      </c>
      <c r="D411" s="1">
        <v>1.4479166666666668E-2</v>
      </c>
      <c r="E411" t="s">
        <v>3072</v>
      </c>
      <c r="F411" s="42" t="s">
        <v>333</v>
      </c>
      <c r="K411" s="314">
        <v>0.62190000000000001</v>
      </c>
    </row>
    <row r="412" spans="1:11" x14ac:dyDescent="0.2">
      <c r="A412" s="34">
        <v>41692</v>
      </c>
      <c r="B412" s="132" t="s">
        <v>4963</v>
      </c>
      <c r="C412" s="133" t="s">
        <v>4964</v>
      </c>
      <c r="D412" s="1">
        <v>1.5243055555555557E-2</v>
      </c>
      <c r="E412" t="s">
        <v>5095</v>
      </c>
      <c r="F412" s="69"/>
      <c r="K412" s="314">
        <v>0.5907</v>
      </c>
    </row>
    <row r="413" spans="1:11" x14ac:dyDescent="0.2">
      <c r="A413" s="34">
        <v>41671</v>
      </c>
      <c r="B413" s="132" t="s">
        <v>4963</v>
      </c>
      <c r="C413" s="133" t="s">
        <v>4964</v>
      </c>
      <c r="D413" s="1">
        <v>1.3634259259259257E-2</v>
      </c>
      <c r="E413" t="s">
        <v>3957</v>
      </c>
      <c r="F413" s="69" t="s">
        <v>2185</v>
      </c>
      <c r="K413" s="314">
        <v>0.66039999999999999</v>
      </c>
    </row>
    <row r="414" spans="1:11" x14ac:dyDescent="0.2">
      <c r="A414" s="34">
        <v>41657</v>
      </c>
      <c r="B414" s="53" t="s">
        <v>4963</v>
      </c>
      <c r="C414" s="83" t="s">
        <v>4964</v>
      </c>
      <c r="D414" s="1">
        <v>1.4166666666666666E-2</v>
      </c>
      <c r="E414" t="s">
        <v>3072</v>
      </c>
      <c r="F414" s="69" t="s">
        <v>2242</v>
      </c>
      <c r="K414" s="314">
        <v>0.63560000000000005</v>
      </c>
    </row>
    <row r="415" spans="1:11" x14ac:dyDescent="0.2">
      <c r="A415" s="34">
        <v>41650</v>
      </c>
      <c r="B415" s="53" t="s">
        <v>4963</v>
      </c>
      <c r="C415" s="83" t="s">
        <v>4964</v>
      </c>
      <c r="D415" s="1">
        <v>1.3483796296296298E-2</v>
      </c>
      <c r="E415" t="s">
        <v>5885</v>
      </c>
      <c r="F415" s="69"/>
      <c r="K415" s="314">
        <v>0.66610000000000003</v>
      </c>
    </row>
    <row r="416" spans="1:11" x14ac:dyDescent="0.2">
      <c r="A416" s="34">
        <v>41643</v>
      </c>
      <c r="B416" s="53" t="s">
        <v>4963</v>
      </c>
      <c r="C416" s="83" t="s">
        <v>4964</v>
      </c>
      <c r="D416" s="1">
        <v>1.4178240740740741E-2</v>
      </c>
      <c r="E416" t="s">
        <v>2838</v>
      </c>
      <c r="F416" s="69" t="s">
        <v>3987</v>
      </c>
      <c r="K416" s="314">
        <v>0.63349999999999995</v>
      </c>
    </row>
    <row r="417" spans="1:11" x14ac:dyDescent="0.2">
      <c r="A417" s="34">
        <v>41640</v>
      </c>
      <c r="B417" s="53" t="s">
        <v>4963</v>
      </c>
      <c r="C417" s="83" t="s">
        <v>4964</v>
      </c>
      <c r="D417" s="1">
        <v>1.5960648148148151E-2</v>
      </c>
      <c r="E417" t="s">
        <v>5095</v>
      </c>
      <c r="F417" s="69"/>
      <c r="K417" s="314">
        <v>0.56269999999999998</v>
      </c>
    </row>
    <row r="418" spans="1:11" x14ac:dyDescent="0.2">
      <c r="A418" s="34">
        <v>41640</v>
      </c>
      <c r="B418" s="53" t="s">
        <v>4963</v>
      </c>
      <c r="C418" s="83" t="s">
        <v>4964</v>
      </c>
      <c r="D418" s="1">
        <v>1.59375E-2</v>
      </c>
      <c r="E418" t="s">
        <v>3072</v>
      </c>
      <c r="F418" s="69"/>
      <c r="K418" s="314">
        <v>0.5635</v>
      </c>
    </row>
    <row r="419" spans="1:11" x14ac:dyDescent="0.2">
      <c r="A419" s="34"/>
      <c r="B419" s="53"/>
      <c r="C419" s="83"/>
      <c r="D419" s="1"/>
      <c r="F419" s="69"/>
      <c r="K419" s="314"/>
    </row>
    <row r="420" spans="1:11" x14ac:dyDescent="0.2">
      <c r="A420" s="33">
        <v>41979</v>
      </c>
      <c r="B420" s="2" t="s">
        <v>1308</v>
      </c>
      <c r="C420" s="3" t="s">
        <v>428</v>
      </c>
      <c r="D420" s="1">
        <v>1.3425925925925924E-2</v>
      </c>
      <c r="E420" t="s">
        <v>5885</v>
      </c>
      <c r="F420" s="69"/>
      <c r="K420" s="314">
        <v>0.73360000000000003</v>
      </c>
    </row>
    <row r="421" spans="1:11" x14ac:dyDescent="0.2">
      <c r="A421" s="33">
        <v>41972</v>
      </c>
      <c r="B421" t="s">
        <v>1308</v>
      </c>
      <c r="C421" s="1" t="s">
        <v>428</v>
      </c>
      <c r="D421" s="1">
        <v>1.3518518518518518E-2</v>
      </c>
      <c r="E421" t="s">
        <v>1120</v>
      </c>
      <c r="F421" s="69" t="s">
        <v>3077</v>
      </c>
      <c r="K421" s="314">
        <v>0.72860000000000003</v>
      </c>
    </row>
    <row r="422" spans="1:11" x14ac:dyDescent="0.2">
      <c r="A422" s="33">
        <v>41888</v>
      </c>
      <c r="B422" s="5" t="s">
        <v>1308</v>
      </c>
      <c r="C422" s="1" t="s">
        <v>428</v>
      </c>
      <c r="D422" s="1">
        <v>1.3483796296296298E-2</v>
      </c>
      <c r="E422" t="s">
        <v>5885</v>
      </c>
      <c r="F422" s="69"/>
      <c r="K422" s="314">
        <v>0.73050000000000004</v>
      </c>
    </row>
    <row r="423" spans="1:11" x14ac:dyDescent="0.2">
      <c r="A423" s="33">
        <v>41874</v>
      </c>
      <c r="B423" t="s">
        <v>1308</v>
      </c>
      <c r="C423" s="1" t="s">
        <v>428</v>
      </c>
      <c r="D423" s="1">
        <v>1.3275462962962963E-2</v>
      </c>
      <c r="E423" t="s">
        <v>5885</v>
      </c>
      <c r="F423" s="69"/>
      <c r="K423" s="314">
        <v>0.7419</v>
      </c>
    </row>
    <row r="424" spans="1:11" x14ac:dyDescent="0.2">
      <c r="A424" s="33">
        <v>41867</v>
      </c>
      <c r="B424" s="5" t="s">
        <v>1308</v>
      </c>
      <c r="C424" s="32" t="s">
        <v>428</v>
      </c>
      <c r="D424" s="32">
        <v>1.3530092592592594E-2</v>
      </c>
      <c r="E424" s="5" t="s">
        <v>5885</v>
      </c>
      <c r="F424" s="108" t="s">
        <v>1164</v>
      </c>
      <c r="G424" s="5"/>
      <c r="K424" s="314">
        <v>0.72799999999999998</v>
      </c>
    </row>
    <row r="425" spans="1:11" x14ac:dyDescent="0.2">
      <c r="A425" s="33">
        <v>41860</v>
      </c>
      <c r="B425" t="s">
        <v>1308</v>
      </c>
      <c r="C425" s="1" t="s">
        <v>428</v>
      </c>
      <c r="D425" s="1">
        <v>1.3668981481481482E-2</v>
      </c>
      <c r="E425" t="s">
        <v>5885</v>
      </c>
      <c r="F425" s="69" t="s">
        <v>2242</v>
      </c>
      <c r="K425" s="314">
        <v>0.72060000000000002</v>
      </c>
    </row>
    <row r="426" spans="1:11" x14ac:dyDescent="0.2">
      <c r="A426" s="34">
        <v>41818</v>
      </c>
      <c r="B426" t="s">
        <v>1308</v>
      </c>
      <c r="C426" s="9" t="s">
        <v>428</v>
      </c>
      <c r="D426" s="1">
        <v>1.3252314814814814E-2</v>
      </c>
      <c r="E426" t="s">
        <v>5885</v>
      </c>
      <c r="F426" s="69" t="s">
        <v>363</v>
      </c>
      <c r="K426" s="314">
        <v>0.74319999999999997</v>
      </c>
    </row>
    <row r="427" spans="1:11" x14ac:dyDescent="0.2">
      <c r="A427" s="34">
        <v>41811</v>
      </c>
      <c r="B427" t="s">
        <v>1308</v>
      </c>
      <c r="C427" s="9" t="s">
        <v>428</v>
      </c>
      <c r="D427" s="1">
        <v>1.383101851851852E-2</v>
      </c>
      <c r="E427" t="s">
        <v>5885</v>
      </c>
      <c r="F427" s="42" t="s">
        <v>3987</v>
      </c>
      <c r="K427" s="314">
        <v>0.71209999999999996</v>
      </c>
    </row>
    <row r="428" spans="1:11" x14ac:dyDescent="0.2">
      <c r="A428" s="34">
        <v>41776</v>
      </c>
      <c r="B428" t="s">
        <v>1308</v>
      </c>
      <c r="C428" s="9" t="s">
        <v>428</v>
      </c>
      <c r="D428" s="1">
        <v>1.3611111111111114E-2</v>
      </c>
      <c r="E428" t="s">
        <v>5885</v>
      </c>
      <c r="F428" s="69"/>
      <c r="K428" s="314">
        <v>0.72360000000000002</v>
      </c>
    </row>
    <row r="429" spans="1:11" x14ac:dyDescent="0.2">
      <c r="A429" s="34">
        <v>41720</v>
      </c>
      <c r="B429" t="s">
        <v>1308</v>
      </c>
      <c r="C429" s="9" t="s">
        <v>428</v>
      </c>
      <c r="D429" s="1">
        <v>1.3761574074074074E-2</v>
      </c>
      <c r="E429" t="s">
        <v>5885</v>
      </c>
      <c r="F429" s="69"/>
      <c r="K429" s="314">
        <v>0.70979999999999999</v>
      </c>
    </row>
    <row r="430" spans="1:11" x14ac:dyDescent="0.2">
      <c r="A430" s="34">
        <v>41706</v>
      </c>
      <c r="B430" t="s">
        <v>1308</v>
      </c>
      <c r="C430" s="9" t="s">
        <v>428</v>
      </c>
      <c r="D430" s="1">
        <v>1.3703703703703704E-2</v>
      </c>
      <c r="E430" t="s">
        <v>5885</v>
      </c>
      <c r="F430" s="69" t="s">
        <v>4427</v>
      </c>
      <c r="K430" s="314">
        <v>0.71279999999999999</v>
      </c>
    </row>
    <row r="431" spans="1:11" x14ac:dyDescent="0.2">
      <c r="A431" s="34">
        <v>41699</v>
      </c>
      <c r="B431" s="5" t="s">
        <v>1308</v>
      </c>
      <c r="C431" s="104" t="s">
        <v>428</v>
      </c>
      <c r="D431" s="1">
        <v>1.3368055555555557E-2</v>
      </c>
      <c r="E431" t="s">
        <v>5885</v>
      </c>
      <c r="F431" s="42" t="s">
        <v>5435</v>
      </c>
      <c r="K431" s="314">
        <v>0.73070000000000002</v>
      </c>
    </row>
    <row r="432" spans="1:11" x14ac:dyDescent="0.2">
      <c r="A432" s="34">
        <v>41678</v>
      </c>
      <c r="B432" t="s">
        <v>1308</v>
      </c>
      <c r="C432" s="9" t="s">
        <v>428</v>
      </c>
      <c r="D432" s="1">
        <v>1.3993055555555555E-2</v>
      </c>
      <c r="E432" t="s">
        <v>5885</v>
      </c>
      <c r="F432" s="69"/>
      <c r="K432" s="314">
        <v>0.69810000000000005</v>
      </c>
    </row>
    <row r="433" spans="1:11" x14ac:dyDescent="0.2">
      <c r="A433" s="34">
        <v>41671</v>
      </c>
      <c r="B433" t="s">
        <v>1308</v>
      </c>
      <c r="C433" s="9" t="s">
        <v>428</v>
      </c>
      <c r="D433" s="1">
        <v>1.3819444444444445E-2</v>
      </c>
      <c r="E433" t="s">
        <v>5885</v>
      </c>
      <c r="F433" s="69"/>
      <c r="K433" s="314">
        <v>0.70689999999999997</v>
      </c>
    </row>
    <row r="434" spans="1:11" x14ac:dyDescent="0.2">
      <c r="A434" s="34">
        <v>41657</v>
      </c>
      <c r="B434" t="s">
        <v>1308</v>
      </c>
      <c r="C434" s="9" t="s">
        <v>428</v>
      </c>
      <c r="D434" s="1">
        <v>1.3969907407407408E-2</v>
      </c>
      <c r="E434" t="s">
        <v>5885</v>
      </c>
      <c r="F434" s="69"/>
      <c r="K434" s="314">
        <v>0.69930000000000003</v>
      </c>
    </row>
    <row r="435" spans="1:11" x14ac:dyDescent="0.2">
      <c r="A435" s="34">
        <v>41650</v>
      </c>
      <c r="B435" t="s">
        <v>1308</v>
      </c>
      <c r="C435" s="9" t="s">
        <v>428</v>
      </c>
      <c r="D435" s="1">
        <v>1.375E-2</v>
      </c>
      <c r="E435" t="s">
        <v>5885</v>
      </c>
      <c r="F435" s="69"/>
      <c r="K435" s="314">
        <v>0.71040000000000003</v>
      </c>
    </row>
    <row r="436" spans="1:11" x14ac:dyDescent="0.2">
      <c r="A436" s="34"/>
      <c r="C436" s="9"/>
      <c r="D436" s="1"/>
      <c r="F436" s="69"/>
      <c r="K436" s="314"/>
    </row>
    <row r="437" spans="1:11" x14ac:dyDescent="0.2">
      <c r="A437" s="33">
        <v>42000</v>
      </c>
      <c r="B437" s="2" t="s">
        <v>4640</v>
      </c>
      <c r="C437" s="3" t="s">
        <v>4641</v>
      </c>
      <c r="D437" s="1" t="s">
        <v>787</v>
      </c>
      <c r="E437" t="s">
        <v>5947</v>
      </c>
      <c r="F437" s="42" t="s">
        <v>2052</v>
      </c>
      <c r="K437" s="314"/>
    </row>
    <row r="438" spans="1:11" x14ac:dyDescent="0.2">
      <c r="A438" s="33">
        <v>41993</v>
      </c>
      <c r="B438" s="5" t="s">
        <v>4640</v>
      </c>
      <c r="C438" s="32" t="s">
        <v>4641</v>
      </c>
      <c r="D438" t="s">
        <v>787</v>
      </c>
      <c r="E438" t="s">
        <v>5947</v>
      </c>
      <c r="F438" s="42" t="s">
        <v>2052</v>
      </c>
      <c r="K438" s="314"/>
    </row>
    <row r="439" spans="1:11" x14ac:dyDescent="0.2">
      <c r="A439" s="33">
        <v>41986</v>
      </c>
      <c r="B439" s="5" t="s">
        <v>4640</v>
      </c>
      <c r="C439" s="32" t="s">
        <v>4641</v>
      </c>
      <c r="D439" t="s">
        <v>787</v>
      </c>
      <c r="E439" t="s">
        <v>5947</v>
      </c>
      <c r="F439" s="42" t="s">
        <v>1549</v>
      </c>
      <c r="K439" s="314"/>
    </row>
    <row r="440" spans="1:11" x14ac:dyDescent="0.2">
      <c r="A440" s="33">
        <v>41972</v>
      </c>
      <c r="B440" s="5" t="s">
        <v>4640</v>
      </c>
      <c r="C440" s="32" t="s">
        <v>4641</v>
      </c>
      <c r="D440" s="1" t="s">
        <v>787</v>
      </c>
      <c r="E440" t="s">
        <v>5947</v>
      </c>
      <c r="F440" s="69" t="s">
        <v>5508</v>
      </c>
      <c r="K440" s="314"/>
    </row>
    <row r="441" spans="1:11" x14ac:dyDescent="0.2">
      <c r="A441" s="33">
        <v>41965</v>
      </c>
      <c r="B441" s="5" t="s">
        <v>4640</v>
      </c>
      <c r="C441" s="32" t="s">
        <v>4641</v>
      </c>
      <c r="D441" s="1" t="s">
        <v>787</v>
      </c>
      <c r="E441" t="s">
        <v>5947</v>
      </c>
      <c r="F441" s="5"/>
      <c r="G441" s="5"/>
      <c r="H441" s="5"/>
      <c r="I441" s="5"/>
      <c r="J441" s="5"/>
      <c r="K441" s="314"/>
    </row>
    <row r="442" spans="1:11" x14ac:dyDescent="0.2">
      <c r="A442" s="33">
        <v>41958</v>
      </c>
      <c r="B442" s="5" t="s">
        <v>4640</v>
      </c>
      <c r="C442" s="32" t="s">
        <v>4641</v>
      </c>
      <c r="D442" t="s">
        <v>787</v>
      </c>
      <c r="E442" t="s">
        <v>5947</v>
      </c>
      <c r="F442" s="69" t="s">
        <v>2052</v>
      </c>
      <c r="K442" s="314"/>
    </row>
    <row r="443" spans="1:11" x14ac:dyDescent="0.2">
      <c r="A443" s="33">
        <v>41937</v>
      </c>
      <c r="B443" s="5" t="s">
        <v>4640</v>
      </c>
      <c r="C443" s="32" t="s">
        <v>4641</v>
      </c>
      <c r="D443" s="1" t="s">
        <v>787</v>
      </c>
      <c r="E443" t="s">
        <v>5947</v>
      </c>
      <c r="F443" s="69" t="s">
        <v>5508</v>
      </c>
      <c r="K443" s="314"/>
    </row>
    <row r="444" spans="1:11" x14ac:dyDescent="0.2">
      <c r="A444" s="33">
        <v>41930</v>
      </c>
      <c r="B444" s="5" t="s">
        <v>4640</v>
      </c>
      <c r="C444" s="32" t="s">
        <v>4641</v>
      </c>
      <c r="D444" s="1" t="s">
        <v>787</v>
      </c>
      <c r="E444" t="s">
        <v>5947</v>
      </c>
      <c r="F444" s="69" t="s">
        <v>3301</v>
      </c>
      <c r="K444" s="314"/>
    </row>
    <row r="445" spans="1:11" x14ac:dyDescent="0.2">
      <c r="A445" s="33">
        <v>41895</v>
      </c>
      <c r="B445" s="5" t="s">
        <v>4640</v>
      </c>
      <c r="C445" s="32" t="s">
        <v>4641</v>
      </c>
      <c r="D445" s="1" t="s">
        <v>787</v>
      </c>
      <c r="E445" t="s">
        <v>5947</v>
      </c>
      <c r="F445" s="69"/>
      <c r="K445" s="314"/>
    </row>
    <row r="446" spans="1:11" x14ac:dyDescent="0.2">
      <c r="A446" s="33">
        <v>41881</v>
      </c>
      <c r="B446" s="5" t="s">
        <v>4640</v>
      </c>
      <c r="C446" s="32" t="s">
        <v>4641</v>
      </c>
      <c r="D446" s="1" t="s">
        <v>787</v>
      </c>
      <c r="E446" t="s">
        <v>5947</v>
      </c>
      <c r="F446" s="42" t="s">
        <v>1484</v>
      </c>
      <c r="K446" s="314"/>
    </row>
    <row r="447" spans="1:11" x14ac:dyDescent="0.2">
      <c r="A447" s="33">
        <v>41874</v>
      </c>
      <c r="B447" s="5" t="s">
        <v>4640</v>
      </c>
      <c r="C447" s="32" t="s">
        <v>4641</v>
      </c>
      <c r="D447" s="1" t="s">
        <v>787</v>
      </c>
      <c r="E447" t="s">
        <v>5947</v>
      </c>
      <c r="F447" s="69"/>
      <c r="K447" s="314"/>
    </row>
    <row r="448" spans="1:11" x14ac:dyDescent="0.2">
      <c r="A448" s="33">
        <v>41867</v>
      </c>
      <c r="B448" s="5" t="s">
        <v>4640</v>
      </c>
      <c r="C448" s="32" t="s">
        <v>4641</v>
      </c>
      <c r="D448" s="1" t="s">
        <v>787</v>
      </c>
      <c r="E448" t="s">
        <v>5947</v>
      </c>
      <c r="F448" s="69"/>
      <c r="K448" s="314"/>
    </row>
    <row r="449" spans="1:11" x14ac:dyDescent="0.2">
      <c r="A449" s="33">
        <v>41860</v>
      </c>
      <c r="B449" s="5" t="s">
        <v>4640</v>
      </c>
      <c r="C449" s="32" t="s">
        <v>4641</v>
      </c>
      <c r="D449" s="1" t="s">
        <v>787</v>
      </c>
      <c r="E449" t="s">
        <v>5947</v>
      </c>
      <c r="F449" s="69" t="s">
        <v>5508</v>
      </c>
      <c r="K449" s="314"/>
    </row>
    <row r="450" spans="1:11" x14ac:dyDescent="0.2">
      <c r="A450" s="34">
        <v>41846</v>
      </c>
      <c r="B450" s="5" t="s">
        <v>4640</v>
      </c>
      <c r="C450" s="32" t="s">
        <v>4641</v>
      </c>
      <c r="D450" s="1" t="s">
        <v>787</v>
      </c>
      <c r="E450" t="s">
        <v>5947</v>
      </c>
      <c r="F450" s="42"/>
      <c r="K450" s="314"/>
    </row>
    <row r="451" spans="1:11" x14ac:dyDescent="0.2">
      <c r="A451" s="34">
        <v>41818</v>
      </c>
      <c r="B451" s="5" t="s">
        <v>4640</v>
      </c>
      <c r="C451" s="104" t="s">
        <v>4641</v>
      </c>
      <c r="D451" s="1" t="s">
        <v>787</v>
      </c>
      <c r="E451" t="s">
        <v>5947</v>
      </c>
      <c r="F451" s="69"/>
      <c r="K451" s="314"/>
    </row>
    <row r="452" spans="1:11" x14ac:dyDescent="0.2">
      <c r="A452" s="34">
        <v>41811</v>
      </c>
      <c r="B452" s="5" t="s">
        <v>4640</v>
      </c>
      <c r="C452" s="104" t="s">
        <v>4641</v>
      </c>
      <c r="D452" s="1" t="s">
        <v>787</v>
      </c>
      <c r="E452" t="s">
        <v>5947</v>
      </c>
      <c r="F452" s="42" t="s">
        <v>4854</v>
      </c>
      <c r="K452" s="314"/>
    </row>
    <row r="453" spans="1:11" x14ac:dyDescent="0.2">
      <c r="A453" s="34">
        <v>41804</v>
      </c>
      <c r="B453" s="5" t="s">
        <v>4640</v>
      </c>
      <c r="C453" s="104" t="s">
        <v>4641</v>
      </c>
      <c r="D453" s="1" t="s">
        <v>787</v>
      </c>
      <c r="E453" t="s">
        <v>5947</v>
      </c>
      <c r="F453" s="69"/>
      <c r="K453" s="314"/>
    </row>
    <row r="454" spans="1:11" x14ac:dyDescent="0.2">
      <c r="A454" s="34">
        <v>41790</v>
      </c>
      <c r="B454" s="5" t="s">
        <v>4640</v>
      </c>
      <c r="C454" s="104" t="s">
        <v>4641</v>
      </c>
      <c r="D454" s="1" t="s">
        <v>787</v>
      </c>
      <c r="E454" t="s">
        <v>5947</v>
      </c>
      <c r="F454" s="69"/>
      <c r="K454" s="314"/>
    </row>
    <row r="455" spans="1:11" x14ac:dyDescent="0.2">
      <c r="A455" s="34">
        <v>41783</v>
      </c>
      <c r="B455" s="5" t="s">
        <v>4640</v>
      </c>
      <c r="C455" s="104" t="s">
        <v>4641</v>
      </c>
      <c r="D455" s="1" t="s">
        <v>787</v>
      </c>
      <c r="E455" t="s">
        <v>5947</v>
      </c>
      <c r="F455" s="69"/>
      <c r="K455" s="314"/>
    </row>
    <row r="456" spans="1:11" x14ac:dyDescent="0.2">
      <c r="A456" s="34">
        <v>41776</v>
      </c>
      <c r="B456" s="5" t="s">
        <v>4640</v>
      </c>
      <c r="C456" s="104" t="s">
        <v>4641</v>
      </c>
      <c r="D456" s="1" t="s">
        <v>787</v>
      </c>
      <c r="E456" t="s">
        <v>5947</v>
      </c>
      <c r="F456" s="69"/>
      <c r="K456" s="314"/>
    </row>
    <row r="457" spans="1:11" x14ac:dyDescent="0.2">
      <c r="A457" s="34">
        <v>41755</v>
      </c>
      <c r="B457" s="5" t="s">
        <v>4640</v>
      </c>
      <c r="C457" s="104" t="s">
        <v>4641</v>
      </c>
      <c r="D457" s="1" t="s">
        <v>787</v>
      </c>
      <c r="E457" t="s">
        <v>5947</v>
      </c>
      <c r="F457" s="42" t="s">
        <v>1549</v>
      </c>
      <c r="K457" s="314"/>
    </row>
    <row r="458" spans="1:11" x14ac:dyDescent="0.2">
      <c r="A458" s="34">
        <v>41741</v>
      </c>
      <c r="B458" s="5" t="s">
        <v>4640</v>
      </c>
      <c r="C458" s="104" t="s">
        <v>4641</v>
      </c>
      <c r="D458" s="65" t="s">
        <v>787</v>
      </c>
      <c r="E458" t="s">
        <v>5947</v>
      </c>
      <c r="F458" s="69"/>
      <c r="K458" s="314"/>
    </row>
    <row r="459" spans="1:11" x14ac:dyDescent="0.2">
      <c r="A459" s="34">
        <v>41713</v>
      </c>
      <c r="B459" s="5" t="s">
        <v>4640</v>
      </c>
      <c r="C459" s="104" t="s">
        <v>4641</v>
      </c>
      <c r="D459" s="1" t="s">
        <v>787</v>
      </c>
      <c r="E459" t="s">
        <v>5947</v>
      </c>
      <c r="F459" s="69"/>
      <c r="K459" s="314"/>
    </row>
    <row r="460" spans="1:11" x14ac:dyDescent="0.2">
      <c r="A460" s="34">
        <v>41706</v>
      </c>
      <c r="B460" s="5" t="s">
        <v>4640</v>
      </c>
      <c r="C460" s="104" t="s">
        <v>4641</v>
      </c>
      <c r="D460" s="1">
        <v>2.4594907407407409E-2</v>
      </c>
      <c r="E460" t="s">
        <v>5947</v>
      </c>
      <c r="F460" s="69" t="s">
        <v>2057</v>
      </c>
      <c r="K460" s="314">
        <v>0.45269999999999999</v>
      </c>
    </row>
    <row r="461" spans="1:11" x14ac:dyDescent="0.2">
      <c r="A461" s="34">
        <v>41692</v>
      </c>
      <c r="B461" s="5" t="s">
        <v>4640</v>
      </c>
      <c r="C461" s="104" t="s">
        <v>4641</v>
      </c>
      <c r="D461" s="1" t="s">
        <v>787</v>
      </c>
      <c r="E461" t="s">
        <v>5947</v>
      </c>
      <c r="F461" s="69"/>
      <c r="K461" s="314"/>
    </row>
    <row r="462" spans="1:11" x14ac:dyDescent="0.2">
      <c r="A462" s="34">
        <v>41685</v>
      </c>
      <c r="B462" s="5" t="s">
        <v>4640</v>
      </c>
      <c r="C462" s="104" t="s">
        <v>4641</v>
      </c>
      <c r="D462" s="1" t="s">
        <v>787</v>
      </c>
      <c r="E462" t="s">
        <v>5947</v>
      </c>
      <c r="F462" s="69"/>
      <c r="K462" s="314"/>
    </row>
    <row r="463" spans="1:11" x14ac:dyDescent="0.2">
      <c r="A463" s="34">
        <v>41678</v>
      </c>
      <c r="B463" s="5" t="s">
        <v>4640</v>
      </c>
      <c r="C463" s="104" t="s">
        <v>4641</v>
      </c>
      <c r="D463" s="1" t="s">
        <v>787</v>
      </c>
      <c r="E463" t="s">
        <v>5947</v>
      </c>
      <c r="F463" s="69"/>
      <c r="K463" s="314"/>
    </row>
    <row r="464" spans="1:11" x14ac:dyDescent="0.2">
      <c r="A464" s="34">
        <v>41664</v>
      </c>
      <c r="B464" s="5" t="s">
        <v>4640</v>
      </c>
      <c r="C464" s="104" t="s">
        <v>4641</v>
      </c>
      <c r="D464" s="1" t="s">
        <v>787</v>
      </c>
      <c r="E464" t="s">
        <v>5947</v>
      </c>
      <c r="F464" s="69"/>
      <c r="K464" s="314"/>
    </row>
    <row r="465" spans="1:12" x14ac:dyDescent="0.2">
      <c r="A465" s="34"/>
      <c r="B465" s="5"/>
      <c r="C465" s="104"/>
      <c r="D465" s="1"/>
      <c r="F465" s="69"/>
      <c r="K465" s="314"/>
    </row>
    <row r="466" spans="1:12" x14ac:dyDescent="0.2">
      <c r="A466" s="33">
        <v>41993</v>
      </c>
      <c r="B466" s="53" t="s">
        <v>5978</v>
      </c>
      <c r="C466" s="54" t="s">
        <v>1729</v>
      </c>
      <c r="D466" s="1">
        <v>2.0370370370370369E-2</v>
      </c>
      <c r="E466" t="s">
        <v>1298</v>
      </c>
      <c r="F466" s="42" t="s">
        <v>1644</v>
      </c>
      <c r="K466" s="314">
        <v>0.65739999999999998</v>
      </c>
      <c r="L466" t="s">
        <v>1645</v>
      </c>
    </row>
    <row r="467" spans="1:12" x14ac:dyDescent="0.2">
      <c r="A467" s="33"/>
      <c r="B467" s="53"/>
      <c r="C467" s="54"/>
      <c r="D467" s="1"/>
      <c r="F467" s="42"/>
      <c r="K467" s="314"/>
    </row>
    <row r="468" spans="1:12" x14ac:dyDescent="0.2">
      <c r="A468" s="33">
        <v>42000</v>
      </c>
      <c r="B468" s="2" t="s">
        <v>435</v>
      </c>
      <c r="C468" s="3" t="s">
        <v>1936</v>
      </c>
      <c r="D468" s="1">
        <v>1.7453703703703704E-2</v>
      </c>
      <c r="E468" t="s">
        <v>4861</v>
      </c>
      <c r="F468" s="42"/>
      <c r="K468" s="314">
        <v>0.58689999999999998</v>
      </c>
    </row>
    <row r="469" spans="1:12" x14ac:dyDescent="0.2">
      <c r="A469" s="33">
        <v>41993</v>
      </c>
      <c r="B469" t="s">
        <v>435</v>
      </c>
      <c r="C469" s="1" t="s">
        <v>1936</v>
      </c>
      <c r="D469" s="1">
        <v>1.726851851851852E-2</v>
      </c>
      <c r="E469" t="s">
        <v>4861</v>
      </c>
      <c r="F469" s="42" t="s">
        <v>2771</v>
      </c>
      <c r="H469" t="s">
        <v>2772</v>
      </c>
      <c r="K469" s="314">
        <v>0.59319999999999995</v>
      </c>
    </row>
    <row r="470" spans="1:12" x14ac:dyDescent="0.2">
      <c r="A470" s="33">
        <v>41972</v>
      </c>
      <c r="B470" t="s">
        <v>435</v>
      </c>
      <c r="C470" s="1" t="s">
        <v>1936</v>
      </c>
      <c r="D470" s="1">
        <v>1.6805555555555556E-2</v>
      </c>
      <c r="E470" t="s">
        <v>4861</v>
      </c>
      <c r="F470" s="69" t="s">
        <v>900</v>
      </c>
      <c r="K470" s="314">
        <v>0.60950000000000004</v>
      </c>
    </row>
    <row r="471" spans="1:12" x14ac:dyDescent="0.2">
      <c r="A471" s="33">
        <v>41965</v>
      </c>
      <c r="B471" t="s">
        <v>435</v>
      </c>
      <c r="C471" s="1" t="s">
        <v>1936</v>
      </c>
      <c r="D471" s="1">
        <v>1.6944444444444443E-2</v>
      </c>
      <c r="E471" t="s">
        <v>4861</v>
      </c>
      <c r="F471" s="5" t="s">
        <v>2567</v>
      </c>
      <c r="G471" s="5"/>
      <c r="H471" s="5"/>
      <c r="I471" s="5"/>
      <c r="J471" s="5"/>
      <c r="K471" s="314">
        <v>0.60450000000000004</v>
      </c>
    </row>
    <row r="472" spans="1:12" x14ac:dyDescent="0.2">
      <c r="A472" s="33">
        <v>41958</v>
      </c>
      <c r="B472" t="s">
        <v>435</v>
      </c>
      <c r="C472" s="1" t="s">
        <v>1936</v>
      </c>
      <c r="D472" s="1">
        <v>1.6921296296296299E-2</v>
      </c>
      <c r="E472" t="s">
        <v>4861</v>
      </c>
      <c r="F472" s="42" t="s">
        <v>5920</v>
      </c>
      <c r="K472" s="314">
        <v>0.60529999999999995</v>
      </c>
    </row>
    <row r="473" spans="1:12" x14ac:dyDescent="0.2">
      <c r="A473" s="33">
        <v>41951</v>
      </c>
      <c r="B473" t="s">
        <v>435</v>
      </c>
      <c r="C473" s="1" t="s">
        <v>1936</v>
      </c>
      <c r="D473" s="1">
        <v>1.7326388888888888E-2</v>
      </c>
      <c r="E473" t="s">
        <v>4861</v>
      </c>
      <c r="F473" s="69"/>
      <c r="K473" s="314">
        <v>0.59119999999999995</v>
      </c>
    </row>
    <row r="474" spans="1:12" x14ac:dyDescent="0.2">
      <c r="A474" s="33">
        <v>41930</v>
      </c>
      <c r="B474" t="s">
        <v>435</v>
      </c>
      <c r="C474" s="1" t="s">
        <v>1936</v>
      </c>
      <c r="D474" s="1">
        <v>1.6921296296296299E-2</v>
      </c>
      <c r="E474" t="s">
        <v>4861</v>
      </c>
      <c r="F474" s="69" t="s">
        <v>4277</v>
      </c>
      <c r="K474" s="314">
        <v>0.60529999999999995</v>
      </c>
    </row>
    <row r="475" spans="1:12" x14ac:dyDescent="0.2">
      <c r="A475" s="33">
        <v>41923</v>
      </c>
      <c r="B475" t="s">
        <v>435</v>
      </c>
      <c r="C475" s="1" t="s">
        <v>1936</v>
      </c>
      <c r="D475" s="1">
        <v>1.6932870370370369E-2</v>
      </c>
      <c r="E475" t="s">
        <v>4861</v>
      </c>
      <c r="F475" s="69"/>
      <c r="K475" s="314">
        <v>0.60489999999999999</v>
      </c>
    </row>
    <row r="476" spans="1:12" x14ac:dyDescent="0.2">
      <c r="A476" s="33">
        <v>41916</v>
      </c>
      <c r="B476" t="s">
        <v>435</v>
      </c>
      <c r="C476" s="1" t="s">
        <v>1936</v>
      </c>
      <c r="D476" s="1">
        <v>1.7025462962962961E-2</v>
      </c>
      <c r="E476" t="s">
        <v>4861</v>
      </c>
      <c r="F476" s="69" t="s">
        <v>938</v>
      </c>
      <c r="K476" s="314">
        <v>0.60160000000000002</v>
      </c>
    </row>
    <row r="477" spans="1:12" x14ac:dyDescent="0.2">
      <c r="A477" s="33">
        <v>41895</v>
      </c>
      <c r="B477" s="5" t="s">
        <v>435</v>
      </c>
      <c r="C477" s="1" t="s">
        <v>1936</v>
      </c>
      <c r="D477" s="1">
        <v>1.681712962962963E-2</v>
      </c>
      <c r="E477" t="s">
        <v>4861</v>
      </c>
      <c r="F477" s="69"/>
      <c r="K477" s="314">
        <v>0.60909999999999997</v>
      </c>
    </row>
    <row r="478" spans="1:12" x14ac:dyDescent="0.2">
      <c r="A478" s="33">
        <v>41888</v>
      </c>
      <c r="B478" s="5" t="s">
        <v>435</v>
      </c>
      <c r="C478" s="1" t="s">
        <v>1936</v>
      </c>
      <c r="D478" s="1">
        <v>1.7627314814814814E-2</v>
      </c>
      <c r="E478" t="s">
        <v>4861</v>
      </c>
      <c r="F478" s="69" t="s">
        <v>5673</v>
      </c>
      <c r="K478" s="314">
        <v>0.58109999999999995</v>
      </c>
    </row>
    <row r="479" spans="1:12" x14ac:dyDescent="0.2">
      <c r="A479" s="33">
        <v>41881</v>
      </c>
      <c r="B479" t="s">
        <v>435</v>
      </c>
      <c r="C479" s="1" t="s">
        <v>1936</v>
      </c>
      <c r="D479" s="1">
        <v>1.8599537037037036E-2</v>
      </c>
      <c r="E479" t="s">
        <v>4861</v>
      </c>
      <c r="F479" s="42"/>
      <c r="K479" s="314">
        <v>0.55069999999999997</v>
      </c>
    </row>
    <row r="480" spans="1:12" x14ac:dyDescent="0.2">
      <c r="A480" s="33">
        <v>41860</v>
      </c>
      <c r="B480" t="s">
        <v>435</v>
      </c>
      <c r="C480" s="1" t="s">
        <v>1936</v>
      </c>
      <c r="D480" s="1">
        <v>1.6527777777777777E-2</v>
      </c>
      <c r="E480" t="s">
        <v>4861</v>
      </c>
      <c r="F480" s="69" t="s">
        <v>363</v>
      </c>
      <c r="G480" t="s">
        <v>3460</v>
      </c>
      <c r="K480" s="314">
        <v>0.61970000000000003</v>
      </c>
    </row>
    <row r="481" spans="1:11" x14ac:dyDescent="0.2">
      <c r="A481" s="33">
        <v>41853</v>
      </c>
      <c r="B481" t="s">
        <v>435</v>
      </c>
      <c r="C481" s="1" t="s">
        <v>1936</v>
      </c>
      <c r="D481" s="1">
        <v>1.6724537037037034E-2</v>
      </c>
      <c r="E481" t="s">
        <v>4861</v>
      </c>
      <c r="F481" s="69" t="s">
        <v>3888</v>
      </c>
      <c r="K481" s="314">
        <v>0.61250000000000004</v>
      </c>
    </row>
    <row r="482" spans="1:11" x14ac:dyDescent="0.2">
      <c r="A482" s="34">
        <v>41846</v>
      </c>
      <c r="B482" t="s">
        <v>435</v>
      </c>
      <c r="C482" s="1" t="s">
        <v>1936</v>
      </c>
      <c r="D482" s="1">
        <v>1.7256944444444446E-2</v>
      </c>
      <c r="E482" t="s">
        <v>4861</v>
      </c>
      <c r="F482" s="69"/>
      <c r="K482" s="314">
        <v>0.59360000000000002</v>
      </c>
    </row>
    <row r="483" spans="1:11" x14ac:dyDescent="0.2">
      <c r="A483" s="34">
        <v>41839</v>
      </c>
      <c r="B483" t="s">
        <v>435</v>
      </c>
      <c r="C483" s="1" t="s">
        <v>1936</v>
      </c>
      <c r="D483" s="1">
        <v>1.7280092592592593E-2</v>
      </c>
      <c r="E483" t="s">
        <v>4861</v>
      </c>
      <c r="F483" s="69" t="s">
        <v>4653</v>
      </c>
      <c r="K483" s="314">
        <v>0.59279999999999999</v>
      </c>
    </row>
    <row r="484" spans="1:11" x14ac:dyDescent="0.2">
      <c r="A484" s="34">
        <v>41825</v>
      </c>
      <c r="B484" t="s">
        <v>435</v>
      </c>
      <c r="C484" s="9" t="s">
        <v>1936</v>
      </c>
      <c r="D484" s="1">
        <v>1.7615740740740741E-2</v>
      </c>
      <c r="E484" t="s">
        <v>4861</v>
      </c>
      <c r="F484" s="69" t="s">
        <v>2506</v>
      </c>
      <c r="K484" s="314">
        <v>0.58150000000000002</v>
      </c>
    </row>
    <row r="485" spans="1:11" x14ac:dyDescent="0.2">
      <c r="A485" s="34">
        <v>41818</v>
      </c>
      <c r="B485" t="s">
        <v>435</v>
      </c>
      <c r="C485" s="9" t="s">
        <v>1936</v>
      </c>
      <c r="D485" s="1">
        <v>1.7615740740740741E-2</v>
      </c>
      <c r="E485" t="s">
        <v>4861</v>
      </c>
      <c r="F485" s="69"/>
      <c r="K485" s="314">
        <v>0.58150000000000002</v>
      </c>
    </row>
    <row r="486" spans="1:11" x14ac:dyDescent="0.2">
      <c r="A486" s="34">
        <v>41811</v>
      </c>
      <c r="B486" t="s">
        <v>435</v>
      </c>
      <c r="C486" s="9" t="s">
        <v>1936</v>
      </c>
      <c r="D486" s="1">
        <v>1.7824074074074076E-2</v>
      </c>
      <c r="E486" t="s">
        <v>4861</v>
      </c>
      <c r="F486" s="69" t="s">
        <v>343</v>
      </c>
      <c r="K486" s="314">
        <v>0.57469999999999999</v>
      </c>
    </row>
    <row r="487" spans="1:11" x14ac:dyDescent="0.2">
      <c r="A487" s="34">
        <v>41804</v>
      </c>
      <c r="B487" t="s">
        <v>435</v>
      </c>
      <c r="C487" s="9" t="s">
        <v>1936</v>
      </c>
      <c r="D487" s="1">
        <v>2.1215277777777777E-2</v>
      </c>
      <c r="E487" t="s">
        <v>4861</v>
      </c>
      <c r="F487" s="69"/>
      <c r="K487" s="314">
        <v>0.48280000000000001</v>
      </c>
    </row>
    <row r="488" spans="1:11" x14ac:dyDescent="0.2">
      <c r="A488" s="34">
        <v>41776</v>
      </c>
      <c r="B488" t="s">
        <v>435</v>
      </c>
      <c r="C488" s="9" t="s">
        <v>1936</v>
      </c>
      <c r="D488" s="1">
        <v>1.7094907407407409E-2</v>
      </c>
      <c r="E488" t="s">
        <v>4861</v>
      </c>
      <c r="F488" s="69"/>
      <c r="K488" s="314">
        <v>0.59519999999999995</v>
      </c>
    </row>
    <row r="489" spans="1:11" x14ac:dyDescent="0.2">
      <c r="A489" s="34">
        <v>41769</v>
      </c>
      <c r="B489" t="s">
        <v>435</v>
      </c>
      <c r="C489" s="9" t="s">
        <v>1936</v>
      </c>
      <c r="D489" s="1">
        <v>1.726851851851852E-2</v>
      </c>
      <c r="E489" t="s">
        <v>4861</v>
      </c>
      <c r="F489" s="42" t="s">
        <v>346</v>
      </c>
      <c r="K489" s="314">
        <v>0.59319999999999995</v>
      </c>
    </row>
    <row r="490" spans="1:11" x14ac:dyDescent="0.2">
      <c r="A490" s="34">
        <v>41755</v>
      </c>
      <c r="B490" t="s">
        <v>435</v>
      </c>
      <c r="C490" s="9" t="s">
        <v>1936</v>
      </c>
      <c r="D490" s="1">
        <v>1.7256944444444446E-2</v>
      </c>
      <c r="E490" t="s">
        <v>4861</v>
      </c>
      <c r="F490" s="42" t="s">
        <v>5570</v>
      </c>
      <c r="K490" s="314">
        <v>0.59360000000000002</v>
      </c>
    </row>
    <row r="491" spans="1:11" x14ac:dyDescent="0.2">
      <c r="A491" s="34">
        <v>41741</v>
      </c>
      <c r="B491" t="s">
        <v>435</v>
      </c>
      <c r="C491" s="9" t="s">
        <v>1936</v>
      </c>
      <c r="D491" s="1">
        <v>1.6747685185185185E-2</v>
      </c>
      <c r="E491" t="s">
        <v>4861</v>
      </c>
      <c r="F491" s="69"/>
      <c r="K491" s="314">
        <v>0.60680000000000001</v>
      </c>
    </row>
    <row r="492" spans="1:11" x14ac:dyDescent="0.2">
      <c r="A492" s="34">
        <v>41734</v>
      </c>
      <c r="B492" t="s">
        <v>435</v>
      </c>
      <c r="C492" s="9" t="s">
        <v>1936</v>
      </c>
      <c r="D492" s="1">
        <v>1.8553240740740742E-2</v>
      </c>
      <c r="E492" t="s">
        <v>4861</v>
      </c>
      <c r="F492" s="42"/>
      <c r="K492" s="314">
        <v>0.54769999999999996</v>
      </c>
    </row>
    <row r="493" spans="1:11" x14ac:dyDescent="0.2">
      <c r="A493" s="34">
        <v>41727</v>
      </c>
      <c r="B493" t="s">
        <v>435</v>
      </c>
      <c r="C493" s="9" t="s">
        <v>1936</v>
      </c>
      <c r="D493" s="1">
        <v>1.8055555555555557E-2</v>
      </c>
      <c r="E493" t="s">
        <v>4861</v>
      </c>
      <c r="F493" s="69"/>
      <c r="K493" s="314">
        <v>0.56279999999999997</v>
      </c>
    </row>
    <row r="494" spans="1:11" x14ac:dyDescent="0.2">
      <c r="A494" s="34">
        <v>41720</v>
      </c>
      <c r="B494" t="s">
        <v>435</v>
      </c>
      <c r="C494" s="9" t="s">
        <v>1936</v>
      </c>
      <c r="D494" s="1">
        <v>1.9375E-2</v>
      </c>
      <c r="E494" t="s">
        <v>4861</v>
      </c>
      <c r="F494" s="69"/>
      <c r="K494" s="314">
        <v>0.52449999999999997</v>
      </c>
    </row>
    <row r="495" spans="1:11" x14ac:dyDescent="0.2">
      <c r="A495" s="34">
        <v>41713</v>
      </c>
      <c r="B495" t="s">
        <v>435</v>
      </c>
      <c r="C495" s="9" t="s">
        <v>1936</v>
      </c>
      <c r="D495" s="1">
        <v>1.7638888888888888E-2</v>
      </c>
      <c r="E495" t="s">
        <v>4861</v>
      </c>
      <c r="F495" s="69"/>
      <c r="K495" s="314">
        <v>0.56499999999999995</v>
      </c>
    </row>
    <row r="496" spans="1:11" x14ac:dyDescent="0.2">
      <c r="A496" s="34">
        <v>41706</v>
      </c>
      <c r="B496" t="s">
        <v>435</v>
      </c>
      <c r="C496" s="9" t="s">
        <v>1936</v>
      </c>
      <c r="D496" s="1">
        <v>1.9363425925925926E-2</v>
      </c>
      <c r="E496" t="s">
        <v>4861</v>
      </c>
      <c r="F496" s="69" t="s">
        <v>4782</v>
      </c>
      <c r="K496" s="314">
        <v>0.52480000000000004</v>
      </c>
    </row>
    <row r="497" spans="1:12" x14ac:dyDescent="0.2">
      <c r="A497" s="34">
        <v>41664</v>
      </c>
      <c r="B497" t="s">
        <v>435</v>
      </c>
      <c r="C497" s="9" t="s">
        <v>1936</v>
      </c>
      <c r="D497" s="1">
        <v>2.1134259259259259E-2</v>
      </c>
      <c r="E497" t="s">
        <v>4861</v>
      </c>
      <c r="F497" s="69"/>
      <c r="K497" s="314">
        <v>0.48080000000000001</v>
      </c>
    </row>
    <row r="498" spans="1:12" x14ac:dyDescent="0.2">
      <c r="A498" s="34">
        <v>41657</v>
      </c>
      <c r="B498" t="s">
        <v>435</v>
      </c>
      <c r="C498" s="9" t="s">
        <v>1936</v>
      </c>
      <c r="D498" s="1">
        <v>1.6793981481481483E-2</v>
      </c>
      <c r="E498" t="s">
        <v>4861</v>
      </c>
      <c r="F498" s="69"/>
      <c r="K498" s="314">
        <v>0.60509999999999997</v>
      </c>
    </row>
    <row r="499" spans="1:12" x14ac:dyDescent="0.2">
      <c r="A499" s="34">
        <v>41650</v>
      </c>
      <c r="B499" t="s">
        <v>435</v>
      </c>
      <c r="C499" s="9" t="s">
        <v>1936</v>
      </c>
      <c r="D499" s="1">
        <v>1.7349537037037038E-2</v>
      </c>
      <c r="E499" t="s">
        <v>4861</v>
      </c>
      <c r="F499" s="69"/>
      <c r="K499" s="314">
        <v>0.59360000000000002</v>
      </c>
    </row>
    <row r="500" spans="1:12" x14ac:dyDescent="0.2">
      <c r="A500" s="34">
        <v>41643</v>
      </c>
      <c r="B500" s="5" t="s">
        <v>435</v>
      </c>
      <c r="C500" s="104" t="s">
        <v>1936</v>
      </c>
      <c r="D500" s="1">
        <v>1.8287037037037036E-2</v>
      </c>
      <c r="E500" t="s">
        <v>4861</v>
      </c>
      <c r="F500" s="126" t="s">
        <v>33</v>
      </c>
      <c r="G500" s="125"/>
      <c r="H500" s="125"/>
      <c r="K500" s="314">
        <v>0.55569999999999997</v>
      </c>
      <c r="L500" t="s">
        <v>2837</v>
      </c>
    </row>
    <row r="501" spans="1:12" x14ac:dyDescent="0.2">
      <c r="A501" s="34"/>
      <c r="B501" s="5"/>
      <c r="C501" s="104"/>
      <c r="D501" s="1"/>
      <c r="F501" s="126"/>
      <c r="G501" s="125"/>
      <c r="H501" s="125"/>
      <c r="K501" s="314"/>
    </row>
    <row r="502" spans="1:12" x14ac:dyDescent="0.2">
      <c r="A502" s="34">
        <v>41811</v>
      </c>
      <c r="B502" t="s">
        <v>3898</v>
      </c>
      <c r="C502" s="9" t="s">
        <v>1543</v>
      </c>
      <c r="D502" s="1">
        <v>1.9560185185185184E-2</v>
      </c>
      <c r="E502" t="s">
        <v>3167</v>
      </c>
      <c r="F502" s="69" t="s">
        <v>364</v>
      </c>
      <c r="K502" s="314">
        <v>0.48820000000000002</v>
      </c>
    </row>
    <row r="503" spans="1:12" x14ac:dyDescent="0.2">
      <c r="A503" s="34">
        <v>41790</v>
      </c>
      <c r="B503" t="s">
        <v>3898</v>
      </c>
      <c r="C503" s="9" t="s">
        <v>1543</v>
      </c>
      <c r="D503" s="1">
        <v>1.6655092592592593E-2</v>
      </c>
      <c r="E503" t="s">
        <v>3167</v>
      </c>
      <c r="F503" s="69" t="s">
        <v>801</v>
      </c>
      <c r="K503" s="314">
        <v>0.57330000000000003</v>
      </c>
    </row>
    <row r="504" spans="1:12" x14ac:dyDescent="0.2">
      <c r="A504" s="34">
        <v>41783</v>
      </c>
      <c r="B504" t="s">
        <v>3898</v>
      </c>
      <c r="C504" s="9" t="s">
        <v>1543</v>
      </c>
      <c r="D504" s="1">
        <v>1.6828703703703703E-2</v>
      </c>
      <c r="E504" t="s">
        <v>3167</v>
      </c>
      <c r="F504" s="69" t="s">
        <v>3919</v>
      </c>
      <c r="K504" s="314">
        <v>0.56740000000000002</v>
      </c>
    </row>
    <row r="505" spans="1:12" x14ac:dyDescent="0.2">
      <c r="A505" s="34">
        <v>41769</v>
      </c>
      <c r="B505" t="s">
        <v>3898</v>
      </c>
      <c r="C505" s="9" t="s">
        <v>1543</v>
      </c>
      <c r="D505" s="1">
        <v>1.7245370370370369E-2</v>
      </c>
      <c r="E505" t="s">
        <v>3167</v>
      </c>
      <c r="F505" s="42" t="s">
        <v>1493</v>
      </c>
      <c r="K505" s="314">
        <v>0.55369999999999997</v>
      </c>
    </row>
    <row r="506" spans="1:12" x14ac:dyDescent="0.2">
      <c r="A506" s="34">
        <v>41755</v>
      </c>
      <c r="B506" t="s">
        <v>1542</v>
      </c>
      <c r="C506" s="9" t="s">
        <v>1543</v>
      </c>
      <c r="D506" s="1">
        <v>1.7175925925925924E-2</v>
      </c>
      <c r="E506" t="s">
        <v>3167</v>
      </c>
      <c r="F506" s="42" t="s">
        <v>4456</v>
      </c>
      <c r="K506" s="314">
        <v>0.55589999999999995</v>
      </c>
    </row>
    <row r="507" spans="1:12" x14ac:dyDescent="0.2">
      <c r="A507" s="34"/>
      <c r="C507" s="9"/>
      <c r="D507" s="1"/>
      <c r="F507" s="42"/>
      <c r="K507" s="314"/>
    </row>
    <row r="508" spans="1:12" x14ac:dyDescent="0.2">
      <c r="A508" s="33">
        <v>42000</v>
      </c>
      <c r="B508" s="2" t="s">
        <v>665</v>
      </c>
      <c r="C508" s="3" t="s">
        <v>666</v>
      </c>
      <c r="D508" s="1">
        <v>1.8101851851851852E-2</v>
      </c>
      <c r="E508" t="s">
        <v>2312</v>
      </c>
      <c r="F508" s="42" t="s">
        <v>836</v>
      </c>
      <c r="K508" s="314">
        <v>0.58440000000000003</v>
      </c>
    </row>
    <row r="509" spans="1:12" x14ac:dyDescent="0.2">
      <c r="A509" s="33">
        <v>41998</v>
      </c>
      <c r="B509" t="s">
        <v>665</v>
      </c>
      <c r="C509" s="1" t="s">
        <v>666</v>
      </c>
      <c r="D509" s="1">
        <v>1.7002314814814814E-2</v>
      </c>
      <c r="E509" t="s">
        <v>1401</v>
      </c>
      <c r="F509" s="69"/>
      <c r="K509" s="314">
        <v>0.62219999999999998</v>
      </c>
    </row>
    <row r="510" spans="1:12" x14ac:dyDescent="0.2">
      <c r="A510" s="33">
        <v>41979</v>
      </c>
      <c r="B510" t="s">
        <v>665</v>
      </c>
      <c r="C510" s="1" t="s">
        <v>666</v>
      </c>
      <c r="D510" s="1">
        <v>1.8738425925925926E-2</v>
      </c>
      <c r="E510" t="s">
        <v>6017</v>
      </c>
      <c r="F510" s="69" t="s">
        <v>2789</v>
      </c>
      <c r="H510" t="s">
        <v>2171</v>
      </c>
      <c r="K510" s="314">
        <v>0.5645</v>
      </c>
    </row>
    <row r="511" spans="1:12" x14ac:dyDescent="0.2">
      <c r="A511" s="33">
        <v>41972</v>
      </c>
      <c r="B511" t="s">
        <v>665</v>
      </c>
      <c r="C511" s="1" t="s">
        <v>666</v>
      </c>
      <c r="D511" s="1">
        <v>1.7430555555555557E-2</v>
      </c>
      <c r="E511" t="s">
        <v>3375</v>
      </c>
      <c r="F511" s="69" t="s">
        <v>571</v>
      </c>
      <c r="K511" s="314">
        <v>0.6069</v>
      </c>
    </row>
    <row r="512" spans="1:12" x14ac:dyDescent="0.2">
      <c r="A512" s="33">
        <v>41965</v>
      </c>
      <c r="B512" t="s">
        <v>665</v>
      </c>
      <c r="C512" s="1" t="s">
        <v>666</v>
      </c>
      <c r="D512" s="1">
        <v>1.9722222222222221E-2</v>
      </c>
      <c r="E512" t="s">
        <v>5337</v>
      </c>
      <c r="F512" s="5" t="s">
        <v>564</v>
      </c>
      <c r="G512" s="5"/>
      <c r="H512" s="5"/>
      <c r="I512" s="5"/>
      <c r="J512" s="5"/>
      <c r="K512" s="314">
        <v>0.53639999999999999</v>
      </c>
    </row>
    <row r="513" spans="1:11" x14ac:dyDescent="0.2">
      <c r="A513" s="33">
        <v>41958</v>
      </c>
      <c r="B513" t="s">
        <v>665</v>
      </c>
      <c r="C513" s="1" t="s">
        <v>666</v>
      </c>
      <c r="D513" s="1">
        <v>1.7546296296296296E-2</v>
      </c>
      <c r="E513" t="s">
        <v>5057</v>
      </c>
      <c r="F513" s="42" t="s">
        <v>3629</v>
      </c>
      <c r="K513" s="314">
        <v>0.60289999999999999</v>
      </c>
    </row>
    <row r="514" spans="1:11" x14ac:dyDescent="0.2">
      <c r="A514" s="33">
        <v>41951</v>
      </c>
      <c r="B514" t="s">
        <v>665</v>
      </c>
      <c r="C514" s="1" t="s">
        <v>666</v>
      </c>
      <c r="D514" s="1">
        <v>1.849537037037037E-2</v>
      </c>
      <c r="E514" t="s">
        <v>469</v>
      </c>
      <c r="F514" s="69" t="s">
        <v>4206</v>
      </c>
      <c r="K514" s="314">
        <v>0.57199999999999995</v>
      </c>
    </row>
    <row r="515" spans="1:11" x14ac:dyDescent="0.2">
      <c r="A515" s="33">
        <v>41944</v>
      </c>
      <c r="B515" t="s">
        <v>665</v>
      </c>
      <c r="C515" s="1" t="s">
        <v>666</v>
      </c>
      <c r="D515" s="1">
        <v>1.8055555555555557E-2</v>
      </c>
      <c r="E515" t="s">
        <v>4817</v>
      </c>
      <c r="F515" s="42" t="s">
        <v>807</v>
      </c>
      <c r="K515" s="314">
        <v>0.58589999999999998</v>
      </c>
    </row>
    <row r="516" spans="1:11" x14ac:dyDescent="0.2">
      <c r="A516" s="33">
        <v>41937</v>
      </c>
      <c r="B516" t="s">
        <v>665</v>
      </c>
      <c r="C516" s="1" t="s">
        <v>666</v>
      </c>
      <c r="D516" s="1">
        <v>1.7997685185185186E-2</v>
      </c>
      <c r="E516" t="s">
        <v>3912</v>
      </c>
      <c r="F516" s="69" t="s">
        <v>254</v>
      </c>
      <c r="K516" s="314">
        <v>0.58779999999999999</v>
      </c>
    </row>
    <row r="517" spans="1:11" x14ac:dyDescent="0.2">
      <c r="A517" s="33">
        <v>41930</v>
      </c>
      <c r="B517" t="s">
        <v>665</v>
      </c>
      <c r="C517" s="1" t="s">
        <v>666</v>
      </c>
      <c r="D517" s="1">
        <v>2.0046296296296295E-2</v>
      </c>
      <c r="E517" t="s">
        <v>841</v>
      </c>
      <c r="F517" s="69" t="s">
        <v>4272</v>
      </c>
      <c r="K517" s="314">
        <v>0.52769999999999995</v>
      </c>
    </row>
    <row r="518" spans="1:11" x14ac:dyDescent="0.2">
      <c r="A518" s="33">
        <v>41923</v>
      </c>
      <c r="B518" t="s">
        <v>665</v>
      </c>
      <c r="C518" s="1" t="s">
        <v>666</v>
      </c>
      <c r="D518" s="1">
        <v>1.8090277777777778E-2</v>
      </c>
      <c r="E518" s="42" t="s">
        <v>1812</v>
      </c>
      <c r="F518" s="69" t="s">
        <v>3107</v>
      </c>
      <c r="K518" s="314">
        <v>0.58479999999999999</v>
      </c>
    </row>
    <row r="519" spans="1:11" x14ac:dyDescent="0.2">
      <c r="A519" s="33">
        <v>41916</v>
      </c>
      <c r="B519" t="s">
        <v>665</v>
      </c>
      <c r="C519" s="1" t="s">
        <v>666</v>
      </c>
      <c r="D519" s="1">
        <v>1.8229166666666668E-2</v>
      </c>
      <c r="E519" t="s">
        <v>6027</v>
      </c>
      <c r="F519" s="69" t="s">
        <v>6028</v>
      </c>
      <c r="K519" s="314">
        <v>0.58030000000000004</v>
      </c>
    </row>
    <row r="520" spans="1:11" x14ac:dyDescent="0.2">
      <c r="A520" s="33">
        <v>41909</v>
      </c>
      <c r="B520" t="s">
        <v>665</v>
      </c>
      <c r="C520" s="1" t="s">
        <v>666</v>
      </c>
      <c r="D520" s="1">
        <v>1.7291666666666667E-2</v>
      </c>
      <c r="E520" t="s">
        <v>1780</v>
      </c>
      <c r="F520" s="42" t="s">
        <v>3233</v>
      </c>
      <c r="K520" s="314">
        <v>0.61180000000000001</v>
      </c>
    </row>
    <row r="521" spans="1:11" x14ac:dyDescent="0.2">
      <c r="A521" s="33">
        <v>41902</v>
      </c>
      <c r="B521" t="s">
        <v>665</v>
      </c>
      <c r="C521" s="1" t="s">
        <v>666</v>
      </c>
      <c r="D521" s="1">
        <v>1.7106481481481483E-2</v>
      </c>
      <c r="E521" t="s">
        <v>840</v>
      </c>
      <c r="F521" s="69" t="s">
        <v>2530</v>
      </c>
      <c r="K521" s="314">
        <v>0.61839999999999995</v>
      </c>
    </row>
    <row r="522" spans="1:11" x14ac:dyDescent="0.2">
      <c r="A522" s="33">
        <v>41895</v>
      </c>
      <c r="B522" t="s">
        <v>665</v>
      </c>
      <c r="C522" s="1" t="s">
        <v>666</v>
      </c>
      <c r="D522" s="1">
        <v>1.9872685185185184E-2</v>
      </c>
      <c r="E522" t="s">
        <v>3131</v>
      </c>
      <c r="F522" s="69" t="s">
        <v>4359</v>
      </c>
      <c r="K522" s="314">
        <v>0.5323</v>
      </c>
    </row>
    <row r="523" spans="1:11" x14ac:dyDescent="0.2">
      <c r="A523" s="33">
        <v>41888</v>
      </c>
      <c r="B523" t="s">
        <v>665</v>
      </c>
      <c r="C523" s="1" t="s">
        <v>666</v>
      </c>
      <c r="D523" s="1">
        <v>1.699074074074074E-2</v>
      </c>
      <c r="E523" t="s">
        <v>4497</v>
      </c>
      <c r="F523" s="69" t="s">
        <v>2309</v>
      </c>
      <c r="K523" s="314">
        <v>0.62260000000000004</v>
      </c>
    </row>
    <row r="524" spans="1:11" x14ac:dyDescent="0.2">
      <c r="A524" s="33">
        <v>41881</v>
      </c>
      <c r="B524" t="s">
        <v>665</v>
      </c>
      <c r="C524" s="1" t="s">
        <v>666</v>
      </c>
      <c r="D524" s="1">
        <v>1.7662037037037035E-2</v>
      </c>
      <c r="E524" t="s">
        <v>4397</v>
      </c>
      <c r="F524" s="42" t="s">
        <v>3829</v>
      </c>
      <c r="K524" s="314">
        <v>0.59899999999999998</v>
      </c>
    </row>
    <row r="525" spans="1:11" x14ac:dyDescent="0.2">
      <c r="A525" s="33">
        <v>41874</v>
      </c>
      <c r="B525" t="s">
        <v>665</v>
      </c>
      <c r="C525" s="1" t="s">
        <v>666</v>
      </c>
      <c r="D525" s="1">
        <v>1.6574074074074074E-2</v>
      </c>
      <c r="E525" t="s">
        <v>2934</v>
      </c>
      <c r="F525" s="69"/>
      <c r="G525" t="s">
        <v>1175</v>
      </c>
      <c r="K525" s="314">
        <v>0.63829999999999998</v>
      </c>
    </row>
    <row r="526" spans="1:11" x14ac:dyDescent="0.2">
      <c r="A526" s="33">
        <v>41867</v>
      </c>
      <c r="B526" t="s">
        <v>665</v>
      </c>
      <c r="C526" s="1" t="s">
        <v>666</v>
      </c>
      <c r="D526" s="1">
        <v>1.699074074074074E-2</v>
      </c>
      <c r="E526" t="s">
        <v>5198</v>
      </c>
      <c r="F526" s="69" t="s">
        <v>5204</v>
      </c>
      <c r="H526" t="s">
        <v>2819</v>
      </c>
      <c r="K526" s="314">
        <v>0.62260000000000004</v>
      </c>
    </row>
    <row r="527" spans="1:11" x14ac:dyDescent="0.2">
      <c r="A527" s="33">
        <v>41860</v>
      </c>
      <c r="B527" t="s">
        <v>665</v>
      </c>
      <c r="C527" s="1" t="s">
        <v>666</v>
      </c>
      <c r="D527" s="1">
        <v>1.7060185185185185E-2</v>
      </c>
      <c r="E527" t="s">
        <v>5155</v>
      </c>
      <c r="F527" s="69" t="s">
        <v>5156</v>
      </c>
      <c r="K527" s="314">
        <v>0.62009999999999998</v>
      </c>
    </row>
    <row r="528" spans="1:11" x14ac:dyDescent="0.2">
      <c r="A528" s="33">
        <v>41853</v>
      </c>
      <c r="B528" t="s">
        <v>665</v>
      </c>
      <c r="C528" s="1" t="s">
        <v>666</v>
      </c>
      <c r="D528" s="1">
        <v>1.7280092592592593E-2</v>
      </c>
      <c r="E528" t="s">
        <v>2431</v>
      </c>
      <c r="F528" s="69" t="s">
        <v>4662</v>
      </c>
      <c r="K528" s="314">
        <v>0.61219999999999997</v>
      </c>
    </row>
    <row r="529" spans="1:11" x14ac:dyDescent="0.2">
      <c r="A529" s="34">
        <v>41846</v>
      </c>
      <c r="B529" t="s">
        <v>665</v>
      </c>
      <c r="C529" s="1" t="s">
        <v>666</v>
      </c>
      <c r="D529" s="1">
        <v>1.8587962962962962E-2</v>
      </c>
      <c r="E529" t="s">
        <v>4491</v>
      </c>
      <c r="F529" s="69" t="s">
        <v>3425</v>
      </c>
      <c r="K529" s="314">
        <v>0.56910000000000005</v>
      </c>
    </row>
    <row r="530" spans="1:11" x14ac:dyDescent="0.2">
      <c r="A530" s="34">
        <v>41839</v>
      </c>
      <c r="B530" t="s">
        <v>665</v>
      </c>
      <c r="C530" s="1" t="s">
        <v>666</v>
      </c>
      <c r="D530" s="1">
        <v>1.7719907407407406E-2</v>
      </c>
      <c r="E530" t="s">
        <v>1401</v>
      </c>
      <c r="F530" s="69"/>
      <c r="K530" s="314">
        <v>0.59240000000000004</v>
      </c>
    </row>
    <row r="531" spans="1:11" x14ac:dyDescent="0.2">
      <c r="A531" s="34">
        <v>41832</v>
      </c>
      <c r="B531" t="s">
        <v>665</v>
      </c>
      <c r="C531" s="9" t="s">
        <v>666</v>
      </c>
      <c r="D531" s="1">
        <v>2.0439814814814817E-2</v>
      </c>
      <c r="E531" t="s">
        <v>2284</v>
      </c>
      <c r="F531" s="69" t="s">
        <v>2505</v>
      </c>
      <c r="K531" s="314">
        <v>0.51359999999999995</v>
      </c>
    </row>
    <row r="532" spans="1:11" x14ac:dyDescent="0.2">
      <c r="A532" s="34">
        <v>41825</v>
      </c>
      <c r="B532" t="s">
        <v>665</v>
      </c>
      <c r="C532" s="9" t="s">
        <v>666</v>
      </c>
      <c r="D532" s="1">
        <v>1.7326388888888888E-2</v>
      </c>
      <c r="E532" t="s">
        <v>494</v>
      </c>
      <c r="F532" s="69" t="s">
        <v>2504</v>
      </c>
      <c r="K532" s="314">
        <v>0.60589999999999999</v>
      </c>
    </row>
    <row r="533" spans="1:11" x14ac:dyDescent="0.2">
      <c r="A533" s="34">
        <v>41818</v>
      </c>
      <c r="B533" s="34" t="s">
        <v>665</v>
      </c>
      <c r="C533" s="9" t="s">
        <v>666</v>
      </c>
      <c r="D533" s="1">
        <v>1.8078703703703704E-2</v>
      </c>
      <c r="E533" t="s">
        <v>918</v>
      </c>
      <c r="F533" s="69" t="s">
        <v>5451</v>
      </c>
      <c r="K533" s="314">
        <v>0.58069999999999999</v>
      </c>
    </row>
    <row r="534" spans="1:11" x14ac:dyDescent="0.2">
      <c r="A534" s="34">
        <v>41811</v>
      </c>
      <c r="B534" t="s">
        <v>665</v>
      </c>
      <c r="C534" s="9" t="s">
        <v>666</v>
      </c>
      <c r="D534" s="1">
        <v>1.7569444444444447E-2</v>
      </c>
      <c r="E534" t="s">
        <v>1401</v>
      </c>
      <c r="F534" s="42" t="s">
        <v>1585</v>
      </c>
      <c r="K534" s="314">
        <v>0.59750000000000003</v>
      </c>
    </row>
    <row r="535" spans="1:11" x14ac:dyDescent="0.2">
      <c r="A535" s="34">
        <v>41804</v>
      </c>
      <c r="B535" t="s">
        <v>665</v>
      </c>
      <c r="C535" s="9" t="s">
        <v>666</v>
      </c>
      <c r="D535" s="1">
        <v>1.8171296296296297E-2</v>
      </c>
      <c r="E535" t="s">
        <v>6022</v>
      </c>
      <c r="F535" s="69" t="s">
        <v>2102</v>
      </c>
      <c r="K535" s="314">
        <v>0.57769999999999999</v>
      </c>
    </row>
    <row r="536" spans="1:11" x14ac:dyDescent="0.2">
      <c r="A536" s="34">
        <v>41797</v>
      </c>
      <c r="B536" t="s">
        <v>665</v>
      </c>
      <c r="C536" s="9" t="s">
        <v>666</v>
      </c>
      <c r="D536" s="1">
        <v>1.7476851851851851E-2</v>
      </c>
      <c r="E536" t="s">
        <v>129</v>
      </c>
      <c r="F536" s="42" t="s">
        <v>2629</v>
      </c>
      <c r="K536" s="314">
        <v>0.60070000000000001</v>
      </c>
    </row>
    <row r="537" spans="1:11" x14ac:dyDescent="0.2">
      <c r="A537" s="34">
        <v>41790</v>
      </c>
      <c r="B537" t="s">
        <v>665</v>
      </c>
      <c r="C537" s="9" t="s">
        <v>666</v>
      </c>
      <c r="D537" s="1">
        <v>1.6898148148148148E-2</v>
      </c>
      <c r="E537" t="s">
        <v>373</v>
      </c>
      <c r="F537" s="69" t="s">
        <v>5631</v>
      </c>
      <c r="K537" s="314">
        <v>0.62119999999999997</v>
      </c>
    </row>
    <row r="538" spans="1:11" x14ac:dyDescent="0.2">
      <c r="A538" s="34">
        <v>41783</v>
      </c>
      <c r="B538" t="s">
        <v>665</v>
      </c>
      <c r="C538" s="9" t="s">
        <v>666</v>
      </c>
      <c r="D538" s="1">
        <v>1.699074074074074E-2</v>
      </c>
      <c r="E538" t="s">
        <v>5889</v>
      </c>
      <c r="F538" s="69" t="s">
        <v>3920</v>
      </c>
      <c r="K538" s="314">
        <v>0.61780000000000002</v>
      </c>
    </row>
    <row r="539" spans="1:11" x14ac:dyDescent="0.2">
      <c r="A539" s="34">
        <v>41776</v>
      </c>
      <c r="B539" t="s">
        <v>665</v>
      </c>
      <c r="C539" s="9" t="s">
        <v>666</v>
      </c>
      <c r="D539" s="1" t="s">
        <v>787</v>
      </c>
      <c r="E539" t="s">
        <v>6020</v>
      </c>
      <c r="F539" s="69" t="s">
        <v>3710</v>
      </c>
      <c r="K539" s="314"/>
    </row>
    <row r="540" spans="1:11" x14ac:dyDescent="0.2">
      <c r="A540" s="34">
        <v>41769</v>
      </c>
      <c r="B540" s="5" t="s">
        <v>665</v>
      </c>
      <c r="C540" s="104" t="s">
        <v>666</v>
      </c>
      <c r="D540" s="1">
        <v>1.7361111111111112E-2</v>
      </c>
      <c r="E540" t="s">
        <v>4839</v>
      </c>
      <c r="F540" s="42" t="s">
        <v>3859</v>
      </c>
      <c r="K540" s="314">
        <v>0.60470000000000002</v>
      </c>
    </row>
    <row r="541" spans="1:11" x14ac:dyDescent="0.2">
      <c r="A541" s="34">
        <v>41769</v>
      </c>
      <c r="B541" t="s">
        <v>665</v>
      </c>
      <c r="C541" s="9" t="s">
        <v>666</v>
      </c>
      <c r="D541" s="1">
        <v>1.7303240740740741E-2</v>
      </c>
      <c r="E541" t="s">
        <v>4981</v>
      </c>
      <c r="F541" s="42" t="s">
        <v>28</v>
      </c>
      <c r="K541" s="314">
        <v>0.60670000000000002</v>
      </c>
    </row>
    <row r="542" spans="1:11" x14ac:dyDescent="0.2">
      <c r="A542" s="34">
        <v>41762</v>
      </c>
      <c r="B542" t="s">
        <v>665</v>
      </c>
      <c r="C542" s="9" t="s">
        <v>666</v>
      </c>
      <c r="D542" s="1">
        <v>1.7812499999999998E-2</v>
      </c>
      <c r="E542" t="s">
        <v>5883</v>
      </c>
      <c r="F542" s="69"/>
      <c r="K542" s="314">
        <v>0.58930000000000005</v>
      </c>
    </row>
    <row r="543" spans="1:11" x14ac:dyDescent="0.2">
      <c r="A543" s="34">
        <v>41755</v>
      </c>
      <c r="B543" t="s">
        <v>665</v>
      </c>
      <c r="C543" s="9" t="s">
        <v>666</v>
      </c>
      <c r="D543" s="1">
        <v>1.7013888888888887E-2</v>
      </c>
      <c r="E543" t="s">
        <v>6020</v>
      </c>
      <c r="F543" s="42" t="s">
        <v>2629</v>
      </c>
      <c r="K543" s="314">
        <v>0.61699999999999999</v>
      </c>
    </row>
    <row r="544" spans="1:11" x14ac:dyDescent="0.2">
      <c r="A544" s="34">
        <v>41748</v>
      </c>
      <c r="B544" t="s">
        <v>665</v>
      </c>
      <c r="C544" s="9" t="s">
        <v>666</v>
      </c>
      <c r="D544" s="1">
        <v>1.7488425925925925E-2</v>
      </c>
      <c r="E544" t="s">
        <v>5552</v>
      </c>
      <c r="F544" s="69" t="s">
        <v>303</v>
      </c>
      <c r="K544" s="314">
        <v>0.60029999999999994</v>
      </c>
    </row>
    <row r="545" spans="1:12" x14ac:dyDescent="0.2">
      <c r="A545" s="34">
        <v>41741</v>
      </c>
      <c r="B545" t="s">
        <v>665</v>
      </c>
      <c r="C545" s="9" t="s">
        <v>666</v>
      </c>
      <c r="D545" s="1">
        <v>1.8692129629629631E-2</v>
      </c>
      <c r="E545" t="s">
        <v>984</v>
      </c>
      <c r="F545" s="69" t="s">
        <v>986</v>
      </c>
      <c r="K545" s="314">
        <v>0.56159999999999999</v>
      </c>
    </row>
    <row r="546" spans="1:12" x14ac:dyDescent="0.2">
      <c r="A546" s="34">
        <v>41734</v>
      </c>
      <c r="B546" t="s">
        <v>665</v>
      </c>
      <c r="C546" s="9" t="s">
        <v>666</v>
      </c>
      <c r="D546" s="1">
        <v>1.7164351851851851E-2</v>
      </c>
      <c r="E546" t="s">
        <v>6020</v>
      </c>
      <c r="F546" s="57" t="s">
        <v>575</v>
      </c>
      <c r="G546" s="2"/>
      <c r="K546" s="314">
        <v>0.61160000000000003</v>
      </c>
    </row>
    <row r="547" spans="1:12" x14ac:dyDescent="0.2">
      <c r="A547" s="34">
        <v>41727</v>
      </c>
      <c r="B547" t="s">
        <v>665</v>
      </c>
      <c r="C547" s="9" t="s">
        <v>666</v>
      </c>
      <c r="D547" s="1">
        <v>1.7592592592592594E-2</v>
      </c>
      <c r="E547" t="s">
        <v>2449</v>
      </c>
      <c r="F547" s="69" t="s">
        <v>3446</v>
      </c>
      <c r="K547" s="314">
        <v>0.59670000000000001</v>
      </c>
    </row>
    <row r="548" spans="1:12" x14ac:dyDescent="0.2">
      <c r="A548" s="34">
        <v>41720</v>
      </c>
      <c r="B548" t="s">
        <v>665</v>
      </c>
      <c r="C548" s="9" t="s">
        <v>666</v>
      </c>
      <c r="D548" s="1">
        <v>1.7974537037037035E-2</v>
      </c>
      <c r="E548" t="s">
        <v>5453</v>
      </c>
      <c r="F548" s="69" t="s">
        <v>425</v>
      </c>
      <c r="K548" s="314">
        <v>0.58399999999999996</v>
      </c>
    </row>
    <row r="549" spans="1:12" x14ac:dyDescent="0.2">
      <c r="A549" s="34">
        <v>41713</v>
      </c>
      <c r="B549" t="s">
        <v>665</v>
      </c>
      <c r="C549" s="9" t="s">
        <v>666</v>
      </c>
      <c r="D549" s="1">
        <v>1.7361111111111112E-2</v>
      </c>
      <c r="E549" t="s">
        <v>449</v>
      </c>
      <c r="F549" s="69" t="s">
        <v>2394</v>
      </c>
      <c r="K549" s="314">
        <v>0.60470000000000002</v>
      </c>
    </row>
    <row r="550" spans="1:12" x14ac:dyDescent="0.2">
      <c r="A550" s="34">
        <v>41692</v>
      </c>
      <c r="B550" t="s">
        <v>665</v>
      </c>
      <c r="C550" s="9" t="s">
        <v>666</v>
      </c>
      <c r="D550" s="1">
        <v>1.7743055555555557E-2</v>
      </c>
      <c r="E550" t="s">
        <v>2161</v>
      </c>
      <c r="F550" s="69" t="s">
        <v>2629</v>
      </c>
      <c r="K550" s="314">
        <v>0.5917</v>
      </c>
    </row>
    <row r="551" spans="1:12" x14ac:dyDescent="0.2">
      <c r="A551" s="34">
        <v>41685</v>
      </c>
      <c r="B551" t="s">
        <v>665</v>
      </c>
      <c r="C551" s="9" t="s">
        <v>666</v>
      </c>
      <c r="D551" s="1">
        <v>1.8807870370370371E-2</v>
      </c>
      <c r="E551" t="s">
        <v>5653</v>
      </c>
      <c r="F551" s="69" t="s">
        <v>1895</v>
      </c>
      <c r="K551" s="314">
        <v>0.55820000000000003</v>
      </c>
    </row>
    <row r="552" spans="1:12" x14ac:dyDescent="0.2">
      <c r="A552" s="34">
        <v>41678</v>
      </c>
      <c r="B552" t="s">
        <v>665</v>
      </c>
      <c r="C552" s="9" t="s">
        <v>666</v>
      </c>
      <c r="D552" s="1">
        <v>1.7523148148148149E-2</v>
      </c>
      <c r="E552" t="s">
        <v>5186</v>
      </c>
      <c r="F552" s="69" t="s">
        <v>4589</v>
      </c>
      <c r="K552" s="314">
        <v>0.59909999999999997</v>
      </c>
    </row>
    <row r="553" spans="1:12" x14ac:dyDescent="0.2">
      <c r="A553" s="34">
        <v>41671</v>
      </c>
      <c r="B553" t="s">
        <v>665</v>
      </c>
      <c r="C553" s="9" t="s">
        <v>666</v>
      </c>
      <c r="D553" s="1">
        <v>1.7141203703703704E-2</v>
      </c>
      <c r="E553" t="s">
        <v>2838</v>
      </c>
      <c r="F553" s="69" t="s">
        <v>4358</v>
      </c>
      <c r="K553" s="314">
        <v>0.61240000000000006</v>
      </c>
    </row>
    <row r="554" spans="1:12" x14ac:dyDescent="0.2">
      <c r="A554" s="34">
        <v>41664</v>
      </c>
      <c r="B554" t="s">
        <v>665</v>
      </c>
      <c r="C554" s="9" t="s">
        <v>666</v>
      </c>
      <c r="D554" s="1">
        <v>1.7592592592592594E-2</v>
      </c>
      <c r="E554" t="s">
        <v>4861</v>
      </c>
      <c r="F554" s="69" t="s">
        <v>854</v>
      </c>
      <c r="K554" s="314">
        <v>0.59670000000000001</v>
      </c>
    </row>
    <row r="555" spans="1:12" x14ac:dyDescent="0.2">
      <c r="A555" s="34">
        <v>41657</v>
      </c>
      <c r="B555" t="s">
        <v>665</v>
      </c>
      <c r="C555" s="9" t="s">
        <v>666</v>
      </c>
      <c r="D555" s="1">
        <v>1.8842592592592591E-2</v>
      </c>
      <c r="E555" t="s">
        <v>1069</v>
      </c>
      <c r="F555" s="69" t="s">
        <v>3986</v>
      </c>
      <c r="K555" s="314">
        <v>0.55710000000000004</v>
      </c>
      <c r="L555" t="s">
        <v>4875</v>
      </c>
    </row>
    <row r="556" spans="1:12" x14ac:dyDescent="0.2">
      <c r="A556" s="34">
        <v>41643</v>
      </c>
      <c r="B556" t="s">
        <v>665</v>
      </c>
      <c r="C556" s="9" t="s">
        <v>666</v>
      </c>
      <c r="D556" s="1">
        <v>1.8101851851851852E-2</v>
      </c>
      <c r="E556" t="s">
        <v>4556</v>
      </c>
      <c r="F556" s="69" t="s">
        <v>2629</v>
      </c>
      <c r="K556" s="314">
        <v>0.57989999999999997</v>
      </c>
    </row>
    <row r="557" spans="1:12" x14ac:dyDescent="0.2">
      <c r="A557" s="34">
        <v>41640</v>
      </c>
      <c r="B557" t="s">
        <v>665</v>
      </c>
      <c r="C557" s="9" t="s">
        <v>666</v>
      </c>
      <c r="D557" s="1">
        <v>1.8171296296296297E-2</v>
      </c>
      <c r="E557" t="s">
        <v>129</v>
      </c>
      <c r="F557" s="69"/>
      <c r="K557" s="314">
        <v>0.57769999999999999</v>
      </c>
    </row>
    <row r="558" spans="1:12" x14ac:dyDescent="0.2">
      <c r="A558" s="34">
        <v>41650</v>
      </c>
      <c r="B558" t="s">
        <v>1264</v>
      </c>
      <c r="C558" s="9" t="s">
        <v>666</v>
      </c>
      <c r="D558" s="1">
        <v>1.7280092592592593E-2</v>
      </c>
      <c r="E558" t="s">
        <v>1283</v>
      </c>
      <c r="F558" s="69" t="s">
        <v>5888</v>
      </c>
      <c r="K558" s="314">
        <v>0.60750000000000004</v>
      </c>
      <c r="L558" t="s">
        <v>1284</v>
      </c>
    </row>
    <row r="559" spans="1:12" x14ac:dyDescent="0.2">
      <c r="A559" s="34"/>
      <c r="C559" s="9"/>
      <c r="D559" s="1"/>
      <c r="F559" s="69"/>
      <c r="K559" s="314"/>
    </row>
    <row r="560" spans="1:12" x14ac:dyDescent="0.2">
      <c r="A560" s="34">
        <v>41797</v>
      </c>
      <c r="B560" s="2" t="s">
        <v>1798</v>
      </c>
      <c r="C560" s="99" t="s">
        <v>3006</v>
      </c>
      <c r="D560" s="1">
        <v>1.7870370370370373E-2</v>
      </c>
      <c r="E560" t="s">
        <v>1214</v>
      </c>
      <c r="F560" s="42"/>
      <c r="K560" s="314">
        <v>0.5907</v>
      </c>
    </row>
    <row r="561" spans="1:11" x14ac:dyDescent="0.2">
      <c r="A561" s="34">
        <v>41748</v>
      </c>
      <c r="B561" t="s">
        <v>1798</v>
      </c>
      <c r="C561" s="9" t="s">
        <v>3006</v>
      </c>
      <c r="D561" s="1">
        <v>2.0405092592592593E-2</v>
      </c>
      <c r="E561" t="s">
        <v>1214</v>
      </c>
      <c r="F561" s="69" t="s">
        <v>4098</v>
      </c>
      <c r="K561" s="314">
        <v>0.51729999999999998</v>
      </c>
    </row>
    <row r="562" spans="1:11" x14ac:dyDescent="0.2">
      <c r="A562" s="34">
        <v>41741</v>
      </c>
      <c r="B562" t="s">
        <v>1798</v>
      </c>
      <c r="C562" s="9" t="s">
        <v>3006</v>
      </c>
      <c r="D562" s="1">
        <v>2.045138888888889E-2</v>
      </c>
      <c r="E562" t="s">
        <v>1214</v>
      </c>
      <c r="F562" s="69" t="s">
        <v>4620</v>
      </c>
      <c r="K562" s="314">
        <v>0.5161</v>
      </c>
    </row>
    <row r="563" spans="1:11" x14ac:dyDescent="0.2">
      <c r="A563" s="34"/>
      <c r="C563" s="9"/>
      <c r="D563" s="1"/>
      <c r="F563" s="69"/>
      <c r="K563" s="314"/>
    </row>
    <row r="564" spans="1:11" x14ac:dyDescent="0.2">
      <c r="A564" s="33">
        <v>42000</v>
      </c>
      <c r="B564" s="2" t="s">
        <v>2137</v>
      </c>
      <c r="C564" s="3" t="s">
        <v>4943</v>
      </c>
      <c r="D564" s="1">
        <v>1.5428240740740741E-2</v>
      </c>
      <c r="E564" t="s">
        <v>5544</v>
      </c>
      <c r="F564" s="42"/>
      <c r="K564" s="314">
        <v>0.70369999999999999</v>
      </c>
    </row>
    <row r="565" spans="1:11" x14ac:dyDescent="0.2">
      <c r="A565" s="33">
        <v>41998</v>
      </c>
      <c r="B565" t="s">
        <v>2137</v>
      </c>
      <c r="C565" s="1" t="s">
        <v>4943</v>
      </c>
      <c r="D565" s="1">
        <v>1.556712962962963E-2</v>
      </c>
      <c r="E565" t="s">
        <v>1401</v>
      </c>
      <c r="F565" s="69"/>
      <c r="K565" s="314">
        <v>0.69740000000000002</v>
      </c>
    </row>
    <row r="566" spans="1:11" x14ac:dyDescent="0.2">
      <c r="A566" s="33">
        <v>41993</v>
      </c>
      <c r="B566" t="s">
        <v>2137</v>
      </c>
      <c r="C566" s="1" t="s">
        <v>4943</v>
      </c>
      <c r="D566" t="s">
        <v>787</v>
      </c>
      <c r="E566" t="s">
        <v>5544</v>
      </c>
      <c r="F566" s="42" t="s">
        <v>3853</v>
      </c>
      <c r="K566" s="314"/>
    </row>
    <row r="567" spans="1:11" x14ac:dyDescent="0.2">
      <c r="A567" s="33">
        <v>41986</v>
      </c>
      <c r="B567" t="s">
        <v>2137</v>
      </c>
      <c r="C567" s="1" t="s">
        <v>4943</v>
      </c>
      <c r="D567" s="1">
        <v>1.486111111111111E-2</v>
      </c>
      <c r="E567" t="s">
        <v>5544</v>
      </c>
      <c r="F567" s="69"/>
      <c r="K567" s="314">
        <v>0.73050000000000004</v>
      </c>
    </row>
    <row r="568" spans="1:11" x14ac:dyDescent="0.2">
      <c r="A568" s="33">
        <v>41979</v>
      </c>
      <c r="B568" t="s">
        <v>2137</v>
      </c>
      <c r="C568" s="1" t="s">
        <v>4943</v>
      </c>
      <c r="D568" s="1" t="s">
        <v>787</v>
      </c>
      <c r="E568" t="s">
        <v>5544</v>
      </c>
      <c r="F568" s="69" t="s">
        <v>4061</v>
      </c>
      <c r="K568" s="314"/>
    </row>
    <row r="569" spans="1:11" x14ac:dyDescent="0.2">
      <c r="A569" s="33">
        <v>41972</v>
      </c>
      <c r="B569" t="s">
        <v>2137</v>
      </c>
      <c r="C569" s="1" t="s">
        <v>4943</v>
      </c>
      <c r="D569" s="1">
        <v>1.6099537037037037E-2</v>
      </c>
      <c r="E569" t="s">
        <v>861</v>
      </c>
      <c r="F569" s="69" t="s">
        <v>572</v>
      </c>
      <c r="K569" s="314">
        <v>0.67430000000000001</v>
      </c>
    </row>
    <row r="570" spans="1:11" x14ac:dyDescent="0.2">
      <c r="A570" s="33">
        <v>41965</v>
      </c>
      <c r="B570" t="s">
        <v>2137</v>
      </c>
      <c r="C570" s="1" t="s">
        <v>4943</v>
      </c>
      <c r="D570" s="1">
        <v>1.5081018518518516E-2</v>
      </c>
      <c r="E570" t="s">
        <v>5544</v>
      </c>
      <c r="F570" s="5" t="s">
        <v>4612</v>
      </c>
      <c r="G570" s="5"/>
      <c r="H570" s="5"/>
      <c r="I570" s="5"/>
      <c r="J570" s="5"/>
      <c r="K570" s="314">
        <v>0.71989999999999998</v>
      </c>
    </row>
    <row r="571" spans="1:11" x14ac:dyDescent="0.2">
      <c r="A571" s="33">
        <v>41958</v>
      </c>
      <c r="B571" t="s">
        <v>2137</v>
      </c>
      <c r="C571" s="1" t="s">
        <v>4943</v>
      </c>
      <c r="D571" s="1">
        <v>1.8888888888888889E-2</v>
      </c>
      <c r="E571" t="s">
        <v>5544</v>
      </c>
      <c r="F571" s="42" t="s">
        <v>5921</v>
      </c>
      <c r="K571" s="314">
        <v>0.57779999999999998</v>
      </c>
    </row>
    <row r="572" spans="1:11" x14ac:dyDescent="0.2">
      <c r="A572" s="33">
        <v>41951</v>
      </c>
      <c r="B572" t="s">
        <v>2137</v>
      </c>
      <c r="C572" s="1" t="s">
        <v>4943</v>
      </c>
      <c r="D572" s="1">
        <v>2.0196759259259258E-2</v>
      </c>
      <c r="E572" t="s">
        <v>5544</v>
      </c>
      <c r="F572" s="69" t="s">
        <v>5658</v>
      </c>
      <c r="I572" t="s">
        <v>1537</v>
      </c>
      <c r="K572" s="314">
        <v>0.53749999999999998</v>
      </c>
    </row>
    <row r="573" spans="1:11" x14ac:dyDescent="0.2">
      <c r="A573" s="33">
        <v>41937</v>
      </c>
      <c r="B573" t="s">
        <v>2137</v>
      </c>
      <c r="C573" s="1" t="s">
        <v>4943</v>
      </c>
      <c r="D573" s="1">
        <v>1.5127314814814816E-2</v>
      </c>
      <c r="E573" t="s">
        <v>5544</v>
      </c>
      <c r="F573" s="69" t="s">
        <v>3004</v>
      </c>
      <c r="K573" s="314">
        <v>0.7177</v>
      </c>
    </row>
    <row r="574" spans="1:11" x14ac:dyDescent="0.2">
      <c r="A574" s="33">
        <v>41930</v>
      </c>
      <c r="B574" t="s">
        <v>2137</v>
      </c>
      <c r="C574" s="1" t="s">
        <v>4943</v>
      </c>
      <c r="D574" s="1">
        <v>1.5706018518518518E-2</v>
      </c>
      <c r="E574" t="s">
        <v>5544</v>
      </c>
      <c r="F574" s="69"/>
      <c r="K574" s="314">
        <v>0.66200000000000003</v>
      </c>
    </row>
    <row r="575" spans="1:11" x14ac:dyDescent="0.2">
      <c r="A575" s="33">
        <v>41909</v>
      </c>
      <c r="B575" t="s">
        <v>2137</v>
      </c>
      <c r="C575" s="1" t="s">
        <v>4943</v>
      </c>
      <c r="D575" s="1">
        <v>1.5879629629629629E-2</v>
      </c>
      <c r="E575" t="s">
        <v>5544</v>
      </c>
      <c r="F575" s="42" t="s">
        <v>259</v>
      </c>
      <c r="K575" s="314">
        <v>0.68369999999999997</v>
      </c>
    </row>
    <row r="576" spans="1:11" x14ac:dyDescent="0.2">
      <c r="A576" s="33">
        <v>41902</v>
      </c>
      <c r="B576" t="s">
        <v>2137</v>
      </c>
      <c r="C576" s="1" t="s">
        <v>4943</v>
      </c>
      <c r="D576" s="1">
        <v>1.7754629629629631E-2</v>
      </c>
      <c r="E576" t="s">
        <v>5544</v>
      </c>
      <c r="F576" s="69" t="s">
        <v>4896</v>
      </c>
      <c r="K576" s="314">
        <v>0.61153999999999997</v>
      </c>
    </row>
    <row r="577" spans="1:11" x14ac:dyDescent="0.2">
      <c r="A577" s="33">
        <v>41888</v>
      </c>
      <c r="B577" t="s">
        <v>2137</v>
      </c>
      <c r="C577" s="1" t="s">
        <v>4943</v>
      </c>
      <c r="D577" s="1">
        <v>1.4907407407407406E-2</v>
      </c>
      <c r="E577" t="s">
        <v>5544</v>
      </c>
      <c r="F577" s="69"/>
      <c r="K577" s="314">
        <v>0.72829999999999995</v>
      </c>
    </row>
    <row r="578" spans="1:11" x14ac:dyDescent="0.2">
      <c r="A578" s="33">
        <v>41867</v>
      </c>
      <c r="B578" t="s">
        <v>2137</v>
      </c>
      <c r="C578" s="1" t="s">
        <v>4943</v>
      </c>
      <c r="D578" s="1">
        <v>1.4791666666666668E-2</v>
      </c>
      <c r="E578" t="s">
        <v>5544</v>
      </c>
      <c r="F578" s="69" t="s">
        <v>938</v>
      </c>
      <c r="K578" s="314">
        <v>0.73399999999999999</v>
      </c>
    </row>
    <row r="579" spans="1:11" x14ac:dyDescent="0.2">
      <c r="A579" s="34">
        <v>41818</v>
      </c>
      <c r="B579" t="s">
        <v>2137</v>
      </c>
      <c r="C579" s="9" t="s">
        <v>4943</v>
      </c>
      <c r="D579" s="1">
        <v>1.4675925925925926E-2</v>
      </c>
      <c r="E579" t="s">
        <v>5544</v>
      </c>
      <c r="F579" s="69"/>
      <c r="K579" s="314">
        <v>0.73970000000000002</v>
      </c>
    </row>
    <row r="580" spans="1:11" x14ac:dyDescent="0.2">
      <c r="A580" s="34">
        <v>41804</v>
      </c>
      <c r="B580" t="s">
        <v>2137</v>
      </c>
      <c r="C580" s="9" t="s">
        <v>4943</v>
      </c>
      <c r="D580" s="1">
        <v>3.1689814814814816E-2</v>
      </c>
      <c r="E580" t="s">
        <v>5544</v>
      </c>
      <c r="F580" s="69" t="s">
        <v>1514</v>
      </c>
      <c r="K580" s="314">
        <v>0.34260000000000002</v>
      </c>
    </row>
    <row r="581" spans="1:11" x14ac:dyDescent="0.2">
      <c r="A581" s="34">
        <v>41790</v>
      </c>
      <c r="B581" t="s">
        <v>2137</v>
      </c>
      <c r="C581" s="104" t="s">
        <v>4943</v>
      </c>
      <c r="D581" s="1">
        <v>1.9918981481481482E-2</v>
      </c>
      <c r="E581" t="s">
        <v>4860</v>
      </c>
      <c r="F581" s="69" t="s">
        <v>3406</v>
      </c>
      <c r="K581" s="314">
        <v>0.54500000000000004</v>
      </c>
    </row>
    <row r="582" spans="1:11" x14ac:dyDescent="0.2">
      <c r="A582" s="34">
        <v>41783</v>
      </c>
      <c r="B582" t="s">
        <v>2137</v>
      </c>
      <c r="C582" s="9" t="s">
        <v>4943</v>
      </c>
      <c r="D582" s="1">
        <v>1.5625E-2</v>
      </c>
      <c r="E582" t="s">
        <v>2818</v>
      </c>
      <c r="F582" s="69" t="s">
        <v>2629</v>
      </c>
      <c r="K582" s="314">
        <v>0.69479999999999997</v>
      </c>
    </row>
    <row r="583" spans="1:11" x14ac:dyDescent="0.2">
      <c r="A583" s="34">
        <v>41776</v>
      </c>
      <c r="B583" t="s">
        <v>2137</v>
      </c>
      <c r="C583" s="9" t="s">
        <v>4943</v>
      </c>
      <c r="D583" t="s">
        <v>787</v>
      </c>
      <c r="E583" t="s">
        <v>5544</v>
      </c>
      <c r="F583" s="41"/>
    </row>
    <row r="584" spans="1:11" x14ac:dyDescent="0.2">
      <c r="A584" s="34">
        <v>41762</v>
      </c>
      <c r="B584" t="s">
        <v>2137</v>
      </c>
      <c r="C584" s="9" t="s">
        <v>4943</v>
      </c>
      <c r="D584" s="1">
        <v>1.6932870370370369E-2</v>
      </c>
      <c r="E584" t="s">
        <v>998</v>
      </c>
      <c r="F584" s="69"/>
      <c r="K584" s="314">
        <v>0.6411</v>
      </c>
    </row>
    <row r="585" spans="1:11" x14ac:dyDescent="0.2">
      <c r="A585" s="34">
        <v>41755</v>
      </c>
      <c r="B585" t="s">
        <v>2137</v>
      </c>
      <c r="C585" s="9" t="s">
        <v>4943</v>
      </c>
      <c r="D585" s="1" t="s">
        <v>787</v>
      </c>
      <c r="E585" t="s">
        <v>5544</v>
      </c>
      <c r="F585" s="42" t="s">
        <v>3596</v>
      </c>
      <c r="K585" s="314"/>
    </row>
    <row r="586" spans="1:11" x14ac:dyDescent="0.2">
      <c r="A586" s="34">
        <v>41748</v>
      </c>
      <c r="B586" t="s">
        <v>2137</v>
      </c>
      <c r="C586" s="9" t="s">
        <v>4943</v>
      </c>
      <c r="D586" s="1">
        <v>3.1469907407407412E-2</v>
      </c>
      <c r="E586" t="s">
        <v>5544</v>
      </c>
      <c r="F586" s="69" t="s">
        <v>1514</v>
      </c>
      <c r="K586" s="314">
        <v>0.34499999999999997</v>
      </c>
    </row>
    <row r="587" spans="1:11" x14ac:dyDescent="0.2">
      <c r="A587" s="34">
        <v>41741</v>
      </c>
      <c r="B587" t="s">
        <v>2137</v>
      </c>
      <c r="C587" s="9" t="s">
        <v>4943</v>
      </c>
      <c r="D587" s="1">
        <v>1.6712962962962961E-2</v>
      </c>
      <c r="E587" t="s">
        <v>5544</v>
      </c>
      <c r="F587" s="69" t="s">
        <v>530</v>
      </c>
      <c r="K587" s="314">
        <v>0.64959999999999996</v>
      </c>
    </row>
    <row r="588" spans="1:11" x14ac:dyDescent="0.2">
      <c r="A588" s="34">
        <v>41727</v>
      </c>
      <c r="B588" t="s">
        <v>2137</v>
      </c>
      <c r="C588" s="9" t="s">
        <v>4943</v>
      </c>
      <c r="D588" s="1">
        <v>1.4884259259259259E-2</v>
      </c>
      <c r="E588" t="s">
        <v>5544</v>
      </c>
      <c r="F588" s="69"/>
      <c r="K588" s="314">
        <v>0.72940000000000005</v>
      </c>
    </row>
    <row r="589" spans="1:11" x14ac:dyDescent="0.2">
      <c r="A589" s="34">
        <v>41720</v>
      </c>
      <c r="B589" t="s">
        <v>2137</v>
      </c>
      <c r="C589" s="9" t="s">
        <v>4943</v>
      </c>
      <c r="D589" s="1">
        <v>1.4733796296296295E-2</v>
      </c>
      <c r="E589" t="s">
        <v>5544</v>
      </c>
      <c r="F589" s="69"/>
      <c r="K589" s="314">
        <v>0.73680000000000001</v>
      </c>
    </row>
    <row r="590" spans="1:11" x14ac:dyDescent="0.2">
      <c r="A590" s="34">
        <v>41713</v>
      </c>
      <c r="B590" t="s">
        <v>2137</v>
      </c>
      <c r="C590" s="9" t="s">
        <v>4943</v>
      </c>
      <c r="D590" s="1" t="s">
        <v>787</v>
      </c>
      <c r="E590" t="s">
        <v>5544</v>
      </c>
      <c r="F590" s="69"/>
      <c r="K590" s="314"/>
    </row>
    <row r="591" spans="1:11" x14ac:dyDescent="0.2">
      <c r="A591" s="34">
        <v>41699</v>
      </c>
      <c r="B591" t="s">
        <v>2137</v>
      </c>
      <c r="C591" s="9" t="s">
        <v>4943</v>
      </c>
      <c r="D591" s="1">
        <v>1.7430555555555557E-2</v>
      </c>
      <c r="E591" t="s">
        <v>5544</v>
      </c>
      <c r="F591" s="42" t="s">
        <v>5501</v>
      </c>
      <c r="K591" s="314">
        <v>0.61750000000000005</v>
      </c>
    </row>
    <row r="592" spans="1:11" x14ac:dyDescent="0.2">
      <c r="A592" s="34">
        <v>41671</v>
      </c>
      <c r="B592" t="s">
        <v>2137</v>
      </c>
      <c r="C592" s="9" t="s">
        <v>4943</v>
      </c>
      <c r="D592" s="1">
        <v>1.4895833333333332E-2</v>
      </c>
      <c r="E592" t="s">
        <v>5544</v>
      </c>
      <c r="F592" s="69"/>
      <c r="K592" s="314">
        <v>0.72260000000000002</v>
      </c>
    </row>
    <row r="593" spans="1:11" x14ac:dyDescent="0.2">
      <c r="A593" s="34">
        <v>41657</v>
      </c>
      <c r="B593" t="s">
        <v>2137</v>
      </c>
      <c r="C593" s="9" t="s">
        <v>4943</v>
      </c>
      <c r="D593" s="1">
        <v>1.4618055555555556E-2</v>
      </c>
      <c r="E593" t="s">
        <v>5544</v>
      </c>
      <c r="F593" s="69" t="s">
        <v>1804</v>
      </c>
      <c r="K593" s="314">
        <v>0.73629999999999995</v>
      </c>
    </row>
    <row r="594" spans="1:11" x14ac:dyDescent="0.2">
      <c r="A594" s="34"/>
      <c r="C594" s="9"/>
      <c r="D594" s="1"/>
      <c r="F594" s="69"/>
      <c r="K594" s="314"/>
    </row>
    <row r="595" spans="1:11" x14ac:dyDescent="0.2">
      <c r="A595" s="33">
        <v>42000</v>
      </c>
      <c r="B595" s="2" t="s">
        <v>2478</v>
      </c>
      <c r="C595" s="3" t="s">
        <v>2479</v>
      </c>
      <c r="D595" s="1">
        <v>1.6122685185185184E-2</v>
      </c>
      <c r="E595" t="s">
        <v>3167</v>
      </c>
      <c r="F595" s="42" t="s">
        <v>2056</v>
      </c>
      <c r="K595" s="314">
        <v>0.63029999999999997</v>
      </c>
    </row>
    <row r="596" spans="1:11" x14ac:dyDescent="0.2">
      <c r="A596" s="33">
        <v>41998</v>
      </c>
      <c r="B596" t="s">
        <v>2478</v>
      </c>
      <c r="C596" s="1" t="s">
        <v>2479</v>
      </c>
      <c r="D596" s="1">
        <v>1.7210648148148149E-2</v>
      </c>
      <c r="E596" t="s">
        <v>3167</v>
      </c>
      <c r="F596" s="69"/>
      <c r="K596" s="314">
        <v>0.59050000000000002</v>
      </c>
    </row>
    <row r="597" spans="1:11" x14ac:dyDescent="0.2">
      <c r="A597" s="33">
        <v>41993</v>
      </c>
      <c r="B597" t="s">
        <v>2478</v>
      </c>
      <c r="C597" s="1" t="s">
        <v>2479</v>
      </c>
      <c r="D597" s="1">
        <v>1.4363425925925925E-2</v>
      </c>
      <c r="E597" t="s">
        <v>3167</v>
      </c>
      <c r="F597" s="42" t="s">
        <v>2774</v>
      </c>
      <c r="K597" s="314">
        <v>0.70750000000000002</v>
      </c>
    </row>
    <row r="598" spans="1:11" x14ac:dyDescent="0.2">
      <c r="A598" s="33">
        <v>41986</v>
      </c>
      <c r="B598" t="s">
        <v>2478</v>
      </c>
      <c r="C598" s="1" t="s">
        <v>2479</v>
      </c>
      <c r="D598" s="1">
        <v>1.3819444444444445E-2</v>
      </c>
      <c r="E598" t="s">
        <v>3167</v>
      </c>
      <c r="F598" s="69" t="s">
        <v>2272</v>
      </c>
      <c r="K598" s="314">
        <v>0.73529999999999995</v>
      </c>
    </row>
    <row r="599" spans="1:11" x14ac:dyDescent="0.2">
      <c r="A599" s="33">
        <v>41979</v>
      </c>
      <c r="B599" t="s">
        <v>2478</v>
      </c>
      <c r="C599" s="1" t="s">
        <v>2479</v>
      </c>
      <c r="D599" s="1">
        <v>1.4074074074074074E-2</v>
      </c>
      <c r="E599" t="s">
        <v>1533</v>
      </c>
      <c r="F599" s="69" t="s">
        <v>5575</v>
      </c>
      <c r="K599" s="314">
        <v>0.72199999999999998</v>
      </c>
    </row>
    <row r="600" spans="1:11" x14ac:dyDescent="0.2">
      <c r="A600" s="33">
        <v>41972</v>
      </c>
      <c r="B600" t="s">
        <v>2478</v>
      </c>
      <c r="C600" s="1" t="s">
        <v>2479</v>
      </c>
      <c r="D600" s="1">
        <v>1.4467592592592593E-2</v>
      </c>
      <c r="E600" t="s">
        <v>3167</v>
      </c>
      <c r="F600" s="69" t="s">
        <v>5422</v>
      </c>
      <c r="K600" s="314">
        <v>0.70240000000000002</v>
      </c>
    </row>
    <row r="601" spans="1:11" x14ac:dyDescent="0.2">
      <c r="A601" s="33">
        <v>41965</v>
      </c>
      <c r="B601" t="s">
        <v>2478</v>
      </c>
      <c r="C601" s="1" t="s">
        <v>2479</v>
      </c>
      <c r="D601" s="1">
        <v>1.4178240740740741E-2</v>
      </c>
      <c r="E601" t="s">
        <v>3167</v>
      </c>
      <c r="F601" s="5" t="s">
        <v>1666</v>
      </c>
      <c r="G601" s="5"/>
      <c r="H601" s="5"/>
      <c r="I601" s="5"/>
      <c r="J601" s="5"/>
      <c r="K601" s="314">
        <v>0.7167</v>
      </c>
    </row>
    <row r="602" spans="1:11" x14ac:dyDescent="0.2">
      <c r="A602" s="33">
        <v>41958</v>
      </c>
      <c r="B602" t="s">
        <v>2478</v>
      </c>
      <c r="C602" s="1" t="s">
        <v>2479</v>
      </c>
      <c r="D602" s="1">
        <v>1.3969907407407408E-2</v>
      </c>
      <c r="E602" t="s">
        <v>3167</v>
      </c>
      <c r="F602" s="42" t="s">
        <v>3685</v>
      </c>
      <c r="K602" s="314">
        <v>0.7268</v>
      </c>
    </row>
    <row r="603" spans="1:11" x14ac:dyDescent="0.2">
      <c r="A603" s="33">
        <v>41951</v>
      </c>
      <c r="B603" t="s">
        <v>2478</v>
      </c>
      <c r="C603" s="1" t="s">
        <v>2479</v>
      </c>
      <c r="D603" s="1">
        <v>1.7627314814814814E-2</v>
      </c>
      <c r="E603" t="s">
        <v>3167</v>
      </c>
      <c r="F603" s="69" t="s">
        <v>4124</v>
      </c>
      <c r="K603" s="314">
        <v>0.57650000000000001</v>
      </c>
    </row>
    <row r="604" spans="1:11" x14ac:dyDescent="0.2">
      <c r="A604" s="33">
        <v>41944</v>
      </c>
      <c r="B604" t="s">
        <v>2478</v>
      </c>
      <c r="C604" s="1" t="s">
        <v>2479</v>
      </c>
      <c r="D604" s="1">
        <v>1.4189814814814815E-2</v>
      </c>
      <c r="E604" t="s">
        <v>2258</v>
      </c>
      <c r="F604" s="42" t="s">
        <v>3511</v>
      </c>
      <c r="K604" s="314">
        <v>0.71619999999999995</v>
      </c>
    </row>
    <row r="605" spans="1:11" x14ac:dyDescent="0.2">
      <c r="A605" s="33">
        <v>41937</v>
      </c>
      <c r="B605" t="s">
        <v>2478</v>
      </c>
      <c r="C605" s="1" t="s">
        <v>2479</v>
      </c>
      <c r="D605" s="1">
        <v>1.4305555555555557E-2</v>
      </c>
      <c r="E605" t="s">
        <v>3167</v>
      </c>
      <c r="F605" s="69"/>
      <c r="K605" s="314">
        <v>0.71040000000000003</v>
      </c>
    </row>
    <row r="606" spans="1:11" x14ac:dyDescent="0.2">
      <c r="A606" s="33">
        <v>41930</v>
      </c>
      <c r="B606" t="s">
        <v>2478</v>
      </c>
      <c r="C606" s="1" t="s">
        <v>2479</v>
      </c>
      <c r="D606" s="1">
        <v>1.6319444444444445E-2</v>
      </c>
      <c r="E606" t="s">
        <v>3167</v>
      </c>
      <c r="F606" s="69" t="s">
        <v>4274</v>
      </c>
      <c r="K606" s="314">
        <v>0.62270000000000003</v>
      </c>
    </row>
    <row r="607" spans="1:11" x14ac:dyDescent="0.2">
      <c r="A607" s="33">
        <v>41923</v>
      </c>
      <c r="B607" t="s">
        <v>2478</v>
      </c>
      <c r="C607" s="1" t="s">
        <v>2479</v>
      </c>
      <c r="D607" s="1">
        <v>1.744212962962963E-2</v>
      </c>
      <c r="E607" t="s">
        <v>3167</v>
      </c>
      <c r="F607" s="69"/>
      <c r="K607" s="314">
        <v>0.58260000000000001</v>
      </c>
    </row>
    <row r="608" spans="1:11" x14ac:dyDescent="0.2">
      <c r="A608" s="33">
        <v>41916</v>
      </c>
      <c r="B608" t="s">
        <v>2478</v>
      </c>
      <c r="C608" s="1" t="s">
        <v>2479</v>
      </c>
      <c r="D608" s="1">
        <v>1.3796296296296298E-2</v>
      </c>
      <c r="E608" t="s">
        <v>3167</v>
      </c>
      <c r="F608" s="69"/>
      <c r="K608" s="314">
        <v>0.73660000000000003</v>
      </c>
    </row>
    <row r="609" spans="1:11" x14ac:dyDescent="0.2">
      <c r="A609" s="33">
        <v>41909</v>
      </c>
      <c r="B609" t="s">
        <v>2478</v>
      </c>
      <c r="C609" s="1" t="s">
        <v>2479</v>
      </c>
      <c r="D609" s="1">
        <v>1.3599537037037037E-2</v>
      </c>
      <c r="E609" t="s">
        <v>3167</v>
      </c>
      <c r="F609" s="42" t="s">
        <v>673</v>
      </c>
      <c r="K609" s="314">
        <v>0.74719999999999998</v>
      </c>
    </row>
    <row r="610" spans="1:11" x14ac:dyDescent="0.2">
      <c r="A610" s="33">
        <v>41902</v>
      </c>
      <c r="B610" t="s">
        <v>2478</v>
      </c>
      <c r="C610" s="1" t="s">
        <v>2479</v>
      </c>
      <c r="D610" s="1">
        <v>1.383101851851852E-2</v>
      </c>
      <c r="E610" t="s">
        <v>3167</v>
      </c>
      <c r="F610" s="69"/>
      <c r="K610" s="314">
        <v>0.73470000000000002</v>
      </c>
    </row>
    <row r="611" spans="1:11" x14ac:dyDescent="0.2">
      <c r="A611" s="33">
        <v>41895</v>
      </c>
      <c r="B611" s="5" t="s">
        <v>2478</v>
      </c>
      <c r="C611" s="1" t="s">
        <v>2479</v>
      </c>
      <c r="D611" s="1">
        <v>1.3680555555555555E-2</v>
      </c>
      <c r="E611" t="s">
        <v>3167</v>
      </c>
      <c r="F611" s="69"/>
      <c r="K611" s="314">
        <v>0.74280000000000002</v>
      </c>
    </row>
    <row r="612" spans="1:11" x14ac:dyDescent="0.2">
      <c r="A612" s="33">
        <v>41888</v>
      </c>
      <c r="B612" t="s">
        <v>2478</v>
      </c>
      <c r="C612" s="1" t="s">
        <v>2479</v>
      </c>
      <c r="D612" s="1">
        <v>1.3680555555555555E-2</v>
      </c>
      <c r="E612" t="s">
        <v>3167</v>
      </c>
      <c r="F612" s="69" t="s">
        <v>3003</v>
      </c>
      <c r="K612" s="314">
        <v>0.74280000000000002</v>
      </c>
    </row>
    <row r="613" spans="1:11" x14ac:dyDescent="0.2">
      <c r="A613" s="33">
        <v>41881</v>
      </c>
      <c r="B613" t="s">
        <v>2478</v>
      </c>
      <c r="C613" s="1" t="s">
        <v>2479</v>
      </c>
      <c r="D613" s="1">
        <v>1.3854166666666666E-2</v>
      </c>
      <c r="E613" t="s">
        <v>2526</v>
      </c>
      <c r="F613" s="42" t="s">
        <v>2534</v>
      </c>
      <c r="K613" s="314">
        <v>0.73350000000000004</v>
      </c>
    </row>
    <row r="614" spans="1:11" x14ac:dyDescent="0.2">
      <c r="A614" s="33">
        <v>41874</v>
      </c>
      <c r="B614" t="s">
        <v>2478</v>
      </c>
      <c r="C614" s="1" t="s">
        <v>2479</v>
      </c>
      <c r="D614" s="1">
        <v>1.4710648148148148E-2</v>
      </c>
      <c r="E614" t="s">
        <v>3167</v>
      </c>
      <c r="F614" s="69" t="s">
        <v>2130</v>
      </c>
      <c r="K614" s="314">
        <v>0.69079999999999997</v>
      </c>
    </row>
    <row r="615" spans="1:11" x14ac:dyDescent="0.2">
      <c r="A615" s="33">
        <v>41867</v>
      </c>
      <c r="B615" t="s">
        <v>2478</v>
      </c>
      <c r="C615" s="1" t="s">
        <v>2479</v>
      </c>
      <c r="D615" s="1">
        <v>1.3460648148148147E-2</v>
      </c>
      <c r="E615" t="s">
        <v>1214</v>
      </c>
      <c r="F615" s="69" t="s">
        <v>940</v>
      </c>
      <c r="K615" s="314">
        <v>0.75490000000000002</v>
      </c>
    </row>
    <row r="616" spans="1:11" x14ac:dyDescent="0.2">
      <c r="A616" s="34">
        <v>41846</v>
      </c>
      <c r="B616" t="s">
        <v>2478</v>
      </c>
      <c r="C616" s="1" t="s">
        <v>2479</v>
      </c>
      <c r="D616" s="1">
        <v>1.3414351851851851E-2</v>
      </c>
      <c r="E616" t="s">
        <v>3167</v>
      </c>
      <c r="F616" s="69" t="s">
        <v>2335</v>
      </c>
      <c r="K616" s="314">
        <v>0.75749999999999995</v>
      </c>
    </row>
    <row r="617" spans="1:11" x14ac:dyDescent="0.2">
      <c r="A617" s="34">
        <v>41839</v>
      </c>
      <c r="B617" t="s">
        <v>2478</v>
      </c>
      <c r="C617" s="1" t="s">
        <v>2479</v>
      </c>
      <c r="D617" s="1">
        <v>1.6597222222222222E-2</v>
      </c>
      <c r="E617" t="s">
        <v>3167</v>
      </c>
      <c r="F617" s="69" t="s">
        <v>4650</v>
      </c>
      <c r="K617" s="314">
        <v>0.61229999999999996</v>
      </c>
    </row>
    <row r="618" spans="1:11" x14ac:dyDescent="0.2">
      <c r="A618" s="34">
        <v>41832</v>
      </c>
      <c r="B618" t="s">
        <v>2478</v>
      </c>
      <c r="C618" s="9" t="s">
        <v>2479</v>
      </c>
      <c r="D618" s="1">
        <v>1.3622685185185184E-2</v>
      </c>
      <c r="E618" t="s">
        <v>3167</v>
      </c>
      <c r="F618" s="69"/>
      <c r="K618" s="314">
        <v>0.746</v>
      </c>
    </row>
    <row r="619" spans="1:11" x14ac:dyDescent="0.2">
      <c r="A619" s="34">
        <v>41825</v>
      </c>
      <c r="B619" t="s">
        <v>2478</v>
      </c>
      <c r="C619" s="9" t="s">
        <v>2479</v>
      </c>
      <c r="D619" s="1">
        <v>1.5104166666666667E-2</v>
      </c>
      <c r="E619" t="s">
        <v>3167</v>
      </c>
      <c r="F619" s="69"/>
      <c r="K619" s="314">
        <v>0.67279999999999995</v>
      </c>
    </row>
    <row r="620" spans="1:11" x14ac:dyDescent="0.2">
      <c r="A620" s="34">
        <v>41818</v>
      </c>
      <c r="B620" t="s">
        <v>2478</v>
      </c>
      <c r="C620" s="9" t="s">
        <v>2479</v>
      </c>
      <c r="D620" s="1">
        <v>1.3946759259259258E-2</v>
      </c>
      <c r="E620" s="47" t="s">
        <v>3167</v>
      </c>
      <c r="F620" s="69"/>
      <c r="K620" s="314">
        <v>0.72860000000000003</v>
      </c>
    </row>
    <row r="621" spans="1:11" x14ac:dyDescent="0.2">
      <c r="A621" s="34">
        <v>41811</v>
      </c>
      <c r="B621" t="s">
        <v>2478</v>
      </c>
      <c r="C621" s="9" t="s">
        <v>2479</v>
      </c>
      <c r="D621" s="1">
        <v>1.3819444444444445E-2</v>
      </c>
      <c r="E621" t="s">
        <v>468</v>
      </c>
      <c r="F621" s="42" t="s">
        <v>1586</v>
      </c>
      <c r="K621" s="314">
        <v>0.73529999999999995</v>
      </c>
    </row>
    <row r="622" spans="1:11" x14ac:dyDescent="0.2">
      <c r="A622" s="34">
        <v>41804</v>
      </c>
      <c r="B622" t="s">
        <v>2478</v>
      </c>
      <c r="C622" s="9" t="s">
        <v>2479</v>
      </c>
      <c r="D622" s="1">
        <v>1.486111111111111E-2</v>
      </c>
      <c r="E622" t="s">
        <v>3167</v>
      </c>
      <c r="F622" s="69"/>
      <c r="K622" s="314">
        <v>0.68379999999999996</v>
      </c>
    </row>
    <row r="623" spans="1:11" x14ac:dyDescent="0.2">
      <c r="A623" s="34">
        <v>41797</v>
      </c>
      <c r="B623" t="s">
        <v>2478</v>
      </c>
      <c r="C623" s="9" t="s">
        <v>2479</v>
      </c>
      <c r="D623" s="1">
        <v>1.3842592592592594E-2</v>
      </c>
      <c r="E623" t="s">
        <v>129</v>
      </c>
      <c r="F623" s="42" t="s">
        <v>3377</v>
      </c>
      <c r="K623" s="314">
        <v>0.72829999999999995</v>
      </c>
    </row>
    <row r="624" spans="1:11" x14ac:dyDescent="0.2">
      <c r="A624" s="34">
        <v>41790</v>
      </c>
      <c r="B624" t="s">
        <v>2478</v>
      </c>
      <c r="C624" s="9" t="s">
        <v>2479</v>
      </c>
      <c r="D624" s="1">
        <v>1.3668981481481482E-2</v>
      </c>
      <c r="E624" t="s">
        <v>3072</v>
      </c>
      <c r="F624" s="69" t="s">
        <v>5630</v>
      </c>
      <c r="K624" s="314">
        <v>0.73750000000000004</v>
      </c>
    </row>
    <row r="625" spans="1:11" x14ac:dyDescent="0.2">
      <c r="A625" s="34">
        <v>41783</v>
      </c>
      <c r="B625" t="s">
        <v>2478</v>
      </c>
      <c r="C625" s="9" t="s">
        <v>2479</v>
      </c>
      <c r="D625" s="1">
        <v>1.4432870370370372E-2</v>
      </c>
      <c r="E625" t="s">
        <v>3167</v>
      </c>
      <c r="F625" s="69"/>
      <c r="K625" s="314">
        <v>0.69850000000000001</v>
      </c>
    </row>
    <row r="626" spans="1:11" x14ac:dyDescent="0.2">
      <c r="A626" s="34">
        <v>41769</v>
      </c>
      <c r="B626" t="s">
        <v>2478</v>
      </c>
      <c r="C626" s="9" t="s">
        <v>2479</v>
      </c>
      <c r="D626" s="1">
        <v>1.4560185185185183E-2</v>
      </c>
      <c r="E626" t="s">
        <v>3167</v>
      </c>
      <c r="F626" s="42"/>
      <c r="K626" s="314">
        <v>0.69240000000000002</v>
      </c>
    </row>
    <row r="627" spans="1:11" x14ac:dyDescent="0.2">
      <c r="A627" s="34">
        <v>41762</v>
      </c>
      <c r="B627" t="s">
        <v>2478</v>
      </c>
      <c r="C627" s="9" t="s">
        <v>2479</v>
      </c>
      <c r="D627" s="1">
        <v>1.3726851851851851E-2</v>
      </c>
      <c r="E627" t="s">
        <v>3072</v>
      </c>
      <c r="F627" s="69" t="s">
        <v>2071</v>
      </c>
      <c r="K627" s="314">
        <v>0.73440000000000005</v>
      </c>
    </row>
    <row r="628" spans="1:11" x14ac:dyDescent="0.2">
      <c r="A628" s="34">
        <v>41748</v>
      </c>
      <c r="B628" t="s">
        <v>2478</v>
      </c>
      <c r="C628" s="9" t="s">
        <v>2479</v>
      </c>
      <c r="D628" s="1">
        <v>1.3877314814814815E-2</v>
      </c>
      <c r="E628" t="s">
        <v>3167</v>
      </c>
      <c r="F628" s="69"/>
      <c r="K628" s="314">
        <v>0.72640000000000005</v>
      </c>
    </row>
    <row r="629" spans="1:11" x14ac:dyDescent="0.2">
      <c r="A629" s="34">
        <v>41741</v>
      </c>
      <c r="B629" t="s">
        <v>2478</v>
      </c>
      <c r="C629" s="9" t="s">
        <v>2479</v>
      </c>
      <c r="D629" s="1">
        <v>1.8032407407407407E-2</v>
      </c>
      <c r="E629" t="s">
        <v>3167</v>
      </c>
      <c r="F629" s="69" t="s">
        <v>530</v>
      </c>
      <c r="K629" s="314">
        <v>0.55910000000000004</v>
      </c>
    </row>
    <row r="630" spans="1:11" x14ac:dyDescent="0.2">
      <c r="A630" s="34">
        <v>41734</v>
      </c>
      <c r="B630" t="s">
        <v>2478</v>
      </c>
      <c r="C630" s="9" t="s">
        <v>2479</v>
      </c>
      <c r="D630" s="1">
        <v>1.4039351851851851E-2</v>
      </c>
      <c r="E630" t="s">
        <v>1214</v>
      </c>
      <c r="F630" s="42"/>
      <c r="K630" s="314">
        <v>0.71809999999999996</v>
      </c>
    </row>
    <row r="631" spans="1:11" x14ac:dyDescent="0.2">
      <c r="A631" s="34">
        <v>41727</v>
      </c>
      <c r="B631" t="s">
        <v>2478</v>
      </c>
      <c r="C631" s="9" t="s">
        <v>2479</v>
      </c>
      <c r="D631" s="1">
        <v>1.4652777777777778E-2</v>
      </c>
      <c r="E631" t="s">
        <v>1214</v>
      </c>
      <c r="F631" s="69" t="s">
        <v>4699</v>
      </c>
      <c r="K631" s="314">
        <v>0.68799999999999994</v>
      </c>
    </row>
    <row r="632" spans="1:11" x14ac:dyDescent="0.2">
      <c r="A632" s="34">
        <v>41720</v>
      </c>
      <c r="B632" t="s">
        <v>2478</v>
      </c>
      <c r="C632" s="9" t="s">
        <v>2479</v>
      </c>
      <c r="D632" s="1">
        <v>1.6597222222222222E-2</v>
      </c>
      <c r="E632" t="s">
        <v>1214</v>
      </c>
      <c r="F632" s="69"/>
      <c r="K632" s="314">
        <v>0.61419999999999997</v>
      </c>
    </row>
    <row r="633" spans="1:11" x14ac:dyDescent="0.2">
      <c r="A633" s="34">
        <v>41713</v>
      </c>
      <c r="B633" t="s">
        <v>2478</v>
      </c>
      <c r="C633" s="9" t="s">
        <v>2479</v>
      </c>
      <c r="D633" s="1">
        <v>1.4016203703703704E-2</v>
      </c>
      <c r="E633" t="s">
        <v>1214</v>
      </c>
      <c r="F633" s="69"/>
      <c r="K633" s="314">
        <v>0.71919999999999995</v>
      </c>
    </row>
    <row r="634" spans="1:11" x14ac:dyDescent="0.2">
      <c r="A634" s="34">
        <v>41706</v>
      </c>
      <c r="B634" t="s">
        <v>2478</v>
      </c>
      <c r="C634" s="9" t="s">
        <v>2479</v>
      </c>
      <c r="D634" s="1">
        <v>1.5474537037037038E-2</v>
      </c>
      <c r="E634" t="s">
        <v>1214</v>
      </c>
      <c r="F634" s="69" t="s">
        <v>502</v>
      </c>
      <c r="K634" s="314">
        <v>0.65149999999999997</v>
      </c>
    </row>
    <row r="635" spans="1:11" x14ac:dyDescent="0.2">
      <c r="A635" s="34">
        <v>41699</v>
      </c>
      <c r="B635" t="s">
        <v>2478</v>
      </c>
      <c r="C635" s="9" t="s">
        <v>2479</v>
      </c>
      <c r="D635" s="1">
        <v>1.4456018518518519E-2</v>
      </c>
      <c r="E635" t="s">
        <v>3167</v>
      </c>
      <c r="F635" s="42" t="s">
        <v>759</v>
      </c>
      <c r="K635" s="314">
        <v>0.69740000000000002</v>
      </c>
    </row>
    <row r="636" spans="1:11" x14ac:dyDescent="0.2">
      <c r="A636" s="34">
        <v>41692</v>
      </c>
      <c r="B636" t="s">
        <v>2478</v>
      </c>
      <c r="C636" s="9" t="s">
        <v>2479</v>
      </c>
      <c r="D636" s="1">
        <v>1.5613425925925926E-2</v>
      </c>
      <c r="E636" t="s">
        <v>1214</v>
      </c>
      <c r="F636" s="69"/>
      <c r="K636" s="314">
        <v>0.64570000000000005</v>
      </c>
    </row>
    <row r="637" spans="1:11" x14ac:dyDescent="0.2">
      <c r="A637" s="34">
        <v>41685</v>
      </c>
      <c r="B637" t="s">
        <v>2478</v>
      </c>
      <c r="C637" s="9" t="s">
        <v>2479</v>
      </c>
      <c r="D637" s="1">
        <v>1.4270833333333335E-2</v>
      </c>
      <c r="E637" t="s">
        <v>1214</v>
      </c>
      <c r="F637" s="69"/>
      <c r="K637" s="314">
        <v>0.70640000000000003</v>
      </c>
    </row>
    <row r="638" spans="1:11" x14ac:dyDescent="0.2">
      <c r="A638" s="34">
        <v>41678</v>
      </c>
      <c r="B638" t="s">
        <v>2478</v>
      </c>
      <c r="C638" s="9" t="s">
        <v>2479</v>
      </c>
      <c r="D638" s="1">
        <v>1.7696759259259259E-2</v>
      </c>
      <c r="E638" t="s">
        <v>1214</v>
      </c>
      <c r="F638" s="69"/>
      <c r="K638" s="314">
        <v>0.56969999999999998</v>
      </c>
    </row>
    <row r="639" spans="1:11" x14ac:dyDescent="0.2">
      <c r="A639" s="34">
        <v>41671</v>
      </c>
      <c r="B639" t="s">
        <v>2478</v>
      </c>
      <c r="C639" s="9" t="s">
        <v>2479</v>
      </c>
      <c r="D639" s="1">
        <v>1.4432870370370372E-2</v>
      </c>
      <c r="E639" t="s">
        <v>3167</v>
      </c>
      <c r="F639" s="69" t="s">
        <v>2187</v>
      </c>
      <c r="K639" s="314">
        <v>0.69850000000000001</v>
      </c>
    </row>
    <row r="640" spans="1:11" x14ac:dyDescent="0.2">
      <c r="A640" s="34">
        <v>41664</v>
      </c>
      <c r="B640" t="s">
        <v>2478</v>
      </c>
      <c r="C640" s="9" t="s">
        <v>2479</v>
      </c>
      <c r="D640" s="1">
        <v>1.4120370370370368E-2</v>
      </c>
      <c r="E640" t="s">
        <v>3167</v>
      </c>
      <c r="F640" s="69" t="s">
        <v>853</v>
      </c>
      <c r="K640" s="314">
        <v>0.71860000000000002</v>
      </c>
    </row>
    <row r="641" spans="1:11" x14ac:dyDescent="0.2">
      <c r="A641" s="34">
        <v>41657</v>
      </c>
      <c r="B641" t="s">
        <v>2478</v>
      </c>
      <c r="C641" s="9" t="s">
        <v>2479</v>
      </c>
      <c r="D641" s="1">
        <v>1.4097222222222221E-2</v>
      </c>
      <c r="E641" t="s">
        <v>1214</v>
      </c>
      <c r="F641" s="69"/>
      <c r="K641" s="314">
        <v>0.71509999999999996</v>
      </c>
    </row>
    <row r="642" spans="1:11" x14ac:dyDescent="0.2">
      <c r="A642" s="34">
        <v>41643</v>
      </c>
      <c r="B642" t="s">
        <v>2478</v>
      </c>
      <c r="C642" s="9" t="s">
        <v>2479</v>
      </c>
      <c r="D642" s="1">
        <v>1.4120370370370368E-2</v>
      </c>
      <c r="E642" t="s">
        <v>1214</v>
      </c>
      <c r="F642" s="69"/>
      <c r="K642" s="314">
        <v>0.71389999999999998</v>
      </c>
    </row>
    <row r="643" spans="1:11" x14ac:dyDescent="0.2">
      <c r="A643" s="34">
        <v>41640</v>
      </c>
      <c r="B643" t="s">
        <v>2478</v>
      </c>
      <c r="C643" s="9" t="s">
        <v>2479</v>
      </c>
      <c r="D643" s="1">
        <v>1.4560185185185183E-2</v>
      </c>
      <c r="E643" t="s">
        <v>1822</v>
      </c>
      <c r="F643" s="69" t="s">
        <v>2263</v>
      </c>
      <c r="K643" s="314">
        <v>0.69240000000000002</v>
      </c>
    </row>
    <row r="644" spans="1:11" x14ac:dyDescent="0.2">
      <c r="A644" s="34">
        <v>41640</v>
      </c>
      <c r="B644" t="s">
        <v>2478</v>
      </c>
      <c r="C644" s="9" t="s">
        <v>2479</v>
      </c>
      <c r="D644" s="1">
        <v>1.5057870370370369E-2</v>
      </c>
      <c r="E644" t="s">
        <v>1214</v>
      </c>
      <c r="F644" s="69"/>
      <c r="K644" s="314">
        <v>0.66949999999999998</v>
      </c>
    </row>
    <row r="645" spans="1:11" x14ac:dyDescent="0.2">
      <c r="A645" s="34"/>
      <c r="C645" s="9"/>
      <c r="D645" s="1"/>
      <c r="F645" s="69"/>
      <c r="K645" s="314"/>
    </row>
    <row r="646" spans="1:11" x14ac:dyDescent="0.2">
      <c r="A646" s="33">
        <v>41916</v>
      </c>
      <c r="B646" s="2" t="s">
        <v>3535</v>
      </c>
      <c r="C646" s="3" t="s">
        <v>3536</v>
      </c>
      <c r="D646" s="1">
        <v>1.8472222222222223E-2</v>
      </c>
      <c r="E646" t="s">
        <v>4935</v>
      </c>
      <c r="F646" s="69" t="s">
        <v>2801</v>
      </c>
      <c r="K646" s="314">
        <v>0.52510000000000001</v>
      </c>
    </row>
    <row r="647" spans="1:11" x14ac:dyDescent="0.2">
      <c r="A647" s="33"/>
      <c r="B647" s="2"/>
      <c r="C647" s="3"/>
      <c r="D647" s="1"/>
      <c r="F647" s="69"/>
      <c r="K647" s="314"/>
    </row>
    <row r="648" spans="1:11" x14ac:dyDescent="0.2">
      <c r="A648" s="33">
        <v>41993</v>
      </c>
      <c r="B648" s="319" t="s">
        <v>2822</v>
      </c>
      <c r="C648" s="320" t="s">
        <v>2823</v>
      </c>
      <c r="D648" t="s">
        <v>787</v>
      </c>
      <c r="E648" t="s">
        <v>5544</v>
      </c>
      <c r="F648" s="42" t="s">
        <v>4000</v>
      </c>
      <c r="K648" s="314"/>
    </row>
    <row r="649" spans="1:11" x14ac:dyDescent="0.2">
      <c r="A649" s="33">
        <v>41986</v>
      </c>
      <c r="B649" s="206" t="s">
        <v>2822</v>
      </c>
      <c r="C649" s="254" t="s">
        <v>2823</v>
      </c>
      <c r="D649" s="1">
        <v>1.5659722222222224E-2</v>
      </c>
      <c r="E649" t="s">
        <v>5544</v>
      </c>
      <c r="F649" s="69" t="s">
        <v>363</v>
      </c>
      <c r="G649" t="s">
        <v>2274</v>
      </c>
      <c r="K649" s="314">
        <v>0.66080000000000005</v>
      </c>
    </row>
    <row r="650" spans="1:11" x14ac:dyDescent="0.2">
      <c r="A650" s="33">
        <v>41979</v>
      </c>
      <c r="B650" t="s">
        <v>2822</v>
      </c>
      <c r="C650" s="1" t="s">
        <v>2823</v>
      </c>
      <c r="D650" s="1">
        <v>1.6111111111111111E-2</v>
      </c>
      <c r="E650" t="s">
        <v>5544</v>
      </c>
      <c r="F650" s="69"/>
      <c r="K650" s="314">
        <v>0.64219999999999999</v>
      </c>
    </row>
    <row r="651" spans="1:11" x14ac:dyDescent="0.2">
      <c r="A651" s="33">
        <v>41972</v>
      </c>
      <c r="B651" t="s">
        <v>2822</v>
      </c>
      <c r="C651" s="1" t="s">
        <v>2823</v>
      </c>
      <c r="D651" s="1">
        <v>1.5694444444444445E-2</v>
      </c>
      <c r="E651" t="s">
        <v>5544</v>
      </c>
      <c r="F651" s="69" t="s">
        <v>2007</v>
      </c>
      <c r="K651" s="314">
        <v>0.6593</v>
      </c>
    </row>
    <row r="652" spans="1:11" x14ac:dyDescent="0.2">
      <c r="A652" s="33">
        <v>41965</v>
      </c>
      <c r="B652" t="s">
        <v>2822</v>
      </c>
      <c r="C652" s="1" t="s">
        <v>2823</v>
      </c>
      <c r="D652" s="1">
        <v>1.5983796296296295E-2</v>
      </c>
      <c r="E652" t="s">
        <v>5544</v>
      </c>
      <c r="F652" s="5" t="s">
        <v>363</v>
      </c>
      <c r="G652" s="5"/>
      <c r="H652" s="5"/>
      <c r="I652" s="5"/>
      <c r="J652" s="5"/>
      <c r="K652" s="314">
        <v>0.64739999999999998</v>
      </c>
    </row>
    <row r="653" spans="1:11" x14ac:dyDescent="0.2">
      <c r="A653" s="33">
        <v>41958</v>
      </c>
      <c r="B653" t="s">
        <v>2822</v>
      </c>
      <c r="C653" s="1" t="s">
        <v>2823</v>
      </c>
      <c r="D653" s="1">
        <v>1.6157407407407409E-2</v>
      </c>
      <c r="E653" t="s">
        <v>5544</v>
      </c>
      <c r="F653" s="42" t="s">
        <v>2064</v>
      </c>
      <c r="K653" s="314">
        <v>0.64039999999999997</v>
      </c>
    </row>
    <row r="654" spans="1:11" x14ac:dyDescent="0.2">
      <c r="A654" s="33">
        <v>41951</v>
      </c>
      <c r="B654" t="s">
        <v>2822</v>
      </c>
      <c r="C654" s="1" t="s">
        <v>2823</v>
      </c>
      <c r="D654" s="1">
        <v>1.6284722222222221E-2</v>
      </c>
      <c r="E654" t="s">
        <v>5544</v>
      </c>
      <c r="F654" s="69" t="s">
        <v>5979</v>
      </c>
      <c r="K654" s="314">
        <v>0.63539999999999996</v>
      </c>
    </row>
    <row r="655" spans="1:11" x14ac:dyDescent="0.2">
      <c r="A655" s="33">
        <v>41937</v>
      </c>
      <c r="B655" t="s">
        <v>2822</v>
      </c>
      <c r="C655" s="1" t="s">
        <v>2823</v>
      </c>
      <c r="D655" s="1">
        <v>1.6168981481481482E-2</v>
      </c>
      <c r="E655" t="s">
        <v>5544</v>
      </c>
      <c r="F655" s="69" t="s">
        <v>363</v>
      </c>
      <c r="K655" s="314">
        <v>0.63990000000000002</v>
      </c>
    </row>
    <row r="656" spans="1:11" x14ac:dyDescent="0.2">
      <c r="A656" s="33">
        <v>41930</v>
      </c>
      <c r="B656" t="s">
        <v>2822</v>
      </c>
      <c r="C656" s="1" t="s">
        <v>2823</v>
      </c>
      <c r="D656" s="1" t="s">
        <v>787</v>
      </c>
      <c r="E656" t="s">
        <v>5544</v>
      </c>
      <c r="F656" s="69" t="s">
        <v>4271</v>
      </c>
      <c r="K656" s="314"/>
    </row>
    <row r="657" spans="1:11" x14ac:dyDescent="0.2">
      <c r="A657" s="33">
        <v>41923</v>
      </c>
      <c r="B657" t="s">
        <v>2822</v>
      </c>
      <c r="C657" s="1" t="s">
        <v>2823</v>
      </c>
      <c r="D657" s="1">
        <v>1.6608796296296299E-2</v>
      </c>
      <c r="E657" t="s">
        <v>5544</v>
      </c>
      <c r="F657" s="69" t="s">
        <v>5523</v>
      </c>
      <c r="K657" s="314">
        <v>0.623</v>
      </c>
    </row>
    <row r="658" spans="1:11" x14ac:dyDescent="0.2">
      <c r="A658" s="33">
        <v>41916</v>
      </c>
      <c r="B658" t="s">
        <v>2822</v>
      </c>
      <c r="C658" s="1" t="s">
        <v>2823</v>
      </c>
      <c r="D658" s="1">
        <v>1.6493055555555556E-2</v>
      </c>
      <c r="E658" t="s">
        <v>5544</v>
      </c>
      <c r="F658" s="69" t="s">
        <v>4387</v>
      </c>
      <c r="K658" s="314">
        <v>0.62739999999999996</v>
      </c>
    </row>
    <row r="659" spans="1:11" x14ac:dyDescent="0.2">
      <c r="A659" s="33">
        <v>41909</v>
      </c>
      <c r="B659" t="s">
        <v>2822</v>
      </c>
      <c r="C659" s="1" t="s">
        <v>2823</v>
      </c>
      <c r="D659" s="1">
        <v>1.6655092592592593E-2</v>
      </c>
      <c r="E659" t="s">
        <v>5544</v>
      </c>
      <c r="F659" s="42" t="s">
        <v>3234</v>
      </c>
      <c r="K659" s="314">
        <v>0.62129999999999996</v>
      </c>
    </row>
    <row r="660" spans="1:11" x14ac:dyDescent="0.2">
      <c r="A660" s="33">
        <v>41902</v>
      </c>
      <c r="B660" t="s">
        <v>2822</v>
      </c>
      <c r="C660" s="1" t="s">
        <v>2823</v>
      </c>
      <c r="D660" s="1">
        <v>1.6782407407407409E-2</v>
      </c>
      <c r="E660" t="s">
        <v>5544</v>
      </c>
      <c r="F660" s="69"/>
      <c r="K660" s="314">
        <v>0.6119</v>
      </c>
    </row>
    <row r="661" spans="1:11" x14ac:dyDescent="0.2">
      <c r="A661" s="33">
        <v>41895</v>
      </c>
      <c r="B661" s="5" t="s">
        <v>2822</v>
      </c>
      <c r="C661" s="1" t="s">
        <v>2823</v>
      </c>
      <c r="D661" s="1" t="s">
        <v>787</v>
      </c>
      <c r="E661" t="s">
        <v>5544</v>
      </c>
      <c r="F661" s="69" t="s">
        <v>2099</v>
      </c>
      <c r="K661" s="314"/>
    </row>
    <row r="662" spans="1:11" x14ac:dyDescent="0.2">
      <c r="A662" s="33">
        <v>41888</v>
      </c>
      <c r="B662" t="s">
        <v>2822</v>
      </c>
      <c r="C662" s="1" t="s">
        <v>2823</v>
      </c>
      <c r="D662" s="1">
        <v>1.6898148148148148E-2</v>
      </c>
      <c r="E662" t="s">
        <v>5544</v>
      </c>
      <c r="F662" s="69" t="s">
        <v>1583</v>
      </c>
      <c r="K662" s="314">
        <v>0.61229999999999996</v>
      </c>
    </row>
    <row r="663" spans="1:11" x14ac:dyDescent="0.2">
      <c r="A663" s="33">
        <v>41881</v>
      </c>
      <c r="B663" t="s">
        <v>2822</v>
      </c>
      <c r="C663" s="1" t="s">
        <v>2823</v>
      </c>
      <c r="D663" s="1">
        <v>1.7094907407407409E-2</v>
      </c>
      <c r="E663" t="s">
        <v>5453</v>
      </c>
      <c r="F663" s="42" t="s">
        <v>3865</v>
      </c>
      <c r="K663" s="314">
        <v>0.60529999999999995</v>
      </c>
    </row>
    <row r="664" spans="1:11" x14ac:dyDescent="0.2">
      <c r="A664" s="33">
        <v>41867</v>
      </c>
      <c r="B664" t="s">
        <v>2822</v>
      </c>
      <c r="C664" s="1" t="s">
        <v>2823</v>
      </c>
      <c r="D664" s="1">
        <v>1.8275462962962962E-2</v>
      </c>
      <c r="E664" t="s">
        <v>5544</v>
      </c>
      <c r="F664" s="69" t="s">
        <v>939</v>
      </c>
      <c r="K664" s="314">
        <v>0.56620000000000004</v>
      </c>
    </row>
    <row r="665" spans="1:11" x14ac:dyDescent="0.2">
      <c r="A665" s="33">
        <v>41860</v>
      </c>
      <c r="B665" t="s">
        <v>2822</v>
      </c>
      <c r="C665" s="1" t="s">
        <v>2823</v>
      </c>
      <c r="D665" s="1">
        <v>1.726851851851852E-2</v>
      </c>
      <c r="E665" t="s">
        <v>5544</v>
      </c>
      <c r="F665" s="69"/>
      <c r="K665" s="314">
        <v>0.59919999999999995</v>
      </c>
    </row>
    <row r="666" spans="1:11" x14ac:dyDescent="0.2">
      <c r="A666" s="33">
        <v>41853</v>
      </c>
      <c r="B666" t="s">
        <v>2822</v>
      </c>
      <c r="C666" s="1" t="s">
        <v>2823</v>
      </c>
      <c r="D666" s="1">
        <v>1.6782407407407409E-2</v>
      </c>
      <c r="E666" t="s">
        <v>5544</v>
      </c>
      <c r="F666" s="69" t="s">
        <v>363</v>
      </c>
      <c r="K666" s="314">
        <v>0.61660000000000004</v>
      </c>
    </row>
    <row r="667" spans="1:11" x14ac:dyDescent="0.2">
      <c r="A667" s="34">
        <v>41846</v>
      </c>
      <c r="B667" t="s">
        <v>2822</v>
      </c>
      <c r="C667" s="1" t="s">
        <v>2823</v>
      </c>
      <c r="D667" s="1">
        <v>1.6875000000000001E-2</v>
      </c>
      <c r="E667" t="s">
        <v>5544</v>
      </c>
      <c r="F667" s="69"/>
      <c r="K667" s="314">
        <v>0.61319999999999997</v>
      </c>
    </row>
    <row r="668" spans="1:11" x14ac:dyDescent="0.2">
      <c r="A668" s="34">
        <v>41839</v>
      </c>
      <c r="B668" t="s">
        <v>2822</v>
      </c>
      <c r="C668" s="1" t="s">
        <v>2823</v>
      </c>
      <c r="D668" s="1">
        <v>1.7037037037037038E-2</v>
      </c>
      <c r="E668" t="s">
        <v>5544</v>
      </c>
      <c r="F668" s="69"/>
      <c r="K668" s="314">
        <v>0.60729999999999995</v>
      </c>
    </row>
    <row r="669" spans="1:11" x14ac:dyDescent="0.2">
      <c r="A669" s="34">
        <v>41832</v>
      </c>
      <c r="B669" t="s">
        <v>2822</v>
      </c>
      <c r="C669" s="9" t="s">
        <v>2823</v>
      </c>
      <c r="D669" s="1" t="s">
        <v>787</v>
      </c>
      <c r="E669" t="s">
        <v>5544</v>
      </c>
      <c r="F669" s="69"/>
      <c r="K669" s="314"/>
    </row>
    <row r="670" spans="1:11" x14ac:dyDescent="0.2">
      <c r="A670" s="34">
        <v>41818</v>
      </c>
      <c r="B670" t="s">
        <v>2822</v>
      </c>
      <c r="C670" s="9" t="s">
        <v>2823</v>
      </c>
      <c r="D670" s="1">
        <v>1.6828703703703703E-2</v>
      </c>
      <c r="E670" t="s">
        <v>5544</v>
      </c>
      <c r="F670" s="69" t="s">
        <v>876</v>
      </c>
      <c r="K670" s="314">
        <v>0.6149</v>
      </c>
    </row>
    <row r="671" spans="1:11" x14ac:dyDescent="0.2">
      <c r="A671" s="34">
        <v>41811</v>
      </c>
      <c r="B671" t="s">
        <v>2822</v>
      </c>
      <c r="C671" s="9" t="s">
        <v>2823</v>
      </c>
      <c r="D671" s="1">
        <v>1.7280092592592593E-2</v>
      </c>
      <c r="E671" t="s">
        <v>5544</v>
      </c>
      <c r="F671" s="42" t="s">
        <v>1583</v>
      </c>
      <c r="K671" s="314">
        <v>0.5988</v>
      </c>
    </row>
    <row r="672" spans="1:11" x14ac:dyDescent="0.2">
      <c r="A672" s="34">
        <v>41804</v>
      </c>
      <c r="B672" t="s">
        <v>2822</v>
      </c>
      <c r="C672" s="9" t="s">
        <v>2823</v>
      </c>
      <c r="D672" s="1">
        <v>1.7222222222222222E-2</v>
      </c>
      <c r="E672" t="s">
        <v>5544</v>
      </c>
      <c r="F672" s="69"/>
      <c r="K672" s="314">
        <v>0.6008</v>
      </c>
    </row>
    <row r="673" spans="1:18" x14ac:dyDescent="0.2">
      <c r="A673" s="34">
        <v>41797</v>
      </c>
      <c r="B673" t="s">
        <v>2822</v>
      </c>
      <c r="C673" s="9" t="s">
        <v>2823</v>
      </c>
      <c r="D673" s="1" t="s">
        <v>787</v>
      </c>
      <c r="E673" t="s">
        <v>5544</v>
      </c>
      <c r="F673" s="42" t="s">
        <v>4000</v>
      </c>
      <c r="K673" s="314"/>
    </row>
    <row r="674" spans="1:18" x14ac:dyDescent="0.2">
      <c r="A674" s="34">
        <v>41790</v>
      </c>
      <c r="B674" t="s">
        <v>2822</v>
      </c>
      <c r="C674" s="9" t="s">
        <v>2823</v>
      </c>
      <c r="D674" s="1">
        <v>1.8275462962962962E-2</v>
      </c>
      <c r="E674" t="s">
        <v>5544</v>
      </c>
      <c r="F674" s="69"/>
      <c r="K674" s="314">
        <v>0.56620000000000004</v>
      </c>
    </row>
    <row r="675" spans="1:18" x14ac:dyDescent="0.2">
      <c r="A675" s="34">
        <v>41783</v>
      </c>
      <c r="B675" t="s">
        <v>2822</v>
      </c>
      <c r="C675" s="9" t="s">
        <v>2823</v>
      </c>
      <c r="D675" s="1">
        <v>1.7662037037037035E-2</v>
      </c>
      <c r="E675" t="s">
        <v>5544</v>
      </c>
      <c r="F675" s="69" t="s">
        <v>4821</v>
      </c>
      <c r="K675" s="314">
        <v>0.58579999999999999</v>
      </c>
    </row>
    <row r="676" spans="1:18" x14ac:dyDescent="0.2">
      <c r="A676" s="34">
        <v>41776</v>
      </c>
      <c r="B676" s="155" t="s">
        <v>2822</v>
      </c>
      <c r="C676" s="156" t="s">
        <v>2823</v>
      </c>
      <c r="D676" s="154">
        <v>1.758101851851852E-2</v>
      </c>
      <c r="E676" s="155" t="s">
        <v>5544</v>
      </c>
      <c r="F676" s="157" t="s">
        <v>3709</v>
      </c>
      <c r="G676" s="155"/>
      <c r="H676" s="5"/>
      <c r="K676" s="314">
        <v>0.58850000000000002</v>
      </c>
    </row>
    <row r="677" spans="1:18" x14ac:dyDescent="0.2">
      <c r="A677" s="34">
        <v>41769</v>
      </c>
      <c r="B677" t="s">
        <v>2822</v>
      </c>
      <c r="C677" s="9" t="s">
        <v>2823</v>
      </c>
      <c r="D677" s="1">
        <v>1.8159722222222219E-2</v>
      </c>
      <c r="E677" t="s">
        <v>5544</v>
      </c>
      <c r="F677" s="42"/>
      <c r="K677" s="314">
        <v>0.56979999999999997</v>
      </c>
    </row>
    <row r="678" spans="1:18" x14ac:dyDescent="0.2">
      <c r="A678" s="34">
        <v>41762</v>
      </c>
      <c r="B678" t="s">
        <v>2822</v>
      </c>
      <c r="C678" s="9" t="s">
        <v>2823</v>
      </c>
      <c r="D678" s="1">
        <v>1.8645833333333334E-2</v>
      </c>
      <c r="E678" t="s">
        <v>5544</v>
      </c>
      <c r="F678" s="69" t="s">
        <v>4410</v>
      </c>
      <c r="K678" s="314">
        <v>0.55489999999999995</v>
      </c>
    </row>
    <row r="679" spans="1:18" x14ac:dyDescent="0.2">
      <c r="A679" s="34">
        <v>41748</v>
      </c>
      <c r="B679" t="s">
        <v>2822</v>
      </c>
      <c r="C679" s="9" t="s">
        <v>2823</v>
      </c>
      <c r="D679" s="1" t="s">
        <v>787</v>
      </c>
      <c r="E679" t="s">
        <v>5544</v>
      </c>
      <c r="F679" s="69" t="s">
        <v>4000</v>
      </c>
      <c r="K679" s="314"/>
    </row>
    <row r="680" spans="1:18" x14ac:dyDescent="0.2">
      <c r="A680" s="34">
        <v>41734</v>
      </c>
      <c r="B680" t="s">
        <v>2822</v>
      </c>
      <c r="C680" s="9" t="s">
        <v>2823</v>
      </c>
      <c r="D680" s="1">
        <v>1.7939814814814815E-2</v>
      </c>
      <c r="E680" t="s">
        <v>5544</v>
      </c>
      <c r="F680" s="42" t="s">
        <v>4697</v>
      </c>
      <c r="K680" s="314">
        <v>0.57599999999999996</v>
      </c>
    </row>
    <row r="681" spans="1:18" x14ac:dyDescent="0.2">
      <c r="A681" s="34">
        <v>41727</v>
      </c>
      <c r="B681" t="s">
        <v>2822</v>
      </c>
      <c r="C681" s="9" t="s">
        <v>2823</v>
      </c>
      <c r="D681" s="1">
        <v>1.8483796296296297E-2</v>
      </c>
      <c r="E681" t="s">
        <v>5544</v>
      </c>
      <c r="F681" s="69"/>
      <c r="K681" s="314">
        <v>0.55979999999999996</v>
      </c>
    </row>
    <row r="682" spans="1:18" x14ac:dyDescent="0.2">
      <c r="A682" s="34">
        <v>41720</v>
      </c>
      <c r="B682" t="s">
        <v>2822</v>
      </c>
      <c r="C682" s="9" t="s">
        <v>2823</v>
      </c>
      <c r="D682" s="1">
        <v>1.7708333333333333E-2</v>
      </c>
      <c r="E682" t="s">
        <v>5544</v>
      </c>
      <c r="F682" s="69"/>
      <c r="K682" s="314">
        <v>0.58430000000000004</v>
      </c>
    </row>
    <row r="683" spans="1:18" x14ac:dyDescent="0.2">
      <c r="A683" s="34">
        <v>41713</v>
      </c>
      <c r="B683" t="s">
        <v>2822</v>
      </c>
      <c r="C683" s="9" t="s">
        <v>2823</v>
      </c>
      <c r="D683" s="1">
        <v>1.7708333333333333E-2</v>
      </c>
      <c r="E683" t="s">
        <v>5544</v>
      </c>
      <c r="F683" s="69"/>
      <c r="K683" s="314">
        <v>0.58430000000000004</v>
      </c>
    </row>
    <row r="684" spans="1:18" x14ac:dyDescent="0.2">
      <c r="A684" s="34">
        <v>41706</v>
      </c>
      <c r="B684" t="s">
        <v>2822</v>
      </c>
      <c r="C684" s="9" t="s">
        <v>2823</v>
      </c>
      <c r="D684" s="1">
        <v>1.8206018518518517E-2</v>
      </c>
      <c r="E684" t="s">
        <v>5544</v>
      </c>
      <c r="F684" s="69" t="s">
        <v>2369</v>
      </c>
      <c r="K684" s="314">
        <v>0.56710000000000005</v>
      </c>
    </row>
    <row r="685" spans="1:18" x14ac:dyDescent="0.2">
      <c r="A685" s="34">
        <v>41699</v>
      </c>
      <c r="B685" t="s">
        <v>2822</v>
      </c>
      <c r="C685" s="9" t="s">
        <v>2823</v>
      </c>
      <c r="D685" s="1">
        <v>1.8124999999999999E-2</v>
      </c>
      <c r="E685" t="s">
        <v>5544</v>
      </c>
      <c r="F685" s="42" t="s">
        <v>2164</v>
      </c>
      <c r="K685" s="314">
        <v>0.5696</v>
      </c>
    </row>
    <row r="686" spans="1:18" x14ac:dyDescent="0.2">
      <c r="A686" s="34">
        <v>41692</v>
      </c>
      <c r="B686" t="s">
        <v>2822</v>
      </c>
      <c r="C686" s="9" t="s">
        <v>2823</v>
      </c>
      <c r="D686" s="1">
        <v>1.7835648148148149E-2</v>
      </c>
      <c r="E686" t="s">
        <v>5544</v>
      </c>
      <c r="F686" s="69"/>
      <c r="K686" s="314">
        <v>0.57879999999999998</v>
      </c>
    </row>
    <row r="687" spans="1:18" x14ac:dyDescent="0.2">
      <c r="A687" s="34">
        <v>41685</v>
      </c>
      <c r="B687" t="s">
        <v>2822</v>
      </c>
      <c r="C687" s="9" t="s">
        <v>2823</v>
      </c>
      <c r="D687" s="1" t="s">
        <v>787</v>
      </c>
      <c r="E687" t="s">
        <v>5544</v>
      </c>
      <c r="F687" s="69" t="s">
        <v>4000</v>
      </c>
      <c r="K687" s="314"/>
    </row>
    <row r="688" spans="1:18" x14ac:dyDescent="0.2">
      <c r="A688" s="34">
        <v>41678</v>
      </c>
      <c r="B688" s="2" t="s">
        <v>2822</v>
      </c>
      <c r="C688" s="99" t="s">
        <v>2823</v>
      </c>
      <c r="D688" s="1">
        <v>1.8194444444444444E-2</v>
      </c>
      <c r="E688" t="s">
        <v>5544</v>
      </c>
      <c r="F688" s="69"/>
      <c r="K688" s="314">
        <v>0.56740000000000002</v>
      </c>
      <c r="L688" s="2" t="s">
        <v>2407</v>
      </c>
      <c r="M688" s="2"/>
      <c r="N688" s="2"/>
      <c r="O688" s="2"/>
      <c r="P688" s="2"/>
      <c r="Q688" s="2"/>
      <c r="R688" s="2"/>
    </row>
    <row r="689" spans="1:12" x14ac:dyDescent="0.2">
      <c r="A689" s="34">
        <v>41664</v>
      </c>
      <c r="B689" t="s">
        <v>2822</v>
      </c>
      <c r="C689" s="9" t="s">
        <v>2823</v>
      </c>
      <c r="D689" s="1">
        <v>3.0567129629629628E-2</v>
      </c>
      <c r="E689" t="s">
        <v>5544</v>
      </c>
      <c r="F689" s="69" t="s">
        <v>1285</v>
      </c>
      <c r="K689" s="314">
        <v>0.33779999999999999</v>
      </c>
    </row>
    <row r="690" spans="1:12" x14ac:dyDescent="0.2">
      <c r="A690" s="34">
        <v>41657</v>
      </c>
      <c r="B690" t="s">
        <v>2822</v>
      </c>
      <c r="C690" s="9" t="s">
        <v>2823</v>
      </c>
      <c r="D690" s="1">
        <v>1.8518518518518521E-2</v>
      </c>
      <c r="E690" t="s">
        <v>5544</v>
      </c>
      <c r="F690" s="69"/>
      <c r="K690" s="314">
        <v>0.5575</v>
      </c>
    </row>
    <row r="691" spans="1:12" x14ac:dyDescent="0.2">
      <c r="A691" s="34">
        <v>41650</v>
      </c>
      <c r="B691" t="s">
        <v>2822</v>
      </c>
      <c r="C691" s="9" t="s">
        <v>2823</v>
      </c>
      <c r="D691" s="1">
        <v>1.8287037037037036E-2</v>
      </c>
      <c r="E691" t="s">
        <v>5544</v>
      </c>
      <c r="F691" s="69"/>
      <c r="K691" s="314">
        <v>0.56459999999999999</v>
      </c>
    </row>
    <row r="692" spans="1:12" x14ac:dyDescent="0.2">
      <c r="A692" s="34">
        <v>41643</v>
      </c>
      <c r="B692" t="s">
        <v>2822</v>
      </c>
      <c r="C692" s="9" t="s">
        <v>2823</v>
      </c>
      <c r="D692" s="1">
        <v>1.9710648148148147E-2</v>
      </c>
      <c r="E692" t="s">
        <v>5544</v>
      </c>
      <c r="F692" s="69"/>
      <c r="K692" s="314">
        <v>0.52380000000000004</v>
      </c>
    </row>
    <row r="693" spans="1:12" x14ac:dyDescent="0.2">
      <c r="A693" s="34">
        <v>41671</v>
      </c>
      <c r="B693" t="s">
        <v>1933</v>
      </c>
      <c r="C693" s="9" t="s">
        <v>2823</v>
      </c>
      <c r="D693" s="1">
        <v>1.8680555555555554E-2</v>
      </c>
      <c r="E693" t="s">
        <v>5544</v>
      </c>
      <c r="F693" s="69"/>
      <c r="K693" s="314">
        <v>0.55269999999999997</v>
      </c>
    </row>
    <row r="694" spans="1:12" x14ac:dyDescent="0.2">
      <c r="A694" s="34">
        <v>41741</v>
      </c>
      <c r="B694" t="s">
        <v>982</v>
      </c>
      <c r="C694" s="9" t="s">
        <v>2823</v>
      </c>
      <c r="D694" s="1">
        <v>1.8437499999999999E-2</v>
      </c>
      <c r="E694" t="s">
        <v>5544</v>
      </c>
      <c r="F694" s="69" t="s">
        <v>530</v>
      </c>
      <c r="K694" s="314">
        <v>0.56120000000000003</v>
      </c>
    </row>
    <row r="695" spans="1:12" x14ac:dyDescent="0.2">
      <c r="A695" s="34"/>
      <c r="C695" s="9"/>
      <c r="D695" s="1"/>
      <c r="F695" s="69"/>
      <c r="K695" s="314"/>
    </row>
    <row r="696" spans="1:12" x14ac:dyDescent="0.2">
      <c r="A696" s="34">
        <v>41846</v>
      </c>
      <c r="B696" s="2" t="s">
        <v>429</v>
      </c>
      <c r="C696" s="3" t="s">
        <v>430</v>
      </c>
      <c r="D696" s="1">
        <v>1.6516203703703703E-2</v>
      </c>
      <c r="E696" t="s">
        <v>5885</v>
      </c>
      <c r="F696" s="69"/>
      <c r="K696" s="314">
        <v>0.67410000000000003</v>
      </c>
    </row>
    <row r="697" spans="1:12" x14ac:dyDescent="0.2">
      <c r="A697" s="34">
        <v>41832</v>
      </c>
      <c r="B697" t="s">
        <v>429</v>
      </c>
      <c r="C697" s="9" t="s">
        <v>430</v>
      </c>
      <c r="D697" s="1">
        <v>1.6724537037037034E-2</v>
      </c>
      <c r="E697" t="s">
        <v>5885</v>
      </c>
      <c r="F697" s="69"/>
      <c r="K697" s="314">
        <v>0.66569999999999996</v>
      </c>
    </row>
    <row r="698" spans="1:12" x14ac:dyDescent="0.2">
      <c r="A698" s="34">
        <v>41790</v>
      </c>
      <c r="B698" t="s">
        <v>429</v>
      </c>
      <c r="C698" s="9" t="s">
        <v>430</v>
      </c>
      <c r="D698" s="1">
        <v>1.699074074074074E-2</v>
      </c>
      <c r="E698" t="s">
        <v>5885</v>
      </c>
      <c r="F698" s="69"/>
      <c r="K698" s="314">
        <v>0.65529999999999999</v>
      </c>
    </row>
    <row r="699" spans="1:12" x14ac:dyDescent="0.2">
      <c r="A699" s="34">
        <v>41776</v>
      </c>
      <c r="B699" t="s">
        <v>429</v>
      </c>
      <c r="C699" s="9" t="s">
        <v>430</v>
      </c>
      <c r="D699" s="1">
        <v>1.7453703703703704E-2</v>
      </c>
      <c r="E699" t="s">
        <v>5885</v>
      </c>
      <c r="F699" s="69" t="s">
        <v>345</v>
      </c>
      <c r="K699" s="314">
        <v>0.63790000000000002</v>
      </c>
    </row>
    <row r="700" spans="1:12" x14ac:dyDescent="0.2">
      <c r="A700" s="34"/>
      <c r="C700" s="9"/>
      <c r="D700" s="1"/>
      <c r="F700" s="69"/>
      <c r="K700" s="314"/>
    </row>
    <row r="701" spans="1:12" x14ac:dyDescent="0.2">
      <c r="A701" s="33">
        <v>41965</v>
      </c>
      <c r="B701" s="319" t="s">
        <v>4878</v>
      </c>
      <c r="C701" s="320" t="s">
        <v>3250</v>
      </c>
      <c r="D701" s="1">
        <v>1.9930555555555556E-2</v>
      </c>
      <c r="E701" t="s">
        <v>5955</v>
      </c>
      <c r="F701" s="5" t="s">
        <v>123</v>
      </c>
      <c r="G701" s="5"/>
      <c r="H701" s="5" t="s">
        <v>5278</v>
      </c>
      <c r="I701" s="5"/>
      <c r="J701" s="5"/>
      <c r="K701" s="314">
        <v>0.51570000000000005</v>
      </c>
      <c r="L701" t="s">
        <v>1667</v>
      </c>
    </row>
    <row r="702" spans="1:12" x14ac:dyDescent="0.2">
      <c r="A702" s="33">
        <v>41958</v>
      </c>
      <c r="B702" s="197" t="s">
        <v>4878</v>
      </c>
      <c r="C702" s="265" t="s">
        <v>3250</v>
      </c>
      <c r="D702" s="1">
        <v>2.045138888888889E-2</v>
      </c>
      <c r="E702" t="s">
        <v>5095</v>
      </c>
      <c r="F702" s="42"/>
      <c r="K702" s="314">
        <v>0.50249999999999995</v>
      </c>
    </row>
    <row r="703" spans="1:12" x14ac:dyDescent="0.2">
      <c r="A703" s="33">
        <v>41944</v>
      </c>
      <c r="B703" s="197" t="s">
        <v>4878</v>
      </c>
      <c r="C703" s="265" t="s">
        <v>3250</v>
      </c>
      <c r="D703" s="1">
        <v>1.9259259259259261E-2</v>
      </c>
      <c r="E703" t="s">
        <v>4817</v>
      </c>
      <c r="F703" s="42" t="s">
        <v>1576</v>
      </c>
      <c r="K703" s="314">
        <v>0.53369999999999995</v>
      </c>
    </row>
    <row r="704" spans="1:12" x14ac:dyDescent="0.2">
      <c r="A704" s="33">
        <v>41923</v>
      </c>
      <c r="B704" s="197" t="s">
        <v>4878</v>
      </c>
      <c r="C704" s="265" t="s">
        <v>3250</v>
      </c>
      <c r="D704" s="1">
        <v>1.9363425925925926E-2</v>
      </c>
      <c r="E704" t="s">
        <v>5095</v>
      </c>
      <c r="F704" s="69"/>
      <c r="K704" s="314">
        <v>0.53080000000000005</v>
      </c>
    </row>
    <row r="705" spans="1:12" x14ac:dyDescent="0.2">
      <c r="A705" s="33">
        <v>41916</v>
      </c>
      <c r="B705" s="197" t="s">
        <v>4878</v>
      </c>
      <c r="C705" s="265" t="s">
        <v>3250</v>
      </c>
      <c r="D705" s="1">
        <v>1.8437499999999999E-2</v>
      </c>
      <c r="E705" t="s">
        <v>4935</v>
      </c>
      <c r="F705" s="69" t="s">
        <v>876</v>
      </c>
      <c r="K705" s="314">
        <v>0.55740000000000001</v>
      </c>
    </row>
    <row r="706" spans="1:12" x14ac:dyDescent="0.2">
      <c r="A706" s="33">
        <v>41881</v>
      </c>
      <c r="B706" s="197" t="s">
        <v>4878</v>
      </c>
      <c r="C706" s="265" t="s">
        <v>3250</v>
      </c>
      <c r="D706" s="1">
        <v>2.045138888888889E-2</v>
      </c>
      <c r="E706" t="s">
        <v>983</v>
      </c>
      <c r="F706" s="42" t="s">
        <v>3865</v>
      </c>
      <c r="K706" s="314">
        <v>0.50249999999999995</v>
      </c>
    </row>
    <row r="707" spans="1:12" x14ac:dyDescent="0.2">
      <c r="A707" s="34">
        <v>41846</v>
      </c>
      <c r="B707" s="197" t="s">
        <v>4878</v>
      </c>
      <c r="C707" s="265" t="s">
        <v>3250</v>
      </c>
      <c r="D707" s="1">
        <v>2.0821759259259259E-2</v>
      </c>
      <c r="E707" t="s">
        <v>998</v>
      </c>
      <c r="F707" s="42" t="s">
        <v>5796</v>
      </c>
      <c r="K707" s="314">
        <v>0.49359999999999998</v>
      </c>
    </row>
    <row r="708" spans="1:12" x14ac:dyDescent="0.2">
      <c r="A708" s="34">
        <v>41839</v>
      </c>
      <c r="B708" s="197" t="s">
        <v>4878</v>
      </c>
      <c r="C708" s="265" t="s">
        <v>3250</v>
      </c>
      <c r="D708" s="1">
        <v>2.0069444444444442E-2</v>
      </c>
      <c r="E708" t="s">
        <v>4286</v>
      </c>
      <c r="F708" s="69" t="s">
        <v>4649</v>
      </c>
      <c r="K708" s="314">
        <v>0.5121</v>
      </c>
    </row>
    <row r="709" spans="1:12" x14ac:dyDescent="0.2">
      <c r="A709" s="34">
        <v>41825</v>
      </c>
      <c r="B709" s="197" t="s">
        <v>4878</v>
      </c>
      <c r="C709" s="321" t="s">
        <v>3250</v>
      </c>
      <c r="D709" s="1">
        <v>2.0578703703703703E-2</v>
      </c>
      <c r="E709" t="s">
        <v>4004</v>
      </c>
      <c r="F709" s="69"/>
      <c r="K709" s="314">
        <v>0.49940000000000001</v>
      </c>
    </row>
    <row r="710" spans="1:12" x14ac:dyDescent="0.2">
      <c r="A710" s="34">
        <v>41818</v>
      </c>
      <c r="B710" s="197" t="s">
        <v>4878</v>
      </c>
      <c r="C710" s="321" t="s">
        <v>3250</v>
      </c>
      <c r="D710" s="1">
        <v>2.0393518518518519E-2</v>
      </c>
      <c r="E710" t="s">
        <v>919</v>
      </c>
      <c r="F710" s="69" t="s">
        <v>3340</v>
      </c>
      <c r="K710" s="314">
        <v>0.49780000000000002</v>
      </c>
    </row>
    <row r="711" spans="1:12" x14ac:dyDescent="0.2">
      <c r="A711" s="34">
        <v>41790</v>
      </c>
      <c r="B711" s="197" t="s">
        <v>4878</v>
      </c>
      <c r="C711" s="321" t="s">
        <v>3250</v>
      </c>
      <c r="D711" s="1">
        <v>1.923611111111111E-2</v>
      </c>
      <c r="E711" t="s">
        <v>5095</v>
      </c>
      <c r="F711" s="69"/>
      <c r="K711" s="314">
        <v>0.5343</v>
      </c>
    </row>
    <row r="712" spans="1:12" x14ac:dyDescent="0.2">
      <c r="A712" s="34">
        <v>41727</v>
      </c>
      <c r="B712" s="53" t="s">
        <v>4878</v>
      </c>
      <c r="C712" s="83" t="s">
        <v>3250</v>
      </c>
      <c r="D712" s="1">
        <v>1.8935185185185183E-2</v>
      </c>
      <c r="E712" t="s">
        <v>5095</v>
      </c>
      <c r="F712" s="69" t="s">
        <v>876</v>
      </c>
      <c r="K712" s="314">
        <v>0.54279999999999995</v>
      </c>
    </row>
    <row r="713" spans="1:12" x14ac:dyDescent="0.2">
      <c r="A713" s="34">
        <v>41720</v>
      </c>
      <c r="B713" s="53" t="s">
        <v>4878</v>
      </c>
      <c r="C713" s="83" t="s">
        <v>3250</v>
      </c>
      <c r="D713" s="1">
        <v>1.9594907407407405E-2</v>
      </c>
      <c r="E713" t="s">
        <v>5453</v>
      </c>
      <c r="F713" s="69" t="s">
        <v>876</v>
      </c>
      <c r="K713" s="314">
        <v>0.52449999999999997</v>
      </c>
    </row>
    <row r="714" spans="1:12" x14ac:dyDescent="0.2">
      <c r="A714" s="34">
        <v>41713</v>
      </c>
      <c r="B714" s="53" t="s">
        <v>4878</v>
      </c>
      <c r="C714" s="83" t="s">
        <v>3250</v>
      </c>
      <c r="D714" s="1">
        <v>2.1099537037037038E-2</v>
      </c>
      <c r="E714" t="s">
        <v>2430</v>
      </c>
      <c r="F714" s="69" t="s">
        <v>4840</v>
      </c>
      <c r="K714" s="314">
        <v>0.48709999999999998</v>
      </c>
      <c r="L714" t="s">
        <v>2729</v>
      </c>
    </row>
    <row r="715" spans="1:12" x14ac:dyDescent="0.2">
      <c r="A715" s="34">
        <v>41706</v>
      </c>
      <c r="B715" s="53" t="s">
        <v>4878</v>
      </c>
      <c r="C715" s="83" t="s">
        <v>3250</v>
      </c>
      <c r="D715" s="1">
        <v>2.0381944444444446E-2</v>
      </c>
      <c r="E715" t="s">
        <v>5095</v>
      </c>
      <c r="F715" s="69" t="s">
        <v>2664</v>
      </c>
      <c r="K715" s="314">
        <v>0.50429999999999997</v>
      </c>
    </row>
    <row r="716" spans="1:12" x14ac:dyDescent="0.2">
      <c r="A716" s="34">
        <v>41699</v>
      </c>
      <c r="B716" s="53" t="s">
        <v>4878</v>
      </c>
      <c r="C716" s="83" t="s">
        <v>3250</v>
      </c>
      <c r="D716" s="1">
        <v>2.028935185185185E-2</v>
      </c>
      <c r="E716" t="s">
        <v>5095</v>
      </c>
      <c r="F716" s="42" t="s">
        <v>331</v>
      </c>
      <c r="K716" s="314">
        <v>0.50660000000000005</v>
      </c>
    </row>
    <row r="717" spans="1:12" x14ac:dyDescent="0.2">
      <c r="A717" s="34">
        <v>41692</v>
      </c>
      <c r="B717" s="53" t="s">
        <v>4878</v>
      </c>
      <c r="C717" s="83" t="s">
        <v>3250</v>
      </c>
      <c r="D717" s="1">
        <v>2.0509259259259258E-2</v>
      </c>
      <c r="E717" t="s">
        <v>5095</v>
      </c>
      <c r="F717" s="69" t="s">
        <v>876</v>
      </c>
      <c r="K717" s="314">
        <v>0.50109999999999999</v>
      </c>
    </row>
    <row r="718" spans="1:12" x14ac:dyDescent="0.2">
      <c r="A718" s="34">
        <v>41678</v>
      </c>
      <c r="B718" s="53" t="s">
        <v>4878</v>
      </c>
      <c r="C718" s="83" t="s">
        <v>3250</v>
      </c>
      <c r="D718" s="1">
        <v>2.238425925925926E-2</v>
      </c>
      <c r="E718" t="s">
        <v>5456</v>
      </c>
      <c r="F718" s="69" t="s">
        <v>1728</v>
      </c>
      <c r="K718" s="314">
        <v>0.4592</v>
      </c>
    </row>
    <row r="719" spans="1:12" x14ac:dyDescent="0.2">
      <c r="A719" s="34">
        <v>41832</v>
      </c>
      <c r="B719" s="53" t="s">
        <v>855</v>
      </c>
      <c r="C719" s="83" t="s">
        <v>3250</v>
      </c>
      <c r="D719" s="1">
        <v>1.9120370370370371E-2</v>
      </c>
      <c r="E719" t="s">
        <v>1788</v>
      </c>
      <c r="F719" s="69"/>
      <c r="K719" s="314">
        <v>0.53749999999999998</v>
      </c>
    </row>
    <row r="720" spans="1:12" x14ac:dyDescent="0.2">
      <c r="A720" s="34">
        <v>41664</v>
      </c>
      <c r="B720" s="53" t="s">
        <v>855</v>
      </c>
      <c r="C720" s="83" t="s">
        <v>3250</v>
      </c>
      <c r="D720" s="1">
        <v>2.2094907407407407E-2</v>
      </c>
      <c r="E720" t="s">
        <v>4861</v>
      </c>
      <c r="F720" s="69" t="s">
        <v>704</v>
      </c>
      <c r="K720" s="314">
        <v>0.4652</v>
      </c>
    </row>
    <row r="721" spans="1:16" x14ac:dyDescent="0.2">
      <c r="A721" s="34"/>
      <c r="B721" s="53"/>
      <c r="C721" s="83"/>
      <c r="D721" s="1"/>
      <c r="F721" s="69"/>
      <c r="K721" s="314"/>
    </row>
    <row r="722" spans="1:16" x14ac:dyDescent="0.2">
      <c r="A722" s="33">
        <v>41993</v>
      </c>
      <c r="B722" s="53" t="s">
        <v>3184</v>
      </c>
      <c r="C722" s="54" t="s">
        <v>3185</v>
      </c>
      <c r="D722" s="1">
        <v>1.8101851851851852E-2</v>
      </c>
      <c r="E722" t="s">
        <v>5453</v>
      </c>
      <c r="F722" s="42" t="s">
        <v>5385</v>
      </c>
      <c r="H722" t="s">
        <v>5387</v>
      </c>
      <c r="K722" s="314">
        <v>0.63170000000000004</v>
      </c>
    </row>
    <row r="723" spans="1:16" x14ac:dyDescent="0.2">
      <c r="A723" s="33">
        <v>41972</v>
      </c>
      <c r="B723" s="53" t="s">
        <v>3184</v>
      </c>
      <c r="C723" s="54" t="s">
        <v>3185</v>
      </c>
      <c r="D723" s="1">
        <v>1.7928240740740741E-2</v>
      </c>
      <c r="E723" s="5" t="s">
        <v>5453</v>
      </c>
      <c r="F723" s="69" t="s">
        <v>5807</v>
      </c>
      <c r="K723" s="314">
        <v>0.63780000000000003</v>
      </c>
    </row>
    <row r="724" spans="1:16" x14ac:dyDescent="0.2">
      <c r="A724" s="33">
        <v>41895</v>
      </c>
      <c r="B724" s="53" t="s">
        <v>3184</v>
      </c>
      <c r="C724" s="54" t="s">
        <v>3185</v>
      </c>
      <c r="D724" s="1">
        <v>1.6701388888888887E-2</v>
      </c>
      <c r="E724" t="s">
        <v>5453</v>
      </c>
      <c r="F724" s="69" t="s">
        <v>2589</v>
      </c>
      <c r="K724" s="314">
        <v>0.68469999999999998</v>
      </c>
    </row>
    <row r="725" spans="1:16" x14ac:dyDescent="0.2">
      <c r="A725" s="33">
        <v>41874</v>
      </c>
      <c r="B725" s="53" t="s">
        <v>3184</v>
      </c>
      <c r="C725" s="54" t="s">
        <v>3185</v>
      </c>
      <c r="D725" s="1">
        <v>1.621527777777778E-2</v>
      </c>
      <c r="E725" t="s">
        <v>1401</v>
      </c>
      <c r="F725" s="69" t="s">
        <v>107</v>
      </c>
      <c r="K725" s="314">
        <v>0.70520000000000005</v>
      </c>
    </row>
    <row r="726" spans="1:16" x14ac:dyDescent="0.2">
      <c r="A726" s="33"/>
      <c r="B726" s="53"/>
      <c r="C726" s="54"/>
      <c r="D726" s="1"/>
      <c r="F726" s="69"/>
      <c r="K726" s="314"/>
    </row>
    <row r="727" spans="1:16" x14ac:dyDescent="0.2">
      <c r="A727" s="33">
        <v>42000</v>
      </c>
      <c r="B727" s="2" t="s">
        <v>1794</v>
      </c>
      <c r="C727" s="3" t="s">
        <v>1795</v>
      </c>
      <c r="D727" s="1">
        <v>2.0497685185185185E-2</v>
      </c>
      <c r="E727" t="s">
        <v>4004</v>
      </c>
      <c r="F727" s="42"/>
      <c r="K727" s="314">
        <v>0.59740000000000004</v>
      </c>
    </row>
    <row r="728" spans="1:16" x14ac:dyDescent="0.2">
      <c r="A728" s="33">
        <v>41993</v>
      </c>
      <c r="B728" t="s">
        <v>1794</v>
      </c>
      <c r="C728" s="1" t="s">
        <v>1795</v>
      </c>
      <c r="D728" s="1">
        <v>2.1284722222222222E-2</v>
      </c>
      <c r="E728" t="s">
        <v>2818</v>
      </c>
      <c r="F728" s="42" t="s">
        <v>5386</v>
      </c>
      <c r="K728" s="314">
        <v>0.57530000000000003</v>
      </c>
    </row>
    <row r="729" spans="1:16" x14ac:dyDescent="0.2">
      <c r="A729" s="33">
        <v>41986</v>
      </c>
      <c r="B729" t="s">
        <v>1794</v>
      </c>
      <c r="C729" s="1" t="s">
        <v>1795</v>
      </c>
      <c r="D729" s="1">
        <v>2.0960648148148148E-2</v>
      </c>
      <c r="E729" t="s">
        <v>5544</v>
      </c>
      <c r="F729" s="69" t="s">
        <v>2188</v>
      </c>
      <c r="K729" s="314">
        <v>0.58420000000000005</v>
      </c>
    </row>
    <row r="730" spans="1:16" x14ac:dyDescent="0.2">
      <c r="A730" s="33">
        <v>41979</v>
      </c>
      <c r="B730" t="s">
        <v>1794</v>
      </c>
      <c r="C730" s="1" t="s">
        <v>1795</v>
      </c>
      <c r="D730" s="1">
        <v>2.1030092592592597E-2</v>
      </c>
      <c r="E730" t="s">
        <v>5544</v>
      </c>
      <c r="F730" s="69" t="s">
        <v>224</v>
      </c>
      <c r="K730" s="314">
        <v>0.58230000000000004</v>
      </c>
    </row>
    <row r="731" spans="1:16" x14ac:dyDescent="0.2">
      <c r="A731" s="33">
        <v>41972</v>
      </c>
      <c r="B731" t="s">
        <v>1794</v>
      </c>
      <c r="C731" s="1" t="s">
        <v>1795</v>
      </c>
      <c r="D731" s="1">
        <v>2.0671296296296295E-2</v>
      </c>
      <c r="E731" t="s">
        <v>5544</v>
      </c>
      <c r="F731" s="69"/>
      <c r="K731" s="314">
        <v>0.59240000000000004</v>
      </c>
    </row>
    <row r="732" spans="1:16" x14ac:dyDescent="0.2">
      <c r="A732" s="33">
        <v>41965</v>
      </c>
      <c r="B732" s="5" t="s">
        <v>1794</v>
      </c>
      <c r="C732" s="32" t="s">
        <v>1795</v>
      </c>
      <c r="D732" s="32">
        <v>2.074074074074074E-2</v>
      </c>
      <c r="E732" s="5" t="s">
        <v>2830</v>
      </c>
      <c r="F732" s="5" t="s">
        <v>2669</v>
      </c>
      <c r="G732" s="5"/>
      <c r="H732" s="5"/>
      <c r="I732" s="5"/>
      <c r="J732" s="5"/>
      <c r="K732" s="318">
        <v>0.59040000000000004</v>
      </c>
      <c r="L732" s="5" t="s">
        <v>2986</v>
      </c>
      <c r="M732" s="5"/>
      <c r="N732" s="5"/>
      <c r="O732" s="5"/>
      <c r="P732" s="5"/>
    </row>
    <row r="733" spans="1:16" x14ac:dyDescent="0.2">
      <c r="A733" s="33">
        <v>41958</v>
      </c>
      <c r="B733" t="s">
        <v>1794</v>
      </c>
      <c r="C733" s="1" t="s">
        <v>1795</v>
      </c>
      <c r="D733" s="1">
        <v>2.0856481481481479E-2</v>
      </c>
      <c r="E733" t="s">
        <v>5057</v>
      </c>
      <c r="F733" s="42" t="s">
        <v>3630</v>
      </c>
      <c r="K733" s="314">
        <v>0.58709999999999996</v>
      </c>
    </row>
    <row r="734" spans="1:16" x14ac:dyDescent="0.2">
      <c r="A734" s="33">
        <v>41951</v>
      </c>
      <c r="B734" t="s">
        <v>1794</v>
      </c>
      <c r="C734" s="1" t="s">
        <v>1795</v>
      </c>
      <c r="D734" s="1">
        <v>2.0798611111111111E-2</v>
      </c>
      <c r="E734" t="s">
        <v>1405</v>
      </c>
      <c r="F734" s="69" t="s">
        <v>2482</v>
      </c>
      <c r="K734" s="314">
        <v>0.58879999999999999</v>
      </c>
      <c r="L734" t="s">
        <v>2483</v>
      </c>
    </row>
    <row r="735" spans="1:16" x14ac:dyDescent="0.2">
      <c r="A735" s="33">
        <v>41944</v>
      </c>
      <c r="B735" t="s">
        <v>1794</v>
      </c>
      <c r="C735" s="1" t="s">
        <v>1795</v>
      </c>
      <c r="D735" s="3">
        <v>2.0324074074074074E-2</v>
      </c>
      <c r="E735" t="s">
        <v>5544</v>
      </c>
      <c r="F735" s="57" t="s">
        <v>4851</v>
      </c>
      <c r="K735" s="314">
        <v>0.60250000000000004</v>
      </c>
    </row>
    <row r="736" spans="1:16" x14ac:dyDescent="0.2">
      <c r="A736" s="33">
        <v>41937</v>
      </c>
      <c r="B736" t="s">
        <v>1794</v>
      </c>
      <c r="C736" s="1" t="s">
        <v>1795</v>
      </c>
      <c r="D736" s="1">
        <v>2.0555555555555556E-2</v>
      </c>
      <c r="E736" t="s">
        <v>5544</v>
      </c>
      <c r="F736" s="69" t="s">
        <v>5065</v>
      </c>
      <c r="K736" s="314">
        <v>0.59570000000000001</v>
      </c>
    </row>
    <row r="737" spans="1:12" x14ac:dyDescent="0.2">
      <c r="A737" s="33">
        <v>41930</v>
      </c>
      <c r="B737" t="s">
        <v>1794</v>
      </c>
      <c r="C737" s="1" t="s">
        <v>1795</v>
      </c>
      <c r="D737" s="1">
        <v>2.0625000000000001E-2</v>
      </c>
      <c r="E737" t="s">
        <v>4004</v>
      </c>
      <c r="F737" s="69" t="s">
        <v>4278</v>
      </c>
      <c r="K737" s="314">
        <v>0.59370000000000001</v>
      </c>
    </row>
    <row r="738" spans="1:12" x14ac:dyDescent="0.2">
      <c r="A738" s="33">
        <v>41923</v>
      </c>
      <c r="B738" t="s">
        <v>1794</v>
      </c>
      <c r="C738" s="1" t="s">
        <v>1795</v>
      </c>
      <c r="D738" s="1">
        <v>2.0694444444444446E-2</v>
      </c>
      <c r="E738" t="s">
        <v>5544</v>
      </c>
      <c r="F738" s="69"/>
      <c r="K738" s="314">
        <v>0.5917</v>
      </c>
    </row>
    <row r="739" spans="1:12" x14ac:dyDescent="0.2">
      <c r="A739" s="33">
        <v>41916</v>
      </c>
      <c r="B739" t="s">
        <v>1794</v>
      </c>
      <c r="C739" s="1" t="s">
        <v>1795</v>
      </c>
      <c r="D739" s="1">
        <v>2.0972222222222222E-2</v>
      </c>
      <c r="E739" t="s">
        <v>6027</v>
      </c>
      <c r="F739" s="69" t="s">
        <v>2689</v>
      </c>
      <c r="K739" s="314">
        <v>0.58389999999999997</v>
      </c>
    </row>
    <row r="740" spans="1:12" x14ac:dyDescent="0.2">
      <c r="A740" s="33">
        <v>41909</v>
      </c>
      <c r="B740" t="s">
        <v>1794</v>
      </c>
      <c r="C740" s="1" t="s">
        <v>1795</v>
      </c>
      <c r="D740" s="1">
        <v>2.0497685185185185E-2</v>
      </c>
      <c r="E740" t="s">
        <v>671</v>
      </c>
      <c r="F740" s="42" t="s">
        <v>670</v>
      </c>
      <c r="K740" s="314">
        <v>0.59740000000000004</v>
      </c>
    </row>
    <row r="741" spans="1:12" x14ac:dyDescent="0.2">
      <c r="A741" s="33">
        <v>41902</v>
      </c>
      <c r="B741" t="s">
        <v>1794</v>
      </c>
      <c r="C741" s="1" t="s">
        <v>1795</v>
      </c>
      <c r="D741" s="1">
        <v>2.0428240740740743E-2</v>
      </c>
      <c r="E741" t="s">
        <v>5544</v>
      </c>
      <c r="F741" s="69"/>
      <c r="K741" s="314">
        <v>0.59940000000000004</v>
      </c>
    </row>
    <row r="742" spans="1:12" x14ac:dyDescent="0.2">
      <c r="A742" s="33">
        <v>41895</v>
      </c>
      <c r="B742" t="s">
        <v>1794</v>
      </c>
      <c r="C742" s="9" t="s">
        <v>1795</v>
      </c>
      <c r="D742" s="1">
        <v>2.1493055555555557E-2</v>
      </c>
      <c r="E742" t="s">
        <v>3139</v>
      </c>
      <c r="F742" s="69" t="s">
        <v>3766</v>
      </c>
      <c r="K742" s="314">
        <v>0.56969999999999998</v>
      </c>
    </row>
    <row r="743" spans="1:12" x14ac:dyDescent="0.2">
      <c r="A743" s="33">
        <v>41888</v>
      </c>
      <c r="B743" t="s">
        <v>1794</v>
      </c>
      <c r="C743" s="1" t="s">
        <v>1795</v>
      </c>
      <c r="D743" s="1">
        <v>2.0625000000000001E-2</v>
      </c>
      <c r="E743" t="s">
        <v>5544</v>
      </c>
      <c r="F743" s="69" t="s">
        <v>224</v>
      </c>
      <c r="K743" s="314">
        <v>0.59370000000000001</v>
      </c>
    </row>
    <row r="744" spans="1:12" x14ac:dyDescent="0.2">
      <c r="A744" s="33">
        <v>41881</v>
      </c>
      <c r="B744" t="s">
        <v>1794</v>
      </c>
      <c r="C744" s="1" t="s">
        <v>1795</v>
      </c>
      <c r="D744" s="1">
        <v>2.1527777777777781E-2</v>
      </c>
      <c r="E744" t="s">
        <v>4397</v>
      </c>
      <c r="F744" s="42" t="s">
        <v>1176</v>
      </c>
      <c r="K744" s="314">
        <v>0.56879999999999997</v>
      </c>
    </row>
    <row r="745" spans="1:12" x14ac:dyDescent="0.2">
      <c r="A745" s="33">
        <v>41874</v>
      </c>
      <c r="B745" t="s">
        <v>1794</v>
      </c>
      <c r="C745" s="1" t="s">
        <v>1795</v>
      </c>
      <c r="D745" s="1">
        <v>2.0601851851851854E-2</v>
      </c>
      <c r="E745" t="s">
        <v>1783</v>
      </c>
      <c r="F745" s="69" t="s">
        <v>2129</v>
      </c>
      <c r="K745" s="314">
        <v>0.59440000000000004</v>
      </c>
    </row>
    <row r="746" spans="1:12" x14ac:dyDescent="0.2">
      <c r="A746" s="33">
        <v>41867</v>
      </c>
      <c r="B746" t="s">
        <v>1794</v>
      </c>
      <c r="C746" s="1" t="s">
        <v>1795</v>
      </c>
      <c r="D746" s="1">
        <v>2.1087962962962961E-2</v>
      </c>
      <c r="E746" t="s">
        <v>5198</v>
      </c>
      <c r="F746" s="69" t="s">
        <v>5204</v>
      </c>
      <c r="H746" t="s">
        <v>3187</v>
      </c>
      <c r="K746" s="314">
        <v>0.58069999999999999</v>
      </c>
    </row>
    <row r="747" spans="1:12" x14ac:dyDescent="0.2">
      <c r="A747" s="33">
        <v>41860</v>
      </c>
      <c r="B747" t="s">
        <v>1794</v>
      </c>
      <c r="C747" s="9" t="s">
        <v>1795</v>
      </c>
      <c r="D747" s="1">
        <v>2.1180555555555553E-2</v>
      </c>
      <c r="E747" t="s">
        <v>4787</v>
      </c>
      <c r="F747" s="69" t="s">
        <v>4790</v>
      </c>
      <c r="K747" s="314">
        <v>0.57789999999999997</v>
      </c>
    </row>
    <row r="748" spans="1:12" x14ac:dyDescent="0.2">
      <c r="A748" s="33">
        <v>41853</v>
      </c>
      <c r="B748" t="s">
        <v>1794</v>
      </c>
      <c r="C748" s="1" t="s">
        <v>1795</v>
      </c>
      <c r="D748" s="1">
        <v>2.1493055555555557E-2</v>
      </c>
      <c r="E748" t="s">
        <v>3887</v>
      </c>
      <c r="F748" s="69" t="s">
        <v>4661</v>
      </c>
      <c r="K748" s="314">
        <v>0.56969999999999998</v>
      </c>
    </row>
    <row r="749" spans="1:12" x14ac:dyDescent="0.2">
      <c r="A749" s="34">
        <v>41846</v>
      </c>
      <c r="B749" t="s">
        <v>1794</v>
      </c>
      <c r="C749" s="1" t="s">
        <v>1795</v>
      </c>
      <c r="D749" s="1" t="s">
        <v>787</v>
      </c>
      <c r="E749" t="s">
        <v>5544</v>
      </c>
      <c r="F749" s="69" t="s">
        <v>4854</v>
      </c>
      <c r="K749" s="314"/>
    </row>
    <row r="750" spans="1:12" x14ac:dyDescent="0.2">
      <c r="A750" s="34">
        <v>41839</v>
      </c>
      <c r="B750" t="s">
        <v>1794</v>
      </c>
      <c r="C750" s="1" t="s">
        <v>1795</v>
      </c>
      <c r="D750" s="1">
        <v>2.2094907407407407E-2</v>
      </c>
      <c r="E750" t="s">
        <v>4544</v>
      </c>
      <c r="F750" s="69" t="s">
        <v>4646</v>
      </c>
      <c r="K750" s="314">
        <v>0.55420000000000003</v>
      </c>
    </row>
    <row r="751" spans="1:12" x14ac:dyDescent="0.2">
      <c r="A751" s="34">
        <v>41832</v>
      </c>
      <c r="B751" t="s">
        <v>1794</v>
      </c>
      <c r="C751" s="9" t="s">
        <v>1795</v>
      </c>
      <c r="D751" s="1">
        <v>2.1203703703703707E-2</v>
      </c>
      <c r="E751" t="s">
        <v>5544</v>
      </c>
      <c r="F751" s="69"/>
      <c r="K751" s="314">
        <v>0.57750000000000001</v>
      </c>
    </row>
    <row r="752" spans="1:12" x14ac:dyDescent="0.2">
      <c r="A752" s="34">
        <v>41811</v>
      </c>
      <c r="B752" t="s">
        <v>1794</v>
      </c>
      <c r="C752" s="9" t="s">
        <v>1795</v>
      </c>
      <c r="D752" s="1">
        <v>2.0532407407407405E-2</v>
      </c>
      <c r="E752" t="s">
        <v>1401</v>
      </c>
      <c r="F752" s="42" t="s">
        <v>1588</v>
      </c>
      <c r="K752" s="314">
        <v>0.59640000000000004</v>
      </c>
      <c r="L752" t="s">
        <v>344</v>
      </c>
    </row>
    <row r="753" spans="1:12" x14ac:dyDescent="0.2">
      <c r="A753" s="34">
        <v>41804</v>
      </c>
      <c r="B753" t="s">
        <v>1794</v>
      </c>
      <c r="C753" s="9" t="s">
        <v>1795</v>
      </c>
      <c r="D753" s="1">
        <v>2.0879629629629626E-2</v>
      </c>
      <c r="E753" t="s">
        <v>6022</v>
      </c>
      <c r="F753" s="69" t="s">
        <v>2103</v>
      </c>
      <c r="K753" s="314">
        <v>0.58650000000000002</v>
      </c>
    </row>
    <row r="754" spans="1:12" x14ac:dyDescent="0.2">
      <c r="A754" s="34">
        <v>41797</v>
      </c>
      <c r="B754" t="s">
        <v>1794</v>
      </c>
      <c r="C754" s="9" t="s">
        <v>1795</v>
      </c>
      <c r="D754" s="1">
        <v>2.074074074074074E-2</v>
      </c>
      <c r="E754" t="s">
        <v>6003</v>
      </c>
      <c r="F754" s="42" t="s">
        <v>5260</v>
      </c>
      <c r="K754" s="314">
        <v>0.59040000000000004</v>
      </c>
    </row>
    <row r="755" spans="1:12" x14ac:dyDescent="0.2">
      <c r="A755" s="34">
        <v>41783</v>
      </c>
      <c r="B755" t="s">
        <v>1794</v>
      </c>
      <c r="C755" s="9" t="s">
        <v>1795</v>
      </c>
      <c r="D755" s="1">
        <v>1.9942129629629629E-2</v>
      </c>
      <c r="E755" t="s">
        <v>2827</v>
      </c>
      <c r="F755" s="69" t="s">
        <v>2385</v>
      </c>
      <c r="K755" s="314">
        <v>0.61399999999999999</v>
      </c>
      <c r="L755">
        <v>61.4</v>
      </c>
    </row>
    <row r="756" spans="1:12" x14ac:dyDescent="0.2">
      <c r="A756" s="34">
        <v>41776</v>
      </c>
      <c r="B756" t="s">
        <v>1794</v>
      </c>
      <c r="C756" s="9" t="s">
        <v>1795</v>
      </c>
      <c r="D756" s="1">
        <v>2.0381944444444446E-2</v>
      </c>
      <c r="E756" t="s">
        <v>1780</v>
      </c>
      <c r="F756" s="69" t="s">
        <v>3712</v>
      </c>
      <c r="K756" s="314">
        <v>0.6008</v>
      </c>
    </row>
    <row r="757" spans="1:12" x14ac:dyDescent="0.2">
      <c r="A757" s="34">
        <v>41769</v>
      </c>
      <c r="B757" t="s">
        <v>1794</v>
      </c>
      <c r="C757" s="9" t="s">
        <v>1795</v>
      </c>
      <c r="D757" s="1">
        <v>2.1030092592592597E-2</v>
      </c>
      <c r="E757" t="s">
        <v>5544</v>
      </c>
      <c r="F757" s="42"/>
      <c r="K757" s="314">
        <v>0.58230000000000004</v>
      </c>
    </row>
    <row r="758" spans="1:12" x14ac:dyDescent="0.2">
      <c r="A758" s="34">
        <v>41762</v>
      </c>
      <c r="B758" t="s">
        <v>1794</v>
      </c>
      <c r="C758" s="9" t="s">
        <v>1795</v>
      </c>
      <c r="D758" s="1">
        <v>2.1296296296296299E-2</v>
      </c>
      <c r="E758" t="s">
        <v>2431</v>
      </c>
      <c r="F758" s="69" t="s">
        <v>2202</v>
      </c>
      <c r="K758" s="314">
        <v>0.57499999999999996</v>
      </c>
    </row>
    <row r="759" spans="1:12" x14ac:dyDescent="0.2">
      <c r="A759" s="34">
        <v>41755</v>
      </c>
      <c r="B759" t="s">
        <v>1794</v>
      </c>
      <c r="C759" s="9" t="s">
        <v>1795</v>
      </c>
      <c r="D759" s="3">
        <v>1.9884259259259258E-2</v>
      </c>
      <c r="E759" t="s">
        <v>1540</v>
      </c>
      <c r="F759" s="57" t="s">
        <v>1541</v>
      </c>
      <c r="K759" s="369">
        <v>0.61580000000000001</v>
      </c>
      <c r="L759">
        <v>61.58</v>
      </c>
    </row>
    <row r="760" spans="1:12" x14ac:dyDescent="0.2">
      <c r="A760" s="34">
        <v>41748</v>
      </c>
      <c r="B760" t="s">
        <v>1794</v>
      </c>
      <c r="C760" s="9" t="s">
        <v>1795</v>
      </c>
      <c r="D760" s="1">
        <v>2.0787037037037038E-2</v>
      </c>
      <c r="E760" t="s">
        <v>6017</v>
      </c>
      <c r="F760" s="69" t="s">
        <v>588</v>
      </c>
      <c r="K760" s="314">
        <v>0.58909999999999996</v>
      </c>
    </row>
    <row r="761" spans="1:12" x14ac:dyDescent="0.2">
      <c r="A761" s="34">
        <v>41741</v>
      </c>
      <c r="B761" t="s">
        <v>1794</v>
      </c>
      <c r="C761" s="9" t="s">
        <v>1795</v>
      </c>
      <c r="D761" s="1">
        <v>2.0891203703703703E-2</v>
      </c>
      <c r="E761" t="s">
        <v>983</v>
      </c>
      <c r="F761" s="69" t="s">
        <v>985</v>
      </c>
      <c r="K761" s="314">
        <v>0.58609999999999995</v>
      </c>
    </row>
    <row r="762" spans="1:12" x14ac:dyDescent="0.2">
      <c r="A762" s="34">
        <v>41734</v>
      </c>
      <c r="B762" t="s">
        <v>1794</v>
      </c>
      <c r="C762" s="9" t="s">
        <v>1795</v>
      </c>
      <c r="D762" s="1">
        <v>2.013888888888889E-2</v>
      </c>
      <c r="E762" t="s">
        <v>5544</v>
      </c>
      <c r="F762" s="42" t="s">
        <v>3008</v>
      </c>
      <c r="K762" s="314">
        <v>0.60009999999999997</v>
      </c>
    </row>
    <row r="763" spans="1:12" x14ac:dyDescent="0.2">
      <c r="A763" s="34">
        <v>41720</v>
      </c>
      <c r="B763" t="s">
        <v>1794</v>
      </c>
      <c r="C763" s="9" t="s">
        <v>1795</v>
      </c>
      <c r="D763" s="1" t="s">
        <v>787</v>
      </c>
      <c r="E763" t="s">
        <v>5544</v>
      </c>
      <c r="F763" s="69" t="s">
        <v>4854</v>
      </c>
      <c r="K763" s="314"/>
    </row>
    <row r="764" spans="1:12" x14ac:dyDescent="0.2">
      <c r="A764" s="34">
        <v>41713</v>
      </c>
      <c r="B764" t="s">
        <v>1794</v>
      </c>
      <c r="C764" s="9" t="s">
        <v>1795</v>
      </c>
      <c r="D764" s="1">
        <v>2.0277777777777777E-2</v>
      </c>
      <c r="E764" t="s">
        <v>449</v>
      </c>
      <c r="F764" s="69"/>
      <c r="K764" s="314">
        <v>0.59699999999999998</v>
      </c>
    </row>
    <row r="765" spans="1:12" x14ac:dyDescent="0.2">
      <c r="A765" s="34">
        <v>41706</v>
      </c>
      <c r="B765" t="s">
        <v>1794</v>
      </c>
      <c r="C765" s="9" t="s">
        <v>1795</v>
      </c>
      <c r="D765" s="1">
        <v>2.1689814814814815E-2</v>
      </c>
      <c r="E765" t="s">
        <v>5947</v>
      </c>
      <c r="F765" s="69" t="s">
        <v>505</v>
      </c>
      <c r="K765" s="314">
        <v>0.55820000000000003</v>
      </c>
    </row>
    <row r="766" spans="1:12" x14ac:dyDescent="0.2">
      <c r="A766" s="34">
        <v>41699</v>
      </c>
      <c r="B766" t="s">
        <v>1794</v>
      </c>
      <c r="C766" s="9" t="s">
        <v>1795</v>
      </c>
      <c r="D766" s="1">
        <v>2.0937500000000001E-2</v>
      </c>
      <c r="E766" t="s">
        <v>5883</v>
      </c>
      <c r="F766" s="42" t="s">
        <v>2163</v>
      </c>
      <c r="K766" s="314">
        <v>0.57820000000000005</v>
      </c>
    </row>
    <row r="767" spans="1:12" x14ac:dyDescent="0.2">
      <c r="A767" s="34">
        <v>41692</v>
      </c>
      <c r="B767" t="s">
        <v>1794</v>
      </c>
      <c r="C767" s="9" t="s">
        <v>1795</v>
      </c>
      <c r="D767" s="1">
        <v>2.013888888888889E-2</v>
      </c>
      <c r="E767" t="s">
        <v>5544</v>
      </c>
      <c r="F767" s="69"/>
      <c r="K767" s="314">
        <v>0.60109999999999997</v>
      </c>
    </row>
    <row r="768" spans="1:12" x14ac:dyDescent="0.2">
      <c r="A768" s="34">
        <v>41685</v>
      </c>
      <c r="B768" t="s">
        <v>1794</v>
      </c>
      <c r="C768" s="9" t="s">
        <v>1795</v>
      </c>
      <c r="D768" s="1">
        <v>2.0625000000000001E-2</v>
      </c>
      <c r="E768" t="s">
        <v>5544</v>
      </c>
      <c r="F768" s="69" t="s">
        <v>2026</v>
      </c>
      <c r="K768" s="314">
        <v>0.58699999999999997</v>
      </c>
    </row>
    <row r="769" spans="1:12" x14ac:dyDescent="0.2">
      <c r="A769" s="34">
        <v>41678</v>
      </c>
      <c r="B769" t="s">
        <v>1794</v>
      </c>
      <c r="C769" s="9" t="s">
        <v>1795</v>
      </c>
      <c r="D769" s="1">
        <v>2.0266203703703703E-2</v>
      </c>
      <c r="E769" t="s">
        <v>5889</v>
      </c>
      <c r="F769" s="69" t="s">
        <v>2024</v>
      </c>
      <c r="K769" s="314">
        <v>0.59740000000000004</v>
      </c>
    </row>
    <row r="770" spans="1:12" x14ac:dyDescent="0.2">
      <c r="A770" s="34">
        <v>41671</v>
      </c>
      <c r="B770" t="s">
        <v>1794</v>
      </c>
      <c r="C770" s="9" t="s">
        <v>1795</v>
      </c>
      <c r="D770" s="1">
        <v>2.1261574074074075E-2</v>
      </c>
      <c r="E770" t="s">
        <v>129</v>
      </c>
      <c r="F770" s="69" t="s">
        <v>4856</v>
      </c>
      <c r="K770" s="314">
        <v>0.56940000000000002</v>
      </c>
    </row>
    <row r="771" spans="1:12" x14ac:dyDescent="0.2">
      <c r="A771" s="34">
        <v>41657</v>
      </c>
      <c r="B771" t="s">
        <v>1794</v>
      </c>
      <c r="C771" s="9" t="s">
        <v>1795</v>
      </c>
      <c r="D771" s="1">
        <v>2.0844907407407406E-2</v>
      </c>
      <c r="E771" t="s">
        <v>706</v>
      </c>
      <c r="F771" s="69" t="s">
        <v>3124</v>
      </c>
      <c r="K771" s="314">
        <v>0.58079999999999998</v>
      </c>
    </row>
    <row r="772" spans="1:12" x14ac:dyDescent="0.2">
      <c r="A772" s="34">
        <v>41643</v>
      </c>
      <c r="B772" t="s">
        <v>1794</v>
      </c>
      <c r="C772" s="9" t="s">
        <v>1795</v>
      </c>
      <c r="D772" s="1">
        <v>2.071759259259259E-2</v>
      </c>
      <c r="E772" t="s">
        <v>5544</v>
      </c>
      <c r="F772" s="69"/>
      <c r="K772" s="314">
        <v>0.58440000000000003</v>
      </c>
    </row>
    <row r="773" spans="1:12" x14ac:dyDescent="0.2">
      <c r="A773" s="34">
        <v>41640</v>
      </c>
      <c r="B773" t="s">
        <v>1794</v>
      </c>
      <c r="C773" s="9" t="s">
        <v>1795</v>
      </c>
      <c r="D773" s="1">
        <v>2.0949074074074075E-2</v>
      </c>
      <c r="E773" t="s">
        <v>559</v>
      </c>
      <c r="F773" s="69" t="s">
        <v>60</v>
      </c>
      <c r="K773" s="314">
        <v>0.57789999999999997</v>
      </c>
    </row>
    <row r="774" spans="1:12" x14ac:dyDescent="0.2">
      <c r="A774" s="34">
        <v>41640</v>
      </c>
      <c r="B774" t="s">
        <v>1794</v>
      </c>
      <c r="C774" s="9" t="s">
        <v>1795</v>
      </c>
      <c r="D774" s="1">
        <v>2.2430555555555554E-2</v>
      </c>
      <c r="E774" t="s">
        <v>6016</v>
      </c>
      <c r="F774" s="69" t="s">
        <v>61</v>
      </c>
      <c r="K774" s="314">
        <v>0.53969999999999996</v>
      </c>
    </row>
    <row r="775" spans="1:12" x14ac:dyDescent="0.2">
      <c r="A775" s="34"/>
      <c r="C775" s="9"/>
      <c r="D775" s="1"/>
      <c r="F775" s="69"/>
      <c r="K775" s="314"/>
    </row>
    <row r="776" spans="1:12" x14ac:dyDescent="0.2">
      <c r="A776" s="33">
        <v>42000</v>
      </c>
      <c r="B776" s="2" t="s">
        <v>431</v>
      </c>
      <c r="C776" s="3" t="s">
        <v>433</v>
      </c>
      <c r="D776" s="1">
        <v>1.7395833333333336E-2</v>
      </c>
      <c r="E776" t="s">
        <v>5095</v>
      </c>
      <c r="F776" s="42"/>
      <c r="K776" s="314">
        <v>0.63470000000000004</v>
      </c>
    </row>
    <row r="777" spans="1:12" x14ac:dyDescent="0.2">
      <c r="A777" s="33">
        <v>41998</v>
      </c>
      <c r="B777" t="s">
        <v>431</v>
      </c>
      <c r="C777" s="1" t="s">
        <v>433</v>
      </c>
      <c r="D777" s="1">
        <v>1.6238425925925924E-2</v>
      </c>
      <c r="E777" t="s">
        <v>1401</v>
      </c>
      <c r="F777" s="69" t="s">
        <v>4844</v>
      </c>
      <c r="K777" s="314">
        <v>0.67520000000000002</v>
      </c>
      <c r="L777" t="s">
        <v>1212</v>
      </c>
    </row>
    <row r="778" spans="1:12" x14ac:dyDescent="0.2">
      <c r="A778" s="33">
        <v>41993</v>
      </c>
      <c r="B778" t="s">
        <v>431</v>
      </c>
      <c r="C778" s="1" t="s">
        <v>433</v>
      </c>
      <c r="D778" s="1">
        <v>1.7106481481481483E-2</v>
      </c>
      <c r="E778" t="s">
        <v>5095</v>
      </c>
      <c r="F778" s="42" t="s">
        <v>2773</v>
      </c>
      <c r="K778" s="314">
        <v>0.64549999999999996</v>
      </c>
    </row>
    <row r="779" spans="1:12" x14ac:dyDescent="0.2">
      <c r="A779" s="33">
        <v>41986</v>
      </c>
      <c r="B779" t="s">
        <v>431</v>
      </c>
      <c r="C779" s="1" t="s">
        <v>433</v>
      </c>
      <c r="D779" s="1">
        <v>1.6400462962962964E-2</v>
      </c>
      <c r="E779" t="s">
        <v>5095</v>
      </c>
      <c r="F779" s="69" t="s">
        <v>2335</v>
      </c>
      <c r="K779" s="314">
        <v>0.67330000000000001</v>
      </c>
    </row>
    <row r="780" spans="1:12" x14ac:dyDescent="0.2">
      <c r="A780" s="33">
        <v>41979</v>
      </c>
      <c r="B780" t="s">
        <v>431</v>
      </c>
      <c r="C780" s="1" t="s">
        <v>433</v>
      </c>
      <c r="D780" s="1">
        <v>2.1574074074074075E-2</v>
      </c>
      <c r="E780" t="s">
        <v>5095</v>
      </c>
      <c r="F780" s="69" t="s">
        <v>3421</v>
      </c>
      <c r="K780" s="314">
        <v>0.51180000000000003</v>
      </c>
    </row>
    <row r="781" spans="1:12" x14ac:dyDescent="0.2">
      <c r="A781" s="33">
        <v>41972</v>
      </c>
      <c r="B781" t="s">
        <v>431</v>
      </c>
      <c r="C781" s="1" t="s">
        <v>433</v>
      </c>
      <c r="D781" s="1">
        <v>1.8067129629629631E-2</v>
      </c>
      <c r="E781" t="s">
        <v>5095</v>
      </c>
      <c r="F781" s="69" t="s">
        <v>896</v>
      </c>
      <c r="K781" s="314">
        <v>0.61109999999999998</v>
      </c>
    </row>
    <row r="782" spans="1:12" x14ac:dyDescent="0.2">
      <c r="A782" s="33">
        <v>41965</v>
      </c>
      <c r="B782" t="s">
        <v>431</v>
      </c>
      <c r="C782" s="1" t="s">
        <v>433</v>
      </c>
      <c r="D782" s="1">
        <v>1.6747685185185185E-2</v>
      </c>
      <c r="E782" t="s">
        <v>5095</v>
      </c>
      <c r="F782" s="5" t="s">
        <v>2565</v>
      </c>
      <c r="G782" s="5"/>
      <c r="H782" s="5"/>
      <c r="I782" s="5"/>
      <c r="J782" s="5"/>
      <c r="K782" s="314">
        <v>0.6593</v>
      </c>
    </row>
    <row r="783" spans="1:12" x14ac:dyDescent="0.2">
      <c r="A783" s="33">
        <v>41958</v>
      </c>
      <c r="B783" t="s">
        <v>431</v>
      </c>
      <c r="C783" s="1" t="s">
        <v>433</v>
      </c>
      <c r="D783" s="1">
        <v>2.0821759259259259E-2</v>
      </c>
      <c r="E783" t="s">
        <v>5095</v>
      </c>
      <c r="F783" s="42" t="s">
        <v>224</v>
      </c>
      <c r="K783" s="314">
        <v>0.53029999999999999</v>
      </c>
    </row>
    <row r="784" spans="1:12" x14ac:dyDescent="0.2">
      <c r="A784" s="33">
        <v>41951</v>
      </c>
      <c r="B784" t="s">
        <v>431</v>
      </c>
      <c r="C784" s="1" t="s">
        <v>433</v>
      </c>
      <c r="D784" s="1">
        <v>1.6481481481481482E-2</v>
      </c>
      <c r="E784" t="s">
        <v>5095</v>
      </c>
      <c r="F784" s="69"/>
      <c r="K784" s="314">
        <v>0.66990000000000005</v>
      </c>
    </row>
    <row r="785" spans="1:11" x14ac:dyDescent="0.2">
      <c r="A785" s="33">
        <v>41937</v>
      </c>
      <c r="B785" t="s">
        <v>431</v>
      </c>
      <c r="C785" s="1" t="s">
        <v>433</v>
      </c>
      <c r="D785" s="1">
        <v>1.9143518518518518E-2</v>
      </c>
      <c r="E785" t="s">
        <v>5095</v>
      </c>
      <c r="F785" s="69" t="s">
        <v>942</v>
      </c>
      <c r="K785" s="314">
        <v>0.57679999999999998</v>
      </c>
    </row>
    <row r="786" spans="1:11" x14ac:dyDescent="0.2">
      <c r="A786" s="33">
        <v>41930</v>
      </c>
      <c r="B786" t="s">
        <v>431</v>
      </c>
      <c r="C786" s="1" t="s">
        <v>433</v>
      </c>
      <c r="D786" s="1">
        <v>1.9375E-2</v>
      </c>
      <c r="E786" t="s">
        <v>5095</v>
      </c>
      <c r="F786" s="69" t="s">
        <v>2683</v>
      </c>
      <c r="K786" s="314">
        <v>0.56989999999999996</v>
      </c>
    </row>
    <row r="787" spans="1:11" x14ac:dyDescent="0.2">
      <c r="A787" s="33">
        <v>41916</v>
      </c>
      <c r="B787" t="s">
        <v>431</v>
      </c>
      <c r="C787" s="1" t="s">
        <v>433</v>
      </c>
      <c r="D787" s="1">
        <v>1.8749999999999999E-2</v>
      </c>
      <c r="E787" t="s">
        <v>5095</v>
      </c>
      <c r="F787" s="69" t="s">
        <v>4385</v>
      </c>
      <c r="K787" s="314">
        <v>0.58889999999999998</v>
      </c>
    </row>
    <row r="788" spans="1:11" x14ac:dyDescent="0.2">
      <c r="A788" s="33">
        <v>41909</v>
      </c>
      <c r="B788" t="s">
        <v>431</v>
      </c>
      <c r="C788" s="1" t="s">
        <v>433</v>
      </c>
      <c r="D788" s="1">
        <v>1.8055555555555557E-2</v>
      </c>
      <c r="E788" t="s">
        <v>5095</v>
      </c>
      <c r="F788" s="42" t="s">
        <v>1774</v>
      </c>
      <c r="K788" s="314">
        <v>0.61150000000000004</v>
      </c>
    </row>
    <row r="789" spans="1:11" x14ac:dyDescent="0.2">
      <c r="A789" s="33">
        <v>41902</v>
      </c>
      <c r="B789" t="s">
        <v>431</v>
      </c>
      <c r="C789" s="1" t="s">
        <v>433</v>
      </c>
      <c r="D789" s="1">
        <v>1.7361111111111112E-2</v>
      </c>
      <c r="E789" t="s">
        <v>5095</v>
      </c>
      <c r="F789" s="69" t="s">
        <v>2085</v>
      </c>
      <c r="K789" s="314">
        <v>0.63600000000000001</v>
      </c>
    </row>
    <row r="790" spans="1:11" x14ac:dyDescent="0.2">
      <c r="A790" s="33">
        <v>41895</v>
      </c>
      <c r="B790" s="5" t="s">
        <v>431</v>
      </c>
      <c r="C790" s="1" t="s">
        <v>433</v>
      </c>
      <c r="D790" s="1">
        <v>1.9525462962962963E-2</v>
      </c>
      <c r="E790" t="s">
        <v>5095</v>
      </c>
      <c r="F790" s="69"/>
      <c r="K790" s="314">
        <v>0.5655</v>
      </c>
    </row>
    <row r="791" spans="1:11" x14ac:dyDescent="0.2">
      <c r="A791" s="33">
        <v>41888</v>
      </c>
      <c r="B791" s="5" t="s">
        <v>431</v>
      </c>
      <c r="C791" s="1" t="s">
        <v>433</v>
      </c>
      <c r="D791" s="1">
        <v>1.8819444444444448E-2</v>
      </c>
      <c r="E791" t="s">
        <v>5095</v>
      </c>
      <c r="F791" s="69"/>
      <c r="K791" s="314">
        <v>0.5867</v>
      </c>
    </row>
    <row r="792" spans="1:11" x14ac:dyDescent="0.2">
      <c r="A792" s="33">
        <v>41881</v>
      </c>
      <c r="B792" t="s">
        <v>431</v>
      </c>
      <c r="C792" s="1" t="s">
        <v>433</v>
      </c>
      <c r="D792" s="1">
        <v>1.6412037037037037E-2</v>
      </c>
      <c r="E792" t="s">
        <v>5095</v>
      </c>
      <c r="F792" s="42"/>
      <c r="K792" s="314">
        <v>0.67279999999999995</v>
      </c>
    </row>
    <row r="793" spans="1:11" x14ac:dyDescent="0.2">
      <c r="A793" s="33">
        <v>41874</v>
      </c>
      <c r="B793" t="s">
        <v>431</v>
      </c>
      <c r="C793" s="1" t="s">
        <v>433</v>
      </c>
      <c r="D793" s="1">
        <v>1.6157407407407409E-2</v>
      </c>
      <c r="E793" t="s">
        <v>5095</v>
      </c>
      <c r="F793" s="69" t="s">
        <v>3510</v>
      </c>
      <c r="K793" s="314">
        <v>0.68340000000000001</v>
      </c>
    </row>
    <row r="794" spans="1:11" x14ac:dyDescent="0.2">
      <c r="A794" s="33">
        <v>41867</v>
      </c>
      <c r="B794" t="s">
        <v>431</v>
      </c>
      <c r="C794" s="1" t="s">
        <v>433</v>
      </c>
      <c r="D794" s="1">
        <v>1.6238425925925924E-2</v>
      </c>
      <c r="E794" t="s">
        <v>5095</v>
      </c>
      <c r="F794" s="69"/>
      <c r="K794" s="314">
        <v>0.67520000000000002</v>
      </c>
    </row>
    <row r="795" spans="1:11" x14ac:dyDescent="0.2">
      <c r="A795" s="33">
        <v>41860</v>
      </c>
      <c r="B795" t="s">
        <v>431</v>
      </c>
      <c r="C795" s="1" t="s">
        <v>433</v>
      </c>
      <c r="D795" s="1">
        <v>1.6273148148148148E-2</v>
      </c>
      <c r="E795" t="s">
        <v>5095</v>
      </c>
      <c r="F795" s="69"/>
      <c r="K795" s="314">
        <v>0.67849999999999999</v>
      </c>
    </row>
    <row r="796" spans="1:11" x14ac:dyDescent="0.2">
      <c r="A796" s="33">
        <v>41853</v>
      </c>
      <c r="B796" t="s">
        <v>431</v>
      </c>
      <c r="C796" s="1" t="s">
        <v>433</v>
      </c>
      <c r="D796" s="1">
        <v>1.6562500000000001E-2</v>
      </c>
      <c r="E796" t="s">
        <v>5095</v>
      </c>
      <c r="F796" s="69"/>
      <c r="K796" s="314">
        <v>0.66669999999999996</v>
      </c>
    </row>
    <row r="797" spans="1:11" x14ac:dyDescent="0.2">
      <c r="A797" s="34">
        <v>41839</v>
      </c>
      <c r="B797" t="s">
        <v>431</v>
      </c>
      <c r="C797" s="1" t="s">
        <v>433</v>
      </c>
      <c r="D797" s="1">
        <v>1.653935185185185E-2</v>
      </c>
      <c r="E797" t="s">
        <v>5095</v>
      </c>
      <c r="F797" s="69" t="s">
        <v>4648</v>
      </c>
      <c r="K797" s="314">
        <v>0.66759999999999997</v>
      </c>
    </row>
    <row r="798" spans="1:11" x14ac:dyDescent="0.2">
      <c r="A798" s="34">
        <v>41832</v>
      </c>
      <c r="B798" t="s">
        <v>431</v>
      </c>
      <c r="C798" s="9" t="s">
        <v>433</v>
      </c>
      <c r="D798" s="1">
        <v>1.667824074074074E-2</v>
      </c>
      <c r="E798" t="s">
        <v>5095</v>
      </c>
      <c r="F798" s="69"/>
      <c r="K798" s="314">
        <v>0.66200000000000003</v>
      </c>
    </row>
    <row r="799" spans="1:11" x14ac:dyDescent="0.2">
      <c r="A799" s="34">
        <v>41818</v>
      </c>
      <c r="B799" t="s">
        <v>431</v>
      </c>
      <c r="C799" s="9" t="s">
        <v>433</v>
      </c>
      <c r="D799" s="1">
        <v>1.638888888888889E-2</v>
      </c>
      <c r="E799" t="s">
        <v>5095</v>
      </c>
      <c r="F799" s="69"/>
      <c r="K799" s="314">
        <v>0.67369999999999997</v>
      </c>
    </row>
    <row r="800" spans="1:11" x14ac:dyDescent="0.2">
      <c r="A800" s="34">
        <v>41811</v>
      </c>
      <c r="B800" t="s">
        <v>431</v>
      </c>
      <c r="C800" s="9" t="s">
        <v>433</v>
      </c>
      <c r="D800" s="1">
        <v>1.6238425925925924E-2</v>
      </c>
      <c r="E800" t="s">
        <v>3072</v>
      </c>
      <c r="F800" s="42" t="s">
        <v>2629</v>
      </c>
      <c r="K800" s="314">
        <v>0.68</v>
      </c>
    </row>
    <row r="801" spans="1:21" x14ac:dyDescent="0.2">
      <c r="A801" s="34">
        <v>41804</v>
      </c>
      <c r="B801" t="s">
        <v>431</v>
      </c>
      <c r="C801" s="9" t="s">
        <v>433</v>
      </c>
      <c r="D801" s="1">
        <v>1.653935185185185E-2</v>
      </c>
      <c r="E801" t="s">
        <v>5095</v>
      </c>
      <c r="F801" s="69"/>
      <c r="K801" s="314">
        <v>0.66759999999999997</v>
      </c>
    </row>
    <row r="802" spans="1:21" x14ac:dyDescent="0.2">
      <c r="A802" s="34">
        <v>41797</v>
      </c>
      <c r="B802" t="s">
        <v>431</v>
      </c>
      <c r="C802" s="9" t="s">
        <v>433</v>
      </c>
      <c r="D802" s="1">
        <v>1.6782407407407409E-2</v>
      </c>
      <c r="E802" t="s">
        <v>5095</v>
      </c>
      <c r="F802" s="42" t="s">
        <v>2187</v>
      </c>
      <c r="K802" s="314">
        <v>0.65790000000000004</v>
      </c>
    </row>
    <row r="803" spans="1:21" x14ac:dyDescent="0.2">
      <c r="A803" s="34">
        <v>41790</v>
      </c>
      <c r="B803" t="s">
        <v>431</v>
      </c>
      <c r="C803" s="9" t="s">
        <v>433</v>
      </c>
      <c r="D803" s="1">
        <v>1.6273148148148148E-2</v>
      </c>
      <c r="E803" t="s">
        <v>5095</v>
      </c>
      <c r="F803" s="69"/>
      <c r="K803" s="314">
        <v>0.67849999999999999</v>
      </c>
    </row>
    <row r="804" spans="1:21" x14ac:dyDescent="0.2">
      <c r="A804" s="34">
        <v>41783</v>
      </c>
      <c r="B804" t="s">
        <v>431</v>
      </c>
      <c r="C804" s="9" t="s">
        <v>433</v>
      </c>
      <c r="D804" s="1">
        <v>1.9039351851851852E-2</v>
      </c>
      <c r="E804" t="s">
        <v>5095</v>
      </c>
      <c r="F804" s="69" t="s">
        <v>5693</v>
      </c>
      <c r="K804" s="314">
        <v>0.57640000000000002</v>
      </c>
    </row>
    <row r="805" spans="1:21" x14ac:dyDescent="0.2">
      <c r="A805" s="34">
        <v>41776</v>
      </c>
      <c r="B805" t="s">
        <v>431</v>
      </c>
      <c r="C805" s="9" t="s">
        <v>433</v>
      </c>
      <c r="D805" s="1">
        <v>1.6354166666666666E-2</v>
      </c>
      <c r="E805" t="s">
        <v>5095</v>
      </c>
      <c r="F805" s="69"/>
      <c r="K805" s="314">
        <v>0.67520000000000002</v>
      </c>
    </row>
    <row r="806" spans="1:21" x14ac:dyDescent="0.2">
      <c r="A806" s="34">
        <v>41762</v>
      </c>
      <c r="B806" t="s">
        <v>431</v>
      </c>
      <c r="C806" s="9" t="s">
        <v>433</v>
      </c>
      <c r="D806" s="1">
        <v>1.6261574074074074E-2</v>
      </c>
      <c r="E806" t="s">
        <v>2201</v>
      </c>
      <c r="F806" s="69"/>
      <c r="K806" s="314">
        <v>0.67420000000000002</v>
      </c>
    </row>
    <row r="807" spans="1:21" x14ac:dyDescent="0.2">
      <c r="A807" s="34">
        <v>41755</v>
      </c>
      <c r="B807" t="s">
        <v>431</v>
      </c>
      <c r="C807" s="9" t="s">
        <v>433</v>
      </c>
      <c r="D807" s="1">
        <v>1.6655092592592593E-2</v>
      </c>
      <c r="E807" t="s">
        <v>5095</v>
      </c>
      <c r="F807" s="42"/>
      <c r="K807" s="314">
        <v>0.66300000000000003</v>
      </c>
    </row>
    <row r="808" spans="1:21" x14ac:dyDescent="0.2">
      <c r="A808" s="34">
        <v>41748</v>
      </c>
      <c r="B808" t="s">
        <v>431</v>
      </c>
      <c r="C808" s="9" t="s">
        <v>433</v>
      </c>
      <c r="D808" s="1">
        <v>1.6909722222222225E-2</v>
      </c>
      <c r="E808" t="s">
        <v>5095</v>
      </c>
      <c r="F808" s="69"/>
      <c r="K808" s="314">
        <v>0.65300000000000002</v>
      </c>
      <c r="U808" s="5"/>
    </row>
    <row r="809" spans="1:21" x14ac:dyDescent="0.2">
      <c r="A809" s="34">
        <v>41734</v>
      </c>
      <c r="B809" t="s">
        <v>431</v>
      </c>
      <c r="C809" s="9" t="s">
        <v>433</v>
      </c>
      <c r="D809" s="1">
        <v>2.238425925925926E-2</v>
      </c>
      <c r="E809" t="s">
        <v>5095</v>
      </c>
      <c r="F809" s="42"/>
      <c r="K809" s="314">
        <v>0.49330000000000002</v>
      </c>
    </row>
    <row r="810" spans="1:21" x14ac:dyDescent="0.2">
      <c r="A810" s="34">
        <v>41727</v>
      </c>
      <c r="B810" t="s">
        <v>431</v>
      </c>
      <c r="C810" s="9" t="s">
        <v>433</v>
      </c>
      <c r="D810" s="1">
        <v>1.6631944444444446E-2</v>
      </c>
      <c r="E810" t="s">
        <v>5095</v>
      </c>
      <c r="F810" s="69"/>
      <c r="K810" s="314">
        <v>0.6583</v>
      </c>
    </row>
    <row r="811" spans="1:21" x14ac:dyDescent="0.2">
      <c r="A811" s="34">
        <v>41720</v>
      </c>
      <c r="B811" t="s">
        <v>431</v>
      </c>
      <c r="C811" s="9" t="s">
        <v>433</v>
      </c>
      <c r="D811" s="1">
        <v>1.9282407407407408E-2</v>
      </c>
      <c r="E811" t="s">
        <v>5095</v>
      </c>
      <c r="F811" s="69"/>
      <c r="K811" s="314">
        <v>0.56779999999999997</v>
      </c>
    </row>
    <row r="812" spans="1:21" x14ac:dyDescent="0.2">
      <c r="A812" s="34">
        <v>41713</v>
      </c>
      <c r="B812" t="s">
        <v>431</v>
      </c>
      <c r="C812" s="9" t="s">
        <v>433</v>
      </c>
      <c r="D812" s="1">
        <v>1.6307870370370372E-2</v>
      </c>
      <c r="E812" t="s">
        <v>5095</v>
      </c>
      <c r="F812" s="69"/>
      <c r="K812" s="314">
        <v>0.6714</v>
      </c>
    </row>
    <row r="813" spans="1:21" x14ac:dyDescent="0.2">
      <c r="A813" s="34">
        <v>41699</v>
      </c>
      <c r="B813" t="s">
        <v>431</v>
      </c>
      <c r="C813" s="9" t="s">
        <v>433</v>
      </c>
      <c r="D813" s="1">
        <v>2.238425925925926E-2</v>
      </c>
      <c r="E813" t="s">
        <v>5095</v>
      </c>
      <c r="F813" s="42" t="s">
        <v>760</v>
      </c>
      <c r="K813" s="314">
        <v>0.48909999999999998</v>
      </c>
    </row>
    <row r="814" spans="1:21" x14ac:dyDescent="0.2">
      <c r="A814" s="34">
        <v>41692</v>
      </c>
      <c r="B814" t="s">
        <v>431</v>
      </c>
      <c r="C814" s="9" t="s">
        <v>433</v>
      </c>
      <c r="D814" s="1">
        <v>1.9270833333333334E-2</v>
      </c>
      <c r="E814" t="s">
        <v>5095</v>
      </c>
      <c r="F814" s="69"/>
      <c r="K814" s="314">
        <v>0.56820000000000004</v>
      </c>
    </row>
    <row r="815" spans="1:21" x14ac:dyDescent="0.2">
      <c r="A815" s="34">
        <v>41685</v>
      </c>
      <c r="B815" t="s">
        <v>431</v>
      </c>
      <c r="C815" s="9" t="s">
        <v>433</v>
      </c>
      <c r="D815" s="1">
        <v>2.1122685185185185E-2</v>
      </c>
      <c r="E815" t="s">
        <v>3072</v>
      </c>
      <c r="F815" s="69"/>
      <c r="K815" s="314">
        <v>0.51839999999999997</v>
      </c>
    </row>
    <row r="816" spans="1:21" x14ac:dyDescent="0.2">
      <c r="A816" s="34">
        <v>41678</v>
      </c>
      <c r="B816" t="s">
        <v>431</v>
      </c>
      <c r="C816" s="9" t="s">
        <v>433</v>
      </c>
      <c r="D816" s="1">
        <v>1.7719907407407406E-2</v>
      </c>
      <c r="E816" t="s">
        <v>5095</v>
      </c>
      <c r="F816" s="69"/>
      <c r="K816" s="314">
        <v>0.6179</v>
      </c>
    </row>
    <row r="817" spans="1:13" x14ac:dyDescent="0.2">
      <c r="A817" s="34">
        <v>41671</v>
      </c>
      <c r="B817" t="s">
        <v>431</v>
      </c>
      <c r="C817" s="9" t="s">
        <v>433</v>
      </c>
      <c r="D817" s="1">
        <v>1.8842592592592591E-2</v>
      </c>
      <c r="E817" t="s">
        <v>5095</v>
      </c>
      <c r="F817" s="69" t="s">
        <v>2188</v>
      </c>
      <c r="K817" s="314">
        <v>0.58109999999999995</v>
      </c>
    </row>
    <row r="818" spans="1:13" x14ac:dyDescent="0.2">
      <c r="A818" s="34">
        <v>41664</v>
      </c>
      <c r="B818" t="s">
        <v>431</v>
      </c>
      <c r="C818" s="9" t="s">
        <v>433</v>
      </c>
      <c r="D818" s="1">
        <v>2.0763888888888887E-2</v>
      </c>
      <c r="E818" t="s">
        <v>5095</v>
      </c>
      <c r="F818" s="69"/>
      <c r="K818" s="314">
        <v>0.52729999999999999</v>
      </c>
    </row>
    <row r="819" spans="1:13" x14ac:dyDescent="0.2">
      <c r="A819" s="34">
        <v>41657</v>
      </c>
      <c r="B819" t="s">
        <v>431</v>
      </c>
      <c r="C819" s="9" t="s">
        <v>433</v>
      </c>
      <c r="D819" s="1">
        <v>1.7673611111111109E-2</v>
      </c>
      <c r="E819" t="s">
        <v>5095</v>
      </c>
      <c r="F819" s="69"/>
      <c r="K819" s="314">
        <v>0.61950000000000005</v>
      </c>
    </row>
    <row r="820" spans="1:13" x14ac:dyDescent="0.2">
      <c r="A820" s="34">
        <v>41650</v>
      </c>
      <c r="B820" t="s">
        <v>431</v>
      </c>
      <c r="C820" s="9" t="s">
        <v>433</v>
      </c>
      <c r="D820" s="1">
        <v>1.7118055555555556E-2</v>
      </c>
      <c r="E820" t="s">
        <v>5095</v>
      </c>
      <c r="F820" s="69"/>
      <c r="K820" s="314">
        <v>0.64400000000000002</v>
      </c>
    </row>
    <row r="821" spans="1:13" x14ac:dyDescent="0.2">
      <c r="A821" s="34">
        <v>41640</v>
      </c>
      <c r="B821" t="s">
        <v>431</v>
      </c>
      <c r="C821" s="9" t="s">
        <v>433</v>
      </c>
      <c r="D821" s="1">
        <v>1.9016203703703705E-2</v>
      </c>
      <c r="E821" t="s">
        <v>5095</v>
      </c>
      <c r="F821" s="69"/>
      <c r="K821" s="314">
        <v>0.57579999999999998</v>
      </c>
    </row>
    <row r="822" spans="1:13" x14ac:dyDescent="0.2">
      <c r="A822" s="34">
        <v>41640</v>
      </c>
      <c r="B822" t="s">
        <v>431</v>
      </c>
      <c r="C822" s="9" t="s">
        <v>433</v>
      </c>
      <c r="D822" s="1">
        <v>2.0486111111111111E-2</v>
      </c>
      <c r="E822" t="s">
        <v>3072</v>
      </c>
      <c r="F822" s="69"/>
      <c r="K822" s="314">
        <v>0.53449999999999998</v>
      </c>
    </row>
    <row r="823" spans="1:13" x14ac:dyDescent="0.2">
      <c r="A823" s="34"/>
      <c r="C823" s="9"/>
      <c r="D823" s="1"/>
      <c r="F823" s="69"/>
      <c r="K823" s="314"/>
    </row>
    <row r="824" spans="1:13" x14ac:dyDescent="0.2">
      <c r="A824" s="33">
        <v>41993</v>
      </c>
      <c r="B824" s="53" t="s">
        <v>830</v>
      </c>
      <c r="C824" s="54" t="s">
        <v>831</v>
      </c>
      <c r="D824" s="1">
        <v>1.3101851851851852E-2</v>
      </c>
      <c r="E824" t="s">
        <v>1298</v>
      </c>
      <c r="F824" s="42" t="s">
        <v>1731</v>
      </c>
      <c r="K824" s="314">
        <v>0.78449999999999998</v>
      </c>
      <c r="M824" t="s">
        <v>5486</v>
      </c>
    </row>
    <row r="825" spans="1:13" x14ac:dyDescent="0.2">
      <c r="A825" s="33">
        <v>41986</v>
      </c>
      <c r="B825" s="53" t="s">
        <v>830</v>
      </c>
      <c r="C825" s="54" t="s">
        <v>831</v>
      </c>
      <c r="D825" s="1">
        <v>1.3252314814814814E-2</v>
      </c>
      <c r="E825" t="s">
        <v>5883</v>
      </c>
      <c r="F825" s="69" t="s">
        <v>1451</v>
      </c>
      <c r="K825" s="314">
        <v>0.77549999999999997</v>
      </c>
    </row>
    <row r="826" spans="1:13" x14ac:dyDescent="0.2">
      <c r="A826" s="33">
        <v>41860</v>
      </c>
      <c r="B826" s="53" t="s">
        <v>1296</v>
      </c>
      <c r="C826" s="54" t="s">
        <v>3268</v>
      </c>
      <c r="D826" s="1">
        <v>1.7384259259259262E-2</v>
      </c>
      <c r="E826" t="s">
        <v>5155</v>
      </c>
      <c r="F826" s="69" t="s">
        <v>4228</v>
      </c>
      <c r="K826" s="314">
        <v>0.65180000000000005</v>
      </c>
    </row>
    <row r="827" spans="1:13" x14ac:dyDescent="0.2">
      <c r="A827" s="33"/>
      <c r="B827" s="53"/>
      <c r="C827" s="54"/>
      <c r="D827" s="1"/>
      <c r="F827" s="69"/>
      <c r="K827" s="314"/>
    </row>
    <row r="828" spans="1:13" x14ac:dyDescent="0.2">
      <c r="A828" s="33">
        <v>42000</v>
      </c>
      <c r="B828" s="2" t="s">
        <v>503</v>
      </c>
      <c r="C828" s="3" t="s">
        <v>504</v>
      </c>
      <c r="D828" s="1" t="s">
        <v>787</v>
      </c>
      <c r="E828" t="s">
        <v>5198</v>
      </c>
      <c r="F828" s="42" t="s">
        <v>4061</v>
      </c>
      <c r="K828" s="314"/>
    </row>
    <row r="829" spans="1:13" x14ac:dyDescent="0.2">
      <c r="A829" s="33">
        <v>41986</v>
      </c>
      <c r="B829" t="s">
        <v>503</v>
      </c>
      <c r="C829" s="1" t="s">
        <v>504</v>
      </c>
      <c r="D829" s="1" t="s">
        <v>787</v>
      </c>
      <c r="E829" t="s">
        <v>5198</v>
      </c>
      <c r="F829" s="69"/>
      <c r="K829" s="314"/>
    </row>
    <row r="830" spans="1:13" x14ac:dyDescent="0.2">
      <c r="A830" s="33">
        <v>41979</v>
      </c>
      <c r="B830" t="s">
        <v>503</v>
      </c>
      <c r="C830" s="1" t="s">
        <v>504</v>
      </c>
      <c r="D830" s="1" t="s">
        <v>787</v>
      </c>
      <c r="E830" t="s">
        <v>5198</v>
      </c>
      <c r="F830" s="69" t="s">
        <v>4061</v>
      </c>
      <c r="K830" s="314"/>
    </row>
    <row r="831" spans="1:13" x14ac:dyDescent="0.2">
      <c r="A831" s="33">
        <v>41972</v>
      </c>
      <c r="B831" t="s">
        <v>503</v>
      </c>
      <c r="C831" s="1" t="s">
        <v>504</v>
      </c>
      <c r="D831" s="1" t="s">
        <v>787</v>
      </c>
      <c r="E831" t="s">
        <v>5198</v>
      </c>
      <c r="F831" s="69" t="s">
        <v>4061</v>
      </c>
      <c r="K831" s="314"/>
    </row>
    <row r="832" spans="1:13" x14ac:dyDescent="0.2">
      <c r="A832" s="33">
        <v>41965</v>
      </c>
      <c r="B832" t="s">
        <v>503</v>
      </c>
      <c r="C832" s="1" t="s">
        <v>504</v>
      </c>
      <c r="D832" t="s">
        <v>787</v>
      </c>
      <c r="E832" t="s">
        <v>5198</v>
      </c>
      <c r="F832" s="5"/>
      <c r="G832" s="5"/>
      <c r="H832" s="5"/>
      <c r="I832" s="5"/>
      <c r="J832" s="5"/>
      <c r="K832" s="314"/>
    </row>
    <row r="833" spans="1:11" x14ac:dyDescent="0.2">
      <c r="A833" s="33">
        <v>41958</v>
      </c>
      <c r="B833" t="s">
        <v>503</v>
      </c>
      <c r="C833" s="1" t="s">
        <v>504</v>
      </c>
      <c r="D833" s="1" t="s">
        <v>787</v>
      </c>
      <c r="E833" t="s">
        <v>5198</v>
      </c>
      <c r="F833" s="42"/>
      <c r="K833" s="314"/>
    </row>
    <row r="834" spans="1:11" x14ac:dyDescent="0.2">
      <c r="A834" s="33">
        <v>41951</v>
      </c>
      <c r="B834" t="s">
        <v>503</v>
      </c>
      <c r="C834" s="1" t="s">
        <v>504</v>
      </c>
      <c r="D834" s="1" t="s">
        <v>787</v>
      </c>
      <c r="E834" t="s">
        <v>5198</v>
      </c>
      <c r="F834" s="69"/>
    </row>
    <row r="835" spans="1:11" x14ac:dyDescent="0.2">
      <c r="A835" s="33">
        <v>41944</v>
      </c>
      <c r="B835" t="s">
        <v>503</v>
      </c>
      <c r="C835" s="1" t="s">
        <v>504</v>
      </c>
      <c r="D835" s="1" t="s">
        <v>787</v>
      </c>
      <c r="E835" t="s">
        <v>5198</v>
      </c>
      <c r="F835" s="42" t="s">
        <v>4061</v>
      </c>
      <c r="H835" t="s">
        <v>3934</v>
      </c>
      <c r="K835" s="314"/>
    </row>
    <row r="836" spans="1:11" x14ac:dyDescent="0.2">
      <c r="A836" s="33">
        <v>41867</v>
      </c>
      <c r="B836" t="s">
        <v>503</v>
      </c>
      <c r="C836" s="1" t="s">
        <v>504</v>
      </c>
      <c r="D836" s="1" t="s">
        <v>787</v>
      </c>
      <c r="E836" t="s">
        <v>5198</v>
      </c>
      <c r="F836" s="69" t="s">
        <v>5204</v>
      </c>
      <c r="K836" s="314"/>
    </row>
    <row r="837" spans="1:11" x14ac:dyDescent="0.2">
      <c r="A837" s="34">
        <v>41706</v>
      </c>
      <c r="B837" t="s">
        <v>503</v>
      </c>
      <c r="C837" s="9" t="s">
        <v>504</v>
      </c>
      <c r="D837" s="1" t="s">
        <v>787</v>
      </c>
      <c r="E837" t="s">
        <v>5947</v>
      </c>
      <c r="F837" s="69"/>
      <c r="K837" s="314"/>
    </row>
    <row r="838" spans="1:11" x14ac:dyDescent="0.2">
      <c r="A838" s="34"/>
      <c r="C838" s="9"/>
      <c r="D838" s="1"/>
      <c r="F838" s="69"/>
      <c r="K838" s="314"/>
    </row>
    <row r="839" spans="1:11" x14ac:dyDescent="0.2">
      <c r="A839" s="33">
        <v>41998</v>
      </c>
      <c r="B839" s="319" t="s">
        <v>4977</v>
      </c>
      <c r="C839" s="320" t="s">
        <v>3961</v>
      </c>
      <c r="D839" s="1">
        <v>1.554398148148148E-2</v>
      </c>
      <c r="E839" t="s">
        <v>4244</v>
      </c>
      <c r="F839" s="69" t="s">
        <v>4879</v>
      </c>
      <c r="K839" s="314">
        <v>0.66120000000000001</v>
      </c>
    </row>
    <row r="840" spans="1:11" x14ac:dyDescent="0.2">
      <c r="A840" s="33">
        <v>41944</v>
      </c>
      <c r="B840" s="206" t="s">
        <v>4977</v>
      </c>
      <c r="C840" s="254" t="s">
        <v>3961</v>
      </c>
      <c r="D840" s="1">
        <v>1.5868055555555555E-2</v>
      </c>
      <c r="E840" t="s">
        <v>2973</v>
      </c>
      <c r="F840" s="42" t="s">
        <v>2974</v>
      </c>
      <c r="K840" s="314">
        <v>0.64770000000000005</v>
      </c>
    </row>
    <row r="841" spans="1:11" x14ac:dyDescent="0.2">
      <c r="A841" s="33">
        <v>41902</v>
      </c>
      <c r="B841" s="5" t="s">
        <v>4977</v>
      </c>
      <c r="C841" s="32" t="s">
        <v>3961</v>
      </c>
      <c r="D841" s="1">
        <v>1.4502314814814815E-2</v>
      </c>
      <c r="E841" t="s">
        <v>5057</v>
      </c>
      <c r="F841" s="41"/>
      <c r="K841" s="317">
        <v>0.7087</v>
      </c>
    </row>
    <row r="842" spans="1:11" x14ac:dyDescent="0.2">
      <c r="A842" s="33">
        <v>41860</v>
      </c>
      <c r="B842" t="s">
        <v>4977</v>
      </c>
      <c r="C842" s="1" t="s">
        <v>3961</v>
      </c>
      <c r="D842" s="1">
        <v>1.4074074074074074E-2</v>
      </c>
      <c r="E842" t="s">
        <v>4004</v>
      </c>
      <c r="F842" s="69" t="s">
        <v>876</v>
      </c>
      <c r="K842" s="314">
        <v>0.73029999999999995</v>
      </c>
    </row>
    <row r="843" spans="1:11" x14ac:dyDescent="0.2">
      <c r="A843" s="33">
        <v>41853</v>
      </c>
      <c r="B843" s="53" t="s">
        <v>4977</v>
      </c>
      <c r="C843" s="54" t="s">
        <v>3961</v>
      </c>
      <c r="D843" s="1">
        <v>1.4120370370370368E-2</v>
      </c>
      <c r="E843" t="s">
        <v>715</v>
      </c>
      <c r="F843" s="69" t="s">
        <v>1358</v>
      </c>
      <c r="K843" s="314">
        <v>0.72789999999999999</v>
      </c>
    </row>
    <row r="844" spans="1:11" x14ac:dyDescent="0.2">
      <c r="A844" s="34">
        <v>41839</v>
      </c>
      <c r="B844" t="s">
        <v>4977</v>
      </c>
      <c r="C844" s="1" t="s">
        <v>3961</v>
      </c>
      <c r="D844" s="1">
        <v>1.5706018518518518E-2</v>
      </c>
      <c r="E844" t="s">
        <v>4452</v>
      </c>
      <c r="F844" s="69"/>
      <c r="K844" s="314">
        <v>0.65439999999999998</v>
      </c>
    </row>
    <row r="845" spans="1:11" x14ac:dyDescent="0.2">
      <c r="A845" s="34">
        <v>41727</v>
      </c>
      <c r="B845" s="53" t="s">
        <v>4977</v>
      </c>
      <c r="C845" s="83" t="s">
        <v>3961</v>
      </c>
      <c r="D845" s="1">
        <v>1.4398148148148148E-2</v>
      </c>
      <c r="E845" t="s">
        <v>209</v>
      </c>
      <c r="F845" s="69"/>
      <c r="K845" s="314">
        <v>0.71379999999999999</v>
      </c>
    </row>
    <row r="846" spans="1:11" x14ac:dyDescent="0.2">
      <c r="A846" s="34">
        <v>41720</v>
      </c>
      <c r="B846" s="53" t="s">
        <v>4977</v>
      </c>
      <c r="C846" s="83" t="s">
        <v>3961</v>
      </c>
      <c r="D846" s="1">
        <v>1.4606481481481482E-2</v>
      </c>
      <c r="E846" t="s">
        <v>232</v>
      </c>
      <c r="F846" s="69" t="s">
        <v>233</v>
      </c>
      <c r="K846" s="314">
        <v>0.7036</v>
      </c>
    </row>
    <row r="847" spans="1:11" x14ac:dyDescent="0.2">
      <c r="A847" s="34">
        <v>41671</v>
      </c>
      <c r="B847" s="53" t="s">
        <v>4977</v>
      </c>
      <c r="C847" s="83" t="s">
        <v>3961</v>
      </c>
      <c r="D847" s="1">
        <v>1.556712962962963E-2</v>
      </c>
      <c r="E847" t="s">
        <v>3692</v>
      </c>
      <c r="F847" s="69"/>
      <c r="K847" s="314">
        <v>0.66020000000000001</v>
      </c>
    </row>
    <row r="848" spans="1:11" x14ac:dyDescent="0.2">
      <c r="A848" s="34"/>
      <c r="B848" s="53"/>
      <c r="C848" s="83"/>
      <c r="D848" s="1"/>
      <c r="F848" s="69"/>
      <c r="K848" s="314"/>
    </row>
    <row r="849" spans="1:13" x14ac:dyDescent="0.2">
      <c r="A849" s="33">
        <v>42000</v>
      </c>
      <c r="B849" s="2" t="s">
        <v>3960</v>
      </c>
      <c r="C849" s="3" t="s">
        <v>3961</v>
      </c>
      <c r="D849" s="1">
        <v>1.7245370370370369E-2</v>
      </c>
      <c r="E849" t="s">
        <v>1563</v>
      </c>
      <c r="F849" s="42" t="s">
        <v>835</v>
      </c>
      <c r="K849" s="314">
        <v>0.60870000000000002</v>
      </c>
      <c r="M849" t="s">
        <v>3208</v>
      </c>
    </row>
    <row r="850" spans="1:13" x14ac:dyDescent="0.2">
      <c r="A850" s="33">
        <v>41998</v>
      </c>
      <c r="B850" t="s">
        <v>3960</v>
      </c>
      <c r="C850" s="1" t="s">
        <v>3961</v>
      </c>
      <c r="D850" s="1">
        <v>1.5196759259259259E-2</v>
      </c>
      <c r="E850" t="s">
        <v>4244</v>
      </c>
      <c r="F850" s="69" t="s">
        <v>3498</v>
      </c>
      <c r="K850" s="314">
        <v>0.69079999999999997</v>
      </c>
      <c r="L850" t="s">
        <v>3497</v>
      </c>
    </row>
    <row r="851" spans="1:13" x14ac:dyDescent="0.2">
      <c r="A851" s="33">
        <v>41993</v>
      </c>
      <c r="B851" t="s">
        <v>3960</v>
      </c>
      <c r="C851" s="1" t="s">
        <v>3961</v>
      </c>
      <c r="D851" s="1">
        <v>1.5902777777777776E-2</v>
      </c>
      <c r="E851" t="s">
        <v>5337</v>
      </c>
      <c r="F851" s="42" t="s">
        <v>5388</v>
      </c>
      <c r="H851" t="s">
        <v>2629</v>
      </c>
      <c r="K851" s="314">
        <v>0.66010000000000002</v>
      </c>
    </row>
    <row r="852" spans="1:13" x14ac:dyDescent="0.2">
      <c r="A852" s="33">
        <v>41993</v>
      </c>
      <c r="B852" t="s">
        <v>3960</v>
      </c>
      <c r="C852" s="1" t="s">
        <v>3961</v>
      </c>
      <c r="D852" s="1">
        <v>1.5462962962962963E-2</v>
      </c>
      <c r="E852" t="s">
        <v>1964</v>
      </c>
      <c r="F852" s="69" t="s">
        <v>981</v>
      </c>
      <c r="K852" s="314">
        <v>0.67889999999999995</v>
      </c>
    </row>
    <row r="853" spans="1:13" x14ac:dyDescent="0.2">
      <c r="A853" s="33">
        <v>41979</v>
      </c>
      <c r="B853" t="s">
        <v>3960</v>
      </c>
      <c r="C853" s="1" t="s">
        <v>3961</v>
      </c>
      <c r="D853" s="1">
        <v>1.6712962962962961E-2</v>
      </c>
      <c r="E853" t="s">
        <v>5337</v>
      </c>
      <c r="F853" s="69" t="s">
        <v>228</v>
      </c>
      <c r="K853" s="314">
        <v>0.62809999999999999</v>
      </c>
    </row>
    <row r="854" spans="1:13" x14ac:dyDescent="0.2">
      <c r="A854" s="33">
        <v>41972</v>
      </c>
      <c r="B854" t="s">
        <v>3960</v>
      </c>
      <c r="C854" s="1" t="s">
        <v>3961</v>
      </c>
      <c r="D854" s="1">
        <v>1.4733796296296295E-2</v>
      </c>
      <c r="E854" t="s">
        <v>4452</v>
      </c>
      <c r="F854" s="69" t="s">
        <v>897</v>
      </c>
      <c r="K854" s="314">
        <v>0.71250000000000002</v>
      </c>
    </row>
    <row r="855" spans="1:13" x14ac:dyDescent="0.2">
      <c r="A855" s="33">
        <v>41965</v>
      </c>
      <c r="B855" t="s">
        <v>3960</v>
      </c>
      <c r="C855" s="1" t="s">
        <v>3961</v>
      </c>
      <c r="D855" s="1">
        <v>1.5300925925925926E-2</v>
      </c>
      <c r="E855" t="s">
        <v>2563</v>
      </c>
      <c r="F855" s="5" t="s">
        <v>2858</v>
      </c>
      <c r="G855" s="5"/>
      <c r="H855" s="5" t="s">
        <v>2857</v>
      </c>
      <c r="I855" s="5"/>
      <c r="J855" s="5"/>
      <c r="K855" s="314">
        <v>0.68610000000000004</v>
      </c>
      <c r="L855" t="s">
        <v>5204</v>
      </c>
    </row>
    <row r="856" spans="1:13" x14ac:dyDescent="0.2">
      <c r="A856" s="33">
        <v>41958</v>
      </c>
      <c r="B856" t="s">
        <v>3960</v>
      </c>
      <c r="C856" s="1" t="s">
        <v>3961</v>
      </c>
      <c r="D856" s="1">
        <v>1.4745370370370372E-2</v>
      </c>
      <c r="E856" t="s">
        <v>4452</v>
      </c>
      <c r="F856" s="42"/>
      <c r="K856" s="314">
        <v>0.71189999999999998</v>
      </c>
    </row>
    <row r="857" spans="1:13" x14ac:dyDescent="0.2">
      <c r="A857" s="33">
        <v>41944</v>
      </c>
      <c r="B857" t="s">
        <v>3960</v>
      </c>
      <c r="C857" s="1" t="s">
        <v>3961</v>
      </c>
      <c r="D857" s="1">
        <v>1.6307870370370372E-2</v>
      </c>
      <c r="E857" t="s">
        <v>2973</v>
      </c>
      <c r="F857" s="42" t="s">
        <v>941</v>
      </c>
      <c r="K857" s="314">
        <v>0.64370000000000005</v>
      </c>
    </row>
    <row r="858" spans="1:13" x14ac:dyDescent="0.2">
      <c r="A858" s="33">
        <v>41937</v>
      </c>
      <c r="B858" t="s">
        <v>3960</v>
      </c>
      <c r="C858" s="1" t="s">
        <v>3961</v>
      </c>
      <c r="D858" s="1">
        <v>1.4768518518518519E-2</v>
      </c>
      <c r="E858" t="s">
        <v>4452</v>
      </c>
      <c r="F858" s="69"/>
      <c r="K858" s="314">
        <v>0.71079999999999999</v>
      </c>
    </row>
    <row r="859" spans="1:13" x14ac:dyDescent="0.2">
      <c r="A859" s="33">
        <v>41909</v>
      </c>
      <c r="B859" t="s">
        <v>3960</v>
      </c>
      <c r="C859" s="1" t="s">
        <v>3961</v>
      </c>
      <c r="D859" s="1">
        <v>1.4710648148148148E-2</v>
      </c>
      <c r="E859" t="s">
        <v>2147</v>
      </c>
      <c r="F859" s="42" t="s">
        <v>61</v>
      </c>
      <c r="K859" s="314">
        <v>0.71360000000000001</v>
      </c>
    </row>
    <row r="860" spans="1:13" x14ac:dyDescent="0.2">
      <c r="A860" s="33">
        <v>41902</v>
      </c>
      <c r="B860" t="s">
        <v>3960</v>
      </c>
      <c r="C860" s="1" t="s">
        <v>3961</v>
      </c>
      <c r="D860" s="1">
        <v>1.480324074074074E-2</v>
      </c>
      <c r="E860" t="s">
        <v>4625</v>
      </c>
      <c r="F860" s="69" t="s">
        <v>60</v>
      </c>
      <c r="K860" s="314">
        <v>0.70909999999999995</v>
      </c>
    </row>
    <row r="861" spans="1:13" x14ac:dyDescent="0.2">
      <c r="A861" s="34">
        <v>41846</v>
      </c>
      <c r="B861" t="s">
        <v>3960</v>
      </c>
      <c r="C861" s="1" t="s">
        <v>3961</v>
      </c>
      <c r="D861" s="1">
        <v>1.4502314814814815E-2</v>
      </c>
      <c r="E861" t="s">
        <v>4004</v>
      </c>
      <c r="F861" s="69" t="s">
        <v>4258</v>
      </c>
      <c r="K861" s="314">
        <v>0.71750000000000003</v>
      </c>
    </row>
    <row r="862" spans="1:13" x14ac:dyDescent="0.2">
      <c r="A862" s="34">
        <v>41839</v>
      </c>
      <c r="B862" t="s">
        <v>3960</v>
      </c>
      <c r="C862" s="1" t="s">
        <v>3961</v>
      </c>
      <c r="D862" s="1">
        <v>1.5092592592592593E-2</v>
      </c>
      <c r="E862" t="s">
        <v>4452</v>
      </c>
      <c r="F862" s="69"/>
      <c r="K862" s="314">
        <v>0.68940000000000001</v>
      </c>
    </row>
    <row r="863" spans="1:13" x14ac:dyDescent="0.2">
      <c r="A863" s="34">
        <v>41832</v>
      </c>
      <c r="B863" t="s">
        <v>3960</v>
      </c>
      <c r="C863" s="9" t="s">
        <v>3961</v>
      </c>
      <c r="D863" s="1">
        <v>1.6666666666666666E-2</v>
      </c>
      <c r="E863" t="s">
        <v>707</v>
      </c>
      <c r="F863" s="69" t="s">
        <v>771</v>
      </c>
      <c r="K863" s="314">
        <v>0.62429999999999997</v>
      </c>
    </row>
    <row r="864" spans="1:13" x14ac:dyDescent="0.2">
      <c r="A864" s="34">
        <v>41825</v>
      </c>
      <c r="B864" t="s">
        <v>3960</v>
      </c>
      <c r="C864" s="9" t="s">
        <v>3961</v>
      </c>
      <c r="D864" s="1">
        <v>1.4363425925925925E-2</v>
      </c>
      <c r="E864" t="s">
        <v>4452</v>
      </c>
      <c r="F864" s="69"/>
      <c r="K864" s="314">
        <v>0.72440000000000004</v>
      </c>
    </row>
    <row r="865" spans="1:18" x14ac:dyDescent="0.2">
      <c r="A865" s="34">
        <v>41818</v>
      </c>
      <c r="B865" s="5" t="s">
        <v>3960</v>
      </c>
      <c r="C865" s="104" t="s">
        <v>3961</v>
      </c>
      <c r="D865" s="1">
        <v>1.4930555555555556E-2</v>
      </c>
      <c r="E865" t="s">
        <v>3338</v>
      </c>
      <c r="F865" s="69" t="s">
        <v>3339</v>
      </c>
      <c r="K865" s="318">
        <v>0.69689999999999996</v>
      </c>
      <c r="L865" s="2"/>
      <c r="M865" s="2"/>
      <c r="N865" t="s">
        <v>5204</v>
      </c>
    </row>
    <row r="866" spans="1:18" x14ac:dyDescent="0.2">
      <c r="A866" s="34">
        <v>41811</v>
      </c>
      <c r="B866" t="s">
        <v>3960</v>
      </c>
      <c r="C866" s="9" t="s">
        <v>3961</v>
      </c>
      <c r="D866" s="1">
        <v>1.4201388888888888E-2</v>
      </c>
      <c r="E866" t="s">
        <v>1401</v>
      </c>
      <c r="F866" s="42" t="s">
        <v>3921</v>
      </c>
      <c r="K866" s="314">
        <v>0.73270000000000002</v>
      </c>
      <c r="L866" t="s">
        <v>344</v>
      </c>
    </row>
    <row r="867" spans="1:18" x14ac:dyDescent="0.2">
      <c r="A867" s="34">
        <v>41804</v>
      </c>
      <c r="B867" t="s">
        <v>3960</v>
      </c>
      <c r="C867" s="9" t="s">
        <v>3961</v>
      </c>
      <c r="D867" s="1">
        <v>1.4479166666666668E-2</v>
      </c>
      <c r="E867" t="s">
        <v>6020</v>
      </c>
      <c r="F867" s="69" t="s">
        <v>2105</v>
      </c>
      <c r="K867" s="314">
        <v>0.71860000000000002</v>
      </c>
    </row>
    <row r="868" spans="1:18" x14ac:dyDescent="0.2">
      <c r="A868" s="34">
        <v>41790</v>
      </c>
      <c r="B868" t="s">
        <v>3960</v>
      </c>
      <c r="C868" s="9" t="s">
        <v>3961</v>
      </c>
      <c r="D868" s="1">
        <v>1.4363425925925925E-2</v>
      </c>
      <c r="E868" t="s">
        <v>373</v>
      </c>
      <c r="F868" s="92" t="s">
        <v>3407</v>
      </c>
      <c r="G868" s="45"/>
      <c r="H868" s="45"/>
      <c r="I868" s="45"/>
      <c r="J868" s="45"/>
      <c r="K868" s="314">
        <v>0.72440000000000004</v>
      </c>
    </row>
    <row r="869" spans="1:18" x14ac:dyDescent="0.2">
      <c r="A869" s="34">
        <v>41748</v>
      </c>
      <c r="B869" t="s">
        <v>3960</v>
      </c>
      <c r="C869" s="9" t="s">
        <v>3961</v>
      </c>
      <c r="D869" s="1">
        <v>1.4837962962962963E-2</v>
      </c>
      <c r="E869" t="s">
        <v>6022</v>
      </c>
      <c r="F869" s="69" t="s">
        <v>2008</v>
      </c>
      <c r="K869" s="314">
        <v>0.70120000000000005</v>
      </c>
    </row>
    <row r="870" spans="1:18" x14ac:dyDescent="0.2">
      <c r="A870" s="34">
        <v>41720</v>
      </c>
      <c r="B870" t="s">
        <v>3960</v>
      </c>
      <c r="C870" s="9" t="s">
        <v>3961</v>
      </c>
      <c r="D870" s="1">
        <v>1.4895833333333332E-2</v>
      </c>
      <c r="E870" t="s">
        <v>232</v>
      </c>
      <c r="F870" s="69" t="s">
        <v>234</v>
      </c>
      <c r="K870" s="314">
        <v>0.69850000000000001</v>
      </c>
    </row>
    <row r="871" spans="1:18" x14ac:dyDescent="0.2">
      <c r="A871" s="34">
        <v>41671</v>
      </c>
      <c r="B871" t="s">
        <v>3960</v>
      </c>
      <c r="C871" s="9" t="s">
        <v>3961</v>
      </c>
      <c r="D871" s="1">
        <v>1.556712962962963E-2</v>
      </c>
      <c r="E871" t="s">
        <v>3692</v>
      </c>
      <c r="F871" s="69" t="s">
        <v>3140</v>
      </c>
      <c r="K871" s="314">
        <v>0.66839999999999999</v>
      </c>
    </row>
    <row r="872" spans="1:18" x14ac:dyDescent="0.2">
      <c r="A872" s="34">
        <v>41664</v>
      </c>
      <c r="B872" t="s">
        <v>3960</v>
      </c>
      <c r="C872" s="9" t="s">
        <v>3961</v>
      </c>
      <c r="D872" s="1">
        <v>1.5277777777777777E-2</v>
      </c>
      <c r="E872" t="s">
        <v>5653</v>
      </c>
      <c r="F872" s="69"/>
      <c r="K872" s="314">
        <v>0.68110000000000004</v>
      </c>
    </row>
    <row r="873" spans="1:18" x14ac:dyDescent="0.2">
      <c r="A873" s="34">
        <v>41657</v>
      </c>
      <c r="B873" t="s">
        <v>3960</v>
      </c>
      <c r="C873" s="9" t="s">
        <v>3961</v>
      </c>
      <c r="D873" s="1">
        <v>1.5023148148148148E-2</v>
      </c>
      <c r="E873" t="s">
        <v>5883</v>
      </c>
      <c r="F873" s="69"/>
      <c r="K873" s="314">
        <v>0.69259999999999999</v>
      </c>
    </row>
    <row r="874" spans="1:18" x14ac:dyDescent="0.2">
      <c r="A874" s="34">
        <v>41643</v>
      </c>
      <c r="B874" t="s">
        <v>3960</v>
      </c>
      <c r="C874" s="9" t="s">
        <v>3961</v>
      </c>
      <c r="D874" s="1">
        <v>1.4687499999999999E-2</v>
      </c>
      <c r="E874" t="s">
        <v>2588</v>
      </c>
      <c r="F874" s="69" t="s">
        <v>4521</v>
      </c>
      <c r="K874" s="314">
        <v>0.70840000000000003</v>
      </c>
    </row>
    <row r="875" spans="1:18" x14ac:dyDescent="0.2">
      <c r="A875" s="34">
        <v>41640</v>
      </c>
      <c r="B875" t="s">
        <v>3960</v>
      </c>
      <c r="C875" s="9" t="s">
        <v>3961</v>
      </c>
      <c r="D875" s="1">
        <v>1.5092592592592593E-2</v>
      </c>
      <c r="E875" t="s">
        <v>129</v>
      </c>
      <c r="F875" s="69"/>
      <c r="K875" s="314">
        <v>0.68940000000000001</v>
      </c>
    </row>
    <row r="876" spans="1:18" x14ac:dyDescent="0.2">
      <c r="A876" s="34">
        <v>41640</v>
      </c>
      <c r="B876" t="s">
        <v>3960</v>
      </c>
      <c r="C876" s="9" t="s">
        <v>3961</v>
      </c>
      <c r="D876" s="1">
        <v>1.5289351851851851E-2</v>
      </c>
      <c r="E876" t="s">
        <v>5885</v>
      </c>
      <c r="F876" s="69" t="s">
        <v>5805</v>
      </c>
      <c r="K876" s="314">
        <v>0.68049999999999999</v>
      </c>
    </row>
    <row r="877" spans="1:18" x14ac:dyDescent="0.2">
      <c r="A877" s="34"/>
      <c r="C877" s="9"/>
      <c r="D877" s="1"/>
      <c r="F877" s="69"/>
      <c r="K877" s="314"/>
    </row>
    <row r="878" spans="1:18" x14ac:dyDescent="0.2">
      <c r="A878" s="33">
        <v>41986</v>
      </c>
      <c r="B878" s="2" t="s">
        <v>870</v>
      </c>
      <c r="C878" s="3" t="s">
        <v>871</v>
      </c>
      <c r="D878" s="1">
        <v>1.4155092592592592E-2</v>
      </c>
      <c r="E878" t="s">
        <v>5883</v>
      </c>
      <c r="F878" s="69" t="s">
        <v>2271</v>
      </c>
      <c r="G878" s="306"/>
      <c r="H878" s="306"/>
      <c r="K878" s="314">
        <v>0.74160000000000004</v>
      </c>
    </row>
    <row r="879" spans="1:18" x14ac:dyDescent="0.2">
      <c r="A879" s="33">
        <v>41979</v>
      </c>
      <c r="B879" t="s">
        <v>870</v>
      </c>
      <c r="C879" s="1" t="s">
        <v>871</v>
      </c>
      <c r="D879" s="1">
        <v>1.3900462962962962E-2</v>
      </c>
      <c r="E879" t="s">
        <v>5883</v>
      </c>
      <c r="F879" s="69" t="s">
        <v>2787</v>
      </c>
      <c r="K879" s="314">
        <v>0.75519999999999998</v>
      </c>
    </row>
    <row r="880" spans="1:18" x14ac:dyDescent="0.2">
      <c r="A880" s="33">
        <v>41965</v>
      </c>
      <c r="B880" t="s">
        <v>870</v>
      </c>
      <c r="C880" s="1" t="s">
        <v>871</v>
      </c>
      <c r="D880" s="1">
        <v>1.40625E-2</v>
      </c>
      <c r="E880" t="s">
        <v>3226</v>
      </c>
      <c r="F880" s="5" t="s">
        <v>1512</v>
      </c>
      <c r="G880" s="5"/>
      <c r="H880" s="5"/>
      <c r="I880" s="5"/>
      <c r="J880" s="5"/>
      <c r="K880" s="314">
        <v>0.74650000000000005</v>
      </c>
      <c r="Q880" s="5"/>
      <c r="R880" s="5"/>
    </row>
    <row r="881" spans="1:21" x14ac:dyDescent="0.2">
      <c r="A881" s="34">
        <v>41832</v>
      </c>
      <c r="B881" t="s">
        <v>870</v>
      </c>
      <c r="C881" s="9" t="s">
        <v>871</v>
      </c>
      <c r="D881" s="1">
        <v>1.4340277777777776E-2</v>
      </c>
      <c r="E881" t="s">
        <v>5883</v>
      </c>
      <c r="F881" s="108" t="s">
        <v>1164</v>
      </c>
      <c r="G881" s="5"/>
      <c r="K881" s="314">
        <v>0.73199999999999998</v>
      </c>
    </row>
    <row r="882" spans="1:21" x14ac:dyDescent="0.2">
      <c r="A882" s="34">
        <v>41640</v>
      </c>
      <c r="B882" t="s">
        <v>870</v>
      </c>
      <c r="C882" s="9" t="s">
        <v>871</v>
      </c>
      <c r="D882" s="1">
        <v>1.3854166666666666E-2</v>
      </c>
      <c r="E882" t="s">
        <v>129</v>
      </c>
      <c r="F882" s="69" t="s">
        <v>734</v>
      </c>
      <c r="K882" s="314">
        <v>0.751</v>
      </c>
    </row>
    <row r="883" spans="1:21" x14ac:dyDescent="0.2">
      <c r="A883" s="34"/>
      <c r="C883" s="9"/>
      <c r="D883" s="1"/>
      <c r="F883" s="69"/>
      <c r="K883" s="314"/>
    </row>
    <row r="884" spans="1:21" x14ac:dyDescent="0.2">
      <c r="A884" s="33">
        <v>41916</v>
      </c>
      <c r="B884" s="53" t="s">
        <v>2416</v>
      </c>
      <c r="C884" s="54" t="s">
        <v>2417</v>
      </c>
      <c r="D884" s="1">
        <v>2.0520833333333332E-2</v>
      </c>
      <c r="E884" t="s">
        <v>6027</v>
      </c>
      <c r="F884" s="69"/>
      <c r="K884" s="314">
        <v>0.63849999999999996</v>
      </c>
      <c r="U884" s="5"/>
    </row>
    <row r="885" spans="1:21" x14ac:dyDescent="0.2">
      <c r="A885" s="33"/>
      <c r="B885" s="53"/>
      <c r="C885" s="54"/>
      <c r="D885" s="1"/>
      <c r="F885" s="69"/>
      <c r="K885" s="314"/>
      <c r="U885" s="5"/>
    </row>
    <row r="886" spans="1:21" x14ac:dyDescent="0.2">
      <c r="A886" s="33">
        <v>41916</v>
      </c>
      <c r="B886" s="2" t="s">
        <v>866</v>
      </c>
      <c r="C886" s="3" t="s">
        <v>2417</v>
      </c>
      <c r="D886" s="1">
        <v>2.0532407407407405E-2</v>
      </c>
      <c r="E886" t="s">
        <v>6027</v>
      </c>
      <c r="F886" s="69"/>
      <c r="K886" s="314">
        <v>0.5423</v>
      </c>
    </row>
    <row r="887" spans="1:21" x14ac:dyDescent="0.2">
      <c r="A887" s="34">
        <v>41776</v>
      </c>
      <c r="B887" t="s">
        <v>866</v>
      </c>
      <c r="C887" s="9" t="s">
        <v>2417</v>
      </c>
      <c r="D887" s="1">
        <v>2.1168981481481483E-2</v>
      </c>
      <c r="E887" t="s">
        <v>535</v>
      </c>
      <c r="F887" s="92"/>
      <c r="G887" s="45"/>
      <c r="H887" s="45"/>
      <c r="I887" s="45"/>
      <c r="J887" s="45"/>
      <c r="K887" s="314">
        <v>0.52600000000000002</v>
      </c>
    </row>
    <row r="888" spans="1:21" x14ac:dyDescent="0.2">
      <c r="A888" s="34">
        <v>41762</v>
      </c>
      <c r="B888" t="s">
        <v>866</v>
      </c>
      <c r="C888" s="9" t="s">
        <v>2417</v>
      </c>
      <c r="D888" s="1">
        <v>2.225694444444444E-2</v>
      </c>
      <c r="E888" t="s">
        <v>5653</v>
      </c>
      <c r="F888" s="92"/>
      <c r="G888" s="45"/>
      <c r="H888" s="45"/>
      <c r="I888" s="45"/>
      <c r="J888" s="45"/>
      <c r="K888" s="314">
        <v>0.50029999999999997</v>
      </c>
    </row>
    <row r="889" spans="1:21" x14ac:dyDescent="0.2">
      <c r="A889" s="34"/>
      <c r="C889" s="9"/>
      <c r="D889" s="1"/>
      <c r="F889" s="92"/>
      <c r="G889" s="45"/>
      <c r="H889" s="45"/>
      <c r="I889" s="45"/>
      <c r="J889" s="45"/>
      <c r="K889" s="314"/>
    </row>
    <row r="890" spans="1:21" x14ac:dyDescent="0.2">
      <c r="A890" s="33">
        <v>42000</v>
      </c>
      <c r="B890" s="2" t="s">
        <v>3820</v>
      </c>
      <c r="C890" s="3" t="s">
        <v>3821</v>
      </c>
      <c r="D890" s="1">
        <v>2.0486111111111111E-2</v>
      </c>
      <c r="E890" t="s">
        <v>3072</v>
      </c>
      <c r="F890" s="42"/>
      <c r="K890" s="314">
        <v>0.44690000000000002</v>
      </c>
    </row>
    <row r="891" spans="1:21" x14ac:dyDescent="0.2">
      <c r="A891" s="33">
        <v>41998</v>
      </c>
      <c r="B891" t="s">
        <v>3820</v>
      </c>
      <c r="C891" s="1" t="s">
        <v>3821</v>
      </c>
      <c r="D891" s="1">
        <v>2.045138888888889E-2</v>
      </c>
      <c r="E891" t="s">
        <v>3167</v>
      </c>
      <c r="F891" s="69"/>
      <c r="K891" s="314">
        <v>0.44769999999999999</v>
      </c>
    </row>
    <row r="892" spans="1:21" x14ac:dyDescent="0.2">
      <c r="A892" s="33">
        <v>41986</v>
      </c>
      <c r="B892" t="s">
        <v>3820</v>
      </c>
      <c r="C892" s="1" t="s">
        <v>3821</v>
      </c>
      <c r="D892" s="1">
        <v>2.071759259259259E-2</v>
      </c>
      <c r="E892" t="s">
        <v>3072</v>
      </c>
      <c r="F892" s="69" t="s">
        <v>3827</v>
      </c>
      <c r="K892" s="314">
        <v>0.44190000000000002</v>
      </c>
    </row>
    <row r="893" spans="1:21" x14ac:dyDescent="0.2">
      <c r="A893" s="33">
        <v>41972</v>
      </c>
      <c r="B893" t="s">
        <v>3820</v>
      </c>
      <c r="C893" s="1" t="s">
        <v>3821</v>
      </c>
      <c r="D893" s="1">
        <v>2.0694444444444446E-2</v>
      </c>
      <c r="E893" t="s">
        <v>3072</v>
      </c>
      <c r="F893" s="69" t="s">
        <v>899</v>
      </c>
      <c r="K893" s="314">
        <v>0.44019999999999998</v>
      </c>
    </row>
    <row r="894" spans="1:21" x14ac:dyDescent="0.2">
      <c r="A894" s="33">
        <v>41965</v>
      </c>
      <c r="B894" t="s">
        <v>3820</v>
      </c>
      <c r="C894" s="1" t="s">
        <v>3821</v>
      </c>
      <c r="D894" s="1" t="s">
        <v>787</v>
      </c>
      <c r="E894" t="s">
        <v>3072</v>
      </c>
      <c r="F894" s="5"/>
      <c r="G894" s="5"/>
      <c r="H894" s="5"/>
      <c r="I894" s="5"/>
      <c r="J894" s="5"/>
      <c r="K894" s="314"/>
    </row>
    <row r="895" spans="1:21" x14ac:dyDescent="0.2">
      <c r="A895" s="33">
        <v>41958</v>
      </c>
      <c r="B895" t="s">
        <v>3820</v>
      </c>
      <c r="C895" s="1" t="s">
        <v>3821</v>
      </c>
      <c r="D895" s="1">
        <v>2.1516203703703704E-2</v>
      </c>
      <c r="E895" t="s">
        <v>3072</v>
      </c>
      <c r="F895" s="42" t="s">
        <v>5428</v>
      </c>
      <c r="K895" s="314">
        <v>0.42330000000000001</v>
      </c>
    </row>
    <row r="896" spans="1:21" x14ac:dyDescent="0.2">
      <c r="A896" s="33">
        <v>41951</v>
      </c>
      <c r="B896" t="s">
        <v>3820</v>
      </c>
      <c r="C896" s="1" t="s">
        <v>3821</v>
      </c>
      <c r="D896" s="1">
        <v>2.974537037037037E-2</v>
      </c>
      <c r="E896" t="s">
        <v>3072</v>
      </c>
      <c r="F896" s="69" t="s">
        <v>1238</v>
      </c>
      <c r="K896" s="314">
        <v>0.30620000000000003</v>
      </c>
    </row>
    <row r="897" spans="1:12" x14ac:dyDescent="0.2">
      <c r="A897" s="33">
        <v>41937</v>
      </c>
      <c r="B897" t="s">
        <v>3820</v>
      </c>
      <c r="C897" s="1" t="s">
        <v>3821</v>
      </c>
      <c r="D897" s="1">
        <v>1.8634259259259257E-2</v>
      </c>
      <c r="E897" t="s">
        <v>3072</v>
      </c>
      <c r="F897" s="69" t="s">
        <v>363</v>
      </c>
      <c r="K897" s="314">
        <v>0.48880000000000001</v>
      </c>
    </row>
    <row r="898" spans="1:12" x14ac:dyDescent="0.2">
      <c r="A898" s="33">
        <v>41930</v>
      </c>
      <c r="B898" t="s">
        <v>3820</v>
      </c>
      <c r="C898" s="1" t="s">
        <v>3821</v>
      </c>
      <c r="D898" s="1">
        <v>1.9259259259259261E-2</v>
      </c>
      <c r="E898" t="s">
        <v>3072</v>
      </c>
      <c r="F898" s="69" t="s">
        <v>345</v>
      </c>
      <c r="K898" s="314">
        <v>0.47299999999999998</v>
      </c>
    </row>
    <row r="899" spans="1:12" x14ac:dyDescent="0.2">
      <c r="A899" s="33">
        <v>41923</v>
      </c>
      <c r="B899" t="s">
        <v>3820</v>
      </c>
      <c r="C899" s="1" t="s">
        <v>3821</v>
      </c>
      <c r="D899" s="1">
        <v>1.9120370370370371E-2</v>
      </c>
      <c r="E899" t="s">
        <v>3072</v>
      </c>
      <c r="F899" s="69"/>
      <c r="K899" s="314">
        <v>0.47639999999999999</v>
      </c>
    </row>
    <row r="900" spans="1:12" x14ac:dyDescent="0.2">
      <c r="A900" s="33">
        <v>41916</v>
      </c>
      <c r="B900" t="s">
        <v>3820</v>
      </c>
      <c r="C900" s="1" t="s">
        <v>3821</v>
      </c>
      <c r="D900" s="1">
        <v>1.9375E-2</v>
      </c>
      <c r="E900" t="s">
        <v>3072</v>
      </c>
      <c r="F900" s="69"/>
      <c r="K900" s="314">
        <v>0.47010000000000002</v>
      </c>
    </row>
    <row r="901" spans="1:12" x14ac:dyDescent="0.2">
      <c r="A901" s="33">
        <v>41993</v>
      </c>
      <c r="B901" t="s">
        <v>5252</v>
      </c>
      <c r="C901" s="1" t="s">
        <v>3821</v>
      </c>
      <c r="D901" s="1">
        <v>2.0312500000000001E-2</v>
      </c>
      <c r="E901" t="s">
        <v>3072</v>
      </c>
      <c r="F901" s="42" t="s">
        <v>43</v>
      </c>
      <c r="K901" s="314">
        <v>0.45069999999999999</v>
      </c>
    </row>
    <row r="902" spans="1:12" x14ac:dyDescent="0.2">
      <c r="A902" s="33">
        <v>41909</v>
      </c>
      <c r="B902" s="5" t="s">
        <v>5252</v>
      </c>
      <c r="C902" s="5" t="s">
        <v>3821</v>
      </c>
      <c r="D902" s="1">
        <v>1.9120370370370371E-2</v>
      </c>
      <c r="E902" t="s">
        <v>3072</v>
      </c>
      <c r="F902" s="42" t="s">
        <v>363</v>
      </c>
      <c r="K902" s="314">
        <v>0.74260000000000004</v>
      </c>
    </row>
    <row r="903" spans="1:12" x14ac:dyDescent="0.2">
      <c r="A903" s="33">
        <v>41902</v>
      </c>
      <c r="B903" s="5" t="s">
        <v>5252</v>
      </c>
      <c r="C903" s="5" t="s">
        <v>3821</v>
      </c>
      <c r="D903" s="1">
        <v>1.9699074074074074E-2</v>
      </c>
      <c r="E903" t="s">
        <v>3072</v>
      </c>
      <c r="F903" s="69" t="s">
        <v>2084</v>
      </c>
      <c r="K903" s="314">
        <v>0.46239999999999998</v>
      </c>
    </row>
    <row r="904" spans="1:12" x14ac:dyDescent="0.2">
      <c r="A904" s="33">
        <v>41895</v>
      </c>
      <c r="B904" s="5" t="s">
        <v>5252</v>
      </c>
      <c r="C904" s="5" t="s">
        <v>3821</v>
      </c>
      <c r="D904" s="1">
        <v>2.0810185185185185E-2</v>
      </c>
      <c r="E904" t="s">
        <v>3072</v>
      </c>
      <c r="F904" s="69" t="s">
        <v>3954</v>
      </c>
      <c r="K904" s="314">
        <v>0.43769999999999998</v>
      </c>
    </row>
    <row r="905" spans="1:12" x14ac:dyDescent="0.2">
      <c r="A905" s="33">
        <v>41888</v>
      </c>
      <c r="B905" s="5" t="s">
        <v>5252</v>
      </c>
      <c r="C905" s="5" t="s">
        <v>3821</v>
      </c>
      <c r="D905" s="1">
        <v>2.1342592592592594E-2</v>
      </c>
      <c r="E905" t="s">
        <v>3072</v>
      </c>
      <c r="F905" s="69" t="s">
        <v>4013</v>
      </c>
      <c r="K905" s="314">
        <v>0.42680000000000001</v>
      </c>
    </row>
    <row r="906" spans="1:12" x14ac:dyDescent="0.2">
      <c r="A906" s="33"/>
      <c r="B906" s="5"/>
      <c r="C906" s="5"/>
      <c r="D906" s="1"/>
      <c r="F906" s="69"/>
      <c r="K906" s="314"/>
    </row>
    <row r="907" spans="1:12" x14ac:dyDescent="0.2">
      <c r="A907" s="33">
        <v>41965</v>
      </c>
      <c r="B907" s="2" t="s">
        <v>2426</v>
      </c>
      <c r="C907" s="3" t="s">
        <v>2427</v>
      </c>
      <c r="D907" s="1">
        <v>1.4236111111111111E-2</v>
      </c>
      <c r="E907" t="s">
        <v>5544</v>
      </c>
      <c r="F907" s="5" t="s">
        <v>636</v>
      </c>
      <c r="G907" s="5"/>
      <c r="H907" s="5"/>
      <c r="I907" s="5"/>
      <c r="J907" s="5"/>
      <c r="K907" s="314">
        <v>0.62929999999999997</v>
      </c>
      <c r="L907" t="s">
        <v>5551</v>
      </c>
    </row>
    <row r="908" spans="1:12" x14ac:dyDescent="0.2">
      <c r="A908" s="33"/>
      <c r="C908" s="1"/>
      <c r="D908" s="1"/>
      <c r="F908" s="5"/>
      <c r="G908" s="5"/>
      <c r="H908" s="5"/>
      <c r="I908" s="5"/>
      <c r="J908" s="5"/>
      <c r="K908" s="314"/>
    </row>
    <row r="909" spans="1:12" x14ac:dyDescent="0.2">
      <c r="A909" s="33">
        <v>41998</v>
      </c>
      <c r="B909" s="53" t="s">
        <v>4893</v>
      </c>
      <c r="C909" s="54" t="s">
        <v>4894</v>
      </c>
      <c r="D909" s="1">
        <v>1.4016203703703704E-2</v>
      </c>
      <c r="E909" t="s">
        <v>129</v>
      </c>
      <c r="F909" s="69"/>
      <c r="K909" s="314">
        <v>0.749</v>
      </c>
    </row>
    <row r="910" spans="1:12" x14ac:dyDescent="0.2">
      <c r="A910" s="33">
        <v>41993</v>
      </c>
      <c r="B910" s="53" t="s">
        <v>4893</v>
      </c>
      <c r="C910" s="54" t="s">
        <v>4894</v>
      </c>
      <c r="D910" s="114">
        <v>1.3449074074074073E-2</v>
      </c>
      <c r="E910" t="s">
        <v>129</v>
      </c>
      <c r="F910" s="42" t="s">
        <v>3855</v>
      </c>
      <c r="K910" s="314">
        <v>0.78059999999999996</v>
      </c>
    </row>
    <row r="911" spans="1:12" x14ac:dyDescent="0.2">
      <c r="A911" s="33">
        <v>41986</v>
      </c>
      <c r="B911" t="s">
        <v>4893</v>
      </c>
      <c r="C911" s="1" t="s">
        <v>4894</v>
      </c>
      <c r="D911" s="1">
        <v>1.4490740740740742E-2</v>
      </c>
      <c r="E911" t="s">
        <v>129</v>
      </c>
      <c r="F911" s="69" t="s">
        <v>4939</v>
      </c>
      <c r="K911" s="314">
        <v>0.72440000000000004</v>
      </c>
    </row>
    <row r="912" spans="1:12" x14ac:dyDescent="0.2">
      <c r="A912" s="33">
        <v>41979</v>
      </c>
      <c r="B912" s="53" t="s">
        <v>4893</v>
      </c>
      <c r="C912" s="54" t="s">
        <v>4894</v>
      </c>
      <c r="D912" s="1">
        <v>1.3877314814814815E-2</v>
      </c>
      <c r="E912" t="s">
        <v>129</v>
      </c>
      <c r="F912" s="69"/>
      <c r="K912" s="314">
        <v>0.75649999999999995</v>
      </c>
    </row>
    <row r="913" spans="1:11" x14ac:dyDescent="0.2">
      <c r="A913" s="33">
        <v>41972</v>
      </c>
      <c r="B913" s="53" t="s">
        <v>4893</v>
      </c>
      <c r="C913" s="54" t="s">
        <v>4894</v>
      </c>
      <c r="D913" s="1">
        <v>1.3668981481481482E-2</v>
      </c>
      <c r="E913" t="s">
        <v>129</v>
      </c>
      <c r="F913" s="69" t="s">
        <v>2807</v>
      </c>
      <c r="K913" s="314">
        <v>0.76800000000000002</v>
      </c>
    </row>
    <row r="914" spans="1:11" x14ac:dyDescent="0.2">
      <c r="A914" s="33">
        <v>41965</v>
      </c>
      <c r="B914" s="53" t="s">
        <v>4893</v>
      </c>
      <c r="C914" s="54" t="s">
        <v>4894</v>
      </c>
      <c r="D914" s="1">
        <v>1.3784722222222224E-2</v>
      </c>
      <c r="E914" t="s">
        <v>129</v>
      </c>
      <c r="F914" s="5" t="s">
        <v>635</v>
      </c>
      <c r="G914" s="5"/>
      <c r="H914" s="5"/>
      <c r="I914" s="5"/>
      <c r="J914" s="5"/>
      <c r="K914" s="314">
        <v>0.76149999999999995</v>
      </c>
    </row>
    <row r="915" spans="1:11" x14ac:dyDescent="0.2">
      <c r="A915" s="33">
        <v>41958</v>
      </c>
      <c r="B915" s="53" t="s">
        <v>4893</v>
      </c>
      <c r="C915" s="54" t="s">
        <v>4894</v>
      </c>
      <c r="D915" s="1" t="s">
        <v>787</v>
      </c>
      <c r="E915" t="s">
        <v>129</v>
      </c>
      <c r="F915" s="42"/>
      <c r="K915" s="314"/>
    </row>
    <row r="916" spans="1:11" x14ac:dyDescent="0.2">
      <c r="A916" s="33">
        <v>41951</v>
      </c>
      <c r="B916" s="53" t="s">
        <v>4893</v>
      </c>
      <c r="C916" s="54" t="s">
        <v>4894</v>
      </c>
      <c r="D916" s="1">
        <v>1.4479166666666668E-2</v>
      </c>
      <c r="E916" t="s">
        <v>129</v>
      </c>
      <c r="F916" s="69" t="s">
        <v>1164</v>
      </c>
      <c r="K916" s="314">
        <v>0.72499999999999998</v>
      </c>
    </row>
    <row r="917" spans="1:11" x14ac:dyDescent="0.2">
      <c r="A917" s="33">
        <v>41944</v>
      </c>
      <c r="B917" s="53" t="s">
        <v>4893</v>
      </c>
      <c r="C917" s="54" t="s">
        <v>4894</v>
      </c>
      <c r="D917" s="1">
        <v>1.5462962962962963E-2</v>
      </c>
      <c r="E917" t="s">
        <v>129</v>
      </c>
      <c r="F917" s="42" t="s">
        <v>2242</v>
      </c>
      <c r="K917" s="314">
        <v>0.67889999999999995</v>
      </c>
    </row>
    <row r="918" spans="1:11" x14ac:dyDescent="0.2">
      <c r="A918" s="33">
        <v>41930</v>
      </c>
      <c r="B918" s="53" t="s">
        <v>4893</v>
      </c>
      <c r="C918" s="54" t="s">
        <v>4894</v>
      </c>
      <c r="D918" s="1">
        <v>1.6932870370370369E-2</v>
      </c>
      <c r="E918" t="s">
        <v>5456</v>
      </c>
      <c r="F918" s="69" t="s">
        <v>1169</v>
      </c>
      <c r="K918" s="314">
        <v>0.62</v>
      </c>
    </row>
    <row r="919" spans="1:11" x14ac:dyDescent="0.2">
      <c r="A919" s="34">
        <v>41811</v>
      </c>
      <c r="B919" s="53" t="s">
        <v>4893</v>
      </c>
      <c r="C919" s="83" t="s">
        <v>4894</v>
      </c>
      <c r="D919" s="1">
        <v>1.315972222222222E-2</v>
      </c>
      <c r="E919" t="s">
        <v>129</v>
      </c>
      <c r="F919" s="69" t="s">
        <v>3987</v>
      </c>
      <c r="K919" s="314">
        <v>0.79769999999999996</v>
      </c>
    </row>
    <row r="920" spans="1:11" x14ac:dyDescent="0.2">
      <c r="A920" s="34">
        <v>41797</v>
      </c>
      <c r="B920" s="53" t="s">
        <v>4893</v>
      </c>
      <c r="C920" s="83" t="s">
        <v>4894</v>
      </c>
      <c r="D920" s="1">
        <v>1.3379629629629628E-2</v>
      </c>
      <c r="E920" t="s">
        <v>129</v>
      </c>
      <c r="F920" s="42" t="s">
        <v>5786</v>
      </c>
      <c r="K920" s="314">
        <v>0.78459999999999996</v>
      </c>
    </row>
    <row r="921" spans="1:11" x14ac:dyDescent="0.2">
      <c r="A921" s="34">
        <v>41790</v>
      </c>
      <c r="B921" s="53" t="s">
        <v>4893</v>
      </c>
      <c r="C921" s="83" t="s">
        <v>4894</v>
      </c>
      <c r="D921" s="1">
        <v>1.2777777777777777E-2</v>
      </c>
      <c r="E921" t="s">
        <v>129</v>
      </c>
      <c r="F921" s="69" t="s">
        <v>5177</v>
      </c>
      <c r="G921" s="80" t="s">
        <v>16332</v>
      </c>
      <c r="K921" s="314">
        <v>0.8216</v>
      </c>
    </row>
    <row r="922" spans="1:11" x14ac:dyDescent="0.2">
      <c r="A922" s="34">
        <v>41783</v>
      </c>
      <c r="B922" s="53" t="s">
        <v>4893</v>
      </c>
      <c r="C922" s="83" t="s">
        <v>4894</v>
      </c>
      <c r="D922" s="1">
        <v>1.3726851851851851E-2</v>
      </c>
      <c r="E922" t="s">
        <v>129</v>
      </c>
      <c r="F922" s="69" t="s">
        <v>1407</v>
      </c>
      <c r="K922" s="314">
        <v>0.76480000000000004</v>
      </c>
    </row>
    <row r="923" spans="1:11" x14ac:dyDescent="0.2">
      <c r="A923" s="34">
        <v>41776</v>
      </c>
      <c r="B923" s="53" t="s">
        <v>4893</v>
      </c>
      <c r="C923" s="83" t="s">
        <v>4894</v>
      </c>
      <c r="D923" s="1">
        <v>1.3344907407407408E-2</v>
      </c>
      <c r="E923" t="s">
        <v>129</v>
      </c>
      <c r="F923" s="69"/>
      <c r="K923" s="314">
        <v>0.78659999999999997</v>
      </c>
    </row>
    <row r="924" spans="1:11" x14ac:dyDescent="0.2">
      <c r="A924" s="34">
        <v>41769</v>
      </c>
      <c r="B924" s="53" t="s">
        <v>4893</v>
      </c>
      <c r="C924" s="83" t="s">
        <v>4894</v>
      </c>
      <c r="D924" s="1">
        <v>1.4236111111111111E-2</v>
      </c>
      <c r="E924" t="s">
        <v>129</v>
      </c>
      <c r="F924" s="42" t="s">
        <v>347</v>
      </c>
      <c r="K924" s="314">
        <v>0.73740000000000006</v>
      </c>
    </row>
    <row r="925" spans="1:11" x14ac:dyDescent="0.2">
      <c r="A925" s="34">
        <v>41755</v>
      </c>
      <c r="B925" s="53" t="s">
        <v>4893</v>
      </c>
      <c r="C925" s="83" t="s">
        <v>4894</v>
      </c>
      <c r="D925" s="1">
        <v>1.4247685185185184E-2</v>
      </c>
      <c r="E925" t="s">
        <v>129</v>
      </c>
      <c r="F925" s="42"/>
      <c r="K925" s="314">
        <v>0.73680000000000001</v>
      </c>
    </row>
    <row r="926" spans="1:11" x14ac:dyDescent="0.2">
      <c r="A926" s="34">
        <v>41748</v>
      </c>
      <c r="B926" s="53" t="s">
        <v>4893</v>
      </c>
      <c r="C926" s="83" t="s">
        <v>4894</v>
      </c>
      <c r="D926" s="1">
        <v>1.3101851851851852E-2</v>
      </c>
      <c r="E926" t="s">
        <v>129</v>
      </c>
      <c r="F926" s="69" t="s">
        <v>3373</v>
      </c>
      <c r="K926" s="314">
        <v>0.79420000000000002</v>
      </c>
    </row>
    <row r="927" spans="1:11" x14ac:dyDescent="0.2">
      <c r="A927" s="34">
        <v>41741</v>
      </c>
      <c r="B927" s="53" t="s">
        <v>4893</v>
      </c>
      <c r="C927" s="83" t="s">
        <v>4894</v>
      </c>
      <c r="D927" s="1">
        <v>1.3715277777777778E-2</v>
      </c>
      <c r="E927" t="s">
        <v>129</v>
      </c>
      <c r="F927" s="69"/>
      <c r="K927" s="314">
        <v>0.75860000000000005</v>
      </c>
    </row>
    <row r="928" spans="1:11" x14ac:dyDescent="0.2">
      <c r="A928" s="34">
        <v>41734</v>
      </c>
      <c r="B928" s="53" t="s">
        <v>4893</v>
      </c>
      <c r="C928" s="83" t="s">
        <v>4894</v>
      </c>
      <c r="D928" s="1">
        <v>1.324074074074074E-2</v>
      </c>
      <c r="E928" t="s">
        <v>129</v>
      </c>
      <c r="F928" s="42"/>
      <c r="K928" s="314">
        <v>0.78580000000000005</v>
      </c>
    </row>
    <row r="929" spans="1:11" x14ac:dyDescent="0.2">
      <c r="A929" s="34">
        <v>41727</v>
      </c>
      <c r="B929" s="53" t="s">
        <v>4893</v>
      </c>
      <c r="C929" s="83" t="s">
        <v>4894</v>
      </c>
      <c r="D929" s="1">
        <v>1.4687499999999999E-2</v>
      </c>
      <c r="E929" t="s">
        <v>129</v>
      </c>
      <c r="F929" s="69"/>
      <c r="K929" s="314">
        <v>0.70399999999999996</v>
      </c>
    </row>
    <row r="930" spans="1:11" x14ac:dyDescent="0.2">
      <c r="A930" s="34">
        <v>41706</v>
      </c>
      <c r="B930" s="53" t="s">
        <v>4893</v>
      </c>
      <c r="C930" s="83" t="s">
        <v>4894</v>
      </c>
      <c r="D930" s="1">
        <v>1.3692129629629629E-2</v>
      </c>
      <c r="E930" t="s">
        <v>129</v>
      </c>
      <c r="F930" s="69" t="s">
        <v>4784</v>
      </c>
      <c r="K930" s="314">
        <v>0.75990000000000002</v>
      </c>
    </row>
    <row r="931" spans="1:11" x14ac:dyDescent="0.2">
      <c r="A931" s="34">
        <v>41671</v>
      </c>
      <c r="B931" s="53" t="s">
        <v>4893</v>
      </c>
      <c r="C931" s="83" t="s">
        <v>4894</v>
      </c>
      <c r="D931" s="1">
        <v>1.298611111111111E-2</v>
      </c>
      <c r="E931" t="s">
        <v>129</v>
      </c>
      <c r="F931" s="69" t="s">
        <v>4412</v>
      </c>
      <c r="K931" s="314">
        <v>0.80120000000000002</v>
      </c>
    </row>
    <row r="932" spans="1:11" x14ac:dyDescent="0.2">
      <c r="A932" s="34"/>
      <c r="B932" s="53"/>
      <c r="C932" s="83"/>
      <c r="D932" s="1"/>
      <c r="F932" s="69"/>
      <c r="K932" s="314"/>
    </row>
    <row r="933" spans="1:11" x14ac:dyDescent="0.2">
      <c r="A933" s="33">
        <v>41993</v>
      </c>
      <c r="B933" s="53" t="s">
        <v>3535</v>
      </c>
      <c r="C933" s="54" t="s">
        <v>1730</v>
      </c>
      <c r="D933" s="1">
        <v>2.0405092592592593E-2</v>
      </c>
      <c r="E933" t="s">
        <v>1298</v>
      </c>
      <c r="F933" s="42" t="s">
        <v>1646</v>
      </c>
      <c r="K933" s="314">
        <v>0.51539999999999997</v>
      </c>
    </row>
    <row r="934" spans="1:11" x14ac:dyDescent="0.2">
      <c r="A934" s="33"/>
      <c r="B934" s="53"/>
      <c r="C934" s="54"/>
      <c r="D934" s="1"/>
      <c r="F934" s="42"/>
      <c r="K934" s="314"/>
    </row>
    <row r="935" spans="1:11" x14ac:dyDescent="0.2">
      <c r="A935" s="33">
        <v>41972</v>
      </c>
      <c r="B935" s="2" t="s">
        <v>439</v>
      </c>
      <c r="C935" s="3" t="s">
        <v>440</v>
      </c>
      <c r="D935" s="1">
        <v>2.0243055555555552E-2</v>
      </c>
      <c r="E935" t="s">
        <v>5198</v>
      </c>
      <c r="F935" s="69" t="s">
        <v>2629</v>
      </c>
      <c r="K935" s="314">
        <v>0.6381</v>
      </c>
    </row>
    <row r="936" spans="1:11" x14ac:dyDescent="0.2">
      <c r="A936" s="33">
        <v>41965</v>
      </c>
      <c r="B936" t="s">
        <v>439</v>
      </c>
      <c r="C936" s="1" t="s">
        <v>440</v>
      </c>
      <c r="D936" s="1">
        <v>2.0856481481481479E-2</v>
      </c>
      <c r="E936" t="s">
        <v>5947</v>
      </c>
      <c r="F936" s="5"/>
      <c r="G936" s="5"/>
      <c r="H936" s="5"/>
      <c r="I936" s="5"/>
      <c r="J936" s="5"/>
      <c r="K936" s="314">
        <v>0.61929999999999996</v>
      </c>
    </row>
    <row r="937" spans="1:11" x14ac:dyDescent="0.2">
      <c r="A937" s="33">
        <v>41951</v>
      </c>
      <c r="B937" t="s">
        <v>439</v>
      </c>
      <c r="C937" s="1" t="s">
        <v>440</v>
      </c>
      <c r="D937" s="1">
        <v>2.0868055555555556E-2</v>
      </c>
      <c r="E937" t="s">
        <v>5947</v>
      </c>
      <c r="F937" s="69" t="s">
        <v>2053</v>
      </c>
      <c r="K937" s="314">
        <v>0.61899999999999999</v>
      </c>
    </row>
    <row r="938" spans="1:11" x14ac:dyDescent="0.2">
      <c r="A938" s="33">
        <v>41902</v>
      </c>
      <c r="B938" t="s">
        <v>439</v>
      </c>
      <c r="C938" s="1" t="s">
        <v>440</v>
      </c>
      <c r="D938" s="1">
        <v>2.0393518518518519E-2</v>
      </c>
      <c r="E938" t="s">
        <v>5198</v>
      </c>
      <c r="F938" s="69"/>
      <c r="K938" s="314">
        <v>0.63339999999999996</v>
      </c>
    </row>
    <row r="939" spans="1:11" x14ac:dyDescent="0.2">
      <c r="A939" s="33">
        <v>41867</v>
      </c>
      <c r="B939" t="s">
        <v>439</v>
      </c>
      <c r="C939" s="1" t="s">
        <v>440</v>
      </c>
      <c r="D939" s="1">
        <v>2.0706018518518519E-2</v>
      </c>
      <c r="E939" t="s">
        <v>5947</v>
      </c>
      <c r="F939" s="69"/>
      <c r="K939" s="314">
        <v>0.62380000000000002</v>
      </c>
    </row>
    <row r="940" spans="1:11" x14ac:dyDescent="0.2">
      <c r="A940" s="34">
        <v>41797</v>
      </c>
      <c r="B940" t="s">
        <v>439</v>
      </c>
      <c r="C940" s="9" t="s">
        <v>440</v>
      </c>
      <c r="D940" s="1">
        <v>2.193287037037037E-2</v>
      </c>
      <c r="E940" t="s">
        <v>5947</v>
      </c>
      <c r="F940" s="42" t="s">
        <v>3514</v>
      </c>
      <c r="K940" s="314">
        <v>0.58889999999999998</v>
      </c>
    </row>
    <row r="941" spans="1:11" x14ac:dyDescent="0.2">
      <c r="A941" s="34">
        <v>41755</v>
      </c>
      <c r="B941" t="s">
        <v>439</v>
      </c>
      <c r="C941" s="9" t="s">
        <v>440</v>
      </c>
      <c r="D941" s="1">
        <v>2.0671296296296295E-2</v>
      </c>
      <c r="E941" t="s">
        <v>5947</v>
      </c>
      <c r="F941" s="42"/>
      <c r="K941" s="314">
        <v>0.62490000000000001</v>
      </c>
    </row>
    <row r="942" spans="1:11" x14ac:dyDescent="0.2">
      <c r="A942" s="34">
        <v>41706</v>
      </c>
      <c r="B942" t="s">
        <v>439</v>
      </c>
      <c r="C942" s="9" t="s">
        <v>440</v>
      </c>
      <c r="D942" s="1">
        <v>2.1076388888888891E-2</v>
      </c>
      <c r="E942" t="s">
        <v>5947</v>
      </c>
      <c r="F942" s="69" t="s">
        <v>2277</v>
      </c>
      <c r="K942" s="314">
        <v>0.6129</v>
      </c>
    </row>
    <row r="943" spans="1:11" x14ac:dyDescent="0.2">
      <c r="A943" s="34"/>
      <c r="C943" s="9"/>
      <c r="D943" s="1"/>
      <c r="F943" s="69"/>
      <c r="K943" s="314"/>
    </row>
    <row r="944" spans="1:11" x14ac:dyDescent="0.2">
      <c r="A944" s="33">
        <v>41944</v>
      </c>
      <c r="B944" s="319" t="s">
        <v>4259</v>
      </c>
      <c r="C944" s="320" t="s">
        <v>440</v>
      </c>
      <c r="D944" s="1">
        <v>2.4166666666666666E-2</v>
      </c>
      <c r="E944" t="s">
        <v>5095</v>
      </c>
      <c r="F944" s="42" t="s">
        <v>3827</v>
      </c>
      <c r="K944" s="314">
        <v>0.48180000000000001</v>
      </c>
    </row>
    <row r="945" spans="1:16" x14ac:dyDescent="0.2">
      <c r="A945" s="33">
        <v>41937</v>
      </c>
      <c r="B945" s="206" t="s">
        <v>4259</v>
      </c>
      <c r="C945" s="254" t="s">
        <v>440</v>
      </c>
      <c r="D945" s="1">
        <v>2.4247685185185181E-2</v>
      </c>
      <c r="E945" t="s">
        <v>5095</v>
      </c>
      <c r="F945" s="69" t="s">
        <v>255</v>
      </c>
      <c r="K945" s="314">
        <v>0.48020000000000002</v>
      </c>
    </row>
    <row r="946" spans="1:16" x14ac:dyDescent="0.2">
      <c r="A946" s="33">
        <v>41930</v>
      </c>
      <c r="B946" s="206" t="s">
        <v>4259</v>
      </c>
      <c r="C946" s="254" t="s">
        <v>440</v>
      </c>
      <c r="D946" s="1">
        <v>2.4016203703703706E-2</v>
      </c>
      <c r="E946" s="42" t="s">
        <v>5095</v>
      </c>
      <c r="F946" s="69"/>
      <c r="K946" s="314">
        <v>0.48480000000000001</v>
      </c>
    </row>
    <row r="947" spans="1:16" x14ac:dyDescent="0.2">
      <c r="A947" s="33">
        <v>41895</v>
      </c>
      <c r="B947" s="206" t="s">
        <v>4259</v>
      </c>
      <c r="C947" s="254" t="s">
        <v>440</v>
      </c>
      <c r="D947" s="1">
        <v>2.431712962962963E-2</v>
      </c>
      <c r="E947" t="s">
        <v>2636</v>
      </c>
      <c r="F947" s="69" t="s">
        <v>5320</v>
      </c>
      <c r="K947" s="314">
        <v>0.47310000000000002</v>
      </c>
    </row>
    <row r="948" spans="1:16" x14ac:dyDescent="0.2">
      <c r="A948" s="34">
        <v>41881</v>
      </c>
      <c r="B948" s="206" t="s">
        <v>4259</v>
      </c>
      <c r="C948" s="254" t="s">
        <v>440</v>
      </c>
      <c r="D948" s="1">
        <v>2.3194444444444445E-2</v>
      </c>
      <c r="E948" t="s">
        <v>5095</v>
      </c>
      <c r="F948" s="42" t="s">
        <v>3103</v>
      </c>
      <c r="K948" s="314">
        <v>0.496</v>
      </c>
    </row>
    <row r="949" spans="1:16" x14ac:dyDescent="0.2">
      <c r="A949" s="33">
        <v>41853</v>
      </c>
      <c r="B949" s="206" t="s">
        <v>4259</v>
      </c>
      <c r="C949" s="254" t="s">
        <v>440</v>
      </c>
      <c r="D949" s="1">
        <v>2.4444444444444446E-2</v>
      </c>
      <c r="E949" t="s">
        <v>4665</v>
      </c>
      <c r="F949" s="69" t="s">
        <v>1744</v>
      </c>
      <c r="K949" s="314">
        <v>0.47060000000000002</v>
      </c>
    </row>
    <row r="950" spans="1:16" x14ac:dyDescent="0.2">
      <c r="A950" s="34">
        <v>41839</v>
      </c>
      <c r="B950" s="206" t="s">
        <v>4259</v>
      </c>
      <c r="C950" s="254" t="s">
        <v>440</v>
      </c>
      <c r="D950" s="1">
        <v>2.4236111111111111E-2</v>
      </c>
      <c r="E950" t="s">
        <v>5095</v>
      </c>
      <c r="F950" s="41"/>
      <c r="K950" s="314">
        <v>0.47470000000000001</v>
      </c>
    </row>
    <row r="951" spans="1:16" x14ac:dyDescent="0.2">
      <c r="A951" s="34">
        <v>41811</v>
      </c>
      <c r="B951" s="206" t="s">
        <v>4259</v>
      </c>
      <c r="C951" s="254" t="s">
        <v>440</v>
      </c>
      <c r="D951" s="1">
        <v>2.3692129629629629E-2</v>
      </c>
      <c r="E951" t="s">
        <v>1670</v>
      </c>
      <c r="F951" s="69" t="s">
        <v>3809</v>
      </c>
      <c r="K951" s="314">
        <v>0.48559999999999998</v>
      </c>
    </row>
    <row r="952" spans="1:16" x14ac:dyDescent="0.2">
      <c r="A952" s="34">
        <v>41762</v>
      </c>
      <c r="B952" s="206" t="s">
        <v>4259</v>
      </c>
      <c r="C952" s="254" t="s">
        <v>440</v>
      </c>
      <c r="D952" s="1">
        <v>2.3819444444444445E-2</v>
      </c>
      <c r="E952" t="s">
        <v>5883</v>
      </c>
      <c r="F952" s="69" t="s">
        <v>4471</v>
      </c>
      <c r="K952" s="314">
        <v>0.48299999999999998</v>
      </c>
    </row>
    <row r="953" spans="1:16" x14ac:dyDescent="0.2">
      <c r="A953" s="34">
        <v>41699</v>
      </c>
      <c r="B953" s="206" t="s">
        <v>4259</v>
      </c>
      <c r="C953" s="254" t="s">
        <v>440</v>
      </c>
      <c r="D953" s="1">
        <v>2.461805555555556E-2</v>
      </c>
      <c r="E953" t="s">
        <v>5095</v>
      </c>
      <c r="F953" s="42" t="s">
        <v>329</v>
      </c>
      <c r="K953" s="314">
        <v>0.46729999999999999</v>
      </c>
    </row>
    <row r="954" spans="1:16" x14ac:dyDescent="0.2">
      <c r="A954" s="34">
        <v>41678</v>
      </c>
      <c r="B954" s="206" t="s">
        <v>4259</v>
      </c>
      <c r="C954" s="254" t="s">
        <v>440</v>
      </c>
      <c r="D954" s="1">
        <v>2.5000000000000001E-2</v>
      </c>
      <c r="E954" t="s">
        <v>5095</v>
      </c>
      <c r="F954" s="69"/>
      <c r="K954" s="314">
        <v>0.4602</v>
      </c>
    </row>
    <row r="955" spans="1:16" x14ac:dyDescent="0.2">
      <c r="A955" s="34">
        <v>41671</v>
      </c>
      <c r="B955" s="206" t="s">
        <v>4259</v>
      </c>
      <c r="C955" s="254" t="s">
        <v>440</v>
      </c>
      <c r="D955" s="1">
        <v>2.4699074074074078E-2</v>
      </c>
      <c r="E955" t="s">
        <v>5095</v>
      </c>
      <c r="F955" s="69" t="s">
        <v>2189</v>
      </c>
      <c r="K955" s="314">
        <v>0.46579999999999999</v>
      </c>
    </row>
    <row r="956" spans="1:16" x14ac:dyDescent="0.2">
      <c r="A956" s="34"/>
      <c r="C956" s="1"/>
      <c r="D956" s="1"/>
      <c r="F956" s="41"/>
      <c r="K956" s="314"/>
    </row>
    <row r="957" spans="1:16" x14ac:dyDescent="0.2">
      <c r="A957" s="33">
        <v>41965</v>
      </c>
      <c r="B957" s="2" t="s">
        <v>3898</v>
      </c>
      <c r="C957" s="3" t="s">
        <v>3899</v>
      </c>
      <c r="D957" s="32">
        <v>1.480324074074074E-2</v>
      </c>
      <c r="E957" s="5" t="s">
        <v>5186</v>
      </c>
      <c r="F957" s="5" t="s">
        <v>790</v>
      </c>
      <c r="G957" s="5"/>
      <c r="H957" s="5" t="s">
        <v>5237</v>
      </c>
      <c r="I957" s="5"/>
      <c r="J957" s="5"/>
      <c r="K957" s="318">
        <v>0.70289999999999997</v>
      </c>
      <c r="L957" s="5"/>
      <c r="M957" s="5"/>
      <c r="N957" s="5"/>
      <c r="O957" s="5"/>
      <c r="P957" s="5"/>
    </row>
    <row r="958" spans="1:16" x14ac:dyDescent="0.2">
      <c r="A958" s="34">
        <v>41692</v>
      </c>
      <c r="B958" t="s">
        <v>3898</v>
      </c>
      <c r="C958" s="9" t="s">
        <v>3899</v>
      </c>
      <c r="D958" s="1">
        <v>1.5995370370370372E-2</v>
      </c>
      <c r="E958" t="s">
        <v>5186</v>
      </c>
      <c r="F958" s="69"/>
      <c r="K958" s="314">
        <v>0.64539999999999997</v>
      </c>
    </row>
    <row r="959" spans="1:16" x14ac:dyDescent="0.2">
      <c r="A959" s="34">
        <v>41678</v>
      </c>
      <c r="B959" t="s">
        <v>3898</v>
      </c>
      <c r="C959" s="9" t="s">
        <v>3899</v>
      </c>
      <c r="D959" s="1">
        <v>1.7546296296296296E-2</v>
      </c>
      <c r="E959" t="s">
        <v>5186</v>
      </c>
      <c r="F959" s="69" t="s">
        <v>4590</v>
      </c>
      <c r="K959" s="314">
        <v>0.58840000000000003</v>
      </c>
    </row>
    <row r="960" spans="1:16" x14ac:dyDescent="0.2">
      <c r="A960" s="34"/>
      <c r="C960" s="9"/>
      <c r="D960" s="1"/>
      <c r="F960" s="69"/>
      <c r="K960" s="314"/>
    </row>
    <row r="961" spans="1:11" x14ac:dyDescent="0.2">
      <c r="A961" s="33">
        <v>41895</v>
      </c>
      <c r="B961" s="2" t="s">
        <v>3962</v>
      </c>
      <c r="C961" s="3" t="s">
        <v>5543</v>
      </c>
      <c r="D961" s="1">
        <v>1.5347222222222222E-2</v>
      </c>
      <c r="E961" t="s">
        <v>5948</v>
      </c>
      <c r="F961" s="69" t="s">
        <v>5427</v>
      </c>
      <c r="K961" s="314">
        <v>0.68930000000000002</v>
      </c>
    </row>
    <row r="962" spans="1:11" x14ac:dyDescent="0.2">
      <c r="A962" s="34">
        <v>41762</v>
      </c>
      <c r="B962" t="s">
        <v>3962</v>
      </c>
      <c r="C962" s="9" t="s">
        <v>5543</v>
      </c>
      <c r="D962" s="1">
        <v>1.5173611111111112E-2</v>
      </c>
      <c r="E962" t="s">
        <v>5883</v>
      </c>
      <c r="F962" s="69" t="s">
        <v>1493</v>
      </c>
      <c r="K962" s="314">
        <v>0.69720000000000004</v>
      </c>
    </row>
    <row r="963" spans="1:11" x14ac:dyDescent="0.2">
      <c r="A963" s="34"/>
      <c r="C963" s="9"/>
      <c r="D963" s="1"/>
      <c r="F963" s="69"/>
      <c r="K963" s="314"/>
    </row>
    <row r="964" spans="1:11" x14ac:dyDescent="0.2">
      <c r="A964" s="33">
        <v>41895</v>
      </c>
      <c r="B964" s="2" t="s">
        <v>866</v>
      </c>
      <c r="C964" s="3" t="s">
        <v>5543</v>
      </c>
      <c r="D964" s="1">
        <v>1.3449074074074073E-2</v>
      </c>
      <c r="E964" t="s">
        <v>5948</v>
      </c>
      <c r="F964" s="69" t="s">
        <v>364</v>
      </c>
      <c r="K964" s="314">
        <v>0.75560000000000005</v>
      </c>
    </row>
    <row r="965" spans="1:11" x14ac:dyDescent="0.2">
      <c r="A965" s="33"/>
      <c r="B965" s="5"/>
      <c r="C965" s="1"/>
      <c r="D965" s="1"/>
      <c r="F965" s="69"/>
      <c r="K965" s="314"/>
    </row>
    <row r="966" spans="1:11" x14ac:dyDescent="0.2">
      <c r="A966" s="33">
        <v>41993</v>
      </c>
      <c r="B966" s="53" t="s">
        <v>2703</v>
      </c>
      <c r="C966" s="54" t="s">
        <v>5543</v>
      </c>
      <c r="D966" s="1">
        <v>2.0856481481481479E-2</v>
      </c>
      <c r="E966" t="s">
        <v>1401</v>
      </c>
      <c r="F966" s="42"/>
      <c r="K966" s="314">
        <v>0.56940000000000002</v>
      </c>
    </row>
    <row r="967" spans="1:11" x14ac:dyDescent="0.2">
      <c r="A967" s="33">
        <v>41972</v>
      </c>
      <c r="B967" s="53" t="s">
        <v>2703</v>
      </c>
      <c r="C967" s="54" t="s">
        <v>5543</v>
      </c>
      <c r="D967" s="1">
        <v>2.1053240740740744E-2</v>
      </c>
      <c r="E967" t="s">
        <v>1401</v>
      </c>
      <c r="F967" s="69"/>
      <c r="K967" s="314">
        <v>0.55310000000000004</v>
      </c>
    </row>
    <row r="968" spans="1:11" x14ac:dyDescent="0.2">
      <c r="A968" s="33">
        <v>41951</v>
      </c>
      <c r="B968" s="53" t="s">
        <v>2703</v>
      </c>
      <c r="C968" s="54" t="s">
        <v>5543</v>
      </c>
      <c r="D968" s="1">
        <v>2.1666666666666667E-2</v>
      </c>
      <c r="E968" t="s">
        <v>5456</v>
      </c>
      <c r="F968" s="69"/>
      <c r="K968" s="314">
        <v>0.53739999999999999</v>
      </c>
    </row>
    <row r="969" spans="1:11" x14ac:dyDescent="0.2">
      <c r="A969" s="33">
        <v>41923</v>
      </c>
      <c r="B969" s="53" t="s">
        <v>2703</v>
      </c>
      <c r="C969" s="54" t="s">
        <v>5543</v>
      </c>
      <c r="D969" s="1">
        <v>2.0671296296296295E-2</v>
      </c>
      <c r="E969" t="s">
        <v>1401</v>
      </c>
      <c r="F969" s="69"/>
      <c r="K969" s="314">
        <v>0.56330000000000002</v>
      </c>
    </row>
    <row r="970" spans="1:11" x14ac:dyDescent="0.2">
      <c r="A970" s="33">
        <v>41902</v>
      </c>
      <c r="B970" s="53" t="s">
        <v>2703</v>
      </c>
      <c r="C970" s="54" t="s">
        <v>5543</v>
      </c>
      <c r="D970" s="1">
        <v>2.0393518518518519E-2</v>
      </c>
      <c r="E970" t="s">
        <v>5544</v>
      </c>
      <c r="F970" s="69"/>
      <c r="K970" s="314">
        <v>0.57089999999999996</v>
      </c>
    </row>
    <row r="971" spans="1:11" x14ac:dyDescent="0.2">
      <c r="A971" s="33">
        <v>41888</v>
      </c>
      <c r="B971" s="53" t="s">
        <v>2703</v>
      </c>
      <c r="C971" s="54" t="s">
        <v>5543</v>
      </c>
      <c r="D971" s="1">
        <v>2.0335648148148148E-2</v>
      </c>
      <c r="E971" t="s">
        <v>5544</v>
      </c>
      <c r="F971" s="69" t="s">
        <v>223</v>
      </c>
      <c r="K971" s="314">
        <v>0.5726</v>
      </c>
    </row>
    <row r="972" spans="1:11" x14ac:dyDescent="0.2">
      <c r="A972" s="33">
        <v>41874</v>
      </c>
      <c r="B972" s="53" t="s">
        <v>2703</v>
      </c>
      <c r="C972" s="54" t="s">
        <v>5543</v>
      </c>
      <c r="D972" s="1">
        <v>2.0648148148148148E-2</v>
      </c>
      <c r="E972" t="s">
        <v>1788</v>
      </c>
      <c r="F972" s="69"/>
      <c r="K972" s="314">
        <v>0.56389999999999996</v>
      </c>
    </row>
    <row r="973" spans="1:11" x14ac:dyDescent="0.2">
      <c r="A973" s="33">
        <v>41867</v>
      </c>
      <c r="B973" s="53" t="s">
        <v>2703</v>
      </c>
      <c r="C973" s="54" t="s">
        <v>5543</v>
      </c>
      <c r="D973" s="1">
        <v>2.0694444444444446E-2</v>
      </c>
      <c r="E973" t="s">
        <v>5544</v>
      </c>
      <c r="F973" s="69"/>
      <c r="K973" s="314">
        <v>0.56259999999999999</v>
      </c>
    </row>
    <row r="974" spans="1:11" x14ac:dyDescent="0.2">
      <c r="A974" s="34">
        <v>41748</v>
      </c>
      <c r="B974" s="53" t="s">
        <v>2703</v>
      </c>
      <c r="C974" s="83" t="s">
        <v>5543</v>
      </c>
      <c r="D974" s="1">
        <v>2.6296296296296293E-2</v>
      </c>
      <c r="E974" t="s">
        <v>5544</v>
      </c>
      <c r="F974" s="69"/>
      <c r="K974" s="314">
        <v>0.44280000000000003</v>
      </c>
    </row>
    <row r="975" spans="1:11" x14ac:dyDescent="0.2">
      <c r="A975" s="34">
        <v>41720</v>
      </c>
      <c r="B975" s="53" t="s">
        <v>2703</v>
      </c>
      <c r="C975" s="83" t="s">
        <v>5543</v>
      </c>
      <c r="D975" s="1">
        <v>2.1458333333333333E-2</v>
      </c>
      <c r="E975" t="s">
        <v>5544</v>
      </c>
      <c r="F975" s="69"/>
      <c r="K975" s="314">
        <v>0.54259999999999997</v>
      </c>
    </row>
    <row r="976" spans="1:11" x14ac:dyDescent="0.2">
      <c r="A976" s="34"/>
      <c r="B976" s="53"/>
      <c r="C976" s="83"/>
      <c r="D976" s="1"/>
      <c r="F976" s="69"/>
      <c r="K976" s="314"/>
    </row>
    <row r="977" spans="1:11" x14ac:dyDescent="0.2">
      <c r="A977" s="33">
        <v>41895</v>
      </c>
      <c r="B977" s="2" t="s">
        <v>5542</v>
      </c>
      <c r="C977" s="3" t="s">
        <v>5543</v>
      </c>
      <c r="D977" s="1">
        <v>1.3622685185185184E-2</v>
      </c>
      <c r="E977" t="s">
        <v>5948</v>
      </c>
      <c r="F977" s="69" t="s">
        <v>5427</v>
      </c>
      <c r="K977" s="314">
        <v>0.77659999999999996</v>
      </c>
    </row>
    <row r="978" spans="1:11" x14ac:dyDescent="0.2">
      <c r="A978" s="33"/>
      <c r="B978" s="5"/>
      <c r="C978" s="1"/>
      <c r="D978" s="1"/>
      <c r="F978" s="69"/>
      <c r="K978" s="314"/>
    </row>
    <row r="979" spans="1:11" x14ac:dyDescent="0.2">
      <c r="A979" s="33">
        <v>41993</v>
      </c>
      <c r="B979" t="s">
        <v>1794</v>
      </c>
      <c r="C979" s="1" t="s">
        <v>5543</v>
      </c>
      <c r="D979" s="1">
        <v>1.622685185185185E-2</v>
      </c>
      <c r="E979" t="s">
        <v>1401</v>
      </c>
      <c r="F979" s="42" t="s">
        <v>44</v>
      </c>
      <c r="K979" s="314">
        <v>0.63619999999999999</v>
      </c>
    </row>
    <row r="980" spans="1:11" x14ac:dyDescent="0.2">
      <c r="A980" s="33">
        <v>41972</v>
      </c>
      <c r="B980" t="s">
        <v>1794</v>
      </c>
      <c r="C980" s="1" t="s">
        <v>5543</v>
      </c>
      <c r="D980" s="1" t="s">
        <v>787</v>
      </c>
      <c r="E980" t="s">
        <v>1401</v>
      </c>
      <c r="F980" s="69" t="s">
        <v>4061</v>
      </c>
      <c r="K980" s="314"/>
    </row>
    <row r="981" spans="1:11" x14ac:dyDescent="0.2">
      <c r="A981" s="33">
        <v>41965</v>
      </c>
      <c r="B981" t="s">
        <v>1794</v>
      </c>
      <c r="C981" s="1" t="s">
        <v>5543</v>
      </c>
      <c r="D981" s="1">
        <v>1.6134259259259261E-2</v>
      </c>
      <c r="E981" t="s">
        <v>1401</v>
      </c>
      <c r="F981" s="5" t="s">
        <v>3076</v>
      </c>
      <c r="G981" s="5"/>
      <c r="H981" s="5"/>
      <c r="I981" s="5"/>
      <c r="J981" s="5"/>
      <c r="K981" s="314">
        <v>0.63990000000000002</v>
      </c>
    </row>
    <row r="982" spans="1:11" x14ac:dyDescent="0.2">
      <c r="A982" s="33">
        <v>41951</v>
      </c>
      <c r="B982" t="s">
        <v>1794</v>
      </c>
      <c r="C982" s="1" t="s">
        <v>5543</v>
      </c>
      <c r="D982" s="1">
        <v>1.7037037037037038E-2</v>
      </c>
      <c r="E982" t="s">
        <v>5456</v>
      </c>
      <c r="F982" s="69" t="s">
        <v>201</v>
      </c>
      <c r="K982" s="314">
        <v>0.60599999999999998</v>
      </c>
    </row>
    <row r="983" spans="1:11" x14ac:dyDescent="0.2">
      <c r="A983" s="33">
        <v>41937</v>
      </c>
      <c r="B983" t="s">
        <v>1794</v>
      </c>
      <c r="C983" s="1" t="s">
        <v>5543</v>
      </c>
      <c r="D983" s="1">
        <v>1.6793981481481483E-2</v>
      </c>
      <c r="E983" t="s">
        <v>5544</v>
      </c>
      <c r="F983" s="69" t="s">
        <v>5065</v>
      </c>
      <c r="K983" s="314">
        <v>0.61470000000000002</v>
      </c>
    </row>
    <row r="984" spans="1:11" x14ac:dyDescent="0.2">
      <c r="A984" s="33">
        <v>41923</v>
      </c>
      <c r="B984" t="s">
        <v>1794</v>
      </c>
      <c r="C984" s="1" t="s">
        <v>5543</v>
      </c>
      <c r="D984" s="1">
        <v>1.6689814814814817E-2</v>
      </c>
      <c r="E984" t="s">
        <v>1401</v>
      </c>
      <c r="F984" s="69" t="s">
        <v>2629</v>
      </c>
      <c r="K984" s="314">
        <v>0.61860000000000004</v>
      </c>
    </row>
    <row r="985" spans="1:11" x14ac:dyDescent="0.2">
      <c r="A985" s="33">
        <v>41916</v>
      </c>
      <c r="B985" t="s">
        <v>1794</v>
      </c>
      <c r="C985" s="1" t="s">
        <v>5543</v>
      </c>
      <c r="D985" s="1">
        <v>1.6840277777777777E-2</v>
      </c>
      <c r="E985" t="s">
        <v>1401</v>
      </c>
      <c r="F985" s="69"/>
      <c r="K985" s="314">
        <v>0.61309999999999998</v>
      </c>
    </row>
    <row r="986" spans="1:11" x14ac:dyDescent="0.2">
      <c r="A986" s="33">
        <v>41888</v>
      </c>
      <c r="B986" t="s">
        <v>1794</v>
      </c>
      <c r="C986" s="1" t="s">
        <v>5543</v>
      </c>
      <c r="D986" s="1">
        <v>1.6608796296296299E-2</v>
      </c>
      <c r="E986" t="s">
        <v>5544</v>
      </c>
      <c r="F986" s="69" t="s">
        <v>4403</v>
      </c>
      <c r="K986" s="314">
        <v>0.62160000000000004</v>
      </c>
    </row>
    <row r="987" spans="1:11" x14ac:dyDescent="0.2">
      <c r="A987" s="33">
        <v>41874</v>
      </c>
      <c r="B987" t="s">
        <v>1794</v>
      </c>
      <c r="C987" s="1" t="s">
        <v>5543</v>
      </c>
      <c r="D987" s="1">
        <v>1.6192129629629629E-2</v>
      </c>
      <c r="E987" t="s">
        <v>1788</v>
      </c>
      <c r="F987" s="69" t="s">
        <v>3511</v>
      </c>
      <c r="K987" s="314">
        <v>0.63759999999999994</v>
      </c>
    </row>
    <row r="988" spans="1:11" x14ac:dyDescent="0.2">
      <c r="A988" s="33">
        <v>41867</v>
      </c>
      <c r="B988" t="s">
        <v>1794</v>
      </c>
      <c r="C988" s="1" t="s">
        <v>5543</v>
      </c>
      <c r="D988" s="1">
        <v>1.6516203703703703E-2</v>
      </c>
      <c r="E988" t="s">
        <v>5544</v>
      </c>
      <c r="F988" s="69" t="s">
        <v>4471</v>
      </c>
      <c r="K988" s="314">
        <v>0.62509999999999999</v>
      </c>
    </row>
    <row r="989" spans="1:11" x14ac:dyDescent="0.2">
      <c r="A989" s="34">
        <v>41755</v>
      </c>
      <c r="B989" t="s">
        <v>1794</v>
      </c>
      <c r="C989" s="9" t="s">
        <v>5543</v>
      </c>
      <c r="D989" s="1" t="s">
        <v>787</v>
      </c>
      <c r="E989" t="s">
        <v>5544</v>
      </c>
      <c r="F989" s="42" t="s">
        <v>1544</v>
      </c>
      <c r="K989" s="314"/>
    </row>
    <row r="990" spans="1:11" x14ac:dyDescent="0.2">
      <c r="A990" s="34">
        <v>41748</v>
      </c>
      <c r="B990" t="s">
        <v>1794</v>
      </c>
      <c r="C990" s="9" t="s">
        <v>5543</v>
      </c>
      <c r="D990" s="1">
        <v>1.6840277777777777E-2</v>
      </c>
      <c r="E990" t="s">
        <v>5544</v>
      </c>
      <c r="F990" s="69"/>
      <c r="K990" s="314">
        <v>0.61309999999999998</v>
      </c>
    </row>
    <row r="991" spans="1:11" x14ac:dyDescent="0.2">
      <c r="A991" s="34"/>
      <c r="C991" s="9"/>
      <c r="D991" s="1"/>
      <c r="F991" s="69"/>
      <c r="K991" s="314"/>
    </row>
    <row r="992" spans="1:11" x14ac:dyDescent="0.2">
      <c r="A992" s="33">
        <v>41972</v>
      </c>
      <c r="B992" s="53" t="s">
        <v>3687</v>
      </c>
      <c r="C992" s="54" t="s">
        <v>3688</v>
      </c>
      <c r="D992" s="1">
        <v>1.9490740740740743E-2</v>
      </c>
      <c r="E992" t="s">
        <v>1964</v>
      </c>
      <c r="F992" s="69" t="s">
        <v>1965</v>
      </c>
      <c r="K992" s="314">
        <v>0.62050000000000005</v>
      </c>
    </row>
    <row r="993" spans="1:18" x14ac:dyDescent="0.2">
      <c r="A993" s="33">
        <v>41958</v>
      </c>
      <c r="B993" s="53" t="s">
        <v>3687</v>
      </c>
      <c r="C993" s="54" t="s">
        <v>3688</v>
      </c>
      <c r="D993" s="1">
        <v>1.8020833333333333E-2</v>
      </c>
      <c r="E993" t="s">
        <v>6022</v>
      </c>
      <c r="F993" s="42" t="s">
        <v>5073</v>
      </c>
      <c r="K993" s="314">
        <v>0.67120000000000002</v>
      </c>
    </row>
    <row r="994" spans="1:18" x14ac:dyDescent="0.2">
      <c r="A994" s="33"/>
      <c r="B994" s="53"/>
      <c r="C994" s="54"/>
      <c r="D994" s="1"/>
      <c r="F994" s="42"/>
      <c r="K994" s="314"/>
    </row>
    <row r="995" spans="1:18" x14ac:dyDescent="0.2">
      <c r="A995" s="33">
        <v>41944</v>
      </c>
      <c r="B995" t="s">
        <v>4789</v>
      </c>
      <c r="C995" s="1" t="s">
        <v>4788</v>
      </c>
      <c r="D995" s="1">
        <v>2.0393518518518519E-2</v>
      </c>
      <c r="E995" t="s">
        <v>803</v>
      </c>
      <c r="F995" s="42" t="s">
        <v>1493</v>
      </c>
      <c r="K995" s="314">
        <v>0.53580000000000005</v>
      </c>
    </row>
    <row r="996" spans="1:18" x14ac:dyDescent="0.2">
      <c r="A996" s="33">
        <v>41860</v>
      </c>
      <c r="B996" s="53" t="s">
        <v>4789</v>
      </c>
      <c r="C996" s="54" t="s">
        <v>4788</v>
      </c>
      <c r="D996" s="1">
        <v>1.9664351851851853E-2</v>
      </c>
      <c r="E996" t="s">
        <v>803</v>
      </c>
      <c r="F996" s="69" t="s">
        <v>3461</v>
      </c>
      <c r="K996" s="314">
        <v>0.55659999999999998</v>
      </c>
    </row>
    <row r="997" spans="1:18" x14ac:dyDescent="0.2">
      <c r="A997" s="33">
        <v>41944</v>
      </c>
      <c r="B997" t="s">
        <v>5542</v>
      </c>
      <c r="C997" s="1" t="s">
        <v>4788</v>
      </c>
      <c r="D997" s="1">
        <v>1.8668981481481481E-2</v>
      </c>
      <c r="E997" t="s">
        <v>803</v>
      </c>
      <c r="F997" s="42" t="s">
        <v>1493</v>
      </c>
      <c r="K997" s="314">
        <v>0.55300000000000005</v>
      </c>
    </row>
    <row r="998" spans="1:18" x14ac:dyDescent="0.2">
      <c r="A998" s="33">
        <v>41860</v>
      </c>
      <c r="B998" s="53" t="s">
        <v>5542</v>
      </c>
      <c r="C998" s="54" t="s">
        <v>4788</v>
      </c>
      <c r="D998" s="1">
        <v>1.8275462962962962E-2</v>
      </c>
      <c r="E998" t="s">
        <v>803</v>
      </c>
      <c r="F998" s="69" t="s">
        <v>3461</v>
      </c>
      <c r="K998" s="314">
        <v>0.56489999999999996</v>
      </c>
    </row>
    <row r="999" spans="1:18" x14ac:dyDescent="0.2">
      <c r="A999" s="33"/>
      <c r="B999" s="53"/>
      <c r="C999" s="54"/>
      <c r="D999" s="1"/>
      <c r="F999" s="69"/>
      <c r="K999" s="314"/>
    </row>
    <row r="1000" spans="1:18" x14ac:dyDescent="0.2">
      <c r="A1000" s="33">
        <v>41979</v>
      </c>
      <c r="B1000" s="53" t="s">
        <v>859</v>
      </c>
      <c r="C1000" s="54" t="s">
        <v>5833</v>
      </c>
      <c r="D1000" s="1">
        <v>1.3402777777777777E-2</v>
      </c>
      <c r="E1000" t="s">
        <v>5885</v>
      </c>
      <c r="F1000" s="69" t="s">
        <v>1179</v>
      </c>
      <c r="K1000" s="314">
        <v>0.75819999999999999</v>
      </c>
    </row>
    <row r="1001" spans="1:18" x14ac:dyDescent="0.2">
      <c r="A1001" s="33">
        <v>41972</v>
      </c>
      <c r="B1001" s="53" t="s">
        <v>859</v>
      </c>
      <c r="C1001" s="54" t="s">
        <v>5833</v>
      </c>
      <c r="D1001" s="1">
        <v>1.3506944444444445E-2</v>
      </c>
      <c r="E1001" t="s">
        <v>1120</v>
      </c>
      <c r="F1001" s="69" t="s">
        <v>5742</v>
      </c>
      <c r="K1001" s="314">
        <v>0.75239999999999996</v>
      </c>
    </row>
    <row r="1002" spans="1:18" x14ac:dyDescent="0.2">
      <c r="A1002" s="33">
        <v>41965</v>
      </c>
      <c r="B1002" s="53" t="s">
        <v>859</v>
      </c>
      <c r="C1002" s="54" t="s">
        <v>5833</v>
      </c>
      <c r="D1002" s="1">
        <v>1.3530092592592594E-2</v>
      </c>
      <c r="E1002" t="s">
        <v>5885</v>
      </c>
      <c r="F1002" s="5" t="s">
        <v>3275</v>
      </c>
      <c r="G1002" s="5"/>
      <c r="H1002" s="5"/>
      <c r="I1002" s="5"/>
      <c r="J1002" s="5"/>
      <c r="K1002" s="314">
        <v>0.75109999999999999</v>
      </c>
      <c r="Q1002" s="5"/>
      <c r="R1002" s="5"/>
    </row>
    <row r="1003" spans="1:18" x14ac:dyDescent="0.2">
      <c r="A1003" s="33">
        <v>41944</v>
      </c>
      <c r="B1003" s="53" t="s">
        <v>859</v>
      </c>
      <c r="C1003" s="54" t="s">
        <v>5833</v>
      </c>
      <c r="D1003" s="1">
        <v>1.40625E-2</v>
      </c>
      <c r="E1003" t="s">
        <v>129</v>
      </c>
      <c r="F1003" s="42" t="s">
        <v>3326</v>
      </c>
      <c r="K1003" s="314">
        <v>0.72260000000000002</v>
      </c>
    </row>
    <row r="1004" spans="1:18" x14ac:dyDescent="0.2">
      <c r="A1004" s="34">
        <v>41818</v>
      </c>
      <c r="B1004" s="53" t="s">
        <v>859</v>
      </c>
      <c r="C1004" s="83" t="s">
        <v>5833</v>
      </c>
      <c r="D1004" s="1">
        <v>1.3425925925925924E-2</v>
      </c>
      <c r="E1004" t="s">
        <v>129</v>
      </c>
      <c r="F1004" s="69" t="s">
        <v>1355</v>
      </c>
      <c r="K1004" s="314">
        <v>0.75690000000000002</v>
      </c>
    </row>
    <row r="1005" spans="1:18" x14ac:dyDescent="0.2">
      <c r="A1005" s="34">
        <v>41776</v>
      </c>
      <c r="B1005" s="53" t="s">
        <v>859</v>
      </c>
      <c r="C1005" s="83" t="s">
        <v>5833</v>
      </c>
      <c r="D1005" s="1">
        <v>1.4467592592592593E-2</v>
      </c>
      <c r="E1005" t="s">
        <v>5885</v>
      </c>
      <c r="F1005" s="69"/>
      <c r="K1005" s="314">
        <v>0.70240000000000002</v>
      </c>
    </row>
    <row r="1006" spans="1:18" x14ac:dyDescent="0.2">
      <c r="A1006" s="34">
        <v>41769</v>
      </c>
      <c r="B1006" t="s">
        <v>859</v>
      </c>
      <c r="C1006" s="9" t="s">
        <v>5833</v>
      </c>
      <c r="D1006" s="1">
        <v>1.4965277777777779E-2</v>
      </c>
      <c r="E1006" t="s">
        <v>5885</v>
      </c>
      <c r="F1006" s="42" t="s">
        <v>3408</v>
      </c>
      <c r="K1006" s="314">
        <v>0.67900000000000005</v>
      </c>
    </row>
    <row r="1007" spans="1:18" x14ac:dyDescent="0.2">
      <c r="A1007" s="34">
        <v>41762</v>
      </c>
      <c r="B1007" s="53" t="s">
        <v>859</v>
      </c>
      <c r="C1007" s="83" t="s">
        <v>5833</v>
      </c>
      <c r="D1007" s="1">
        <v>1.3217592592592593E-2</v>
      </c>
      <c r="E1007" t="s">
        <v>5885</v>
      </c>
      <c r="F1007" s="69" t="s">
        <v>396</v>
      </c>
      <c r="K1007" s="314">
        <v>0.76880000000000004</v>
      </c>
    </row>
    <row r="1008" spans="1:18" x14ac:dyDescent="0.2">
      <c r="A1008" s="34">
        <v>41755</v>
      </c>
      <c r="B1008" s="53" t="s">
        <v>859</v>
      </c>
      <c r="C1008" s="83" t="s">
        <v>5833</v>
      </c>
      <c r="D1008" s="1">
        <v>1.3356481481481483E-2</v>
      </c>
      <c r="E1008" t="s">
        <v>1120</v>
      </c>
      <c r="F1008" s="42" t="s">
        <v>2687</v>
      </c>
      <c r="K1008" s="314">
        <v>0.76080000000000003</v>
      </c>
    </row>
    <row r="1009" spans="1:11" x14ac:dyDescent="0.2">
      <c r="A1009" s="34">
        <v>41727</v>
      </c>
      <c r="B1009" s="53" t="s">
        <v>859</v>
      </c>
      <c r="C1009" s="83" t="s">
        <v>5833</v>
      </c>
      <c r="D1009" s="1">
        <v>1.4687499999999999E-2</v>
      </c>
      <c r="E1009" t="s">
        <v>129</v>
      </c>
      <c r="F1009" s="69" t="s">
        <v>5262</v>
      </c>
      <c r="K1009" s="314">
        <v>0.69189999999999996</v>
      </c>
    </row>
    <row r="1010" spans="1:11" x14ac:dyDescent="0.2">
      <c r="A1010" s="34">
        <v>41720</v>
      </c>
      <c r="B1010" s="53" t="s">
        <v>859</v>
      </c>
      <c r="C1010" s="83" t="s">
        <v>5833</v>
      </c>
      <c r="D1010" s="1">
        <v>1.3819444444444445E-2</v>
      </c>
      <c r="E1010" t="s">
        <v>129</v>
      </c>
      <c r="F1010" s="69" t="s">
        <v>424</v>
      </c>
      <c r="K1010" s="314">
        <v>0.73529999999999995</v>
      </c>
    </row>
    <row r="1011" spans="1:11" x14ac:dyDescent="0.2">
      <c r="A1011" s="34">
        <v>41671</v>
      </c>
      <c r="B1011" s="53" t="s">
        <v>859</v>
      </c>
      <c r="C1011" s="83" t="s">
        <v>5833</v>
      </c>
      <c r="D1011" s="1">
        <v>1.4641203703703703E-2</v>
      </c>
      <c r="E1011" t="s">
        <v>129</v>
      </c>
      <c r="F1011" s="69"/>
      <c r="K1011" s="314">
        <v>0.6885</v>
      </c>
    </row>
    <row r="1012" spans="1:11" x14ac:dyDescent="0.2">
      <c r="A1012" s="34">
        <v>41664</v>
      </c>
      <c r="B1012" s="53" t="s">
        <v>3378</v>
      </c>
      <c r="C1012" s="83" t="s">
        <v>5833</v>
      </c>
      <c r="D1012" s="1">
        <v>1.3784722222222224E-2</v>
      </c>
      <c r="E1012" t="s">
        <v>129</v>
      </c>
      <c r="F1012" s="69" t="s">
        <v>2629</v>
      </c>
      <c r="K1012" s="314">
        <v>0.73129999999999995</v>
      </c>
    </row>
    <row r="1013" spans="1:11" x14ac:dyDescent="0.2">
      <c r="A1013" s="33">
        <v>41986</v>
      </c>
      <c r="B1013" s="53" t="s">
        <v>922</v>
      </c>
      <c r="C1013" s="54" t="s">
        <v>5833</v>
      </c>
      <c r="D1013" s="1">
        <v>1.3391203703703704E-2</v>
      </c>
      <c r="E1013" t="s">
        <v>5885</v>
      </c>
      <c r="F1013" s="42"/>
      <c r="K1013" s="314">
        <v>0.75890000000000002</v>
      </c>
    </row>
    <row r="1014" spans="1:11" x14ac:dyDescent="0.2">
      <c r="A1014" s="34">
        <v>41797</v>
      </c>
      <c r="B1014" s="53" t="s">
        <v>922</v>
      </c>
      <c r="C1014" s="83" t="s">
        <v>5833</v>
      </c>
      <c r="D1014" s="1">
        <v>1.3287037037037036E-2</v>
      </c>
      <c r="E1014" t="s">
        <v>5885</v>
      </c>
      <c r="F1014" s="42" t="s">
        <v>1400</v>
      </c>
      <c r="K1014" s="314">
        <v>0.76480000000000004</v>
      </c>
    </row>
    <row r="1015" spans="1:11" x14ac:dyDescent="0.2">
      <c r="A1015" s="34">
        <v>41748</v>
      </c>
      <c r="B1015" s="53" t="s">
        <v>922</v>
      </c>
      <c r="C1015" s="83" t="s">
        <v>5833</v>
      </c>
      <c r="D1015" s="1">
        <v>1.4004629629629631E-2</v>
      </c>
      <c r="E1015" t="s">
        <v>129</v>
      </c>
      <c r="F1015" s="69" t="s">
        <v>2025</v>
      </c>
      <c r="K1015" s="314">
        <v>0.72560000000000002</v>
      </c>
    </row>
    <row r="1016" spans="1:11" x14ac:dyDescent="0.2">
      <c r="A1016" s="34">
        <v>41741</v>
      </c>
      <c r="B1016" s="53" t="s">
        <v>922</v>
      </c>
      <c r="C1016" s="83" t="s">
        <v>5833</v>
      </c>
      <c r="D1016" s="1">
        <v>1.324074074074074E-2</v>
      </c>
      <c r="E1016" t="s">
        <v>5885</v>
      </c>
      <c r="F1016" s="69" t="s">
        <v>3994</v>
      </c>
      <c r="K1016" s="314">
        <v>0.76749999999999996</v>
      </c>
    </row>
    <row r="1017" spans="1:11" x14ac:dyDescent="0.2">
      <c r="A1017" s="34">
        <v>41734</v>
      </c>
      <c r="B1017" s="53" t="s">
        <v>922</v>
      </c>
      <c r="C1017" s="83" t="s">
        <v>5833</v>
      </c>
      <c r="D1017" s="1">
        <v>1.3391203703703704E-2</v>
      </c>
      <c r="E1017" t="s">
        <v>5885</v>
      </c>
      <c r="F1017" s="42" t="s">
        <v>3990</v>
      </c>
      <c r="K1017" s="314">
        <v>0.75890000000000002</v>
      </c>
    </row>
    <row r="1018" spans="1:11" x14ac:dyDescent="0.2">
      <c r="A1018" s="34">
        <v>41713</v>
      </c>
      <c r="B1018" s="53" t="s">
        <v>922</v>
      </c>
      <c r="C1018" s="83" t="s">
        <v>5833</v>
      </c>
      <c r="D1018" s="1">
        <v>1.3391203703703704E-2</v>
      </c>
      <c r="E1018" t="s">
        <v>5885</v>
      </c>
      <c r="F1018" s="69" t="s">
        <v>2731</v>
      </c>
      <c r="K1018" s="314">
        <v>0.75890000000000002</v>
      </c>
    </row>
    <row r="1019" spans="1:11" x14ac:dyDescent="0.2">
      <c r="A1019" s="34">
        <v>41706</v>
      </c>
      <c r="B1019" s="53" t="s">
        <v>922</v>
      </c>
      <c r="C1019" s="83" t="s">
        <v>5833</v>
      </c>
      <c r="D1019" s="1">
        <v>2.0428240740740743E-2</v>
      </c>
      <c r="E1019" t="s">
        <v>5885</v>
      </c>
      <c r="F1019" s="69" t="s">
        <v>2523</v>
      </c>
      <c r="K1019" s="314">
        <v>0.75360000000000005</v>
      </c>
    </row>
    <row r="1020" spans="1:11" x14ac:dyDescent="0.2">
      <c r="A1020" s="34"/>
      <c r="B1020" s="53"/>
      <c r="C1020" s="83"/>
      <c r="D1020" s="1"/>
      <c r="F1020" s="69"/>
      <c r="K1020" s="314"/>
    </row>
    <row r="1021" spans="1:11" x14ac:dyDescent="0.2">
      <c r="A1021" s="33">
        <v>41930</v>
      </c>
      <c r="B1021" s="53" t="s">
        <v>53</v>
      </c>
      <c r="C1021" s="54" t="s">
        <v>3846</v>
      </c>
      <c r="D1021" s="1">
        <v>1.5370370370370369E-2</v>
      </c>
      <c r="E1021" t="s">
        <v>5095</v>
      </c>
      <c r="F1021" s="69"/>
      <c r="K1021" s="314">
        <v>0.73119999999999996</v>
      </c>
    </row>
    <row r="1022" spans="1:11" x14ac:dyDescent="0.2">
      <c r="A1022" s="34">
        <v>41797</v>
      </c>
      <c r="B1022" s="53" t="s">
        <v>53</v>
      </c>
      <c r="C1022" s="83" t="s">
        <v>3846</v>
      </c>
      <c r="D1022" s="1">
        <v>1.5231481481481483E-2</v>
      </c>
      <c r="E1022" t="s">
        <v>5095</v>
      </c>
      <c r="F1022" s="42" t="s">
        <v>3515</v>
      </c>
      <c r="K1022" s="314">
        <v>0.73099999999999998</v>
      </c>
    </row>
    <row r="1023" spans="1:11" x14ac:dyDescent="0.2">
      <c r="A1023" s="33">
        <v>41951</v>
      </c>
      <c r="B1023" s="53" t="s">
        <v>53</v>
      </c>
      <c r="C1023" s="54" t="s">
        <v>3274</v>
      </c>
      <c r="D1023" s="1">
        <v>1.539351851851852E-2</v>
      </c>
      <c r="E1023" t="s">
        <v>5095</v>
      </c>
      <c r="F1023" s="69"/>
      <c r="K1023" s="314">
        <v>0.73010000000000008</v>
      </c>
    </row>
    <row r="1024" spans="1:11" x14ac:dyDescent="0.2">
      <c r="A1024" s="33"/>
      <c r="B1024" s="53"/>
      <c r="C1024" s="54"/>
      <c r="D1024" s="1"/>
      <c r="F1024" s="69"/>
      <c r="K1024" s="314"/>
    </row>
    <row r="1025" spans="1:12" x14ac:dyDescent="0.2">
      <c r="A1025" s="33">
        <v>41986</v>
      </c>
      <c r="B1025" s="2" t="s">
        <v>864</v>
      </c>
      <c r="C1025" s="3" t="s">
        <v>865</v>
      </c>
      <c r="D1025" s="1">
        <v>1.4189814814814815E-2</v>
      </c>
      <c r="E1025" t="s">
        <v>3072</v>
      </c>
      <c r="F1025" s="69" t="s">
        <v>2273</v>
      </c>
      <c r="K1025" s="314">
        <v>0.77810000000000001</v>
      </c>
    </row>
    <row r="1026" spans="1:12" x14ac:dyDescent="0.2">
      <c r="A1026" s="33">
        <v>41888</v>
      </c>
      <c r="B1026" t="s">
        <v>864</v>
      </c>
      <c r="C1026" s="1" t="s">
        <v>865</v>
      </c>
      <c r="D1026" s="1">
        <v>1.3518518518518518E-2</v>
      </c>
      <c r="E1026" t="s">
        <v>5198</v>
      </c>
      <c r="F1026" s="69" t="s">
        <v>2975</v>
      </c>
      <c r="K1026" s="314">
        <v>0.80989999999999995</v>
      </c>
      <c r="L1026" t="s">
        <v>3889</v>
      </c>
    </row>
    <row r="1027" spans="1:12" x14ac:dyDescent="0.2">
      <c r="A1027" s="33">
        <v>41867</v>
      </c>
      <c r="B1027" t="s">
        <v>864</v>
      </c>
      <c r="C1027" s="1" t="s">
        <v>865</v>
      </c>
      <c r="D1027" s="1">
        <v>1.3796296296296298E-2</v>
      </c>
      <c r="E1027" t="s">
        <v>3072</v>
      </c>
      <c r="F1027" s="69" t="s">
        <v>2629</v>
      </c>
      <c r="K1027" s="314">
        <v>0.79359999999999997</v>
      </c>
    </row>
    <row r="1028" spans="1:12" x14ac:dyDescent="0.2">
      <c r="A1028" s="34">
        <v>41846</v>
      </c>
      <c r="B1028" t="s">
        <v>864</v>
      </c>
      <c r="C1028" s="1" t="s">
        <v>865</v>
      </c>
      <c r="D1028" s="1">
        <v>1.4236111111111111E-2</v>
      </c>
      <c r="E1028" t="s">
        <v>2818</v>
      </c>
      <c r="F1028" s="42" t="s">
        <v>4483</v>
      </c>
      <c r="K1028" s="314">
        <v>0.76910000000000001</v>
      </c>
    </row>
    <row r="1029" spans="1:12" x14ac:dyDescent="0.2">
      <c r="A1029" s="34">
        <v>41832</v>
      </c>
      <c r="B1029" t="s">
        <v>864</v>
      </c>
      <c r="C1029" s="9" t="s">
        <v>865</v>
      </c>
      <c r="D1029" s="1">
        <v>1.4074074074074074E-2</v>
      </c>
      <c r="E1029" t="s">
        <v>2840</v>
      </c>
      <c r="F1029" s="69" t="s">
        <v>708</v>
      </c>
      <c r="K1029" s="314">
        <v>0.77800000000000002</v>
      </c>
    </row>
    <row r="1030" spans="1:12" x14ac:dyDescent="0.2">
      <c r="A1030" s="34">
        <v>41769</v>
      </c>
      <c r="B1030" s="5" t="s">
        <v>864</v>
      </c>
      <c r="C1030" s="104" t="s">
        <v>865</v>
      </c>
      <c r="D1030" s="1">
        <v>1.3842592592592594E-2</v>
      </c>
      <c r="E1030" t="s">
        <v>3072</v>
      </c>
      <c r="F1030" s="42"/>
      <c r="K1030" s="314">
        <v>0.79100000000000004</v>
      </c>
    </row>
    <row r="1031" spans="1:12" x14ac:dyDescent="0.2">
      <c r="A1031" s="34">
        <v>41748</v>
      </c>
      <c r="B1031" s="5" t="s">
        <v>864</v>
      </c>
      <c r="C1031" s="104" t="s">
        <v>865</v>
      </c>
      <c r="D1031" s="1">
        <v>1.3773148148148147E-2</v>
      </c>
      <c r="E1031" t="s">
        <v>3167</v>
      </c>
      <c r="F1031" s="69" t="s">
        <v>2629</v>
      </c>
      <c r="K1031" s="314">
        <v>0.79500000000000004</v>
      </c>
    </row>
    <row r="1032" spans="1:12" x14ac:dyDescent="0.2">
      <c r="A1032" s="34"/>
      <c r="B1032" s="5"/>
      <c r="C1032" s="104"/>
      <c r="D1032" s="1"/>
      <c r="F1032" s="69"/>
      <c r="K1032" s="314"/>
    </row>
    <row r="1033" spans="1:12" x14ac:dyDescent="0.2">
      <c r="A1033" s="33">
        <v>41986</v>
      </c>
      <c r="B1033" t="s">
        <v>3508</v>
      </c>
      <c r="C1033" s="1" t="s">
        <v>3237</v>
      </c>
      <c r="D1033" s="1">
        <v>1.7731481481481483E-2</v>
      </c>
      <c r="E1033" t="s">
        <v>5883</v>
      </c>
      <c r="F1033" s="69" t="s">
        <v>2270</v>
      </c>
      <c r="K1033" s="314">
        <v>0.57509999999999994</v>
      </c>
    </row>
    <row r="1034" spans="1:12" x14ac:dyDescent="0.2">
      <c r="A1034" s="33">
        <v>41965</v>
      </c>
      <c r="B1034" t="s">
        <v>3508</v>
      </c>
      <c r="C1034" s="1" t="s">
        <v>3237</v>
      </c>
      <c r="D1034" s="1">
        <v>1.8217592592592594E-2</v>
      </c>
      <c r="E1034" t="s">
        <v>5883</v>
      </c>
      <c r="F1034" s="5"/>
      <c r="G1034" s="5"/>
      <c r="H1034" s="5"/>
      <c r="I1034" s="5"/>
      <c r="J1034" s="5"/>
      <c r="K1034" s="314">
        <v>0.55779999999999996</v>
      </c>
      <c r="L1034" t="s">
        <v>2564</v>
      </c>
    </row>
    <row r="1035" spans="1:12" x14ac:dyDescent="0.2">
      <c r="A1035" s="34">
        <v>41839</v>
      </c>
      <c r="B1035" t="s">
        <v>3508</v>
      </c>
      <c r="C1035" s="1" t="s">
        <v>3237</v>
      </c>
      <c r="D1035" s="1">
        <v>1.8796296296296297E-2</v>
      </c>
      <c r="E1035" t="s">
        <v>5883</v>
      </c>
      <c r="F1035" s="69" t="s">
        <v>1170</v>
      </c>
      <c r="K1035" s="314">
        <v>0.54059999999999997</v>
      </c>
    </row>
    <row r="1036" spans="1:12" x14ac:dyDescent="0.2">
      <c r="A1036" s="34">
        <v>41790</v>
      </c>
      <c r="B1036" t="s">
        <v>3508</v>
      </c>
      <c r="C1036" s="9" t="s">
        <v>3237</v>
      </c>
      <c r="D1036" s="1">
        <v>2.8483796296296295E-2</v>
      </c>
      <c r="E1036" t="s">
        <v>3346</v>
      </c>
      <c r="F1036" s="69"/>
      <c r="K1036" s="314">
        <v>0.35680000000000001</v>
      </c>
    </row>
    <row r="1037" spans="1:12" x14ac:dyDescent="0.2">
      <c r="A1037" s="34">
        <v>41713</v>
      </c>
      <c r="B1037" t="s">
        <v>3508</v>
      </c>
      <c r="C1037" s="9" t="s">
        <v>3237</v>
      </c>
      <c r="D1037" s="1">
        <v>1.7939814814814815E-2</v>
      </c>
      <c r="E1037" t="s">
        <v>5883</v>
      </c>
      <c r="F1037" s="69"/>
      <c r="K1037" s="314">
        <v>0.56189999999999996</v>
      </c>
    </row>
    <row r="1038" spans="1:12" x14ac:dyDescent="0.2">
      <c r="A1038" s="34">
        <v>41671</v>
      </c>
      <c r="B1038" t="s">
        <v>3508</v>
      </c>
      <c r="C1038" s="9" t="s">
        <v>3237</v>
      </c>
      <c r="D1038" s="1">
        <v>1.8761574074074073E-2</v>
      </c>
      <c r="E1038" t="s">
        <v>5883</v>
      </c>
      <c r="F1038" s="69"/>
      <c r="K1038" s="314">
        <v>0.5373</v>
      </c>
    </row>
    <row r="1039" spans="1:12" x14ac:dyDescent="0.2">
      <c r="A1039" s="34">
        <v>41664</v>
      </c>
      <c r="B1039" t="s">
        <v>3508</v>
      </c>
      <c r="C1039" s="9" t="s">
        <v>3237</v>
      </c>
      <c r="D1039" s="1">
        <v>1.892361111111111E-2</v>
      </c>
      <c r="E1039" t="s">
        <v>5883</v>
      </c>
      <c r="F1039" s="69" t="s">
        <v>2240</v>
      </c>
      <c r="K1039" s="314">
        <v>0.53269999999999995</v>
      </c>
    </row>
    <row r="1040" spans="1:12" x14ac:dyDescent="0.2">
      <c r="A1040" s="34"/>
      <c r="C1040" s="9"/>
      <c r="D1040" s="1"/>
      <c r="F1040" s="69"/>
      <c r="K1040" s="314"/>
    </row>
    <row r="1041" spans="1:11" x14ac:dyDescent="0.2">
      <c r="A1041" s="33">
        <v>41937</v>
      </c>
      <c r="B1041" t="s">
        <v>53</v>
      </c>
      <c r="C1041" s="1" t="s">
        <v>54</v>
      </c>
      <c r="D1041" s="1">
        <v>1.8657407407407407E-2</v>
      </c>
      <c r="E1041" t="s">
        <v>5885</v>
      </c>
      <c r="F1041" s="69" t="s">
        <v>705</v>
      </c>
      <c r="K1041" s="314">
        <v>0.63590000000000002</v>
      </c>
    </row>
    <row r="1042" spans="1:11" x14ac:dyDescent="0.2">
      <c r="A1042" s="34">
        <v>41804</v>
      </c>
      <c r="B1042" t="s">
        <v>53</v>
      </c>
      <c r="C1042" s="9" t="s">
        <v>54</v>
      </c>
      <c r="D1042" s="1">
        <v>1.8518518518518521E-2</v>
      </c>
      <c r="E1042" t="s">
        <v>5885</v>
      </c>
      <c r="F1042" s="69" t="s">
        <v>1293</v>
      </c>
      <c r="K1042" s="314">
        <v>0.63500000000000001</v>
      </c>
    </row>
    <row r="1043" spans="1:11" x14ac:dyDescent="0.2">
      <c r="A1043" s="34">
        <v>41640</v>
      </c>
      <c r="B1043" t="s">
        <v>53</v>
      </c>
      <c r="C1043" s="9" t="s">
        <v>54</v>
      </c>
      <c r="D1043" s="1">
        <v>1.861111111111111E-2</v>
      </c>
      <c r="E1043" t="s">
        <v>5885</v>
      </c>
      <c r="F1043" s="69"/>
      <c r="K1043" s="314">
        <v>0.63180000000000003</v>
      </c>
    </row>
    <row r="1044" spans="1:11" x14ac:dyDescent="0.2">
      <c r="A1044" s="34"/>
      <c r="C1044" s="9"/>
      <c r="D1044" s="1"/>
      <c r="F1044" s="69"/>
      <c r="K1044" s="314"/>
    </row>
    <row r="1045" spans="1:11" x14ac:dyDescent="0.2">
      <c r="A1045" s="33">
        <v>41979</v>
      </c>
      <c r="B1045" s="53" t="s">
        <v>260</v>
      </c>
      <c r="C1045" s="54" t="s">
        <v>261</v>
      </c>
      <c r="D1045" s="1" t="s">
        <v>787</v>
      </c>
      <c r="E1045" t="s">
        <v>806</v>
      </c>
      <c r="F1045" s="69"/>
      <c r="K1045" s="314"/>
    </row>
    <row r="1046" spans="1:11" x14ac:dyDescent="0.2">
      <c r="A1046" s="33">
        <v>41972</v>
      </c>
      <c r="B1046" s="53" t="s">
        <v>260</v>
      </c>
      <c r="C1046" s="54" t="s">
        <v>261</v>
      </c>
      <c r="D1046" s="1">
        <v>2.3715277777777776E-2</v>
      </c>
      <c r="E1046" t="s">
        <v>806</v>
      </c>
      <c r="F1046" s="42"/>
      <c r="K1046" s="314">
        <v>0.57589999999999997</v>
      </c>
    </row>
    <row r="1047" spans="1:11" x14ac:dyDescent="0.2">
      <c r="A1047" s="33">
        <v>41965</v>
      </c>
      <c r="B1047" s="53" t="s">
        <v>260</v>
      </c>
      <c r="C1047" s="54" t="s">
        <v>261</v>
      </c>
      <c r="D1047" s="1">
        <v>2.5462962962962962E-2</v>
      </c>
      <c r="E1047" t="s">
        <v>806</v>
      </c>
      <c r="F1047" s="42"/>
      <c r="K1047" s="314">
        <v>0.53639999999999999</v>
      </c>
    </row>
    <row r="1048" spans="1:11" x14ac:dyDescent="0.2">
      <c r="A1048" s="33">
        <v>41958</v>
      </c>
      <c r="B1048" s="53" t="s">
        <v>260</v>
      </c>
      <c r="C1048" s="54" t="s">
        <v>261</v>
      </c>
      <c r="D1048" s="1">
        <v>2.5520833333333336E-2</v>
      </c>
      <c r="E1048" t="s">
        <v>806</v>
      </c>
      <c r="F1048" s="42"/>
      <c r="K1048" s="314">
        <v>0.53510000000000002</v>
      </c>
    </row>
    <row r="1049" spans="1:11" x14ac:dyDescent="0.2">
      <c r="A1049" s="33">
        <v>41951</v>
      </c>
      <c r="B1049" s="53" t="s">
        <v>260</v>
      </c>
      <c r="C1049" s="54" t="s">
        <v>261</v>
      </c>
      <c r="D1049" s="1">
        <v>2.5046296296296299E-2</v>
      </c>
      <c r="E1049" t="s">
        <v>806</v>
      </c>
      <c r="F1049" s="41"/>
      <c r="K1049" s="314">
        <v>0.54530000000000001</v>
      </c>
    </row>
    <row r="1050" spans="1:11" x14ac:dyDescent="0.2">
      <c r="A1050" s="33">
        <v>41937</v>
      </c>
      <c r="B1050" s="266" t="s">
        <v>260</v>
      </c>
      <c r="C1050" s="267" t="s">
        <v>261</v>
      </c>
      <c r="D1050" s="1">
        <v>2.4872685185185189E-2</v>
      </c>
      <c r="E1050" s="42" t="s">
        <v>806</v>
      </c>
      <c r="F1050" s="126" t="s">
        <v>1164</v>
      </c>
      <c r="G1050" s="125"/>
      <c r="K1050" s="314">
        <v>0.54910000000000003</v>
      </c>
    </row>
    <row r="1051" spans="1:11" x14ac:dyDescent="0.2">
      <c r="A1051" s="33">
        <v>41930</v>
      </c>
      <c r="B1051" s="53" t="s">
        <v>260</v>
      </c>
      <c r="C1051" s="54" t="s">
        <v>261</v>
      </c>
      <c r="D1051" s="1">
        <v>2.5694444444444447E-2</v>
      </c>
      <c r="E1051" s="42" t="s">
        <v>806</v>
      </c>
      <c r="F1051" s="69" t="s">
        <v>2242</v>
      </c>
      <c r="K1051" s="314">
        <v>0.53149999999999997</v>
      </c>
    </row>
    <row r="1052" spans="1:11" x14ac:dyDescent="0.2">
      <c r="A1052" s="33">
        <v>41909</v>
      </c>
      <c r="B1052" s="53" t="s">
        <v>260</v>
      </c>
      <c r="C1052" s="54" t="s">
        <v>261</v>
      </c>
      <c r="D1052" s="1">
        <v>2.4363425925925927E-2</v>
      </c>
      <c r="E1052" t="s">
        <v>2825</v>
      </c>
      <c r="F1052" s="69" t="s">
        <v>3754</v>
      </c>
      <c r="K1052" s="314">
        <v>0.56059999999999999</v>
      </c>
    </row>
    <row r="1053" spans="1:11" x14ac:dyDescent="0.2">
      <c r="A1053" s="33"/>
      <c r="B1053" s="53"/>
      <c r="C1053" s="54"/>
      <c r="D1053" s="1"/>
      <c r="F1053" s="69"/>
      <c r="K1053" s="314"/>
    </row>
    <row r="1054" spans="1:11" x14ac:dyDescent="0.2">
      <c r="A1054" s="33">
        <v>41979</v>
      </c>
      <c r="B1054" t="s">
        <v>3755</v>
      </c>
      <c r="C1054" s="1" t="s">
        <v>261</v>
      </c>
      <c r="D1054" s="1" t="s">
        <v>787</v>
      </c>
      <c r="E1054" t="s">
        <v>806</v>
      </c>
      <c r="F1054" s="69"/>
      <c r="K1054" s="314"/>
    </row>
    <row r="1055" spans="1:11" x14ac:dyDescent="0.2">
      <c r="A1055" s="34">
        <v>41972</v>
      </c>
      <c r="B1055" s="53" t="s">
        <v>3755</v>
      </c>
      <c r="C1055" s="83" t="s">
        <v>261</v>
      </c>
      <c r="D1055" s="1">
        <v>2.2638888888888889E-2</v>
      </c>
      <c r="E1055" t="s">
        <v>806</v>
      </c>
      <c r="F1055" s="41"/>
      <c r="K1055" s="314">
        <v>0.66099999999999992</v>
      </c>
    </row>
    <row r="1056" spans="1:11" x14ac:dyDescent="0.2">
      <c r="A1056" s="34">
        <v>41965</v>
      </c>
      <c r="B1056" s="53" t="s">
        <v>3755</v>
      </c>
      <c r="C1056" s="83" t="s">
        <v>261</v>
      </c>
      <c r="D1056" s="1">
        <v>2.3356481481481482E-2</v>
      </c>
      <c r="E1056" t="s">
        <v>806</v>
      </c>
      <c r="F1056" s="41"/>
      <c r="K1056" s="314">
        <v>0.64069999999999994</v>
      </c>
    </row>
    <row r="1057" spans="1:11" x14ac:dyDescent="0.2">
      <c r="A1057" s="33">
        <v>41958</v>
      </c>
      <c r="B1057" s="53" t="s">
        <v>3755</v>
      </c>
      <c r="C1057" s="54" t="s">
        <v>261</v>
      </c>
      <c r="D1057" s="1">
        <v>2.3032407407407404E-2</v>
      </c>
      <c r="E1057" t="s">
        <v>806</v>
      </c>
      <c r="F1057" s="42"/>
      <c r="K1057" s="314">
        <v>0.64970000000000006</v>
      </c>
    </row>
    <row r="1058" spans="1:11" x14ac:dyDescent="0.2">
      <c r="A1058" s="33">
        <v>41951</v>
      </c>
      <c r="B1058" s="53" t="s">
        <v>3755</v>
      </c>
      <c r="C1058" s="54" t="s">
        <v>261</v>
      </c>
      <c r="D1058" s="1">
        <v>2.1226851851851854E-2</v>
      </c>
      <c r="E1058" t="s">
        <v>806</v>
      </c>
      <c r="F1058" s="41" t="s">
        <v>363</v>
      </c>
      <c r="G1058" t="s">
        <v>1164</v>
      </c>
      <c r="K1058" s="314">
        <v>0.70499999999999996</v>
      </c>
    </row>
    <row r="1059" spans="1:11" x14ac:dyDescent="0.2">
      <c r="A1059" s="33">
        <v>41937</v>
      </c>
      <c r="B1059" s="53" t="s">
        <v>3755</v>
      </c>
      <c r="C1059" s="54" t="s">
        <v>261</v>
      </c>
      <c r="D1059" s="1">
        <v>2.3483796296296298E-2</v>
      </c>
      <c r="E1059" s="42" t="s">
        <v>806</v>
      </c>
      <c r="F1059" s="69" t="s">
        <v>2242</v>
      </c>
      <c r="K1059" s="314">
        <v>0.64359999999999995</v>
      </c>
    </row>
    <row r="1060" spans="1:11" x14ac:dyDescent="0.2">
      <c r="A1060" s="33">
        <v>41930</v>
      </c>
      <c r="B1060" s="53" t="s">
        <v>3755</v>
      </c>
      <c r="C1060" s="54" t="s">
        <v>261</v>
      </c>
      <c r="D1060" s="1">
        <v>2.3009259259259257E-2</v>
      </c>
      <c r="E1060" s="42" t="s">
        <v>806</v>
      </c>
      <c r="F1060" s="69" t="s">
        <v>2104</v>
      </c>
      <c r="K1060" s="314">
        <v>0.65039999999999998</v>
      </c>
    </row>
    <row r="1061" spans="1:11" x14ac:dyDescent="0.2">
      <c r="A1061" s="33">
        <v>41909</v>
      </c>
      <c r="B1061" s="53" t="s">
        <v>3755</v>
      </c>
      <c r="C1061" s="54" t="s">
        <v>261</v>
      </c>
      <c r="D1061" s="1">
        <v>2.372685185185185E-2</v>
      </c>
      <c r="E1061" t="s">
        <v>2825</v>
      </c>
      <c r="F1061" s="41"/>
      <c r="K1061" s="314">
        <v>0.63070000000000004</v>
      </c>
    </row>
    <row r="1062" spans="1:11" x14ac:dyDescent="0.2">
      <c r="A1062" s="33"/>
      <c r="B1062" s="53"/>
      <c r="C1062" s="54"/>
      <c r="D1062" s="1"/>
      <c r="F1062" s="41"/>
      <c r="K1062" s="314"/>
    </row>
    <row r="1063" spans="1:11" x14ac:dyDescent="0.2">
      <c r="A1063" s="33">
        <v>41895</v>
      </c>
      <c r="B1063" s="2" t="s">
        <v>2703</v>
      </c>
      <c r="C1063" s="3" t="s">
        <v>2704</v>
      </c>
      <c r="D1063" s="1">
        <v>2.2546296296296297E-2</v>
      </c>
      <c r="E1063" t="s">
        <v>5948</v>
      </c>
      <c r="F1063" s="69" t="s">
        <v>5428</v>
      </c>
      <c r="K1063" s="314">
        <v>0.52259999999999995</v>
      </c>
    </row>
    <row r="1064" spans="1:11" x14ac:dyDescent="0.2">
      <c r="A1064" s="33">
        <v>41853</v>
      </c>
      <c r="B1064" t="s">
        <v>2703</v>
      </c>
      <c r="C1064" s="1" t="s">
        <v>2704</v>
      </c>
      <c r="D1064" s="1">
        <v>2.2962962962962966E-2</v>
      </c>
      <c r="E1064" t="s">
        <v>5883</v>
      </c>
      <c r="F1064" s="69"/>
      <c r="K1064" s="314">
        <v>0.5131</v>
      </c>
    </row>
    <row r="1065" spans="1:11" x14ac:dyDescent="0.2">
      <c r="A1065" s="34">
        <v>41699</v>
      </c>
      <c r="B1065" t="s">
        <v>2703</v>
      </c>
      <c r="C1065" s="9" t="s">
        <v>2704</v>
      </c>
      <c r="D1065" s="1">
        <v>2.3773148148148151E-2</v>
      </c>
      <c r="E1065" t="s">
        <v>5883</v>
      </c>
      <c r="F1065" s="42" t="s">
        <v>5502</v>
      </c>
      <c r="K1065" s="314">
        <v>0.48980000000000001</v>
      </c>
    </row>
    <row r="1066" spans="1:11" x14ac:dyDescent="0.2">
      <c r="A1066" s="34">
        <v>41671</v>
      </c>
      <c r="B1066" t="s">
        <v>2703</v>
      </c>
      <c r="C1066" s="9" t="s">
        <v>2704</v>
      </c>
      <c r="D1066" s="1">
        <v>2.3472222222222217E-2</v>
      </c>
      <c r="E1066" t="s">
        <v>5883</v>
      </c>
      <c r="F1066" s="69"/>
      <c r="K1066" s="314">
        <v>0.49609999999999999</v>
      </c>
    </row>
    <row r="1067" spans="1:11" x14ac:dyDescent="0.2">
      <c r="A1067" s="34"/>
      <c r="C1067" s="9"/>
      <c r="D1067" s="1"/>
      <c r="F1067" s="69"/>
      <c r="K1067" s="314"/>
    </row>
    <row r="1068" spans="1:11" x14ac:dyDescent="0.2">
      <c r="A1068" s="34">
        <v>41846</v>
      </c>
      <c r="B1068" s="53" t="s">
        <v>4481</v>
      </c>
      <c r="C1068" s="54" t="s">
        <v>4482</v>
      </c>
      <c r="D1068" s="1">
        <v>1.3344907407407408E-2</v>
      </c>
      <c r="E1068" t="s">
        <v>2818</v>
      </c>
      <c r="F1068" s="42" t="s">
        <v>2057</v>
      </c>
      <c r="K1068" s="314">
        <v>0.79269999999999996</v>
      </c>
    </row>
    <row r="1069" spans="1:11" x14ac:dyDescent="0.2">
      <c r="A1069" s="33" t="s">
        <v>1212</v>
      </c>
      <c r="C1069" s="1"/>
      <c r="F1069" s="42"/>
      <c r="K1069" s="314"/>
    </row>
    <row r="1070" spans="1:11" x14ac:dyDescent="0.2">
      <c r="A1070" s="34"/>
      <c r="B1070" s="53"/>
      <c r="C1070" s="83"/>
      <c r="D1070" s="1"/>
      <c r="F1070" s="69"/>
      <c r="K1070" s="314"/>
    </row>
    <row r="1071" spans="1:11" x14ac:dyDescent="0.2">
      <c r="A1071" s="33"/>
      <c r="C1071" s="1"/>
      <c r="F1071" s="42"/>
      <c r="K1071" s="314"/>
    </row>
    <row r="1072" spans="1:11" x14ac:dyDescent="0.2">
      <c r="A1072" s="33"/>
      <c r="B1072" s="53"/>
      <c r="C1072" s="54"/>
      <c r="D1072" s="1"/>
      <c r="F1072" s="69"/>
      <c r="K1072" s="314"/>
    </row>
    <row r="1073" spans="1:12" x14ac:dyDescent="0.2">
      <c r="A1073" s="91">
        <v>41609</v>
      </c>
      <c r="C1073" s="9"/>
      <c r="F1073" s="41"/>
      <c r="K1073"/>
    </row>
    <row r="1074" spans="1:12" x14ac:dyDescent="0.2">
      <c r="A1074" s="34">
        <v>41615</v>
      </c>
      <c r="B1074" t="s">
        <v>868</v>
      </c>
      <c r="C1074" s="9" t="s">
        <v>869</v>
      </c>
      <c r="D1074" s="1">
        <v>2.1284722222222222E-2</v>
      </c>
      <c r="E1074" t="s">
        <v>5544</v>
      </c>
      <c r="F1074" s="69"/>
      <c r="K1074" s="82">
        <v>0.62519999999999998</v>
      </c>
    </row>
    <row r="1075" spans="1:12" x14ac:dyDescent="0.2">
      <c r="A1075" s="34">
        <v>41622</v>
      </c>
      <c r="B1075" t="s">
        <v>868</v>
      </c>
      <c r="C1075" s="9" t="s">
        <v>869</v>
      </c>
      <c r="D1075" s="1">
        <v>2.1388888888888888E-2</v>
      </c>
      <c r="E1075" t="s">
        <v>5544</v>
      </c>
      <c r="F1075" s="69"/>
      <c r="K1075" s="82">
        <v>0.65210000000000001</v>
      </c>
    </row>
    <row r="1076" spans="1:12" x14ac:dyDescent="0.2">
      <c r="A1076" s="34">
        <v>41636</v>
      </c>
      <c r="B1076" t="s">
        <v>868</v>
      </c>
      <c r="C1076" s="9" t="s">
        <v>869</v>
      </c>
      <c r="D1076" s="1">
        <v>2.2708333333333334E-2</v>
      </c>
      <c r="E1076" t="s">
        <v>5544</v>
      </c>
      <c r="F1076" s="69"/>
      <c r="K1076" s="82">
        <v>0.61419999999999997</v>
      </c>
    </row>
    <row r="1077" spans="1:12" x14ac:dyDescent="0.2">
      <c r="A1077" s="34">
        <v>41615</v>
      </c>
      <c r="B1077" t="s">
        <v>863</v>
      </c>
      <c r="C1077" s="9" t="s">
        <v>2250</v>
      </c>
      <c r="D1077" s="1">
        <v>1.6631944444444446E-2</v>
      </c>
      <c r="E1077" t="s">
        <v>5453</v>
      </c>
      <c r="F1077" s="69" t="s">
        <v>2401</v>
      </c>
      <c r="K1077" s="82">
        <v>0.76619999999999999</v>
      </c>
    </row>
    <row r="1078" spans="1:12" x14ac:dyDescent="0.2">
      <c r="A1078" s="34">
        <v>41622</v>
      </c>
      <c r="B1078" t="s">
        <v>863</v>
      </c>
      <c r="C1078" s="9" t="s">
        <v>2250</v>
      </c>
      <c r="D1078" s="1">
        <v>1.7060185185185185E-2</v>
      </c>
      <c r="E1078" t="s">
        <v>5947</v>
      </c>
      <c r="F1078" s="69"/>
      <c r="K1078" s="82">
        <v>0.74690000000000001</v>
      </c>
    </row>
    <row r="1079" spans="1:12" x14ac:dyDescent="0.2">
      <c r="A1079" s="34">
        <v>41636</v>
      </c>
      <c r="B1079" s="53" t="s">
        <v>3182</v>
      </c>
      <c r="C1079" s="83" t="s">
        <v>3183</v>
      </c>
      <c r="D1079" s="1">
        <v>1.3807870370370371E-2</v>
      </c>
      <c r="E1079" t="s">
        <v>5544</v>
      </c>
      <c r="F1079" s="69"/>
      <c r="K1079" s="82">
        <v>0.76029999999999998</v>
      </c>
    </row>
    <row r="1080" spans="1:12" x14ac:dyDescent="0.2">
      <c r="A1080" s="34">
        <v>41622</v>
      </c>
      <c r="B1080" s="53" t="s">
        <v>1069</v>
      </c>
      <c r="C1080" s="83" t="s">
        <v>3183</v>
      </c>
      <c r="D1080" s="1">
        <v>1.758101851851852E-2</v>
      </c>
      <c r="E1080" t="s">
        <v>5544</v>
      </c>
      <c r="F1080" s="69"/>
      <c r="K1080" s="82">
        <v>0.6623</v>
      </c>
    </row>
    <row r="1081" spans="1:12" x14ac:dyDescent="0.2">
      <c r="A1081" s="34">
        <v>41636</v>
      </c>
      <c r="B1081" s="53" t="s">
        <v>3843</v>
      </c>
      <c r="C1081" s="83" t="s">
        <v>3183</v>
      </c>
      <c r="D1081" s="1">
        <v>1.7395833333333336E-2</v>
      </c>
      <c r="E1081" t="s">
        <v>5544</v>
      </c>
      <c r="F1081" s="69"/>
      <c r="K1081" s="82">
        <v>0.66930000000000001</v>
      </c>
    </row>
    <row r="1082" spans="1:12" x14ac:dyDescent="0.2">
      <c r="A1082" s="34">
        <v>41622</v>
      </c>
      <c r="B1082" t="s">
        <v>866</v>
      </c>
      <c r="C1082" s="9" t="s">
        <v>867</v>
      </c>
      <c r="D1082" s="1">
        <v>1.6493055555555556E-2</v>
      </c>
      <c r="E1082" t="s">
        <v>5885</v>
      </c>
      <c r="F1082" s="69" t="s">
        <v>5434</v>
      </c>
      <c r="K1082" s="82">
        <v>0.75160000000000005</v>
      </c>
    </row>
    <row r="1083" spans="1:12" x14ac:dyDescent="0.2">
      <c r="A1083" s="34">
        <v>41615</v>
      </c>
      <c r="B1083" t="s">
        <v>3508</v>
      </c>
      <c r="C1083" s="9" t="s">
        <v>3632</v>
      </c>
      <c r="D1083" s="1">
        <v>1.4826388888888889E-2</v>
      </c>
      <c r="E1083" t="s">
        <v>5885</v>
      </c>
      <c r="F1083" s="69"/>
      <c r="K1083" s="82">
        <v>0.69630000000000003</v>
      </c>
      <c r="L1083" t="s">
        <v>3527</v>
      </c>
    </row>
    <row r="1084" spans="1:12" x14ac:dyDescent="0.2">
      <c r="A1084" s="34">
        <v>41622</v>
      </c>
      <c r="B1084" t="s">
        <v>3508</v>
      </c>
      <c r="C1084" s="9" t="s">
        <v>3632</v>
      </c>
      <c r="D1084" s="1">
        <v>1.5127314814814816E-2</v>
      </c>
      <c r="E1084" t="s">
        <v>5885</v>
      </c>
      <c r="F1084" s="69"/>
      <c r="K1084" s="82">
        <v>0.6825</v>
      </c>
      <c r="L1084" t="s">
        <v>3842</v>
      </c>
    </row>
    <row r="1085" spans="1:12" x14ac:dyDescent="0.2">
      <c r="A1085" s="34">
        <v>41629</v>
      </c>
      <c r="B1085" t="s">
        <v>3508</v>
      </c>
      <c r="C1085" s="9" t="s">
        <v>3632</v>
      </c>
      <c r="D1085" s="1">
        <v>1.7361111111111112E-2</v>
      </c>
      <c r="E1085" t="s">
        <v>5885</v>
      </c>
      <c r="F1085" s="42"/>
      <c r="K1085" s="82">
        <v>0.59470000000000001</v>
      </c>
    </row>
    <row r="1086" spans="1:12" x14ac:dyDescent="0.2">
      <c r="A1086" s="34">
        <v>41633</v>
      </c>
      <c r="B1086" t="s">
        <v>3508</v>
      </c>
      <c r="C1086" s="9" t="s">
        <v>3632</v>
      </c>
      <c r="D1086" s="1">
        <v>1.6712962962962961E-2</v>
      </c>
      <c r="E1086" t="s">
        <v>5885</v>
      </c>
      <c r="F1086" s="69"/>
      <c r="K1086" s="82">
        <v>0.61770000000000003</v>
      </c>
    </row>
    <row r="1087" spans="1:12" x14ac:dyDescent="0.2">
      <c r="A1087" s="34">
        <v>41636</v>
      </c>
      <c r="B1087" s="5" t="s">
        <v>3508</v>
      </c>
      <c r="C1087" s="9" t="s">
        <v>3632</v>
      </c>
      <c r="D1087" s="1">
        <v>1.5578703703703704E-2</v>
      </c>
      <c r="E1087" t="s">
        <v>5885</v>
      </c>
      <c r="F1087" s="69"/>
      <c r="K1087" s="82">
        <v>0.66269999999999996</v>
      </c>
    </row>
    <row r="1088" spans="1:12" x14ac:dyDescent="0.2">
      <c r="A1088" s="34">
        <v>41615</v>
      </c>
      <c r="B1088" t="s">
        <v>4576</v>
      </c>
      <c r="C1088" s="9" t="s">
        <v>4577</v>
      </c>
      <c r="D1088" s="1">
        <v>1.5763888888888886E-2</v>
      </c>
      <c r="E1088" t="s">
        <v>5883</v>
      </c>
      <c r="F1088" s="41"/>
      <c r="K1088" s="82">
        <v>0.61009999999999998</v>
      </c>
    </row>
    <row r="1089" spans="1:12" x14ac:dyDescent="0.2">
      <c r="A1089" s="34">
        <v>41629</v>
      </c>
      <c r="B1089" t="s">
        <v>4576</v>
      </c>
      <c r="C1089" s="9" t="s">
        <v>4577</v>
      </c>
      <c r="D1089" s="1">
        <v>1.6099537037037037E-2</v>
      </c>
      <c r="E1089" t="s">
        <v>5883</v>
      </c>
      <c r="F1089" s="42"/>
      <c r="K1089" s="82">
        <v>0.59740000000000004</v>
      </c>
    </row>
    <row r="1090" spans="1:12" x14ac:dyDescent="0.2">
      <c r="A1090" s="34">
        <v>41629</v>
      </c>
      <c r="B1090" t="s">
        <v>1349</v>
      </c>
      <c r="C1090" s="9" t="s">
        <v>3343</v>
      </c>
      <c r="D1090" s="1">
        <v>1.7962962962962962E-2</v>
      </c>
      <c r="E1090" t="s">
        <v>5883</v>
      </c>
      <c r="F1090" s="42" t="s">
        <v>4605</v>
      </c>
      <c r="K1090" s="82">
        <v>0.53959999999999997</v>
      </c>
    </row>
    <row r="1091" spans="1:12" x14ac:dyDescent="0.2">
      <c r="A1091" s="34">
        <v>41636</v>
      </c>
      <c r="B1091" s="5" t="s">
        <v>1349</v>
      </c>
      <c r="C1091" s="104" t="s">
        <v>3343</v>
      </c>
      <c r="D1091" s="1">
        <v>1.7812499999999998E-2</v>
      </c>
      <c r="E1091" t="s">
        <v>5883</v>
      </c>
      <c r="F1091" s="126" t="s">
        <v>33</v>
      </c>
      <c r="G1091" s="125"/>
      <c r="H1091" s="125"/>
      <c r="K1091" s="82">
        <v>0.54449999999999998</v>
      </c>
      <c r="L1091" t="s">
        <v>2094</v>
      </c>
    </row>
    <row r="1092" spans="1:12" x14ac:dyDescent="0.2">
      <c r="A1092" s="34">
        <v>41622</v>
      </c>
      <c r="B1092" t="s">
        <v>1796</v>
      </c>
      <c r="C1092" s="9" t="s">
        <v>1797</v>
      </c>
      <c r="D1092" s="1">
        <v>1.818287037037037E-2</v>
      </c>
      <c r="E1092" t="s">
        <v>5883</v>
      </c>
      <c r="F1092" s="69" t="s">
        <v>1071</v>
      </c>
      <c r="K1092" s="82">
        <v>0.59199999999999997</v>
      </c>
    </row>
    <row r="1093" spans="1:12" x14ac:dyDescent="0.2">
      <c r="A1093" s="34">
        <v>41629</v>
      </c>
      <c r="B1093" t="s">
        <v>1796</v>
      </c>
      <c r="C1093" s="9" t="s">
        <v>1797</v>
      </c>
      <c r="D1093" s="1">
        <v>1.6932870370370369E-2</v>
      </c>
      <c r="E1093" t="s">
        <v>5885</v>
      </c>
      <c r="F1093" s="42"/>
      <c r="K1093" s="82">
        <v>0.63570000000000004</v>
      </c>
    </row>
    <row r="1094" spans="1:12" x14ac:dyDescent="0.2">
      <c r="A1094" s="34">
        <v>41633</v>
      </c>
      <c r="B1094" t="s">
        <v>1796</v>
      </c>
      <c r="C1094" s="9" t="s">
        <v>1797</v>
      </c>
      <c r="D1094" s="1">
        <v>1.8333333333333333E-2</v>
      </c>
      <c r="E1094" t="s">
        <v>129</v>
      </c>
      <c r="F1094" s="69" t="s">
        <v>965</v>
      </c>
      <c r="K1094" s="82">
        <v>0.58709999999999996</v>
      </c>
    </row>
    <row r="1095" spans="1:12" x14ac:dyDescent="0.2">
      <c r="A1095" s="34">
        <v>41636</v>
      </c>
      <c r="B1095" s="5" t="s">
        <v>1796</v>
      </c>
      <c r="C1095" s="9" t="s">
        <v>1797</v>
      </c>
      <c r="D1095" s="1">
        <v>1.9166666666666669E-2</v>
      </c>
      <c r="E1095" t="s">
        <v>5883</v>
      </c>
      <c r="F1095" s="69" t="s">
        <v>5058</v>
      </c>
      <c r="K1095" s="82">
        <v>0.56159999999999999</v>
      </c>
    </row>
    <row r="1096" spans="1:12" x14ac:dyDescent="0.2">
      <c r="A1096" s="34">
        <v>41615</v>
      </c>
      <c r="B1096" t="s">
        <v>868</v>
      </c>
      <c r="C1096" s="9" t="s">
        <v>2480</v>
      </c>
      <c r="D1096" s="1">
        <v>1.8518518518518521E-2</v>
      </c>
      <c r="E1096" t="s">
        <v>1214</v>
      </c>
      <c r="F1096" s="41"/>
      <c r="K1096" s="82">
        <v>0.65380000000000005</v>
      </c>
    </row>
    <row r="1097" spans="1:12" x14ac:dyDescent="0.2">
      <c r="A1097" s="34">
        <v>41622</v>
      </c>
      <c r="B1097" t="s">
        <v>868</v>
      </c>
      <c r="C1097" s="9" t="s">
        <v>2480</v>
      </c>
      <c r="D1097" s="1">
        <v>1.8634259259259257E-2</v>
      </c>
      <c r="E1097" t="s">
        <v>1214</v>
      </c>
      <c r="F1097" s="69"/>
      <c r="K1097" s="82">
        <v>0.64970000000000006</v>
      </c>
    </row>
    <row r="1098" spans="1:12" x14ac:dyDescent="0.2">
      <c r="A1098" s="34">
        <v>41629</v>
      </c>
      <c r="B1098" t="s">
        <v>868</v>
      </c>
      <c r="C1098" s="9" t="s">
        <v>2480</v>
      </c>
      <c r="D1098" s="1">
        <v>1.9224537037037037E-2</v>
      </c>
      <c r="E1098" t="s">
        <v>1214</v>
      </c>
      <c r="F1098" s="42"/>
      <c r="K1098" s="82">
        <v>0.62970000000000004</v>
      </c>
    </row>
    <row r="1099" spans="1:12" x14ac:dyDescent="0.2">
      <c r="A1099" s="34">
        <v>41633</v>
      </c>
      <c r="B1099" t="s">
        <v>868</v>
      </c>
      <c r="C1099" s="9" t="s">
        <v>2480</v>
      </c>
      <c r="D1099" s="1">
        <v>1.9733796296296298E-2</v>
      </c>
      <c r="E1099" t="s">
        <v>3167</v>
      </c>
      <c r="F1099" s="69"/>
      <c r="K1099" s="82">
        <v>0.61350000000000005</v>
      </c>
    </row>
    <row r="1100" spans="1:12" x14ac:dyDescent="0.2">
      <c r="A1100" s="34">
        <v>41636</v>
      </c>
      <c r="B1100" s="5" t="s">
        <v>868</v>
      </c>
      <c r="C1100" s="9" t="s">
        <v>2480</v>
      </c>
      <c r="D1100" s="1">
        <v>1.8449074074074073E-2</v>
      </c>
      <c r="E1100" t="s">
        <v>1214</v>
      </c>
      <c r="F1100" s="69"/>
      <c r="K1100" s="82">
        <v>0.65620000000000001</v>
      </c>
    </row>
    <row r="1101" spans="1:12" x14ac:dyDescent="0.2">
      <c r="A1101" s="34">
        <v>41636</v>
      </c>
      <c r="B1101" s="5" t="s">
        <v>5540</v>
      </c>
      <c r="C1101" s="104" t="s">
        <v>5541</v>
      </c>
      <c r="D1101" s="1">
        <v>1.9837962962962963E-2</v>
      </c>
      <c r="E1101" t="s">
        <v>5095</v>
      </c>
      <c r="F1101" s="69"/>
      <c r="K1101" s="82">
        <v>0.58689999999999998</v>
      </c>
    </row>
    <row r="1102" spans="1:12" x14ac:dyDescent="0.2">
      <c r="A1102" s="34">
        <v>41615</v>
      </c>
      <c r="B1102" t="s">
        <v>3011</v>
      </c>
      <c r="C1102" s="9" t="s">
        <v>3012</v>
      </c>
      <c r="D1102" s="1">
        <v>1.252314814814815E-2</v>
      </c>
      <c r="E1102" t="s">
        <v>3009</v>
      </c>
      <c r="F1102" s="69" t="s">
        <v>5301</v>
      </c>
      <c r="K1102" s="82">
        <v>0.79210000000000003</v>
      </c>
    </row>
    <row r="1103" spans="1:12" x14ac:dyDescent="0.2">
      <c r="A1103" s="34">
        <v>41622</v>
      </c>
      <c r="B1103" s="53" t="s">
        <v>4963</v>
      </c>
      <c r="C1103" s="83" t="s">
        <v>4964</v>
      </c>
      <c r="D1103" s="1">
        <v>1.3993055555555555E-2</v>
      </c>
      <c r="E1103" t="s">
        <v>3072</v>
      </c>
      <c r="F1103" s="69"/>
      <c r="K1103" s="82">
        <v>0.64190000000000003</v>
      </c>
      <c r="L1103" t="s">
        <v>3842</v>
      </c>
    </row>
    <row r="1104" spans="1:12" x14ac:dyDescent="0.2">
      <c r="A1104" s="34">
        <v>41629</v>
      </c>
      <c r="B1104" s="53" t="s">
        <v>4963</v>
      </c>
      <c r="C1104" s="83" t="s">
        <v>4964</v>
      </c>
      <c r="D1104" s="1">
        <v>1.9918981481481482E-2</v>
      </c>
      <c r="E1104" t="s">
        <v>3072</v>
      </c>
      <c r="F1104" s="42"/>
      <c r="K1104" s="82">
        <v>0.45090000000000002</v>
      </c>
    </row>
    <row r="1105" spans="1:12" x14ac:dyDescent="0.2">
      <c r="A1105" s="34">
        <v>41636</v>
      </c>
      <c r="B1105" s="5" t="s">
        <v>1308</v>
      </c>
      <c r="C1105" s="9" t="s">
        <v>428</v>
      </c>
      <c r="D1105" s="1">
        <v>1.3877314814814815E-2</v>
      </c>
      <c r="E1105" t="s">
        <v>5885</v>
      </c>
      <c r="F1105" s="69"/>
      <c r="K1105" s="82">
        <v>0.70389999999999997</v>
      </c>
    </row>
    <row r="1106" spans="1:12" x14ac:dyDescent="0.2">
      <c r="A1106" s="34">
        <v>41629</v>
      </c>
      <c r="B1106" t="s">
        <v>4640</v>
      </c>
      <c r="C1106" s="9" t="s">
        <v>4641</v>
      </c>
      <c r="D1106" s="1" t="s">
        <v>787</v>
      </c>
      <c r="E1106" t="s">
        <v>5954</v>
      </c>
      <c r="F1106" s="42" t="s">
        <v>5508</v>
      </c>
      <c r="K1106"/>
    </row>
    <row r="1107" spans="1:12" x14ac:dyDescent="0.2">
      <c r="A1107" s="34">
        <v>41636</v>
      </c>
      <c r="B1107" s="5" t="s">
        <v>4640</v>
      </c>
      <c r="C1107" s="9" t="s">
        <v>4641</v>
      </c>
      <c r="D1107" t="s">
        <v>787</v>
      </c>
      <c r="E1107" t="s">
        <v>5947</v>
      </c>
      <c r="F1107" s="41"/>
      <c r="K1107" s="82"/>
    </row>
    <row r="1108" spans="1:12" x14ac:dyDescent="0.2">
      <c r="A1108" s="34">
        <v>41615</v>
      </c>
      <c r="B1108" t="s">
        <v>435</v>
      </c>
      <c r="C1108" s="9" t="s">
        <v>1936</v>
      </c>
      <c r="D1108" s="1">
        <v>1.6840277777777777E-2</v>
      </c>
      <c r="E1108" t="s">
        <v>4861</v>
      </c>
      <c r="F1108" s="69"/>
      <c r="K1108" s="82">
        <v>0.60340000000000005</v>
      </c>
      <c r="L1108" t="s">
        <v>3527</v>
      </c>
    </row>
    <row r="1109" spans="1:12" x14ac:dyDescent="0.2">
      <c r="A1109" s="34">
        <v>41622</v>
      </c>
      <c r="B1109" t="s">
        <v>435</v>
      </c>
      <c r="C1109" s="9" t="s">
        <v>1936</v>
      </c>
      <c r="D1109" s="1">
        <v>1.6736111111111111E-2</v>
      </c>
      <c r="E1109" t="s">
        <v>4861</v>
      </c>
      <c r="F1109" s="69" t="s">
        <v>1073</v>
      </c>
      <c r="K1109" s="82">
        <v>0.60719999999999996</v>
      </c>
      <c r="L1109" t="s">
        <v>3842</v>
      </c>
    </row>
    <row r="1110" spans="1:12" x14ac:dyDescent="0.2">
      <c r="A1110" s="34">
        <v>41629</v>
      </c>
      <c r="B1110" t="s">
        <v>435</v>
      </c>
      <c r="C1110" s="9" t="s">
        <v>1936</v>
      </c>
      <c r="D1110" s="1">
        <v>1.7002314814814814E-2</v>
      </c>
      <c r="E1110" t="s">
        <v>4861</v>
      </c>
      <c r="F1110" s="42" t="s">
        <v>5308</v>
      </c>
      <c r="K1110" s="82">
        <v>0.59770000000000001</v>
      </c>
    </row>
    <row r="1111" spans="1:12" x14ac:dyDescent="0.2">
      <c r="A1111" s="34">
        <v>41636</v>
      </c>
      <c r="B1111" s="5" t="s">
        <v>435</v>
      </c>
      <c r="C1111" s="9" t="s">
        <v>1936</v>
      </c>
      <c r="D1111" s="1">
        <v>2.2280092592592591E-2</v>
      </c>
      <c r="E1111" t="s">
        <v>4861</v>
      </c>
      <c r="F1111" s="69" t="s">
        <v>2409</v>
      </c>
      <c r="K1111" s="82">
        <v>0.45610000000000001</v>
      </c>
    </row>
    <row r="1112" spans="1:12" x14ac:dyDescent="0.2">
      <c r="A1112" s="34">
        <v>41615</v>
      </c>
      <c r="B1112" t="s">
        <v>665</v>
      </c>
      <c r="C1112" s="9" t="s">
        <v>666</v>
      </c>
      <c r="D1112" s="1">
        <v>1.6875000000000001E-2</v>
      </c>
      <c r="E1112" t="s">
        <v>3528</v>
      </c>
      <c r="F1112" s="69" t="s">
        <v>2400</v>
      </c>
      <c r="K1112" s="82">
        <v>0.62209999999999999</v>
      </c>
      <c r="L1112" t="s">
        <v>3527</v>
      </c>
    </row>
    <row r="1113" spans="1:12" x14ac:dyDescent="0.2">
      <c r="A1113" s="34">
        <v>41629</v>
      </c>
      <c r="B1113" t="s">
        <v>665</v>
      </c>
      <c r="C1113" s="9" t="s">
        <v>666</v>
      </c>
      <c r="D1113" s="1">
        <v>1.7384259259259262E-2</v>
      </c>
      <c r="E1113" t="s">
        <v>4004</v>
      </c>
      <c r="F1113" s="42"/>
      <c r="K1113" s="82">
        <v>0.60389999999999999</v>
      </c>
    </row>
    <row r="1114" spans="1:12" x14ac:dyDescent="0.2">
      <c r="A1114" s="34">
        <v>41636</v>
      </c>
      <c r="B1114" t="s">
        <v>665</v>
      </c>
      <c r="C1114" s="9" t="s">
        <v>666</v>
      </c>
      <c r="D1114" s="1">
        <v>1.7245370370370369E-2</v>
      </c>
      <c r="E1114" t="s">
        <v>4422</v>
      </c>
      <c r="F1114" s="69" t="s">
        <v>3836</v>
      </c>
      <c r="K1114" s="82">
        <v>0.60870000000000002</v>
      </c>
    </row>
    <row r="1115" spans="1:12" x14ac:dyDescent="0.2">
      <c r="A1115" s="34">
        <v>41622</v>
      </c>
      <c r="B1115" s="5" t="s">
        <v>2137</v>
      </c>
      <c r="C1115" s="104" t="s">
        <v>4943</v>
      </c>
      <c r="D1115" s="32">
        <v>1.4027777777777778E-2</v>
      </c>
      <c r="E1115" s="5" t="s">
        <v>5544</v>
      </c>
      <c r="F1115" s="108" t="s">
        <v>876</v>
      </c>
      <c r="G1115" s="5"/>
      <c r="H1115" s="5"/>
      <c r="K1115" s="82">
        <v>0.76729999999999998</v>
      </c>
    </row>
    <row r="1116" spans="1:12" x14ac:dyDescent="0.2">
      <c r="A1116" s="34">
        <v>41629</v>
      </c>
      <c r="B1116" t="s">
        <v>2137</v>
      </c>
      <c r="C1116" s="9" t="s">
        <v>4943</v>
      </c>
      <c r="D1116" s="1" t="s">
        <v>787</v>
      </c>
      <c r="E1116" t="s">
        <v>5544</v>
      </c>
      <c r="F1116" s="42"/>
      <c r="K1116" s="82"/>
    </row>
    <row r="1117" spans="1:12" x14ac:dyDescent="0.2">
      <c r="A1117" s="34">
        <v>41633</v>
      </c>
      <c r="B1117" t="s">
        <v>2137</v>
      </c>
      <c r="C1117" s="9" t="s">
        <v>4943</v>
      </c>
      <c r="D1117" s="1">
        <v>1.5706018518518518E-2</v>
      </c>
      <c r="E1117" t="s">
        <v>2818</v>
      </c>
      <c r="F1117" s="69" t="s">
        <v>2629</v>
      </c>
      <c r="K1117" s="82">
        <v>0.68530000000000002</v>
      </c>
    </row>
    <row r="1118" spans="1:12" x14ac:dyDescent="0.2">
      <c r="A1118" s="34">
        <v>41636</v>
      </c>
      <c r="B1118" t="s">
        <v>2137</v>
      </c>
      <c r="C1118" s="9" t="s">
        <v>4943</v>
      </c>
      <c r="D1118" s="1">
        <v>1.4814814814814814E-2</v>
      </c>
      <c r="E1118" t="s">
        <v>5544</v>
      </c>
      <c r="F1118" s="69"/>
      <c r="K1118" s="82">
        <v>0.72660000000000002</v>
      </c>
    </row>
    <row r="1119" spans="1:12" x14ac:dyDescent="0.2">
      <c r="A1119" s="34">
        <v>41615</v>
      </c>
      <c r="B1119" t="s">
        <v>2478</v>
      </c>
      <c r="C1119" s="9" t="s">
        <v>2479</v>
      </c>
      <c r="D1119" s="1">
        <v>1.4745370370370372E-2</v>
      </c>
      <c r="E1119" t="s">
        <v>3167</v>
      </c>
      <c r="F1119" s="69"/>
      <c r="K1119" s="82">
        <v>0.68369999999999997</v>
      </c>
    </row>
    <row r="1120" spans="1:12" x14ac:dyDescent="0.2">
      <c r="A1120" s="34">
        <v>41622</v>
      </c>
      <c r="B1120" t="s">
        <v>2478</v>
      </c>
      <c r="C1120" s="9" t="s">
        <v>2479</v>
      </c>
      <c r="D1120" s="1">
        <v>1.4259259259259261E-2</v>
      </c>
      <c r="E1120" t="s">
        <v>3845</v>
      </c>
      <c r="F1120" s="69"/>
      <c r="K1120" s="82">
        <v>0.70699999999999996</v>
      </c>
    </row>
    <row r="1121" spans="1:12" x14ac:dyDescent="0.2">
      <c r="A1121" s="34">
        <v>41636</v>
      </c>
      <c r="B1121" s="5" t="s">
        <v>2478</v>
      </c>
      <c r="C1121" s="9" t="s">
        <v>2479</v>
      </c>
      <c r="D1121" s="1">
        <v>1.6238425925925924E-2</v>
      </c>
      <c r="E1121" t="s">
        <v>1214</v>
      </c>
      <c r="F1121" s="69"/>
      <c r="K1121" s="82">
        <v>0.62080000000000002</v>
      </c>
    </row>
    <row r="1122" spans="1:12" x14ac:dyDescent="0.2">
      <c r="A1122" s="34">
        <v>41615</v>
      </c>
      <c r="B1122" t="s">
        <v>2822</v>
      </c>
      <c r="C1122" s="9" t="s">
        <v>2823</v>
      </c>
      <c r="D1122" s="1">
        <v>1.7997685185185186E-2</v>
      </c>
      <c r="E1122" t="s">
        <v>5544</v>
      </c>
      <c r="F1122" s="69"/>
      <c r="K1122" s="82">
        <v>0.5736</v>
      </c>
    </row>
    <row r="1123" spans="1:12" x14ac:dyDescent="0.2">
      <c r="A1123" s="34">
        <v>41622</v>
      </c>
      <c r="B1123" t="s">
        <v>2822</v>
      </c>
      <c r="C1123" s="9" t="s">
        <v>2823</v>
      </c>
      <c r="D1123" s="1">
        <v>1.7673611111111109E-2</v>
      </c>
      <c r="E1123" t="s">
        <v>5544</v>
      </c>
      <c r="F1123" s="69"/>
      <c r="K1123" s="82">
        <v>0.58420000000000005</v>
      </c>
    </row>
    <row r="1124" spans="1:12" x14ac:dyDescent="0.2">
      <c r="A1124" s="34">
        <v>41629</v>
      </c>
      <c r="B1124" t="s">
        <v>2822</v>
      </c>
      <c r="C1124" s="9" t="s">
        <v>2823</v>
      </c>
      <c r="D1124" s="1">
        <v>1.8564814814814815E-2</v>
      </c>
      <c r="E1124" t="s">
        <v>5544</v>
      </c>
      <c r="F1124" s="42"/>
      <c r="K1124" s="82">
        <v>0.55610000000000004</v>
      </c>
    </row>
    <row r="1125" spans="1:12" x14ac:dyDescent="0.2">
      <c r="A1125" s="34">
        <v>41629</v>
      </c>
      <c r="B1125" s="53" t="s">
        <v>3184</v>
      </c>
      <c r="C1125" s="83" t="s">
        <v>3185</v>
      </c>
      <c r="D1125" s="1">
        <v>1.726851851851852E-2</v>
      </c>
      <c r="E1125" t="s">
        <v>5453</v>
      </c>
      <c r="F1125" s="41"/>
      <c r="K1125" s="82">
        <v>0.65620000000000001</v>
      </c>
    </row>
    <row r="1126" spans="1:12" x14ac:dyDescent="0.2">
      <c r="A1126" s="34">
        <v>41636</v>
      </c>
      <c r="B1126" s="53" t="s">
        <v>3184</v>
      </c>
      <c r="C1126" s="83" t="s">
        <v>3185</v>
      </c>
      <c r="D1126" s="1">
        <v>1.7708333333333333E-2</v>
      </c>
      <c r="E1126" t="s">
        <v>5456</v>
      </c>
      <c r="F1126" s="41"/>
      <c r="K1126" s="82">
        <v>0.63990000000000002</v>
      </c>
    </row>
    <row r="1127" spans="1:12" x14ac:dyDescent="0.2">
      <c r="A1127" s="34">
        <v>41615</v>
      </c>
      <c r="B1127" t="s">
        <v>1794</v>
      </c>
      <c r="C1127" s="9" t="s">
        <v>1795</v>
      </c>
      <c r="D1127" s="1">
        <v>1.982638888888889E-2</v>
      </c>
      <c r="E1127" t="s">
        <v>5544</v>
      </c>
      <c r="F1127" s="69" t="s">
        <v>3008</v>
      </c>
      <c r="K1127" s="82">
        <v>0.61060000000000003</v>
      </c>
      <c r="L1127" t="s">
        <v>3527</v>
      </c>
    </row>
    <row r="1128" spans="1:12" x14ac:dyDescent="0.2">
      <c r="A1128" s="34">
        <v>41622</v>
      </c>
      <c r="B1128" t="s">
        <v>1794</v>
      </c>
      <c r="C1128" s="9" t="s">
        <v>1795</v>
      </c>
      <c r="D1128" s="1">
        <v>2.0729166666666667E-2</v>
      </c>
      <c r="E1128" t="s">
        <v>5544</v>
      </c>
      <c r="F1128" s="69"/>
      <c r="K1128" s="82">
        <v>0.58399999999999996</v>
      </c>
      <c r="L1128" t="s">
        <v>3842</v>
      </c>
    </row>
    <row r="1129" spans="1:12" x14ac:dyDescent="0.2">
      <c r="A1129" s="34">
        <v>41629</v>
      </c>
      <c r="B1129" t="s">
        <v>1794</v>
      </c>
      <c r="C1129" s="9" t="s">
        <v>1795</v>
      </c>
      <c r="D1129" s="1">
        <v>2.0405092592592593E-2</v>
      </c>
      <c r="E1129" t="s">
        <v>4004</v>
      </c>
      <c r="F1129" s="42"/>
      <c r="K1129" s="82">
        <v>0.59330000000000005</v>
      </c>
    </row>
    <row r="1130" spans="1:12" x14ac:dyDescent="0.2">
      <c r="A1130" s="34">
        <v>41636</v>
      </c>
      <c r="B1130" s="5" t="s">
        <v>1794</v>
      </c>
      <c r="C1130" s="9" t="s">
        <v>1795</v>
      </c>
      <c r="D1130" s="1">
        <v>2.0416666666666666E-2</v>
      </c>
      <c r="E1130" t="s">
        <v>2818</v>
      </c>
      <c r="F1130" s="69" t="s">
        <v>2629</v>
      </c>
      <c r="K1130" s="82">
        <v>0.59299999999999997</v>
      </c>
    </row>
    <row r="1131" spans="1:12" x14ac:dyDescent="0.2">
      <c r="A1131" s="34">
        <v>41615</v>
      </c>
      <c r="B1131" t="s">
        <v>431</v>
      </c>
      <c r="C1131" s="9" t="s">
        <v>433</v>
      </c>
      <c r="D1131" s="1">
        <v>1.6805555555555556E-2</v>
      </c>
      <c r="E1131" t="s">
        <v>5095</v>
      </c>
      <c r="F1131" s="69" t="s">
        <v>2403</v>
      </c>
      <c r="K1131" s="82">
        <v>0.65149999999999997</v>
      </c>
      <c r="L1131" t="s">
        <v>3527</v>
      </c>
    </row>
    <row r="1132" spans="1:12" x14ac:dyDescent="0.2">
      <c r="A1132" s="34">
        <v>41622</v>
      </c>
      <c r="B1132" t="s">
        <v>431</v>
      </c>
      <c r="C1132" s="9" t="s">
        <v>433</v>
      </c>
      <c r="D1132" s="1">
        <v>1.7060185185185185E-2</v>
      </c>
      <c r="E1132" t="s">
        <v>5095</v>
      </c>
      <c r="F1132" s="69"/>
      <c r="K1132" s="82">
        <v>0.64180000000000004</v>
      </c>
      <c r="L1132" t="s">
        <v>3842</v>
      </c>
    </row>
    <row r="1133" spans="1:12" x14ac:dyDescent="0.2">
      <c r="A1133" s="34">
        <v>41629</v>
      </c>
      <c r="B1133" t="s">
        <v>431</v>
      </c>
      <c r="C1133" s="9" t="s">
        <v>433</v>
      </c>
      <c r="D1133" s="1">
        <v>1.7395833333333336E-2</v>
      </c>
      <c r="E1133" t="s">
        <v>5095</v>
      </c>
      <c r="F1133" s="42"/>
      <c r="K1133" s="82">
        <v>0.62939999999999996</v>
      </c>
    </row>
    <row r="1134" spans="1:12" x14ac:dyDescent="0.2">
      <c r="A1134" s="34">
        <v>41633</v>
      </c>
      <c r="B1134" t="s">
        <v>431</v>
      </c>
      <c r="C1134" s="9" t="s">
        <v>433</v>
      </c>
      <c r="D1134" s="1">
        <v>1.7476851851851851E-2</v>
      </c>
      <c r="E1134" t="s">
        <v>129</v>
      </c>
      <c r="F1134" s="69"/>
      <c r="K1134" s="82">
        <v>0.62649999999999995</v>
      </c>
    </row>
    <row r="1135" spans="1:12" x14ac:dyDescent="0.2">
      <c r="A1135" s="34">
        <v>41636</v>
      </c>
      <c r="B1135" s="5" t="s">
        <v>431</v>
      </c>
      <c r="C1135" s="9" t="s">
        <v>433</v>
      </c>
      <c r="D1135" s="1">
        <v>2.0555555555555556E-2</v>
      </c>
      <c r="E1135" t="s">
        <v>5095</v>
      </c>
      <c r="F1135" s="69"/>
      <c r="K1135" s="82">
        <v>0.53269999999999995</v>
      </c>
    </row>
    <row r="1136" spans="1:12" x14ac:dyDescent="0.2">
      <c r="A1136" s="34">
        <v>41615</v>
      </c>
      <c r="B1136" t="s">
        <v>3960</v>
      </c>
      <c r="C1136" s="9" t="s">
        <v>3961</v>
      </c>
      <c r="D1136" s="1">
        <v>1.4699074074074074E-2</v>
      </c>
      <c r="E1136" t="s">
        <v>4205</v>
      </c>
      <c r="F1136" s="69" t="s">
        <v>1315</v>
      </c>
      <c r="K1136" s="82">
        <v>0.70789999999999997</v>
      </c>
      <c r="L1136" t="s">
        <v>3527</v>
      </c>
    </row>
    <row r="1137" spans="1:12" x14ac:dyDescent="0.2">
      <c r="A1137" s="34">
        <v>41622</v>
      </c>
      <c r="B1137" t="s">
        <v>3960</v>
      </c>
      <c r="C1137" s="9" t="s">
        <v>3961</v>
      </c>
      <c r="D1137" s="1">
        <v>1.4398148148148148E-2</v>
      </c>
      <c r="E1137" t="s">
        <v>1070</v>
      </c>
      <c r="F1137" s="69" t="s">
        <v>3844</v>
      </c>
      <c r="K1137" s="82">
        <v>0.72270000000000001</v>
      </c>
      <c r="L1137" t="s">
        <v>3842</v>
      </c>
    </row>
    <row r="1138" spans="1:12" x14ac:dyDescent="0.2">
      <c r="A1138" s="34">
        <v>41629</v>
      </c>
      <c r="B1138" t="s">
        <v>3960</v>
      </c>
      <c r="C1138" s="9" t="s">
        <v>3961</v>
      </c>
      <c r="D1138" s="1">
        <v>1.4930555555555556E-2</v>
      </c>
      <c r="E1138" t="s">
        <v>4861</v>
      </c>
      <c r="F1138" s="42" t="s">
        <v>2977</v>
      </c>
      <c r="K1138" s="82">
        <v>0.69689999999999996</v>
      </c>
    </row>
    <row r="1139" spans="1:12" x14ac:dyDescent="0.2">
      <c r="A1139" s="34">
        <v>41629</v>
      </c>
      <c r="B1139" t="s">
        <v>870</v>
      </c>
      <c r="C1139" s="9" t="s">
        <v>871</v>
      </c>
      <c r="D1139" s="1">
        <v>1.3807870370370371E-2</v>
      </c>
      <c r="E1139" t="s">
        <v>4004</v>
      </c>
      <c r="F1139" s="42" t="s">
        <v>2977</v>
      </c>
      <c r="K1139" s="82">
        <v>0.75360000000000005</v>
      </c>
    </row>
    <row r="1140" spans="1:12" x14ac:dyDescent="0.2">
      <c r="A1140" s="34">
        <v>41633</v>
      </c>
      <c r="B1140" t="s">
        <v>870</v>
      </c>
      <c r="C1140" s="9" t="s">
        <v>871</v>
      </c>
      <c r="D1140" s="1">
        <v>1.3877314814814815E-2</v>
      </c>
      <c r="E1140" t="s">
        <v>5885</v>
      </c>
      <c r="F1140" s="69" t="s">
        <v>5308</v>
      </c>
      <c r="K1140" s="82">
        <v>0.74980000000000002</v>
      </c>
    </row>
    <row r="1141" spans="1:12" x14ac:dyDescent="0.2">
      <c r="A1141" s="34">
        <v>41629</v>
      </c>
      <c r="B1141" s="53" t="s">
        <v>4893</v>
      </c>
      <c r="C1141" s="83" t="s">
        <v>4894</v>
      </c>
      <c r="D1141" s="1">
        <v>1.357638888888889E-2</v>
      </c>
      <c r="E1141" t="s">
        <v>129</v>
      </c>
      <c r="F1141" s="42" t="s">
        <v>4606</v>
      </c>
      <c r="I1141" t="s">
        <v>4607</v>
      </c>
      <c r="K1141" s="82">
        <v>0.76639999999999997</v>
      </c>
    </row>
    <row r="1142" spans="1:12" x14ac:dyDescent="0.2">
      <c r="A1142" s="34">
        <v>41636</v>
      </c>
      <c r="B1142" s="53" t="s">
        <v>4893</v>
      </c>
      <c r="C1142" s="83" t="s">
        <v>4894</v>
      </c>
      <c r="D1142" s="1">
        <v>1.3310185185185187E-2</v>
      </c>
      <c r="E1142" t="s">
        <v>129</v>
      </c>
      <c r="F1142" s="41"/>
      <c r="K1142" s="82">
        <v>0.78169999999999995</v>
      </c>
    </row>
    <row r="1143" spans="1:12" x14ac:dyDescent="0.2">
      <c r="A1143" s="34">
        <v>41629</v>
      </c>
      <c r="B1143" t="s">
        <v>3898</v>
      </c>
      <c r="C1143" s="9" t="s">
        <v>3899</v>
      </c>
      <c r="D1143" s="1">
        <v>1.6643518518518519E-2</v>
      </c>
      <c r="E1143" t="s">
        <v>5186</v>
      </c>
      <c r="F1143" s="42"/>
      <c r="K1143" s="82">
        <v>0.62029999999999996</v>
      </c>
    </row>
    <row r="1144" spans="1:12" x14ac:dyDescent="0.2">
      <c r="A1144" s="34">
        <v>41633</v>
      </c>
      <c r="B1144" s="5" t="s">
        <v>3898</v>
      </c>
      <c r="C1144" s="104" t="s">
        <v>3899</v>
      </c>
      <c r="D1144" s="1">
        <v>1.5891203703703703E-2</v>
      </c>
      <c r="E1144" t="s">
        <v>5186</v>
      </c>
      <c r="F1144" s="41"/>
      <c r="K1144" s="82">
        <v>0.64970000000000006</v>
      </c>
    </row>
    <row r="1145" spans="1:12" x14ac:dyDescent="0.2">
      <c r="A1145" s="34">
        <v>41636</v>
      </c>
      <c r="B1145" s="5" t="s">
        <v>3898</v>
      </c>
      <c r="C1145" s="104" t="s">
        <v>3899</v>
      </c>
      <c r="D1145" s="1">
        <v>1.5590277777777778E-2</v>
      </c>
      <c r="E1145" t="s">
        <v>5186</v>
      </c>
      <c r="F1145" s="41"/>
      <c r="K1145" s="82">
        <v>0.66220000000000001</v>
      </c>
    </row>
    <row r="1146" spans="1:12" x14ac:dyDescent="0.2">
      <c r="A1146" s="34">
        <v>41629</v>
      </c>
      <c r="B1146" s="53" t="s">
        <v>922</v>
      </c>
      <c r="C1146" s="83" t="s">
        <v>5833</v>
      </c>
      <c r="D1146" s="1">
        <v>1.3935185185185184E-2</v>
      </c>
      <c r="E1146" t="s">
        <v>129</v>
      </c>
      <c r="F1146" s="42"/>
      <c r="K1146" s="82">
        <v>0.72340000000000004</v>
      </c>
    </row>
    <row r="1147" spans="1:12" x14ac:dyDescent="0.2">
      <c r="A1147" s="34">
        <v>41622</v>
      </c>
      <c r="B1147" t="s">
        <v>2703</v>
      </c>
      <c r="C1147" s="9" t="s">
        <v>2704</v>
      </c>
      <c r="D1147" s="1">
        <v>2.2511574074074073E-2</v>
      </c>
      <c r="E1147" t="s">
        <v>5883</v>
      </c>
      <c r="F1147" s="69" t="s">
        <v>1072</v>
      </c>
      <c r="K1147" s="82">
        <v>0.51719999999999999</v>
      </c>
    </row>
    <row r="1148" spans="1:12" x14ac:dyDescent="0.2">
      <c r="C1148" s="9"/>
      <c r="F1148" s="41"/>
      <c r="K1148"/>
    </row>
    <row r="1149" spans="1:12" x14ac:dyDescent="0.2">
      <c r="A1149" s="91">
        <v>41579</v>
      </c>
      <c r="C1149" s="9"/>
      <c r="F1149" s="41"/>
      <c r="K1149"/>
    </row>
    <row r="1150" spans="1:12" x14ac:dyDescent="0.2">
      <c r="A1150" s="34">
        <v>41580</v>
      </c>
      <c r="B1150" t="s">
        <v>4580</v>
      </c>
      <c r="C1150" s="9" t="s">
        <v>4581</v>
      </c>
      <c r="D1150" s="1">
        <v>1.951388888888889E-2</v>
      </c>
      <c r="E1150" t="s">
        <v>5947</v>
      </c>
      <c r="F1150" s="69"/>
      <c r="K1150" s="82">
        <v>0.5706</v>
      </c>
      <c r="L1150" t="s">
        <v>5569</v>
      </c>
    </row>
    <row r="1151" spans="1:12" x14ac:dyDescent="0.2">
      <c r="A1151" s="34">
        <v>41587</v>
      </c>
      <c r="B1151" t="s">
        <v>4580</v>
      </c>
      <c r="C1151" s="9" t="s">
        <v>4581</v>
      </c>
      <c r="D1151" s="1" t="s">
        <v>787</v>
      </c>
      <c r="E1151" t="s">
        <v>5947</v>
      </c>
      <c r="F1151" s="69"/>
      <c r="K1151" s="82"/>
      <c r="L1151" t="s">
        <v>3228</v>
      </c>
    </row>
    <row r="1152" spans="1:12" x14ac:dyDescent="0.2">
      <c r="A1152" s="34">
        <v>41594</v>
      </c>
      <c r="B1152" t="s">
        <v>4580</v>
      </c>
      <c r="C1152" s="9" t="s">
        <v>4581</v>
      </c>
      <c r="D1152" s="1">
        <v>1.894675925925926E-2</v>
      </c>
      <c r="E1152" t="s">
        <v>5947</v>
      </c>
      <c r="F1152" s="69"/>
      <c r="K1152" s="82">
        <v>0.5877</v>
      </c>
      <c r="L1152" t="s">
        <v>2059</v>
      </c>
    </row>
    <row r="1153" spans="1:12" x14ac:dyDescent="0.2">
      <c r="A1153" s="34">
        <v>41580</v>
      </c>
      <c r="B1153" t="s">
        <v>868</v>
      </c>
      <c r="C1153" s="9" t="s">
        <v>869</v>
      </c>
      <c r="D1153" s="1">
        <v>2.0219907407407409E-2</v>
      </c>
      <c r="E1153" t="s">
        <v>5544</v>
      </c>
      <c r="F1153" s="69"/>
      <c r="K1153" s="82">
        <v>0.68979999999999997</v>
      </c>
      <c r="L1153" t="s">
        <v>5569</v>
      </c>
    </row>
    <row r="1154" spans="1:12" x14ac:dyDescent="0.2">
      <c r="A1154" s="34">
        <v>41587</v>
      </c>
      <c r="B1154" t="s">
        <v>868</v>
      </c>
      <c r="C1154" s="9" t="s">
        <v>869</v>
      </c>
      <c r="D1154" t="s">
        <v>787</v>
      </c>
      <c r="E1154" t="s">
        <v>5544</v>
      </c>
      <c r="F1154" s="69"/>
      <c r="K1154" s="82"/>
      <c r="L1154" t="s">
        <v>3228</v>
      </c>
    </row>
    <row r="1155" spans="1:12" x14ac:dyDescent="0.2">
      <c r="A1155" s="34">
        <v>41594</v>
      </c>
      <c r="B1155" t="s">
        <v>868</v>
      </c>
      <c r="C1155" s="9" t="s">
        <v>869</v>
      </c>
      <c r="D1155" t="s">
        <v>787</v>
      </c>
      <c r="E1155" t="s">
        <v>5544</v>
      </c>
      <c r="F1155" s="69" t="s">
        <v>5193</v>
      </c>
      <c r="K1155" s="82"/>
      <c r="L1155" t="s">
        <v>2059</v>
      </c>
    </row>
    <row r="1156" spans="1:12" x14ac:dyDescent="0.2">
      <c r="A1156" s="34">
        <v>41601</v>
      </c>
      <c r="B1156" s="5" t="s">
        <v>868</v>
      </c>
      <c r="C1156" s="104" t="s">
        <v>869</v>
      </c>
      <c r="D1156" s="32" t="s">
        <v>787</v>
      </c>
      <c r="E1156" s="5" t="s">
        <v>5544</v>
      </c>
      <c r="F1156" s="69"/>
      <c r="K1156" s="82"/>
    </row>
    <row r="1157" spans="1:12" x14ac:dyDescent="0.2">
      <c r="A1157" s="34">
        <v>41608</v>
      </c>
      <c r="B1157" s="53" t="s">
        <v>4264</v>
      </c>
      <c r="C1157" s="83" t="s">
        <v>5239</v>
      </c>
      <c r="D1157" s="54">
        <v>1.4780092592592595E-2</v>
      </c>
      <c r="E1157" s="53" t="s">
        <v>5883</v>
      </c>
      <c r="F1157" s="69" t="s">
        <v>5242</v>
      </c>
      <c r="K1157" s="82">
        <v>0.78779999999999994</v>
      </c>
    </row>
    <row r="1158" spans="1:12" x14ac:dyDescent="0.2">
      <c r="A1158" s="34">
        <v>41580</v>
      </c>
      <c r="B1158" t="s">
        <v>435</v>
      </c>
      <c r="C1158" s="9" t="s">
        <v>436</v>
      </c>
      <c r="D1158" s="1">
        <v>2.2002314814814818E-2</v>
      </c>
      <c r="E1158" t="s">
        <v>5095</v>
      </c>
      <c r="F1158" s="69"/>
      <c r="K1158" s="82">
        <v>0.56340000000000001</v>
      </c>
    </row>
    <row r="1159" spans="1:12" x14ac:dyDescent="0.2">
      <c r="A1159" s="34">
        <v>41587</v>
      </c>
      <c r="B1159" t="s">
        <v>435</v>
      </c>
      <c r="C1159" s="9" t="s">
        <v>436</v>
      </c>
      <c r="D1159" s="1">
        <v>2.1597222222222223E-2</v>
      </c>
      <c r="E1159" t="s">
        <v>5095</v>
      </c>
      <c r="F1159" s="69"/>
      <c r="K1159" s="82">
        <v>0.57399999999999995</v>
      </c>
    </row>
    <row r="1160" spans="1:12" x14ac:dyDescent="0.2">
      <c r="A1160" s="34">
        <v>41594</v>
      </c>
      <c r="B1160" t="s">
        <v>435</v>
      </c>
      <c r="C1160" s="9" t="s">
        <v>436</v>
      </c>
      <c r="D1160" s="1">
        <v>2.1504629629629627E-2</v>
      </c>
      <c r="E1160" t="s">
        <v>5095</v>
      </c>
      <c r="F1160" s="69"/>
      <c r="K1160" s="82">
        <v>0.57640000000000002</v>
      </c>
    </row>
    <row r="1161" spans="1:12" x14ac:dyDescent="0.2">
      <c r="A1161" s="34">
        <v>41601</v>
      </c>
      <c r="B1161" t="s">
        <v>435</v>
      </c>
      <c r="C1161" s="9" t="s">
        <v>436</v>
      </c>
      <c r="D1161" s="1">
        <v>2.148148148148148E-2</v>
      </c>
      <c r="E1161" t="s">
        <v>5095</v>
      </c>
      <c r="F1161" s="69"/>
      <c r="K1161" s="82">
        <v>0.57699999999999996</v>
      </c>
    </row>
    <row r="1162" spans="1:12" x14ac:dyDescent="0.2">
      <c r="A1162" s="34">
        <v>41601</v>
      </c>
      <c r="B1162" s="5" t="s">
        <v>863</v>
      </c>
      <c r="C1162" s="104" t="s">
        <v>2250</v>
      </c>
      <c r="D1162" s="32">
        <v>1.6250000000000001E-2</v>
      </c>
      <c r="E1162" s="5" t="s">
        <v>5883</v>
      </c>
      <c r="F1162" s="108"/>
      <c r="G1162" s="5"/>
      <c r="H1162" s="5"/>
      <c r="I1162" s="5"/>
      <c r="J1162" s="5"/>
      <c r="K1162" s="85">
        <v>0.78420000000000001</v>
      </c>
    </row>
    <row r="1163" spans="1:12" x14ac:dyDescent="0.2">
      <c r="A1163" s="34">
        <v>41601</v>
      </c>
      <c r="B1163" t="s">
        <v>866</v>
      </c>
      <c r="C1163" s="9" t="s">
        <v>867</v>
      </c>
      <c r="D1163" s="1">
        <v>1.6759259259259258E-2</v>
      </c>
      <c r="E1163" t="s">
        <v>5885</v>
      </c>
      <c r="F1163" s="69" t="s">
        <v>2525</v>
      </c>
      <c r="K1163" s="82">
        <v>0.73960000000000004</v>
      </c>
    </row>
    <row r="1164" spans="1:12" x14ac:dyDescent="0.2">
      <c r="A1164" s="34">
        <v>41580</v>
      </c>
      <c r="B1164" t="s">
        <v>3508</v>
      </c>
      <c r="C1164" s="9" t="s">
        <v>3632</v>
      </c>
      <c r="D1164" s="1">
        <v>1.53125E-2</v>
      </c>
      <c r="E1164" t="s">
        <v>5885</v>
      </c>
      <c r="F1164" s="69"/>
      <c r="K1164" s="82">
        <v>0.67420000000000002</v>
      </c>
      <c r="L1164" t="s">
        <v>5569</v>
      </c>
    </row>
    <row r="1165" spans="1:12" x14ac:dyDescent="0.2">
      <c r="A1165" s="34">
        <v>41587</v>
      </c>
      <c r="B1165" t="s">
        <v>3508</v>
      </c>
      <c r="C1165" s="9" t="s">
        <v>3632</v>
      </c>
      <c r="D1165" s="1">
        <v>1.5185185185185185E-2</v>
      </c>
      <c r="E1165" t="s">
        <v>5885</v>
      </c>
      <c r="F1165" s="69"/>
      <c r="K1165" s="82">
        <v>0.67989999999999995</v>
      </c>
      <c r="L1165" t="s">
        <v>3228</v>
      </c>
    </row>
    <row r="1166" spans="1:12" x14ac:dyDescent="0.2">
      <c r="A1166" s="34">
        <v>41594</v>
      </c>
      <c r="B1166" t="s">
        <v>3508</v>
      </c>
      <c r="C1166" s="9" t="s">
        <v>3632</v>
      </c>
      <c r="D1166" s="1">
        <v>1.8113425925925925E-2</v>
      </c>
      <c r="E1166" t="s">
        <v>5885</v>
      </c>
      <c r="F1166" s="69" t="s">
        <v>5192</v>
      </c>
      <c r="K1166" s="82">
        <v>0.56999999999999995</v>
      </c>
      <c r="L1166" t="s">
        <v>2059</v>
      </c>
    </row>
    <row r="1167" spans="1:12" x14ac:dyDescent="0.2">
      <c r="A1167" s="34">
        <v>41601</v>
      </c>
      <c r="B1167" t="s">
        <v>3508</v>
      </c>
      <c r="C1167" s="9" t="s">
        <v>3632</v>
      </c>
      <c r="D1167" s="1">
        <v>1.4699074074074074E-2</v>
      </c>
      <c r="E1167" t="s">
        <v>5885</v>
      </c>
      <c r="F1167" s="69" t="s">
        <v>194</v>
      </c>
      <c r="K1167" s="82">
        <v>0.70240000000000002</v>
      </c>
      <c r="L1167" t="s">
        <v>5600</v>
      </c>
    </row>
    <row r="1168" spans="1:12" x14ac:dyDescent="0.2">
      <c r="A1168" s="34">
        <v>41608</v>
      </c>
      <c r="B1168" t="s">
        <v>3508</v>
      </c>
      <c r="C1168" s="9" t="s">
        <v>3632</v>
      </c>
      <c r="D1168" s="1">
        <v>1.5717592592592592E-2</v>
      </c>
      <c r="E1168" t="s">
        <v>5947</v>
      </c>
      <c r="F1168" s="69"/>
      <c r="K1168" s="82">
        <v>0.66169999999999995</v>
      </c>
      <c r="L1168" t="s">
        <v>5245</v>
      </c>
    </row>
    <row r="1169" spans="1:19" x14ac:dyDescent="0.2">
      <c r="A1169" s="34">
        <v>41580</v>
      </c>
      <c r="B1169" s="53" t="s">
        <v>112</v>
      </c>
      <c r="C1169" s="83" t="s">
        <v>4577</v>
      </c>
      <c r="D1169" s="54">
        <v>2.6064814814814815E-2</v>
      </c>
      <c r="E1169" s="53" t="s">
        <v>5883</v>
      </c>
      <c r="F1169" s="96" t="s">
        <v>4456</v>
      </c>
      <c r="G1169" s="53"/>
      <c r="H1169" s="53" t="s">
        <v>4457</v>
      </c>
      <c r="K1169" s="82">
        <v>0.43380000000000002</v>
      </c>
    </row>
    <row r="1170" spans="1:19" x14ac:dyDescent="0.2">
      <c r="A1170" s="34">
        <v>41580</v>
      </c>
      <c r="B1170" t="s">
        <v>4576</v>
      </c>
      <c r="C1170" s="9" t="s">
        <v>4577</v>
      </c>
      <c r="D1170" s="1">
        <v>2.6076388888888885E-2</v>
      </c>
      <c r="E1170" t="s">
        <v>5883</v>
      </c>
      <c r="F1170" s="69"/>
      <c r="K1170" s="82">
        <v>0.36880000000000002</v>
      </c>
      <c r="L1170" t="s">
        <v>5569</v>
      </c>
    </row>
    <row r="1171" spans="1:19" x14ac:dyDescent="0.2">
      <c r="A1171" s="34">
        <v>41580</v>
      </c>
      <c r="B1171" t="s">
        <v>1796</v>
      </c>
      <c r="C1171" s="9" t="s">
        <v>1797</v>
      </c>
      <c r="D1171" s="1">
        <v>1.6944444444444443E-2</v>
      </c>
      <c r="E1171" t="s">
        <v>129</v>
      </c>
      <c r="F1171" s="69" t="s">
        <v>2629</v>
      </c>
      <c r="K1171" s="82">
        <v>0.63519999999999999</v>
      </c>
    </row>
    <row r="1172" spans="1:19" x14ac:dyDescent="0.2">
      <c r="A1172" s="34">
        <v>41594</v>
      </c>
      <c r="B1172" t="s">
        <v>1796</v>
      </c>
      <c r="C1172" s="9" t="s">
        <v>1797</v>
      </c>
      <c r="D1172" s="1">
        <v>1.6087962962962964E-2</v>
      </c>
      <c r="E1172" t="s">
        <v>5885</v>
      </c>
      <c r="F1172" s="69" t="s">
        <v>363</v>
      </c>
      <c r="G1172" t="s">
        <v>876</v>
      </c>
      <c r="K1172" s="82">
        <v>0.66910000000000003</v>
      </c>
    </row>
    <row r="1173" spans="1:19" x14ac:dyDescent="0.2">
      <c r="A1173" s="34">
        <v>41601</v>
      </c>
      <c r="B1173" t="s">
        <v>1796</v>
      </c>
      <c r="C1173" s="9" t="s">
        <v>1797</v>
      </c>
      <c r="D1173" s="1">
        <v>2.3414351851851853E-2</v>
      </c>
      <c r="E1173" t="s">
        <v>5883</v>
      </c>
      <c r="F1173" s="69"/>
      <c r="K1173" s="82">
        <v>0.4597</v>
      </c>
      <c r="L1173" t="s">
        <v>5600</v>
      </c>
    </row>
    <row r="1174" spans="1:19" x14ac:dyDescent="0.2">
      <c r="A1174" s="34">
        <v>41608</v>
      </c>
      <c r="B1174" t="s">
        <v>1796</v>
      </c>
      <c r="C1174" s="9" t="s">
        <v>1797</v>
      </c>
      <c r="D1174" s="1">
        <v>1.6597222222222222E-2</v>
      </c>
      <c r="E1174" t="s">
        <v>5095</v>
      </c>
      <c r="F1174" s="69" t="s">
        <v>2629</v>
      </c>
      <c r="K1174" s="82">
        <v>0.64849999999999997</v>
      </c>
    </row>
    <row r="1175" spans="1:19" x14ac:dyDescent="0.2">
      <c r="A1175" s="34">
        <v>41587</v>
      </c>
      <c r="B1175" t="s">
        <v>868</v>
      </c>
      <c r="C1175" s="9" t="s">
        <v>2480</v>
      </c>
      <c r="D1175" s="1">
        <v>1.9016203703703705E-2</v>
      </c>
      <c r="E1175" t="s">
        <v>1214</v>
      </c>
      <c r="F1175" s="69"/>
      <c r="K1175" s="82">
        <v>0.63660000000000005</v>
      </c>
    </row>
    <row r="1176" spans="1:19" x14ac:dyDescent="0.2">
      <c r="A1176" s="34">
        <v>41601</v>
      </c>
      <c r="B1176" t="s">
        <v>868</v>
      </c>
      <c r="C1176" s="9" t="s">
        <v>2480</v>
      </c>
      <c r="D1176" s="1">
        <v>1.8368055555555554E-2</v>
      </c>
      <c r="E1176" t="s">
        <v>1214</v>
      </c>
      <c r="F1176" s="69" t="s">
        <v>194</v>
      </c>
      <c r="K1176" s="82">
        <v>0.65910000000000002</v>
      </c>
    </row>
    <row r="1177" spans="1:19" x14ac:dyDescent="0.2">
      <c r="A1177" s="34">
        <v>41587</v>
      </c>
      <c r="B1177" t="s">
        <v>3011</v>
      </c>
      <c r="C1177" s="9" t="s">
        <v>3012</v>
      </c>
      <c r="D1177" s="1">
        <v>1.2974537037037036E-2</v>
      </c>
      <c r="E1177" t="s">
        <v>3009</v>
      </c>
      <c r="F1177" s="69"/>
      <c r="K1177" s="82">
        <v>0.76449999999999996</v>
      </c>
    </row>
    <row r="1178" spans="1:19" x14ac:dyDescent="0.2">
      <c r="A1178" s="34">
        <v>41594</v>
      </c>
      <c r="B1178" t="s">
        <v>3011</v>
      </c>
      <c r="C1178" s="9" t="s">
        <v>3012</v>
      </c>
      <c r="D1178" s="1">
        <v>1.2719907407407407E-2</v>
      </c>
      <c r="E1178" t="s">
        <v>3009</v>
      </c>
      <c r="F1178" s="69"/>
      <c r="K1178" s="82">
        <v>0.77980000000000005</v>
      </c>
    </row>
    <row r="1179" spans="1:19" x14ac:dyDescent="0.2">
      <c r="A1179" s="34">
        <v>41601</v>
      </c>
      <c r="B1179" t="s">
        <v>3011</v>
      </c>
      <c r="C1179" s="9" t="s">
        <v>3012</v>
      </c>
      <c r="D1179" s="1">
        <v>1.2627314814814815E-2</v>
      </c>
      <c r="E1179" t="s">
        <v>3009</v>
      </c>
      <c r="F1179" s="69"/>
      <c r="K1179" s="82">
        <v>0.78549999999999998</v>
      </c>
    </row>
    <row r="1180" spans="1:19" x14ac:dyDescent="0.2">
      <c r="A1180" s="34">
        <v>41594</v>
      </c>
      <c r="B1180" t="s">
        <v>5369</v>
      </c>
      <c r="C1180" s="9" t="s">
        <v>2117</v>
      </c>
      <c r="D1180" s="1">
        <v>1.9027777777777779E-2</v>
      </c>
      <c r="E1180" t="s">
        <v>653</v>
      </c>
      <c r="F1180" s="69" t="s">
        <v>5190</v>
      </c>
      <c r="K1180" s="82">
        <v>0.64359999999999995</v>
      </c>
    </row>
    <row r="1181" spans="1:19" x14ac:dyDescent="0.2">
      <c r="A1181" s="34">
        <v>41601</v>
      </c>
      <c r="B1181" t="s">
        <v>5369</v>
      </c>
      <c r="C1181" s="9" t="s">
        <v>2117</v>
      </c>
      <c r="D1181" s="1">
        <v>1.8726851851851852E-2</v>
      </c>
      <c r="E1181" t="s">
        <v>2526</v>
      </c>
      <c r="F1181" s="69" t="s">
        <v>2832</v>
      </c>
      <c r="K1181" s="82">
        <v>0.65390000000000004</v>
      </c>
    </row>
    <row r="1182" spans="1:19" x14ac:dyDescent="0.2">
      <c r="A1182" s="34">
        <v>41608</v>
      </c>
      <c r="B1182" t="s">
        <v>5369</v>
      </c>
      <c r="C1182" s="9" t="s">
        <v>2117</v>
      </c>
      <c r="D1182" s="1">
        <v>1.8622685185185183E-2</v>
      </c>
      <c r="E1182" t="s">
        <v>4260</v>
      </c>
      <c r="F1182" s="69" t="s">
        <v>3529</v>
      </c>
      <c r="K1182" s="82">
        <v>0.65759999999999996</v>
      </c>
    </row>
    <row r="1183" spans="1:19" x14ac:dyDescent="0.2">
      <c r="A1183" s="34">
        <v>41580</v>
      </c>
      <c r="B1183" s="53" t="s">
        <v>4963</v>
      </c>
      <c r="C1183" s="83" t="s">
        <v>4964</v>
      </c>
      <c r="D1183" s="54">
        <v>1.6400462962962964E-2</v>
      </c>
      <c r="E1183" s="53" t="s">
        <v>5883</v>
      </c>
      <c r="F1183" s="96"/>
      <c r="G1183" s="53"/>
      <c r="H1183" s="53"/>
      <c r="K1183" s="82">
        <v>0.54759999999999998</v>
      </c>
      <c r="L1183" t="s">
        <v>5569</v>
      </c>
      <c r="S1183" s="5"/>
    </row>
    <row r="1184" spans="1:19" x14ac:dyDescent="0.2">
      <c r="A1184" s="34">
        <v>41587</v>
      </c>
      <c r="B1184" s="53" t="s">
        <v>4963</v>
      </c>
      <c r="C1184" s="83" t="s">
        <v>4964</v>
      </c>
      <c r="D1184" s="54">
        <v>1.4421296296296295E-2</v>
      </c>
      <c r="E1184" s="53" t="s">
        <v>5958</v>
      </c>
      <c r="F1184" s="69"/>
      <c r="K1184" s="82">
        <v>0.62280000000000002</v>
      </c>
      <c r="L1184" t="s">
        <v>3228</v>
      </c>
    </row>
    <row r="1185" spans="1:19" x14ac:dyDescent="0.2">
      <c r="A1185" s="34">
        <v>41594</v>
      </c>
      <c r="B1185" s="53" t="s">
        <v>4963</v>
      </c>
      <c r="C1185" s="83" t="s">
        <v>4964</v>
      </c>
      <c r="D1185" s="54">
        <v>1.4583333333333332E-2</v>
      </c>
      <c r="E1185" s="53" t="s">
        <v>5095</v>
      </c>
      <c r="F1185" s="69" t="s">
        <v>5194</v>
      </c>
      <c r="K1185" s="82">
        <v>0.6159</v>
      </c>
      <c r="L1185" t="s">
        <v>2059</v>
      </c>
    </row>
    <row r="1186" spans="1:19" x14ac:dyDescent="0.2">
      <c r="A1186" s="34">
        <v>41601</v>
      </c>
      <c r="B1186" s="53" t="s">
        <v>4963</v>
      </c>
      <c r="C1186" s="83" t="s">
        <v>4964</v>
      </c>
      <c r="D1186" s="54">
        <v>1.3518518518518518E-2</v>
      </c>
      <c r="E1186" s="53" t="s">
        <v>3072</v>
      </c>
      <c r="F1186" s="69" t="s">
        <v>193</v>
      </c>
      <c r="K1186" s="82">
        <v>0.66439999999999999</v>
      </c>
      <c r="L1186" t="s">
        <v>5600</v>
      </c>
    </row>
    <row r="1187" spans="1:19" x14ac:dyDescent="0.2">
      <c r="A1187" s="34">
        <v>41608</v>
      </c>
      <c r="B1187" s="53" t="s">
        <v>4963</v>
      </c>
      <c r="C1187" s="83" t="s">
        <v>4964</v>
      </c>
      <c r="D1187" s="54">
        <v>1.3414351851851851E-2</v>
      </c>
      <c r="E1187" s="53" t="s">
        <v>5544</v>
      </c>
      <c r="F1187" s="69"/>
      <c r="K1187" s="82">
        <v>0.66949999999999998</v>
      </c>
      <c r="L1187" t="s">
        <v>5245</v>
      </c>
    </row>
    <row r="1188" spans="1:19" x14ac:dyDescent="0.2">
      <c r="A1188" s="34">
        <v>41580</v>
      </c>
      <c r="B1188" t="s">
        <v>1308</v>
      </c>
      <c r="C1188" s="9" t="s">
        <v>428</v>
      </c>
      <c r="D1188" s="1">
        <v>1.3796296296296298E-2</v>
      </c>
      <c r="E1188" t="s">
        <v>5885</v>
      </c>
      <c r="F1188" s="69"/>
      <c r="K1188" s="82">
        <v>0.70809999999999995</v>
      </c>
      <c r="S1188" s="5"/>
    </row>
    <row r="1189" spans="1:19" x14ac:dyDescent="0.2">
      <c r="A1189" s="34">
        <v>41601</v>
      </c>
      <c r="B1189" t="s">
        <v>1308</v>
      </c>
      <c r="C1189" s="9" t="s">
        <v>428</v>
      </c>
      <c r="D1189" s="1">
        <v>1.3483796296296298E-2</v>
      </c>
      <c r="E1189" t="s">
        <v>5885</v>
      </c>
      <c r="F1189" s="69"/>
      <c r="K1189" s="82">
        <v>0.72450000000000003</v>
      </c>
    </row>
    <row r="1190" spans="1:19" x14ac:dyDescent="0.2">
      <c r="A1190" s="34">
        <v>41608</v>
      </c>
      <c r="B1190" t="s">
        <v>4640</v>
      </c>
      <c r="C1190" s="9" t="s">
        <v>4641</v>
      </c>
      <c r="D1190" s="118" t="s">
        <v>4642</v>
      </c>
      <c r="E1190" t="s">
        <v>5947</v>
      </c>
      <c r="F1190" s="41"/>
      <c r="K1190"/>
    </row>
    <row r="1191" spans="1:19" x14ac:dyDescent="0.2">
      <c r="A1191" s="34">
        <v>41580</v>
      </c>
      <c r="B1191" t="s">
        <v>435</v>
      </c>
      <c r="C1191" s="9" t="s">
        <v>1936</v>
      </c>
      <c r="D1191" s="1">
        <v>1.7361111111111112E-2</v>
      </c>
      <c r="E1191" t="s">
        <v>4861</v>
      </c>
      <c r="F1191" s="69"/>
      <c r="K1191" s="82">
        <v>0.58530000000000004</v>
      </c>
      <c r="L1191" t="s">
        <v>5569</v>
      </c>
      <c r="S1191" s="5"/>
    </row>
    <row r="1192" spans="1:19" x14ac:dyDescent="0.2">
      <c r="A1192" s="34">
        <v>41587</v>
      </c>
      <c r="B1192" t="s">
        <v>435</v>
      </c>
      <c r="C1192" s="9" t="s">
        <v>1936</v>
      </c>
      <c r="D1192" s="1">
        <v>1.7222222222222222E-2</v>
      </c>
      <c r="E1192" t="s">
        <v>4861</v>
      </c>
      <c r="F1192" s="69"/>
      <c r="K1192" s="82">
        <v>0.59009999999999996</v>
      </c>
      <c r="L1192" t="s">
        <v>3228</v>
      </c>
    </row>
    <row r="1193" spans="1:19" x14ac:dyDescent="0.2">
      <c r="A1193" s="34">
        <v>41594</v>
      </c>
      <c r="B1193" t="s">
        <v>435</v>
      </c>
      <c r="C1193" s="9" t="s">
        <v>1936</v>
      </c>
      <c r="D1193" s="1">
        <v>1.6851851851851851E-2</v>
      </c>
      <c r="E1193" t="s">
        <v>4861</v>
      </c>
      <c r="F1193" s="69"/>
      <c r="K1193" s="82">
        <v>0.60299999999999998</v>
      </c>
      <c r="L1193" t="s">
        <v>2059</v>
      </c>
    </row>
    <row r="1194" spans="1:19" x14ac:dyDescent="0.2">
      <c r="A1194" s="34">
        <v>41601</v>
      </c>
      <c r="B1194" t="s">
        <v>435</v>
      </c>
      <c r="C1194" s="9" t="s">
        <v>1936</v>
      </c>
      <c r="D1194" s="1">
        <v>1.7060185185185185E-2</v>
      </c>
      <c r="E1194" t="s">
        <v>4861</v>
      </c>
      <c r="F1194" s="69"/>
      <c r="K1194" s="82">
        <v>0.59970000000000001</v>
      </c>
      <c r="L1194" t="s">
        <v>5600</v>
      </c>
    </row>
    <row r="1195" spans="1:19" x14ac:dyDescent="0.2">
      <c r="A1195" s="34">
        <v>41608</v>
      </c>
      <c r="B1195" t="s">
        <v>435</v>
      </c>
      <c r="C1195" s="9" t="s">
        <v>1936</v>
      </c>
      <c r="D1195" s="1" t="s">
        <v>787</v>
      </c>
      <c r="E1195" t="s">
        <v>4861</v>
      </c>
      <c r="F1195" s="69"/>
      <c r="K1195" s="82"/>
      <c r="L1195" t="s">
        <v>5600</v>
      </c>
    </row>
    <row r="1196" spans="1:19" x14ac:dyDescent="0.2">
      <c r="A1196" s="34">
        <v>41580</v>
      </c>
      <c r="B1196" t="s">
        <v>665</v>
      </c>
      <c r="C1196" s="9" t="s">
        <v>666</v>
      </c>
      <c r="D1196" s="1">
        <v>1.7407407407407406E-2</v>
      </c>
      <c r="E1196" t="s">
        <v>993</v>
      </c>
      <c r="F1196" s="69"/>
      <c r="K1196" s="82">
        <v>0.60309999999999997</v>
      </c>
      <c r="L1196" t="s">
        <v>5569</v>
      </c>
      <c r="S1196" s="5"/>
    </row>
    <row r="1197" spans="1:19" x14ac:dyDescent="0.2">
      <c r="A1197" s="34">
        <v>41587</v>
      </c>
      <c r="B1197" t="s">
        <v>665</v>
      </c>
      <c r="C1197" s="9" t="s">
        <v>666</v>
      </c>
      <c r="D1197" s="1">
        <v>1.7407407407407406E-2</v>
      </c>
      <c r="E1197" t="s">
        <v>1827</v>
      </c>
      <c r="F1197" s="69" t="s">
        <v>2629</v>
      </c>
      <c r="K1197" s="82">
        <v>0.60309999999999997</v>
      </c>
      <c r="L1197" t="s">
        <v>3228</v>
      </c>
    </row>
    <row r="1198" spans="1:19" x14ac:dyDescent="0.2">
      <c r="A1198" s="34">
        <v>41594</v>
      </c>
      <c r="B1198" t="s">
        <v>665</v>
      </c>
      <c r="C1198" s="9" t="s">
        <v>666</v>
      </c>
      <c r="D1198" s="1">
        <v>1.8240740740740741E-2</v>
      </c>
      <c r="E1198" t="s">
        <v>5885</v>
      </c>
      <c r="F1198" s="69" t="s">
        <v>52</v>
      </c>
      <c r="K1198" s="82">
        <v>0.57550000000000001</v>
      </c>
      <c r="L1198" t="s">
        <v>2059</v>
      </c>
    </row>
    <row r="1199" spans="1:19" x14ac:dyDescent="0.2">
      <c r="A1199" s="34">
        <v>41601</v>
      </c>
      <c r="B1199" t="s">
        <v>665</v>
      </c>
      <c r="C1199" s="9" t="s">
        <v>666</v>
      </c>
      <c r="D1199" s="1">
        <v>1.7384259259259262E-2</v>
      </c>
      <c r="E1199" t="s">
        <v>5654</v>
      </c>
      <c r="F1199" s="69" t="s">
        <v>2629</v>
      </c>
      <c r="K1199" s="82">
        <v>0.60389999999999999</v>
      </c>
      <c r="L1199" t="s">
        <v>5600</v>
      </c>
    </row>
    <row r="1200" spans="1:19" x14ac:dyDescent="0.2">
      <c r="A1200" s="34">
        <v>41608</v>
      </c>
      <c r="B1200" t="s">
        <v>665</v>
      </c>
      <c r="C1200" s="9" t="s">
        <v>666</v>
      </c>
      <c r="D1200" s="1">
        <v>1.7384259259259262E-2</v>
      </c>
      <c r="E1200" t="s">
        <v>5095</v>
      </c>
      <c r="F1200" s="69" t="s">
        <v>2629</v>
      </c>
      <c r="K1200" s="82">
        <v>0.60389999999999999</v>
      </c>
      <c r="L1200" t="s">
        <v>5245</v>
      </c>
    </row>
    <row r="1201" spans="1:17" x14ac:dyDescent="0.2">
      <c r="A1201" s="34">
        <v>41594</v>
      </c>
      <c r="B1201" t="s">
        <v>2137</v>
      </c>
      <c r="C1201" s="9" t="s">
        <v>4943</v>
      </c>
      <c r="D1201" s="1">
        <v>1.5532407407407406E-2</v>
      </c>
      <c r="E1201" t="s">
        <v>5544</v>
      </c>
      <c r="F1201" s="69"/>
      <c r="K1201" s="82">
        <v>0.69299999999999995</v>
      </c>
    </row>
    <row r="1202" spans="1:17" x14ac:dyDescent="0.2">
      <c r="A1202" s="34">
        <v>41580</v>
      </c>
      <c r="B1202" t="s">
        <v>2478</v>
      </c>
      <c r="C1202" s="9" t="s">
        <v>2479</v>
      </c>
      <c r="D1202" s="1">
        <v>1.539351851851852E-2</v>
      </c>
      <c r="E1202" t="s">
        <v>3167</v>
      </c>
      <c r="F1202" s="69"/>
      <c r="K1202" s="82">
        <v>0.65490000000000004</v>
      </c>
      <c r="L1202" t="s">
        <v>5569</v>
      </c>
    </row>
    <row r="1203" spans="1:17" x14ac:dyDescent="0.2">
      <c r="A1203" s="34">
        <v>41587</v>
      </c>
      <c r="B1203" t="s">
        <v>2478</v>
      </c>
      <c r="C1203" s="9" t="s">
        <v>2479</v>
      </c>
      <c r="D1203" s="1">
        <v>1.4571759259259258E-2</v>
      </c>
      <c r="E1203" t="s">
        <v>3167</v>
      </c>
      <c r="F1203" s="69"/>
      <c r="K1203" s="82">
        <v>0.69179999999999997</v>
      </c>
      <c r="L1203" t="s">
        <v>3228</v>
      </c>
    </row>
    <row r="1204" spans="1:17" x14ac:dyDescent="0.2">
      <c r="A1204" s="34">
        <v>41601</v>
      </c>
      <c r="B1204" t="s">
        <v>2478</v>
      </c>
      <c r="C1204" s="9" t="s">
        <v>2479</v>
      </c>
      <c r="D1204" s="1">
        <v>1.3969907407407408E-2</v>
      </c>
      <c r="E1204" t="s">
        <v>3167</v>
      </c>
      <c r="F1204" s="69"/>
      <c r="K1204" s="82">
        <v>0.72160000000000002</v>
      </c>
    </row>
    <row r="1205" spans="1:17" x14ac:dyDescent="0.2">
      <c r="A1205" s="34">
        <v>41608</v>
      </c>
      <c r="B1205" t="s">
        <v>2478</v>
      </c>
      <c r="C1205" s="9" t="s">
        <v>2479</v>
      </c>
      <c r="D1205" s="1">
        <v>1.4386574074074072E-2</v>
      </c>
      <c r="E1205" t="s">
        <v>3167</v>
      </c>
      <c r="F1205" s="69"/>
      <c r="K1205" s="82">
        <v>0.70069999999999999</v>
      </c>
    </row>
    <row r="1206" spans="1:17" x14ac:dyDescent="0.2">
      <c r="A1206" s="34">
        <v>41580</v>
      </c>
      <c r="B1206" s="53" t="s">
        <v>5542</v>
      </c>
      <c r="C1206" s="83" t="s">
        <v>1488</v>
      </c>
      <c r="D1206" s="54">
        <v>1.383101851851852E-2</v>
      </c>
      <c r="E1206" s="53" t="s">
        <v>993</v>
      </c>
      <c r="F1206" s="96" t="s">
        <v>1489</v>
      </c>
      <c r="G1206" s="53"/>
      <c r="H1206" s="53"/>
      <c r="I1206" s="53"/>
      <c r="J1206" s="53"/>
      <c r="K1206" s="82">
        <v>0.75229999999999997</v>
      </c>
    </row>
    <row r="1207" spans="1:17" x14ac:dyDescent="0.2">
      <c r="A1207" s="34">
        <v>41580</v>
      </c>
      <c r="B1207" t="s">
        <v>3535</v>
      </c>
      <c r="C1207" s="9" t="s">
        <v>3536</v>
      </c>
      <c r="D1207" s="1">
        <v>1.2222222222222223E-2</v>
      </c>
      <c r="E1207" t="s">
        <v>5885</v>
      </c>
      <c r="F1207" s="69"/>
      <c r="K1207" s="82">
        <v>0.78690000000000004</v>
      </c>
    </row>
    <row r="1208" spans="1:17" x14ac:dyDescent="0.2">
      <c r="A1208" s="34">
        <v>41580</v>
      </c>
      <c r="B1208" t="s">
        <v>2822</v>
      </c>
      <c r="C1208" s="9" t="s">
        <v>2823</v>
      </c>
      <c r="D1208" s="1">
        <v>1.832175925925926E-2</v>
      </c>
      <c r="E1208" t="s">
        <v>5544</v>
      </c>
      <c r="F1208" s="69"/>
      <c r="K1208" s="82">
        <v>0.5635</v>
      </c>
    </row>
    <row r="1209" spans="1:17" x14ac:dyDescent="0.2">
      <c r="A1209" s="34">
        <v>41587</v>
      </c>
      <c r="B1209" t="s">
        <v>2822</v>
      </c>
      <c r="C1209" s="9" t="s">
        <v>2823</v>
      </c>
      <c r="D1209" s="1">
        <v>1.7696759259259259E-2</v>
      </c>
      <c r="E1209" t="s">
        <v>5544</v>
      </c>
      <c r="F1209" s="69"/>
      <c r="K1209" s="82">
        <v>0.58340000000000003</v>
      </c>
    </row>
    <row r="1210" spans="1:17" x14ac:dyDescent="0.2">
      <c r="A1210" s="34">
        <v>41594</v>
      </c>
      <c r="B1210" t="s">
        <v>2822</v>
      </c>
      <c r="C1210" s="9" t="s">
        <v>2823</v>
      </c>
      <c r="D1210" s="114">
        <v>1.7615740740740741E-2</v>
      </c>
      <c r="E1210" t="s">
        <v>5544</v>
      </c>
      <c r="F1210" s="69"/>
      <c r="K1210" s="82">
        <v>0.58609999999999995</v>
      </c>
    </row>
    <row r="1211" spans="1:17" x14ac:dyDescent="0.2">
      <c r="A1211" s="34">
        <v>41601</v>
      </c>
      <c r="B1211" t="s">
        <v>2822</v>
      </c>
      <c r="C1211" s="9" t="s">
        <v>2823</v>
      </c>
      <c r="D1211" s="1">
        <v>1.8171296296296297E-2</v>
      </c>
      <c r="E1211" t="s">
        <v>5544</v>
      </c>
      <c r="F1211" s="69"/>
      <c r="K1211" s="82">
        <v>0.56820000000000004</v>
      </c>
    </row>
    <row r="1212" spans="1:17" x14ac:dyDescent="0.2">
      <c r="A1212" s="34">
        <v>41608</v>
      </c>
      <c r="B1212" t="s">
        <v>2822</v>
      </c>
      <c r="C1212" s="9" t="s">
        <v>2823</v>
      </c>
      <c r="D1212" s="1" t="s">
        <v>787</v>
      </c>
      <c r="E1212" t="s">
        <v>5544</v>
      </c>
      <c r="F1212" s="69" t="s">
        <v>4000</v>
      </c>
      <c r="K1212" s="82"/>
    </row>
    <row r="1213" spans="1:17" x14ac:dyDescent="0.2">
      <c r="A1213" s="34">
        <v>41580</v>
      </c>
      <c r="B1213" t="s">
        <v>1794</v>
      </c>
      <c r="C1213" s="9" t="s">
        <v>1795</v>
      </c>
      <c r="D1213" s="1">
        <v>2.056712962962963E-2</v>
      </c>
      <c r="E1213" t="s">
        <v>5544</v>
      </c>
      <c r="F1213" s="69"/>
      <c r="K1213" s="82">
        <v>0.58860000000000001</v>
      </c>
      <c r="L1213" t="s">
        <v>5569</v>
      </c>
    </row>
    <row r="1214" spans="1:17" x14ac:dyDescent="0.2">
      <c r="A1214" s="34">
        <v>41587</v>
      </c>
      <c r="B1214" t="s">
        <v>1794</v>
      </c>
      <c r="C1214" s="9" t="s">
        <v>1795</v>
      </c>
      <c r="D1214" t="s">
        <v>787</v>
      </c>
      <c r="E1214" t="s">
        <v>5544</v>
      </c>
      <c r="F1214" s="69" t="s">
        <v>4814</v>
      </c>
      <c r="K1214" s="82"/>
      <c r="L1214" t="s">
        <v>3228</v>
      </c>
    </row>
    <row r="1215" spans="1:17" x14ac:dyDescent="0.2">
      <c r="A1215" s="34">
        <v>41594</v>
      </c>
      <c r="B1215" t="s">
        <v>1794</v>
      </c>
      <c r="C1215" s="9" t="s">
        <v>1795</v>
      </c>
      <c r="D1215" s="1">
        <v>1.9490740740740743E-2</v>
      </c>
      <c r="E1215" t="s">
        <v>4004</v>
      </c>
      <c r="F1215" s="69" t="s">
        <v>363</v>
      </c>
      <c r="G1215" t="s">
        <v>5368</v>
      </c>
      <c r="K1215" s="82">
        <v>0.62109999999999999</v>
      </c>
      <c r="L1215" t="s">
        <v>2059</v>
      </c>
      <c r="Q1215" t="s">
        <v>2060</v>
      </c>
    </row>
    <row r="1216" spans="1:17" x14ac:dyDescent="0.2">
      <c r="A1216" s="34">
        <v>41601</v>
      </c>
      <c r="B1216" t="s">
        <v>1794</v>
      </c>
      <c r="C1216" s="9" t="s">
        <v>1795</v>
      </c>
      <c r="D1216" s="1">
        <v>2.028935185185185E-2</v>
      </c>
      <c r="E1216" t="s">
        <v>5654</v>
      </c>
      <c r="F1216" s="69" t="s">
        <v>1532</v>
      </c>
      <c r="K1216" s="82">
        <v>0.59670000000000001</v>
      </c>
      <c r="L1216" t="s">
        <v>5600</v>
      </c>
    </row>
    <row r="1217" spans="1:19" x14ac:dyDescent="0.2">
      <c r="A1217" s="34">
        <v>41608</v>
      </c>
      <c r="B1217" t="s">
        <v>5433</v>
      </c>
      <c r="C1217" s="9" t="s">
        <v>1795</v>
      </c>
      <c r="D1217" s="1">
        <v>2.0497685185185185E-2</v>
      </c>
      <c r="E1217" t="s">
        <v>5095</v>
      </c>
      <c r="F1217" s="69" t="s">
        <v>4258</v>
      </c>
      <c r="K1217" s="82">
        <v>0.59030000000000005</v>
      </c>
      <c r="L1217" t="s">
        <v>5245</v>
      </c>
    </row>
    <row r="1218" spans="1:19" x14ac:dyDescent="0.2">
      <c r="A1218" s="34">
        <v>41580</v>
      </c>
      <c r="B1218" t="s">
        <v>431</v>
      </c>
      <c r="C1218" s="9" t="s">
        <v>433</v>
      </c>
      <c r="D1218" s="1">
        <v>1.653935185185185E-2</v>
      </c>
      <c r="E1218" t="s">
        <v>5095</v>
      </c>
      <c r="F1218" s="69"/>
      <c r="K1218" s="82">
        <v>0.66200000000000003</v>
      </c>
      <c r="L1218" t="s">
        <v>5569</v>
      </c>
    </row>
    <row r="1219" spans="1:19" x14ac:dyDescent="0.2">
      <c r="A1219" s="34">
        <v>41587</v>
      </c>
      <c r="B1219" t="s">
        <v>431</v>
      </c>
      <c r="C1219" s="9" t="s">
        <v>433</v>
      </c>
      <c r="D1219" s="1">
        <v>1.6608796296296299E-2</v>
      </c>
      <c r="E1219" t="s">
        <v>5095</v>
      </c>
      <c r="F1219" s="69"/>
      <c r="K1219" s="82">
        <v>0.65920000000000001</v>
      </c>
      <c r="L1219" t="s">
        <v>3228</v>
      </c>
    </row>
    <row r="1220" spans="1:19" x14ac:dyDescent="0.2">
      <c r="A1220" s="34">
        <v>41594</v>
      </c>
      <c r="B1220" t="s">
        <v>431</v>
      </c>
      <c r="C1220" s="9" t="s">
        <v>433</v>
      </c>
      <c r="D1220" s="1">
        <v>1.6909722222222225E-2</v>
      </c>
      <c r="E1220" t="s">
        <v>5095</v>
      </c>
      <c r="F1220" s="69"/>
      <c r="K1220" s="82">
        <v>0.64749999999999996</v>
      </c>
      <c r="L1220" t="s">
        <v>2059</v>
      </c>
    </row>
    <row r="1221" spans="1:19" x14ac:dyDescent="0.2">
      <c r="A1221" s="34">
        <v>41601</v>
      </c>
      <c r="B1221" t="s">
        <v>431</v>
      </c>
      <c r="C1221" s="9" t="s">
        <v>433</v>
      </c>
      <c r="D1221" s="1">
        <v>1.6597222222222222E-2</v>
      </c>
      <c r="E1221" t="s">
        <v>5095</v>
      </c>
      <c r="F1221" s="69"/>
      <c r="K1221" s="82">
        <v>0.65969999999999995</v>
      </c>
      <c r="L1221" t="s">
        <v>5600</v>
      </c>
    </row>
    <row r="1222" spans="1:19" x14ac:dyDescent="0.2">
      <c r="A1222" s="34">
        <v>41608</v>
      </c>
      <c r="B1222" t="s">
        <v>431</v>
      </c>
      <c r="C1222" s="9" t="s">
        <v>433</v>
      </c>
      <c r="D1222" s="1">
        <v>1.6458333333333332E-2</v>
      </c>
      <c r="E1222" t="s">
        <v>5095</v>
      </c>
      <c r="F1222" s="69"/>
      <c r="K1222" s="82">
        <v>0.6653</v>
      </c>
      <c r="L1222" t="s">
        <v>5245</v>
      </c>
    </row>
    <row r="1223" spans="1:19" x14ac:dyDescent="0.2">
      <c r="A1223" s="34">
        <v>41580</v>
      </c>
      <c r="B1223" s="53" t="s">
        <v>4977</v>
      </c>
      <c r="C1223" s="83" t="s">
        <v>3961</v>
      </c>
      <c r="D1223" s="54">
        <v>1.480324074074074E-2</v>
      </c>
      <c r="E1223" s="53" t="s">
        <v>993</v>
      </c>
      <c r="F1223" s="96" t="s">
        <v>578</v>
      </c>
      <c r="K1223" s="82" t="s">
        <v>1487</v>
      </c>
      <c r="S1223" s="5"/>
    </row>
    <row r="1224" spans="1:19" x14ac:dyDescent="0.2">
      <c r="A1224" s="34">
        <v>41601</v>
      </c>
      <c r="B1224" s="53" t="s">
        <v>4977</v>
      </c>
      <c r="C1224" s="83" t="s">
        <v>3961</v>
      </c>
      <c r="D1224" s="54">
        <v>1.5150462962962963E-2</v>
      </c>
      <c r="E1224" s="53" t="s">
        <v>1533</v>
      </c>
      <c r="F1224" s="69" t="s">
        <v>192</v>
      </c>
      <c r="K1224" s="82">
        <v>0.6784</v>
      </c>
    </row>
    <row r="1225" spans="1:19" x14ac:dyDescent="0.2">
      <c r="A1225" s="34">
        <v>41580</v>
      </c>
      <c r="B1225" t="s">
        <v>3960</v>
      </c>
      <c r="C1225" s="9" t="s">
        <v>3961</v>
      </c>
      <c r="D1225" s="1">
        <v>1.4687499999999999E-2</v>
      </c>
      <c r="E1225" t="s">
        <v>993</v>
      </c>
      <c r="F1225" s="69"/>
      <c r="K1225" s="82">
        <v>0.70840000000000003</v>
      </c>
      <c r="L1225" t="s">
        <v>5569</v>
      </c>
    </row>
    <row r="1226" spans="1:19" x14ac:dyDescent="0.2">
      <c r="A1226" s="34">
        <v>41587</v>
      </c>
      <c r="B1226" t="s">
        <v>3960</v>
      </c>
      <c r="C1226" s="9" t="s">
        <v>3961</v>
      </c>
      <c r="D1226" s="1">
        <v>1.621527777777778E-2</v>
      </c>
      <c r="E1226" t="s">
        <v>4452</v>
      </c>
      <c r="F1226" s="69"/>
      <c r="K1226" s="82">
        <v>0.64170000000000005</v>
      </c>
      <c r="L1226" t="s">
        <v>3228</v>
      </c>
    </row>
    <row r="1227" spans="1:19" x14ac:dyDescent="0.2">
      <c r="A1227" s="34">
        <v>41594</v>
      </c>
      <c r="B1227" t="s">
        <v>3960</v>
      </c>
      <c r="C1227" s="9" t="s">
        <v>3961</v>
      </c>
      <c r="D1227" s="1">
        <v>1.4259259259259261E-2</v>
      </c>
      <c r="E1227" t="s">
        <v>5057</v>
      </c>
      <c r="F1227" s="69" t="s">
        <v>2058</v>
      </c>
      <c r="K1227" s="82">
        <v>0.72970000000000002</v>
      </c>
      <c r="L1227" t="s">
        <v>2059</v>
      </c>
    </row>
    <row r="1228" spans="1:19" x14ac:dyDescent="0.2">
      <c r="A1228" s="34">
        <v>41601</v>
      </c>
      <c r="B1228" t="s">
        <v>3960</v>
      </c>
      <c r="C1228" s="9" t="s">
        <v>3961</v>
      </c>
      <c r="D1228" s="1">
        <v>1.4641203703703703E-2</v>
      </c>
      <c r="E1228" t="s">
        <v>1533</v>
      </c>
      <c r="F1228" s="69" t="s">
        <v>1374</v>
      </c>
      <c r="K1228" s="82">
        <v>0.7107</v>
      </c>
      <c r="L1228" t="s">
        <v>5600</v>
      </c>
    </row>
    <row r="1229" spans="1:19" x14ac:dyDescent="0.2">
      <c r="A1229" s="34">
        <v>41608</v>
      </c>
      <c r="B1229" t="s">
        <v>3960</v>
      </c>
      <c r="C1229" s="9" t="s">
        <v>3961</v>
      </c>
      <c r="D1229" s="1">
        <v>1.462962962962963E-2</v>
      </c>
      <c r="E1229" t="s">
        <v>5095</v>
      </c>
      <c r="F1229" s="69"/>
      <c r="K1229" s="82">
        <v>0.71120000000000005</v>
      </c>
      <c r="L1229" t="s">
        <v>5245</v>
      </c>
    </row>
    <row r="1230" spans="1:19" x14ac:dyDescent="0.2">
      <c r="A1230" s="34">
        <v>41594</v>
      </c>
      <c r="B1230" t="s">
        <v>870</v>
      </c>
      <c r="C1230" s="9" t="s">
        <v>871</v>
      </c>
      <c r="D1230" s="1">
        <v>1.3541666666666667E-2</v>
      </c>
      <c r="E1230" t="s">
        <v>5883</v>
      </c>
      <c r="F1230" s="69" t="s">
        <v>5195</v>
      </c>
      <c r="K1230" s="82">
        <v>0.76839999999999997</v>
      </c>
    </row>
    <row r="1231" spans="1:19" x14ac:dyDescent="0.2">
      <c r="A1231" s="34">
        <v>41587</v>
      </c>
      <c r="B1231" s="53" t="s">
        <v>4893</v>
      </c>
      <c r="C1231" s="83" t="s">
        <v>4894</v>
      </c>
      <c r="D1231" s="54">
        <v>1.3796296296296298E-2</v>
      </c>
      <c r="E1231" s="53" t="s">
        <v>129</v>
      </c>
      <c r="F1231" s="41"/>
      <c r="K1231" s="82">
        <v>0.75419999999999998</v>
      </c>
      <c r="L1231" t="s">
        <v>3228</v>
      </c>
    </row>
    <row r="1232" spans="1:19" x14ac:dyDescent="0.2">
      <c r="A1232" s="34">
        <v>41587</v>
      </c>
      <c r="B1232" t="s">
        <v>439</v>
      </c>
      <c r="C1232" s="9" t="s">
        <v>440</v>
      </c>
      <c r="D1232" s="1">
        <v>1.9421296296296294E-2</v>
      </c>
      <c r="E1232" t="s">
        <v>5885</v>
      </c>
      <c r="F1232" s="69"/>
      <c r="K1232" s="82">
        <v>0.65610000000000002</v>
      </c>
    </row>
    <row r="1233" spans="1:12" x14ac:dyDescent="0.2">
      <c r="A1233" s="34">
        <v>41608</v>
      </c>
      <c r="B1233" t="s">
        <v>4259</v>
      </c>
      <c r="C1233" s="9" t="s">
        <v>440</v>
      </c>
      <c r="D1233" s="1" t="s">
        <v>787</v>
      </c>
      <c r="E1233" t="s">
        <v>5095</v>
      </c>
      <c r="F1233" s="69"/>
      <c r="K1233" s="82"/>
    </row>
    <row r="1234" spans="1:12" x14ac:dyDescent="0.2">
      <c r="A1234" s="34">
        <v>41580</v>
      </c>
      <c r="B1234" s="53" t="s">
        <v>2703</v>
      </c>
      <c r="C1234" s="83" t="s">
        <v>5543</v>
      </c>
      <c r="D1234" s="54">
        <v>2.2037037037037036E-2</v>
      </c>
      <c r="E1234" s="53" t="s">
        <v>5544</v>
      </c>
      <c r="F1234" s="69"/>
      <c r="K1234" s="82">
        <v>0.52210000000000001</v>
      </c>
      <c r="L1234" t="s">
        <v>5569</v>
      </c>
    </row>
    <row r="1235" spans="1:12" x14ac:dyDescent="0.2">
      <c r="A1235" s="34">
        <v>41608</v>
      </c>
      <c r="B1235" t="s">
        <v>864</v>
      </c>
      <c r="C1235" s="9" t="s">
        <v>865</v>
      </c>
      <c r="D1235" s="1">
        <v>1.3923611111111111E-2</v>
      </c>
      <c r="E1235" t="s">
        <v>5095</v>
      </c>
      <c r="F1235" s="69" t="s">
        <v>1212</v>
      </c>
      <c r="K1235" s="82">
        <v>0.78639999999999999</v>
      </c>
    </row>
    <row r="1236" spans="1:12" x14ac:dyDescent="0.2">
      <c r="A1236" s="34">
        <v>41580</v>
      </c>
      <c r="B1236" t="s">
        <v>3508</v>
      </c>
      <c r="C1236" s="9" t="s">
        <v>3237</v>
      </c>
      <c r="D1236" s="1">
        <v>1.7962962962962962E-2</v>
      </c>
      <c r="E1236" t="s">
        <v>5883</v>
      </c>
      <c r="F1236" s="69"/>
      <c r="K1236" s="82">
        <v>0.56120000000000003</v>
      </c>
    </row>
    <row r="1237" spans="1:12" x14ac:dyDescent="0.2">
      <c r="A1237" s="34">
        <v>41594</v>
      </c>
      <c r="B1237" t="s">
        <v>53</v>
      </c>
      <c r="C1237" s="9" t="s">
        <v>54</v>
      </c>
      <c r="D1237" s="1">
        <v>1.8414351851851852E-2</v>
      </c>
      <c r="E1237" t="s">
        <v>5885</v>
      </c>
      <c r="F1237" s="69" t="s">
        <v>2057</v>
      </c>
      <c r="K1237" s="82">
        <v>0.63859999999999995</v>
      </c>
    </row>
    <row r="1238" spans="1:12" x14ac:dyDescent="0.2">
      <c r="A1238" s="34">
        <v>41587</v>
      </c>
      <c r="B1238" t="s">
        <v>2703</v>
      </c>
      <c r="C1238" s="9" t="s">
        <v>2704</v>
      </c>
      <c r="D1238" s="1">
        <v>2.2210648148148149E-2</v>
      </c>
      <c r="E1238" t="s">
        <v>5883</v>
      </c>
      <c r="F1238" s="69"/>
      <c r="K1238" s="82">
        <v>0.52424999999999999</v>
      </c>
    </row>
    <row r="1239" spans="1:12" x14ac:dyDescent="0.2">
      <c r="C1239" s="9"/>
      <c r="F1239" s="41"/>
      <c r="K1239"/>
    </row>
    <row r="1240" spans="1:12" x14ac:dyDescent="0.2">
      <c r="C1240" s="9"/>
      <c r="D1240" s="1"/>
      <c r="F1240" s="41"/>
      <c r="K1240" s="82"/>
    </row>
    <row r="1241" spans="1:12" x14ac:dyDescent="0.2">
      <c r="A1241" s="91">
        <v>41548</v>
      </c>
      <c r="C1241" s="9"/>
      <c r="F1241" s="41"/>
      <c r="K1241"/>
    </row>
    <row r="1242" spans="1:12" x14ac:dyDescent="0.2">
      <c r="A1242" s="34">
        <v>41559</v>
      </c>
      <c r="B1242" t="s">
        <v>4580</v>
      </c>
      <c r="C1242" s="9" t="s">
        <v>4581</v>
      </c>
      <c r="D1242" s="32">
        <v>1.8703703703703705E-2</v>
      </c>
      <c r="E1242" s="5" t="s">
        <v>5947</v>
      </c>
      <c r="F1242" s="69"/>
      <c r="K1242" s="82">
        <v>0.59530000000000005</v>
      </c>
    </row>
    <row r="1243" spans="1:12" x14ac:dyDescent="0.2">
      <c r="A1243" s="34">
        <v>41573</v>
      </c>
      <c r="B1243" t="s">
        <v>4580</v>
      </c>
      <c r="C1243" s="9" t="s">
        <v>4581</v>
      </c>
      <c r="D1243" s="1">
        <v>1.9490740740740743E-2</v>
      </c>
      <c r="E1243" t="s">
        <v>5947</v>
      </c>
      <c r="F1243" s="42"/>
      <c r="K1243" s="82">
        <v>0.57130000000000003</v>
      </c>
      <c r="L1243" t="s">
        <v>1961</v>
      </c>
    </row>
    <row r="1244" spans="1:12" x14ac:dyDescent="0.2">
      <c r="A1244" s="34">
        <v>41552</v>
      </c>
      <c r="B1244" t="s">
        <v>868</v>
      </c>
      <c r="C1244" s="9" t="s">
        <v>869</v>
      </c>
      <c r="D1244" s="1">
        <v>1.954861111111111E-2</v>
      </c>
      <c r="E1244" t="s">
        <v>5544</v>
      </c>
      <c r="F1244" s="42"/>
      <c r="K1244" s="82">
        <v>0.71340000000000003</v>
      </c>
    </row>
    <row r="1245" spans="1:12" x14ac:dyDescent="0.2">
      <c r="A1245" s="34">
        <v>41559</v>
      </c>
      <c r="B1245" t="s">
        <v>868</v>
      </c>
      <c r="C1245" s="9" t="s">
        <v>869</v>
      </c>
      <c r="D1245" s="1">
        <v>1.9212962962962963E-2</v>
      </c>
      <c r="E1245" t="s">
        <v>5544</v>
      </c>
      <c r="F1245" s="69"/>
      <c r="K1245" s="82">
        <v>0.72589999999999999</v>
      </c>
    </row>
    <row r="1246" spans="1:12" x14ac:dyDescent="0.2">
      <c r="A1246" s="34">
        <v>41566</v>
      </c>
      <c r="B1246" t="s">
        <v>868</v>
      </c>
      <c r="C1246" s="9" t="s">
        <v>869</v>
      </c>
      <c r="D1246" s="1">
        <v>1.9259259259259261E-2</v>
      </c>
      <c r="E1246" t="s">
        <v>5544</v>
      </c>
      <c r="F1246" s="42"/>
      <c r="K1246" s="82">
        <v>0.72419999999999995</v>
      </c>
    </row>
    <row r="1247" spans="1:12" x14ac:dyDescent="0.2">
      <c r="A1247" s="34">
        <v>41573</v>
      </c>
      <c r="B1247" t="s">
        <v>868</v>
      </c>
      <c r="C1247" s="9" t="s">
        <v>869</v>
      </c>
      <c r="D1247" s="1">
        <v>1.9363425925925926E-2</v>
      </c>
      <c r="E1247" t="s">
        <v>5544</v>
      </c>
      <c r="F1247" s="42" t="s">
        <v>4743</v>
      </c>
      <c r="K1247" s="82">
        <v>0.72030000000000005</v>
      </c>
      <c r="L1247" t="s">
        <v>1961</v>
      </c>
    </row>
    <row r="1248" spans="1:12" x14ac:dyDescent="0.2">
      <c r="A1248" s="34">
        <v>41559</v>
      </c>
      <c r="B1248" t="s">
        <v>481</v>
      </c>
      <c r="C1248" s="9" t="s">
        <v>4575</v>
      </c>
      <c r="D1248" s="1">
        <v>1.7662037037037035E-2</v>
      </c>
      <c r="E1248" t="s">
        <v>2414</v>
      </c>
      <c r="F1248" s="69"/>
      <c r="K1248" s="82">
        <v>0.54459999999999997</v>
      </c>
    </row>
    <row r="1249" spans="1:12" x14ac:dyDescent="0.2">
      <c r="A1249" s="34">
        <v>41552</v>
      </c>
      <c r="B1249" t="s">
        <v>435</v>
      </c>
      <c r="C1249" s="9" t="s">
        <v>436</v>
      </c>
      <c r="D1249" s="1">
        <v>2.1956018518518517E-2</v>
      </c>
      <c r="E1249" t="s">
        <v>5885</v>
      </c>
      <c r="F1249" s="42"/>
      <c r="K1249" s="82">
        <v>0.56459999999999999</v>
      </c>
    </row>
    <row r="1250" spans="1:12" x14ac:dyDescent="0.2">
      <c r="A1250" s="34">
        <v>41559</v>
      </c>
      <c r="B1250" t="s">
        <v>435</v>
      </c>
      <c r="C1250" s="9" t="s">
        <v>436</v>
      </c>
      <c r="D1250" s="1">
        <v>2.1574074074074075E-2</v>
      </c>
      <c r="E1250" t="s">
        <v>5095</v>
      </c>
      <c r="F1250" s="69"/>
      <c r="K1250" s="82">
        <v>0.5746</v>
      </c>
    </row>
    <row r="1251" spans="1:12" x14ac:dyDescent="0.2">
      <c r="A1251" s="34">
        <v>41566</v>
      </c>
      <c r="B1251" t="s">
        <v>435</v>
      </c>
      <c r="C1251" s="9" t="s">
        <v>436</v>
      </c>
      <c r="D1251" s="1">
        <v>2.2083333333333333E-2</v>
      </c>
      <c r="E1251" t="s">
        <v>5095</v>
      </c>
      <c r="F1251" s="42"/>
      <c r="K1251" s="82">
        <v>0.56130000000000002</v>
      </c>
    </row>
    <row r="1252" spans="1:12" x14ac:dyDescent="0.2">
      <c r="A1252" s="34">
        <v>41559</v>
      </c>
      <c r="B1252" t="s">
        <v>863</v>
      </c>
      <c r="C1252" s="9" t="s">
        <v>2250</v>
      </c>
      <c r="D1252" s="1">
        <v>1.6030092592592592E-2</v>
      </c>
      <c r="E1252" t="s">
        <v>5885</v>
      </c>
      <c r="F1252" s="69"/>
      <c r="K1252" s="82">
        <v>0.79490000000000005</v>
      </c>
    </row>
    <row r="1253" spans="1:12" x14ac:dyDescent="0.2">
      <c r="A1253" s="34">
        <v>41559</v>
      </c>
      <c r="B1253" s="53" t="s">
        <v>922</v>
      </c>
      <c r="C1253" s="83" t="s">
        <v>2619</v>
      </c>
      <c r="D1253" s="54">
        <v>1.7175925925925924E-2</v>
      </c>
      <c r="E1253" s="53" t="s">
        <v>2414</v>
      </c>
      <c r="F1253" s="69"/>
      <c r="K1253" s="82">
        <v>0.59160000000000001</v>
      </c>
    </row>
    <row r="1254" spans="1:12" x14ac:dyDescent="0.2">
      <c r="A1254" s="34">
        <v>41552</v>
      </c>
      <c r="B1254" t="s">
        <v>3508</v>
      </c>
      <c r="C1254" s="9" t="s">
        <v>3632</v>
      </c>
      <c r="D1254" s="1">
        <v>1.5219907407407409E-2</v>
      </c>
      <c r="E1254" t="s">
        <v>5885</v>
      </c>
      <c r="F1254" s="42"/>
      <c r="K1254" s="82">
        <v>0.67830000000000001</v>
      </c>
    </row>
    <row r="1255" spans="1:12" x14ac:dyDescent="0.2">
      <c r="A1255" s="34">
        <v>41559</v>
      </c>
      <c r="B1255" t="s">
        <v>3508</v>
      </c>
      <c r="C1255" s="9" t="s">
        <v>3632</v>
      </c>
      <c r="D1255" s="1">
        <v>1.7662037037037035E-2</v>
      </c>
      <c r="E1255" t="s">
        <v>2414</v>
      </c>
      <c r="F1255" s="69"/>
      <c r="K1255" s="82">
        <v>0.58440000000000003</v>
      </c>
      <c r="L1255" s="26"/>
    </row>
    <row r="1256" spans="1:12" x14ac:dyDescent="0.2">
      <c r="A1256" s="34">
        <v>41573</v>
      </c>
      <c r="B1256" t="s">
        <v>3508</v>
      </c>
      <c r="C1256" s="9" t="s">
        <v>3632</v>
      </c>
      <c r="D1256" s="1">
        <v>1.5219907407407409E-2</v>
      </c>
      <c r="E1256" t="s">
        <v>5885</v>
      </c>
      <c r="F1256" s="42"/>
      <c r="K1256" s="82">
        <v>0.67830000000000001</v>
      </c>
      <c r="L1256" t="s">
        <v>1961</v>
      </c>
    </row>
    <row r="1257" spans="1:12" x14ac:dyDescent="0.2">
      <c r="A1257" s="34">
        <v>41552</v>
      </c>
      <c r="B1257" t="s">
        <v>4576</v>
      </c>
      <c r="C1257" s="9" t="s">
        <v>4577</v>
      </c>
      <c r="D1257" s="1">
        <v>1.6493055555555556E-2</v>
      </c>
      <c r="E1257" t="s">
        <v>5883</v>
      </c>
      <c r="F1257" s="41"/>
      <c r="K1257" s="82">
        <v>0.58320000000000005</v>
      </c>
    </row>
    <row r="1258" spans="1:12" x14ac:dyDescent="0.2">
      <c r="A1258" s="34">
        <v>41559</v>
      </c>
      <c r="B1258" s="53" t="s">
        <v>4576</v>
      </c>
      <c r="C1258" s="9" t="s">
        <v>4577</v>
      </c>
      <c r="D1258" s="1">
        <v>1.6307870370370372E-2</v>
      </c>
      <c r="E1258" s="5" t="s">
        <v>5883</v>
      </c>
      <c r="F1258" s="41"/>
      <c r="K1258" s="82">
        <v>0.58979999999999999</v>
      </c>
    </row>
    <row r="1259" spans="1:12" x14ac:dyDescent="0.2">
      <c r="A1259" s="34">
        <v>41573</v>
      </c>
      <c r="B1259" t="s">
        <v>4576</v>
      </c>
      <c r="C1259" s="9" t="s">
        <v>4577</v>
      </c>
      <c r="D1259" s="1">
        <v>1.621527777777778E-2</v>
      </c>
      <c r="E1259" t="s">
        <v>5883</v>
      </c>
      <c r="F1259" s="42" t="s">
        <v>975</v>
      </c>
      <c r="K1259" s="82">
        <v>0.59309999999999996</v>
      </c>
      <c r="L1259" t="s">
        <v>1961</v>
      </c>
    </row>
    <row r="1260" spans="1:12" x14ac:dyDescent="0.2">
      <c r="A1260" s="34">
        <v>41566</v>
      </c>
      <c r="B1260" t="s">
        <v>1349</v>
      </c>
      <c r="C1260" s="9" t="s">
        <v>3343</v>
      </c>
      <c r="D1260" s="1">
        <v>1.9189814814814816E-2</v>
      </c>
      <c r="E1260" t="s">
        <v>5883</v>
      </c>
      <c r="F1260" s="42" t="s">
        <v>2289</v>
      </c>
      <c r="K1260" s="82">
        <v>0.50539999999999996</v>
      </c>
    </row>
    <row r="1261" spans="1:12" x14ac:dyDescent="0.2">
      <c r="A1261" s="34">
        <v>41552</v>
      </c>
      <c r="B1261" s="5" t="s">
        <v>1796</v>
      </c>
      <c r="C1261" s="104" t="s">
        <v>1797</v>
      </c>
      <c r="D1261" s="32">
        <v>1.6851851851851851E-2</v>
      </c>
      <c r="E1261" s="5" t="s">
        <v>5095</v>
      </c>
      <c r="F1261" s="107" t="s">
        <v>2065</v>
      </c>
      <c r="G1261" s="5"/>
      <c r="H1261" s="5"/>
      <c r="I1261" s="5"/>
      <c r="J1261" s="5"/>
      <c r="K1261" s="82">
        <v>0.63870000000000005</v>
      </c>
    </row>
    <row r="1262" spans="1:12" x14ac:dyDescent="0.2">
      <c r="A1262" s="34">
        <v>41559</v>
      </c>
      <c r="B1262" s="5" t="s">
        <v>1796</v>
      </c>
      <c r="C1262" s="104" t="s">
        <v>1797</v>
      </c>
      <c r="D1262" s="32">
        <v>2.0381944444444446E-2</v>
      </c>
      <c r="E1262" s="5" t="s">
        <v>2414</v>
      </c>
      <c r="F1262" s="108"/>
      <c r="G1262" s="5"/>
      <c r="H1262" s="5"/>
      <c r="I1262" s="5"/>
      <c r="J1262" s="5"/>
      <c r="K1262" s="82">
        <v>0.52810000000000001</v>
      </c>
    </row>
    <row r="1263" spans="1:12" x14ac:dyDescent="0.2">
      <c r="A1263" s="34">
        <v>41552</v>
      </c>
      <c r="B1263" s="53" t="s">
        <v>4963</v>
      </c>
      <c r="C1263" s="83" t="s">
        <v>4964</v>
      </c>
      <c r="D1263" s="54">
        <v>1.2916666666666667E-2</v>
      </c>
      <c r="E1263" s="53" t="s">
        <v>3072</v>
      </c>
      <c r="F1263" s="109"/>
      <c r="G1263" s="5"/>
      <c r="H1263" s="5"/>
      <c r="I1263" s="5"/>
      <c r="J1263" s="5"/>
      <c r="K1263" s="82">
        <v>0.69530000000000003</v>
      </c>
    </row>
    <row r="1264" spans="1:12" x14ac:dyDescent="0.2">
      <c r="A1264" s="34">
        <v>41559</v>
      </c>
      <c r="B1264" s="53" t="s">
        <v>4963</v>
      </c>
      <c r="C1264" s="83" t="s">
        <v>4964</v>
      </c>
      <c r="D1264" s="54">
        <v>1.3194444444444444E-2</v>
      </c>
      <c r="E1264" s="53" t="s">
        <v>3167</v>
      </c>
      <c r="F1264" s="108"/>
      <c r="G1264" s="5"/>
      <c r="H1264" s="5"/>
      <c r="I1264" s="5"/>
      <c r="J1264" s="5"/>
      <c r="K1264" s="82">
        <v>0.68069999999999997</v>
      </c>
    </row>
    <row r="1265" spans="1:12" x14ac:dyDescent="0.2">
      <c r="A1265" s="34">
        <v>41566</v>
      </c>
      <c r="B1265" s="53" t="s">
        <v>4963</v>
      </c>
      <c r="C1265" s="83" t="s">
        <v>4964</v>
      </c>
      <c r="D1265" s="54">
        <v>1.849537037037037E-2</v>
      </c>
      <c r="E1265" s="53" t="s">
        <v>5095</v>
      </c>
      <c r="F1265" s="109"/>
      <c r="G1265" s="5"/>
      <c r="H1265" s="5"/>
      <c r="I1265" s="5"/>
      <c r="J1265" s="5"/>
      <c r="K1265" s="82">
        <v>0.48559999999999998</v>
      </c>
    </row>
    <row r="1266" spans="1:12" x14ac:dyDescent="0.2">
      <c r="A1266" s="34">
        <v>41573</v>
      </c>
      <c r="B1266" s="53" t="s">
        <v>4963</v>
      </c>
      <c r="C1266" s="83" t="s">
        <v>4964</v>
      </c>
      <c r="D1266" s="54" t="s">
        <v>787</v>
      </c>
      <c r="E1266" s="53" t="s">
        <v>3072</v>
      </c>
      <c r="F1266" s="107"/>
      <c r="G1266" s="5"/>
      <c r="H1266" s="5"/>
      <c r="I1266" s="5"/>
      <c r="J1266" s="5"/>
      <c r="K1266" s="82"/>
      <c r="L1266" t="s">
        <v>1961</v>
      </c>
    </row>
    <row r="1267" spans="1:12" x14ac:dyDescent="0.2">
      <c r="A1267" s="34">
        <v>41552</v>
      </c>
      <c r="B1267" s="5" t="s">
        <v>435</v>
      </c>
      <c r="C1267" s="104" t="s">
        <v>1936</v>
      </c>
      <c r="D1267" s="32">
        <v>1.7731481481481483E-2</v>
      </c>
      <c r="E1267" s="5" t="s">
        <v>4861</v>
      </c>
      <c r="F1267" s="109"/>
      <c r="G1267" s="5"/>
      <c r="H1267" s="5"/>
      <c r="I1267" s="5"/>
      <c r="J1267" s="5"/>
      <c r="K1267" s="82">
        <v>0.57310000000000005</v>
      </c>
    </row>
    <row r="1268" spans="1:12" x14ac:dyDescent="0.2">
      <c r="A1268" s="34">
        <v>41566</v>
      </c>
      <c r="B1268" s="5" t="s">
        <v>435</v>
      </c>
      <c r="C1268" s="104" t="s">
        <v>1936</v>
      </c>
      <c r="D1268" s="32">
        <v>1.7303240740740741E-2</v>
      </c>
      <c r="E1268" s="5" t="s">
        <v>4861</v>
      </c>
      <c r="F1268" s="107"/>
      <c r="G1268" s="5"/>
      <c r="H1268" s="5"/>
      <c r="I1268" s="5"/>
      <c r="J1268" s="5"/>
      <c r="K1268" s="82">
        <v>0.58730000000000004</v>
      </c>
    </row>
    <row r="1269" spans="1:12" x14ac:dyDescent="0.2">
      <c r="A1269" s="34">
        <v>41573</v>
      </c>
      <c r="B1269" s="5" t="s">
        <v>435</v>
      </c>
      <c r="C1269" s="104" t="s">
        <v>1936</v>
      </c>
      <c r="D1269" s="32">
        <v>1.758101851851852E-2</v>
      </c>
      <c r="E1269" s="5" t="s">
        <v>4861</v>
      </c>
      <c r="F1269" s="107"/>
      <c r="G1269" s="5"/>
      <c r="H1269" s="5"/>
      <c r="I1269" s="5"/>
      <c r="J1269" s="5"/>
      <c r="K1269" s="82">
        <v>0.57799999999999996</v>
      </c>
      <c r="L1269" t="s">
        <v>1961</v>
      </c>
    </row>
    <row r="1270" spans="1:12" x14ac:dyDescent="0.2">
      <c r="A1270" s="34">
        <v>41552</v>
      </c>
      <c r="B1270" s="5" t="s">
        <v>665</v>
      </c>
      <c r="C1270" s="104" t="s">
        <v>666</v>
      </c>
      <c r="D1270" s="32">
        <v>1.7210648148148149E-2</v>
      </c>
      <c r="E1270" s="5" t="s">
        <v>113</v>
      </c>
      <c r="F1270" s="107" t="s">
        <v>4892</v>
      </c>
      <c r="G1270" s="5"/>
      <c r="H1270" s="5"/>
      <c r="I1270" s="5"/>
      <c r="J1270" s="5"/>
      <c r="K1270" s="82">
        <v>0.61</v>
      </c>
    </row>
    <row r="1271" spans="1:12" x14ac:dyDescent="0.2">
      <c r="A1271" s="34">
        <v>41559</v>
      </c>
      <c r="B1271" s="5" t="s">
        <v>665</v>
      </c>
      <c r="C1271" s="104" t="s">
        <v>666</v>
      </c>
      <c r="D1271" s="32">
        <v>1.9479166666666669E-2</v>
      </c>
      <c r="E1271" s="5" t="s">
        <v>2414</v>
      </c>
      <c r="F1271" s="108"/>
      <c r="G1271" s="5"/>
      <c r="H1271" s="5"/>
      <c r="I1271" s="5"/>
      <c r="J1271" s="5"/>
      <c r="K1271" s="82">
        <v>0.53890000000000005</v>
      </c>
    </row>
    <row r="1272" spans="1:12" x14ac:dyDescent="0.2">
      <c r="A1272" s="34">
        <v>41566</v>
      </c>
      <c r="B1272" s="5" t="s">
        <v>665</v>
      </c>
      <c r="C1272" s="104" t="s">
        <v>666</v>
      </c>
      <c r="D1272" s="32">
        <v>1.7314814814814814E-2</v>
      </c>
      <c r="E1272" s="5" t="s">
        <v>5674</v>
      </c>
      <c r="F1272" s="107" t="s">
        <v>2290</v>
      </c>
      <c r="G1272" s="5"/>
      <c r="H1272" s="5"/>
      <c r="I1272" s="5"/>
      <c r="J1272" s="5"/>
      <c r="K1272" s="82">
        <v>0.60629999999999995</v>
      </c>
    </row>
    <row r="1273" spans="1:12" x14ac:dyDescent="0.2">
      <c r="A1273" s="34">
        <v>41573</v>
      </c>
      <c r="B1273" s="5" t="s">
        <v>665</v>
      </c>
      <c r="C1273" s="104" t="s">
        <v>666</v>
      </c>
      <c r="D1273" s="32">
        <v>1.6423611111111111E-2</v>
      </c>
      <c r="E1273" s="5" t="s">
        <v>4004</v>
      </c>
      <c r="F1273" s="107" t="s">
        <v>5107</v>
      </c>
      <c r="G1273" s="5"/>
      <c r="H1273" s="5"/>
      <c r="I1273" s="5"/>
      <c r="J1273" s="5"/>
      <c r="K1273" s="82">
        <v>0.63919999999999999</v>
      </c>
      <c r="L1273" t="s">
        <v>1961</v>
      </c>
    </row>
    <row r="1274" spans="1:12" x14ac:dyDescent="0.2">
      <c r="A1274" s="34">
        <v>41552</v>
      </c>
      <c r="B1274" s="5" t="s">
        <v>2137</v>
      </c>
      <c r="C1274" s="104" t="s">
        <v>4943</v>
      </c>
      <c r="D1274" s="32">
        <v>1.4120370370370368E-2</v>
      </c>
      <c r="E1274" s="5" t="s">
        <v>5544</v>
      </c>
      <c r="F1274" s="107" t="s">
        <v>876</v>
      </c>
      <c r="G1274" s="5"/>
      <c r="H1274" s="5"/>
      <c r="I1274" s="5"/>
      <c r="J1274" s="5"/>
      <c r="K1274" s="82">
        <v>0.75670000000000004</v>
      </c>
    </row>
    <row r="1275" spans="1:12" x14ac:dyDescent="0.2">
      <c r="A1275" s="34">
        <v>41559</v>
      </c>
      <c r="B1275" t="s">
        <v>2137</v>
      </c>
      <c r="C1275" s="9" t="s">
        <v>4943</v>
      </c>
      <c r="D1275" s="1" t="s">
        <v>787</v>
      </c>
      <c r="E1275" s="5" t="s">
        <v>5544</v>
      </c>
      <c r="F1275" s="41"/>
      <c r="K1275"/>
    </row>
    <row r="1276" spans="1:12" x14ac:dyDescent="0.2">
      <c r="A1276" s="34">
        <v>41552</v>
      </c>
      <c r="B1276" t="s">
        <v>2478</v>
      </c>
      <c r="C1276" s="9" t="s">
        <v>2479</v>
      </c>
      <c r="D1276" s="1">
        <v>1.4004629629629631E-2</v>
      </c>
      <c r="E1276" t="s">
        <v>5544</v>
      </c>
      <c r="F1276" s="42" t="s">
        <v>2063</v>
      </c>
      <c r="K1276" s="82">
        <v>0.7198</v>
      </c>
    </row>
    <row r="1277" spans="1:12" x14ac:dyDescent="0.2">
      <c r="A1277" s="34">
        <v>41573</v>
      </c>
      <c r="B1277" s="5" t="s">
        <v>2478</v>
      </c>
      <c r="C1277" s="104" t="s">
        <v>2479</v>
      </c>
      <c r="D1277" s="32">
        <v>1.4467592592592593E-2</v>
      </c>
      <c r="E1277" s="5" t="s">
        <v>3167</v>
      </c>
      <c r="F1277" s="84" t="s">
        <v>2047</v>
      </c>
      <c r="K1277" s="82">
        <v>0.6986</v>
      </c>
      <c r="L1277" t="s">
        <v>1961</v>
      </c>
    </row>
    <row r="1278" spans="1:12" x14ac:dyDescent="0.2">
      <c r="A1278" s="34">
        <v>41559</v>
      </c>
      <c r="B1278" t="s">
        <v>3535</v>
      </c>
      <c r="C1278" s="9" t="s">
        <v>3536</v>
      </c>
      <c r="D1278" s="1">
        <v>1.7685185185185182E-2</v>
      </c>
      <c r="E1278" t="s">
        <v>2414</v>
      </c>
      <c r="F1278" s="69"/>
      <c r="K1278" s="82">
        <v>0.54379999999999995</v>
      </c>
    </row>
    <row r="1279" spans="1:12" x14ac:dyDescent="0.2">
      <c r="A1279" s="34">
        <v>41552</v>
      </c>
      <c r="B1279" s="53" t="s">
        <v>3230</v>
      </c>
      <c r="C1279" s="83" t="s">
        <v>49</v>
      </c>
      <c r="D1279" s="54">
        <v>1.545138888888889E-2</v>
      </c>
      <c r="E1279" s="53" t="s">
        <v>5544</v>
      </c>
      <c r="F1279" s="69"/>
      <c r="K1279" s="82">
        <v>0.6966</v>
      </c>
    </row>
    <row r="1280" spans="1:12" x14ac:dyDescent="0.2">
      <c r="A1280" s="34">
        <v>41559</v>
      </c>
      <c r="B1280" t="s">
        <v>2822</v>
      </c>
      <c r="C1280" s="9" t="s">
        <v>2823</v>
      </c>
      <c r="D1280" s="1">
        <v>1.7847222222222223E-2</v>
      </c>
      <c r="E1280" t="s">
        <v>5544</v>
      </c>
      <c r="F1280" s="69"/>
      <c r="K1280" s="82">
        <v>0.57850000000000001</v>
      </c>
    </row>
    <row r="1281" spans="1:12" x14ac:dyDescent="0.2">
      <c r="A1281" s="34">
        <v>41566</v>
      </c>
      <c r="B1281" t="s">
        <v>2822</v>
      </c>
      <c r="C1281" s="9" t="s">
        <v>2823</v>
      </c>
      <c r="D1281" s="1">
        <v>1.8981481481481481E-2</v>
      </c>
      <c r="E1281" t="s">
        <v>5544</v>
      </c>
      <c r="F1281" s="42" t="s">
        <v>2216</v>
      </c>
      <c r="K1281" s="82">
        <v>0.54390000000000005</v>
      </c>
    </row>
    <row r="1282" spans="1:12" x14ac:dyDescent="0.2">
      <c r="A1282" s="34">
        <v>41552</v>
      </c>
      <c r="B1282" t="s">
        <v>1933</v>
      </c>
      <c r="C1282" s="9" t="s">
        <v>2823</v>
      </c>
      <c r="D1282" s="1">
        <v>1.7719907407407406E-2</v>
      </c>
      <c r="E1282" t="s">
        <v>5544</v>
      </c>
      <c r="F1282" s="42"/>
      <c r="K1282" s="82">
        <v>0.58260000000000001</v>
      </c>
    </row>
    <row r="1283" spans="1:12" x14ac:dyDescent="0.2">
      <c r="A1283" s="34">
        <v>41552</v>
      </c>
      <c r="B1283" t="s">
        <v>429</v>
      </c>
      <c r="C1283" s="9" t="s">
        <v>430</v>
      </c>
      <c r="D1283" s="1">
        <v>1.8124999999999999E-2</v>
      </c>
      <c r="E1283" t="s">
        <v>5885</v>
      </c>
      <c r="F1283" s="42"/>
      <c r="K1283" s="82">
        <v>0.60919999999999996</v>
      </c>
    </row>
    <row r="1284" spans="1:12" x14ac:dyDescent="0.2">
      <c r="A1284" s="34">
        <v>41552</v>
      </c>
      <c r="B1284" t="s">
        <v>1794</v>
      </c>
      <c r="C1284" s="9" t="s">
        <v>1795</v>
      </c>
      <c r="D1284" s="1">
        <v>2.0231481481481482E-2</v>
      </c>
      <c r="E1284" t="s">
        <v>5544</v>
      </c>
      <c r="F1284" s="69" t="s">
        <v>1673</v>
      </c>
      <c r="K1284" s="82">
        <v>0.59840000000000004</v>
      </c>
    </row>
    <row r="1285" spans="1:12" x14ac:dyDescent="0.2">
      <c r="A1285" s="34">
        <v>41566</v>
      </c>
      <c r="B1285" t="s">
        <v>1794</v>
      </c>
      <c r="C1285" s="9" t="s">
        <v>1795</v>
      </c>
      <c r="D1285" s="1">
        <v>2.0081018518518519E-2</v>
      </c>
      <c r="E1285" t="s">
        <v>4004</v>
      </c>
      <c r="F1285" s="42" t="s">
        <v>2288</v>
      </c>
      <c r="K1285" s="82">
        <v>0.60289999999999999</v>
      </c>
    </row>
    <row r="1286" spans="1:12" x14ac:dyDescent="0.2">
      <c r="A1286" s="34">
        <v>41573</v>
      </c>
      <c r="B1286" t="s">
        <v>1794</v>
      </c>
      <c r="C1286" s="9" t="s">
        <v>1795</v>
      </c>
      <c r="D1286" s="1">
        <v>2.0509259259259258E-2</v>
      </c>
      <c r="E1286" t="s">
        <v>5544</v>
      </c>
      <c r="F1286" s="42" t="s">
        <v>3565</v>
      </c>
      <c r="K1286" s="82">
        <v>0.59030000000000005</v>
      </c>
      <c r="L1286" t="s">
        <v>1961</v>
      </c>
    </row>
    <row r="1287" spans="1:12" x14ac:dyDescent="0.2">
      <c r="A1287" s="34">
        <v>41559</v>
      </c>
      <c r="B1287" t="s">
        <v>5433</v>
      </c>
      <c r="C1287" s="9" t="s">
        <v>1795</v>
      </c>
      <c r="D1287" s="1">
        <v>2.0173611111111111E-2</v>
      </c>
      <c r="E1287" t="s">
        <v>2827</v>
      </c>
      <c r="F1287" s="92" t="s">
        <v>921</v>
      </c>
      <c r="K1287" s="82">
        <v>0.60009999999999997</v>
      </c>
    </row>
    <row r="1288" spans="1:12" x14ac:dyDescent="0.2">
      <c r="A1288" s="34">
        <v>41552</v>
      </c>
      <c r="B1288" t="s">
        <v>431</v>
      </c>
      <c r="C1288" s="9" t="s">
        <v>433</v>
      </c>
      <c r="D1288" s="1">
        <v>1.7210648148148149E-2</v>
      </c>
      <c r="E1288" t="s">
        <v>5095</v>
      </c>
      <c r="F1288" s="42"/>
      <c r="K1288" s="82">
        <v>0.63619999999999999</v>
      </c>
    </row>
    <row r="1289" spans="1:12" x14ac:dyDescent="0.2">
      <c r="A1289" s="34">
        <v>41559</v>
      </c>
      <c r="B1289" t="s">
        <v>431</v>
      </c>
      <c r="C1289" s="9" t="s">
        <v>433</v>
      </c>
      <c r="D1289" s="1">
        <v>1.877314814814815E-2</v>
      </c>
      <c r="E1289" t="s">
        <v>5095</v>
      </c>
      <c r="F1289" s="69"/>
      <c r="K1289" s="82">
        <v>0.58320000000000005</v>
      </c>
    </row>
    <row r="1290" spans="1:12" x14ac:dyDescent="0.2">
      <c r="A1290" s="34">
        <v>41566</v>
      </c>
      <c r="B1290" t="s">
        <v>431</v>
      </c>
      <c r="C1290" s="9" t="s">
        <v>433</v>
      </c>
      <c r="D1290" s="1">
        <v>1.7372685185185185E-2</v>
      </c>
      <c r="E1290" t="s">
        <v>5095</v>
      </c>
      <c r="F1290" s="42"/>
      <c r="K1290" s="82">
        <v>0.63012000000000001</v>
      </c>
    </row>
    <row r="1291" spans="1:12" x14ac:dyDescent="0.2">
      <c r="A1291" s="34">
        <v>41573</v>
      </c>
      <c r="B1291" t="s">
        <v>431</v>
      </c>
      <c r="C1291" s="9" t="s">
        <v>433</v>
      </c>
      <c r="D1291" s="1">
        <v>1.6446759259259262E-2</v>
      </c>
      <c r="E1291" t="s">
        <v>5095</v>
      </c>
      <c r="F1291" s="42"/>
      <c r="K1291" s="82">
        <v>0.66569999999999996</v>
      </c>
      <c r="L1291" t="s">
        <v>1961</v>
      </c>
    </row>
    <row r="1292" spans="1:12" x14ac:dyDescent="0.2">
      <c r="A1292" s="34">
        <v>41552</v>
      </c>
      <c r="B1292" t="s">
        <v>3960</v>
      </c>
      <c r="C1292" s="9" t="s">
        <v>3961</v>
      </c>
      <c r="D1292" s="1">
        <v>1.4363425925925925E-2</v>
      </c>
      <c r="E1292" t="s">
        <v>4452</v>
      </c>
      <c r="F1292" s="41"/>
      <c r="K1292" s="82">
        <v>0.72440000000000004</v>
      </c>
    </row>
    <row r="1293" spans="1:12" x14ac:dyDescent="0.2">
      <c r="A1293" s="34">
        <v>41559</v>
      </c>
      <c r="B1293" t="s">
        <v>3960</v>
      </c>
      <c r="C1293" s="9" t="s">
        <v>3961</v>
      </c>
      <c r="D1293" s="1">
        <v>1.7175925925925924E-2</v>
      </c>
      <c r="E1293" t="s">
        <v>2414</v>
      </c>
      <c r="F1293" s="69" t="s">
        <v>1212</v>
      </c>
      <c r="K1293" s="82">
        <v>0.60580000000000001</v>
      </c>
    </row>
    <row r="1294" spans="1:12" x14ac:dyDescent="0.2">
      <c r="A1294" s="34">
        <v>41573</v>
      </c>
      <c r="B1294" t="s">
        <v>3960</v>
      </c>
      <c r="C1294" s="9" t="s">
        <v>3961</v>
      </c>
      <c r="D1294" s="1">
        <v>1.4560185185185183E-2</v>
      </c>
      <c r="E1294" t="s">
        <v>4452</v>
      </c>
      <c r="F1294" s="42"/>
      <c r="K1294" s="82">
        <v>0.70799999999999996</v>
      </c>
      <c r="L1294" t="s">
        <v>1961</v>
      </c>
    </row>
    <row r="1295" spans="1:12" x14ac:dyDescent="0.2">
      <c r="A1295" s="34">
        <v>41559</v>
      </c>
      <c r="B1295" s="53" t="s">
        <v>2416</v>
      </c>
      <c r="C1295" s="83" t="s">
        <v>2417</v>
      </c>
      <c r="D1295" s="54">
        <v>2.238425925925926E-2</v>
      </c>
      <c r="E1295" s="53" t="s">
        <v>2414</v>
      </c>
      <c r="F1295" s="69"/>
      <c r="K1295" s="82">
        <v>0.57699999999999996</v>
      </c>
    </row>
    <row r="1296" spans="1:12" x14ac:dyDescent="0.2">
      <c r="A1296" s="34">
        <v>41559</v>
      </c>
      <c r="B1296" t="s">
        <v>866</v>
      </c>
      <c r="C1296" s="9" t="s">
        <v>2417</v>
      </c>
      <c r="D1296" s="32">
        <v>2.238425925925926E-2</v>
      </c>
      <c r="E1296" s="5" t="s">
        <v>2414</v>
      </c>
      <c r="F1296" s="69"/>
      <c r="K1296" s="82">
        <v>0.49330000000000002</v>
      </c>
    </row>
    <row r="1297" spans="1:12" x14ac:dyDescent="0.2">
      <c r="A1297" s="34">
        <v>41552</v>
      </c>
      <c r="B1297" s="53" t="s">
        <v>4893</v>
      </c>
      <c r="C1297" s="83" t="s">
        <v>4894</v>
      </c>
      <c r="D1297" s="54">
        <v>1.525462962962963E-2</v>
      </c>
      <c r="E1297" s="53" t="s">
        <v>129</v>
      </c>
      <c r="F1297" s="41"/>
      <c r="K1297" s="82">
        <v>0.68210000000000004</v>
      </c>
    </row>
    <row r="1298" spans="1:12" x14ac:dyDescent="0.2">
      <c r="A1298" s="34">
        <v>41559</v>
      </c>
      <c r="B1298" s="53" t="s">
        <v>2478</v>
      </c>
      <c r="C1298" s="83" t="s">
        <v>2415</v>
      </c>
      <c r="D1298" s="54">
        <v>1.9675925925925927E-2</v>
      </c>
      <c r="E1298" s="53" t="s">
        <v>2414</v>
      </c>
      <c r="F1298" s="92" t="s">
        <v>2620</v>
      </c>
      <c r="K1298" s="82">
        <v>0.59760000000000002</v>
      </c>
    </row>
    <row r="1299" spans="1:12" x14ac:dyDescent="0.2">
      <c r="A1299" s="34">
        <v>41573</v>
      </c>
      <c r="B1299" s="53" t="s">
        <v>2723</v>
      </c>
      <c r="C1299" s="83" t="s">
        <v>5543</v>
      </c>
      <c r="D1299" s="54">
        <v>2.1342592592592594E-2</v>
      </c>
      <c r="E1299" s="53" t="s">
        <v>5544</v>
      </c>
      <c r="F1299" s="42"/>
      <c r="K1299" s="82">
        <v>0.53900000000000003</v>
      </c>
      <c r="L1299" t="s">
        <v>1961</v>
      </c>
    </row>
    <row r="1300" spans="1:12" x14ac:dyDescent="0.2">
      <c r="A1300" s="34">
        <v>41552</v>
      </c>
      <c r="B1300" s="5" t="s">
        <v>1794</v>
      </c>
      <c r="C1300" s="104" t="s">
        <v>5543</v>
      </c>
      <c r="D1300" s="32">
        <v>1.6157407407407409E-2</v>
      </c>
      <c r="E1300" s="5" t="s">
        <v>5544</v>
      </c>
      <c r="F1300" s="107" t="s">
        <v>2064</v>
      </c>
      <c r="G1300" s="5"/>
      <c r="K1300" s="82">
        <v>0.63400000000000001</v>
      </c>
    </row>
    <row r="1301" spans="1:12" x14ac:dyDescent="0.2">
      <c r="B1301" s="5"/>
      <c r="C1301" s="104"/>
      <c r="F1301" s="41"/>
      <c r="K1301"/>
    </row>
    <row r="1302" spans="1:12" x14ac:dyDescent="0.2">
      <c r="C1302" s="9"/>
      <c r="F1302" s="41"/>
      <c r="K1302"/>
    </row>
    <row r="1303" spans="1:12" x14ac:dyDescent="0.2">
      <c r="C1303" s="9"/>
      <c r="F1303" s="41"/>
      <c r="K1303"/>
    </row>
    <row r="1304" spans="1:12" x14ac:dyDescent="0.2">
      <c r="C1304" s="9"/>
      <c r="F1304" s="41"/>
      <c r="K1304"/>
    </row>
    <row r="1305" spans="1:12" x14ac:dyDescent="0.2">
      <c r="A1305" s="91">
        <v>41518</v>
      </c>
      <c r="C1305" s="9"/>
      <c r="F1305" s="41"/>
      <c r="K1305"/>
    </row>
    <row r="1306" spans="1:12" x14ac:dyDescent="0.2">
      <c r="A1306" s="34">
        <v>41538</v>
      </c>
      <c r="B1306" t="s">
        <v>4580</v>
      </c>
      <c r="C1306" s="9" t="s">
        <v>4581</v>
      </c>
      <c r="D1306" s="1">
        <v>1.8912037037037036E-2</v>
      </c>
      <c r="E1306" t="s">
        <v>5947</v>
      </c>
      <c r="F1306" s="41"/>
      <c r="K1306" s="82">
        <v>0.5887</v>
      </c>
    </row>
    <row r="1307" spans="1:12" x14ac:dyDescent="0.2">
      <c r="A1307" s="34">
        <v>41545</v>
      </c>
      <c r="B1307" t="s">
        <v>4580</v>
      </c>
      <c r="C1307" s="9" t="s">
        <v>4581</v>
      </c>
      <c r="D1307" s="1">
        <v>2.0092592592592592E-2</v>
      </c>
      <c r="E1307" t="s">
        <v>5947</v>
      </c>
      <c r="F1307" s="69"/>
      <c r="K1307" s="82">
        <v>0.55410000000000004</v>
      </c>
    </row>
    <row r="1308" spans="1:12" x14ac:dyDescent="0.2">
      <c r="A1308" s="34">
        <v>41524</v>
      </c>
      <c r="B1308" t="s">
        <v>1938</v>
      </c>
      <c r="C1308" s="9" t="s">
        <v>869</v>
      </c>
      <c r="D1308" s="1">
        <v>1.8483796296296297E-2</v>
      </c>
      <c r="E1308" t="s">
        <v>5544</v>
      </c>
      <c r="F1308" s="69" t="s">
        <v>3284</v>
      </c>
      <c r="K1308" s="82">
        <v>0.75449999999999995</v>
      </c>
    </row>
    <row r="1309" spans="1:12" x14ac:dyDescent="0.2">
      <c r="A1309" s="34">
        <v>41538</v>
      </c>
      <c r="B1309" t="s">
        <v>868</v>
      </c>
      <c r="C1309" s="9" t="s">
        <v>869</v>
      </c>
      <c r="D1309" s="1">
        <v>1.8518518518518521E-2</v>
      </c>
      <c r="E1309" t="s">
        <v>5544</v>
      </c>
      <c r="F1309" s="69"/>
      <c r="K1309" s="82">
        <v>0.75309999999999999</v>
      </c>
    </row>
    <row r="1310" spans="1:12" x14ac:dyDescent="0.2">
      <c r="A1310" s="34">
        <v>41531</v>
      </c>
      <c r="B1310" t="s">
        <v>868</v>
      </c>
      <c r="C1310" s="9" t="s">
        <v>869</v>
      </c>
      <c r="D1310" s="1">
        <v>1.8680555555555554E-2</v>
      </c>
      <c r="E1310" t="s">
        <v>5544</v>
      </c>
      <c r="F1310" s="41"/>
      <c r="K1310" s="82">
        <v>0.74660000000000004</v>
      </c>
    </row>
    <row r="1311" spans="1:12" x14ac:dyDescent="0.2">
      <c r="A1311" s="34">
        <v>41545</v>
      </c>
      <c r="B1311" t="s">
        <v>868</v>
      </c>
      <c r="C1311" s="9" t="s">
        <v>869</v>
      </c>
      <c r="D1311" s="1">
        <v>1.8935185185185183E-2</v>
      </c>
      <c r="E1311" t="s">
        <v>5544</v>
      </c>
      <c r="F1311" s="69"/>
      <c r="K1311" s="82">
        <v>0.73660000000000003</v>
      </c>
    </row>
    <row r="1312" spans="1:12" x14ac:dyDescent="0.2">
      <c r="A1312" s="34">
        <v>41524</v>
      </c>
      <c r="B1312" t="s">
        <v>435</v>
      </c>
      <c r="C1312" s="9" t="s">
        <v>436</v>
      </c>
      <c r="D1312" s="1">
        <v>2.2928240740740739E-2</v>
      </c>
      <c r="E1312" t="s">
        <v>5095</v>
      </c>
      <c r="F1312" s="69" t="s">
        <v>3286</v>
      </c>
      <c r="K1312" s="82">
        <v>0.54059999999999997</v>
      </c>
    </row>
    <row r="1313" spans="1:11" x14ac:dyDescent="0.2">
      <c r="A1313" s="34">
        <v>41524</v>
      </c>
      <c r="B1313" t="s">
        <v>866</v>
      </c>
      <c r="C1313" s="9" t="s">
        <v>867</v>
      </c>
      <c r="D1313" s="1">
        <v>1.6863425925925928E-2</v>
      </c>
      <c r="E1313" t="s">
        <v>5885</v>
      </c>
      <c r="F1313" s="69" t="s">
        <v>995</v>
      </c>
      <c r="K1313" s="82">
        <v>0.73509999999999998</v>
      </c>
    </row>
    <row r="1314" spans="1:11" x14ac:dyDescent="0.2">
      <c r="A1314" s="34">
        <v>41531</v>
      </c>
      <c r="B1314" t="s">
        <v>866</v>
      </c>
      <c r="C1314" s="9" t="s">
        <v>867</v>
      </c>
      <c r="D1314" s="1">
        <v>1.7175925925925924E-2</v>
      </c>
      <c r="E1314" t="s">
        <v>1788</v>
      </c>
      <c r="F1314" s="41"/>
      <c r="K1314" s="82">
        <v>0.72170000000000001</v>
      </c>
    </row>
    <row r="1315" spans="1:11" x14ac:dyDescent="0.2">
      <c r="A1315" s="34">
        <v>41531</v>
      </c>
      <c r="B1315" t="s">
        <v>3508</v>
      </c>
      <c r="C1315" s="9" t="s">
        <v>3632</v>
      </c>
      <c r="D1315" s="1">
        <v>1.511574074074074E-2</v>
      </c>
      <c r="E1315" t="s">
        <v>1790</v>
      </c>
      <c r="F1315" s="41"/>
      <c r="K1315" s="82">
        <v>0.68300000000000005</v>
      </c>
    </row>
    <row r="1316" spans="1:11" x14ac:dyDescent="0.2">
      <c r="A1316" s="34">
        <v>41524</v>
      </c>
      <c r="B1316" t="s">
        <v>3508</v>
      </c>
      <c r="C1316" s="9" t="s">
        <v>3632</v>
      </c>
      <c r="D1316" s="1">
        <v>1.5150462962962963E-2</v>
      </c>
      <c r="E1316" t="s">
        <v>5885</v>
      </c>
      <c r="F1316" s="69" t="s">
        <v>994</v>
      </c>
      <c r="K1316" s="82">
        <v>0.68140000000000001</v>
      </c>
    </row>
    <row r="1317" spans="1:11" x14ac:dyDescent="0.2">
      <c r="A1317" s="34">
        <v>41538</v>
      </c>
      <c r="B1317" t="s">
        <v>3999</v>
      </c>
      <c r="C1317" s="9" t="s">
        <v>3632</v>
      </c>
      <c r="D1317" s="1">
        <v>2.0833333333333332E-2</v>
      </c>
      <c r="E1317" t="s">
        <v>5885</v>
      </c>
      <c r="F1317" s="92" t="s">
        <v>2001</v>
      </c>
      <c r="G1317" s="45"/>
      <c r="H1317" s="45"/>
      <c r="I1317" s="45"/>
      <c r="J1317" s="45"/>
      <c r="K1317" s="82">
        <v>0.49559999999999998</v>
      </c>
    </row>
    <row r="1318" spans="1:11" x14ac:dyDescent="0.2">
      <c r="A1318" s="34">
        <v>41538</v>
      </c>
      <c r="B1318" t="s">
        <v>4576</v>
      </c>
      <c r="C1318" s="9" t="s">
        <v>4577</v>
      </c>
      <c r="D1318" s="1">
        <v>1.7013888888888887E-2</v>
      </c>
      <c r="E1318" t="s">
        <v>1622</v>
      </c>
      <c r="F1318" s="69"/>
      <c r="K1318" s="82">
        <v>0.56530000000000002</v>
      </c>
    </row>
    <row r="1319" spans="1:11" x14ac:dyDescent="0.2">
      <c r="A1319" s="34">
        <v>41531</v>
      </c>
      <c r="B1319" t="s">
        <v>4576</v>
      </c>
      <c r="C1319" s="9" t="s">
        <v>4577</v>
      </c>
      <c r="D1319" s="1">
        <v>1.7523148148148149E-2</v>
      </c>
      <c r="E1319" t="s">
        <v>5883</v>
      </c>
      <c r="F1319" s="41"/>
      <c r="K1319" s="82">
        <v>0.54890000000000005</v>
      </c>
    </row>
    <row r="1320" spans="1:11" x14ac:dyDescent="0.2">
      <c r="A1320" s="34">
        <v>41538</v>
      </c>
      <c r="B1320" t="s">
        <v>1349</v>
      </c>
      <c r="C1320" s="9" t="s">
        <v>3343</v>
      </c>
      <c r="D1320" s="1">
        <v>1.9733796296296298E-2</v>
      </c>
      <c r="E1320" t="s">
        <v>1622</v>
      </c>
      <c r="F1320" s="69"/>
      <c r="K1320" s="82">
        <v>0.4874</v>
      </c>
    </row>
    <row r="1321" spans="1:11" x14ac:dyDescent="0.2">
      <c r="A1321" s="34">
        <v>41545</v>
      </c>
      <c r="B1321" s="2" t="s">
        <v>1796</v>
      </c>
      <c r="C1321" s="99" t="s">
        <v>1797</v>
      </c>
      <c r="D1321" s="3">
        <v>1.7199074074074071E-2</v>
      </c>
      <c r="E1321" s="2" t="s">
        <v>5883</v>
      </c>
      <c r="F1321" s="97" t="s">
        <v>876</v>
      </c>
      <c r="K1321" s="82">
        <v>0.62580000000000002</v>
      </c>
    </row>
    <row r="1322" spans="1:11" x14ac:dyDescent="0.2">
      <c r="A1322" s="34">
        <v>41524</v>
      </c>
      <c r="B1322" t="s">
        <v>1796</v>
      </c>
      <c r="C1322" s="9" t="s">
        <v>1797</v>
      </c>
      <c r="D1322" s="1">
        <v>1.877314814814815E-2</v>
      </c>
      <c r="E1322" t="s">
        <v>3413</v>
      </c>
      <c r="F1322" s="69" t="s">
        <v>3414</v>
      </c>
      <c r="I1322" s="6" t="s">
        <v>1787</v>
      </c>
      <c r="K1322" s="82">
        <v>0.57340000000000002</v>
      </c>
    </row>
    <row r="1323" spans="1:11" x14ac:dyDescent="0.2">
      <c r="A1323" s="34">
        <v>41531</v>
      </c>
      <c r="B1323" t="s">
        <v>1796</v>
      </c>
      <c r="C1323" s="9" t="s">
        <v>1797</v>
      </c>
      <c r="D1323" s="1">
        <v>2.0671296296296295E-2</v>
      </c>
      <c r="E1323" t="s">
        <v>5883</v>
      </c>
      <c r="F1323" s="41"/>
      <c r="K1323" s="82">
        <v>0.53879999999999995</v>
      </c>
    </row>
    <row r="1324" spans="1:11" x14ac:dyDescent="0.2">
      <c r="A1324" s="34">
        <v>41524</v>
      </c>
      <c r="B1324" t="s">
        <v>1938</v>
      </c>
      <c r="C1324" s="9" t="s">
        <v>2480</v>
      </c>
      <c r="D1324" s="1">
        <v>1.7106481481481483E-2</v>
      </c>
      <c r="E1324" t="s">
        <v>3167</v>
      </c>
      <c r="F1324" s="69" t="s">
        <v>1785</v>
      </c>
      <c r="K1324" s="82">
        <v>0.70030000000000003</v>
      </c>
    </row>
    <row r="1325" spans="1:11" x14ac:dyDescent="0.2">
      <c r="A1325" s="34">
        <v>41538</v>
      </c>
      <c r="B1325" t="s">
        <v>868</v>
      </c>
      <c r="C1325" s="9" t="s">
        <v>2480</v>
      </c>
      <c r="D1325" s="1">
        <v>1.7118055555555556E-2</v>
      </c>
      <c r="E1325" t="s">
        <v>3167</v>
      </c>
      <c r="F1325" s="41"/>
      <c r="K1325" s="82">
        <v>0.70720000000000005</v>
      </c>
    </row>
    <row r="1326" spans="1:11" x14ac:dyDescent="0.2">
      <c r="A1326" s="34">
        <v>41531</v>
      </c>
      <c r="B1326" t="s">
        <v>868</v>
      </c>
      <c r="C1326" s="9" t="s">
        <v>2480</v>
      </c>
      <c r="D1326" s="1">
        <v>1.7349537037037038E-2</v>
      </c>
      <c r="E1326" t="s">
        <v>3167</v>
      </c>
      <c r="F1326" s="41"/>
      <c r="K1326" s="82">
        <v>0.69779999999999998</v>
      </c>
    </row>
    <row r="1327" spans="1:11" x14ac:dyDescent="0.2">
      <c r="A1327" s="34">
        <v>41545</v>
      </c>
      <c r="B1327" t="s">
        <v>868</v>
      </c>
      <c r="C1327" s="9" t="s">
        <v>2480</v>
      </c>
      <c r="D1327" s="1">
        <v>1.741898148148148E-2</v>
      </c>
      <c r="E1327" t="s">
        <v>3167</v>
      </c>
      <c r="F1327" s="69"/>
      <c r="K1327" s="82">
        <v>0.69499999999999995</v>
      </c>
    </row>
    <row r="1328" spans="1:11" x14ac:dyDescent="0.2">
      <c r="A1328" s="34">
        <v>41545</v>
      </c>
      <c r="B1328" t="s">
        <v>3011</v>
      </c>
      <c r="C1328" s="9" t="s">
        <v>3012</v>
      </c>
      <c r="D1328" s="1">
        <v>1.2997685185185183E-2</v>
      </c>
      <c r="E1328" t="s">
        <v>3009</v>
      </c>
      <c r="F1328" s="69" t="s">
        <v>4204</v>
      </c>
      <c r="K1328" s="82">
        <v>0.7631</v>
      </c>
    </row>
    <row r="1329" spans="1:11" x14ac:dyDescent="0.2">
      <c r="A1329" s="34">
        <v>41524</v>
      </c>
      <c r="B1329" s="53" t="s">
        <v>4963</v>
      </c>
      <c r="C1329" s="83" t="s">
        <v>4964</v>
      </c>
      <c r="D1329" s="54">
        <v>1.3668981481481482E-2</v>
      </c>
      <c r="E1329" s="53" t="s">
        <v>3072</v>
      </c>
      <c r="F1329" s="41"/>
      <c r="K1329" s="82">
        <v>0.65710000000000002</v>
      </c>
    </row>
    <row r="1330" spans="1:11" x14ac:dyDescent="0.2">
      <c r="A1330" s="34">
        <v>41538</v>
      </c>
      <c r="B1330" s="53" t="s">
        <v>4963</v>
      </c>
      <c r="C1330" s="83" t="s">
        <v>4964</v>
      </c>
      <c r="D1330" s="54">
        <v>1.3738425925925926E-2</v>
      </c>
      <c r="E1330" s="53" t="s">
        <v>3072</v>
      </c>
      <c r="F1330" s="69"/>
      <c r="K1330" s="82">
        <v>0.65369999999999995</v>
      </c>
    </row>
    <row r="1331" spans="1:11" x14ac:dyDescent="0.2">
      <c r="A1331" s="34">
        <v>41531</v>
      </c>
      <c r="B1331" s="53" t="s">
        <v>4963</v>
      </c>
      <c r="C1331" s="83" t="s">
        <v>4964</v>
      </c>
      <c r="D1331" s="54">
        <v>1.3773148148148147E-2</v>
      </c>
      <c r="E1331" s="53" t="s">
        <v>3072</v>
      </c>
      <c r="F1331" s="41"/>
      <c r="K1331" s="82">
        <v>0.65210000000000001</v>
      </c>
    </row>
    <row r="1332" spans="1:11" x14ac:dyDescent="0.2">
      <c r="A1332" s="34">
        <v>41545</v>
      </c>
      <c r="B1332" s="53" t="s">
        <v>4963</v>
      </c>
      <c r="C1332" s="83" t="s">
        <v>4964</v>
      </c>
      <c r="D1332" s="54">
        <v>1.3912037037037037E-2</v>
      </c>
      <c r="E1332" s="53" t="s">
        <v>3072</v>
      </c>
      <c r="F1332" s="69"/>
      <c r="K1332" s="82">
        <v>0.64559999999999995</v>
      </c>
    </row>
    <row r="1333" spans="1:11" x14ac:dyDescent="0.2">
      <c r="A1333" s="34">
        <v>41531</v>
      </c>
      <c r="B1333" t="s">
        <v>1308</v>
      </c>
      <c r="C1333" s="9" t="s">
        <v>428</v>
      </c>
      <c r="D1333" s="1">
        <v>1.4050925925925927E-2</v>
      </c>
      <c r="E1333" t="s">
        <v>5885</v>
      </c>
      <c r="F1333" s="41"/>
      <c r="K1333" s="82">
        <v>0.69520000000000004</v>
      </c>
    </row>
    <row r="1334" spans="1:11" x14ac:dyDescent="0.2">
      <c r="A1334" s="34">
        <v>41531</v>
      </c>
      <c r="B1334" t="s">
        <v>435</v>
      </c>
      <c r="C1334" s="9" t="s">
        <v>1936</v>
      </c>
      <c r="D1334" s="1">
        <v>1.6712962962962961E-2</v>
      </c>
      <c r="E1334" t="s">
        <v>4861</v>
      </c>
      <c r="F1334" s="41"/>
      <c r="K1334" s="82">
        <v>0.60799999999999998</v>
      </c>
    </row>
    <row r="1335" spans="1:11" x14ac:dyDescent="0.2">
      <c r="A1335" s="34">
        <v>41524</v>
      </c>
      <c r="B1335" t="s">
        <v>435</v>
      </c>
      <c r="C1335" s="9" t="s">
        <v>1936</v>
      </c>
      <c r="D1335" s="1">
        <v>1.7037037037037038E-2</v>
      </c>
      <c r="E1335" t="s">
        <v>4861</v>
      </c>
      <c r="F1335" s="69" t="s">
        <v>1786</v>
      </c>
      <c r="K1335" s="82">
        <v>0.59650000000000003</v>
      </c>
    </row>
    <row r="1336" spans="1:11" x14ac:dyDescent="0.2">
      <c r="A1336" s="34">
        <v>41545</v>
      </c>
      <c r="B1336" t="s">
        <v>435</v>
      </c>
      <c r="C1336" s="9" t="s">
        <v>1936</v>
      </c>
      <c r="D1336" s="1">
        <v>1.7847222222222223E-2</v>
      </c>
      <c r="E1336" t="s">
        <v>4861</v>
      </c>
      <c r="F1336" s="69"/>
      <c r="K1336" s="82">
        <v>0.57650000000000001</v>
      </c>
    </row>
    <row r="1337" spans="1:11" x14ac:dyDescent="0.2">
      <c r="A1337" s="34">
        <v>41538</v>
      </c>
      <c r="B1337" t="s">
        <v>435</v>
      </c>
      <c r="C1337" s="9" t="s">
        <v>1936</v>
      </c>
      <c r="D1337" s="1">
        <v>1.8148148148148146E-2</v>
      </c>
      <c r="E1337" t="s">
        <v>4861</v>
      </c>
      <c r="F1337" s="69"/>
      <c r="K1337" s="82">
        <v>0.55989999999999995</v>
      </c>
    </row>
    <row r="1338" spans="1:11" x14ac:dyDescent="0.2">
      <c r="A1338" s="34">
        <v>41538</v>
      </c>
      <c r="B1338" t="s">
        <v>665</v>
      </c>
      <c r="C1338" s="9" t="s">
        <v>666</v>
      </c>
      <c r="D1338" s="1">
        <v>1.6793981481481483E-2</v>
      </c>
      <c r="E1338" t="s">
        <v>4861</v>
      </c>
      <c r="F1338" s="69" t="s">
        <v>876</v>
      </c>
      <c r="K1338" s="82">
        <v>0.62509999999999999</v>
      </c>
    </row>
    <row r="1339" spans="1:11" x14ac:dyDescent="0.2">
      <c r="A1339" s="34">
        <v>41524</v>
      </c>
      <c r="B1339" t="s">
        <v>665</v>
      </c>
      <c r="C1339" s="9" t="s">
        <v>666</v>
      </c>
      <c r="D1339" s="1">
        <v>1.741898148148148E-2</v>
      </c>
      <c r="E1339" t="s">
        <v>5950</v>
      </c>
      <c r="F1339" s="69" t="s">
        <v>2629</v>
      </c>
      <c r="H1339" t="s">
        <v>3287</v>
      </c>
      <c r="K1339" s="82">
        <v>0.60270000000000001</v>
      </c>
    </row>
    <row r="1340" spans="1:11" x14ac:dyDescent="0.2">
      <c r="A1340" s="34">
        <v>41545</v>
      </c>
      <c r="B1340" t="s">
        <v>665</v>
      </c>
      <c r="C1340" s="9" t="s">
        <v>666</v>
      </c>
      <c r="D1340" s="1">
        <v>1.7939814814814815E-2</v>
      </c>
      <c r="E1340" t="s">
        <v>891</v>
      </c>
      <c r="F1340" s="69" t="s">
        <v>2629</v>
      </c>
      <c r="K1340" s="82">
        <v>0.58520000000000005</v>
      </c>
    </row>
    <row r="1341" spans="1:11" x14ac:dyDescent="0.2">
      <c r="A1341" s="34">
        <v>41531</v>
      </c>
      <c r="B1341" t="s">
        <v>665</v>
      </c>
      <c r="C1341" s="9" t="s">
        <v>666</v>
      </c>
      <c r="D1341" s="47" t="s">
        <v>787</v>
      </c>
      <c r="E1341" t="s">
        <v>5453</v>
      </c>
      <c r="F1341" s="41"/>
      <c r="K1341" t="s">
        <v>38</v>
      </c>
    </row>
    <row r="1342" spans="1:11" x14ac:dyDescent="0.2">
      <c r="A1342" s="34">
        <v>41531</v>
      </c>
      <c r="B1342" t="s">
        <v>2137</v>
      </c>
      <c r="C1342" s="9" t="s">
        <v>4943</v>
      </c>
      <c r="D1342" s="1">
        <v>1.4375000000000001E-2</v>
      </c>
      <c r="E1342" t="s">
        <v>5544</v>
      </c>
      <c r="F1342" s="41"/>
      <c r="K1342" s="82">
        <v>0.74880000000000002</v>
      </c>
    </row>
    <row r="1343" spans="1:11" x14ac:dyDescent="0.2">
      <c r="A1343" s="34">
        <v>41538</v>
      </c>
      <c r="B1343" t="s">
        <v>2137</v>
      </c>
      <c r="C1343" s="9" t="s">
        <v>4943</v>
      </c>
      <c r="D1343" s="1">
        <v>1.4386574074074072E-2</v>
      </c>
      <c r="E1343" t="s">
        <v>5544</v>
      </c>
      <c r="F1343" s="69"/>
      <c r="K1343" s="82">
        <v>0.74819999999999998</v>
      </c>
    </row>
    <row r="1344" spans="1:11" x14ac:dyDescent="0.2">
      <c r="A1344" s="34">
        <v>41545</v>
      </c>
      <c r="B1344" t="s">
        <v>2137</v>
      </c>
      <c r="C1344" s="9" t="s">
        <v>4943</v>
      </c>
      <c r="D1344" s="1">
        <v>1.5057870370370369E-2</v>
      </c>
      <c r="E1344" t="s">
        <v>5544</v>
      </c>
      <c r="F1344" s="69"/>
      <c r="K1344" s="82">
        <v>0.71479999999999999</v>
      </c>
    </row>
    <row r="1345" spans="1:11" x14ac:dyDescent="0.2">
      <c r="A1345" s="34">
        <v>41538</v>
      </c>
      <c r="B1345" t="s">
        <v>2478</v>
      </c>
      <c r="C1345" s="9" t="s">
        <v>2479</v>
      </c>
      <c r="D1345" s="1">
        <v>1.3541666666666667E-2</v>
      </c>
      <c r="E1345" t="s">
        <v>3167</v>
      </c>
      <c r="F1345" s="69"/>
      <c r="K1345" s="82">
        <v>0.74439999999999995</v>
      </c>
    </row>
    <row r="1346" spans="1:11" x14ac:dyDescent="0.2">
      <c r="A1346" s="34">
        <v>41531</v>
      </c>
      <c r="B1346" t="s">
        <v>2478</v>
      </c>
      <c r="C1346" s="9" t="s">
        <v>2479</v>
      </c>
      <c r="D1346" s="1">
        <v>1.3865740740740739E-2</v>
      </c>
      <c r="E1346" t="s">
        <v>3167</v>
      </c>
      <c r="F1346" s="41"/>
      <c r="K1346" s="82">
        <v>0.72699999999999998</v>
      </c>
    </row>
    <row r="1347" spans="1:11" x14ac:dyDescent="0.2">
      <c r="A1347" s="34">
        <v>41524</v>
      </c>
      <c r="B1347" t="s">
        <v>2478</v>
      </c>
      <c r="C1347" s="9" t="s">
        <v>2479</v>
      </c>
      <c r="D1347" s="1">
        <v>1.4282407407407409E-2</v>
      </c>
      <c r="E1347" t="s">
        <v>3167</v>
      </c>
      <c r="F1347" s="69" t="s">
        <v>3285</v>
      </c>
      <c r="K1347" s="82">
        <v>0.70579999999999998</v>
      </c>
    </row>
    <row r="1348" spans="1:11" x14ac:dyDescent="0.2">
      <c r="A1348" s="34">
        <v>41545</v>
      </c>
      <c r="B1348" t="s">
        <v>2822</v>
      </c>
      <c r="C1348" s="9" t="s">
        <v>2823</v>
      </c>
      <c r="D1348" s="1">
        <v>1.7939814814814815E-2</v>
      </c>
      <c r="E1348" t="s">
        <v>5544</v>
      </c>
      <c r="F1348" s="69"/>
      <c r="K1348" s="82">
        <v>0.57550000000000001</v>
      </c>
    </row>
    <row r="1349" spans="1:11" x14ac:dyDescent="0.2">
      <c r="A1349" s="34">
        <v>41531</v>
      </c>
      <c r="B1349" t="s">
        <v>2822</v>
      </c>
      <c r="C1349" s="9" t="s">
        <v>2823</v>
      </c>
      <c r="D1349" s="1">
        <v>1.818287037037037E-2</v>
      </c>
      <c r="E1349" t="s">
        <v>5544</v>
      </c>
      <c r="F1349" s="41"/>
      <c r="K1349" s="82">
        <v>0.56779999999999997</v>
      </c>
    </row>
    <row r="1350" spans="1:11" x14ac:dyDescent="0.2">
      <c r="A1350" s="34">
        <v>41524</v>
      </c>
      <c r="B1350" t="s">
        <v>2822</v>
      </c>
      <c r="C1350" s="9" t="s">
        <v>2823</v>
      </c>
      <c r="D1350" s="1">
        <v>1.8726851851851852E-2</v>
      </c>
      <c r="E1350" t="s">
        <v>5544</v>
      </c>
      <c r="F1350" s="69" t="s">
        <v>5444</v>
      </c>
      <c r="K1350" s="82">
        <v>0.55130000000000001</v>
      </c>
    </row>
    <row r="1351" spans="1:11" x14ac:dyDescent="0.2">
      <c r="A1351" s="34">
        <v>41507</v>
      </c>
      <c r="B1351" t="s">
        <v>2822</v>
      </c>
      <c r="C1351" s="9" t="s">
        <v>2823</v>
      </c>
      <c r="D1351" s="47" t="s">
        <v>787</v>
      </c>
      <c r="E1351" t="s">
        <v>5544</v>
      </c>
      <c r="F1351" s="92" t="s">
        <v>4000</v>
      </c>
      <c r="G1351" s="45"/>
      <c r="H1351" s="45"/>
      <c r="I1351" s="45"/>
      <c r="J1351" s="45"/>
      <c r="K1351" s="82"/>
    </row>
    <row r="1352" spans="1:11" x14ac:dyDescent="0.2">
      <c r="A1352" s="34">
        <v>41538</v>
      </c>
      <c r="B1352" t="s">
        <v>1794</v>
      </c>
      <c r="C1352" s="9" t="s">
        <v>1795</v>
      </c>
      <c r="D1352" s="1">
        <v>1.9884259259259258E-2</v>
      </c>
      <c r="E1352" t="s">
        <v>715</v>
      </c>
      <c r="F1352" s="69" t="s">
        <v>2629</v>
      </c>
      <c r="K1352" s="82">
        <v>0.60880000000000001</v>
      </c>
    </row>
    <row r="1353" spans="1:11" x14ac:dyDescent="0.2">
      <c r="A1353" s="34">
        <v>41545</v>
      </c>
      <c r="B1353" t="s">
        <v>1794</v>
      </c>
      <c r="C1353" s="9" t="s">
        <v>1795</v>
      </c>
      <c r="D1353" s="1">
        <v>2.0601851851851854E-2</v>
      </c>
      <c r="E1353" t="s">
        <v>5453</v>
      </c>
      <c r="F1353" s="69" t="s">
        <v>2695</v>
      </c>
      <c r="K1353" s="82">
        <v>0.58760000000000001</v>
      </c>
    </row>
    <row r="1354" spans="1:11" x14ac:dyDescent="0.2">
      <c r="A1354" s="34">
        <v>41524</v>
      </c>
      <c r="B1354" t="s">
        <v>1794</v>
      </c>
      <c r="C1354" s="9" t="s">
        <v>1795</v>
      </c>
      <c r="D1354" s="1">
        <v>2.0671296296296295E-2</v>
      </c>
      <c r="E1354" t="s">
        <v>5544</v>
      </c>
      <c r="F1354" s="69" t="s">
        <v>4376</v>
      </c>
      <c r="K1354" s="82">
        <v>0.5857</v>
      </c>
    </row>
    <row r="1355" spans="1:11" x14ac:dyDescent="0.2">
      <c r="A1355" s="34">
        <v>41538</v>
      </c>
      <c r="B1355" t="s">
        <v>431</v>
      </c>
      <c r="C1355" s="9" t="s">
        <v>433</v>
      </c>
      <c r="D1355" s="1">
        <v>1.9039351851851852E-2</v>
      </c>
      <c r="E1355" t="s">
        <v>5095</v>
      </c>
      <c r="F1355" s="69"/>
      <c r="K1355" s="82">
        <v>0.57509999999999994</v>
      </c>
    </row>
    <row r="1356" spans="1:11" x14ac:dyDescent="0.2">
      <c r="A1356" s="34">
        <v>41531</v>
      </c>
      <c r="B1356" t="s">
        <v>431</v>
      </c>
      <c r="C1356" s="9" t="s">
        <v>433</v>
      </c>
      <c r="D1356" s="1">
        <v>1.9247685185185184E-2</v>
      </c>
      <c r="E1356" t="s">
        <v>5095</v>
      </c>
      <c r="F1356" s="41"/>
      <c r="K1356" s="82">
        <v>0.56889999999999996</v>
      </c>
    </row>
    <row r="1357" spans="1:11" x14ac:dyDescent="0.2">
      <c r="A1357" s="34">
        <v>41538</v>
      </c>
      <c r="B1357" t="s">
        <v>3960</v>
      </c>
      <c r="C1357" s="9" t="s">
        <v>3961</v>
      </c>
      <c r="D1357" s="1">
        <v>1.4340277777777776E-2</v>
      </c>
      <c r="E1357" t="s">
        <v>4452</v>
      </c>
      <c r="F1357" s="69"/>
      <c r="K1357" s="82">
        <v>0.72560000000000002</v>
      </c>
    </row>
    <row r="1358" spans="1:11" x14ac:dyDescent="0.2">
      <c r="A1358" s="34">
        <v>41524</v>
      </c>
      <c r="B1358" t="s">
        <v>3960</v>
      </c>
      <c r="C1358" s="9" t="s">
        <v>3961</v>
      </c>
      <c r="D1358" s="1">
        <v>1.4375000000000001E-2</v>
      </c>
      <c r="E1358" t="s">
        <v>4452</v>
      </c>
      <c r="F1358" s="69" t="s">
        <v>2629</v>
      </c>
      <c r="K1358" s="82">
        <v>0.7238</v>
      </c>
    </row>
    <row r="1359" spans="1:11" x14ac:dyDescent="0.2">
      <c r="A1359" s="34">
        <v>41538</v>
      </c>
      <c r="B1359" s="53" t="s">
        <v>4977</v>
      </c>
      <c r="C1359" s="83" t="s">
        <v>3961</v>
      </c>
      <c r="D1359" s="54">
        <v>1.4618055555555556E-2</v>
      </c>
      <c r="E1359" s="53" t="s">
        <v>4452</v>
      </c>
      <c r="F1359" s="96"/>
      <c r="G1359" s="53"/>
      <c r="H1359" s="53"/>
      <c r="I1359" s="53"/>
      <c r="J1359" s="53"/>
      <c r="K1359" s="85">
        <v>0.70309999999999995</v>
      </c>
    </row>
    <row r="1360" spans="1:11" x14ac:dyDescent="0.2">
      <c r="A1360" s="34">
        <v>41545</v>
      </c>
      <c r="B1360" t="s">
        <v>870</v>
      </c>
      <c r="C1360" s="9" t="s">
        <v>871</v>
      </c>
      <c r="D1360" s="1">
        <v>1.4467592592592593E-2</v>
      </c>
      <c r="E1360" t="s">
        <v>5883</v>
      </c>
      <c r="F1360" s="69"/>
      <c r="K1360" s="82">
        <v>0.71919999999999995</v>
      </c>
    </row>
    <row r="1361" spans="1:13" x14ac:dyDescent="0.2">
      <c r="A1361" s="34">
        <v>41538</v>
      </c>
      <c r="B1361" t="s">
        <v>870</v>
      </c>
      <c r="C1361" s="9" t="s">
        <v>871</v>
      </c>
      <c r="D1361" s="1">
        <v>1.5324074074074073E-2</v>
      </c>
      <c r="E1361" t="s">
        <v>1622</v>
      </c>
      <c r="F1361" s="69"/>
      <c r="K1361" s="82">
        <v>0.67900000000000005</v>
      </c>
    </row>
    <row r="1362" spans="1:13" x14ac:dyDescent="0.2">
      <c r="A1362" s="34">
        <v>41545</v>
      </c>
      <c r="B1362" s="53" t="s">
        <v>892</v>
      </c>
      <c r="C1362" s="83" t="s">
        <v>871</v>
      </c>
      <c r="D1362" s="54">
        <v>1.6331018518518519E-2</v>
      </c>
      <c r="E1362" s="53" t="s">
        <v>5883</v>
      </c>
      <c r="F1362" s="69"/>
      <c r="K1362" s="82">
        <v>0.54849999999999999</v>
      </c>
    </row>
    <row r="1363" spans="1:13" x14ac:dyDescent="0.2">
      <c r="A1363" s="34">
        <v>41545</v>
      </c>
      <c r="B1363" t="s">
        <v>439</v>
      </c>
      <c r="C1363" s="9" t="s">
        <v>440</v>
      </c>
      <c r="D1363" s="1">
        <v>2.1805555555555554E-2</v>
      </c>
      <c r="E1363" t="s">
        <v>5947</v>
      </c>
      <c r="F1363" s="69"/>
      <c r="K1363" s="82">
        <v>0.58440000000000003</v>
      </c>
    </row>
    <row r="1364" spans="1:13" x14ac:dyDescent="0.2">
      <c r="C1364" s="9"/>
      <c r="D1364" s="1"/>
      <c r="F1364" s="41"/>
      <c r="K1364"/>
    </row>
    <row r="1365" spans="1:13" x14ac:dyDescent="0.2">
      <c r="A1365" s="91">
        <v>41487</v>
      </c>
      <c r="C1365" s="9"/>
      <c r="F1365" s="41"/>
      <c r="K1365"/>
    </row>
    <row r="1366" spans="1:13" x14ac:dyDescent="0.2">
      <c r="A1366" s="34">
        <v>41517</v>
      </c>
      <c r="B1366" t="s">
        <v>868</v>
      </c>
      <c r="C1366" s="9" t="s">
        <v>869</v>
      </c>
      <c r="D1366" s="1">
        <v>1.9432870370370371E-2</v>
      </c>
      <c r="E1366" t="s">
        <v>5453</v>
      </c>
      <c r="F1366" s="69" t="s">
        <v>26</v>
      </c>
      <c r="K1366" s="82">
        <v>0.7177</v>
      </c>
    </row>
    <row r="1367" spans="1:13" x14ac:dyDescent="0.2">
      <c r="A1367" s="34">
        <v>41510</v>
      </c>
      <c r="B1367" t="s">
        <v>868</v>
      </c>
      <c r="C1367" s="9" t="s">
        <v>869</v>
      </c>
      <c r="D1367" s="1">
        <v>1.877314814814815E-2</v>
      </c>
      <c r="E1367" t="s">
        <v>5544</v>
      </c>
      <c r="F1367" s="41"/>
      <c r="K1367" s="86">
        <v>0.7429</v>
      </c>
    </row>
    <row r="1368" spans="1:13" x14ac:dyDescent="0.2">
      <c r="A1368" s="34">
        <v>41507</v>
      </c>
      <c r="B1368" t="s">
        <v>868</v>
      </c>
      <c r="C1368" s="9" t="s">
        <v>869</v>
      </c>
      <c r="D1368" s="1">
        <v>1.9594907407407405E-2</v>
      </c>
      <c r="E1368" t="s">
        <v>1316</v>
      </c>
      <c r="F1368" s="41"/>
      <c r="K1368"/>
    </row>
    <row r="1369" spans="1:13" x14ac:dyDescent="0.2">
      <c r="A1369" s="34">
        <v>41489</v>
      </c>
      <c r="B1369" t="s">
        <v>868</v>
      </c>
      <c r="C1369" s="9" t="s">
        <v>869</v>
      </c>
      <c r="D1369" s="1">
        <v>1.8749999999999999E-2</v>
      </c>
      <c r="E1369" t="s">
        <v>3072</v>
      </c>
      <c r="F1369" s="42" t="s">
        <v>2975</v>
      </c>
      <c r="K1369" s="82">
        <v>0.74380000000000002</v>
      </c>
      <c r="M1369" s="6" t="s">
        <v>3315</v>
      </c>
    </row>
    <row r="1370" spans="1:13" x14ac:dyDescent="0.2">
      <c r="A1370" s="34">
        <v>41496</v>
      </c>
      <c r="B1370" t="s">
        <v>1938</v>
      </c>
      <c r="C1370" s="9" t="s">
        <v>869</v>
      </c>
      <c r="D1370" s="1">
        <v>1.8159722222222219E-2</v>
      </c>
      <c r="E1370" t="s">
        <v>5544</v>
      </c>
      <c r="F1370" s="42" t="s">
        <v>5434</v>
      </c>
      <c r="K1370" s="82">
        <v>0.76800000000000002</v>
      </c>
    </row>
    <row r="1371" spans="1:13" x14ac:dyDescent="0.2">
      <c r="A1371" s="34">
        <v>41517</v>
      </c>
      <c r="B1371" t="s">
        <v>481</v>
      </c>
      <c r="C1371" s="9" t="s">
        <v>4575</v>
      </c>
      <c r="D1371" s="1">
        <v>1.5289351851851851E-2</v>
      </c>
      <c r="E1371" t="s">
        <v>5095</v>
      </c>
      <c r="F1371" s="69" t="s">
        <v>5203</v>
      </c>
      <c r="K1371" s="82">
        <v>0.62909999999999999</v>
      </c>
    </row>
    <row r="1372" spans="1:13" x14ac:dyDescent="0.2">
      <c r="A1372" s="34">
        <v>41517</v>
      </c>
      <c r="B1372" t="s">
        <v>435</v>
      </c>
      <c r="C1372" s="9" t="s">
        <v>436</v>
      </c>
      <c r="D1372" s="1">
        <v>2.3715277777777776E-2</v>
      </c>
      <c r="E1372" t="s">
        <v>5453</v>
      </c>
      <c r="F1372" s="69" t="s">
        <v>5204</v>
      </c>
      <c r="K1372" s="82">
        <v>0.52270000000000005</v>
      </c>
    </row>
    <row r="1373" spans="1:13" x14ac:dyDescent="0.2">
      <c r="A1373" s="34">
        <v>41510</v>
      </c>
      <c r="B1373" t="s">
        <v>435</v>
      </c>
      <c r="C1373" s="9" t="s">
        <v>436</v>
      </c>
      <c r="D1373" s="1">
        <v>2.5358796296296296E-2</v>
      </c>
      <c r="E1373" t="s">
        <v>5095</v>
      </c>
      <c r="F1373" s="41"/>
      <c r="K1373" s="86">
        <v>0.48880000000000001</v>
      </c>
    </row>
    <row r="1374" spans="1:13" x14ac:dyDescent="0.2">
      <c r="A1374" s="34">
        <v>41517</v>
      </c>
      <c r="B1374" t="s">
        <v>866</v>
      </c>
      <c r="C1374" s="9" t="s">
        <v>867</v>
      </c>
      <c r="D1374" s="1">
        <v>1.7118055555555556E-2</v>
      </c>
      <c r="E1374" t="s">
        <v>5885</v>
      </c>
      <c r="F1374" s="69" t="s">
        <v>5202</v>
      </c>
      <c r="K1374" s="82">
        <v>0.72409999999999997</v>
      </c>
    </row>
    <row r="1375" spans="1:13" x14ac:dyDescent="0.2">
      <c r="A1375" s="34">
        <v>41503</v>
      </c>
      <c r="B1375" t="s">
        <v>866</v>
      </c>
      <c r="C1375" s="9" t="s">
        <v>867</v>
      </c>
      <c r="D1375" s="1">
        <v>1.7326388888888888E-2</v>
      </c>
      <c r="E1375" t="s">
        <v>5885</v>
      </c>
      <c r="F1375" s="42" t="s">
        <v>2785</v>
      </c>
      <c r="K1375" s="82">
        <v>0.71540000000000004</v>
      </c>
    </row>
    <row r="1376" spans="1:13" x14ac:dyDescent="0.2">
      <c r="A1376" s="34">
        <v>41517</v>
      </c>
      <c r="B1376" t="s">
        <v>3508</v>
      </c>
      <c r="C1376" s="9" t="s">
        <v>3632</v>
      </c>
      <c r="D1376" s="1">
        <v>1.5335648148148147E-2</v>
      </c>
      <c r="E1376" t="s">
        <v>5453</v>
      </c>
      <c r="F1376" s="69" t="s">
        <v>5204</v>
      </c>
      <c r="K1376" s="82">
        <v>0.67320000000000002</v>
      </c>
    </row>
    <row r="1377" spans="1:13" x14ac:dyDescent="0.2">
      <c r="A1377" s="34">
        <v>41510</v>
      </c>
      <c r="B1377" t="s">
        <v>3508</v>
      </c>
      <c r="C1377" s="9" t="s">
        <v>3632</v>
      </c>
      <c r="D1377" s="1">
        <v>1.503472222222222E-2</v>
      </c>
      <c r="E1377" t="s">
        <v>1624</v>
      </c>
      <c r="F1377" s="41"/>
      <c r="K1377" s="86">
        <v>0.68669999999999998</v>
      </c>
    </row>
    <row r="1378" spans="1:13" x14ac:dyDescent="0.2">
      <c r="A1378" s="34">
        <v>41489</v>
      </c>
      <c r="B1378" t="s">
        <v>3508</v>
      </c>
      <c r="C1378" s="9" t="s">
        <v>3632</v>
      </c>
      <c r="D1378" s="1">
        <v>1.5462962962962963E-2</v>
      </c>
      <c r="E1378" t="s">
        <v>5885</v>
      </c>
      <c r="F1378" s="69" t="s">
        <v>3318</v>
      </c>
      <c r="K1378" s="82">
        <v>0.66669999999999996</v>
      </c>
      <c r="M1378" s="6"/>
    </row>
    <row r="1379" spans="1:13" x14ac:dyDescent="0.2">
      <c r="A1379" s="34">
        <v>41489</v>
      </c>
      <c r="B1379" t="s">
        <v>859</v>
      </c>
      <c r="C1379" s="9" t="s">
        <v>860</v>
      </c>
      <c r="D1379" s="1">
        <v>1.2511574074074073E-2</v>
      </c>
      <c r="E1379" t="s">
        <v>861</v>
      </c>
      <c r="F1379" s="69" t="s">
        <v>5506</v>
      </c>
      <c r="K1379" s="82">
        <v>0.81220000000000003</v>
      </c>
      <c r="M1379" t="s">
        <v>2682</v>
      </c>
    </row>
    <row r="1380" spans="1:13" x14ac:dyDescent="0.2">
      <c r="A1380" s="34">
        <v>41496</v>
      </c>
      <c r="B1380" t="s">
        <v>1349</v>
      </c>
      <c r="C1380" s="9" t="s">
        <v>3343</v>
      </c>
      <c r="D1380" s="1">
        <v>1.6377314814814813E-2</v>
      </c>
      <c r="E1380" t="s">
        <v>5883</v>
      </c>
      <c r="F1380" s="42"/>
      <c r="K1380" s="82">
        <v>0.58730000000000004</v>
      </c>
    </row>
    <row r="1381" spans="1:13" x14ac:dyDescent="0.2">
      <c r="A1381" s="34">
        <v>41489</v>
      </c>
      <c r="B1381" t="s">
        <v>1349</v>
      </c>
      <c r="C1381" s="9" t="s">
        <v>3343</v>
      </c>
      <c r="D1381" s="1">
        <v>1.5972222222222224E-2</v>
      </c>
      <c r="E1381" t="s">
        <v>5883</v>
      </c>
      <c r="F1381" s="69"/>
      <c r="K1381" s="82">
        <v>0.60219999999999996</v>
      </c>
      <c r="M1381" s="6"/>
    </row>
    <row r="1382" spans="1:13" x14ac:dyDescent="0.2">
      <c r="A1382" s="34">
        <v>41517</v>
      </c>
      <c r="B1382" t="s">
        <v>1796</v>
      </c>
      <c r="C1382" s="9" t="s">
        <v>1797</v>
      </c>
      <c r="D1382" s="1">
        <v>1.818287037037037E-2</v>
      </c>
      <c r="E1382" t="s">
        <v>5453</v>
      </c>
      <c r="F1382" s="69" t="s">
        <v>5204</v>
      </c>
      <c r="K1382" s="82">
        <v>0.59199999999999997</v>
      </c>
    </row>
    <row r="1383" spans="1:13" x14ac:dyDescent="0.2">
      <c r="A1383" s="34">
        <v>41510</v>
      </c>
      <c r="B1383" t="s">
        <v>1796</v>
      </c>
      <c r="C1383" s="9" t="s">
        <v>1797</v>
      </c>
      <c r="D1383" s="1">
        <v>1.8865740740740742E-2</v>
      </c>
      <c r="E1383" t="s">
        <v>1622</v>
      </c>
      <c r="F1383" s="41"/>
      <c r="K1383" s="86">
        <v>0.5706</v>
      </c>
    </row>
    <row r="1384" spans="1:13" x14ac:dyDescent="0.2">
      <c r="A1384" s="34">
        <v>41507</v>
      </c>
      <c r="B1384" s="47" t="s">
        <v>1796</v>
      </c>
      <c r="C1384" s="9" t="s">
        <v>1797</v>
      </c>
      <c r="D1384" s="1">
        <v>1.8749999999999999E-2</v>
      </c>
      <c r="E1384" t="s">
        <v>1316</v>
      </c>
      <c r="F1384" s="41"/>
      <c r="K1384"/>
    </row>
    <row r="1385" spans="1:13" x14ac:dyDescent="0.2">
      <c r="A1385" s="34">
        <v>41503</v>
      </c>
      <c r="B1385" t="s">
        <v>1796</v>
      </c>
      <c r="C1385" s="9" t="s">
        <v>1797</v>
      </c>
      <c r="D1385" s="1">
        <v>1.8854166666666665E-2</v>
      </c>
      <c r="E1385" t="s">
        <v>4049</v>
      </c>
      <c r="F1385" s="42" t="s">
        <v>2901</v>
      </c>
      <c r="K1385" s="82">
        <v>0.57089999999999996</v>
      </c>
    </row>
    <row r="1386" spans="1:13" x14ac:dyDescent="0.2">
      <c r="A1386" s="34">
        <v>41517</v>
      </c>
      <c r="B1386" t="s">
        <v>868</v>
      </c>
      <c r="C1386" s="9" t="s">
        <v>2480</v>
      </c>
      <c r="D1386" s="1">
        <v>1.7152777777777777E-2</v>
      </c>
      <c r="E1386" t="s">
        <v>5453</v>
      </c>
      <c r="F1386" s="69" t="s">
        <v>5204</v>
      </c>
      <c r="K1386" s="82">
        <v>0.69840000000000002</v>
      </c>
    </row>
    <row r="1387" spans="1:13" x14ac:dyDescent="0.2">
      <c r="A1387" s="34">
        <v>41510</v>
      </c>
      <c r="B1387" t="s">
        <v>868</v>
      </c>
      <c r="C1387" s="9" t="s">
        <v>2480</v>
      </c>
      <c r="D1387" s="1">
        <v>1.7002314814814814E-2</v>
      </c>
      <c r="E1387" t="s">
        <v>3167</v>
      </c>
      <c r="F1387" s="41"/>
      <c r="K1387" s="86">
        <v>0.7046</v>
      </c>
    </row>
    <row r="1388" spans="1:13" x14ac:dyDescent="0.2">
      <c r="A1388" s="34">
        <v>41507</v>
      </c>
      <c r="B1388" t="s">
        <v>868</v>
      </c>
      <c r="C1388" s="9" t="s">
        <v>2480</v>
      </c>
      <c r="D1388" s="1">
        <v>1.712962962962963E-2</v>
      </c>
      <c r="E1388" t="s">
        <v>1316</v>
      </c>
      <c r="F1388" s="69" t="s">
        <v>1621</v>
      </c>
      <c r="K1388"/>
    </row>
    <row r="1389" spans="1:13" x14ac:dyDescent="0.2">
      <c r="A1389" s="34">
        <v>41503</v>
      </c>
      <c r="B1389" t="s">
        <v>868</v>
      </c>
      <c r="C1389" s="9" t="s">
        <v>2480</v>
      </c>
      <c r="D1389" s="1">
        <v>1.7175925925925924E-2</v>
      </c>
      <c r="E1389" t="s">
        <v>3167</v>
      </c>
      <c r="F1389" s="42"/>
      <c r="K1389" s="82">
        <v>0.69740000000000002</v>
      </c>
    </row>
    <row r="1390" spans="1:13" x14ac:dyDescent="0.2">
      <c r="A1390" s="34">
        <v>41489</v>
      </c>
      <c r="B1390" t="s">
        <v>868</v>
      </c>
      <c r="C1390" s="9" t="s">
        <v>2480</v>
      </c>
      <c r="D1390" s="1">
        <v>1.6921296296296299E-2</v>
      </c>
      <c r="E1390" t="s">
        <v>3167</v>
      </c>
      <c r="F1390" s="69" t="s">
        <v>3317</v>
      </c>
      <c r="K1390" s="82">
        <v>0.70789999999999997</v>
      </c>
      <c r="M1390" s="6"/>
    </row>
    <row r="1391" spans="1:13" x14ac:dyDescent="0.2">
      <c r="A1391" s="34">
        <v>41496</v>
      </c>
      <c r="B1391" t="s">
        <v>1938</v>
      </c>
      <c r="C1391" s="9" t="s">
        <v>2480</v>
      </c>
      <c r="D1391" s="1">
        <v>1.6701388888888887E-2</v>
      </c>
      <c r="E1391" t="s">
        <v>3167</v>
      </c>
      <c r="F1391" s="41"/>
      <c r="K1391" s="82">
        <v>0.71730000000000005</v>
      </c>
    </row>
    <row r="1392" spans="1:13" x14ac:dyDescent="0.2">
      <c r="A1392" s="34">
        <v>41510</v>
      </c>
      <c r="B1392" s="53" t="s">
        <v>4963</v>
      </c>
      <c r="C1392" s="83" t="s">
        <v>4964</v>
      </c>
      <c r="D1392" s="54">
        <v>1.2881944444444446E-2</v>
      </c>
      <c r="E1392" s="53" t="s">
        <v>3072</v>
      </c>
      <c r="F1392" s="58"/>
      <c r="G1392" s="53"/>
      <c r="H1392" s="53"/>
      <c r="I1392" s="53"/>
      <c r="J1392" s="53"/>
      <c r="K1392" s="87">
        <v>0.69720000000000004</v>
      </c>
    </row>
    <row r="1393" spans="1:13" x14ac:dyDescent="0.2">
      <c r="A1393" s="34">
        <v>41503</v>
      </c>
      <c r="B1393" s="53" t="s">
        <v>4963</v>
      </c>
      <c r="C1393" s="83" t="s">
        <v>4964</v>
      </c>
      <c r="D1393" s="54">
        <v>1.2812499999999999E-2</v>
      </c>
      <c r="E1393" s="53" t="s">
        <v>3072</v>
      </c>
      <c r="F1393" s="84"/>
      <c r="G1393" s="53"/>
      <c r="H1393" s="53"/>
      <c r="I1393" s="53"/>
      <c r="J1393" s="53"/>
      <c r="K1393" s="85">
        <v>0.70099999999999996</v>
      </c>
    </row>
    <row r="1394" spans="1:13" x14ac:dyDescent="0.2">
      <c r="A1394" s="34">
        <v>41489</v>
      </c>
      <c r="B1394" s="53" t="s">
        <v>4963</v>
      </c>
      <c r="C1394" s="83" t="s">
        <v>4964</v>
      </c>
      <c r="D1394" s="54">
        <v>1.3344907407407408E-2</v>
      </c>
      <c r="E1394" s="53" t="s">
        <v>3072</v>
      </c>
      <c r="F1394" s="84"/>
      <c r="G1394" s="53"/>
      <c r="H1394" s="53"/>
      <c r="I1394" s="53"/>
      <c r="J1394" s="53"/>
      <c r="K1394" s="85">
        <v>0.67190000000000005</v>
      </c>
    </row>
    <row r="1395" spans="1:13" x14ac:dyDescent="0.2">
      <c r="A1395" s="34">
        <v>41503</v>
      </c>
      <c r="B1395" t="s">
        <v>1308</v>
      </c>
      <c r="C1395" s="9" t="s">
        <v>428</v>
      </c>
      <c r="D1395" s="1">
        <v>1.3842592592592594E-2</v>
      </c>
      <c r="E1395" t="s">
        <v>5885</v>
      </c>
      <c r="F1395" s="42"/>
      <c r="K1395" s="82">
        <v>0.70569999999999999</v>
      </c>
    </row>
    <row r="1396" spans="1:13" x14ac:dyDescent="0.2">
      <c r="A1396" s="34">
        <v>41489</v>
      </c>
      <c r="B1396" t="s">
        <v>1308</v>
      </c>
      <c r="C1396" s="9" t="s">
        <v>428</v>
      </c>
      <c r="D1396" s="1">
        <v>1.4363425925925925E-2</v>
      </c>
      <c r="E1396" t="s">
        <v>5885</v>
      </c>
      <c r="F1396" s="69"/>
      <c r="K1396" s="82">
        <v>0.68010000000000004</v>
      </c>
      <c r="M1396" s="6"/>
    </row>
    <row r="1397" spans="1:13" x14ac:dyDescent="0.2">
      <c r="A1397" s="34">
        <v>41517</v>
      </c>
      <c r="B1397" t="s">
        <v>435</v>
      </c>
      <c r="C1397" s="9" t="s">
        <v>1936</v>
      </c>
      <c r="D1397" s="1">
        <v>1.6967592592592593E-2</v>
      </c>
      <c r="E1397" t="s">
        <v>4861</v>
      </c>
      <c r="F1397" s="69"/>
      <c r="K1397" s="82">
        <v>0.59889999999999999</v>
      </c>
    </row>
    <row r="1398" spans="1:13" x14ac:dyDescent="0.2">
      <c r="A1398" s="34">
        <v>41510</v>
      </c>
      <c r="B1398" t="s">
        <v>435</v>
      </c>
      <c r="C1398" s="9" t="s">
        <v>1936</v>
      </c>
      <c r="D1398" s="1">
        <v>1.7500000000000002E-2</v>
      </c>
      <c r="E1398" t="s">
        <v>4861</v>
      </c>
      <c r="F1398" s="41"/>
      <c r="K1398" s="86">
        <v>0.58069999999999999</v>
      </c>
    </row>
    <row r="1399" spans="1:13" x14ac:dyDescent="0.2">
      <c r="A1399" s="34">
        <v>41503</v>
      </c>
      <c r="B1399" t="s">
        <v>435</v>
      </c>
      <c r="C1399" s="9" t="s">
        <v>1936</v>
      </c>
      <c r="D1399" s="1">
        <v>1.8333333333333333E-2</v>
      </c>
      <c r="E1399" t="s">
        <v>4861</v>
      </c>
      <c r="F1399" s="42"/>
      <c r="K1399" s="82">
        <v>0.55430000000000001</v>
      </c>
    </row>
    <row r="1400" spans="1:13" x14ac:dyDescent="0.2">
      <c r="A1400" s="34">
        <v>41517</v>
      </c>
      <c r="B1400" t="s">
        <v>665</v>
      </c>
      <c r="C1400" s="9" t="s">
        <v>666</v>
      </c>
      <c r="D1400" s="1">
        <v>1.849537037037037E-2</v>
      </c>
      <c r="E1400" t="s">
        <v>5453</v>
      </c>
      <c r="F1400" s="69" t="s">
        <v>5204</v>
      </c>
      <c r="K1400" s="82">
        <v>0.56759999999999999</v>
      </c>
    </row>
    <row r="1401" spans="1:13" x14ac:dyDescent="0.2">
      <c r="A1401" s="34">
        <v>41510</v>
      </c>
      <c r="B1401" t="s">
        <v>665</v>
      </c>
      <c r="C1401" s="9" t="s">
        <v>666</v>
      </c>
      <c r="D1401" s="1">
        <v>1.7337962962962961E-2</v>
      </c>
      <c r="E1401" t="s">
        <v>6020</v>
      </c>
      <c r="F1401" s="69" t="s">
        <v>2629</v>
      </c>
      <c r="K1401" s="86">
        <v>0.60550000000000004</v>
      </c>
    </row>
    <row r="1402" spans="1:13" x14ac:dyDescent="0.2">
      <c r="A1402" s="34">
        <v>41507</v>
      </c>
      <c r="B1402" t="s">
        <v>665</v>
      </c>
      <c r="C1402" s="9" t="s">
        <v>666</v>
      </c>
      <c r="D1402" s="1">
        <v>1.8993055555555558E-2</v>
      </c>
      <c r="E1402" t="s">
        <v>1316</v>
      </c>
      <c r="F1402" s="41"/>
      <c r="K1402"/>
    </row>
    <row r="1403" spans="1:13" x14ac:dyDescent="0.2">
      <c r="A1403" s="34">
        <v>41503</v>
      </c>
      <c r="B1403" t="s">
        <v>665</v>
      </c>
      <c r="C1403" s="9" t="s">
        <v>666</v>
      </c>
      <c r="D1403" s="1">
        <v>1.8055555555555557E-2</v>
      </c>
      <c r="E1403" t="s">
        <v>3139</v>
      </c>
      <c r="F1403" s="42" t="s">
        <v>4960</v>
      </c>
      <c r="K1403" s="82">
        <v>0.58140000000000003</v>
      </c>
    </row>
    <row r="1404" spans="1:13" x14ac:dyDescent="0.2">
      <c r="A1404" s="34">
        <v>41496</v>
      </c>
      <c r="B1404" t="s">
        <v>665</v>
      </c>
      <c r="C1404" s="9" t="s">
        <v>666</v>
      </c>
      <c r="D1404" s="1">
        <v>1.8796296296296297E-2</v>
      </c>
      <c r="E1404" t="s">
        <v>5726</v>
      </c>
      <c r="F1404" s="42" t="s">
        <v>2629</v>
      </c>
      <c r="K1404" s="82">
        <v>0.5585</v>
      </c>
    </row>
    <row r="1405" spans="1:13" x14ac:dyDescent="0.2">
      <c r="A1405" s="34">
        <v>41489</v>
      </c>
      <c r="B1405" t="s">
        <v>665</v>
      </c>
      <c r="C1405" s="9" t="s">
        <v>666</v>
      </c>
      <c r="D1405" s="1">
        <v>1.7627314814814814E-2</v>
      </c>
      <c r="E1405" t="s">
        <v>3072</v>
      </c>
      <c r="F1405" s="42" t="s">
        <v>2629</v>
      </c>
      <c r="K1405" s="82">
        <v>0.59550000000000003</v>
      </c>
      <c r="M1405" s="6"/>
    </row>
    <row r="1406" spans="1:13" x14ac:dyDescent="0.2">
      <c r="A1406" s="34">
        <v>41507</v>
      </c>
      <c r="B1406" t="s">
        <v>2137</v>
      </c>
      <c r="C1406" s="9" t="s">
        <v>4943</v>
      </c>
      <c r="D1406" s="1">
        <v>1.6192129629629629E-2</v>
      </c>
      <c r="E1406" t="s">
        <v>1316</v>
      </c>
      <c r="F1406" s="69"/>
      <c r="K1406"/>
    </row>
    <row r="1407" spans="1:13" x14ac:dyDescent="0.2">
      <c r="A1407" s="34">
        <v>41503</v>
      </c>
      <c r="B1407" t="s">
        <v>2137</v>
      </c>
      <c r="C1407" s="9" t="s">
        <v>4943</v>
      </c>
      <c r="D1407" s="1">
        <v>1.5625E-2</v>
      </c>
      <c r="E1407" t="s">
        <v>5544</v>
      </c>
      <c r="F1407" s="42"/>
      <c r="K1407" s="82">
        <v>0.68689999999999996</v>
      </c>
    </row>
    <row r="1408" spans="1:13" x14ac:dyDescent="0.2">
      <c r="A1408" s="34">
        <v>41496</v>
      </c>
      <c r="B1408" t="s">
        <v>2137</v>
      </c>
      <c r="C1408" s="9" t="s">
        <v>4943</v>
      </c>
      <c r="D1408" s="1" t="s">
        <v>787</v>
      </c>
      <c r="E1408" t="s">
        <v>5544</v>
      </c>
      <c r="F1408" s="42" t="s">
        <v>5508</v>
      </c>
      <c r="K1408" s="82"/>
    </row>
    <row r="1409" spans="1:13" x14ac:dyDescent="0.2">
      <c r="A1409" s="34">
        <v>41517</v>
      </c>
      <c r="B1409" t="s">
        <v>2478</v>
      </c>
      <c r="C1409" s="9" t="s">
        <v>2479</v>
      </c>
      <c r="D1409" s="1">
        <v>1.3923611111111111E-2</v>
      </c>
      <c r="E1409" t="s">
        <v>5453</v>
      </c>
      <c r="F1409" s="69" t="s">
        <v>5204</v>
      </c>
      <c r="K1409" s="82">
        <v>0.72399999999999998</v>
      </c>
    </row>
    <row r="1410" spans="1:13" x14ac:dyDescent="0.2">
      <c r="A1410" s="34">
        <v>41510</v>
      </c>
      <c r="B1410" t="s">
        <v>2478</v>
      </c>
      <c r="C1410" s="9" t="s">
        <v>2479</v>
      </c>
      <c r="D1410" s="1">
        <v>1.3194444444444444E-2</v>
      </c>
      <c r="E1410" t="s">
        <v>3167</v>
      </c>
      <c r="F1410" s="41"/>
      <c r="K1410" s="86">
        <v>0.76400000000000001</v>
      </c>
    </row>
    <row r="1411" spans="1:13" x14ac:dyDescent="0.2">
      <c r="A1411" s="34">
        <v>41507</v>
      </c>
      <c r="B1411" t="s">
        <v>2478</v>
      </c>
      <c r="C1411" s="9" t="s">
        <v>2479</v>
      </c>
      <c r="D1411" s="1">
        <v>1.3692129629629629E-2</v>
      </c>
      <c r="E1411" t="s">
        <v>1316</v>
      </c>
      <c r="F1411" s="69" t="s">
        <v>1856</v>
      </c>
      <c r="K1411"/>
    </row>
    <row r="1412" spans="1:13" x14ac:dyDescent="0.2">
      <c r="A1412" s="34">
        <v>41489</v>
      </c>
      <c r="B1412" t="s">
        <v>2478</v>
      </c>
      <c r="C1412" s="9" t="s">
        <v>2479</v>
      </c>
      <c r="D1412" s="1">
        <v>1.3368055555555557E-2</v>
      </c>
      <c r="E1412" t="s">
        <v>3167</v>
      </c>
      <c r="F1412" s="69"/>
      <c r="K1412" s="82">
        <v>0.75409999999999999</v>
      </c>
      <c r="M1412" s="6"/>
    </row>
    <row r="1413" spans="1:13" x14ac:dyDescent="0.2">
      <c r="A1413" s="34">
        <v>41510</v>
      </c>
      <c r="B1413" t="s">
        <v>2822</v>
      </c>
      <c r="C1413" s="9" t="s">
        <v>2823</v>
      </c>
      <c r="D1413" s="1">
        <v>1.7951388888888888E-2</v>
      </c>
      <c r="E1413" t="s">
        <v>5544</v>
      </c>
      <c r="F1413" s="41"/>
      <c r="K1413" s="86">
        <v>0.57509999999999994</v>
      </c>
    </row>
    <row r="1414" spans="1:13" x14ac:dyDescent="0.2">
      <c r="A1414" s="34">
        <v>41503</v>
      </c>
      <c r="B1414" t="s">
        <v>2822</v>
      </c>
      <c r="C1414" s="9" t="s">
        <v>2823</v>
      </c>
      <c r="D1414" s="1">
        <v>1.7974537037037035E-2</v>
      </c>
      <c r="E1414" t="s">
        <v>5544</v>
      </c>
      <c r="F1414" s="42"/>
      <c r="K1414" s="82">
        <v>0.57440000000000002</v>
      </c>
    </row>
    <row r="1415" spans="1:13" x14ac:dyDescent="0.2">
      <c r="A1415" s="34">
        <v>41496</v>
      </c>
      <c r="B1415" t="s">
        <v>2822</v>
      </c>
      <c r="C1415" s="9" t="s">
        <v>2823</v>
      </c>
      <c r="D1415" s="1">
        <v>1.7291666666666667E-2</v>
      </c>
      <c r="E1415" t="s">
        <v>5544</v>
      </c>
      <c r="F1415" s="42"/>
      <c r="K1415" s="82">
        <v>0.59709999999999996</v>
      </c>
    </row>
    <row r="1416" spans="1:13" x14ac:dyDescent="0.2">
      <c r="A1416" s="34">
        <v>41489</v>
      </c>
      <c r="B1416" t="s">
        <v>2822</v>
      </c>
      <c r="C1416" s="9" t="s">
        <v>2823</v>
      </c>
      <c r="D1416" s="1">
        <v>1.7592592592592594E-2</v>
      </c>
      <c r="E1416" t="s">
        <v>5544</v>
      </c>
      <c r="F1416" s="69"/>
      <c r="K1416" s="82">
        <v>0.58679999999999999</v>
      </c>
      <c r="M1416" s="6"/>
    </row>
    <row r="1417" spans="1:13" x14ac:dyDescent="0.2">
      <c r="A1417" s="34">
        <v>41496</v>
      </c>
      <c r="B1417" t="s">
        <v>429</v>
      </c>
      <c r="C1417" s="9" t="s">
        <v>430</v>
      </c>
      <c r="D1417" s="1">
        <v>1.6655092592592593E-2</v>
      </c>
      <c r="E1417" t="s">
        <v>5885</v>
      </c>
      <c r="F1417" s="42"/>
      <c r="K1417" s="82">
        <v>0.67710000000000004</v>
      </c>
    </row>
    <row r="1418" spans="1:13" x14ac:dyDescent="0.2">
      <c r="A1418" s="34">
        <v>41507</v>
      </c>
      <c r="B1418" t="s">
        <v>1794</v>
      </c>
      <c r="C1418" s="9" t="s">
        <v>1795</v>
      </c>
      <c r="D1418" s="1">
        <v>2.1388888888888888E-2</v>
      </c>
      <c r="E1418" t="s">
        <v>1316</v>
      </c>
      <c r="F1418" s="41"/>
      <c r="K1418"/>
    </row>
    <row r="1419" spans="1:13" x14ac:dyDescent="0.2">
      <c r="A1419" s="34">
        <v>41503</v>
      </c>
      <c r="B1419" t="s">
        <v>1794</v>
      </c>
      <c r="C1419" s="9" t="s">
        <v>1795</v>
      </c>
      <c r="D1419" s="1">
        <v>2.0231481481481482E-2</v>
      </c>
      <c r="E1419" t="s">
        <v>998</v>
      </c>
      <c r="F1419" s="42" t="s">
        <v>2629</v>
      </c>
      <c r="K1419" s="82">
        <v>0.59840000000000004</v>
      </c>
    </row>
    <row r="1420" spans="1:13" x14ac:dyDescent="0.2">
      <c r="A1420" s="34">
        <v>41496</v>
      </c>
      <c r="B1420" t="s">
        <v>1794</v>
      </c>
      <c r="C1420" s="9" t="s">
        <v>1795</v>
      </c>
      <c r="D1420" s="1">
        <v>1.9907407407407408E-2</v>
      </c>
      <c r="E1420" t="s">
        <v>5544</v>
      </c>
      <c r="F1420" s="42" t="s">
        <v>3423</v>
      </c>
      <c r="K1420" s="82">
        <v>0.60809999999999997</v>
      </c>
    </row>
    <row r="1421" spans="1:13" x14ac:dyDescent="0.2">
      <c r="A1421" s="34">
        <v>41489</v>
      </c>
      <c r="B1421" t="s">
        <v>1794</v>
      </c>
      <c r="C1421" s="9" t="s">
        <v>1795</v>
      </c>
      <c r="D1421" s="1">
        <v>2.0324074074074074E-2</v>
      </c>
      <c r="E1421" t="s">
        <v>3072</v>
      </c>
      <c r="F1421" s="42" t="s">
        <v>1094</v>
      </c>
      <c r="K1421" s="82">
        <v>0.59570000000000001</v>
      </c>
      <c r="M1421" s="6"/>
    </row>
    <row r="1422" spans="1:13" x14ac:dyDescent="0.2">
      <c r="A1422" s="34">
        <v>41517</v>
      </c>
      <c r="B1422" t="s">
        <v>431</v>
      </c>
      <c r="C1422" s="9" t="s">
        <v>433</v>
      </c>
      <c r="D1422" s="1">
        <v>1.6585648148148148E-2</v>
      </c>
      <c r="E1422" t="s">
        <v>5095</v>
      </c>
      <c r="F1422" s="69"/>
      <c r="K1422" s="82">
        <v>0.66020000000000001</v>
      </c>
    </row>
    <row r="1423" spans="1:13" x14ac:dyDescent="0.2">
      <c r="A1423" s="34">
        <v>41510</v>
      </c>
      <c r="B1423" t="s">
        <v>431</v>
      </c>
      <c r="C1423" s="9" t="s">
        <v>433</v>
      </c>
      <c r="D1423" s="1">
        <v>1.636574074074074E-2</v>
      </c>
      <c r="E1423" t="s">
        <v>5095</v>
      </c>
      <c r="F1423" s="41"/>
      <c r="K1423" s="86">
        <v>0.66900000000000004</v>
      </c>
    </row>
    <row r="1424" spans="1:13" x14ac:dyDescent="0.2">
      <c r="A1424" s="34">
        <v>41507</v>
      </c>
      <c r="B1424" t="s">
        <v>431</v>
      </c>
      <c r="C1424" s="9" t="s">
        <v>433</v>
      </c>
      <c r="D1424" s="1">
        <v>1.6736111111111111E-2</v>
      </c>
      <c r="E1424" t="s">
        <v>1316</v>
      </c>
      <c r="F1424" s="69" t="s">
        <v>1317</v>
      </c>
      <c r="K1424"/>
    </row>
    <row r="1425" spans="1:13" x14ac:dyDescent="0.2">
      <c r="A1425" s="34">
        <v>41496</v>
      </c>
      <c r="B1425" t="s">
        <v>431</v>
      </c>
      <c r="C1425" s="9" t="s">
        <v>433</v>
      </c>
      <c r="D1425" s="1">
        <v>1.6585648148148148E-2</v>
      </c>
      <c r="E1425" t="s">
        <v>5095</v>
      </c>
      <c r="F1425" s="42"/>
      <c r="K1425" s="82">
        <v>0.66020000000000001</v>
      </c>
    </row>
    <row r="1426" spans="1:13" x14ac:dyDescent="0.2">
      <c r="A1426" s="34">
        <v>41489</v>
      </c>
      <c r="B1426" t="s">
        <v>431</v>
      </c>
      <c r="C1426" s="9" t="s">
        <v>433</v>
      </c>
      <c r="D1426" s="1">
        <v>1.6400462962962964E-2</v>
      </c>
      <c r="E1426" t="s">
        <v>3072</v>
      </c>
      <c r="F1426" s="42"/>
      <c r="K1426" s="82">
        <v>0.66759999999999997</v>
      </c>
      <c r="M1426" s="6"/>
    </row>
    <row r="1427" spans="1:13" x14ac:dyDescent="0.2">
      <c r="A1427" s="34">
        <v>41517</v>
      </c>
      <c r="B1427" t="s">
        <v>3960</v>
      </c>
      <c r="C1427" s="9" t="s">
        <v>3961</v>
      </c>
      <c r="D1427" s="1">
        <v>1.4988425925925926E-2</v>
      </c>
      <c r="E1427" t="s">
        <v>5453</v>
      </c>
      <c r="F1427" s="69" t="s">
        <v>5204</v>
      </c>
      <c r="K1427" s="82">
        <v>0.69420000000000004</v>
      </c>
    </row>
    <row r="1428" spans="1:13" x14ac:dyDescent="0.2">
      <c r="A1428" s="34">
        <v>41496</v>
      </c>
      <c r="B1428" t="s">
        <v>3960</v>
      </c>
      <c r="C1428" s="9" t="s">
        <v>3961</v>
      </c>
      <c r="D1428" s="1">
        <v>1.4409722222222221E-2</v>
      </c>
      <c r="E1428" t="s">
        <v>4452</v>
      </c>
      <c r="F1428" s="42" t="s">
        <v>3780</v>
      </c>
      <c r="K1428" s="82">
        <v>0.71650000000000003</v>
      </c>
    </row>
    <row r="1429" spans="1:13" x14ac:dyDescent="0.2">
      <c r="A1429" s="34">
        <v>41496</v>
      </c>
      <c r="B1429" s="53" t="s">
        <v>2703</v>
      </c>
      <c r="C1429" s="83" t="s">
        <v>5543</v>
      </c>
      <c r="D1429" s="1">
        <v>2.0520833333333332E-2</v>
      </c>
      <c r="E1429" t="s">
        <v>5544</v>
      </c>
      <c r="F1429" s="42" t="s">
        <v>363</v>
      </c>
      <c r="K1429" s="82">
        <v>0.56059999999999999</v>
      </c>
    </row>
    <row r="1430" spans="1:13" x14ac:dyDescent="0.2">
      <c r="A1430" s="34">
        <v>41496</v>
      </c>
      <c r="B1430" t="s">
        <v>1794</v>
      </c>
      <c r="C1430" s="9" t="s">
        <v>5543</v>
      </c>
      <c r="D1430" s="1">
        <v>1.638888888888889E-2</v>
      </c>
      <c r="E1430" t="s">
        <v>5544</v>
      </c>
      <c r="F1430" s="73"/>
      <c r="K1430" s="82">
        <v>0.625</v>
      </c>
    </row>
    <row r="1431" spans="1:13" x14ac:dyDescent="0.2">
      <c r="A1431" s="34">
        <v>41507</v>
      </c>
      <c r="B1431" t="s">
        <v>481</v>
      </c>
      <c r="C1431" s="9" t="s">
        <v>1574</v>
      </c>
      <c r="D1431" s="1" t="s">
        <v>2000</v>
      </c>
      <c r="E1431" t="s">
        <v>1316</v>
      </c>
      <c r="F1431" s="69" t="s">
        <v>1999</v>
      </c>
      <c r="K1431"/>
    </row>
    <row r="1432" spans="1:13" x14ac:dyDescent="0.2">
      <c r="A1432" s="34">
        <v>41489</v>
      </c>
      <c r="B1432" t="s">
        <v>864</v>
      </c>
      <c r="C1432" s="9" t="s">
        <v>865</v>
      </c>
      <c r="D1432" s="1">
        <v>1.3807870370370371E-2</v>
      </c>
      <c r="E1432" t="s">
        <v>3072</v>
      </c>
      <c r="F1432" s="42" t="s">
        <v>1093</v>
      </c>
      <c r="K1432" s="82">
        <v>0.7863</v>
      </c>
      <c r="M1432" s="6"/>
    </row>
    <row r="1433" spans="1:13" x14ac:dyDescent="0.2">
      <c r="A1433" s="34">
        <v>41489</v>
      </c>
      <c r="B1433" t="s">
        <v>2703</v>
      </c>
      <c r="C1433" s="9" t="s">
        <v>2704</v>
      </c>
      <c r="D1433" s="1">
        <v>2.2615740740740742E-2</v>
      </c>
      <c r="E1433" t="s">
        <v>5883</v>
      </c>
      <c r="F1433" s="69" t="s">
        <v>3316</v>
      </c>
      <c r="K1433" s="82">
        <v>0.51480000000000004</v>
      </c>
      <c r="M1433" s="6"/>
    </row>
    <row r="1434" spans="1:13" x14ac:dyDescent="0.2">
      <c r="C1434" s="9"/>
      <c r="F1434" s="41"/>
      <c r="K1434"/>
    </row>
    <row r="1435" spans="1:13" x14ac:dyDescent="0.2">
      <c r="C1435" s="9"/>
      <c r="F1435" s="41"/>
      <c r="K1435"/>
    </row>
    <row r="1436" spans="1:13" x14ac:dyDescent="0.2">
      <c r="A1436" s="91">
        <v>41456</v>
      </c>
      <c r="C1436" s="9"/>
      <c r="F1436" s="41"/>
      <c r="K1436"/>
    </row>
    <row r="1437" spans="1:13" x14ac:dyDescent="0.2">
      <c r="A1437" s="34">
        <v>41482</v>
      </c>
      <c r="B1437" t="s">
        <v>4580</v>
      </c>
      <c r="C1437" s="9" t="s">
        <v>4581</v>
      </c>
      <c r="D1437" s="1">
        <v>1.8599537037037036E-2</v>
      </c>
      <c r="E1437" t="s">
        <v>5947</v>
      </c>
      <c r="F1437" s="81"/>
      <c r="G1437" s="80"/>
      <c r="H1437" s="80"/>
      <c r="I1437" s="80"/>
      <c r="J1437" s="80"/>
      <c r="K1437" s="82">
        <v>0.59299999999999997</v>
      </c>
    </row>
    <row r="1438" spans="1:13" x14ac:dyDescent="0.2">
      <c r="A1438" s="34">
        <v>41482</v>
      </c>
      <c r="B1438" t="s">
        <v>868</v>
      </c>
      <c r="C1438" s="9" t="s">
        <v>869</v>
      </c>
      <c r="D1438" s="1">
        <v>1.8587962962962962E-2</v>
      </c>
      <c r="E1438" t="s">
        <v>5544</v>
      </c>
      <c r="F1438" s="79"/>
      <c r="G1438" s="80"/>
      <c r="H1438" s="80"/>
      <c r="I1438" s="80"/>
      <c r="J1438" s="80"/>
      <c r="K1438" s="82">
        <v>0.75029999999999997</v>
      </c>
    </row>
    <row r="1439" spans="1:13" x14ac:dyDescent="0.2">
      <c r="A1439" s="34">
        <v>41475</v>
      </c>
      <c r="B1439" t="s">
        <v>868</v>
      </c>
      <c r="C1439" s="9" t="s">
        <v>869</v>
      </c>
      <c r="D1439" s="1">
        <v>1.9120370370370371E-2</v>
      </c>
      <c r="E1439" t="s">
        <v>5544</v>
      </c>
      <c r="F1439" s="69" t="s">
        <v>3592</v>
      </c>
      <c r="K1439"/>
    </row>
    <row r="1440" spans="1:13" x14ac:dyDescent="0.2">
      <c r="A1440" s="34">
        <v>41468</v>
      </c>
      <c r="B1440" t="s">
        <v>868</v>
      </c>
      <c r="C1440" s="1" t="s">
        <v>869</v>
      </c>
      <c r="D1440" s="1">
        <v>1.9803240740740739E-2</v>
      </c>
      <c r="E1440" t="s">
        <v>2846</v>
      </c>
      <c r="F1440" s="69" t="s">
        <v>2603</v>
      </c>
      <c r="K1440"/>
    </row>
    <row r="1441" spans="1:12" x14ac:dyDescent="0.2">
      <c r="A1441" s="34">
        <v>41461</v>
      </c>
      <c r="B1441" t="s">
        <v>868</v>
      </c>
      <c r="C1441" s="1" t="s">
        <v>869</v>
      </c>
      <c r="D1441" s="1">
        <v>1.8275462962962962E-2</v>
      </c>
      <c r="E1441" t="s">
        <v>5544</v>
      </c>
      <c r="F1441" s="69" t="s">
        <v>5601</v>
      </c>
      <c r="K1441"/>
      <c r="L1441" s="72"/>
    </row>
    <row r="1442" spans="1:12" x14ac:dyDescent="0.2">
      <c r="A1442" s="34">
        <v>41475</v>
      </c>
      <c r="B1442" t="s">
        <v>3508</v>
      </c>
      <c r="C1442" s="9" t="s">
        <v>3632</v>
      </c>
      <c r="D1442" s="1">
        <v>1.4513888888888889E-2</v>
      </c>
      <c r="E1442" t="s">
        <v>5885</v>
      </c>
      <c r="F1442" s="69" t="s">
        <v>3866</v>
      </c>
      <c r="K1442"/>
    </row>
    <row r="1443" spans="1:12" x14ac:dyDescent="0.2">
      <c r="A1443" s="34">
        <v>41468</v>
      </c>
      <c r="B1443" t="s">
        <v>3508</v>
      </c>
      <c r="C1443" s="1" t="s">
        <v>3632</v>
      </c>
      <c r="D1443" s="1">
        <v>1.5995370370370372E-2</v>
      </c>
      <c r="E1443" t="s">
        <v>2846</v>
      </c>
      <c r="F1443" s="69" t="s">
        <v>3742</v>
      </c>
      <c r="K1443"/>
    </row>
    <row r="1444" spans="1:12" x14ac:dyDescent="0.2">
      <c r="A1444" s="34">
        <v>41461</v>
      </c>
      <c r="B1444" t="s">
        <v>3508</v>
      </c>
      <c r="C1444" s="1" t="s">
        <v>3632</v>
      </c>
      <c r="D1444" s="1">
        <v>1.525462962962963E-2</v>
      </c>
      <c r="E1444" t="s">
        <v>5885</v>
      </c>
      <c r="F1444" s="69"/>
      <c r="K1444"/>
    </row>
    <row r="1445" spans="1:12" x14ac:dyDescent="0.2">
      <c r="A1445" s="34">
        <v>41468</v>
      </c>
      <c r="B1445" t="s">
        <v>4576</v>
      </c>
      <c r="C1445" s="1" t="s">
        <v>4577</v>
      </c>
      <c r="D1445" s="1">
        <v>1.6828703703703703E-2</v>
      </c>
      <c r="E1445" t="s">
        <v>5883</v>
      </c>
      <c r="F1445" s="69"/>
      <c r="K1445"/>
    </row>
    <row r="1446" spans="1:12" x14ac:dyDescent="0.2">
      <c r="A1446" s="34">
        <v>41461</v>
      </c>
      <c r="B1446" t="s">
        <v>4576</v>
      </c>
      <c r="C1446" s="1" t="s">
        <v>4577</v>
      </c>
      <c r="D1446" s="1">
        <v>1.7002314814814814E-2</v>
      </c>
      <c r="E1446" t="s">
        <v>5883</v>
      </c>
      <c r="F1446" s="41"/>
      <c r="K1446"/>
    </row>
    <row r="1447" spans="1:12" x14ac:dyDescent="0.2">
      <c r="A1447" s="34">
        <v>41461</v>
      </c>
      <c r="B1447" t="s">
        <v>1796</v>
      </c>
      <c r="C1447" s="1" t="s">
        <v>1797</v>
      </c>
      <c r="D1447" s="1">
        <v>1.8900462962962963E-2</v>
      </c>
      <c r="E1447" t="s">
        <v>5431</v>
      </c>
      <c r="F1447" s="69"/>
      <c r="G1447" t="s">
        <v>2380</v>
      </c>
      <c r="K1447"/>
    </row>
    <row r="1448" spans="1:12" x14ac:dyDescent="0.2">
      <c r="A1448" s="34">
        <v>41468</v>
      </c>
      <c r="B1448" t="s">
        <v>2845</v>
      </c>
      <c r="C1448" s="1" t="s">
        <v>1797</v>
      </c>
      <c r="D1448" s="1">
        <v>1.9039351851851852E-2</v>
      </c>
      <c r="E1448" t="s">
        <v>2846</v>
      </c>
      <c r="F1448" s="69" t="s">
        <v>3742</v>
      </c>
      <c r="K1448"/>
    </row>
    <row r="1449" spans="1:12" x14ac:dyDescent="0.2">
      <c r="A1449" s="34">
        <v>41482</v>
      </c>
      <c r="B1449" t="s">
        <v>868</v>
      </c>
      <c r="C1449" s="9" t="s">
        <v>2480</v>
      </c>
      <c r="D1449" s="1">
        <v>1.7048611111111112E-2</v>
      </c>
      <c r="E1449" t="s">
        <v>3167</v>
      </c>
      <c r="F1449" s="79" t="s">
        <v>262</v>
      </c>
      <c r="G1449" s="80"/>
      <c r="H1449" s="80"/>
      <c r="I1449" s="80"/>
      <c r="J1449" s="80"/>
      <c r="K1449" s="82">
        <v>0.7026</v>
      </c>
    </row>
    <row r="1450" spans="1:12" x14ac:dyDescent="0.2">
      <c r="A1450" s="34">
        <v>41475</v>
      </c>
      <c r="B1450" t="s">
        <v>868</v>
      </c>
      <c r="C1450" s="9" t="s">
        <v>2480</v>
      </c>
      <c r="D1450" s="1">
        <v>1.7847222222222223E-2</v>
      </c>
      <c r="E1450" t="s">
        <v>3167</v>
      </c>
      <c r="F1450" s="69" t="s">
        <v>3867</v>
      </c>
      <c r="K1450"/>
    </row>
    <row r="1451" spans="1:12" x14ac:dyDescent="0.2">
      <c r="A1451" s="34">
        <v>41482</v>
      </c>
      <c r="B1451" t="s">
        <v>1308</v>
      </c>
      <c r="C1451" s="9" t="s">
        <v>428</v>
      </c>
      <c r="D1451" s="1">
        <v>1.3819444444444445E-2</v>
      </c>
      <c r="E1451" t="s">
        <v>5885</v>
      </c>
      <c r="F1451" s="79"/>
      <c r="G1451" s="80"/>
      <c r="H1451" s="80"/>
      <c r="I1451" s="80"/>
      <c r="J1451" s="80"/>
      <c r="K1451" s="82">
        <v>0.70689999999999997</v>
      </c>
    </row>
    <row r="1452" spans="1:12" x14ac:dyDescent="0.2">
      <c r="A1452" s="34">
        <v>41468</v>
      </c>
      <c r="B1452" t="s">
        <v>1308</v>
      </c>
      <c r="C1452" s="1" t="s">
        <v>428</v>
      </c>
      <c r="D1452" s="1">
        <v>1.4270833333333335E-2</v>
      </c>
      <c r="E1452" t="s">
        <v>5885</v>
      </c>
      <c r="F1452" s="69"/>
      <c r="K1452"/>
    </row>
    <row r="1453" spans="1:12" x14ac:dyDescent="0.2">
      <c r="A1453" s="34">
        <v>41482</v>
      </c>
      <c r="B1453" t="s">
        <v>435</v>
      </c>
      <c r="C1453" s="9" t="s">
        <v>1936</v>
      </c>
      <c r="D1453" s="1">
        <v>1.6898148148148148E-2</v>
      </c>
      <c r="E1453" t="s">
        <v>4861</v>
      </c>
      <c r="F1453" s="81"/>
      <c r="G1453" s="80"/>
      <c r="H1453" s="80"/>
      <c r="I1453" s="80"/>
      <c r="J1453" s="80"/>
      <c r="K1453" s="82">
        <v>0.60140000000000005</v>
      </c>
    </row>
    <row r="1454" spans="1:12" x14ac:dyDescent="0.2">
      <c r="A1454" s="34">
        <v>41475</v>
      </c>
      <c r="B1454" t="s">
        <v>435</v>
      </c>
      <c r="C1454" s="9" t="s">
        <v>1936</v>
      </c>
      <c r="D1454" s="1">
        <v>1.6932870370370369E-2</v>
      </c>
      <c r="E1454" t="s">
        <v>4861</v>
      </c>
      <c r="F1454" s="69" t="s">
        <v>1820</v>
      </c>
      <c r="K1454"/>
    </row>
    <row r="1455" spans="1:12" x14ac:dyDescent="0.2">
      <c r="A1455" s="34">
        <v>41468</v>
      </c>
      <c r="B1455" t="s">
        <v>435</v>
      </c>
      <c r="C1455" s="1" t="s">
        <v>1936</v>
      </c>
      <c r="D1455" s="1">
        <v>1.726851851851852E-2</v>
      </c>
      <c r="E1455" t="s">
        <v>4861</v>
      </c>
      <c r="F1455" s="69"/>
      <c r="K1455"/>
    </row>
    <row r="1456" spans="1:12" x14ac:dyDescent="0.2">
      <c r="A1456" s="34">
        <v>41461</v>
      </c>
      <c r="B1456" t="s">
        <v>435</v>
      </c>
      <c r="C1456" s="1" t="s">
        <v>1936</v>
      </c>
      <c r="D1456" s="1">
        <v>1.7060185185185185E-2</v>
      </c>
      <c r="E1456" t="s">
        <v>4861</v>
      </c>
      <c r="F1456" s="41"/>
      <c r="K1456"/>
    </row>
    <row r="1457" spans="1:11" x14ac:dyDescent="0.2">
      <c r="A1457" s="34">
        <v>41482</v>
      </c>
      <c r="B1457" t="s">
        <v>665</v>
      </c>
      <c r="C1457" s="9" t="s">
        <v>666</v>
      </c>
      <c r="D1457" s="1">
        <v>1.7673611111111109E-2</v>
      </c>
      <c r="E1457" t="s">
        <v>4452</v>
      </c>
      <c r="F1457" s="79"/>
      <c r="G1457" s="72"/>
      <c r="H1457" s="80"/>
      <c r="I1457" s="80"/>
      <c r="J1457" s="80"/>
      <c r="K1457" s="82">
        <v>0.59399999999999997</v>
      </c>
    </row>
    <row r="1458" spans="1:11" x14ac:dyDescent="0.2">
      <c r="A1458" s="34">
        <v>41475</v>
      </c>
      <c r="B1458" t="s">
        <v>665</v>
      </c>
      <c r="C1458" s="9" t="s">
        <v>666</v>
      </c>
      <c r="D1458" s="1" t="s">
        <v>787</v>
      </c>
      <c r="E1458" t="s">
        <v>5653</v>
      </c>
      <c r="F1458" s="69"/>
      <c r="K1458"/>
    </row>
    <row r="1459" spans="1:11" x14ac:dyDescent="0.2">
      <c r="A1459" s="34">
        <v>41468</v>
      </c>
      <c r="B1459" t="s">
        <v>665</v>
      </c>
      <c r="C1459" s="1" t="s">
        <v>666</v>
      </c>
      <c r="D1459" s="1">
        <v>1.8599537037037036E-2</v>
      </c>
      <c r="E1459" t="s">
        <v>2846</v>
      </c>
      <c r="F1459" s="69" t="s">
        <v>258</v>
      </c>
      <c r="K1459"/>
    </row>
    <row r="1460" spans="1:11" x14ac:dyDescent="0.2">
      <c r="A1460" s="34">
        <v>41461</v>
      </c>
      <c r="B1460" t="s">
        <v>665</v>
      </c>
      <c r="C1460" s="1" t="s">
        <v>666</v>
      </c>
      <c r="D1460" s="1">
        <v>1.7835648148148149E-2</v>
      </c>
      <c r="E1460" t="s">
        <v>6019</v>
      </c>
      <c r="F1460" s="69" t="s">
        <v>2381</v>
      </c>
      <c r="K1460"/>
    </row>
    <row r="1461" spans="1:11" x14ac:dyDescent="0.2">
      <c r="A1461" s="34">
        <v>41482</v>
      </c>
      <c r="B1461" t="s">
        <v>2137</v>
      </c>
      <c r="C1461" s="9" t="s">
        <v>4943</v>
      </c>
      <c r="D1461" s="1">
        <v>1.4328703703703703E-2</v>
      </c>
      <c r="E1461" t="s">
        <v>5544</v>
      </c>
      <c r="F1461" s="79"/>
      <c r="G1461" s="80"/>
      <c r="H1461" s="80"/>
      <c r="I1461" s="80"/>
      <c r="J1461" s="80"/>
      <c r="K1461" s="82">
        <v>0.75119999999999998</v>
      </c>
    </row>
    <row r="1462" spans="1:11" x14ac:dyDescent="0.2">
      <c r="A1462" s="34">
        <v>41461</v>
      </c>
      <c r="B1462" t="s">
        <v>2137</v>
      </c>
      <c r="C1462" s="1" t="s">
        <v>4943</v>
      </c>
      <c r="D1462" s="1">
        <v>1.4502314814814815E-2</v>
      </c>
      <c r="E1462" t="s">
        <v>5544</v>
      </c>
      <c r="F1462" s="73" t="s">
        <v>950</v>
      </c>
      <c r="K1462"/>
    </row>
    <row r="1463" spans="1:11" x14ac:dyDescent="0.2">
      <c r="A1463" s="34">
        <v>41482</v>
      </c>
      <c r="B1463" t="s">
        <v>2478</v>
      </c>
      <c r="C1463" s="9" t="s">
        <v>2479</v>
      </c>
      <c r="D1463" s="1">
        <v>1.3368055555555557E-2</v>
      </c>
      <c r="E1463" t="s">
        <v>3167</v>
      </c>
      <c r="F1463" s="79"/>
      <c r="G1463" s="80"/>
      <c r="H1463" s="80"/>
      <c r="I1463" s="80"/>
      <c r="J1463" s="80"/>
      <c r="K1463" s="82">
        <v>0.75409999999999999</v>
      </c>
    </row>
    <row r="1464" spans="1:11" x14ac:dyDescent="0.2">
      <c r="A1464" s="34">
        <v>41475</v>
      </c>
      <c r="B1464" t="s">
        <v>2478</v>
      </c>
      <c r="C1464" s="9" t="s">
        <v>2479</v>
      </c>
      <c r="D1464" s="1">
        <v>1.3796296296296298E-2</v>
      </c>
      <c r="E1464" t="s">
        <v>3167</v>
      </c>
      <c r="F1464" s="69" t="s">
        <v>3593</v>
      </c>
      <c r="K1464"/>
    </row>
    <row r="1465" spans="1:11" x14ac:dyDescent="0.2">
      <c r="A1465" s="34">
        <v>41468</v>
      </c>
      <c r="B1465" t="s">
        <v>2478</v>
      </c>
      <c r="C1465" s="1" t="s">
        <v>2479</v>
      </c>
      <c r="D1465" s="1">
        <v>1.3657407407407408E-2</v>
      </c>
      <c r="E1465" t="s">
        <v>3167</v>
      </c>
      <c r="F1465" s="69" t="s">
        <v>5094</v>
      </c>
      <c r="K1465"/>
    </row>
    <row r="1466" spans="1:11" x14ac:dyDescent="0.2">
      <c r="A1466" s="34">
        <v>41461</v>
      </c>
      <c r="B1466" t="s">
        <v>2478</v>
      </c>
      <c r="C1466" s="1" t="s">
        <v>2479</v>
      </c>
      <c r="D1466" s="1">
        <v>1.3125E-2</v>
      </c>
      <c r="E1466" t="s">
        <v>3167</v>
      </c>
      <c r="F1466" s="41"/>
      <c r="K1466"/>
    </row>
    <row r="1467" spans="1:11" x14ac:dyDescent="0.2">
      <c r="A1467" s="34">
        <v>41482</v>
      </c>
      <c r="B1467" t="s">
        <v>2822</v>
      </c>
      <c r="C1467" s="9" t="s">
        <v>2823</v>
      </c>
      <c r="D1467" s="1">
        <v>1.744212962962963E-2</v>
      </c>
      <c r="E1467" t="s">
        <v>5544</v>
      </c>
      <c r="F1467" s="72"/>
      <c r="G1467" s="80"/>
      <c r="H1467" s="80"/>
      <c r="I1467" s="80"/>
      <c r="J1467" s="80"/>
      <c r="K1467" s="82">
        <v>0.59189999999999998</v>
      </c>
    </row>
    <row r="1468" spans="1:11" x14ac:dyDescent="0.2">
      <c r="A1468" s="34">
        <v>41475</v>
      </c>
      <c r="B1468" t="s">
        <v>2822</v>
      </c>
      <c r="C1468" s="9" t="s">
        <v>2823</v>
      </c>
      <c r="D1468" s="1">
        <v>1.7870370370370373E-2</v>
      </c>
      <c r="E1468" t="s">
        <v>5544</v>
      </c>
      <c r="F1468" s="69" t="s">
        <v>3822</v>
      </c>
      <c r="K1468"/>
    </row>
    <row r="1469" spans="1:11" x14ac:dyDescent="0.2">
      <c r="A1469" s="34">
        <v>41468</v>
      </c>
      <c r="B1469" t="s">
        <v>2822</v>
      </c>
      <c r="C1469" s="1" t="s">
        <v>2823</v>
      </c>
      <c r="D1469" s="1">
        <v>1.8854166666666665E-2</v>
      </c>
      <c r="E1469" t="s">
        <v>5544</v>
      </c>
      <c r="F1469" s="69"/>
      <c r="K1469"/>
    </row>
    <row r="1470" spans="1:11" x14ac:dyDescent="0.2">
      <c r="A1470" s="34">
        <v>41482</v>
      </c>
      <c r="B1470" t="s">
        <v>1794</v>
      </c>
      <c r="C1470" s="9" t="s">
        <v>1795</v>
      </c>
      <c r="D1470" s="1">
        <v>1.9988425925925927E-2</v>
      </c>
      <c r="E1470" t="s">
        <v>5544</v>
      </c>
      <c r="F1470" s="79" t="s">
        <v>2445</v>
      </c>
      <c r="G1470" s="80"/>
      <c r="H1470" s="80"/>
      <c r="I1470" s="80"/>
      <c r="J1470" s="80"/>
      <c r="K1470" s="82">
        <v>0.60570000000000002</v>
      </c>
    </row>
    <row r="1471" spans="1:11" x14ac:dyDescent="0.2">
      <c r="A1471" s="34">
        <v>41475</v>
      </c>
      <c r="B1471" t="s">
        <v>1794</v>
      </c>
      <c r="C1471" s="9" t="s">
        <v>1795</v>
      </c>
      <c r="D1471" s="1">
        <v>2.0243055555555552E-2</v>
      </c>
      <c r="E1471" t="s">
        <v>715</v>
      </c>
      <c r="F1471" s="69" t="s">
        <v>1818</v>
      </c>
      <c r="K1471"/>
    </row>
    <row r="1472" spans="1:11" x14ac:dyDescent="0.2">
      <c r="A1472" s="34">
        <v>41461</v>
      </c>
      <c r="B1472" t="s">
        <v>5433</v>
      </c>
      <c r="C1472" s="1" t="s">
        <v>1795</v>
      </c>
      <c r="D1472" s="1">
        <v>1.9710648148148147E-2</v>
      </c>
      <c r="E1472" t="s">
        <v>5544</v>
      </c>
      <c r="F1472" s="69" t="s">
        <v>5434</v>
      </c>
      <c r="K1472" s="82">
        <v>0.61419999999999997</v>
      </c>
    </row>
    <row r="1473" spans="1:11" x14ac:dyDescent="0.2">
      <c r="A1473" s="34">
        <v>41482</v>
      </c>
      <c r="B1473" t="s">
        <v>431</v>
      </c>
      <c r="C1473" s="9" t="s">
        <v>433</v>
      </c>
      <c r="D1473" s="1">
        <v>1.7997685185185186E-2</v>
      </c>
      <c r="E1473" t="s">
        <v>5095</v>
      </c>
      <c r="F1473" s="79"/>
      <c r="G1473" s="80"/>
      <c r="H1473" s="80"/>
      <c r="I1473" s="80"/>
      <c r="J1473" s="80"/>
      <c r="K1473" s="82">
        <v>0.60840000000000005</v>
      </c>
    </row>
    <row r="1474" spans="1:11" x14ac:dyDescent="0.2">
      <c r="A1474" s="34">
        <v>41468</v>
      </c>
      <c r="B1474" t="s">
        <v>431</v>
      </c>
      <c r="C1474" s="1" t="s">
        <v>433</v>
      </c>
      <c r="D1474" s="1">
        <v>1.7627314814814814E-2</v>
      </c>
      <c r="E1474" t="s">
        <v>5095</v>
      </c>
      <c r="F1474" s="69" t="s">
        <v>5657</v>
      </c>
      <c r="K1474"/>
    </row>
    <row r="1475" spans="1:11" x14ac:dyDescent="0.2">
      <c r="A1475" s="34">
        <v>41461</v>
      </c>
      <c r="B1475" t="s">
        <v>431</v>
      </c>
      <c r="C1475" s="1" t="s">
        <v>433</v>
      </c>
      <c r="D1475" s="1">
        <v>1.6782407407407409E-2</v>
      </c>
      <c r="E1475" t="s">
        <v>5095</v>
      </c>
      <c r="F1475" s="69" t="s">
        <v>4611</v>
      </c>
      <c r="K1475"/>
    </row>
    <row r="1476" spans="1:11" x14ac:dyDescent="0.2">
      <c r="A1476" s="34">
        <v>41461</v>
      </c>
      <c r="B1476" s="53" t="s">
        <v>4977</v>
      </c>
      <c r="C1476" s="54" t="s">
        <v>3961</v>
      </c>
      <c r="D1476" s="1">
        <v>1.4502314814814815E-2</v>
      </c>
      <c r="E1476" t="s">
        <v>4452</v>
      </c>
      <c r="F1476" s="69" t="s">
        <v>876</v>
      </c>
      <c r="K1476"/>
    </row>
    <row r="1477" spans="1:11" x14ac:dyDescent="0.2">
      <c r="A1477" s="34">
        <v>41475</v>
      </c>
      <c r="B1477" t="s">
        <v>3960</v>
      </c>
      <c r="C1477" s="9" t="s">
        <v>3961</v>
      </c>
      <c r="D1477" s="1">
        <v>1.4409722222222221E-2</v>
      </c>
      <c r="E1477" t="s">
        <v>4452</v>
      </c>
      <c r="F1477" s="69" t="s">
        <v>1817</v>
      </c>
      <c r="K1477"/>
    </row>
    <row r="1478" spans="1:11" x14ac:dyDescent="0.2">
      <c r="A1478" s="34">
        <v>41461</v>
      </c>
      <c r="B1478" t="s">
        <v>3960</v>
      </c>
      <c r="C1478" s="1" t="s">
        <v>3961</v>
      </c>
      <c r="D1478" s="1">
        <v>1.4583333333333332E-2</v>
      </c>
      <c r="E1478" t="s">
        <v>4452</v>
      </c>
      <c r="F1478" s="69" t="s">
        <v>1983</v>
      </c>
      <c r="K1478"/>
    </row>
    <row r="1479" spans="1:11" x14ac:dyDescent="0.2">
      <c r="A1479" s="34">
        <v>41482</v>
      </c>
      <c r="B1479" t="s">
        <v>1847</v>
      </c>
      <c r="C1479" s="9" t="s">
        <v>3961</v>
      </c>
      <c r="D1479" s="1">
        <v>1.4699074074074074E-2</v>
      </c>
      <c r="E1479" t="s">
        <v>4452</v>
      </c>
      <c r="F1479" s="79"/>
      <c r="G1479" s="80"/>
      <c r="H1479" s="80"/>
      <c r="I1479" s="80"/>
      <c r="J1479" s="80"/>
      <c r="K1479" s="82">
        <v>0.70240000000000002</v>
      </c>
    </row>
    <row r="1480" spans="1:11" x14ac:dyDescent="0.2">
      <c r="A1480" s="34">
        <v>41468</v>
      </c>
      <c r="B1480" t="s">
        <v>3898</v>
      </c>
      <c r="C1480" s="1" t="s">
        <v>3899</v>
      </c>
      <c r="D1480" s="1">
        <v>1.4594907407407405E-2</v>
      </c>
      <c r="E1480" t="s">
        <v>4286</v>
      </c>
      <c r="F1480" s="69" t="s">
        <v>5702</v>
      </c>
      <c r="K1480"/>
    </row>
    <row r="1481" spans="1:11" x14ac:dyDescent="0.2">
      <c r="A1481" s="34">
        <v>41475</v>
      </c>
      <c r="B1481" t="s">
        <v>864</v>
      </c>
      <c r="C1481" s="9" t="s">
        <v>865</v>
      </c>
      <c r="D1481" s="1">
        <v>1.4016203703703704E-2</v>
      </c>
      <c r="E1481" t="s">
        <v>3167</v>
      </c>
      <c r="F1481" s="69" t="s">
        <v>1819</v>
      </c>
      <c r="K1481"/>
    </row>
    <row r="1482" spans="1:11" x14ac:dyDescent="0.2">
      <c r="A1482" s="34">
        <v>41475</v>
      </c>
      <c r="B1482" t="s">
        <v>3508</v>
      </c>
      <c r="C1482" s="9" t="s">
        <v>3237</v>
      </c>
      <c r="D1482" s="1">
        <v>1.9317129629629629E-2</v>
      </c>
      <c r="E1482" t="s">
        <v>5883</v>
      </c>
      <c r="F1482" s="69" t="s">
        <v>1816</v>
      </c>
      <c r="K1482"/>
    </row>
    <row r="1483" spans="1:11" x14ac:dyDescent="0.2">
      <c r="C1483" s="9"/>
      <c r="D1483" s="47"/>
      <c r="F1483" s="41"/>
      <c r="K1483"/>
    </row>
    <row r="1484" spans="1:11" x14ac:dyDescent="0.2">
      <c r="A1484" s="34"/>
      <c r="C1484" s="9"/>
      <c r="D1484" s="1"/>
      <c r="F1484" s="69"/>
      <c r="K1484"/>
    </row>
    <row r="1485" spans="1:11" x14ac:dyDescent="0.2">
      <c r="C1485" s="9"/>
      <c r="F1485" s="41"/>
      <c r="K1485"/>
    </row>
    <row r="1486" spans="1:11" x14ac:dyDescent="0.2">
      <c r="A1486" s="34"/>
      <c r="C1486" s="1"/>
      <c r="D1486" s="47"/>
      <c r="F1486" s="41"/>
      <c r="K1486"/>
    </row>
    <row r="1487" spans="1:11" x14ac:dyDescent="0.2">
      <c r="A1487" s="34"/>
      <c r="C1487" s="1"/>
      <c r="F1487" s="41"/>
      <c r="K1487"/>
    </row>
    <row r="1488" spans="1:11" x14ac:dyDescent="0.2">
      <c r="A1488" s="34">
        <v>41454</v>
      </c>
      <c r="B1488" t="s">
        <v>2478</v>
      </c>
      <c r="C1488" s="1" t="s">
        <v>2479</v>
      </c>
      <c r="D1488" s="1">
        <v>1.3263888888888889E-2</v>
      </c>
      <c r="E1488" t="s">
        <v>1214</v>
      </c>
      <c r="F1488" s="69"/>
      <c r="K1488"/>
    </row>
    <row r="1489" spans="1:11" x14ac:dyDescent="0.2">
      <c r="A1489" s="34">
        <v>41454</v>
      </c>
      <c r="B1489" t="s">
        <v>481</v>
      </c>
      <c r="C1489" s="1" t="s">
        <v>4575</v>
      </c>
      <c r="D1489" s="1">
        <v>1.462962962962963E-2</v>
      </c>
      <c r="E1489" t="s">
        <v>5095</v>
      </c>
      <c r="F1489" s="69" t="s">
        <v>876</v>
      </c>
      <c r="K1489"/>
    </row>
    <row r="1490" spans="1:11" x14ac:dyDescent="0.2">
      <c r="A1490" s="34">
        <v>41454</v>
      </c>
      <c r="B1490" t="s">
        <v>3508</v>
      </c>
      <c r="C1490" s="1" t="s">
        <v>3632</v>
      </c>
      <c r="D1490" s="1">
        <v>1.4664351851851852E-2</v>
      </c>
      <c r="E1490" t="s">
        <v>5885</v>
      </c>
      <c r="F1490" s="69"/>
      <c r="K1490"/>
    </row>
    <row r="1491" spans="1:11" x14ac:dyDescent="0.2">
      <c r="A1491" s="34">
        <v>41454</v>
      </c>
      <c r="B1491" t="s">
        <v>3960</v>
      </c>
      <c r="C1491" s="1" t="s">
        <v>3961</v>
      </c>
      <c r="D1491" s="1">
        <v>1.4756944444444446E-2</v>
      </c>
      <c r="E1491" t="s">
        <v>4452</v>
      </c>
      <c r="F1491" s="69" t="s">
        <v>1941</v>
      </c>
      <c r="K1491"/>
    </row>
    <row r="1492" spans="1:11" x14ac:dyDescent="0.2">
      <c r="A1492" s="34">
        <v>41454</v>
      </c>
      <c r="B1492" t="s">
        <v>863</v>
      </c>
      <c r="C1492" s="1" t="s">
        <v>2250</v>
      </c>
      <c r="D1492" s="1">
        <v>1.6157407407407409E-2</v>
      </c>
      <c r="E1492" t="s">
        <v>1121</v>
      </c>
      <c r="F1492" s="69" t="s">
        <v>2629</v>
      </c>
      <c r="I1492" t="s">
        <v>2078</v>
      </c>
      <c r="K1492"/>
    </row>
    <row r="1493" spans="1:11" x14ac:dyDescent="0.2">
      <c r="A1493" s="34">
        <v>41454</v>
      </c>
      <c r="B1493" t="s">
        <v>665</v>
      </c>
      <c r="C1493" s="1" t="s">
        <v>666</v>
      </c>
      <c r="D1493" s="1">
        <v>1.726851851851852E-2</v>
      </c>
      <c r="E1493" t="s">
        <v>1939</v>
      </c>
      <c r="F1493" s="69" t="s">
        <v>876</v>
      </c>
      <c r="K1493"/>
    </row>
    <row r="1494" spans="1:11" x14ac:dyDescent="0.2">
      <c r="A1494" s="34">
        <v>41454</v>
      </c>
      <c r="B1494" t="s">
        <v>1938</v>
      </c>
      <c r="C1494" s="1" t="s">
        <v>2480</v>
      </c>
      <c r="D1494" s="1">
        <v>1.7569444444444447E-2</v>
      </c>
      <c r="E1494" t="s">
        <v>1214</v>
      </c>
      <c r="F1494" s="69" t="s">
        <v>2629</v>
      </c>
      <c r="K1494"/>
    </row>
    <row r="1495" spans="1:11" x14ac:dyDescent="0.2">
      <c r="A1495" s="34">
        <v>41454</v>
      </c>
      <c r="B1495" t="s">
        <v>2822</v>
      </c>
      <c r="C1495" s="1" t="s">
        <v>2823</v>
      </c>
      <c r="D1495" s="1">
        <v>1.7592592592592594E-2</v>
      </c>
      <c r="E1495" t="s">
        <v>5544</v>
      </c>
      <c r="F1495" s="69"/>
      <c r="K1495"/>
    </row>
    <row r="1496" spans="1:11" x14ac:dyDescent="0.2">
      <c r="A1496" s="34">
        <v>41454</v>
      </c>
      <c r="B1496" t="s">
        <v>1938</v>
      </c>
      <c r="C1496" s="1" t="s">
        <v>869</v>
      </c>
      <c r="D1496" s="1">
        <v>1.90625E-2</v>
      </c>
      <c r="E1496" t="s">
        <v>5544</v>
      </c>
      <c r="F1496" s="69"/>
      <c r="K1496"/>
    </row>
    <row r="1497" spans="1:11" x14ac:dyDescent="0.2">
      <c r="A1497" s="34">
        <v>41454</v>
      </c>
      <c r="B1497" t="s">
        <v>435</v>
      </c>
      <c r="C1497" s="1" t="s">
        <v>1936</v>
      </c>
      <c r="D1497" s="1">
        <v>1.9398148148148147E-2</v>
      </c>
      <c r="E1497" t="s">
        <v>4861</v>
      </c>
      <c r="F1497" s="69"/>
      <c r="K1497"/>
    </row>
    <row r="1498" spans="1:11" x14ac:dyDescent="0.2">
      <c r="A1498" s="34">
        <v>41454</v>
      </c>
      <c r="B1498" t="s">
        <v>1794</v>
      </c>
      <c r="C1498" s="1" t="s">
        <v>1795</v>
      </c>
      <c r="D1498" s="1">
        <v>2.0706018518518519E-2</v>
      </c>
      <c r="E1498" t="s">
        <v>861</v>
      </c>
      <c r="F1498" s="69"/>
      <c r="K1498"/>
    </row>
    <row r="1499" spans="1:11" x14ac:dyDescent="0.2">
      <c r="A1499" s="34">
        <v>41454</v>
      </c>
      <c r="B1499" s="53" t="s">
        <v>4977</v>
      </c>
      <c r="C1499" s="54" t="s">
        <v>3961</v>
      </c>
      <c r="D1499" s="54">
        <v>1.4745370370370372E-2</v>
      </c>
      <c r="E1499" s="53" t="s">
        <v>4452</v>
      </c>
      <c r="F1499" s="69" t="s">
        <v>876</v>
      </c>
      <c r="K1499"/>
    </row>
    <row r="1500" spans="1:11" x14ac:dyDescent="0.2">
      <c r="A1500" s="34"/>
      <c r="C1500" s="1"/>
      <c r="D1500" s="1"/>
      <c r="F1500" s="41"/>
      <c r="K1500"/>
    </row>
    <row r="1501" spans="1:11" x14ac:dyDescent="0.2">
      <c r="A1501" s="34"/>
      <c r="C1501" s="1"/>
      <c r="F1501" s="41"/>
      <c r="K1501"/>
    </row>
    <row r="1502" spans="1:11" x14ac:dyDescent="0.2">
      <c r="A1502" s="34">
        <v>41447</v>
      </c>
      <c r="B1502" t="s">
        <v>2478</v>
      </c>
      <c r="C1502" t="s">
        <v>2479</v>
      </c>
      <c r="D1502" s="1">
        <v>1.3333333333333334E-2</v>
      </c>
      <c r="E1502" s="1" t="s">
        <v>3167</v>
      </c>
      <c r="H1502" s="41"/>
      <c r="K1502"/>
    </row>
    <row r="1503" spans="1:11" x14ac:dyDescent="0.2">
      <c r="A1503" s="34">
        <v>41447</v>
      </c>
      <c r="B1503" t="s">
        <v>864</v>
      </c>
      <c r="C1503" t="s">
        <v>865</v>
      </c>
      <c r="D1503" s="1">
        <v>1.4155092592592592E-2</v>
      </c>
      <c r="E1503" s="1" t="s">
        <v>3167</v>
      </c>
      <c r="H1503" s="41"/>
      <c r="K1503"/>
    </row>
    <row r="1504" spans="1:11" x14ac:dyDescent="0.2">
      <c r="A1504" s="34">
        <v>41447</v>
      </c>
      <c r="B1504" t="s">
        <v>2137</v>
      </c>
      <c r="C1504" t="s">
        <v>4943</v>
      </c>
      <c r="D1504" s="1">
        <v>1.4247685185185184E-2</v>
      </c>
      <c r="E1504" s="1" t="s">
        <v>5149</v>
      </c>
      <c r="F1504" t="s">
        <v>1890</v>
      </c>
      <c r="H1504" s="41"/>
      <c r="K1504"/>
    </row>
    <row r="1505" spans="1:11" x14ac:dyDescent="0.2">
      <c r="A1505" s="34">
        <v>41447</v>
      </c>
      <c r="B1505" t="s">
        <v>3898</v>
      </c>
      <c r="C1505" t="s">
        <v>3899</v>
      </c>
      <c r="D1505" s="1">
        <v>1.4583333333333332E-2</v>
      </c>
      <c r="E1505" s="1" t="s">
        <v>5186</v>
      </c>
      <c r="F1505" t="s">
        <v>1892</v>
      </c>
      <c r="H1505" s="41"/>
      <c r="K1505"/>
    </row>
    <row r="1506" spans="1:11" x14ac:dyDescent="0.2">
      <c r="A1506" s="34">
        <v>41447</v>
      </c>
      <c r="B1506" t="s">
        <v>3508</v>
      </c>
      <c r="C1506" t="s">
        <v>3632</v>
      </c>
      <c r="D1506" s="1">
        <v>1.579861111111111E-2</v>
      </c>
      <c r="E1506" s="1" t="s">
        <v>1120</v>
      </c>
      <c r="H1506" s="41"/>
      <c r="K1506"/>
    </row>
    <row r="1507" spans="1:11" x14ac:dyDescent="0.2">
      <c r="A1507" s="34">
        <v>41447</v>
      </c>
      <c r="B1507" t="s">
        <v>1349</v>
      </c>
      <c r="C1507" t="s">
        <v>3343</v>
      </c>
      <c r="D1507" s="1">
        <v>1.621527777777778E-2</v>
      </c>
      <c r="E1507" s="1" t="s">
        <v>3346</v>
      </c>
      <c r="H1507" s="41"/>
      <c r="K1507"/>
    </row>
    <row r="1508" spans="1:11" x14ac:dyDescent="0.2">
      <c r="A1508" s="34">
        <v>41447</v>
      </c>
      <c r="B1508" t="s">
        <v>4576</v>
      </c>
      <c r="C1508" t="s">
        <v>4577</v>
      </c>
      <c r="D1508" s="1">
        <v>1.695601851851852E-2</v>
      </c>
      <c r="E1508" s="1" t="s">
        <v>3346</v>
      </c>
      <c r="H1508" s="41"/>
      <c r="K1508"/>
    </row>
    <row r="1509" spans="1:11" x14ac:dyDescent="0.2">
      <c r="A1509" s="34">
        <v>41447</v>
      </c>
      <c r="B1509" t="s">
        <v>1933</v>
      </c>
      <c r="C1509" t="s">
        <v>2823</v>
      </c>
      <c r="D1509" s="1">
        <v>1.7731481481481483E-2</v>
      </c>
      <c r="E1509" s="1" t="s">
        <v>5149</v>
      </c>
      <c r="H1509" s="41"/>
      <c r="K1509"/>
    </row>
    <row r="1510" spans="1:11" x14ac:dyDescent="0.2">
      <c r="A1510" s="34">
        <v>41447</v>
      </c>
      <c r="B1510" t="s">
        <v>1934</v>
      </c>
      <c r="C1510" t="s">
        <v>666</v>
      </c>
      <c r="D1510" s="1">
        <v>1.7812499999999998E-2</v>
      </c>
      <c r="E1510" s="1" t="s">
        <v>3347</v>
      </c>
      <c r="H1510" s="41"/>
      <c r="K1510"/>
    </row>
    <row r="1511" spans="1:11" x14ac:dyDescent="0.2">
      <c r="A1511" s="34">
        <v>41447</v>
      </c>
      <c r="B1511" t="s">
        <v>868</v>
      </c>
      <c r="C1511" t="s">
        <v>2480</v>
      </c>
      <c r="D1511" s="1">
        <v>1.8263888888888889E-2</v>
      </c>
      <c r="E1511" s="1" t="s">
        <v>3167</v>
      </c>
      <c r="H1511" s="41"/>
      <c r="K1511"/>
    </row>
    <row r="1512" spans="1:11" x14ac:dyDescent="0.2">
      <c r="A1512" s="34">
        <v>41447</v>
      </c>
      <c r="B1512" t="s">
        <v>868</v>
      </c>
      <c r="C1512" t="s">
        <v>869</v>
      </c>
      <c r="D1512" s="1">
        <v>1.894675925925926E-2</v>
      </c>
      <c r="E1512" s="1" t="s">
        <v>5149</v>
      </c>
      <c r="H1512" s="41"/>
      <c r="K1512"/>
    </row>
    <row r="1513" spans="1:11" x14ac:dyDescent="0.2">
      <c r="A1513" s="34">
        <v>41447</v>
      </c>
      <c r="B1513" t="s">
        <v>4580</v>
      </c>
      <c r="C1513" t="s">
        <v>4581</v>
      </c>
      <c r="D1513" s="1">
        <v>1.894675925925926E-2</v>
      </c>
      <c r="E1513" s="1" t="s">
        <v>5947</v>
      </c>
      <c r="H1513" s="41"/>
      <c r="K1513"/>
    </row>
    <row r="1514" spans="1:11" x14ac:dyDescent="0.2">
      <c r="A1514" s="34">
        <v>41447</v>
      </c>
      <c r="B1514" t="s">
        <v>1796</v>
      </c>
      <c r="C1514" t="s">
        <v>1797</v>
      </c>
      <c r="D1514" s="1">
        <v>1.9085648148148147E-2</v>
      </c>
      <c r="E1514" s="1" t="s">
        <v>3346</v>
      </c>
      <c r="H1514" s="41"/>
      <c r="K1514"/>
    </row>
    <row r="1515" spans="1:11" x14ac:dyDescent="0.2">
      <c r="A1515" s="34">
        <v>41447</v>
      </c>
      <c r="B1515" t="s">
        <v>1794</v>
      </c>
      <c r="C1515" t="s">
        <v>1795</v>
      </c>
      <c r="D1515" s="1">
        <v>2.1076388888888891E-2</v>
      </c>
      <c r="E1515" s="1" t="s">
        <v>5149</v>
      </c>
      <c r="H1515" s="41"/>
      <c r="K1515"/>
    </row>
    <row r="1516" spans="1:11" x14ac:dyDescent="0.2">
      <c r="D1516" s="1"/>
      <c r="E1516" s="1"/>
      <c r="H1516" s="41"/>
      <c r="K1516"/>
    </row>
    <row r="1517" spans="1:11" x14ac:dyDescent="0.2">
      <c r="A1517" s="34"/>
      <c r="C1517" s="34"/>
      <c r="E1517" s="1"/>
      <c r="H1517" s="41"/>
      <c r="K1517"/>
    </row>
    <row r="1518" spans="1:11" x14ac:dyDescent="0.2">
      <c r="A1518" s="34">
        <v>41440</v>
      </c>
      <c r="B1518" t="s">
        <v>864</v>
      </c>
      <c r="C1518" t="s">
        <v>865</v>
      </c>
      <c r="D1518" s="1">
        <v>1.3854166666666666E-2</v>
      </c>
      <c r="E1518" s="1" t="s">
        <v>3167</v>
      </c>
      <c r="F1518" t="s">
        <v>2629</v>
      </c>
      <c r="H1518" t="s">
        <v>3611</v>
      </c>
      <c r="I1518" s="41"/>
      <c r="K1518"/>
    </row>
    <row r="1519" spans="1:11" x14ac:dyDescent="0.2">
      <c r="A1519" s="34">
        <v>41440</v>
      </c>
      <c r="B1519" t="s">
        <v>2137</v>
      </c>
      <c r="C1519" t="s">
        <v>4943</v>
      </c>
      <c r="D1519" s="1">
        <v>1.5150462962962963E-2</v>
      </c>
      <c r="E1519" s="1" t="s">
        <v>5149</v>
      </c>
      <c r="H1519" s="41"/>
      <c r="K1519"/>
    </row>
    <row r="1520" spans="1:11" x14ac:dyDescent="0.2">
      <c r="A1520" s="34">
        <v>41440</v>
      </c>
      <c r="B1520" t="s">
        <v>3508</v>
      </c>
      <c r="C1520" t="s">
        <v>3632</v>
      </c>
      <c r="D1520" s="1">
        <v>1.5300925925925926E-2</v>
      </c>
      <c r="E1520" s="1" t="s">
        <v>3900</v>
      </c>
      <c r="H1520" s="41"/>
      <c r="K1520"/>
    </row>
    <row r="1521" spans="1:11" x14ac:dyDescent="0.2">
      <c r="A1521" s="34">
        <v>41440</v>
      </c>
      <c r="B1521" t="s">
        <v>2478</v>
      </c>
      <c r="C1521" t="s">
        <v>2479</v>
      </c>
      <c r="D1521" s="1">
        <v>1.577546296296296E-2</v>
      </c>
      <c r="E1521" s="1" t="s">
        <v>3167</v>
      </c>
      <c r="H1521" s="41"/>
      <c r="K1521"/>
    </row>
    <row r="1522" spans="1:11" x14ac:dyDescent="0.2">
      <c r="A1522" s="34">
        <v>41440</v>
      </c>
      <c r="B1522" t="s">
        <v>863</v>
      </c>
      <c r="C1522" t="s">
        <v>2250</v>
      </c>
      <c r="D1522" s="1">
        <v>1.5891203703703703E-2</v>
      </c>
      <c r="E1522" s="1" t="s">
        <v>406</v>
      </c>
      <c r="F1522" t="s">
        <v>1743</v>
      </c>
      <c r="H1522" s="41"/>
      <c r="K1522"/>
    </row>
    <row r="1523" spans="1:11" x14ac:dyDescent="0.2">
      <c r="A1523" s="34">
        <v>41440</v>
      </c>
      <c r="B1523" t="s">
        <v>1935</v>
      </c>
      <c r="C1523" t="s">
        <v>3343</v>
      </c>
      <c r="D1523" s="1">
        <v>1.6886574074074075E-2</v>
      </c>
      <c r="E1523" s="1" t="s">
        <v>3346</v>
      </c>
      <c r="H1523" s="41"/>
      <c r="K1523"/>
    </row>
    <row r="1524" spans="1:11" x14ac:dyDescent="0.2">
      <c r="A1524" s="34">
        <v>41440</v>
      </c>
      <c r="B1524" t="s">
        <v>2822</v>
      </c>
      <c r="C1524" t="s">
        <v>2823</v>
      </c>
      <c r="D1524" s="1">
        <v>1.7685185185185182E-2</v>
      </c>
      <c r="E1524" s="1" t="s">
        <v>5149</v>
      </c>
      <c r="H1524" s="41"/>
      <c r="K1524"/>
    </row>
    <row r="1525" spans="1:11" x14ac:dyDescent="0.2">
      <c r="A1525" s="34">
        <v>41440</v>
      </c>
      <c r="B1525" t="s">
        <v>868</v>
      </c>
      <c r="C1525" t="s">
        <v>869</v>
      </c>
      <c r="D1525" s="1">
        <v>1.8981481481481481E-2</v>
      </c>
      <c r="E1525" s="1" t="s">
        <v>5149</v>
      </c>
      <c r="H1525" s="41"/>
      <c r="K1525"/>
    </row>
    <row r="1526" spans="1:11" x14ac:dyDescent="0.2">
      <c r="A1526" s="34">
        <v>41440</v>
      </c>
      <c r="B1526" t="s">
        <v>435</v>
      </c>
      <c r="C1526" t="s">
        <v>436</v>
      </c>
      <c r="D1526" s="1">
        <v>2.045138888888889E-2</v>
      </c>
      <c r="E1526" s="1" t="s">
        <v>3347</v>
      </c>
      <c r="H1526" s="41"/>
      <c r="K1526"/>
    </row>
    <row r="1527" spans="1:11" x14ac:dyDescent="0.2">
      <c r="A1527" s="34">
        <v>41440</v>
      </c>
      <c r="B1527" t="s">
        <v>2703</v>
      </c>
      <c r="C1527" t="s">
        <v>2704</v>
      </c>
      <c r="D1527" s="1">
        <v>2.1516203703703704E-2</v>
      </c>
      <c r="E1527" s="1" t="s">
        <v>3346</v>
      </c>
      <c r="H1527" s="41"/>
      <c r="K1527"/>
    </row>
    <row r="1528" spans="1:11" x14ac:dyDescent="0.2">
      <c r="A1528" s="34">
        <v>41440</v>
      </c>
      <c r="B1528" t="s">
        <v>665</v>
      </c>
      <c r="C1528" t="s">
        <v>666</v>
      </c>
      <c r="D1528" s="1" t="s">
        <v>787</v>
      </c>
      <c r="E1528" s="1" t="s">
        <v>3346</v>
      </c>
      <c r="H1528" s="41"/>
      <c r="K1528"/>
    </row>
    <row r="1529" spans="1:11" x14ac:dyDescent="0.2">
      <c r="A1529" s="34">
        <v>41440</v>
      </c>
      <c r="B1529" t="s">
        <v>1794</v>
      </c>
      <c r="C1529" t="s">
        <v>1795</v>
      </c>
      <c r="D1529" s="1" t="s">
        <v>787</v>
      </c>
      <c r="E1529" s="1" t="s">
        <v>5149</v>
      </c>
      <c r="H1529" s="41"/>
      <c r="K1529"/>
    </row>
    <row r="1530" spans="1:11" x14ac:dyDescent="0.2">
      <c r="A1530" s="34">
        <v>41440</v>
      </c>
      <c r="B1530" t="s">
        <v>4580</v>
      </c>
      <c r="C1530" t="s">
        <v>4581</v>
      </c>
      <c r="D1530" s="1" t="s">
        <v>787</v>
      </c>
      <c r="E1530" s="1" t="s">
        <v>5947</v>
      </c>
      <c r="H1530" s="41"/>
      <c r="K1530"/>
    </row>
    <row r="1531" spans="1:11" x14ac:dyDescent="0.2">
      <c r="B1531" s="1"/>
      <c r="C1531" s="1"/>
      <c r="F1531" s="41"/>
      <c r="K1531"/>
    </row>
    <row r="1532" spans="1:11" x14ac:dyDescent="0.2">
      <c r="A1532" s="34">
        <v>41433</v>
      </c>
      <c r="C1532" s="1"/>
      <c r="F1532" s="41"/>
      <c r="K1532"/>
    </row>
    <row r="1533" spans="1:11" x14ac:dyDescent="0.2">
      <c r="A1533" t="s">
        <v>627</v>
      </c>
      <c r="B1533" s="1">
        <v>1.4664351851851852E-2</v>
      </c>
      <c r="C1533" s="1" t="s">
        <v>5186</v>
      </c>
      <c r="D1533" t="s">
        <v>363</v>
      </c>
      <c r="F1533" s="41"/>
      <c r="K1533"/>
    </row>
    <row r="1534" spans="1:11" x14ac:dyDescent="0.2">
      <c r="A1534" t="s">
        <v>5882</v>
      </c>
      <c r="B1534" s="1">
        <v>1.4756944444444446E-2</v>
      </c>
      <c r="C1534" s="1" t="s">
        <v>1120</v>
      </c>
      <c r="F1534" s="41"/>
      <c r="K1534"/>
    </row>
    <row r="1535" spans="1:11" x14ac:dyDescent="0.2">
      <c r="A1535" t="s">
        <v>1270</v>
      </c>
      <c r="B1535" s="1">
        <v>1.494212962962963E-2</v>
      </c>
      <c r="C1535" s="1" t="s">
        <v>3167</v>
      </c>
      <c r="F1535" s="41"/>
      <c r="K1535"/>
    </row>
    <row r="1536" spans="1:11" x14ac:dyDescent="0.2">
      <c r="A1536" t="s">
        <v>4637</v>
      </c>
      <c r="B1536" s="1">
        <v>1.5138888888888889E-2</v>
      </c>
      <c r="C1536" s="1" t="s">
        <v>5149</v>
      </c>
      <c r="F1536" s="41"/>
      <c r="K1536"/>
    </row>
    <row r="1537" spans="1:11" x14ac:dyDescent="0.2">
      <c r="A1537" t="s">
        <v>1641</v>
      </c>
      <c r="B1537" s="1">
        <v>1.6134259259259261E-2</v>
      </c>
      <c r="C1537" s="1" t="s">
        <v>3346</v>
      </c>
      <c r="F1537" s="41"/>
      <c r="K1537"/>
    </row>
    <row r="1538" spans="1:11" x14ac:dyDescent="0.2">
      <c r="A1538" t="s">
        <v>889</v>
      </c>
      <c r="B1538" s="1">
        <v>1.7187500000000001E-2</v>
      </c>
      <c r="C1538" s="1" t="s">
        <v>5149</v>
      </c>
      <c r="D1538" t="s">
        <v>363</v>
      </c>
      <c r="F1538" s="41"/>
      <c r="K1538"/>
    </row>
    <row r="1539" spans="1:11" x14ac:dyDescent="0.2">
      <c r="A1539" t="s">
        <v>4435</v>
      </c>
      <c r="B1539" s="1">
        <v>1.7465277777777777E-2</v>
      </c>
      <c r="C1539" s="1" t="s">
        <v>3167</v>
      </c>
      <c r="F1539" s="41"/>
      <c r="K1539"/>
    </row>
    <row r="1540" spans="1:11" x14ac:dyDescent="0.2">
      <c r="A1540" t="s">
        <v>1000</v>
      </c>
      <c r="B1540" s="1">
        <v>1.8078703703703704E-2</v>
      </c>
      <c r="C1540" s="1" t="s">
        <v>5812</v>
      </c>
      <c r="F1540" s="41"/>
      <c r="K1540"/>
    </row>
    <row r="1541" spans="1:11" x14ac:dyDescent="0.2">
      <c r="A1541" t="s">
        <v>1210</v>
      </c>
      <c r="B1541" s="1">
        <v>1.8958333333333334E-2</v>
      </c>
      <c r="C1541" s="1" t="s">
        <v>5149</v>
      </c>
      <c r="F1541" s="41"/>
      <c r="K1541"/>
    </row>
    <row r="1542" spans="1:11" x14ac:dyDescent="0.2">
      <c r="A1542" t="s">
        <v>4584</v>
      </c>
      <c r="B1542" s="1">
        <v>1.8935185185185183E-2</v>
      </c>
      <c r="C1542" s="1" t="s">
        <v>3346</v>
      </c>
      <c r="F1542" s="41"/>
      <c r="K1542"/>
    </row>
    <row r="1543" spans="1:11" x14ac:dyDescent="0.2">
      <c r="A1543" t="s">
        <v>4778</v>
      </c>
      <c r="B1543" s="1">
        <v>1.9907407407407408E-2</v>
      </c>
      <c r="C1543" s="1" t="s">
        <v>5149</v>
      </c>
      <c r="D1543" t="s">
        <v>5560</v>
      </c>
      <c r="F1543" s="41"/>
      <c r="K1543"/>
    </row>
    <row r="1544" spans="1:11" x14ac:dyDescent="0.2">
      <c r="A1544" t="s">
        <v>50</v>
      </c>
      <c r="B1544" s="1">
        <v>1.3738425925925926E-2</v>
      </c>
      <c r="C1544" s="1" t="s">
        <v>1122</v>
      </c>
      <c r="F1544" s="41"/>
      <c r="K1544"/>
    </row>
    <row r="1545" spans="1:11" x14ac:dyDescent="0.2">
      <c r="A1545" s="53" t="s">
        <v>3884</v>
      </c>
      <c r="B1545" s="54">
        <v>1.6562500000000001E-2</v>
      </c>
      <c r="C1545" s="54" t="s">
        <v>4861</v>
      </c>
      <c r="F1545" s="41"/>
      <c r="K1545"/>
    </row>
    <row r="1546" spans="1:11" x14ac:dyDescent="0.2">
      <c r="A1546" s="53" t="s">
        <v>5558</v>
      </c>
      <c r="B1546" s="54">
        <v>1.6932870370370369E-2</v>
      </c>
      <c r="C1546" s="54" t="s">
        <v>5149</v>
      </c>
      <c r="F1546" s="41"/>
      <c r="K1546"/>
    </row>
    <row r="1547" spans="1:11" x14ac:dyDescent="0.2">
      <c r="C1547" s="1"/>
      <c r="F1547" s="41"/>
      <c r="K1547"/>
    </row>
    <row r="1548" spans="1:11" x14ac:dyDescent="0.2">
      <c r="A1548" s="34">
        <v>41426</v>
      </c>
      <c r="C1548" s="1"/>
      <c r="F1548" s="41"/>
      <c r="K1548"/>
    </row>
    <row r="1549" spans="1:11" x14ac:dyDescent="0.2">
      <c r="A1549" t="s">
        <v>1270</v>
      </c>
      <c r="B1549" s="1">
        <v>1.2893518518518519E-2</v>
      </c>
      <c r="C1549" s="1" t="s">
        <v>5048</v>
      </c>
      <c r="D1549" t="s">
        <v>5051</v>
      </c>
      <c r="F1549" s="41"/>
      <c r="K1549"/>
    </row>
    <row r="1550" spans="1:11" x14ac:dyDescent="0.2">
      <c r="A1550" t="s">
        <v>5882</v>
      </c>
      <c r="B1550" s="1">
        <v>1.5081018518518516E-2</v>
      </c>
      <c r="C1550" s="1" t="s">
        <v>3647</v>
      </c>
      <c r="F1550" s="41"/>
      <c r="K1550"/>
    </row>
    <row r="1551" spans="1:11" x14ac:dyDescent="0.2">
      <c r="A1551" t="s">
        <v>3216</v>
      </c>
      <c r="B1551" s="1">
        <v>1.5821759259259261E-2</v>
      </c>
      <c r="C1551" s="1" t="s">
        <v>5048</v>
      </c>
      <c r="D1551" t="s">
        <v>5050</v>
      </c>
      <c r="F1551" s="41"/>
      <c r="K1551"/>
    </row>
    <row r="1552" spans="1:11" x14ac:dyDescent="0.2">
      <c r="A1552" t="s">
        <v>4637</v>
      </c>
      <c r="B1552" s="1">
        <v>1.6203703703703703E-2</v>
      </c>
      <c r="C1552" s="1" t="s">
        <v>5149</v>
      </c>
      <c r="F1552" s="41"/>
      <c r="K1552"/>
    </row>
    <row r="1553" spans="1:11" x14ac:dyDescent="0.2">
      <c r="A1553" t="s">
        <v>889</v>
      </c>
      <c r="B1553" s="1">
        <v>1.7430555555555557E-2</v>
      </c>
      <c r="C1553" s="1" t="s">
        <v>5149</v>
      </c>
      <c r="F1553" s="41"/>
      <c r="K1553"/>
    </row>
    <row r="1554" spans="1:11" x14ac:dyDescent="0.2">
      <c r="A1554" t="s">
        <v>4435</v>
      </c>
      <c r="B1554" s="1">
        <v>1.7488425925925925E-2</v>
      </c>
      <c r="C1554" s="1" t="s">
        <v>5048</v>
      </c>
      <c r="F1554" s="41"/>
      <c r="K1554"/>
    </row>
    <row r="1555" spans="1:11" x14ac:dyDescent="0.2">
      <c r="A1555" t="s">
        <v>997</v>
      </c>
      <c r="B1555" s="1">
        <v>1.8263888888888889E-2</v>
      </c>
      <c r="C1555" s="1" t="s">
        <v>5947</v>
      </c>
      <c r="F1555" s="41"/>
      <c r="K1555"/>
    </row>
    <row r="1556" spans="1:11" x14ac:dyDescent="0.2">
      <c r="A1556" t="s">
        <v>1000</v>
      </c>
      <c r="B1556" s="1">
        <v>1.8599537037037036E-2</v>
      </c>
      <c r="C1556" s="1" t="s">
        <v>5048</v>
      </c>
      <c r="D1556" t="s">
        <v>1983</v>
      </c>
      <c r="F1556" s="41"/>
      <c r="K1556"/>
    </row>
    <row r="1557" spans="1:11" x14ac:dyDescent="0.2">
      <c r="A1557" t="s">
        <v>1210</v>
      </c>
      <c r="B1557" s="1">
        <v>1.909722222222222E-2</v>
      </c>
      <c r="C1557" s="1" t="s">
        <v>5048</v>
      </c>
      <c r="F1557" s="41"/>
      <c r="K1557"/>
    </row>
    <row r="1558" spans="1:11" x14ac:dyDescent="0.2">
      <c r="A1558" t="s">
        <v>4778</v>
      </c>
      <c r="B1558" s="1">
        <v>1.9918981481481482E-2</v>
      </c>
      <c r="C1558" s="1" t="s">
        <v>5048</v>
      </c>
      <c r="D1558" t="s">
        <v>1983</v>
      </c>
      <c r="F1558" s="41"/>
      <c r="K1558"/>
    </row>
    <row r="1559" spans="1:11" x14ac:dyDescent="0.2">
      <c r="A1559" t="s">
        <v>5957</v>
      </c>
      <c r="B1559" s="1">
        <v>2.0798611111111111E-2</v>
      </c>
      <c r="C1559" s="1" t="s">
        <v>3347</v>
      </c>
      <c r="F1559" s="41"/>
      <c r="K1559"/>
    </row>
    <row r="1560" spans="1:11" x14ac:dyDescent="0.2">
      <c r="A1560" t="s">
        <v>5047</v>
      </c>
      <c r="B1560" s="1">
        <v>2.0902777777777781E-2</v>
      </c>
      <c r="C1560" s="1" t="s">
        <v>3346</v>
      </c>
      <c r="F1560" s="41"/>
      <c r="K1560"/>
    </row>
    <row r="1561" spans="1:11" x14ac:dyDescent="0.2">
      <c r="A1561" s="53" t="s">
        <v>3884</v>
      </c>
      <c r="B1561" s="54">
        <v>1.7037037037037038E-2</v>
      </c>
      <c r="C1561" s="54" t="s">
        <v>4861</v>
      </c>
      <c r="F1561" s="41"/>
      <c r="K1561"/>
    </row>
  </sheetData>
  <phoneticPr fontId="8" type="noConversion"/>
  <hyperlinks>
    <hyperlink ref="D257" r:id="rId1" display="0@27:41" xr:uid="{00000000-0004-0000-0A00-000000000000}"/>
    <hyperlink ref="D910" r:id="rId2" display="0@:19:22" xr:uid="{00000000-0004-0000-0A00-000001000000}"/>
    <hyperlink ref="D1210" r:id="rId3" display="0@25:22" xr:uid="{00000000-0004-0000-0A00-000002000000}"/>
  </hyperlinks>
  <pageMargins left="0.75" right="0.75" top="1" bottom="1" header="0.5" footer="0.5"/>
  <pageSetup paperSize="9" orientation="portrait" verticalDpi="0" r:id="rId4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294"/>
  <sheetViews>
    <sheetView topLeftCell="A99" workbookViewId="0">
      <selection activeCell="I459" sqref="I459"/>
    </sheetView>
  </sheetViews>
  <sheetFormatPr defaultRowHeight="12.75" x14ac:dyDescent="0.2"/>
  <cols>
    <col min="1" max="1" width="17" customWidth="1"/>
    <col min="2" max="2" width="8.7109375" customWidth="1"/>
    <col min="3" max="3" width="10.140625" bestFit="1" customWidth="1"/>
    <col min="4" max="4" width="9.28515625" bestFit="1" customWidth="1"/>
    <col min="7" max="7" width="9" customWidth="1"/>
    <col min="8" max="8" width="17.85546875" customWidth="1"/>
    <col min="9" max="9" width="14.5703125" customWidth="1"/>
    <col min="10" max="10" width="9.85546875" customWidth="1"/>
    <col min="11" max="11" width="4.28515625" customWidth="1"/>
    <col min="21" max="21" width="10.140625" bestFit="1" customWidth="1"/>
  </cols>
  <sheetData>
    <row r="1" spans="1:21" x14ac:dyDescent="0.2">
      <c r="A1" t="s">
        <v>2441</v>
      </c>
      <c r="C1" t="s">
        <v>1803</v>
      </c>
      <c r="J1" s="2" t="s">
        <v>1294</v>
      </c>
      <c r="M1" s="80" t="s">
        <v>7600</v>
      </c>
      <c r="P1" s="80" t="s">
        <v>7606</v>
      </c>
    </row>
    <row r="2" spans="1:21" x14ac:dyDescent="0.2">
      <c r="A2" s="2">
        <v>2018</v>
      </c>
      <c r="B2" s="2">
        <v>2017</v>
      </c>
      <c r="C2" s="2">
        <v>2016</v>
      </c>
      <c r="D2" s="2">
        <v>2015</v>
      </c>
      <c r="E2" s="2">
        <v>2014</v>
      </c>
      <c r="F2" s="2">
        <v>2013</v>
      </c>
      <c r="G2" s="2">
        <v>2012</v>
      </c>
      <c r="H2" s="2">
        <v>2011</v>
      </c>
      <c r="J2" t="s">
        <v>998</v>
      </c>
      <c r="L2">
        <v>2010</v>
      </c>
      <c r="M2" s="80" t="s">
        <v>7601</v>
      </c>
      <c r="N2" s="80" t="s">
        <v>7602</v>
      </c>
      <c r="O2" s="80" t="s">
        <v>7603</v>
      </c>
      <c r="P2" s="80" t="s">
        <v>7604</v>
      </c>
      <c r="Q2" s="80" t="s">
        <v>7605</v>
      </c>
      <c r="R2" s="80" t="s">
        <v>7607</v>
      </c>
      <c r="S2" s="80" t="s">
        <v>5815</v>
      </c>
      <c r="T2" s="80" t="s">
        <v>7781</v>
      </c>
    </row>
    <row r="3" spans="1:21" x14ac:dyDescent="0.2">
      <c r="A3" s="334">
        <v>2.4386574074074074E-2</v>
      </c>
      <c r="B3" s="334">
        <v>2.4699074074074078E-2</v>
      </c>
      <c r="C3" s="334">
        <v>2.4386574074074074E-2</v>
      </c>
      <c r="D3" s="32">
        <v>2.1689814814814815E-2</v>
      </c>
      <c r="E3" s="32">
        <v>2.0960648148148148E-2</v>
      </c>
      <c r="F3" s="32">
        <v>2.0729166666666667E-2</v>
      </c>
      <c r="G3" s="1">
        <v>2.0729166666666667E-2</v>
      </c>
      <c r="H3" s="1">
        <v>2.210648148148148E-2</v>
      </c>
      <c r="I3" s="1"/>
      <c r="J3" s="1" t="s">
        <v>5544</v>
      </c>
      <c r="K3" s="1"/>
      <c r="L3">
        <v>2011</v>
      </c>
      <c r="M3" s="334">
        <v>4.2013888888888891E-3</v>
      </c>
      <c r="N3" s="334">
        <v>4.9537037037037041E-3</v>
      </c>
      <c r="O3" s="334">
        <v>4.9652777777777777E-3</v>
      </c>
      <c r="P3" s="334">
        <v>5.185185185185185E-3</v>
      </c>
      <c r="Q3" s="334">
        <v>5.2777777777777771E-3</v>
      </c>
      <c r="R3" s="1">
        <f>SUM(M3:Q3)</f>
        <v>2.4583333333333332E-2</v>
      </c>
      <c r="S3" s="334">
        <v>2.4872685185185189E-2</v>
      </c>
      <c r="T3" s="638">
        <v>5.04</v>
      </c>
      <c r="U3" s="34">
        <v>42945</v>
      </c>
    </row>
    <row r="4" spans="1:21" x14ac:dyDescent="0.2">
      <c r="A4" s="334">
        <v>2.4340277777777777E-2</v>
      </c>
      <c r="B4" s="334">
        <v>2.478009259259259E-2</v>
      </c>
      <c r="C4" s="334">
        <v>2.9224537037037038E-2</v>
      </c>
      <c r="D4" s="32">
        <v>2.2951388888888886E-2</v>
      </c>
      <c r="E4" s="32">
        <v>2.1030092592592597E-2</v>
      </c>
      <c r="F4" s="51">
        <v>1.982638888888889E-2</v>
      </c>
      <c r="G4" s="1">
        <v>2.0486111111111111E-2</v>
      </c>
      <c r="H4" s="1">
        <v>2.2569444444444444E-2</v>
      </c>
      <c r="I4" s="1"/>
      <c r="J4" t="s">
        <v>3800</v>
      </c>
      <c r="L4">
        <v>2013</v>
      </c>
      <c r="M4" s="334">
        <v>4.155092592592593E-3</v>
      </c>
      <c r="N4" s="334">
        <v>4.9189814814814816E-3</v>
      </c>
      <c r="O4" s="334">
        <v>5.0925925925925921E-3</v>
      </c>
      <c r="P4" s="334">
        <v>5.347222222222222E-3</v>
      </c>
      <c r="Q4" s="334">
        <v>5.4513888888888884E-3</v>
      </c>
      <c r="R4" s="1">
        <f>SUM(M4:Q4)</f>
        <v>2.4965277777777777E-2</v>
      </c>
      <c r="S4" s="334">
        <v>2.5173611111111108E-2</v>
      </c>
      <c r="T4" s="80"/>
      <c r="U4" s="34">
        <v>42924</v>
      </c>
    </row>
    <row r="5" spans="1:21" x14ac:dyDescent="0.2">
      <c r="A5" s="334">
        <v>2.4212962962962964E-2</v>
      </c>
      <c r="B5" s="334">
        <v>2.449074074074074E-2</v>
      </c>
      <c r="C5" s="32">
        <v>2.4907407407407406E-2</v>
      </c>
      <c r="D5" s="32">
        <v>2.2962962962962966E-2</v>
      </c>
      <c r="E5" s="32">
        <v>2.0671296296296295E-2</v>
      </c>
      <c r="F5" s="32">
        <v>2.056712962962963E-2</v>
      </c>
      <c r="G5" s="1">
        <v>2.0682870370370372E-2</v>
      </c>
      <c r="H5" s="1">
        <v>2.3460648148148147E-2</v>
      </c>
      <c r="I5" s="1"/>
      <c r="J5" t="s">
        <v>4004</v>
      </c>
      <c r="L5">
        <v>2013</v>
      </c>
      <c r="M5" s="1">
        <v>4.1898148148148146E-3</v>
      </c>
      <c r="N5" s="1">
        <v>5.0000000000000001E-3</v>
      </c>
      <c r="O5" s="1">
        <v>5.1736111111111115E-3</v>
      </c>
      <c r="P5" s="1">
        <v>5.5439814814814822E-3</v>
      </c>
      <c r="Q5" s="1">
        <v>5.7870370370370376E-3</v>
      </c>
      <c r="R5" s="1">
        <f>SUM(M5:Q5)</f>
        <v>2.5694444444444447E-2</v>
      </c>
      <c r="S5" s="1">
        <v>2.5914351851851855E-2</v>
      </c>
      <c r="T5" s="67"/>
    </row>
    <row r="6" spans="1:21" x14ac:dyDescent="0.2">
      <c r="A6" s="334">
        <v>2.4212962962962964E-2</v>
      </c>
      <c r="B6" s="334">
        <v>2.4583333333333332E-2</v>
      </c>
      <c r="C6" s="32">
        <v>2.2789351851851852E-2</v>
      </c>
      <c r="D6" s="3">
        <v>2.0659722222222222E-2</v>
      </c>
      <c r="E6" s="32">
        <v>2.0324074074074074E-2</v>
      </c>
      <c r="F6" s="32">
        <v>2.0509259259259258E-2</v>
      </c>
      <c r="G6" s="44">
        <v>2.0023148148148148E-2</v>
      </c>
      <c r="H6" s="1">
        <v>2.1863425925925925E-2</v>
      </c>
      <c r="I6" s="1"/>
      <c r="J6" t="s">
        <v>2431</v>
      </c>
      <c r="L6">
        <v>2014</v>
      </c>
      <c r="M6" s="1">
        <v>4.5254629629629629E-3</v>
      </c>
      <c r="N6" s="1">
        <v>5.0115740740740737E-3</v>
      </c>
      <c r="O6" s="1">
        <v>5.1504629629629635E-3</v>
      </c>
      <c r="P6" s="1">
        <v>5.347222222222222E-3</v>
      </c>
      <c r="Q6" s="1">
        <v>5.5324074074074069E-3</v>
      </c>
      <c r="R6" s="1">
        <f t="shared" ref="R6:R13" si="0">SUM(M6:Q6)</f>
        <v>2.5567129629629627E-2</v>
      </c>
      <c r="S6" s="1">
        <v>2.5902777777777775E-2</v>
      </c>
      <c r="T6" s="67"/>
    </row>
    <row r="7" spans="1:21" x14ac:dyDescent="0.2">
      <c r="A7" s="334">
        <v>2.480324074074074E-2</v>
      </c>
      <c r="B7" s="334">
        <v>2.4016203703703706E-2</v>
      </c>
      <c r="C7" s="32">
        <v>2.326388888888889E-2</v>
      </c>
      <c r="D7" s="32">
        <v>2.0682870370370372E-2</v>
      </c>
      <c r="E7" s="32">
        <v>2.0555555555555556E-2</v>
      </c>
      <c r="F7" s="32">
        <v>2.0243055555555552E-2</v>
      </c>
      <c r="G7" s="1">
        <v>2.0150462962962964E-2</v>
      </c>
      <c r="H7" s="1">
        <v>2.3553240740740739E-2</v>
      </c>
      <c r="I7" s="1"/>
      <c r="J7" t="s">
        <v>1401</v>
      </c>
      <c r="L7">
        <v>2014</v>
      </c>
      <c r="M7" s="1">
        <v>4.2708333333333339E-3</v>
      </c>
      <c r="N7" s="1">
        <v>5.115740740740741E-3</v>
      </c>
      <c r="O7" s="1">
        <v>5.3240740740740748E-3</v>
      </c>
      <c r="P7" s="1">
        <v>5.6249999999999989E-3</v>
      </c>
      <c r="Q7" s="1">
        <v>5.4513888888888884E-3</v>
      </c>
      <c r="R7" s="1">
        <f t="shared" si="0"/>
        <v>2.5787037037037035E-2</v>
      </c>
      <c r="S7" s="1">
        <v>2.6041666666666668E-2</v>
      </c>
      <c r="T7" s="67"/>
    </row>
    <row r="8" spans="1:21" x14ac:dyDescent="0.2">
      <c r="A8" s="334">
        <v>2.4988425925925928E-2</v>
      </c>
      <c r="B8" s="950">
        <v>2.3958333333333331E-2</v>
      </c>
      <c r="C8" s="32">
        <v>2.2847222222222224E-2</v>
      </c>
      <c r="D8" s="32">
        <v>2.101851851851852E-2</v>
      </c>
      <c r="E8" s="32">
        <v>2.0694444444444446E-2</v>
      </c>
      <c r="F8" s="32">
        <v>2.0671296296296295E-2</v>
      </c>
      <c r="G8" s="1">
        <v>2.045138888888889E-2</v>
      </c>
      <c r="H8" s="1">
        <v>2.207175925925926E-2</v>
      </c>
      <c r="I8" s="1"/>
      <c r="J8" t="s">
        <v>5198</v>
      </c>
      <c r="L8">
        <v>2014</v>
      </c>
      <c r="M8" s="1">
        <v>4.2939814814814811E-3</v>
      </c>
      <c r="N8" s="1">
        <v>5.0694444444444441E-3</v>
      </c>
      <c r="O8" s="1">
        <v>5.0694444444444441E-3</v>
      </c>
      <c r="P8" s="1">
        <v>5.347222222222222E-3</v>
      </c>
      <c r="Q8" s="1">
        <v>5.4745370370370373E-3</v>
      </c>
      <c r="R8" s="1">
        <f t="shared" si="0"/>
        <v>2.525462962962963E-2</v>
      </c>
      <c r="S8" s="1">
        <v>2.5439814814814814E-2</v>
      </c>
      <c r="T8" s="67"/>
    </row>
    <row r="9" spans="1:21" x14ac:dyDescent="0.2">
      <c r="A9" s="1">
        <v>2.5578703703703704E-2</v>
      </c>
      <c r="B9" s="950">
        <v>2.3750000000000004E-2</v>
      </c>
      <c r="C9" s="32">
        <v>2.476851851851852E-2</v>
      </c>
      <c r="D9" s="32">
        <v>2.1203703703703707E-2</v>
      </c>
      <c r="E9" s="32">
        <v>2.0428240740740743E-2</v>
      </c>
      <c r="F9" s="51">
        <v>1.9907407407407408E-2</v>
      </c>
      <c r="G9" s="1">
        <v>2.0694444444444446E-2</v>
      </c>
      <c r="H9" s="1">
        <v>2.2187499999999999E-2</v>
      </c>
      <c r="I9" s="1"/>
      <c r="J9" t="s">
        <v>9620</v>
      </c>
      <c r="L9">
        <v>2018</v>
      </c>
      <c r="M9" s="1">
        <v>4.1898148148148146E-3</v>
      </c>
      <c r="N9" s="1">
        <v>4.7685185185185183E-3</v>
      </c>
      <c r="O9" s="1">
        <v>4.8958333333333328E-3</v>
      </c>
      <c r="P9" s="1">
        <v>5.1041666666666666E-3</v>
      </c>
      <c r="Q9" s="1">
        <v>5.37037037037037E-3</v>
      </c>
      <c r="R9" s="1">
        <f t="shared" si="0"/>
        <v>2.43287037037037E-2</v>
      </c>
      <c r="S9" s="1">
        <v>2.4594907407407409E-2</v>
      </c>
      <c r="T9" s="638"/>
    </row>
    <row r="10" spans="1:21" x14ac:dyDescent="0.2">
      <c r="A10" s="1">
        <v>2.5428240740740741E-2</v>
      </c>
      <c r="B10" s="1069">
        <v>2.344907407407407E-2</v>
      </c>
      <c r="C10" s="32">
        <v>2.2569444444444444E-2</v>
      </c>
      <c r="D10" s="174">
        <v>2.1840277777777778E-2</v>
      </c>
      <c r="E10" s="32">
        <v>2.0625000000000001E-2</v>
      </c>
      <c r="F10" s="51">
        <v>1.9988425925925927E-2</v>
      </c>
      <c r="G10" s="1">
        <v>2.0891203703703703E-2</v>
      </c>
      <c r="H10" s="1"/>
      <c r="I10" s="1"/>
      <c r="M10" s="1">
        <v>4.5254629629629629E-3</v>
      </c>
      <c r="N10" s="1">
        <v>4.9305555555555552E-3</v>
      </c>
      <c r="O10" s="1">
        <v>5.0231481481481481E-3</v>
      </c>
      <c r="P10" s="1">
        <v>5.185185185185185E-3</v>
      </c>
      <c r="Q10" s="1">
        <v>5.4050925925925924E-3</v>
      </c>
      <c r="R10" s="1">
        <f t="shared" si="0"/>
        <v>2.5069444444444443E-2</v>
      </c>
      <c r="S10" s="1">
        <v>2.5405092592592594E-2</v>
      </c>
      <c r="T10" s="67">
        <v>5.0599999999999996</v>
      </c>
    </row>
    <row r="11" spans="1:21" x14ac:dyDescent="0.2">
      <c r="A11" s="1">
        <v>2.4837962962962964E-2</v>
      </c>
      <c r="B11" s="950">
        <v>2.4097222222222225E-2</v>
      </c>
      <c r="C11" s="484">
        <v>2.2743055555555555E-2</v>
      </c>
      <c r="D11" s="32">
        <v>2.1504629629629627E-2</v>
      </c>
      <c r="E11" s="32">
        <v>2.1203703703703707E-2</v>
      </c>
      <c r="F11" s="71">
        <v>1.9710648148148147E-2</v>
      </c>
      <c r="G11" s="43">
        <v>1.9490740740740743E-2</v>
      </c>
      <c r="H11" s="1"/>
      <c r="I11" s="1"/>
      <c r="M11" s="1">
        <v>4.1319444444444442E-3</v>
      </c>
      <c r="N11" s="1">
        <v>5.0115740740740737E-3</v>
      </c>
      <c r="O11" s="1">
        <v>5.0000000000000001E-3</v>
      </c>
      <c r="P11" s="1">
        <v>5.2546296296296299E-3</v>
      </c>
      <c r="Q11" s="1">
        <v>5.4398148148148149E-3</v>
      </c>
      <c r="R11" s="1">
        <f t="shared" si="0"/>
        <v>2.4837962962962961E-2</v>
      </c>
      <c r="S11" s="1">
        <v>2.5069444444444446E-2</v>
      </c>
      <c r="T11" s="67">
        <v>5.04</v>
      </c>
    </row>
    <row r="12" spans="1:21" x14ac:dyDescent="0.2">
      <c r="A12" s="1">
        <v>2.5520833333333336E-2</v>
      </c>
      <c r="B12" s="950">
        <v>2.4872685185185189E-2</v>
      </c>
      <c r="C12" s="3">
        <v>2.1967592592592594E-2</v>
      </c>
      <c r="D12" s="32">
        <v>2.1134259259259259E-2</v>
      </c>
      <c r="E12" s="174">
        <v>2.1030092592592597E-2</v>
      </c>
      <c r="F12" s="32">
        <v>2.1076388888888891E-2</v>
      </c>
      <c r="G12" s="44">
        <v>1.9895833333333331E-2</v>
      </c>
      <c r="H12" s="1"/>
      <c r="I12" s="1"/>
      <c r="M12" s="1">
        <v>4.0972222222222226E-3</v>
      </c>
      <c r="N12" s="1">
        <v>4.8958333333333328E-3</v>
      </c>
      <c r="O12" s="1">
        <v>4.9421296296296288E-3</v>
      </c>
      <c r="P12" s="1">
        <v>5.2662037037037035E-3</v>
      </c>
      <c r="Q12" s="1">
        <v>5.3009259259259251E-3</v>
      </c>
      <c r="R12" s="1">
        <f t="shared" si="0"/>
        <v>2.4502314814814814E-2</v>
      </c>
      <c r="S12" s="1">
        <v>2.4756944444444443E-2</v>
      </c>
      <c r="T12" s="67">
        <v>5.05</v>
      </c>
    </row>
    <row r="13" spans="1:21" x14ac:dyDescent="0.2">
      <c r="A13" s="1">
        <v>2.5706018518518517E-2</v>
      </c>
      <c r="B13" s="950">
        <v>2.5173611111111108E-2</v>
      </c>
      <c r="C13" s="32">
        <v>2.2361111111111113E-2</v>
      </c>
      <c r="D13" s="32">
        <v>2.1446759259259259E-2</v>
      </c>
      <c r="E13" s="3">
        <v>2.013888888888889E-2</v>
      </c>
      <c r="F13" s="51">
        <v>1.9907407407407408E-2</v>
      </c>
      <c r="G13" s="1">
        <v>2.0416666666666666E-2</v>
      </c>
      <c r="H13" s="1"/>
      <c r="I13" s="1"/>
      <c r="M13" s="114">
        <v>4.340277777777778E-3</v>
      </c>
      <c r="N13" s="1">
        <v>5.0000000000000001E-3</v>
      </c>
      <c r="O13" s="1">
        <v>5.1041666666666666E-3</v>
      </c>
      <c r="P13" s="1">
        <v>5.3356481481481484E-3</v>
      </c>
      <c r="Q13" s="1">
        <v>5.3240740740740748E-3</v>
      </c>
      <c r="R13" s="1">
        <f t="shared" si="0"/>
        <v>2.5104166666666667E-2</v>
      </c>
      <c r="S13" s="1">
        <v>2.5347222222222219E-2</v>
      </c>
      <c r="T13" s="67">
        <v>5.04</v>
      </c>
    </row>
    <row r="14" spans="1:21" x14ac:dyDescent="0.2">
      <c r="A14" s="1">
        <v>2.5613425925925925E-2</v>
      </c>
      <c r="B14" s="950">
        <v>2.5960648148148149E-2</v>
      </c>
      <c r="C14" s="32">
        <v>2.2175925925925929E-2</v>
      </c>
      <c r="D14" s="1">
        <v>2.2175925925925929E-2</v>
      </c>
      <c r="E14" s="3">
        <v>2.013888888888889E-2</v>
      </c>
      <c r="F14" s="32">
        <v>2.0196759259259258E-2</v>
      </c>
      <c r="G14" s="44">
        <v>1.9930555555555556E-2</v>
      </c>
      <c r="H14" s="1"/>
      <c r="I14" s="1"/>
      <c r="M14" s="657"/>
      <c r="N14" s="1">
        <f>M12+N12</f>
        <v>8.9930555555555562E-3</v>
      </c>
      <c r="O14" s="1">
        <f t="shared" ref="O14:Q15" si="1">N14+O12</f>
        <v>1.3935185185185186E-2</v>
      </c>
      <c r="P14" s="1">
        <f t="shared" si="1"/>
        <v>1.9201388888888889E-2</v>
      </c>
      <c r="Q14" s="1">
        <f t="shared" si="1"/>
        <v>2.4502314814814814E-2</v>
      </c>
      <c r="R14" s="1"/>
      <c r="S14" s="1"/>
    </row>
    <row r="15" spans="1:21" x14ac:dyDescent="0.2">
      <c r="A15" s="1">
        <v>2.5115740740740741E-2</v>
      </c>
      <c r="B15" s="950">
        <v>2.5358796296296296E-2</v>
      </c>
      <c r="C15" s="32">
        <v>2.2152777777777775E-2</v>
      </c>
      <c r="D15" s="1">
        <v>2.146990740740741E-2</v>
      </c>
      <c r="E15" s="32">
        <v>2.0625000000000001E-2</v>
      </c>
      <c r="F15" s="32">
        <v>2.0196759259259258E-2</v>
      </c>
      <c r="G15" s="44">
        <v>1.9907407407407408E-2</v>
      </c>
      <c r="H15" s="1"/>
      <c r="I15" s="1"/>
      <c r="M15" s="1"/>
      <c r="N15" s="1">
        <f>M13+N13</f>
        <v>9.3402777777777772E-3</v>
      </c>
      <c r="O15" s="1">
        <f t="shared" si="1"/>
        <v>1.4444444444444444E-2</v>
      </c>
      <c r="P15" s="1">
        <f t="shared" si="1"/>
        <v>1.9780092592592592E-2</v>
      </c>
      <c r="Q15" s="1">
        <f t="shared" si="1"/>
        <v>2.5104166666666667E-2</v>
      </c>
      <c r="R15" s="1"/>
      <c r="S15" s="1"/>
    </row>
    <row r="16" spans="1:21" x14ac:dyDescent="0.2">
      <c r="A16" s="1"/>
      <c r="B16" s="950">
        <v>2.4756944444444443E-2</v>
      </c>
      <c r="C16" s="483">
        <v>3.0949074074074077E-2</v>
      </c>
      <c r="D16" s="1">
        <v>2.3032407407407404E-2</v>
      </c>
      <c r="E16" s="32">
        <v>2.071759259259259E-2</v>
      </c>
      <c r="F16" s="51">
        <v>1.9988425925925927E-2</v>
      </c>
      <c r="G16" s="44">
        <v>1.9988425925925927E-2</v>
      </c>
      <c r="H16" s="1"/>
      <c r="I16" s="1"/>
      <c r="M16" s="1"/>
      <c r="N16" s="1">
        <f>N15-N14</f>
        <v>3.4722222222222099E-4</v>
      </c>
      <c r="O16" s="1">
        <f>O15-O14</f>
        <v>5.0925925925925791E-4</v>
      </c>
      <c r="P16" s="1">
        <f>P15-P14</f>
        <v>5.787037037037028E-4</v>
      </c>
      <c r="Q16" s="1">
        <f>Q15-Q14</f>
        <v>6.0185185185185341E-4</v>
      </c>
      <c r="R16" s="1"/>
      <c r="S16" s="1"/>
    </row>
    <row r="17" spans="1:21" x14ac:dyDescent="0.2">
      <c r="A17" s="1"/>
      <c r="B17" s="950">
        <v>2.5069444444444446E-2</v>
      </c>
      <c r="C17" s="1">
        <v>2.2523148148148143E-2</v>
      </c>
      <c r="D17" s="1"/>
      <c r="E17" s="1"/>
      <c r="F17" s="32">
        <v>2.0821759259259259E-2</v>
      </c>
      <c r="G17" s="1">
        <v>2.0335648148148148E-2</v>
      </c>
      <c r="H17" s="1"/>
      <c r="I17" s="1"/>
      <c r="M17" s="1"/>
      <c r="N17" s="1"/>
      <c r="O17" s="1"/>
      <c r="P17" s="1"/>
      <c r="Q17" s="1"/>
      <c r="R17" s="1"/>
      <c r="S17" s="1"/>
    </row>
    <row r="18" spans="1:21" x14ac:dyDescent="0.2">
      <c r="A18" s="1"/>
      <c r="B18" s="950">
        <v>2.5405092592592594E-2</v>
      </c>
      <c r="C18" s="1"/>
      <c r="D18" s="1"/>
      <c r="E18" s="1"/>
      <c r="F18" s="51">
        <v>2.0034722222222221E-2</v>
      </c>
      <c r="G18" s="1">
        <v>2.0069444444444442E-2</v>
      </c>
      <c r="H18" s="1"/>
      <c r="I18" s="1"/>
      <c r="M18" s="1">
        <v>4.1319444444444442E-3</v>
      </c>
      <c r="N18" s="1">
        <v>4.7106481481481478E-3</v>
      </c>
      <c r="O18" s="1">
        <v>4.6412037037037038E-3</v>
      </c>
      <c r="P18" s="1">
        <v>4.8842592592592592E-3</v>
      </c>
      <c r="Q18" s="1">
        <v>4.9537037037037041E-3</v>
      </c>
      <c r="R18" s="1"/>
      <c r="S18" s="1"/>
      <c r="T18" s="1"/>
      <c r="U18" s="34">
        <v>42994</v>
      </c>
    </row>
    <row r="19" spans="1:21" x14ac:dyDescent="0.2">
      <c r="A19" s="1"/>
      <c r="B19" s="950">
        <v>2.4594907407407409E-2</v>
      </c>
      <c r="C19" s="1"/>
      <c r="D19" s="1"/>
      <c r="E19" s="1"/>
      <c r="F19" s="1">
        <v>2.0381944444444446E-2</v>
      </c>
      <c r="G19" s="1">
        <v>2.028935185185185E-2</v>
      </c>
      <c r="H19" s="1"/>
      <c r="I19" s="1"/>
      <c r="M19" s="1">
        <v>4.1319444444444442E-3</v>
      </c>
      <c r="N19" s="1">
        <f>M19+N18</f>
        <v>8.8425925925925929E-3</v>
      </c>
      <c r="O19" s="1">
        <f t="shared" ref="O19:Q19" si="2">N19+O18</f>
        <v>1.3483796296296296E-2</v>
      </c>
      <c r="P19" s="1">
        <f t="shared" si="2"/>
        <v>1.8368055555555554E-2</v>
      </c>
      <c r="Q19" s="1">
        <f t="shared" si="2"/>
        <v>2.3321759259259257E-2</v>
      </c>
      <c r="R19" s="1"/>
      <c r="S19" s="1">
        <v>2.344907407407407E-2</v>
      </c>
    </row>
    <row r="20" spans="1:21" x14ac:dyDescent="0.2">
      <c r="A20" s="1"/>
      <c r="B20" s="950">
        <v>2.5439814814814814E-2</v>
      </c>
      <c r="C20" s="1"/>
      <c r="D20" s="1"/>
      <c r="E20" s="1"/>
      <c r="F20" s="1">
        <v>2.1493055555555557E-2</v>
      </c>
      <c r="G20" s="1">
        <v>2.0335648148148148E-2</v>
      </c>
      <c r="H20" s="1"/>
      <c r="I20" s="1"/>
      <c r="M20" s="1"/>
      <c r="N20" s="1"/>
      <c r="O20" s="1"/>
      <c r="P20" s="1"/>
      <c r="Q20" s="1"/>
      <c r="R20" s="1"/>
      <c r="S20" s="1"/>
    </row>
    <row r="21" spans="1:21" x14ac:dyDescent="0.2">
      <c r="A21" s="1"/>
      <c r="B21" s="950">
        <v>2.6041666666666668E-2</v>
      </c>
      <c r="C21" s="1"/>
      <c r="D21" s="1"/>
      <c r="E21" s="1"/>
      <c r="F21" s="1"/>
      <c r="G21" s="1">
        <v>2.0671296296296295E-2</v>
      </c>
      <c r="H21" s="1"/>
      <c r="I21" s="1"/>
      <c r="M21" s="1">
        <v>4.0277777777777777E-3</v>
      </c>
      <c r="N21" s="1">
        <v>4.7569444444444447E-3</v>
      </c>
      <c r="O21" s="1">
        <v>4.8032407407407407E-3</v>
      </c>
      <c r="P21" s="1">
        <v>4.9884259259259265E-3</v>
      </c>
      <c r="Q21" s="1">
        <v>5.0000000000000001E-3</v>
      </c>
      <c r="R21" s="1"/>
      <c r="S21" s="1">
        <v>2.3750000000000004E-2</v>
      </c>
      <c r="U21" s="34">
        <v>43015</v>
      </c>
    </row>
    <row r="22" spans="1:21" x14ac:dyDescent="0.2">
      <c r="A22" s="1"/>
      <c r="B22" s="1070">
        <v>2.5902777777777775E-2</v>
      </c>
      <c r="C22" s="1"/>
      <c r="D22" s="1"/>
      <c r="E22" s="1"/>
      <c r="F22" s="1"/>
      <c r="G22" s="1">
        <v>2.0370370370370369E-2</v>
      </c>
      <c r="H22" s="1"/>
      <c r="I22" s="1"/>
      <c r="M22" s="1">
        <v>4.0277777777777777E-3</v>
      </c>
      <c r="N22" s="1">
        <f>M22+N21</f>
        <v>8.7847222222222215E-3</v>
      </c>
      <c r="O22" s="1">
        <f t="shared" ref="O22:Q22" si="3">N22+O21</f>
        <v>1.3587962962962961E-2</v>
      </c>
      <c r="P22" s="1">
        <f t="shared" si="3"/>
        <v>1.8576388888888889E-2</v>
      </c>
      <c r="Q22" s="1">
        <f t="shared" si="3"/>
        <v>2.357638888888889E-2</v>
      </c>
      <c r="R22" s="1"/>
      <c r="S22" s="1"/>
    </row>
    <row r="23" spans="1:21" x14ac:dyDescent="0.2">
      <c r="A23" s="9">
        <f>COUNT(A3:A20)</f>
        <v>13</v>
      </c>
      <c r="B23" s="1070">
        <v>3.5983796296296298E-2</v>
      </c>
      <c r="C23" s="1"/>
      <c r="D23" s="1"/>
      <c r="E23" s="1"/>
      <c r="F23" s="1"/>
      <c r="G23" s="1">
        <v>2.0405092592592593E-2</v>
      </c>
      <c r="H23" s="1"/>
      <c r="I23" s="1"/>
      <c r="M23" s="1"/>
      <c r="N23" s="1"/>
      <c r="O23" s="1"/>
      <c r="P23" s="1"/>
      <c r="Q23" s="1"/>
      <c r="R23" s="1"/>
      <c r="S23" s="1"/>
    </row>
    <row r="24" spans="1:21" x14ac:dyDescent="0.2">
      <c r="A24" s="47">
        <f>A25/A23</f>
        <v>2.4980413105413102E-2</v>
      </c>
      <c r="B24" s="1070">
        <v>2.5914351851851855E-2</v>
      </c>
      <c r="C24" s="1"/>
      <c r="D24" s="1"/>
      <c r="E24" s="1"/>
      <c r="F24" s="1"/>
      <c r="G24" s="1">
        <v>2.0393518518518519E-2</v>
      </c>
      <c r="H24" s="1"/>
      <c r="I24" s="1"/>
      <c r="M24" s="1">
        <v>4.1666666666666666E-3</v>
      </c>
      <c r="N24" s="1">
        <v>4.7337962962962958E-3</v>
      </c>
      <c r="O24" s="1">
        <v>4.7569444444444447E-3</v>
      </c>
      <c r="P24" s="1">
        <v>4.8958333333333328E-3</v>
      </c>
      <c r="Q24" s="1">
        <v>5.2199074074074066E-3</v>
      </c>
      <c r="R24" s="1"/>
      <c r="S24" s="1"/>
      <c r="U24" s="34">
        <v>43036</v>
      </c>
    </row>
    <row r="25" spans="1:21" x14ac:dyDescent="0.2">
      <c r="A25" s="47">
        <f>SUM(A3:A22)</f>
        <v>0.32474537037037032</v>
      </c>
      <c r="C25" s="1"/>
      <c r="D25" s="1"/>
      <c r="E25" s="1"/>
      <c r="F25" s="1"/>
      <c r="G25" s="1">
        <v>2.0578703703703703E-2</v>
      </c>
      <c r="H25" s="1"/>
      <c r="I25" s="1"/>
      <c r="M25" s="1"/>
      <c r="N25" s="1">
        <f>M24+N24</f>
        <v>8.9004629629629625E-3</v>
      </c>
      <c r="O25" s="1">
        <f t="shared" ref="O25" si="4">N25+O24</f>
        <v>1.3657407407407406E-2</v>
      </c>
      <c r="P25" s="1">
        <f t="shared" ref="P25" si="5">O25+P24</f>
        <v>1.8553240740740738E-2</v>
      </c>
      <c r="Q25" s="1">
        <f t="shared" ref="Q25" si="6">P25+Q24</f>
        <v>2.3773148148148144E-2</v>
      </c>
      <c r="R25" s="1"/>
      <c r="S25" s="1">
        <v>2.3958333333333331E-2</v>
      </c>
    </row>
    <row r="26" spans="1:21" x14ac:dyDescent="0.2">
      <c r="C26" s="1"/>
      <c r="D26" s="1"/>
      <c r="E26" s="1"/>
      <c r="F26" s="1"/>
      <c r="G26" s="1">
        <v>2.0625000000000001E-2</v>
      </c>
      <c r="H26" s="1"/>
      <c r="I26" s="1"/>
      <c r="M26" s="1"/>
      <c r="N26" s="1"/>
      <c r="O26" s="1"/>
      <c r="P26" s="1"/>
      <c r="Q26" s="1"/>
      <c r="R26" s="1"/>
      <c r="S26" s="1"/>
    </row>
    <row r="27" spans="1:21" x14ac:dyDescent="0.2">
      <c r="C27" s="1"/>
      <c r="D27" s="1"/>
      <c r="E27" s="1"/>
      <c r="F27" s="1"/>
      <c r="G27" s="1">
        <v>2.1157407407407406E-2</v>
      </c>
      <c r="H27" s="1"/>
      <c r="I27" s="1"/>
      <c r="M27" s="1">
        <v>4.409722222222222E-3</v>
      </c>
      <c r="N27" s="1">
        <v>4.6990740740740743E-3</v>
      </c>
      <c r="O27" s="1"/>
      <c r="P27" s="1"/>
      <c r="Q27" s="1"/>
      <c r="R27" s="1"/>
      <c r="S27" s="1"/>
    </row>
    <row r="28" spans="1:21" x14ac:dyDescent="0.2">
      <c r="C28" s="1"/>
      <c r="D28" s="1"/>
      <c r="E28" s="1"/>
      <c r="F28" s="1"/>
      <c r="G28" s="1">
        <v>2.1365740740740741E-2</v>
      </c>
      <c r="H28" s="1"/>
      <c r="I28" s="1"/>
      <c r="M28" s="47">
        <v>4.5138888888888893E-3</v>
      </c>
      <c r="N28" s="47">
        <v>4.7569444444444447E-3</v>
      </c>
      <c r="O28" s="47">
        <v>5.0694444444444441E-3</v>
      </c>
      <c r="P28" s="47">
        <v>5.0000000000000001E-3</v>
      </c>
      <c r="Q28" s="47">
        <v>5.162037037037037E-3</v>
      </c>
      <c r="R28" s="35">
        <f>SUM(M28:Q28)</f>
        <v>2.4502314814814817E-2</v>
      </c>
      <c r="S28" s="47">
        <v>2.478009259259259E-2</v>
      </c>
      <c r="U28" s="34">
        <v>43085</v>
      </c>
    </row>
    <row r="29" spans="1:21" x14ac:dyDescent="0.2">
      <c r="C29" s="1"/>
      <c r="D29" s="1"/>
      <c r="E29" s="1"/>
      <c r="F29" s="1"/>
      <c r="G29" s="1">
        <v>2.0763888888888887E-2</v>
      </c>
      <c r="H29" s="1"/>
      <c r="I29" s="1"/>
      <c r="N29" s="47">
        <v>9.2476851851851852E-3</v>
      </c>
      <c r="O29" s="47">
        <v>1.4386574074074072E-2</v>
      </c>
      <c r="P29" s="47">
        <v>1.4386574074074072E-2</v>
      </c>
      <c r="Q29" s="47">
        <v>1.9363425925925926E-2</v>
      </c>
      <c r="R29" s="47">
        <v>2.4548611111111115E-2</v>
      </c>
    </row>
    <row r="30" spans="1:21" x14ac:dyDescent="0.2">
      <c r="C30" s="1"/>
      <c r="D30" s="1"/>
      <c r="E30" s="1"/>
      <c r="F30" s="1"/>
      <c r="G30" s="1">
        <v>2.0960648148148148E-2</v>
      </c>
      <c r="H30" s="1"/>
      <c r="I30" s="1"/>
      <c r="M30" s="47">
        <v>4.5601851851851853E-3</v>
      </c>
      <c r="U30" s="34">
        <v>43099</v>
      </c>
    </row>
    <row r="31" spans="1:21" x14ac:dyDescent="0.2">
      <c r="C31" s="1"/>
      <c r="D31" s="1"/>
      <c r="E31" s="1"/>
      <c r="F31" s="1"/>
      <c r="G31" s="1">
        <v>2.1562499999999998E-2</v>
      </c>
      <c r="H31" s="1"/>
      <c r="I31" s="1"/>
      <c r="M31" s="47">
        <v>4.409722222222222E-3</v>
      </c>
      <c r="N31" s="47">
        <v>9.2013888888888892E-3</v>
      </c>
      <c r="O31" s="47">
        <v>1.4386574074074072E-2</v>
      </c>
      <c r="P31" s="47">
        <v>1.9432870370370371E-2</v>
      </c>
    </row>
    <row r="32" spans="1:21" x14ac:dyDescent="0.2">
      <c r="C32" s="1"/>
      <c r="E32" s="1"/>
      <c r="F32" s="1"/>
      <c r="G32" s="1">
        <v>2.1284722222222222E-2</v>
      </c>
      <c r="H32" s="1"/>
      <c r="I32" s="1"/>
    </row>
    <row r="33" spans="1:15" x14ac:dyDescent="0.2">
      <c r="A33" t="s">
        <v>862</v>
      </c>
      <c r="C33" s="1"/>
      <c r="E33" s="1"/>
      <c r="F33" s="1"/>
      <c r="G33" s="1">
        <v>2.1435185185185186E-2</v>
      </c>
      <c r="H33" s="1"/>
      <c r="I33" s="1"/>
    </row>
    <row r="34" spans="1:15" x14ac:dyDescent="0.2">
      <c r="A34" s="2" t="s">
        <v>2442</v>
      </c>
      <c r="B34" s="183">
        <f>COUNT(B3:B33)</f>
        <v>22</v>
      </c>
      <c r="C34" s="183">
        <f>COUNT(C3:C33)</f>
        <v>15</v>
      </c>
      <c r="D34" s="183">
        <f t="shared" ref="D34:H34" si="7">COUNT(D3:D33)</f>
        <v>14</v>
      </c>
      <c r="E34" s="183">
        <f t="shared" si="7"/>
        <v>14</v>
      </c>
      <c r="F34" s="183">
        <f t="shared" si="7"/>
        <v>18</v>
      </c>
      <c r="G34" s="183">
        <f t="shared" si="7"/>
        <v>31</v>
      </c>
      <c r="H34" s="183">
        <f t="shared" si="7"/>
        <v>7</v>
      </c>
      <c r="I34" s="183">
        <f>SUM(B34:H34)+A23</f>
        <v>134</v>
      </c>
    </row>
    <row r="35" spans="1:15" x14ac:dyDescent="0.2">
      <c r="B35" s="44">
        <f>SUM(B3:B33)/B34</f>
        <v>2.5377209595959595E-2</v>
      </c>
      <c r="C35" s="44">
        <f>SUM(C3:C33)/C34</f>
        <v>2.3975308641975314E-2</v>
      </c>
      <c r="D35" s="44">
        <f t="shared" ref="D35:H35" si="8">SUM(D3:D33)/D34</f>
        <v>2.1698082010582011E-2</v>
      </c>
      <c r="E35" s="44">
        <f t="shared" si="8"/>
        <v>2.0653108465608468E-2</v>
      </c>
      <c r="F35" s="44">
        <f t="shared" si="8"/>
        <v>2.0347222222222225E-2</v>
      </c>
      <c r="G35" s="44">
        <f t="shared" si="8"/>
        <v>2.0527180406212667E-2</v>
      </c>
      <c r="H35" s="44">
        <f t="shared" si="8"/>
        <v>2.2544642857142857E-2</v>
      </c>
      <c r="I35" s="312">
        <f>A25+SUM(B36:H36)/I34</f>
        <v>0.34468007186290761</v>
      </c>
    </row>
    <row r="36" spans="1:15" x14ac:dyDescent="0.2">
      <c r="B36" s="313">
        <f>SUM(B3:B33)</f>
        <v>0.55829861111111112</v>
      </c>
      <c r="C36" s="313">
        <f>SUM(C3:C33)</f>
        <v>0.35962962962962969</v>
      </c>
      <c r="D36" s="313">
        <f t="shared" ref="D36:H36" si="9">SUM(D3:D33)</f>
        <v>0.30377314814814815</v>
      </c>
      <c r="E36" s="313">
        <f t="shared" si="9"/>
        <v>0.28914351851851855</v>
      </c>
      <c r="F36" s="313">
        <f t="shared" si="9"/>
        <v>0.36625000000000008</v>
      </c>
      <c r="G36" s="313">
        <f t="shared" si="9"/>
        <v>0.63634259259259263</v>
      </c>
      <c r="H36" s="313">
        <f t="shared" si="9"/>
        <v>0.15781249999999999</v>
      </c>
      <c r="I36" s="24"/>
    </row>
    <row r="37" spans="1:15" x14ac:dyDescent="0.2">
      <c r="A37" s="2" t="s">
        <v>5438</v>
      </c>
      <c r="B37" s="129"/>
      <c r="E37" t="s">
        <v>4256</v>
      </c>
      <c r="F37" t="s">
        <v>2793</v>
      </c>
      <c r="G37" t="s">
        <v>4257</v>
      </c>
      <c r="I37" s="100" t="s">
        <v>5621</v>
      </c>
      <c r="M37" t="s">
        <v>1880</v>
      </c>
    </row>
    <row r="38" spans="1:15" x14ac:dyDescent="0.2">
      <c r="A38" t="s">
        <v>4004</v>
      </c>
      <c r="B38" s="43">
        <v>1.9490740740740743E-2</v>
      </c>
      <c r="C38" s="34">
        <v>41594</v>
      </c>
      <c r="D38" s="26">
        <v>0.62109999999999999</v>
      </c>
      <c r="E38" s="1">
        <f t="shared" ref="E38:E69" si="10">B38/5</f>
        <v>3.8981481481481484E-3</v>
      </c>
      <c r="F38" s="14">
        <f>1/((28*60+4)/(3600*5))</f>
        <v>10.688836104513063</v>
      </c>
      <c r="G38" s="1">
        <f t="shared" ref="G38:G53" si="11">E38*1.609</f>
        <v>6.2721203703703706E-3</v>
      </c>
      <c r="H38" s="1">
        <f t="shared" ref="H38:H69" si="12">B38-$B$154</f>
        <v>-1.3425925925925897E-3</v>
      </c>
      <c r="I38" s="101" t="s">
        <v>4364</v>
      </c>
      <c r="J38" s="43">
        <v>1.9490740740740743E-2</v>
      </c>
      <c r="K38" t="s">
        <v>4004</v>
      </c>
      <c r="M38">
        <v>69</v>
      </c>
      <c r="O38">
        <f>1/((28*60+4)/(3600*5))</f>
        <v>10.688836104513063</v>
      </c>
    </row>
    <row r="39" spans="1:15" x14ac:dyDescent="0.2">
      <c r="A39" t="s">
        <v>5544</v>
      </c>
      <c r="B39" s="43">
        <v>1.9490740740740743E-2</v>
      </c>
      <c r="C39" s="34">
        <v>41167</v>
      </c>
      <c r="D39" s="26">
        <v>0.61460000000000004</v>
      </c>
      <c r="E39" s="1">
        <f t="shared" si="10"/>
        <v>3.8981481481481484E-3</v>
      </c>
      <c r="F39" s="14">
        <f>1/((28*60+4)/(3600*5))</f>
        <v>10.688836104513063</v>
      </c>
      <c r="G39" s="1">
        <f t="shared" si="11"/>
        <v>6.2721203703703706E-3</v>
      </c>
      <c r="H39" s="1">
        <f t="shared" si="12"/>
        <v>-1.3425925925925897E-3</v>
      </c>
      <c r="I39" s="101" t="s">
        <v>2831</v>
      </c>
      <c r="J39" s="43">
        <v>1.9490740740740743E-2</v>
      </c>
      <c r="K39" t="s">
        <v>5544</v>
      </c>
      <c r="M39">
        <v>68</v>
      </c>
    </row>
    <row r="40" spans="1:15" x14ac:dyDescent="0.2">
      <c r="A40" t="s">
        <v>248</v>
      </c>
      <c r="B40" s="43">
        <v>1.9884259259259258E-2</v>
      </c>
      <c r="C40" s="34">
        <v>41755</v>
      </c>
      <c r="D40" s="26">
        <v>0.61580000000000001</v>
      </c>
      <c r="E40" s="1">
        <f t="shared" si="10"/>
        <v>3.9768518518518512E-3</v>
      </c>
      <c r="F40" s="14">
        <f>1/((28*60+38)/(3600*5))</f>
        <v>10.477299185098952</v>
      </c>
      <c r="G40" s="1">
        <f t="shared" si="11"/>
        <v>6.3987546296296284E-3</v>
      </c>
      <c r="H40" s="1">
        <f t="shared" si="12"/>
        <v>-9.490740740740744E-4</v>
      </c>
      <c r="I40" s="101" t="s">
        <v>5147</v>
      </c>
      <c r="J40" s="43">
        <v>1.9884259259259258E-2</v>
      </c>
      <c r="K40" t="str">
        <f>London!B13</f>
        <v>Hackney Marshes</v>
      </c>
      <c r="M40">
        <v>70</v>
      </c>
    </row>
    <row r="41" spans="1:15" x14ac:dyDescent="0.2">
      <c r="A41" t="s">
        <v>715</v>
      </c>
      <c r="B41" s="43">
        <v>1.9884259259259258E-2</v>
      </c>
      <c r="C41" s="34">
        <v>41538</v>
      </c>
      <c r="D41" s="26">
        <v>0.60880000000000001</v>
      </c>
      <c r="E41" s="1">
        <f t="shared" si="10"/>
        <v>3.9768518518518512E-3</v>
      </c>
      <c r="F41" s="14">
        <f>1/((28*60+38)/(3600*5))</f>
        <v>10.477299185098952</v>
      </c>
      <c r="G41" s="1">
        <f t="shared" si="11"/>
        <v>6.3987546296296284E-3</v>
      </c>
      <c r="H41" s="1">
        <f t="shared" si="12"/>
        <v>-9.490740740740744E-4</v>
      </c>
      <c r="I41" s="101" t="s">
        <v>2827</v>
      </c>
      <c r="J41" s="43">
        <v>1.9884259259259258E-2</v>
      </c>
      <c r="K41" t="s">
        <v>715</v>
      </c>
      <c r="M41">
        <v>69</v>
      </c>
    </row>
    <row r="42" spans="1:15" x14ac:dyDescent="0.2">
      <c r="A42" s="115" t="s">
        <v>1002</v>
      </c>
      <c r="B42" s="150">
        <v>1.9918981481481482E-2</v>
      </c>
      <c r="C42" s="34">
        <v>41426</v>
      </c>
      <c r="D42" s="26">
        <v>0.60780000000000001</v>
      </c>
      <c r="E42" s="1">
        <f t="shared" si="10"/>
        <v>3.983796296296296E-3</v>
      </c>
      <c r="F42" s="14">
        <f>1/((28*60+41)/(3600*5))</f>
        <v>10.459035444509007</v>
      </c>
      <c r="G42" s="1">
        <f t="shared" si="11"/>
        <v>6.4099282407407403E-3</v>
      </c>
      <c r="H42" s="1">
        <f t="shared" si="12"/>
        <v>-9.1435185185185022E-4</v>
      </c>
      <c r="I42" s="101" t="s">
        <v>1122</v>
      </c>
      <c r="J42" s="44">
        <v>2.0231481481481482E-2</v>
      </c>
      <c r="K42" t="s">
        <v>998</v>
      </c>
      <c r="M42">
        <v>69</v>
      </c>
    </row>
    <row r="43" spans="1:15" x14ac:dyDescent="0.2">
      <c r="A43" t="s">
        <v>2827</v>
      </c>
      <c r="B43" s="43">
        <v>1.9942129629629629E-2</v>
      </c>
      <c r="C43" s="34">
        <v>41783</v>
      </c>
      <c r="D43" s="26">
        <v>0.61399999999999999</v>
      </c>
      <c r="E43" s="1">
        <f t="shared" si="10"/>
        <v>3.9884259259259256E-3</v>
      </c>
      <c r="F43" s="14">
        <f>1/((28*60+43)/(3600*5))</f>
        <v>10.44689495066744</v>
      </c>
      <c r="G43" s="1">
        <f t="shared" si="11"/>
        <v>6.4173773148148141E-3</v>
      </c>
      <c r="H43" s="1">
        <f t="shared" si="12"/>
        <v>-8.9120370370370308E-4</v>
      </c>
      <c r="I43" s="147" t="s">
        <v>5557</v>
      </c>
      <c r="J43" s="51">
        <v>2.0277777777777777E-2</v>
      </c>
      <c r="K43" s="5" t="str">
        <f>London!B31</f>
        <v>Mile End</v>
      </c>
      <c r="M43">
        <v>69</v>
      </c>
    </row>
    <row r="44" spans="1:15" x14ac:dyDescent="0.2">
      <c r="A44" t="s">
        <v>998</v>
      </c>
      <c r="B44" s="44">
        <v>2.0231481481481482E-2</v>
      </c>
      <c r="C44" s="34">
        <v>41503</v>
      </c>
      <c r="E44" s="1">
        <f t="shared" si="10"/>
        <v>4.0462962962962961E-3</v>
      </c>
      <c r="F44" s="14">
        <f>1/((29*60+8)/(3600*5))</f>
        <v>10.297482837528605</v>
      </c>
      <c r="G44" s="1">
        <f t="shared" si="11"/>
        <v>6.5104907407407403E-3</v>
      </c>
      <c r="H44" s="1">
        <f t="shared" si="12"/>
        <v>-6.0185185185184994E-4</v>
      </c>
      <c r="I44" s="101" t="s">
        <v>2828</v>
      </c>
      <c r="J44" s="44">
        <v>2.028935185185185E-2</v>
      </c>
      <c r="K44" t="s">
        <v>5654</v>
      </c>
      <c r="M44">
        <v>69</v>
      </c>
    </row>
    <row r="45" spans="1:15" x14ac:dyDescent="0.2">
      <c r="A45" s="135" t="s">
        <v>5889</v>
      </c>
      <c r="B45" s="44">
        <v>2.0266203703703703E-2</v>
      </c>
      <c r="C45" s="34">
        <v>41678</v>
      </c>
      <c r="D45" s="26">
        <v>0.59740000000000004</v>
      </c>
      <c r="E45" s="1">
        <f t="shared" si="10"/>
        <v>4.0532407407407409E-3</v>
      </c>
      <c r="F45" s="14">
        <f>1/((29*60+11)/(3600*5))</f>
        <v>10.279840091376355</v>
      </c>
      <c r="G45" s="1">
        <f t="shared" si="11"/>
        <v>6.5216643518518523E-3</v>
      </c>
      <c r="H45" s="1">
        <f t="shared" si="12"/>
        <v>-5.6712962962962923E-4</v>
      </c>
      <c r="I45" s="101" t="s">
        <v>3678</v>
      </c>
      <c r="J45" s="44">
        <v>2.0381944444444446E-2</v>
      </c>
      <c r="K45" t="str">
        <f>London!B27</f>
        <v>Wanstead Flats</v>
      </c>
      <c r="M45" s="9">
        <v>70</v>
      </c>
    </row>
    <row r="46" spans="1:15" x14ac:dyDescent="0.2">
      <c r="A46" s="5" t="s">
        <v>449</v>
      </c>
      <c r="B46" s="44">
        <v>2.0277777777777777E-2</v>
      </c>
      <c r="C46" s="34">
        <v>41713</v>
      </c>
      <c r="D46" s="26">
        <v>0.59699999999999998</v>
      </c>
      <c r="E46" s="1">
        <f t="shared" si="10"/>
        <v>4.0555555555555553E-3</v>
      </c>
      <c r="F46" s="14">
        <f>1/((29*60+12)/(3600*5))</f>
        <v>10.273972602739727</v>
      </c>
      <c r="G46" s="1">
        <f t="shared" si="11"/>
        <v>6.5253888888888887E-3</v>
      </c>
      <c r="H46" s="1">
        <f t="shared" si="12"/>
        <v>-5.5555555555555566E-4</v>
      </c>
      <c r="I46" s="101" t="s">
        <v>4536</v>
      </c>
      <c r="J46" s="44">
        <v>2.0497685185185185E-2</v>
      </c>
      <c r="K46" s="80" t="str">
        <f>London!B3</f>
        <v>Oak Hill</v>
      </c>
      <c r="L46" s="80"/>
      <c r="M46" s="173">
        <v>70</v>
      </c>
    </row>
    <row r="47" spans="1:15" x14ac:dyDescent="0.2">
      <c r="A47" s="115" t="s">
        <v>5654</v>
      </c>
      <c r="B47" s="116">
        <v>2.028935185185185E-2</v>
      </c>
      <c r="C47" s="141">
        <v>41601</v>
      </c>
      <c r="E47" s="1">
        <f t="shared" si="10"/>
        <v>4.0578703703703697E-3</v>
      </c>
      <c r="F47" s="14">
        <f>1/((29*60+13)/(3600*5))</f>
        <v>10.26811180832858</v>
      </c>
      <c r="G47" s="1">
        <f t="shared" si="11"/>
        <v>6.5291134259259243E-3</v>
      </c>
      <c r="H47" s="1">
        <f t="shared" si="12"/>
        <v>-5.4398148148148209E-4</v>
      </c>
      <c r="I47" s="101" t="s">
        <v>4538</v>
      </c>
      <c r="J47" s="44">
        <v>2.0532407407407405E-2</v>
      </c>
      <c r="K47" s="80" t="s">
        <v>1401</v>
      </c>
      <c r="L47" s="80"/>
      <c r="M47" s="173">
        <v>70</v>
      </c>
    </row>
    <row r="48" spans="1:15" x14ac:dyDescent="0.2">
      <c r="A48" t="s">
        <v>5885</v>
      </c>
      <c r="B48" s="44">
        <v>2.0312500000000001E-2</v>
      </c>
      <c r="C48" s="34">
        <v>41391</v>
      </c>
      <c r="E48" s="1">
        <f t="shared" si="10"/>
        <v>4.0625000000000001E-3</v>
      </c>
      <c r="F48" s="14">
        <f>1/((29*60+15)/(3600*5))</f>
        <v>10.256410256410255</v>
      </c>
      <c r="G48" s="1">
        <f t="shared" si="11"/>
        <v>6.5365624999999998E-3</v>
      </c>
      <c r="H48" s="1">
        <f t="shared" si="12"/>
        <v>-5.2083333333333148E-4</v>
      </c>
      <c r="I48" s="101" t="s">
        <v>1262</v>
      </c>
      <c r="J48" s="44">
        <v>2.0601851851851854E-2</v>
      </c>
      <c r="K48" t="str">
        <f>London!B2</f>
        <v>Barking</v>
      </c>
      <c r="M48" s="5">
        <v>70</v>
      </c>
    </row>
    <row r="49" spans="1:14" x14ac:dyDescent="0.2">
      <c r="A49" t="s">
        <v>3072</v>
      </c>
      <c r="B49" s="44">
        <v>2.0324074074074074E-2</v>
      </c>
      <c r="C49" s="34">
        <v>41489</v>
      </c>
      <c r="E49" s="1">
        <f t="shared" si="10"/>
        <v>4.0648148148148145E-3</v>
      </c>
      <c r="F49" s="14">
        <f>1/((29*60+16)/(3600*5))</f>
        <v>10.250569476082005</v>
      </c>
      <c r="G49" s="1">
        <f t="shared" si="11"/>
        <v>6.5402870370370363E-3</v>
      </c>
      <c r="H49" s="1">
        <f t="shared" si="12"/>
        <v>-5.0925925925925791E-4</v>
      </c>
      <c r="I49" s="101" t="s">
        <v>2829</v>
      </c>
      <c r="J49" s="44">
        <v>2.0706018518518519E-2</v>
      </c>
      <c r="K49" t="s">
        <v>861</v>
      </c>
      <c r="M49">
        <v>69</v>
      </c>
    </row>
    <row r="50" spans="1:14" x14ac:dyDescent="0.2">
      <c r="A50" t="s">
        <v>1780</v>
      </c>
      <c r="B50" s="44">
        <v>2.0381944444444446E-2</v>
      </c>
      <c r="C50" s="34">
        <v>41776</v>
      </c>
      <c r="D50" s="26">
        <v>0.6008</v>
      </c>
      <c r="E50" s="1">
        <f t="shared" si="10"/>
        <v>4.0763888888888889E-3</v>
      </c>
      <c r="F50" s="14">
        <f>1/((29*60+21)/(3600*5))</f>
        <v>10.221465076660989</v>
      </c>
      <c r="G50" s="1">
        <f t="shared" si="11"/>
        <v>6.5589097222222221E-3</v>
      </c>
      <c r="H50" s="1">
        <f t="shared" si="12"/>
        <v>-4.5138888888888659E-4</v>
      </c>
      <c r="I50" s="101" t="s">
        <v>3677</v>
      </c>
      <c r="J50" s="44">
        <v>2.074074074074074E-2</v>
      </c>
      <c r="K50" t="s">
        <v>6003</v>
      </c>
      <c r="M50">
        <v>70</v>
      </c>
    </row>
    <row r="51" spans="1:14" x14ac:dyDescent="0.2">
      <c r="A51" t="s">
        <v>2818</v>
      </c>
      <c r="B51" s="44">
        <v>2.0416666666666666E-2</v>
      </c>
      <c r="C51" s="34">
        <v>41636</v>
      </c>
      <c r="E51" s="1">
        <f t="shared" si="10"/>
        <v>4.0833333333333329E-3</v>
      </c>
      <c r="F51" s="14">
        <f>1/((29*60+24)/(3600*5))</f>
        <v>10.204081632653061</v>
      </c>
      <c r="G51" s="1">
        <f t="shared" si="11"/>
        <v>6.5700833333333323E-3</v>
      </c>
      <c r="H51" s="1">
        <f t="shared" si="12"/>
        <v>-4.1666666666666588E-4</v>
      </c>
      <c r="I51" s="101" t="s">
        <v>2830</v>
      </c>
      <c r="J51" s="44">
        <v>2.074074074074074E-2</v>
      </c>
      <c r="K51" t="s">
        <v>2830</v>
      </c>
      <c r="M51" s="9">
        <v>70</v>
      </c>
    </row>
    <row r="52" spans="1:14" x14ac:dyDescent="0.2">
      <c r="A52" s="115" t="s">
        <v>6019</v>
      </c>
      <c r="B52" s="116">
        <v>2.0497685185185185E-2</v>
      </c>
      <c r="C52" s="141">
        <v>41909</v>
      </c>
      <c r="D52" s="26">
        <v>0.59740000000000004</v>
      </c>
      <c r="E52" s="1">
        <f t="shared" si="10"/>
        <v>4.099537037037037E-3</v>
      </c>
      <c r="F52" s="14">
        <f>1/((29*60+31)/(3600*5))</f>
        <v>10.163749294184077</v>
      </c>
      <c r="G52" s="1">
        <f t="shared" si="11"/>
        <v>6.5961550925925927E-3</v>
      </c>
      <c r="H52" s="1">
        <f t="shared" si="12"/>
        <v>-3.3564814814814742E-4</v>
      </c>
      <c r="I52" s="101" t="s">
        <v>2147</v>
      </c>
      <c r="J52" s="44">
        <v>2.0775462962962964E-2</v>
      </c>
      <c r="K52" t="s">
        <v>2147</v>
      </c>
      <c r="M52" s="9">
        <v>68</v>
      </c>
    </row>
    <row r="53" spans="1:14" x14ac:dyDescent="0.2">
      <c r="A53" t="s">
        <v>5095</v>
      </c>
      <c r="B53" s="44">
        <v>2.0497685185185185E-2</v>
      </c>
      <c r="C53" s="34">
        <v>41608</v>
      </c>
      <c r="E53" s="1">
        <f t="shared" si="10"/>
        <v>4.099537037037037E-3</v>
      </c>
      <c r="F53" s="14">
        <f>1/((29*60+31)/(3600*5))</f>
        <v>10.163749294184077</v>
      </c>
      <c r="G53" s="1">
        <f t="shared" si="11"/>
        <v>6.5961550925925927E-3</v>
      </c>
      <c r="H53" s="1">
        <f t="shared" si="12"/>
        <v>-3.3564814814814742E-4</v>
      </c>
      <c r="I53" s="101" t="s">
        <v>2570</v>
      </c>
      <c r="J53" s="44">
        <v>2.0787037037037038E-2</v>
      </c>
      <c r="K53" t="str">
        <f>London!B9</f>
        <v>Lloyd Park</v>
      </c>
      <c r="M53" s="9">
        <v>70</v>
      </c>
    </row>
    <row r="54" spans="1:14" x14ac:dyDescent="0.2">
      <c r="A54" t="s">
        <v>1401</v>
      </c>
      <c r="B54" s="44">
        <v>2.0532407407407405E-2</v>
      </c>
      <c r="C54" s="34">
        <v>41811</v>
      </c>
      <c r="D54" s="26">
        <v>0.59640000000000004</v>
      </c>
      <c r="E54" s="1">
        <f t="shared" si="10"/>
        <v>4.1064814814814809E-3</v>
      </c>
      <c r="F54" s="14">
        <f>1/((29*60+34)/(3600*5))</f>
        <v>10.146561443066517</v>
      </c>
      <c r="G54" s="1">
        <f t="shared" ref="G54:G65" si="13">E54*1.609</f>
        <v>6.6073287037037029E-3</v>
      </c>
      <c r="H54" s="1">
        <f t="shared" si="12"/>
        <v>-3.0092592592592671E-4</v>
      </c>
      <c r="I54" s="101" t="s">
        <v>5138</v>
      </c>
      <c r="J54" s="95">
        <v>2.0856481481481479E-2</v>
      </c>
      <c r="K54" t="str">
        <f>London!B23</f>
        <v>Brockwell Park</v>
      </c>
      <c r="M54" s="9">
        <v>70</v>
      </c>
      <c r="N54" s="2"/>
    </row>
    <row r="55" spans="1:14" x14ac:dyDescent="0.2">
      <c r="A55" s="5" t="s">
        <v>209</v>
      </c>
      <c r="B55" s="51">
        <v>2.0601851851851854E-2</v>
      </c>
      <c r="C55" s="33">
        <v>42266</v>
      </c>
      <c r="D55" s="26">
        <v>0.60170000000000001</v>
      </c>
      <c r="E55" s="1">
        <f t="shared" si="10"/>
        <v>4.1203703703703706E-3</v>
      </c>
      <c r="F55" s="14">
        <f>1/((29*60+40)/(3600*5))</f>
        <v>10.112359550561798</v>
      </c>
      <c r="G55" s="1">
        <f t="shared" si="13"/>
        <v>6.629675925925926E-3</v>
      </c>
      <c r="H55" s="1">
        <f t="shared" si="12"/>
        <v>-2.3148148148147835E-4</v>
      </c>
      <c r="I55" s="101" t="s">
        <v>5735</v>
      </c>
      <c r="J55" s="95">
        <v>2.0879629629629626E-2</v>
      </c>
      <c r="K55" t="str">
        <f>London!B17</f>
        <v>Harrow Lodge</v>
      </c>
      <c r="M55" s="9">
        <v>70</v>
      </c>
    </row>
    <row r="56" spans="1:14" x14ac:dyDescent="0.2">
      <c r="A56" t="s">
        <v>1783</v>
      </c>
      <c r="B56" s="44">
        <v>2.0601851851851854E-2</v>
      </c>
      <c r="C56" s="34">
        <v>41874</v>
      </c>
      <c r="D56" s="26">
        <v>0.59440000000000004</v>
      </c>
      <c r="E56" s="1">
        <f t="shared" si="10"/>
        <v>4.1203703703703706E-3</v>
      </c>
      <c r="F56" s="14">
        <f>1/((29*60+40)/(3600*5))</f>
        <v>10.112359550561798</v>
      </c>
      <c r="G56" s="1">
        <f t="shared" si="13"/>
        <v>6.629675925925926E-3</v>
      </c>
      <c r="H56" s="1">
        <f t="shared" si="12"/>
        <v>-2.3148148148147835E-4</v>
      </c>
      <c r="I56" s="101" t="s">
        <v>1719</v>
      </c>
      <c r="J56" s="95">
        <v>2.0879629629629626E-2</v>
      </c>
      <c r="K56" t="s">
        <v>2810</v>
      </c>
      <c r="M56" s="9">
        <v>71</v>
      </c>
    </row>
    <row r="57" spans="1:14" x14ac:dyDescent="0.2">
      <c r="A57" s="115" t="s">
        <v>2696</v>
      </c>
      <c r="B57" s="116">
        <v>2.0601851851851854E-2</v>
      </c>
      <c r="C57" s="141">
        <v>41545</v>
      </c>
      <c r="E57" s="1">
        <f t="shared" si="10"/>
        <v>4.1203703703703706E-3</v>
      </c>
      <c r="F57" s="14">
        <f>1/((29*60+40)/(3600*5))</f>
        <v>10.112359550561798</v>
      </c>
      <c r="G57" s="1">
        <f t="shared" si="13"/>
        <v>6.629675925925926E-3</v>
      </c>
      <c r="H57" s="1">
        <f t="shared" si="12"/>
        <v>-2.3148148148147835E-4</v>
      </c>
      <c r="I57" s="101" t="s">
        <v>5137</v>
      </c>
      <c r="J57" s="95">
        <v>2.0891203703703703E-2</v>
      </c>
      <c r="K57" t="str">
        <f>London!B7</f>
        <v>Hampstead Heath</v>
      </c>
      <c r="M57" s="9">
        <v>70</v>
      </c>
    </row>
    <row r="58" spans="1:14" x14ac:dyDescent="0.2">
      <c r="A58" t="s">
        <v>861</v>
      </c>
      <c r="B58" s="51">
        <v>2.0706018518518519E-2</v>
      </c>
      <c r="C58" s="34">
        <v>41454</v>
      </c>
      <c r="E58" s="1">
        <f t="shared" si="10"/>
        <v>4.1412037037037042E-3</v>
      </c>
      <c r="F58" s="14">
        <f>1/((29*60+49)/(3600*5))</f>
        <v>10.061486864169927</v>
      </c>
      <c r="G58" s="1">
        <f t="shared" si="13"/>
        <v>6.6631967592592602E-3</v>
      </c>
      <c r="H58" s="1">
        <f t="shared" si="12"/>
        <v>-1.2731481481481274E-4</v>
      </c>
      <c r="I58" s="101" t="s">
        <v>559</v>
      </c>
      <c r="J58" s="95">
        <v>2.0949074074074075E-2</v>
      </c>
      <c r="K58" t="s">
        <v>559</v>
      </c>
      <c r="M58" s="9">
        <v>69</v>
      </c>
    </row>
    <row r="59" spans="1:14" x14ac:dyDescent="0.2">
      <c r="A59" t="s">
        <v>1003</v>
      </c>
      <c r="B59" s="44">
        <v>2.0729166666666667E-2</v>
      </c>
      <c r="C59" s="34">
        <v>41419</v>
      </c>
      <c r="E59" s="1">
        <f t="shared" si="10"/>
        <v>4.145833333333333E-3</v>
      </c>
      <c r="F59" s="14">
        <f>1/((29*60+51)/(3600*5))</f>
        <v>10.050251256281406</v>
      </c>
      <c r="G59" s="1">
        <f t="shared" si="13"/>
        <v>6.6706458333333331E-3</v>
      </c>
      <c r="H59" s="1">
        <f t="shared" si="12"/>
        <v>-1.041666666666656E-4</v>
      </c>
      <c r="I59" s="101" t="s">
        <v>4542</v>
      </c>
      <c r="J59" s="95">
        <v>2.101851851851852E-2</v>
      </c>
      <c r="K59" t="s">
        <v>4451</v>
      </c>
      <c r="M59" s="9">
        <v>69</v>
      </c>
    </row>
    <row r="60" spans="1:14" x14ac:dyDescent="0.2">
      <c r="A60" t="s">
        <v>2830</v>
      </c>
      <c r="B60" s="44">
        <v>2.074074074074074E-2</v>
      </c>
      <c r="C60" s="34">
        <v>41965</v>
      </c>
      <c r="D60" s="26">
        <v>0.59040000000000004</v>
      </c>
      <c r="E60" s="1">
        <f t="shared" si="10"/>
        <v>4.1481481481481482E-3</v>
      </c>
      <c r="F60" s="14">
        <f>1/((29*60+52)/(3600*5))</f>
        <v>10.044642857142858</v>
      </c>
      <c r="G60" s="1">
        <f t="shared" si="13"/>
        <v>6.6743703703703704E-3</v>
      </c>
      <c r="H60" s="1">
        <f t="shared" si="12"/>
        <v>-9.2592592592592032E-5</v>
      </c>
      <c r="I60" s="101" t="s">
        <v>3676</v>
      </c>
      <c r="J60" s="95">
        <v>2.1238425925925924E-2</v>
      </c>
      <c r="K60" t="s">
        <v>6020</v>
      </c>
      <c r="M60" s="9">
        <v>71</v>
      </c>
    </row>
    <row r="61" spans="1:14" x14ac:dyDescent="0.2">
      <c r="A61" t="s">
        <v>6003</v>
      </c>
      <c r="B61" s="44">
        <v>2.074074074074074E-2</v>
      </c>
      <c r="C61" s="34">
        <v>41797</v>
      </c>
      <c r="E61" s="1">
        <f t="shared" si="10"/>
        <v>4.1481481481481482E-3</v>
      </c>
      <c r="F61" s="14">
        <f>1/((29*60+52)/(3600*5))</f>
        <v>10.044642857142858</v>
      </c>
      <c r="G61" s="1">
        <f t="shared" si="13"/>
        <v>6.6743703703703704E-3</v>
      </c>
      <c r="H61" s="1">
        <f t="shared" si="12"/>
        <v>-9.2592592592592032E-5</v>
      </c>
      <c r="I61" s="101" t="s">
        <v>4543</v>
      </c>
      <c r="J61" s="392">
        <v>2.1493055555555557E-2</v>
      </c>
      <c r="K61" t="str">
        <f>London!B30</f>
        <v>Roundshaw Downs</v>
      </c>
      <c r="M61" s="9">
        <v>70</v>
      </c>
    </row>
    <row r="62" spans="1:14" x14ac:dyDescent="0.2">
      <c r="A62" s="115" t="s">
        <v>2147</v>
      </c>
      <c r="B62" s="116">
        <v>2.0775462962962964E-2</v>
      </c>
      <c r="C62" s="141">
        <v>41230</v>
      </c>
      <c r="E62" s="1">
        <f t="shared" si="10"/>
        <v>4.155092592592593E-3</v>
      </c>
      <c r="F62" s="14">
        <f>1/((29*60+55)/(3600*5))</f>
        <v>10.027855153203342</v>
      </c>
      <c r="G62" s="1">
        <f t="shared" si="13"/>
        <v>6.6855439814814824E-3</v>
      </c>
      <c r="H62" s="1">
        <f t="shared" si="12"/>
        <v>-5.7870370370367852E-5</v>
      </c>
      <c r="I62" s="101" t="s">
        <v>5734</v>
      </c>
      <c r="J62" s="95">
        <v>2.1493055555555557E-2</v>
      </c>
      <c r="K62" t="str">
        <f>London!B32</f>
        <v>Walthamstow</v>
      </c>
      <c r="M62" s="9">
        <v>70</v>
      </c>
    </row>
    <row r="63" spans="1:14" x14ac:dyDescent="0.2">
      <c r="A63" t="s">
        <v>6017</v>
      </c>
      <c r="B63" s="44">
        <v>2.0787037037037038E-2</v>
      </c>
      <c r="C63" s="34">
        <v>41748</v>
      </c>
      <c r="E63" s="1">
        <f t="shared" si="10"/>
        <v>4.1574074074074074E-3</v>
      </c>
      <c r="F63" s="14">
        <f>1/((29*60+56)/(3600*5))</f>
        <v>10.022271714922049</v>
      </c>
      <c r="G63" s="1">
        <f t="shared" si="13"/>
        <v>6.6892685185185189E-3</v>
      </c>
      <c r="H63" s="1">
        <f t="shared" si="12"/>
        <v>-4.6296296296294281E-5</v>
      </c>
      <c r="I63" s="101" t="s">
        <v>2569</v>
      </c>
      <c r="J63" s="94">
        <v>2.1770833333333336E-2</v>
      </c>
      <c r="K63" t="s">
        <v>6016</v>
      </c>
      <c r="M63" s="9">
        <v>71</v>
      </c>
    </row>
    <row r="64" spans="1:14" x14ac:dyDescent="0.2">
      <c r="A64" t="s">
        <v>1405</v>
      </c>
      <c r="B64" s="44">
        <v>2.0798611111111111E-2</v>
      </c>
      <c r="C64" s="34">
        <v>41951</v>
      </c>
      <c r="E64" s="1">
        <f t="shared" si="10"/>
        <v>4.1597222222222226E-3</v>
      </c>
      <c r="F64" s="14">
        <f>1/((29*60+57)/(3600*5))</f>
        <v>10.016694490818031</v>
      </c>
      <c r="G64" s="1">
        <f t="shared" si="13"/>
        <v>6.6929930555555562E-3</v>
      </c>
      <c r="H64" s="1">
        <f t="shared" si="12"/>
        <v>-3.4722222222220711E-5</v>
      </c>
      <c r="I64" s="101" t="s">
        <v>5135</v>
      </c>
      <c r="J64" s="94">
        <v>2.1863425925925925E-2</v>
      </c>
      <c r="K64" t="s">
        <v>4176</v>
      </c>
      <c r="M64" s="9">
        <v>68</v>
      </c>
    </row>
    <row r="65" spans="1:13" x14ac:dyDescent="0.2">
      <c r="A65" s="271" t="s">
        <v>1499</v>
      </c>
      <c r="B65" s="95">
        <v>2.0844907407407406E-2</v>
      </c>
      <c r="C65" s="34">
        <v>41657</v>
      </c>
      <c r="E65" s="1">
        <f t="shared" si="10"/>
        <v>4.168981481481481E-3</v>
      </c>
      <c r="F65" s="14">
        <f>1/((30*60+1)/(3600*5))</f>
        <v>9.994447529150472</v>
      </c>
      <c r="G65" s="1">
        <f t="shared" si="13"/>
        <v>6.7078912037037029E-3</v>
      </c>
      <c r="H65" s="1">
        <f t="shared" si="12"/>
        <v>1.157407407407357E-5</v>
      </c>
      <c r="I65" s="101" t="s">
        <v>5268</v>
      </c>
      <c r="J65" s="94">
        <v>2.1909722222222223E-2</v>
      </c>
      <c r="K65" t="s">
        <v>5267</v>
      </c>
      <c r="M65" s="9">
        <v>71</v>
      </c>
    </row>
    <row r="66" spans="1:13" x14ac:dyDescent="0.2">
      <c r="A66" s="5" t="s">
        <v>5057</v>
      </c>
      <c r="B66" s="95">
        <v>2.0856481481481479E-2</v>
      </c>
      <c r="C66" s="34">
        <v>41958</v>
      </c>
      <c r="E66" s="1">
        <f t="shared" si="10"/>
        <v>4.1712962962962962E-3</v>
      </c>
      <c r="F66" s="14">
        <f>1/((30*60+2)/(3600*5))</f>
        <v>9.9889012208657046</v>
      </c>
      <c r="G66" s="1">
        <f t="shared" ref="G66:G104" si="14">E66*1.609</f>
        <v>6.7116157407407402E-3</v>
      </c>
      <c r="H66" s="1">
        <f t="shared" si="12"/>
        <v>2.3148148148147141E-5</v>
      </c>
      <c r="I66" s="101" t="s">
        <v>4544</v>
      </c>
      <c r="J66" s="94">
        <v>2.2094907407407407E-2</v>
      </c>
      <c r="K66" s="80" t="str">
        <f>London!B4</f>
        <v>Bexley</v>
      </c>
      <c r="L66" s="80"/>
      <c r="M66" s="173">
        <v>70</v>
      </c>
    </row>
    <row r="67" spans="1:13" x14ac:dyDescent="0.2">
      <c r="A67" s="380" t="s">
        <v>3246</v>
      </c>
      <c r="B67" s="381">
        <v>2.0879629629629626E-2</v>
      </c>
      <c r="C67" s="390">
        <v>42287</v>
      </c>
      <c r="D67" s="26">
        <v>0.59370000000000001</v>
      </c>
      <c r="E67" s="1">
        <f t="shared" si="10"/>
        <v>4.1759259259259249E-3</v>
      </c>
      <c r="F67" s="14">
        <f>1/((30*60+4)/(3600*5))</f>
        <v>9.9778270509977816</v>
      </c>
      <c r="G67" s="1">
        <f t="shared" si="14"/>
        <v>6.7190648148148131E-3</v>
      </c>
      <c r="H67" s="1">
        <f t="shared" si="12"/>
        <v>4.6296296296294281E-5</v>
      </c>
      <c r="I67" s="101"/>
      <c r="J67">
        <f>COUNT(J38:J66)</f>
        <v>29</v>
      </c>
    </row>
    <row r="68" spans="1:13" x14ac:dyDescent="0.2">
      <c r="A68" t="s">
        <v>6022</v>
      </c>
      <c r="B68" s="95">
        <v>2.0879629629629626E-2</v>
      </c>
      <c r="C68" s="34">
        <v>41804</v>
      </c>
      <c r="D68" s="26">
        <v>0.58650000000000002</v>
      </c>
      <c r="E68" s="1">
        <f t="shared" si="10"/>
        <v>4.1759259259259249E-3</v>
      </c>
      <c r="F68" s="14">
        <f>1/((30*60+4)/(3600*5))</f>
        <v>9.9778270509977816</v>
      </c>
      <c r="G68" s="1">
        <f t="shared" si="14"/>
        <v>6.7190648148148131E-3</v>
      </c>
      <c r="H68" s="1">
        <f t="shared" si="12"/>
        <v>4.6296296296294281E-5</v>
      </c>
      <c r="I68" s="147" t="s">
        <v>5304</v>
      </c>
      <c r="J68" s="50">
        <f>SUM(J38:J66)/J67</f>
        <v>2.0781050446998729E-2</v>
      </c>
    </row>
    <row r="69" spans="1:13" x14ac:dyDescent="0.2">
      <c r="A69" t="s">
        <v>5959</v>
      </c>
      <c r="B69" s="95">
        <v>2.0891203703703703E-2</v>
      </c>
      <c r="C69" s="34">
        <v>41741</v>
      </c>
      <c r="E69" s="1">
        <f t="shared" si="10"/>
        <v>4.178240740740741E-3</v>
      </c>
      <c r="F69" s="14">
        <f>1/((30*60+5)/(3600*5))</f>
        <v>9.97229916897507</v>
      </c>
      <c r="G69" s="1">
        <f t="shared" si="14"/>
        <v>6.7227893518518522E-3</v>
      </c>
      <c r="H69" s="1">
        <f t="shared" si="12"/>
        <v>5.7870370370371321E-5</v>
      </c>
      <c r="I69" s="101"/>
      <c r="J69" s="1"/>
    </row>
    <row r="70" spans="1:13" x14ac:dyDescent="0.2">
      <c r="A70" t="s">
        <v>5883</v>
      </c>
      <c r="B70" s="95">
        <v>2.0937500000000001E-2</v>
      </c>
      <c r="C70" s="34">
        <v>41699</v>
      </c>
      <c r="D70" t="s">
        <v>574</v>
      </c>
      <c r="E70" s="1">
        <f t="shared" ref="E70:E101" si="15">B70/5</f>
        <v>4.1875000000000002E-3</v>
      </c>
      <c r="F70" s="14">
        <f>1/((30*60+9)/(3600*5))</f>
        <v>9.9502487562189046</v>
      </c>
      <c r="G70" s="1">
        <f t="shared" si="14"/>
        <v>6.7376875000000006E-3</v>
      </c>
      <c r="H70" s="1">
        <f t="shared" ref="H70:H101" si="16">B70-$B$154</f>
        <v>1.0416666666666907E-4</v>
      </c>
      <c r="I70" s="101"/>
      <c r="M70" s="7"/>
    </row>
    <row r="71" spans="1:13" x14ac:dyDescent="0.2">
      <c r="A71" t="s">
        <v>63</v>
      </c>
      <c r="B71" s="95">
        <v>2.0949074074074075E-2</v>
      </c>
      <c r="C71" s="34">
        <v>41640</v>
      </c>
      <c r="E71" s="1">
        <f t="shared" si="15"/>
        <v>4.1898148148148146E-3</v>
      </c>
      <c r="F71" s="14">
        <f>1/((30*60+10)/(3600*5))</f>
        <v>9.94475138121547</v>
      </c>
      <c r="G71" s="1">
        <f t="shared" si="14"/>
        <v>6.7414120370370371E-3</v>
      </c>
      <c r="H71" s="1">
        <f t="shared" si="16"/>
        <v>1.1574074074074264E-4</v>
      </c>
      <c r="I71" s="100" t="s">
        <v>1212</v>
      </c>
      <c r="M71" s="7"/>
    </row>
    <row r="72" spans="1:13" x14ac:dyDescent="0.2">
      <c r="A72" s="384" t="s">
        <v>1947</v>
      </c>
      <c r="B72" s="117">
        <v>2.0972222222222222E-2</v>
      </c>
      <c r="C72" s="141">
        <v>41916</v>
      </c>
      <c r="E72" s="1">
        <f t="shared" si="15"/>
        <v>4.1944444444444442E-3</v>
      </c>
      <c r="F72" s="14">
        <f>1/((30*60+12)/(3600*5))</f>
        <v>9.9337748344370862</v>
      </c>
      <c r="G72" s="1">
        <f t="shared" si="14"/>
        <v>6.7488611111111109E-3</v>
      </c>
      <c r="H72" s="1">
        <f t="shared" si="16"/>
        <v>1.3888888888888978E-4</v>
      </c>
      <c r="I72" s="101"/>
    </row>
    <row r="73" spans="1:13" x14ac:dyDescent="0.2">
      <c r="A73" t="s">
        <v>5439</v>
      </c>
      <c r="B73" s="95">
        <v>2.101851851851852E-2</v>
      </c>
      <c r="C73" s="34">
        <v>41384</v>
      </c>
      <c r="E73" s="1">
        <f t="shared" si="15"/>
        <v>4.2037037037037043E-3</v>
      </c>
      <c r="F73" s="14">
        <f>1/((30*60+16)/(3600*5))</f>
        <v>9.9118942731277535</v>
      </c>
      <c r="G73" s="1">
        <f t="shared" si="14"/>
        <v>6.7637592592592602E-3</v>
      </c>
      <c r="H73" s="1">
        <f t="shared" si="16"/>
        <v>1.8518518518518753E-4</v>
      </c>
      <c r="I73" s="101" t="s">
        <v>1212</v>
      </c>
      <c r="K73" t="s">
        <v>1212</v>
      </c>
    </row>
    <row r="74" spans="1:13" x14ac:dyDescent="0.2">
      <c r="A74" t="s">
        <v>5198</v>
      </c>
      <c r="B74" s="95">
        <v>2.1087962962962961E-2</v>
      </c>
      <c r="C74" s="34">
        <v>41867</v>
      </c>
      <c r="E74" s="1">
        <f t="shared" si="15"/>
        <v>4.2175925925925922E-3</v>
      </c>
      <c r="F74" s="14">
        <f>1/((30*60+22)/(3600*5))</f>
        <v>9.8792535675082327</v>
      </c>
      <c r="G74" s="1">
        <f t="shared" si="14"/>
        <v>6.7861064814814806E-3</v>
      </c>
      <c r="H74" s="1">
        <f t="shared" si="16"/>
        <v>2.5462962962962896E-4</v>
      </c>
      <c r="I74" s="101" t="s">
        <v>1212</v>
      </c>
    </row>
    <row r="75" spans="1:13" x14ac:dyDescent="0.2">
      <c r="A75" t="s">
        <v>5653</v>
      </c>
      <c r="B75" s="95">
        <v>2.1145833333333332E-2</v>
      </c>
      <c r="C75" s="34">
        <v>41188</v>
      </c>
      <c r="E75" s="1">
        <f t="shared" si="15"/>
        <v>4.2291666666666667E-3</v>
      </c>
      <c r="F75" s="14">
        <f>1/((30*60+27)/(3600*5))</f>
        <v>9.8522167487684715</v>
      </c>
      <c r="G75" s="1">
        <f t="shared" si="14"/>
        <v>6.8047291666666664E-3</v>
      </c>
      <c r="H75" s="1">
        <f t="shared" si="16"/>
        <v>3.1250000000000028E-4</v>
      </c>
      <c r="I75" s="101"/>
    </row>
    <row r="76" spans="1:13" x14ac:dyDescent="0.2">
      <c r="A76" t="s">
        <v>535</v>
      </c>
      <c r="B76" s="95">
        <v>2.1180555555555553E-2</v>
      </c>
      <c r="C76" s="34">
        <v>41860</v>
      </c>
      <c r="E76" s="1">
        <f t="shared" si="15"/>
        <v>4.2361111111111106E-3</v>
      </c>
      <c r="F76" s="14">
        <f>1/((30*60+30)/(3600*5))</f>
        <v>9.8360655737704921</v>
      </c>
      <c r="G76" s="1">
        <f t="shared" si="14"/>
        <v>6.8159027777777766E-3</v>
      </c>
      <c r="H76" s="1">
        <f t="shared" si="16"/>
        <v>3.4722222222222099E-4</v>
      </c>
      <c r="I76" s="101" t="s">
        <v>1212</v>
      </c>
      <c r="K76" t="s">
        <v>1212</v>
      </c>
    </row>
    <row r="77" spans="1:13" x14ac:dyDescent="0.2">
      <c r="A77" s="115" t="s">
        <v>4861</v>
      </c>
      <c r="B77" s="117">
        <v>2.1203703703703707E-2</v>
      </c>
      <c r="C77" s="141">
        <v>42175</v>
      </c>
      <c r="D77" s="26">
        <v>0.58460000000000001</v>
      </c>
      <c r="E77" s="1">
        <f t="shared" si="15"/>
        <v>4.2407407407407411E-3</v>
      </c>
      <c r="F77" s="14">
        <f>1/((30*60+32)/(3600*5))</f>
        <v>9.825327510917031</v>
      </c>
      <c r="G77" s="1">
        <f t="shared" si="14"/>
        <v>6.8233518518518521E-3</v>
      </c>
      <c r="H77" s="1">
        <f t="shared" si="16"/>
        <v>3.7037037037037507E-4</v>
      </c>
      <c r="I77" s="101" t="s">
        <v>1212</v>
      </c>
      <c r="J77" t="s">
        <v>1212</v>
      </c>
      <c r="K77" t="s">
        <v>1212</v>
      </c>
    </row>
    <row r="78" spans="1:13" x14ac:dyDescent="0.2">
      <c r="A78" t="s">
        <v>6020</v>
      </c>
      <c r="B78" s="95">
        <v>2.1238425925925924E-2</v>
      </c>
      <c r="C78" s="34">
        <v>42105</v>
      </c>
      <c r="D78" s="26">
        <v>0.5837</v>
      </c>
      <c r="E78" s="1">
        <f t="shared" si="15"/>
        <v>4.2476851851851851E-3</v>
      </c>
      <c r="F78" s="14">
        <f>1/((30*60+35)/(3600*5))</f>
        <v>9.8092643051771109</v>
      </c>
      <c r="G78" s="1">
        <f t="shared" si="14"/>
        <v>6.8345254629629624E-3</v>
      </c>
      <c r="H78" s="1">
        <f t="shared" si="16"/>
        <v>4.0509259259259231E-4</v>
      </c>
      <c r="I78" s="101"/>
    </row>
    <row r="79" spans="1:13" x14ac:dyDescent="0.2">
      <c r="A79" s="5" t="s">
        <v>6021</v>
      </c>
      <c r="B79" s="385">
        <v>2.1250000000000002E-2</v>
      </c>
      <c r="C79" s="33">
        <v>42273</v>
      </c>
      <c r="D79" s="26">
        <v>0.58330000000000004</v>
      </c>
      <c r="E79" s="1">
        <f t="shared" si="15"/>
        <v>4.2500000000000003E-3</v>
      </c>
      <c r="F79" s="14">
        <f>1/((30*60+36)/(3600*5))</f>
        <v>9.8039215686274517</v>
      </c>
      <c r="G79" s="1">
        <f t="shared" si="14"/>
        <v>6.8382500000000006E-3</v>
      </c>
      <c r="H79" s="1">
        <f t="shared" si="16"/>
        <v>4.1666666666666935E-4</v>
      </c>
      <c r="I79" s="100"/>
      <c r="K79" t="s">
        <v>1212</v>
      </c>
    </row>
    <row r="80" spans="1:13" x14ac:dyDescent="0.2">
      <c r="A80" t="s">
        <v>4727</v>
      </c>
      <c r="B80" s="95">
        <v>2.1250000000000002E-2</v>
      </c>
      <c r="C80" s="34">
        <v>42252</v>
      </c>
      <c r="D80" s="26">
        <v>0.58330000000000004</v>
      </c>
      <c r="E80" s="1">
        <f t="shared" si="15"/>
        <v>4.2500000000000003E-3</v>
      </c>
      <c r="F80" s="14">
        <f>1/((30*60+36)/(3600*5))</f>
        <v>9.8039215686274517</v>
      </c>
      <c r="G80" s="1">
        <f t="shared" si="14"/>
        <v>6.8382500000000006E-3</v>
      </c>
      <c r="H80" s="1">
        <f t="shared" si="16"/>
        <v>4.1666666666666935E-4</v>
      </c>
      <c r="I80" s="101" t="s">
        <v>1212</v>
      </c>
      <c r="K80" t="s">
        <v>1212</v>
      </c>
    </row>
    <row r="81" spans="1:13" x14ac:dyDescent="0.2">
      <c r="A81" t="s">
        <v>129</v>
      </c>
      <c r="B81" s="95">
        <v>2.1261574074074075E-2</v>
      </c>
      <c r="C81" s="34">
        <v>41671</v>
      </c>
      <c r="E81" s="1">
        <f t="shared" si="15"/>
        <v>4.2523148148148147E-3</v>
      </c>
      <c r="F81" s="14">
        <f>1/((30*60+37)/(3600*5))</f>
        <v>9.7985846488840505</v>
      </c>
      <c r="G81" s="1">
        <f t="shared" si="14"/>
        <v>6.841974537037037E-3</v>
      </c>
      <c r="H81" s="1">
        <f t="shared" si="16"/>
        <v>4.2824074074074292E-4</v>
      </c>
      <c r="I81" s="101"/>
    </row>
    <row r="82" spans="1:13" x14ac:dyDescent="0.2">
      <c r="A82" s="115" t="s">
        <v>4556</v>
      </c>
      <c r="B82" s="117">
        <v>2.1284722222222222E-2</v>
      </c>
      <c r="C82" s="141">
        <v>41349</v>
      </c>
      <c r="E82" s="1">
        <f t="shared" si="15"/>
        <v>4.2569444444444443E-3</v>
      </c>
      <c r="F82" s="14">
        <f>1/((30*60+39)/(3600*5))</f>
        <v>9.7879282218597066</v>
      </c>
      <c r="G82" s="1">
        <f t="shared" si="14"/>
        <v>6.8494236111111108E-3</v>
      </c>
      <c r="H82" s="1">
        <f t="shared" si="16"/>
        <v>4.5138888888889006E-4</v>
      </c>
      <c r="I82" s="101"/>
    </row>
    <row r="83" spans="1:13" x14ac:dyDescent="0.2">
      <c r="A83" t="s">
        <v>2431</v>
      </c>
      <c r="B83" s="95">
        <v>2.1296296296296299E-2</v>
      </c>
      <c r="C83" s="34">
        <v>41762</v>
      </c>
      <c r="E83" s="1">
        <f t="shared" si="15"/>
        <v>4.2592592592592595E-3</v>
      </c>
      <c r="F83" s="14">
        <f>1/((30*60+40)/(3600*5))</f>
        <v>9.7826086956521738</v>
      </c>
      <c r="G83" s="1">
        <f t="shared" si="14"/>
        <v>6.8531481481481481E-3</v>
      </c>
      <c r="H83" s="1">
        <f t="shared" si="16"/>
        <v>4.629629629629671E-4</v>
      </c>
      <c r="I83" s="101"/>
    </row>
    <row r="84" spans="1:13" x14ac:dyDescent="0.2">
      <c r="A84" t="s">
        <v>420</v>
      </c>
      <c r="B84" s="95">
        <v>2.1307870370370369E-2</v>
      </c>
      <c r="C84" s="34">
        <v>42084</v>
      </c>
      <c r="E84" s="1">
        <f t="shared" si="15"/>
        <v>4.2615740740740739E-3</v>
      </c>
      <c r="F84" s="14">
        <f>1/((30*60+41)/(3600*5))</f>
        <v>9.7772949483976106</v>
      </c>
      <c r="G84" s="1">
        <f t="shared" si="14"/>
        <v>6.8568726851851846E-3</v>
      </c>
      <c r="H84" s="1">
        <f t="shared" si="16"/>
        <v>4.745370370370372E-4</v>
      </c>
      <c r="I84" s="101"/>
    </row>
    <row r="85" spans="1:13" x14ac:dyDescent="0.2">
      <c r="A85" t="s">
        <v>2593</v>
      </c>
      <c r="B85" s="95">
        <v>2.1446759259259259E-2</v>
      </c>
      <c r="C85" s="34">
        <v>42126</v>
      </c>
      <c r="E85" s="1">
        <f t="shared" si="15"/>
        <v>4.2893518518518515E-3</v>
      </c>
      <c r="F85" s="14">
        <f>1/((30*60+53)/(3600*5))</f>
        <v>9.7139773340528865</v>
      </c>
      <c r="G85" s="1">
        <f t="shared" si="14"/>
        <v>6.901567129629629E-3</v>
      </c>
      <c r="H85" s="1">
        <f t="shared" si="16"/>
        <v>6.1342592592592698E-4</v>
      </c>
      <c r="I85" s="101"/>
    </row>
    <row r="86" spans="1:13" x14ac:dyDescent="0.2">
      <c r="A86" t="s">
        <v>1214</v>
      </c>
      <c r="B86" s="95">
        <v>2.1446759259259259E-2</v>
      </c>
      <c r="C86" s="34">
        <v>41307</v>
      </c>
      <c r="E86" s="1">
        <f t="shared" si="15"/>
        <v>4.2893518518518515E-3</v>
      </c>
      <c r="F86" s="14">
        <f>1/((30*60+53)/(3600*5))</f>
        <v>9.7139773340528865</v>
      </c>
      <c r="G86" s="1">
        <f t="shared" si="14"/>
        <v>6.901567129629629E-3</v>
      </c>
      <c r="H86" s="1">
        <f t="shared" si="16"/>
        <v>6.1342592592592698E-4</v>
      </c>
      <c r="I86" s="101"/>
    </row>
    <row r="87" spans="1:13" x14ac:dyDescent="0.2">
      <c r="A87" s="115" t="s">
        <v>4694</v>
      </c>
      <c r="B87" s="117">
        <v>2.146990740740741E-2</v>
      </c>
      <c r="C87" s="141">
        <v>42224</v>
      </c>
      <c r="E87" s="1">
        <f t="shared" si="15"/>
        <v>4.293981481481482E-3</v>
      </c>
      <c r="F87" s="14">
        <f>1/((30*60+55)/(3600*5))</f>
        <v>9.703504043126685</v>
      </c>
      <c r="G87" s="1">
        <f t="shared" si="14"/>
        <v>6.9090162037037045E-3</v>
      </c>
      <c r="H87" s="1">
        <f t="shared" si="16"/>
        <v>6.3657407407407759E-4</v>
      </c>
      <c r="I87" s="101"/>
      <c r="K87" t="s">
        <v>1212</v>
      </c>
      <c r="M87" t="s">
        <v>1212</v>
      </c>
    </row>
    <row r="88" spans="1:13" x14ac:dyDescent="0.2">
      <c r="A88" t="s">
        <v>6018</v>
      </c>
      <c r="B88" s="95">
        <v>2.1493055555555557E-2</v>
      </c>
      <c r="C88" s="34">
        <v>41853</v>
      </c>
      <c r="E88" s="1">
        <f t="shared" si="15"/>
        <v>4.2986111111111116E-3</v>
      </c>
      <c r="F88" s="14">
        <f>1/((30*60+57)/(3600*5))</f>
        <v>9.6930533117932143</v>
      </c>
      <c r="G88" s="1">
        <f t="shared" si="14"/>
        <v>6.9164652777777783E-3</v>
      </c>
      <c r="H88" s="1">
        <f t="shared" si="16"/>
        <v>6.5972222222222474E-4</v>
      </c>
      <c r="I88" s="100" t="s">
        <v>13462</v>
      </c>
      <c r="J88" s="2"/>
      <c r="K88" s="2"/>
    </row>
    <row r="89" spans="1:13" x14ac:dyDescent="0.2">
      <c r="A89" t="s">
        <v>3139</v>
      </c>
      <c r="B89" s="95">
        <v>2.1493055555555557E-2</v>
      </c>
      <c r="C89" s="34">
        <v>41895</v>
      </c>
      <c r="E89" s="1">
        <f t="shared" si="15"/>
        <v>4.2986111111111116E-3</v>
      </c>
      <c r="F89" s="14">
        <f>1/((30*60+57)/(3600*5))</f>
        <v>9.6930533117932143</v>
      </c>
      <c r="G89" s="1">
        <f t="shared" si="14"/>
        <v>6.9164652777777783E-3</v>
      </c>
      <c r="H89" s="1">
        <f t="shared" si="16"/>
        <v>6.5972222222222474E-4</v>
      </c>
      <c r="I89" s="100"/>
      <c r="J89" s="2"/>
      <c r="K89" s="2"/>
    </row>
    <row r="90" spans="1:13" x14ac:dyDescent="0.2">
      <c r="A90" t="s">
        <v>4397</v>
      </c>
      <c r="B90" s="95">
        <v>2.1527777777777781E-2</v>
      </c>
      <c r="C90" s="34">
        <v>41881</v>
      </c>
      <c r="E90" s="1">
        <f t="shared" si="15"/>
        <v>4.3055555555555564E-3</v>
      </c>
      <c r="F90" s="14">
        <f>1/((31*60+0)/(3600*5))</f>
        <v>9.67741935483871</v>
      </c>
      <c r="G90" s="1">
        <f t="shared" si="14"/>
        <v>6.9276388888888903E-3</v>
      </c>
      <c r="H90" s="1">
        <f t="shared" si="16"/>
        <v>6.9444444444444892E-4</v>
      </c>
      <c r="I90" s="101" t="s">
        <v>4510</v>
      </c>
      <c r="K90" t="s">
        <v>2321</v>
      </c>
    </row>
    <row r="91" spans="1:13" x14ac:dyDescent="0.2">
      <c r="A91" t="s">
        <v>3167</v>
      </c>
      <c r="B91" s="94">
        <v>2.1608796296296296E-2</v>
      </c>
      <c r="C91" s="34">
        <v>41055</v>
      </c>
      <c r="E91" s="1">
        <f t="shared" si="15"/>
        <v>4.3217592592592596E-3</v>
      </c>
      <c r="F91" s="14">
        <f>1/((31*60+7)/(3600*5))</f>
        <v>9.6411355115158006</v>
      </c>
      <c r="G91" s="1">
        <f t="shared" si="14"/>
        <v>6.953710648148149E-3</v>
      </c>
      <c r="H91" s="1">
        <f t="shared" si="16"/>
        <v>7.7546296296296391E-4</v>
      </c>
      <c r="I91" s="101" t="s">
        <v>3669</v>
      </c>
      <c r="K91" t="s">
        <v>1862</v>
      </c>
    </row>
    <row r="92" spans="1:13" x14ac:dyDescent="0.2">
      <c r="A92" s="115" t="s">
        <v>1627</v>
      </c>
      <c r="B92" s="202">
        <v>2.1666666666666667E-2</v>
      </c>
      <c r="C92" s="141">
        <v>42161</v>
      </c>
      <c r="E92" s="1">
        <f t="shared" si="15"/>
        <v>4.3333333333333331E-3</v>
      </c>
      <c r="F92" s="14">
        <f>1/((31*60+12)/(3600*5))</f>
        <v>9.615384615384615</v>
      </c>
      <c r="G92" s="1">
        <f t="shared" si="14"/>
        <v>6.972333333333333E-3</v>
      </c>
      <c r="H92" s="1">
        <f t="shared" si="16"/>
        <v>8.3333333333333523E-4</v>
      </c>
      <c r="I92" s="101" t="s">
        <v>5239</v>
      </c>
      <c r="K92" t="s">
        <v>1861</v>
      </c>
    </row>
    <row r="93" spans="1:13" x14ac:dyDescent="0.2">
      <c r="A93" t="s">
        <v>5947</v>
      </c>
      <c r="B93" s="94">
        <v>2.1689814814814815E-2</v>
      </c>
      <c r="C93" s="34">
        <v>41706</v>
      </c>
      <c r="E93" s="1">
        <f t="shared" si="15"/>
        <v>4.3379629629629627E-3</v>
      </c>
      <c r="F93" s="14">
        <f>1/((31*60+14)/(3600*5))</f>
        <v>9.6051227321237995</v>
      </c>
      <c r="G93" s="1">
        <f t="shared" si="14"/>
        <v>6.9797824074074068E-3</v>
      </c>
      <c r="H93" s="1">
        <f t="shared" si="16"/>
        <v>8.5648148148148237E-4</v>
      </c>
      <c r="I93" s="617" t="s">
        <v>8015</v>
      </c>
      <c r="K93" s="80" t="s">
        <v>8041</v>
      </c>
    </row>
    <row r="94" spans="1:13" x14ac:dyDescent="0.2">
      <c r="A94" t="s">
        <v>62</v>
      </c>
      <c r="B94" s="94">
        <v>2.1770833333333336E-2</v>
      </c>
      <c r="C94" s="34">
        <v>42231</v>
      </c>
      <c r="E94" s="1">
        <f t="shared" si="15"/>
        <v>4.3541666666666676E-3</v>
      </c>
      <c r="F94" s="14">
        <f>1/((31*60+21)/(3600*5))</f>
        <v>9.5693779904306222</v>
      </c>
      <c r="G94" s="1">
        <f t="shared" si="14"/>
        <v>7.005854166666668E-3</v>
      </c>
      <c r="H94" s="1">
        <f t="shared" si="16"/>
        <v>9.375000000000043E-4</v>
      </c>
      <c r="I94" s="101"/>
    </row>
    <row r="95" spans="1:13" x14ac:dyDescent="0.2">
      <c r="A95" t="s">
        <v>5440</v>
      </c>
      <c r="B95" s="94">
        <v>2.1817129629629631E-2</v>
      </c>
      <c r="C95" s="34">
        <v>41412</v>
      </c>
      <c r="E95" s="1">
        <f t="shared" si="15"/>
        <v>4.363425925925926E-3</v>
      </c>
      <c r="F95" s="14">
        <f>1/((31*60+25)/(3600*5))</f>
        <v>9.5490716180371358</v>
      </c>
      <c r="G95" s="1">
        <f t="shared" si="14"/>
        <v>7.0207523148148147E-3</v>
      </c>
      <c r="H95" s="1">
        <f t="shared" si="16"/>
        <v>9.8379629629629858E-4</v>
      </c>
      <c r="I95" s="101"/>
    </row>
    <row r="96" spans="1:13" x14ac:dyDescent="0.2">
      <c r="A96" t="s">
        <v>4176</v>
      </c>
      <c r="B96" s="94">
        <v>2.1863425925925925E-2</v>
      </c>
      <c r="C96" s="34">
        <v>41335</v>
      </c>
      <c r="E96" s="1">
        <f t="shared" si="15"/>
        <v>4.3726851851851852E-3</v>
      </c>
      <c r="F96" s="14">
        <f>1/((31*60+29)/(3600*5))</f>
        <v>9.5288512440444677</v>
      </c>
      <c r="G96" s="1">
        <f t="shared" si="14"/>
        <v>7.0356504629629632E-3</v>
      </c>
      <c r="H96" s="1">
        <f t="shared" si="16"/>
        <v>1.0300925925925929E-3</v>
      </c>
      <c r="I96" s="101"/>
    </row>
    <row r="97" spans="1:9" x14ac:dyDescent="0.2">
      <c r="A97" s="115" t="s">
        <v>5267</v>
      </c>
      <c r="B97" s="202">
        <v>2.1909722222222223E-2</v>
      </c>
      <c r="C97" s="141">
        <v>42469</v>
      </c>
      <c r="E97" s="1">
        <f t="shared" si="15"/>
        <v>4.3819444444444444E-3</v>
      </c>
      <c r="F97" s="14">
        <f>1/((31*60+33)/(3600*5))</f>
        <v>9.5087163232963547</v>
      </c>
      <c r="G97" s="1">
        <f>E97*1.609</f>
        <v>7.0505486111111107E-3</v>
      </c>
      <c r="H97" s="1">
        <f t="shared" si="16"/>
        <v>1.0763888888888906E-3</v>
      </c>
      <c r="I97" s="100" t="s">
        <v>8635</v>
      </c>
    </row>
    <row r="98" spans="1:9" x14ac:dyDescent="0.2">
      <c r="A98" t="s">
        <v>999</v>
      </c>
      <c r="B98" s="94">
        <v>2.1990740740740741E-2</v>
      </c>
      <c r="C98" s="34">
        <v>41132</v>
      </c>
      <c r="E98" s="1">
        <f t="shared" si="15"/>
        <v>4.3981481481481484E-3</v>
      </c>
      <c r="F98" s="14">
        <f>1/((31*60+40)/(3600*5))</f>
        <v>9.473684210526315</v>
      </c>
      <c r="G98" s="1">
        <f>E98*1.609</f>
        <v>7.0766203703703711E-3</v>
      </c>
      <c r="H98" s="1">
        <f t="shared" si="16"/>
        <v>1.1574074074074091E-3</v>
      </c>
      <c r="I98" s="617"/>
    </row>
    <row r="99" spans="1:9" x14ac:dyDescent="0.2">
      <c r="A99" t="s">
        <v>4544</v>
      </c>
      <c r="B99" s="94">
        <v>2.2094907407407407E-2</v>
      </c>
      <c r="C99" s="34">
        <v>41839</v>
      </c>
      <c r="E99" s="1">
        <f t="shared" si="15"/>
        <v>4.4189814814814812E-3</v>
      </c>
      <c r="F99" s="14">
        <f>1/((31*60+49)/(3600*5))</f>
        <v>9.4290204295442646</v>
      </c>
      <c r="G99" s="1">
        <f t="shared" si="14"/>
        <v>7.1101412037037036E-3</v>
      </c>
      <c r="H99" s="1">
        <f t="shared" si="16"/>
        <v>1.2615740740740747E-3</v>
      </c>
      <c r="I99" s="101"/>
    </row>
    <row r="100" spans="1:9" x14ac:dyDescent="0.2">
      <c r="A100" t="s">
        <v>527</v>
      </c>
      <c r="B100" s="94">
        <v>2.2129629629629628E-2</v>
      </c>
      <c r="C100" s="34">
        <v>42182</v>
      </c>
      <c r="E100" s="1">
        <f t="shared" si="15"/>
        <v>4.4259259259259252E-3</v>
      </c>
      <c r="F100" s="14">
        <f>1/((31*60+52)/(3600*5))</f>
        <v>9.4142259414225951</v>
      </c>
      <c r="G100" s="1">
        <f t="shared" si="14"/>
        <v>7.1213148148148138E-3</v>
      </c>
      <c r="H100" s="1">
        <f t="shared" si="16"/>
        <v>1.2962962962962954E-3</v>
      </c>
      <c r="I100" s="101" t="s">
        <v>8333</v>
      </c>
    </row>
    <row r="101" spans="1:9" x14ac:dyDescent="0.2">
      <c r="A101" t="s">
        <v>4452</v>
      </c>
      <c r="B101" s="644">
        <v>2.2233796296296297E-2</v>
      </c>
      <c r="C101" s="34">
        <v>42441</v>
      </c>
      <c r="E101" s="1">
        <f t="shared" si="15"/>
        <v>4.4467592592592597E-3</v>
      </c>
      <c r="F101" s="14">
        <f>1/((31*60+52)/(3600*5))</f>
        <v>9.4142259414225951</v>
      </c>
      <c r="G101" s="1">
        <f t="shared" si="14"/>
        <v>7.1548356481481489E-3</v>
      </c>
      <c r="H101" s="1">
        <f t="shared" si="16"/>
        <v>1.4004629629629645E-3</v>
      </c>
      <c r="I101" s="101" t="s">
        <v>8144</v>
      </c>
    </row>
    <row r="102" spans="1:9" x14ac:dyDescent="0.2">
      <c r="A102" s="115" t="s">
        <v>5821</v>
      </c>
      <c r="B102" s="645">
        <v>2.2488425925925926E-2</v>
      </c>
      <c r="C102" s="141">
        <v>42203</v>
      </c>
      <c r="E102" s="1">
        <f t="shared" ref="E102:E114" si="17">B102/5</f>
        <v>4.4976851851851853E-3</v>
      </c>
      <c r="F102" s="14">
        <f>1/((32*60+23)/(3600*5))</f>
        <v>9.2640247040658785</v>
      </c>
      <c r="G102" s="1">
        <f t="shared" si="14"/>
        <v>7.2367754629629631E-3</v>
      </c>
      <c r="H102" s="1">
        <f t="shared" ref="H102:H113" si="18">B102-$B$154</f>
        <v>1.6550925925925934E-3</v>
      </c>
      <c r="I102" s="101"/>
    </row>
    <row r="103" spans="1:9" x14ac:dyDescent="0.2">
      <c r="A103" t="s">
        <v>1929</v>
      </c>
      <c r="B103" s="644">
        <v>2.2523148148148143E-2</v>
      </c>
      <c r="C103" s="34">
        <v>42518</v>
      </c>
      <c r="E103" s="1">
        <f t="shared" si="17"/>
        <v>4.5046296296296284E-3</v>
      </c>
      <c r="F103" s="14">
        <f>1/((32*60+23)/(3600*5))</f>
        <v>9.2640247040658785</v>
      </c>
      <c r="G103" s="1">
        <f t="shared" si="14"/>
        <v>7.2479490740740725E-3</v>
      </c>
      <c r="H103" s="1">
        <f t="shared" si="18"/>
        <v>1.6898148148148107E-3</v>
      </c>
      <c r="I103" s="101"/>
    </row>
    <row r="104" spans="1:9" x14ac:dyDescent="0.2">
      <c r="A104" t="s">
        <v>1805</v>
      </c>
      <c r="B104" s="644">
        <v>2.2627314814814819E-2</v>
      </c>
      <c r="C104" s="34">
        <v>42119</v>
      </c>
      <c r="E104" s="1">
        <f t="shared" si="17"/>
        <v>4.5254629629629638E-3</v>
      </c>
      <c r="F104" s="14">
        <f>1/((32*60+35)/(3600*5))</f>
        <v>9.2071611253196934</v>
      </c>
      <c r="G104" s="1">
        <f t="shared" si="14"/>
        <v>7.2814699074074084E-3</v>
      </c>
      <c r="H104" s="1">
        <f t="shared" si="18"/>
        <v>1.7939814814814867E-3</v>
      </c>
      <c r="I104" s="101"/>
    </row>
    <row r="105" spans="1:9" x14ac:dyDescent="0.2">
      <c r="A105" t="s">
        <v>2872</v>
      </c>
      <c r="B105" s="644">
        <v>2.2673611111111113E-2</v>
      </c>
      <c r="C105" s="34">
        <v>42434</v>
      </c>
      <c r="E105" s="1">
        <f t="shared" si="17"/>
        <v>4.534722222222223E-3</v>
      </c>
      <c r="F105" s="14">
        <f>1/((32*60+35)/(3600*5))</f>
        <v>9.2071611253196934</v>
      </c>
      <c r="G105" s="1">
        <f t="shared" ref="G105:G114" si="19">E105*1.609</f>
        <v>7.2963680555555568E-3</v>
      </c>
      <c r="H105" s="1">
        <f t="shared" si="18"/>
        <v>1.840277777777781E-3</v>
      </c>
      <c r="I105" s="101"/>
    </row>
    <row r="106" spans="1:9" x14ac:dyDescent="0.2">
      <c r="A106" t="s">
        <v>1569</v>
      </c>
      <c r="B106" s="644">
        <v>2.2800925925925929E-2</v>
      </c>
      <c r="C106" s="34">
        <v>42112</v>
      </c>
      <c r="E106" s="1">
        <f t="shared" si="17"/>
        <v>4.5601851851851862E-3</v>
      </c>
      <c r="F106" s="14">
        <f>1/((32*60+50)/(3600*5))</f>
        <v>9.1370558375634516</v>
      </c>
      <c r="G106" s="1">
        <f t="shared" si="19"/>
        <v>7.3373379629629648E-3</v>
      </c>
      <c r="H106" s="1">
        <f t="shared" si="18"/>
        <v>1.9675925925925972E-3</v>
      </c>
      <c r="I106" s="101"/>
    </row>
    <row r="107" spans="1:9" x14ac:dyDescent="0.2">
      <c r="A107" t="s">
        <v>4936</v>
      </c>
      <c r="B107" s="647">
        <v>2.3171296296296297E-2</v>
      </c>
      <c r="C107" s="34">
        <v>42490</v>
      </c>
      <c r="E107" s="1">
        <f t="shared" si="17"/>
        <v>4.6342592592592598E-3</v>
      </c>
      <c r="F107" s="14">
        <f>1/((33*60+22)/(3600*5))</f>
        <v>8.9910089910089912</v>
      </c>
      <c r="G107" s="1">
        <f t="shared" si="19"/>
        <v>7.4565231481481488E-3</v>
      </c>
      <c r="H107" s="1">
        <f t="shared" si="18"/>
        <v>2.3379629629629653E-3</v>
      </c>
      <c r="I107" s="101"/>
    </row>
    <row r="108" spans="1:9" x14ac:dyDescent="0.2">
      <c r="A108" t="s">
        <v>4499</v>
      </c>
      <c r="B108" s="647">
        <v>2.3217592592592592E-2</v>
      </c>
      <c r="C108" s="34">
        <v>42476</v>
      </c>
      <c r="E108" s="1">
        <f t="shared" si="17"/>
        <v>4.6435185185185182E-3</v>
      </c>
      <c r="F108" s="14">
        <f>1/((33*60+26)/(3600*5))</f>
        <v>8.9730807577268195</v>
      </c>
      <c r="G108" s="1">
        <f t="shared" si="19"/>
        <v>7.4714212962962955E-3</v>
      </c>
      <c r="H108" s="1">
        <f t="shared" si="18"/>
        <v>2.3842592592592596E-3</v>
      </c>
      <c r="I108" s="101"/>
    </row>
    <row r="109" spans="1:9" x14ac:dyDescent="0.2">
      <c r="A109" t="s">
        <v>74</v>
      </c>
      <c r="B109" s="647">
        <v>2.3391203703703702E-2</v>
      </c>
      <c r="C109" s="34">
        <v>42665</v>
      </c>
      <c r="E109" s="1">
        <f t="shared" si="17"/>
        <v>4.6782407407407406E-3</v>
      </c>
      <c r="F109" s="14">
        <f>1/((33*60+41)/(3600*5))</f>
        <v>8.9064819396338439</v>
      </c>
      <c r="G109" s="1">
        <f t="shared" si="19"/>
        <v>7.5272893518518518E-3</v>
      </c>
      <c r="H109" s="1">
        <f t="shared" si="18"/>
        <v>2.5578703703703701E-3</v>
      </c>
      <c r="I109" s="101"/>
    </row>
    <row r="110" spans="1:9" x14ac:dyDescent="0.2">
      <c r="A110" t="s">
        <v>161</v>
      </c>
      <c r="B110" s="647">
        <v>2.3472222222222217E-2</v>
      </c>
      <c r="C110" s="34">
        <v>42455</v>
      </c>
      <c r="E110" s="1">
        <f t="shared" si="17"/>
        <v>4.6944444444444438E-3</v>
      </c>
      <c r="F110" s="14">
        <f>1/((33*60+48)/(3600*5))</f>
        <v>8.8757396449704142</v>
      </c>
      <c r="G110" s="1">
        <f t="shared" si="19"/>
        <v>7.5533611111111097E-3</v>
      </c>
      <c r="H110" s="1">
        <f t="shared" si="18"/>
        <v>2.6388888888888851E-3</v>
      </c>
      <c r="I110" s="101"/>
    </row>
    <row r="111" spans="1:9" x14ac:dyDescent="0.2">
      <c r="A111" t="s">
        <v>4510</v>
      </c>
      <c r="B111" s="643">
        <v>2.4282407407407409E-2</v>
      </c>
      <c r="C111" s="34">
        <v>42497</v>
      </c>
      <c r="D111" s="26">
        <v>0.51719999999999999</v>
      </c>
      <c r="E111" s="1">
        <f t="shared" si="17"/>
        <v>4.8564814814814816E-3</v>
      </c>
      <c r="F111" s="14">
        <f>1/((34*60+58)/(3600*5))</f>
        <v>8.5795996186844619</v>
      </c>
      <c r="G111" s="1">
        <f t="shared" si="19"/>
        <v>7.8140787037037033E-3</v>
      </c>
      <c r="H111" s="1">
        <f t="shared" si="18"/>
        <v>3.4490740740740766E-3</v>
      </c>
      <c r="I111" s="101"/>
    </row>
    <row r="112" spans="1:9" x14ac:dyDescent="0.2">
      <c r="A112" t="s">
        <v>1654</v>
      </c>
      <c r="B112" s="643">
        <v>2.431712962962963E-2</v>
      </c>
      <c r="C112" s="34">
        <v>42532</v>
      </c>
      <c r="D112" s="26">
        <v>0.51639999999999997</v>
      </c>
      <c r="E112" s="1">
        <f t="shared" si="17"/>
        <v>4.8634259259259256E-3</v>
      </c>
      <c r="F112" s="14">
        <f>1/((35*60+1)/(3600*5))</f>
        <v>8.5673488814850067</v>
      </c>
      <c r="G112" s="1">
        <f t="shared" si="19"/>
        <v>7.8252523148148144E-3</v>
      </c>
      <c r="H112" s="1">
        <f t="shared" si="18"/>
        <v>3.4837962962962973E-3</v>
      </c>
      <c r="I112" s="101"/>
    </row>
    <row r="113" spans="1:9" x14ac:dyDescent="0.2">
      <c r="A113" t="s">
        <v>9304</v>
      </c>
      <c r="B113" s="643">
        <v>2.4398148148148145E-2</v>
      </c>
      <c r="C113" s="34">
        <v>43190</v>
      </c>
      <c r="D113" s="72">
        <v>0.52229999999999999</v>
      </c>
      <c r="E113" s="1">
        <f t="shared" si="17"/>
        <v>4.8796296296296287E-3</v>
      </c>
      <c r="F113" s="14">
        <f>1/((35*60+8)/(3600*5))</f>
        <v>8.5388994307400381</v>
      </c>
      <c r="G113" s="1">
        <f t="shared" si="19"/>
        <v>7.8513240740740731E-3</v>
      </c>
      <c r="H113" s="1">
        <f t="shared" si="18"/>
        <v>3.5648148148148123E-3</v>
      </c>
      <c r="I113" s="101"/>
    </row>
    <row r="114" spans="1:9" x14ac:dyDescent="0.2">
      <c r="A114" t="s">
        <v>10622</v>
      </c>
      <c r="B114" s="643">
        <v>2.449074074074074E-2</v>
      </c>
      <c r="C114" s="34">
        <v>43358</v>
      </c>
      <c r="D114" s="26">
        <v>0.52839999999999998</v>
      </c>
      <c r="E114" s="1">
        <f t="shared" si="17"/>
        <v>4.898148148148148E-3</v>
      </c>
      <c r="F114" s="14">
        <f>1/((35*60+8)/(3600*5))</f>
        <v>8.5388994307400381</v>
      </c>
      <c r="G114" s="1">
        <f t="shared" si="19"/>
        <v>7.8811203703703699E-3</v>
      </c>
      <c r="H114" s="1">
        <f>B113-$B$154</f>
        <v>3.5648148148148123E-3</v>
      </c>
      <c r="I114" s="101"/>
    </row>
    <row r="115" spans="1:9" x14ac:dyDescent="0.2">
      <c r="A115" t="s">
        <v>4161</v>
      </c>
      <c r="B115" s="643">
        <v>2.449074074074074E-2</v>
      </c>
      <c r="C115" s="34">
        <v>42679</v>
      </c>
      <c r="D115" s="26">
        <v>0.51490000000000002</v>
      </c>
      <c r="E115" s="1">
        <f t="shared" ref="E115:E122" si="20">B115/5</f>
        <v>4.898148148148148E-3</v>
      </c>
      <c r="F115" s="14">
        <f>1/((35*60+16)/(3600*5))</f>
        <v>8.5066162570888473</v>
      </c>
      <c r="G115" s="1">
        <f t="shared" ref="G115:G122" si="21">E115*1.609</f>
        <v>7.8811203703703699E-3</v>
      </c>
      <c r="H115" s="1">
        <f t="shared" ref="H115:H121" si="22">B115-$B$154</f>
        <v>3.6574074074074078E-3</v>
      </c>
      <c r="I115" s="101"/>
    </row>
    <row r="116" spans="1:9" x14ac:dyDescent="0.2">
      <c r="A116" s="80" t="s">
        <v>9620</v>
      </c>
      <c r="B116" s="643">
        <v>2.4756944444444443E-2</v>
      </c>
      <c r="C116" s="523">
        <v>43386</v>
      </c>
      <c r="D116" s="26">
        <v>0.52270000000000005</v>
      </c>
      <c r="E116" s="1">
        <f t="shared" si="20"/>
        <v>4.9513888888888889E-3</v>
      </c>
      <c r="F116" s="14">
        <f>1/((37*60+23)/(3600*5))</f>
        <v>8.0249665626393227</v>
      </c>
      <c r="G116" s="1">
        <f t="shared" si="21"/>
        <v>7.9667847222222223E-3</v>
      </c>
      <c r="H116" s="1">
        <f t="shared" si="22"/>
        <v>3.9236111111111104E-3</v>
      </c>
      <c r="I116" s="101"/>
    </row>
    <row r="117" spans="1:9" x14ac:dyDescent="0.2">
      <c r="A117" s="549" t="s">
        <v>8154</v>
      </c>
      <c r="B117" s="643">
        <v>2.4918981481481483E-2</v>
      </c>
      <c r="C117" s="34">
        <v>43022</v>
      </c>
      <c r="E117" s="1">
        <f t="shared" si="20"/>
        <v>4.9837962962962969E-3</v>
      </c>
      <c r="F117" s="14">
        <f>1/((35*60+53)/(3600*5))</f>
        <v>8.3604273107292144</v>
      </c>
      <c r="G117" s="1">
        <f t="shared" si="21"/>
        <v>8.0189282407407414E-3</v>
      </c>
      <c r="H117" s="1">
        <f t="shared" si="22"/>
        <v>4.0856481481481507E-3</v>
      </c>
      <c r="I117" s="101"/>
    </row>
    <row r="118" spans="1:9" x14ac:dyDescent="0.2">
      <c r="A118" t="s">
        <v>5239</v>
      </c>
      <c r="B118" s="648">
        <v>2.508101851851852E-2</v>
      </c>
      <c r="C118" s="34">
        <v>42588</v>
      </c>
      <c r="E118" s="1">
        <f t="shared" si="20"/>
        <v>5.0162037037037041E-3</v>
      </c>
      <c r="F118" s="14">
        <f>1/((36*60+7)/(3600*5))</f>
        <v>8.3064143977849554</v>
      </c>
      <c r="G118" s="1">
        <f t="shared" si="21"/>
        <v>8.0710717592592605E-3</v>
      </c>
      <c r="H118" s="1">
        <f t="shared" si="22"/>
        <v>4.2476851851851877E-3</v>
      </c>
      <c r="I118" s="101"/>
    </row>
    <row r="119" spans="1:9" x14ac:dyDescent="0.2">
      <c r="A119" t="s">
        <v>6393</v>
      </c>
      <c r="B119" s="648">
        <v>2.5092592592592593E-2</v>
      </c>
      <c r="C119" s="34">
        <v>42826</v>
      </c>
      <c r="E119" s="1">
        <f t="shared" si="20"/>
        <v>5.0185185185185185E-3</v>
      </c>
      <c r="F119" s="14">
        <f>1/((36*60+8)/(3600*5))</f>
        <v>8.3025830258302573</v>
      </c>
      <c r="G119" s="1">
        <f t="shared" si="21"/>
        <v>8.0747962962962969E-3</v>
      </c>
      <c r="H119" s="1">
        <f t="shared" si="22"/>
        <v>4.2592592592592612E-3</v>
      </c>
      <c r="I119" s="101"/>
    </row>
    <row r="120" spans="1:9" x14ac:dyDescent="0.2">
      <c r="A120" t="s">
        <v>4379</v>
      </c>
      <c r="B120" s="648">
        <v>2.5150462962962961E-2</v>
      </c>
      <c r="C120" s="34">
        <v>42938</v>
      </c>
      <c r="E120" s="1">
        <f t="shared" si="20"/>
        <v>5.0300925925925921E-3</v>
      </c>
      <c r="F120" s="14">
        <f>1/((36*60+13)/(3600*5))</f>
        <v>8.283479061205707</v>
      </c>
      <c r="G120" s="1">
        <f t="shared" si="21"/>
        <v>8.093418981481481E-3</v>
      </c>
      <c r="H120" s="1">
        <f>B120-$B$154</f>
        <v>4.3171296296296291E-3</v>
      </c>
      <c r="I120" s="101"/>
    </row>
    <row r="121" spans="1:9" x14ac:dyDescent="0.2">
      <c r="A121" s="80" t="s">
        <v>6159</v>
      </c>
      <c r="B121" s="649">
        <v>2.5196759259259256E-2</v>
      </c>
      <c r="C121" s="34">
        <v>42833</v>
      </c>
      <c r="D121" s="26">
        <v>0.50570000000000004</v>
      </c>
      <c r="E121" s="1">
        <f t="shared" si="20"/>
        <v>5.0393518518518513E-3</v>
      </c>
      <c r="F121" s="14">
        <f>1/((36*60+17)/(3600*5))</f>
        <v>8.2682590721175941</v>
      </c>
      <c r="G121" s="1">
        <f t="shared" si="21"/>
        <v>8.1083171296296285E-3</v>
      </c>
      <c r="H121" s="1">
        <f t="shared" si="22"/>
        <v>4.3634259259259234E-3</v>
      </c>
      <c r="I121" s="101"/>
    </row>
    <row r="122" spans="1:9" x14ac:dyDescent="0.2">
      <c r="A122" t="s">
        <v>2995</v>
      </c>
      <c r="B122" s="648">
        <v>2.5370370370370366E-2</v>
      </c>
      <c r="C122" s="34">
        <v>42651</v>
      </c>
      <c r="E122" s="1">
        <f t="shared" si="20"/>
        <v>5.0740740740740729E-3</v>
      </c>
      <c r="F122" s="14">
        <f>1/((36*60+32)/(3600*5))</f>
        <v>8.2116788321167888</v>
      </c>
      <c r="G122" s="1">
        <f t="shared" si="21"/>
        <v>8.1641851851851823E-3</v>
      </c>
      <c r="H122" s="1">
        <f t="shared" ref="H122:H131" si="23">B122-$B$154</f>
        <v>4.5370370370370339E-3</v>
      </c>
      <c r="I122" s="101"/>
    </row>
    <row r="123" spans="1:9" x14ac:dyDescent="0.2">
      <c r="A123" t="s">
        <v>8009</v>
      </c>
      <c r="B123" s="648">
        <v>2.5462962962962962E-2</v>
      </c>
      <c r="C123" s="34">
        <v>42973</v>
      </c>
      <c r="E123" s="1">
        <f t="shared" ref="E123:E132" si="24">B123/5</f>
        <v>5.0925925925925921E-3</v>
      </c>
      <c r="F123" s="14">
        <f>1/((36*60+40)/(3600*5))</f>
        <v>8.1818181818181817</v>
      </c>
      <c r="G123" s="1">
        <f t="shared" ref="G123:G132" si="25">E123*1.609</f>
        <v>8.1939814814814809E-3</v>
      </c>
      <c r="H123" s="1">
        <f t="shared" si="23"/>
        <v>4.6296296296296294E-3</v>
      </c>
      <c r="I123" s="101"/>
    </row>
    <row r="124" spans="1:9" x14ac:dyDescent="0.2">
      <c r="A124" t="s">
        <v>3669</v>
      </c>
      <c r="B124" s="648">
        <v>2.5520833333333336E-2</v>
      </c>
      <c r="C124" s="34">
        <v>42511</v>
      </c>
      <c r="D124" s="26">
        <v>0.49209999999999998</v>
      </c>
      <c r="E124" s="1">
        <f t="shared" si="24"/>
        <v>5.1041666666666674E-3</v>
      </c>
      <c r="F124" s="14">
        <f>1/((36*60+45)/(3600*5))</f>
        <v>8.1632653061224492</v>
      </c>
      <c r="G124" s="1">
        <f t="shared" si="25"/>
        <v>8.2126041666666684E-3</v>
      </c>
      <c r="H124" s="1">
        <f t="shared" si="23"/>
        <v>4.6875000000000042E-3</v>
      </c>
      <c r="I124" s="101"/>
    </row>
    <row r="125" spans="1:9" x14ac:dyDescent="0.2">
      <c r="A125" s="80" t="s">
        <v>10983</v>
      </c>
      <c r="B125" s="648">
        <v>2.5578703703703704E-2</v>
      </c>
      <c r="C125" s="34">
        <v>43568</v>
      </c>
      <c r="D125" s="26">
        <v>0.51449999999999996</v>
      </c>
      <c r="E125" s="1">
        <f t="shared" si="24"/>
        <v>5.115740740740741E-3</v>
      </c>
      <c r="F125" s="14">
        <f>1/((36*60+50)/(3600*5))</f>
        <v>8.1447963800904972</v>
      </c>
      <c r="G125" s="1">
        <f t="shared" si="25"/>
        <v>8.2312268518518524E-3</v>
      </c>
      <c r="H125" s="1">
        <f t="shared" si="23"/>
        <v>4.745370370370372E-3</v>
      </c>
      <c r="I125" s="101"/>
    </row>
    <row r="126" spans="1:9" x14ac:dyDescent="0.2">
      <c r="A126" t="s">
        <v>5948</v>
      </c>
      <c r="B126" s="648">
        <v>2.5578703703703704E-2</v>
      </c>
      <c r="C126" s="34">
        <v>42987</v>
      </c>
      <c r="D126" s="26">
        <v>0.49819999999999998</v>
      </c>
      <c r="E126" s="1">
        <f t="shared" si="24"/>
        <v>5.115740740740741E-3</v>
      </c>
      <c r="F126" s="14">
        <f>1/((36*60+50)/(3600*5))</f>
        <v>8.1447963800904972</v>
      </c>
      <c r="G126" s="1">
        <f t="shared" si="25"/>
        <v>8.2312268518518524E-3</v>
      </c>
      <c r="H126" s="1">
        <f t="shared" si="23"/>
        <v>4.745370370370372E-3</v>
      </c>
      <c r="I126" s="101"/>
    </row>
    <row r="127" spans="1:9" x14ac:dyDescent="0.2">
      <c r="A127" t="s">
        <v>8373</v>
      </c>
      <c r="B127" s="650">
        <v>2.5740740740740745E-2</v>
      </c>
      <c r="C127" s="34">
        <v>43008</v>
      </c>
      <c r="E127" s="1">
        <f t="shared" si="24"/>
        <v>5.1481481481481491E-3</v>
      </c>
      <c r="F127" s="14">
        <f>1/((37*60+4)/(3600*5))</f>
        <v>8.0935251798561154</v>
      </c>
      <c r="G127" s="1">
        <f t="shared" si="25"/>
        <v>8.2833703703703715E-3</v>
      </c>
      <c r="H127" s="1">
        <f t="shared" si="23"/>
        <v>4.9074074074074124E-3</v>
      </c>
      <c r="I127" s="101"/>
    </row>
    <row r="128" spans="1:9" x14ac:dyDescent="0.2">
      <c r="A128" t="s">
        <v>8015</v>
      </c>
      <c r="B128" s="650">
        <v>2.5752314814814815E-2</v>
      </c>
      <c r="C128" s="34">
        <v>43197</v>
      </c>
      <c r="D128" s="26">
        <v>0.50249999999999995</v>
      </c>
      <c r="E128" s="1">
        <f t="shared" si="24"/>
        <v>5.1504629629629626E-3</v>
      </c>
      <c r="F128" s="14">
        <f>1/((37*60+5)/(3600*5))</f>
        <v>8.0898876404494384</v>
      </c>
      <c r="G128" s="1">
        <f t="shared" si="25"/>
        <v>8.2870949074074062E-3</v>
      </c>
      <c r="H128" s="1">
        <f t="shared" si="23"/>
        <v>4.9189814814814825E-3</v>
      </c>
      <c r="I128" s="101"/>
    </row>
    <row r="129" spans="1:9" x14ac:dyDescent="0.2">
      <c r="A129" t="s">
        <v>9307</v>
      </c>
      <c r="B129" s="650">
        <v>2.5821759259259256E-2</v>
      </c>
      <c r="C129" s="34">
        <v>43232</v>
      </c>
      <c r="D129" s="26">
        <v>0.50109999999999999</v>
      </c>
      <c r="E129" s="1">
        <f t="shared" si="24"/>
        <v>5.1643518518518514E-3</v>
      </c>
      <c r="F129" s="14">
        <f>1/((37*60+11)/(3600*5))</f>
        <v>8.0681308830121026</v>
      </c>
      <c r="G129" s="1">
        <f t="shared" si="25"/>
        <v>8.3094421296296284E-3</v>
      </c>
      <c r="H129" s="1">
        <f>B129-$B$154</f>
        <v>4.9884259259259239E-3</v>
      </c>
      <c r="I129" s="101"/>
    </row>
    <row r="130" spans="1:9" x14ac:dyDescent="0.2">
      <c r="A130" t="s">
        <v>203</v>
      </c>
      <c r="B130" s="650">
        <v>2.5868055555555557E-2</v>
      </c>
      <c r="C130" s="523">
        <v>43141</v>
      </c>
      <c r="E130" s="1">
        <f t="shared" si="24"/>
        <v>5.1736111111111115E-3</v>
      </c>
      <c r="F130" s="14">
        <f>1/((37*60+15)/(3600*5))</f>
        <v>8.053691275167786</v>
      </c>
      <c r="G130" s="1">
        <f t="shared" si="25"/>
        <v>8.3243402777777777E-3</v>
      </c>
      <c r="H130" s="1">
        <f t="shared" si="23"/>
        <v>5.0347222222222252E-3</v>
      </c>
      <c r="I130" s="101"/>
    </row>
    <row r="131" spans="1:9" x14ac:dyDescent="0.2">
      <c r="A131" t="s">
        <v>9872</v>
      </c>
      <c r="B131" s="650">
        <v>2.5914351851851855E-2</v>
      </c>
      <c r="C131" s="523">
        <v>43253</v>
      </c>
      <c r="E131" s="1">
        <f t="shared" si="24"/>
        <v>5.1828703703703707E-3</v>
      </c>
      <c r="F131" s="14">
        <f>1/((37*60+23)/(3600*5))</f>
        <v>8.0249665626393227</v>
      </c>
      <c r="G131" s="1">
        <f t="shared" si="25"/>
        <v>8.339238425925927E-3</v>
      </c>
      <c r="H131" s="1">
        <f t="shared" si="23"/>
        <v>5.0810185185185229E-3</v>
      </c>
      <c r="I131" s="101"/>
    </row>
    <row r="132" spans="1:9" x14ac:dyDescent="0.2">
      <c r="A132" s="2" t="s">
        <v>9407</v>
      </c>
      <c r="B132" s="650">
        <v>2.6168981481481477E-2</v>
      </c>
      <c r="C132" s="523">
        <v>43204</v>
      </c>
      <c r="E132" s="1">
        <f t="shared" si="24"/>
        <v>5.2337962962962954E-3</v>
      </c>
      <c r="F132" s="14">
        <f>1/((37*60+19)/(3600*5))</f>
        <v>8.0393032603841004</v>
      </c>
      <c r="G132" s="1">
        <f t="shared" si="25"/>
        <v>8.4211782407407395E-3</v>
      </c>
      <c r="H132" s="1">
        <f>B132-$B$154</f>
        <v>5.3356481481481449E-3</v>
      </c>
      <c r="I132" s="101"/>
    </row>
    <row r="133" spans="1:9" x14ac:dyDescent="0.2">
      <c r="A133" s="80" t="s">
        <v>5230</v>
      </c>
      <c r="B133" s="650">
        <v>2.6192129629629631E-2</v>
      </c>
      <c r="C133" s="523">
        <v>43337</v>
      </c>
      <c r="E133" s="1">
        <f t="shared" ref="E133:E136" si="26">B133/5</f>
        <v>5.2384259259259259E-3</v>
      </c>
      <c r="F133" s="14">
        <f>1/((37*60+19)/(3600*5))</f>
        <v>8.0393032603841004</v>
      </c>
      <c r="G133" s="1">
        <f t="shared" ref="G133:G136" si="27">E133*1.609</f>
        <v>8.4286273148148141E-3</v>
      </c>
      <c r="H133" s="1">
        <f t="shared" ref="H133:H136" si="28">B133-$B$154</f>
        <v>5.358796296296299E-3</v>
      </c>
      <c r="I133" s="101"/>
    </row>
    <row r="134" spans="1:9" x14ac:dyDescent="0.2">
      <c r="A134" s="2" t="s">
        <v>8111</v>
      </c>
      <c r="B134" s="650">
        <v>2.6226851851851852E-2</v>
      </c>
      <c r="C134" s="34">
        <v>42959</v>
      </c>
      <c r="E134" s="1">
        <f t="shared" si="26"/>
        <v>5.2453703703703707E-3</v>
      </c>
      <c r="F134" s="14">
        <f>1/((37*60+45)/(3600*5))</f>
        <v>7.9470198675496695</v>
      </c>
      <c r="G134" s="1">
        <f t="shared" si="27"/>
        <v>8.439800925925927E-3</v>
      </c>
      <c r="H134" s="1">
        <f t="shared" si="28"/>
        <v>5.3935185185185197E-3</v>
      </c>
      <c r="I134" s="101"/>
    </row>
    <row r="135" spans="1:9" x14ac:dyDescent="0.2">
      <c r="A135" t="s">
        <v>4053</v>
      </c>
      <c r="B135" s="650">
        <v>2.6261574074074076E-2</v>
      </c>
      <c r="C135" s="34">
        <v>42896</v>
      </c>
      <c r="E135" s="1">
        <f t="shared" si="26"/>
        <v>5.2523148148148156E-3</v>
      </c>
      <c r="F135" s="14">
        <f>1/((37*60+49)/(3600*5))</f>
        <v>7.9330101366240635</v>
      </c>
      <c r="G135" s="1">
        <f t="shared" si="27"/>
        <v>8.4509745370370381E-3</v>
      </c>
      <c r="H135" s="1">
        <f t="shared" si="28"/>
        <v>5.4282407407407439E-3</v>
      </c>
      <c r="I135" s="101"/>
    </row>
    <row r="136" spans="1:9" x14ac:dyDescent="0.2">
      <c r="A136" t="s">
        <v>4244</v>
      </c>
      <c r="B136" s="650">
        <v>2.6261574074074076E-2</v>
      </c>
      <c r="C136" s="34">
        <v>43155</v>
      </c>
      <c r="E136" s="1">
        <f t="shared" si="26"/>
        <v>5.2523148148148156E-3</v>
      </c>
      <c r="F136" s="14">
        <f>1/((37*60+49)/(3600*5))</f>
        <v>7.9330101366240635</v>
      </c>
      <c r="G136" s="1">
        <f t="shared" si="27"/>
        <v>8.4509745370370381E-3</v>
      </c>
      <c r="H136" s="1">
        <f t="shared" si="28"/>
        <v>5.4282407407407439E-3</v>
      </c>
      <c r="I136" s="101"/>
    </row>
    <row r="137" spans="1:9" x14ac:dyDescent="0.2">
      <c r="A137" s="2" t="s">
        <v>9738</v>
      </c>
      <c r="B137" s="650">
        <v>2.6331018518518517E-2</v>
      </c>
      <c r="C137" s="34">
        <v>43295</v>
      </c>
      <c r="E137" s="1">
        <f>B137/5</f>
        <v>5.2662037037037035E-3</v>
      </c>
      <c r="F137" s="14">
        <f>1/((37*60+55)/(3600*5))</f>
        <v>7.9120879120879124</v>
      </c>
      <c r="G137" s="1">
        <f t="shared" ref="G137:G146" si="29">E137*1.609</f>
        <v>8.4733217592592586E-3</v>
      </c>
      <c r="H137" s="1">
        <f>B137-$B$154</f>
        <v>5.4976851851851853E-3</v>
      </c>
      <c r="I137" s="101"/>
    </row>
    <row r="138" spans="1:9" x14ac:dyDescent="0.2">
      <c r="A138" t="s">
        <v>10331</v>
      </c>
      <c r="B138" s="650">
        <v>2.6481481481481481E-2</v>
      </c>
      <c r="C138" s="34">
        <v>43575</v>
      </c>
      <c r="D138" s="26">
        <v>0.49690000000000001</v>
      </c>
      <c r="E138" s="1">
        <f>B138/5</f>
        <v>5.2962962962962963E-3</v>
      </c>
      <c r="F138" s="14">
        <f>1/((38*60+25)/(3600*5))</f>
        <v>7.809110629067245</v>
      </c>
      <c r="G138" s="1">
        <f t="shared" si="29"/>
        <v>8.5217407407407412E-3</v>
      </c>
      <c r="H138" s="1">
        <f>B138-$B$154</f>
        <v>5.6481481481481487E-3</v>
      </c>
      <c r="I138" s="101"/>
    </row>
    <row r="139" spans="1:9" x14ac:dyDescent="0.2">
      <c r="A139" t="s">
        <v>11009</v>
      </c>
      <c r="B139" s="650">
        <v>2.6493055555555558E-2</v>
      </c>
      <c r="C139" s="34">
        <v>43512</v>
      </c>
      <c r="E139" s="1">
        <f>B139/5</f>
        <v>5.2986111111111116E-3</v>
      </c>
      <c r="F139" s="14">
        <f>1/((38*60+9)/(3600*5))</f>
        <v>7.8636959370904318</v>
      </c>
      <c r="G139" s="1">
        <f t="shared" si="29"/>
        <v>8.5254652777777776E-3</v>
      </c>
      <c r="H139" s="1">
        <f>B139-$B$154</f>
        <v>5.6597222222222257E-3</v>
      </c>
      <c r="I139" s="101"/>
    </row>
    <row r="140" spans="1:9" x14ac:dyDescent="0.2">
      <c r="A140" t="s">
        <v>1822</v>
      </c>
      <c r="B140" s="650">
        <v>2.6585648148148146E-2</v>
      </c>
      <c r="C140" s="34">
        <v>43169</v>
      </c>
      <c r="E140" s="1">
        <f>B140/5</f>
        <v>5.3171296296296291E-3</v>
      </c>
      <c r="F140" s="14">
        <f>1/((38*60+17)/(3600*5))</f>
        <v>7.8363082281236389</v>
      </c>
      <c r="G140" s="1">
        <f t="shared" si="29"/>
        <v>8.5552615740740728E-3</v>
      </c>
      <c r="H140" s="1">
        <f>B140-$B$154</f>
        <v>5.7523148148148143E-3</v>
      </c>
      <c r="I140" s="101"/>
    </row>
    <row r="141" spans="1:9" x14ac:dyDescent="0.2">
      <c r="A141" s="47" t="s">
        <v>10479</v>
      </c>
      <c r="B141" s="650">
        <v>2.6712962962962966E-2</v>
      </c>
      <c r="C141" s="34">
        <v>43554</v>
      </c>
      <c r="E141" s="1">
        <f>B141/5</f>
        <v>5.3425925925925932E-3</v>
      </c>
      <c r="F141" s="14">
        <f>1/((38*60+28)/(3600*5))</f>
        <v>7.7989601386481811</v>
      </c>
      <c r="G141" s="1">
        <f t="shared" si="29"/>
        <v>8.5962314814814825E-3</v>
      </c>
      <c r="H141" s="1">
        <f>B141-$B$154</f>
        <v>5.879629629629634E-3</v>
      </c>
      <c r="I141" s="101"/>
    </row>
    <row r="142" spans="1:9" x14ac:dyDescent="0.2">
      <c r="A142" s="1534" t="s">
        <v>12218</v>
      </c>
      <c r="B142" s="650">
        <v>2.6979166666666669E-2</v>
      </c>
      <c r="C142" s="34">
        <v>43561</v>
      </c>
      <c r="E142" s="1">
        <f t="shared" ref="E142:E150" si="30">B142/5</f>
        <v>5.3958333333333341E-3</v>
      </c>
      <c r="F142" s="14">
        <f>1/((38*60+51)/(3600*5))</f>
        <v>7.7220077220077217</v>
      </c>
      <c r="G142" s="1">
        <f t="shared" si="29"/>
        <v>8.6818958333333349E-3</v>
      </c>
      <c r="H142" s="1">
        <f t="shared" ref="H142:H150" si="31">B142-$B$154</f>
        <v>6.1458333333333365E-3</v>
      </c>
      <c r="I142" s="101"/>
    </row>
    <row r="143" spans="1:9" x14ac:dyDescent="0.2">
      <c r="A143" s="1534" t="s">
        <v>13066</v>
      </c>
      <c r="B143" s="650">
        <v>2.7418981481481485E-2</v>
      </c>
      <c r="C143" s="34">
        <v>43617</v>
      </c>
      <c r="E143" s="1">
        <f t="shared" si="30"/>
        <v>5.4837962962962974E-3</v>
      </c>
      <c r="F143" s="14">
        <f>1/((39*60+29)/(3600*5))</f>
        <v>7.5981426762346977</v>
      </c>
      <c r="G143" s="1">
        <f t="shared" si="29"/>
        <v>8.8234282407407428E-3</v>
      </c>
      <c r="H143" s="1">
        <f t="shared" si="31"/>
        <v>6.585648148148153E-3</v>
      </c>
      <c r="I143" s="101"/>
    </row>
    <row r="144" spans="1:9" x14ac:dyDescent="0.2">
      <c r="A144" s="1534" t="s">
        <v>12510</v>
      </c>
      <c r="B144" s="650">
        <v>2.75E-2</v>
      </c>
      <c r="C144" s="34">
        <v>43610</v>
      </c>
      <c r="E144" s="1">
        <f t="shared" si="30"/>
        <v>5.4999999999999997E-3</v>
      </c>
      <c r="F144" s="14">
        <f>1/((39*60+36)/(3600*5))</f>
        <v>7.5757575757575752</v>
      </c>
      <c r="G144" s="1">
        <f t="shared" si="29"/>
        <v>8.8494999999999997E-3</v>
      </c>
      <c r="H144" s="1">
        <f t="shared" si="31"/>
        <v>6.666666666666668E-3</v>
      </c>
      <c r="I144" s="101"/>
    </row>
    <row r="145" spans="1:12" x14ac:dyDescent="0.2">
      <c r="A145" s="1534" t="s">
        <v>9136</v>
      </c>
      <c r="B145" s="650">
        <v>2.7581018518518519E-2</v>
      </c>
      <c r="C145" s="34">
        <v>43673</v>
      </c>
      <c r="E145" s="1">
        <f>B145/5</f>
        <v>5.5162037037037037E-3</v>
      </c>
      <c r="F145" s="14">
        <f>1/((39*60+43)/(3600*5))</f>
        <v>7.5535039865715481</v>
      </c>
      <c r="G145" s="1">
        <f t="shared" si="29"/>
        <v>8.8755717592592584E-3</v>
      </c>
      <c r="H145" s="1">
        <f t="shared" si="31"/>
        <v>6.7476851851851864E-3</v>
      </c>
      <c r="I145" s="101"/>
    </row>
    <row r="146" spans="1:12" x14ac:dyDescent="0.2">
      <c r="A146" s="624" t="s">
        <v>8897</v>
      </c>
      <c r="B146" s="1684">
        <v>2.7719907407407405E-2</v>
      </c>
      <c r="C146" s="34">
        <v>43729</v>
      </c>
      <c r="E146" s="1">
        <f>B146/5</f>
        <v>5.5439814814814813E-3</v>
      </c>
      <c r="F146" s="14">
        <f>1/((39*60+55)/(3600*5))</f>
        <v>7.5156576200417531</v>
      </c>
      <c r="G146" s="1">
        <f t="shared" si="29"/>
        <v>8.9202662037037028E-3</v>
      </c>
      <c r="H146" s="1">
        <f t="shared" si="31"/>
        <v>6.8865740740740727E-3</v>
      </c>
      <c r="I146" s="101"/>
    </row>
    <row r="147" spans="1:12" x14ac:dyDescent="0.2">
      <c r="A147" t="s">
        <v>8248</v>
      </c>
      <c r="B147" s="650">
        <v>2.7766203703703706E-2</v>
      </c>
      <c r="C147" s="34">
        <v>43274</v>
      </c>
      <c r="E147" s="1">
        <f t="shared" si="30"/>
        <v>5.5532407407407414E-3</v>
      </c>
      <c r="F147" s="14">
        <f>1/((39*60+59)/(3600*5))</f>
        <v>7.5031263026260948</v>
      </c>
      <c r="G147" s="1">
        <f t="shared" ref="G147:G150" si="32">E147*1.609</f>
        <v>8.9351643518518521E-3</v>
      </c>
      <c r="H147" s="1">
        <f t="shared" si="31"/>
        <v>6.932870370370374E-3</v>
      </c>
      <c r="I147" s="101"/>
    </row>
    <row r="148" spans="1:12" x14ac:dyDescent="0.2">
      <c r="A148" s="624" t="s">
        <v>10192</v>
      </c>
      <c r="B148" s="650">
        <v>2.7835648148148151E-2</v>
      </c>
      <c r="C148" s="34">
        <v>43631</v>
      </c>
      <c r="E148" s="1">
        <f t="shared" si="30"/>
        <v>5.5671296296296302E-3</v>
      </c>
      <c r="F148" s="14">
        <f>1/((40*60+5)/(3600*5))</f>
        <v>7.4844074844074839</v>
      </c>
      <c r="G148" s="1">
        <f t="shared" si="32"/>
        <v>8.9575115740740743E-3</v>
      </c>
      <c r="H148" s="1">
        <f t="shared" si="31"/>
        <v>7.0023148148148188E-3</v>
      </c>
      <c r="I148" s="101"/>
    </row>
    <row r="149" spans="1:12" x14ac:dyDescent="0.2">
      <c r="A149" t="s">
        <v>7938</v>
      </c>
      <c r="B149" s="650">
        <v>2.8587962962962964E-2</v>
      </c>
      <c r="C149" s="34">
        <v>42910</v>
      </c>
      <c r="E149" s="1">
        <f t="shared" si="30"/>
        <v>5.7175925925925927E-3</v>
      </c>
      <c r="F149" s="14">
        <f>1/((41*60+10)/(3600*5))</f>
        <v>7.287449392712551</v>
      </c>
      <c r="G149" s="1">
        <f t="shared" si="32"/>
        <v>9.1996064814814822E-3</v>
      </c>
      <c r="H149" s="1">
        <f t="shared" si="31"/>
        <v>7.7546296296296321E-3</v>
      </c>
      <c r="I149" s="101"/>
    </row>
    <row r="150" spans="1:12" x14ac:dyDescent="0.2">
      <c r="A150" t="s">
        <v>2627</v>
      </c>
      <c r="B150" s="650">
        <v>2.9386574074074075E-2</v>
      </c>
      <c r="C150" s="34">
        <v>42903</v>
      </c>
      <c r="E150" s="1">
        <f t="shared" si="30"/>
        <v>5.8773148148148152E-3</v>
      </c>
      <c r="F150" s="14">
        <f>1/((42*60+19)/(3600*5))</f>
        <v>7.0894052776683738</v>
      </c>
      <c r="G150" s="1">
        <f t="shared" si="32"/>
        <v>9.4565995370370377E-3</v>
      </c>
      <c r="H150" s="1">
        <f t="shared" si="31"/>
        <v>8.5532407407407432E-3</v>
      </c>
      <c r="I150" s="101"/>
    </row>
    <row r="151" spans="1:12" ht="13.5" thickBot="1" x14ac:dyDescent="0.25">
      <c r="A151" t="s">
        <v>4808</v>
      </c>
      <c r="B151" s="619">
        <f>COUNT(B38:B150)</f>
        <v>113</v>
      </c>
    </row>
    <row r="152" spans="1:12" ht="13.5" thickTop="1" x14ac:dyDescent="0.2">
      <c r="B152" s="35" t="s">
        <v>1212</v>
      </c>
      <c r="F152" t="s">
        <v>1901</v>
      </c>
      <c r="G152" s="47">
        <f>SUM(H38:H150)</f>
        <v>0.23649305555555566</v>
      </c>
    </row>
    <row r="153" spans="1:12" x14ac:dyDescent="0.2">
      <c r="A153" s="2" t="s">
        <v>4807</v>
      </c>
      <c r="B153" s="250">
        <f>SUM(B38:B150)/B151</f>
        <v>2.2927011635529331E-2</v>
      </c>
      <c r="D153" t="s">
        <v>1902</v>
      </c>
      <c r="G153" s="1">
        <f>G152/B151</f>
        <v>2.0928588987217315E-3</v>
      </c>
    </row>
    <row r="154" spans="1:12" x14ac:dyDescent="0.2">
      <c r="A154" t="s">
        <v>1900</v>
      </c>
      <c r="B154" s="351">
        <v>2.0833333333333332E-2</v>
      </c>
    </row>
    <row r="155" spans="1:12" x14ac:dyDescent="0.2">
      <c r="B155" s="68"/>
      <c r="J155" t="s">
        <v>10829</v>
      </c>
      <c r="K155">
        <v>74</v>
      </c>
    </row>
    <row r="156" spans="1:12" x14ac:dyDescent="0.2">
      <c r="B156" s="304"/>
      <c r="J156" s="26">
        <v>0.56469999999999998</v>
      </c>
      <c r="L156" s="47">
        <v>2.2916666666666669E-2</v>
      </c>
    </row>
    <row r="157" spans="1:12" x14ac:dyDescent="0.2">
      <c r="A157" s="2" t="s">
        <v>4809</v>
      </c>
      <c r="B157" t="s">
        <v>8142</v>
      </c>
      <c r="J157" s="26">
        <v>0.55509999999999993</v>
      </c>
      <c r="L157" s="47">
        <v>2.3310185185185187E-2</v>
      </c>
    </row>
    <row r="158" spans="1:12" x14ac:dyDescent="0.2">
      <c r="A158" s="80" t="s">
        <v>8144</v>
      </c>
      <c r="B158" s="80" t="s">
        <v>5568</v>
      </c>
      <c r="C158">
        <v>66</v>
      </c>
      <c r="J158" s="26">
        <v>0.54800000000000004</v>
      </c>
      <c r="L158" s="47">
        <v>2.361111111111111E-2</v>
      </c>
    </row>
    <row r="159" spans="1:12" x14ac:dyDescent="0.2">
      <c r="A159" s="80" t="s">
        <v>8333</v>
      </c>
      <c r="B159" s="80" t="s">
        <v>5568</v>
      </c>
      <c r="C159">
        <v>66</v>
      </c>
      <c r="D159" t="s">
        <v>1212</v>
      </c>
      <c r="J159" s="26">
        <v>0.54669999999999996</v>
      </c>
      <c r="L159" s="47">
        <v>2.3668981481481485E-2</v>
      </c>
    </row>
    <row r="160" spans="1:12" x14ac:dyDescent="0.2">
      <c r="A160" s="80" t="s">
        <v>840</v>
      </c>
      <c r="B160" s="80" t="s">
        <v>5568</v>
      </c>
      <c r="C160">
        <v>74</v>
      </c>
      <c r="J160" s="26">
        <v>0.5454</v>
      </c>
      <c r="L160" s="47">
        <v>2.372685185185185E-2</v>
      </c>
    </row>
    <row r="161" spans="1:13" x14ac:dyDescent="0.2">
      <c r="A161" s="80" t="s">
        <v>5782</v>
      </c>
      <c r="B161" s="80" t="s">
        <v>5568</v>
      </c>
      <c r="C161">
        <v>74</v>
      </c>
      <c r="J161" s="26">
        <v>0.54400000000000004</v>
      </c>
      <c r="L161" s="47">
        <v>2.3784722222222221E-2</v>
      </c>
      <c r="M161" t="s">
        <v>10838</v>
      </c>
    </row>
    <row r="162" spans="1:13" x14ac:dyDescent="0.2">
      <c r="A162" s="80" t="s">
        <v>4509</v>
      </c>
      <c r="B162" s="80" t="s">
        <v>5568</v>
      </c>
      <c r="C162">
        <v>76</v>
      </c>
      <c r="J162" s="26">
        <v>0.54010000000000002</v>
      </c>
      <c r="L162" s="47">
        <v>2.3958333333333331E-2</v>
      </c>
    </row>
    <row r="163" spans="1:13" x14ac:dyDescent="0.2">
      <c r="A163" s="80" t="s">
        <v>843</v>
      </c>
      <c r="B163" s="80" t="s">
        <v>5568</v>
      </c>
      <c r="C163">
        <v>76</v>
      </c>
      <c r="J163" s="26">
        <v>0.53620000000000001</v>
      </c>
      <c r="L163" s="47">
        <v>2.4131944444444445E-2</v>
      </c>
    </row>
    <row r="164" spans="1:13" x14ac:dyDescent="0.2">
      <c r="A164" s="80" t="s">
        <v>1554</v>
      </c>
      <c r="B164" s="80" t="s">
        <v>5568</v>
      </c>
      <c r="C164">
        <v>78</v>
      </c>
      <c r="J164" s="26">
        <v>0.53239999999999998</v>
      </c>
      <c r="L164" s="47">
        <v>2.4305555555555556E-2</v>
      </c>
    </row>
    <row r="165" spans="1:13" x14ac:dyDescent="0.2">
      <c r="A165" s="80" t="s">
        <v>5337</v>
      </c>
      <c r="B165" s="80" t="s">
        <v>5568</v>
      </c>
      <c r="C165">
        <v>82</v>
      </c>
    </row>
    <row r="166" spans="1:13" x14ac:dyDescent="0.2">
      <c r="A166" s="80" t="s">
        <v>3009</v>
      </c>
      <c r="B166" s="80" t="s">
        <v>5568</v>
      </c>
      <c r="C166">
        <v>86</v>
      </c>
      <c r="K166">
        <v>75</v>
      </c>
    </row>
    <row r="167" spans="1:13" x14ac:dyDescent="0.2">
      <c r="A167" s="80"/>
      <c r="B167" s="80"/>
      <c r="J167" s="26">
        <v>0.56000000000000005</v>
      </c>
      <c r="L167" s="47">
        <v>2.3495370370370371E-2</v>
      </c>
    </row>
    <row r="168" spans="1:13" x14ac:dyDescent="0.2">
      <c r="A168" s="5"/>
      <c r="J168" s="26">
        <v>0.55730000000000002</v>
      </c>
      <c r="L168" s="47">
        <v>2.361111111111111E-2</v>
      </c>
    </row>
    <row r="169" spans="1:13" x14ac:dyDescent="0.2">
      <c r="A169" s="5"/>
      <c r="J169" s="26">
        <v>0.55459999999999998</v>
      </c>
      <c r="L169" s="47">
        <v>2.372685185185185E-2</v>
      </c>
    </row>
    <row r="170" spans="1:13" x14ac:dyDescent="0.2">
      <c r="A170" s="2" t="s">
        <v>2006</v>
      </c>
      <c r="B170" s="99">
        <v>351</v>
      </c>
      <c r="C170" s="99">
        <f>137</f>
        <v>137</v>
      </c>
      <c r="D170" s="99">
        <v>216</v>
      </c>
      <c r="E170" s="2">
        <f>B151</f>
        <v>113</v>
      </c>
      <c r="J170" s="26">
        <v>0.55189999999999995</v>
      </c>
      <c r="L170" s="47">
        <v>2.3842592592592596E-2</v>
      </c>
    </row>
    <row r="171" spans="1:13" x14ac:dyDescent="0.2">
      <c r="J171" s="26">
        <v>0.54920000000000002</v>
      </c>
      <c r="L171" s="47">
        <v>2.3958333333333331E-2</v>
      </c>
    </row>
    <row r="172" spans="1:13" x14ac:dyDescent="0.2">
      <c r="A172" t="s">
        <v>2002</v>
      </c>
      <c r="B172" t="s">
        <v>862</v>
      </c>
      <c r="C172" t="s">
        <v>5149</v>
      </c>
      <c r="D172" t="s">
        <v>2262</v>
      </c>
      <c r="E172" t="s">
        <v>2005</v>
      </c>
      <c r="J172" s="26">
        <v>0.54659999999999997</v>
      </c>
      <c r="L172" s="47">
        <v>2.4074074074074071E-2</v>
      </c>
    </row>
    <row r="173" spans="1:13" x14ac:dyDescent="0.2">
      <c r="A173" t="s">
        <v>2004</v>
      </c>
      <c r="B173" s="24">
        <f>C173+D173</f>
        <v>100</v>
      </c>
      <c r="C173" s="24">
        <v>50</v>
      </c>
      <c r="D173" s="24">
        <v>50</v>
      </c>
      <c r="E173" s="24">
        <v>20</v>
      </c>
      <c r="J173" s="26">
        <v>0.54400000000000004</v>
      </c>
      <c r="L173" s="47">
        <v>2.4189814814814817E-2</v>
      </c>
    </row>
    <row r="174" spans="1:13" x14ac:dyDescent="0.2">
      <c r="A174" s="38">
        <v>41640</v>
      </c>
      <c r="B174" s="24">
        <f>C174+D174</f>
        <v>120</v>
      </c>
      <c r="C174" s="24">
        <v>57</v>
      </c>
      <c r="D174" s="24">
        <v>63</v>
      </c>
      <c r="E174" s="24">
        <v>28</v>
      </c>
      <c r="J174" s="26">
        <v>0.54139999999999999</v>
      </c>
      <c r="L174" s="47">
        <v>2.4305555555555556E-2</v>
      </c>
    </row>
    <row r="175" spans="1:13" x14ac:dyDescent="0.2">
      <c r="A175" s="38">
        <v>41730</v>
      </c>
      <c r="B175" s="24">
        <f>C175+D175</f>
        <v>131</v>
      </c>
      <c r="C175" s="24">
        <v>60</v>
      </c>
      <c r="D175" s="24">
        <v>71</v>
      </c>
      <c r="E175" s="24">
        <v>34</v>
      </c>
    </row>
    <row r="176" spans="1:13" x14ac:dyDescent="0.2">
      <c r="A176" s="38">
        <v>41883</v>
      </c>
      <c r="B176" s="24">
        <f>C176+D176</f>
        <v>149</v>
      </c>
      <c r="C176" s="24">
        <v>64</v>
      </c>
      <c r="D176" s="24">
        <v>85</v>
      </c>
      <c r="E176" s="24">
        <v>47</v>
      </c>
    </row>
    <row r="177" spans="1:5" x14ac:dyDescent="0.2">
      <c r="A177" s="38">
        <v>41974</v>
      </c>
      <c r="B177" s="24">
        <f>C177+D177</f>
        <v>160</v>
      </c>
      <c r="C177" s="24">
        <v>70</v>
      </c>
      <c r="D177" s="24">
        <v>90</v>
      </c>
      <c r="E177" s="24">
        <v>51</v>
      </c>
    </row>
    <row r="178" spans="1:5" x14ac:dyDescent="0.2">
      <c r="A178" s="38">
        <v>42125</v>
      </c>
      <c r="B178" s="24">
        <v>179</v>
      </c>
      <c r="C178" s="24">
        <v>77</v>
      </c>
      <c r="D178" s="24">
        <v>102</v>
      </c>
      <c r="E178" s="24">
        <v>60</v>
      </c>
    </row>
    <row r="179" spans="1:5" x14ac:dyDescent="0.2">
      <c r="A179" s="38">
        <v>42339</v>
      </c>
      <c r="B179" s="24">
        <v>200</v>
      </c>
      <c r="C179" s="24">
        <v>83</v>
      </c>
      <c r="D179" s="24">
        <v>117</v>
      </c>
      <c r="E179" s="24">
        <v>65</v>
      </c>
    </row>
    <row r="180" spans="1:5" x14ac:dyDescent="0.2">
      <c r="A180" s="38">
        <v>42491</v>
      </c>
      <c r="B180" s="24">
        <v>220</v>
      </c>
      <c r="C180" s="24">
        <v>90</v>
      </c>
      <c r="D180" s="24">
        <v>130</v>
      </c>
      <c r="E180" s="24">
        <v>72</v>
      </c>
    </row>
    <row r="181" spans="1:5" x14ac:dyDescent="0.2">
      <c r="A181" s="38">
        <v>42644</v>
      </c>
      <c r="B181" s="531">
        <v>238</v>
      </c>
      <c r="C181" s="531">
        <v>95</v>
      </c>
      <c r="D181" s="531">
        <v>142</v>
      </c>
      <c r="E181" s="531">
        <v>77</v>
      </c>
    </row>
    <row r="182" spans="1:5" x14ac:dyDescent="0.2">
      <c r="A182" s="146">
        <v>42742</v>
      </c>
      <c r="B182" s="531">
        <f>C182+D182</f>
        <v>250</v>
      </c>
      <c r="C182" s="531">
        <v>100</v>
      </c>
      <c r="D182" s="531">
        <v>150</v>
      </c>
      <c r="E182" s="628" t="s">
        <v>5277</v>
      </c>
    </row>
    <row r="183" spans="1:5" x14ac:dyDescent="0.2">
      <c r="A183" s="146">
        <v>43099</v>
      </c>
      <c r="B183" s="531">
        <v>294</v>
      </c>
      <c r="C183" s="531">
        <v>121</v>
      </c>
      <c r="D183" s="531">
        <v>173</v>
      </c>
      <c r="E183" s="628">
        <v>90</v>
      </c>
    </row>
    <row r="184" spans="1:5" x14ac:dyDescent="0.2">
      <c r="A184" s="146">
        <v>43561</v>
      </c>
      <c r="B184">
        <v>350</v>
      </c>
      <c r="C184">
        <v>140</v>
      </c>
      <c r="D184">
        <v>210</v>
      </c>
      <c r="E184" s="16">
        <v>105</v>
      </c>
    </row>
    <row r="186" spans="1:5" x14ac:dyDescent="0.2">
      <c r="A186" s="21"/>
    </row>
    <row r="187" spans="1:5" x14ac:dyDescent="0.2">
      <c r="A187" t="s">
        <v>1064</v>
      </c>
      <c r="D187" t="s">
        <v>1065</v>
      </c>
      <c r="E187" t="s">
        <v>3648</v>
      </c>
    </row>
    <row r="188" spans="1:5" x14ac:dyDescent="0.2">
      <c r="D188" t="s">
        <v>1066</v>
      </c>
      <c r="E188" t="s">
        <v>3649</v>
      </c>
    </row>
    <row r="189" spans="1:5" x14ac:dyDescent="0.2">
      <c r="A189" t="s">
        <v>1569</v>
      </c>
      <c r="B189" s="264">
        <v>2.2800925925925929E-2</v>
      </c>
      <c r="C189" s="1">
        <v>1.2731481481481483E-3</v>
      </c>
      <c r="D189" s="386"/>
      <c r="E189" s="1"/>
    </row>
    <row r="190" spans="1:5" x14ac:dyDescent="0.2">
      <c r="A190" t="s">
        <v>1805</v>
      </c>
      <c r="B190" s="264">
        <v>2.2627314814814819E-2</v>
      </c>
      <c r="C190" s="1">
        <v>1.2731481481481483E-3</v>
      </c>
      <c r="D190" s="386"/>
      <c r="E190" s="1"/>
    </row>
    <row r="191" spans="1:5" x14ac:dyDescent="0.2">
      <c r="A191" t="s">
        <v>5821</v>
      </c>
      <c r="B191" s="264">
        <v>2.2488425925925926E-2</v>
      </c>
      <c r="C191" s="1">
        <v>1.2731481481481483E-3</v>
      </c>
      <c r="D191" s="386"/>
      <c r="E191" s="1">
        <v>2.2638888888888889E-2</v>
      </c>
    </row>
    <row r="192" spans="1:5" x14ac:dyDescent="0.2">
      <c r="A192" t="s">
        <v>527</v>
      </c>
      <c r="B192" s="94">
        <v>2.2129629629629628E-2</v>
      </c>
      <c r="C192" s="1">
        <v>4.6296296296296293E-4</v>
      </c>
      <c r="D192" s="386"/>
      <c r="E192" s="1"/>
    </row>
    <row r="193" spans="1:5" x14ac:dyDescent="0.2">
      <c r="A193" s="115" t="s">
        <v>4544</v>
      </c>
      <c r="B193" s="202">
        <v>2.2094907407407407E-2</v>
      </c>
      <c r="C193" s="1">
        <v>4.6296296296296293E-4</v>
      </c>
      <c r="D193" s="386"/>
      <c r="E193" s="1"/>
    </row>
    <row r="194" spans="1:5" x14ac:dyDescent="0.2">
      <c r="A194" t="s">
        <v>999</v>
      </c>
      <c r="B194" s="94">
        <v>2.1990740740740741E-2</v>
      </c>
      <c r="C194" s="1">
        <v>4.6296296296296293E-4</v>
      </c>
      <c r="D194" s="386"/>
      <c r="E194" s="1"/>
    </row>
    <row r="195" spans="1:5" x14ac:dyDescent="0.2">
      <c r="A195" t="s">
        <v>4176</v>
      </c>
      <c r="B195" s="94">
        <v>2.1863425925925925E-2</v>
      </c>
      <c r="C195" s="1">
        <v>4.6296296296296293E-4</v>
      </c>
      <c r="D195" s="386"/>
      <c r="E195" s="1">
        <v>2.2592592592592591E-2</v>
      </c>
    </row>
    <row r="196" spans="1:5" x14ac:dyDescent="0.2">
      <c r="A196" t="s">
        <v>5440</v>
      </c>
      <c r="B196" s="94">
        <v>2.1817129629629631E-2</v>
      </c>
      <c r="C196" s="1">
        <v>0</v>
      </c>
      <c r="D196" s="386"/>
      <c r="E196" s="1"/>
    </row>
    <row r="197" spans="1:5" x14ac:dyDescent="0.2">
      <c r="A197" t="s">
        <v>62</v>
      </c>
      <c r="B197" s="94">
        <v>2.1770833333333336E-2</v>
      </c>
      <c r="C197" s="1">
        <v>0</v>
      </c>
      <c r="D197" s="386"/>
      <c r="E197" s="1"/>
    </row>
    <row r="198" spans="1:5" x14ac:dyDescent="0.2">
      <c r="A198" s="115" t="s">
        <v>5947</v>
      </c>
      <c r="B198" s="202">
        <v>2.1689814814814815E-2</v>
      </c>
      <c r="C198" s="1">
        <v>1.7361111111111112E-4</v>
      </c>
      <c r="D198" s="386"/>
      <c r="E198" s="1"/>
    </row>
    <row r="199" spans="1:5" x14ac:dyDescent="0.2">
      <c r="A199" t="s">
        <v>1627</v>
      </c>
      <c r="B199" s="94">
        <v>2.1666666666666667E-2</v>
      </c>
      <c r="C199" s="1">
        <v>5.2083333333333333E-4</v>
      </c>
      <c r="D199" s="386"/>
      <c r="E199" s="1"/>
    </row>
    <row r="200" spans="1:5" x14ac:dyDescent="0.2">
      <c r="A200" t="s">
        <v>3246</v>
      </c>
      <c r="B200" s="94">
        <v>2.1631944444444443E-2</v>
      </c>
      <c r="C200" s="1">
        <v>4.6296296296296293E-4</v>
      </c>
      <c r="D200" s="386">
        <v>7.5231481481481471E-4</v>
      </c>
      <c r="E200" s="1"/>
    </row>
    <row r="201" spans="1:5" x14ac:dyDescent="0.2">
      <c r="A201" t="s">
        <v>3167</v>
      </c>
      <c r="B201" s="94">
        <v>2.1608796296296296E-2</v>
      </c>
      <c r="C201" s="1">
        <v>1.1574074074074073E-4</v>
      </c>
      <c r="D201" s="386"/>
      <c r="E201" s="1">
        <f>SUM(B189:B201)/COUNT(B189:B201)</f>
        <v>2.2013888888888888E-2</v>
      </c>
    </row>
    <row r="202" spans="1:5" x14ac:dyDescent="0.2">
      <c r="A202" t="s">
        <v>4397</v>
      </c>
      <c r="B202" s="95">
        <v>2.1527777777777781E-2</v>
      </c>
      <c r="C202" s="1">
        <v>2.3148148148148146E-4</v>
      </c>
      <c r="D202" s="386"/>
      <c r="E202" s="1"/>
    </row>
    <row r="203" spans="1:5" x14ac:dyDescent="0.2">
      <c r="A203" s="115" t="s">
        <v>6018</v>
      </c>
      <c r="B203" s="117">
        <v>2.1493055555555557E-2</v>
      </c>
      <c r="C203" s="1">
        <v>0</v>
      </c>
      <c r="D203" s="386"/>
      <c r="E203" s="1"/>
    </row>
    <row r="204" spans="1:5" x14ac:dyDescent="0.2">
      <c r="A204" t="s">
        <v>3139</v>
      </c>
      <c r="B204" s="95">
        <v>2.1493055555555557E-2</v>
      </c>
      <c r="C204" s="1">
        <v>1.7361111111111112E-4</v>
      </c>
      <c r="D204" s="386"/>
      <c r="E204" s="1"/>
    </row>
    <row r="205" spans="1:5" x14ac:dyDescent="0.2">
      <c r="A205" t="s">
        <v>4694</v>
      </c>
      <c r="B205" s="95">
        <v>2.146990740740741E-2</v>
      </c>
      <c r="C205" s="1">
        <v>1.1574074074074073E-4</v>
      </c>
      <c r="D205" s="386"/>
      <c r="E205" s="1"/>
    </row>
    <row r="206" spans="1:5" x14ac:dyDescent="0.2">
      <c r="A206" t="s">
        <v>2593</v>
      </c>
      <c r="B206" s="95">
        <v>2.1446759259259259E-2</v>
      </c>
      <c r="C206" s="1">
        <v>6.3657407407407402E-4</v>
      </c>
      <c r="D206" s="386"/>
      <c r="E206" s="1"/>
    </row>
    <row r="207" spans="1:5" x14ac:dyDescent="0.2">
      <c r="A207" t="s">
        <v>1214</v>
      </c>
      <c r="B207" s="95">
        <v>2.1446759259259259E-2</v>
      </c>
      <c r="C207" s="1">
        <v>2.8935185185185189E-4</v>
      </c>
      <c r="D207" s="386"/>
      <c r="E207" s="1"/>
    </row>
    <row r="208" spans="1:5" x14ac:dyDescent="0.2">
      <c r="A208" s="115" t="s">
        <v>420</v>
      </c>
      <c r="B208" s="117">
        <v>2.1307870370370369E-2</v>
      </c>
      <c r="C208" s="1">
        <v>2.3148148148148146E-4</v>
      </c>
      <c r="D208" s="386"/>
      <c r="E208" s="1"/>
    </row>
    <row r="209" spans="1:5" x14ac:dyDescent="0.2">
      <c r="A209" t="s">
        <v>2431</v>
      </c>
      <c r="B209" s="95">
        <v>2.1296296296296299E-2</v>
      </c>
      <c r="C209" s="1">
        <v>3.4722222222222224E-4</v>
      </c>
      <c r="D209" s="386"/>
      <c r="E209" s="1"/>
    </row>
    <row r="210" spans="1:5" x14ac:dyDescent="0.2">
      <c r="A210" t="s">
        <v>4556</v>
      </c>
      <c r="B210" s="95">
        <v>2.1284722222222222E-2</v>
      </c>
      <c r="C210" s="1">
        <v>1.7361111111111112E-4</v>
      </c>
      <c r="D210" s="386"/>
      <c r="E210" s="1"/>
    </row>
    <row r="211" spans="1:5" x14ac:dyDescent="0.2">
      <c r="A211" t="s">
        <v>129</v>
      </c>
      <c r="B211" s="95">
        <v>2.1261574074074075E-2</v>
      </c>
      <c r="C211" s="1">
        <v>4.6296296296296293E-4</v>
      </c>
      <c r="D211" s="386"/>
      <c r="E211" s="1"/>
    </row>
    <row r="212" spans="1:5" x14ac:dyDescent="0.2">
      <c r="A212" t="s">
        <v>4727</v>
      </c>
      <c r="B212" s="95">
        <v>2.1250000000000002E-2</v>
      </c>
      <c r="C212" s="1">
        <v>1.1574074074074073E-4</v>
      </c>
      <c r="D212" s="386"/>
      <c r="E212" s="1"/>
    </row>
    <row r="213" spans="1:5" x14ac:dyDescent="0.2">
      <c r="A213" s="380" t="s">
        <v>6021</v>
      </c>
      <c r="B213" s="381">
        <v>2.1250000000000002E-2</v>
      </c>
      <c r="C213" s="1">
        <v>0</v>
      </c>
      <c r="D213" s="386"/>
      <c r="E213" s="1"/>
    </row>
    <row r="214" spans="1:5" x14ac:dyDescent="0.2">
      <c r="A214" t="s">
        <v>6020</v>
      </c>
      <c r="B214" s="95">
        <v>2.1238425925925924E-2</v>
      </c>
      <c r="C214" s="1">
        <v>3.4722222222222224E-4</v>
      </c>
      <c r="D214" s="386"/>
      <c r="E214" s="1">
        <v>2.2002314814814818E-2</v>
      </c>
    </row>
    <row r="215" spans="1:5" x14ac:dyDescent="0.2">
      <c r="A215" t="s">
        <v>4861</v>
      </c>
      <c r="B215" s="95">
        <v>2.1203703703703707E-2</v>
      </c>
      <c r="C215" s="1">
        <v>1.7361111111111112E-4</v>
      </c>
      <c r="D215" s="386"/>
      <c r="E215" s="1"/>
    </row>
    <row r="216" spans="1:5" x14ac:dyDescent="0.2">
      <c r="A216" t="s">
        <v>535</v>
      </c>
      <c r="B216" s="95">
        <v>2.1180555555555553E-2</v>
      </c>
      <c r="C216" s="1">
        <v>0</v>
      </c>
      <c r="D216" s="386"/>
      <c r="E216" s="1"/>
    </row>
    <row r="217" spans="1:5" x14ac:dyDescent="0.2">
      <c r="A217" t="s">
        <v>5653</v>
      </c>
      <c r="B217" s="95">
        <v>2.1145833333333332E-2</v>
      </c>
      <c r="C217" s="1">
        <v>2.3148148148148146E-4</v>
      </c>
      <c r="D217" s="386"/>
      <c r="E217" s="1"/>
    </row>
    <row r="218" spans="1:5" x14ac:dyDescent="0.2">
      <c r="A218" s="115" t="s">
        <v>5198</v>
      </c>
      <c r="B218" s="117">
        <v>2.1087962962962961E-2</v>
      </c>
      <c r="C218" s="1">
        <v>1.1574074074074073E-4</v>
      </c>
      <c r="D218" s="386"/>
      <c r="E218" s="1"/>
    </row>
    <row r="219" spans="1:5" x14ac:dyDescent="0.2">
      <c r="A219" t="s">
        <v>5439</v>
      </c>
      <c r="B219" s="95">
        <v>2.101851851851852E-2</v>
      </c>
      <c r="C219" s="1">
        <v>2.3148148148148146E-4</v>
      </c>
      <c r="D219" s="386"/>
      <c r="E219" s="1"/>
    </row>
    <row r="220" spans="1:5" x14ac:dyDescent="0.2">
      <c r="A220" s="335" t="s">
        <v>1947</v>
      </c>
      <c r="B220" s="95">
        <v>2.0972222222222222E-2</v>
      </c>
      <c r="C220" s="1">
        <v>0</v>
      </c>
      <c r="D220" s="386"/>
      <c r="E220" s="1"/>
    </row>
    <row r="221" spans="1:5" x14ac:dyDescent="0.2">
      <c r="A221" t="s">
        <v>63</v>
      </c>
      <c r="B221" s="95">
        <v>2.0949074074074075E-2</v>
      </c>
      <c r="C221" s="1">
        <v>0</v>
      </c>
      <c r="D221" s="386"/>
      <c r="E221" s="1">
        <v>2.5833333333333333E-2</v>
      </c>
    </row>
    <row r="222" spans="1:5" x14ac:dyDescent="0.2">
      <c r="A222" t="s">
        <v>5883</v>
      </c>
      <c r="B222" s="95">
        <v>2.0937500000000001E-2</v>
      </c>
      <c r="C222" s="1">
        <v>1.1574074074074073E-4</v>
      </c>
      <c r="D222" s="386"/>
      <c r="E222" s="1"/>
    </row>
    <row r="223" spans="1:5" x14ac:dyDescent="0.2">
      <c r="A223" s="115" t="s">
        <v>5959</v>
      </c>
      <c r="B223" s="117">
        <v>2.0891203703703703E-2</v>
      </c>
      <c r="C223" s="1">
        <v>0</v>
      </c>
      <c r="D223" s="386"/>
      <c r="E223" s="1"/>
    </row>
    <row r="224" spans="1:5" x14ac:dyDescent="0.2">
      <c r="A224" t="s">
        <v>6022</v>
      </c>
      <c r="B224" s="95">
        <v>2.0879629629629626E-2</v>
      </c>
      <c r="C224" s="1">
        <v>0</v>
      </c>
      <c r="D224" s="386"/>
      <c r="E224" s="1"/>
    </row>
    <row r="225" spans="1:6" x14ac:dyDescent="0.2">
      <c r="A225" s="5" t="s">
        <v>5057</v>
      </c>
      <c r="B225" s="95">
        <v>2.0856481481481479E-2</v>
      </c>
      <c r="C225" s="1">
        <v>0</v>
      </c>
      <c r="D225" s="386"/>
      <c r="E225" s="1"/>
    </row>
    <row r="226" spans="1:6" x14ac:dyDescent="0.2">
      <c r="A226" s="271" t="s">
        <v>1499</v>
      </c>
      <c r="B226" s="95">
        <v>2.0844907407407406E-2</v>
      </c>
      <c r="C226" s="1">
        <v>0</v>
      </c>
      <c r="D226" s="386"/>
      <c r="E226" s="1"/>
    </row>
    <row r="227" spans="1:6" x14ac:dyDescent="0.2">
      <c r="A227" t="s">
        <v>1405</v>
      </c>
      <c r="B227" s="44">
        <v>2.0798611111111111E-2</v>
      </c>
      <c r="C227" s="1">
        <v>1.7361111111111112E-4</v>
      </c>
      <c r="D227" s="386"/>
      <c r="E227" s="1"/>
    </row>
    <row r="228" spans="1:6" x14ac:dyDescent="0.2">
      <c r="A228" s="115" t="s">
        <v>6017</v>
      </c>
      <c r="B228" s="116">
        <v>2.0787037037037038E-2</v>
      </c>
      <c r="C228" s="1">
        <v>0</v>
      </c>
      <c r="D228" s="386"/>
      <c r="E228" s="1"/>
    </row>
    <row r="229" spans="1:6" x14ac:dyDescent="0.2">
      <c r="A229" t="s">
        <v>2147</v>
      </c>
      <c r="B229" s="44">
        <v>2.0775462962962964E-2</v>
      </c>
      <c r="C229" s="1">
        <v>1.7361111111111112E-4</v>
      </c>
      <c r="D229" s="386"/>
      <c r="E229" s="1">
        <v>2.4918981481481483E-2</v>
      </c>
      <c r="F229" t="s">
        <v>5576</v>
      </c>
    </row>
    <row r="230" spans="1:6" x14ac:dyDescent="0.2">
      <c r="A230" t="s">
        <v>2830</v>
      </c>
      <c r="B230" s="44">
        <v>2.074074074074074E-2</v>
      </c>
      <c r="C230" s="1">
        <v>0</v>
      </c>
      <c r="D230" s="386"/>
      <c r="E230" s="1"/>
    </row>
    <row r="231" spans="1:6" x14ac:dyDescent="0.2">
      <c r="A231" t="s">
        <v>6003</v>
      </c>
      <c r="B231" s="44">
        <v>2.074074074074074E-2</v>
      </c>
      <c r="C231" s="1">
        <v>8.1018518518518516E-5</v>
      </c>
      <c r="D231" s="386"/>
      <c r="E231" s="1"/>
    </row>
    <row r="232" spans="1:6" x14ac:dyDescent="0.2">
      <c r="A232" t="s">
        <v>1003</v>
      </c>
      <c r="B232" s="44">
        <v>2.0729166666666667E-2</v>
      </c>
      <c r="C232" s="1">
        <v>6.9444444444444444E-5</v>
      </c>
      <c r="D232" s="386"/>
      <c r="E232" s="1"/>
    </row>
    <row r="233" spans="1:6" x14ac:dyDescent="0.2">
      <c r="A233" s="115" t="s">
        <v>861</v>
      </c>
      <c r="B233" s="379">
        <v>2.0706018518518519E-2</v>
      </c>
      <c r="C233" s="1">
        <v>0</v>
      </c>
      <c r="D233" s="386"/>
      <c r="E233" s="1"/>
    </row>
    <row r="234" spans="1:6" x14ac:dyDescent="0.2">
      <c r="A234" s="5" t="s">
        <v>209</v>
      </c>
      <c r="B234" s="51">
        <v>2.0601851851851854E-2</v>
      </c>
      <c r="C234" s="1">
        <v>5.7870370370370366E-5</v>
      </c>
      <c r="D234" s="386"/>
      <c r="E234" s="1"/>
    </row>
    <row r="235" spans="1:6" x14ac:dyDescent="0.2">
      <c r="A235" t="s">
        <v>1783</v>
      </c>
      <c r="B235" s="44">
        <v>2.0601851851851854E-2</v>
      </c>
      <c r="C235" s="1">
        <v>5.7870370370370366E-5</v>
      </c>
      <c r="D235" s="386"/>
      <c r="E235" s="1"/>
    </row>
    <row r="236" spans="1:6" x14ac:dyDescent="0.2">
      <c r="A236" t="s">
        <v>2696</v>
      </c>
      <c r="B236" s="44">
        <v>2.0601851851851854E-2</v>
      </c>
      <c r="C236" s="1">
        <v>0</v>
      </c>
      <c r="D236" s="386"/>
      <c r="E236" s="1"/>
    </row>
    <row r="237" spans="1:6" x14ac:dyDescent="0.2">
      <c r="A237" t="s">
        <v>1401</v>
      </c>
      <c r="B237" s="44">
        <v>2.0532407407407405E-2</v>
      </c>
      <c r="C237" s="1">
        <v>0</v>
      </c>
      <c r="D237" s="386"/>
      <c r="E237" s="1"/>
    </row>
    <row r="238" spans="1:6" x14ac:dyDescent="0.2">
      <c r="A238" t="s">
        <v>6019</v>
      </c>
      <c r="B238" s="44">
        <v>2.0497685185185185E-2</v>
      </c>
      <c r="C238" s="1">
        <v>0</v>
      </c>
      <c r="D238" s="386"/>
      <c r="E238" s="1"/>
    </row>
    <row r="239" spans="1:6" x14ac:dyDescent="0.2">
      <c r="A239" s="115" t="s">
        <v>5095</v>
      </c>
      <c r="B239" s="116">
        <v>2.0497685185185185E-2</v>
      </c>
      <c r="C239" s="1">
        <v>0</v>
      </c>
      <c r="D239" s="386"/>
      <c r="E239" s="1"/>
    </row>
    <row r="240" spans="1:6" x14ac:dyDescent="0.2">
      <c r="A240" t="s">
        <v>2818</v>
      </c>
      <c r="B240" s="44">
        <v>2.0416666666666666E-2</v>
      </c>
      <c r="C240" s="1">
        <v>0</v>
      </c>
      <c r="D240" s="386"/>
      <c r="E240" s="1"/>
    </row>
    <row r="241" spans="1:5" x14ac:dyDescent="0.2">
      <c r="A241" t="s">
        <v>1780</v>
      </c>
      <c r="B241" s="44">
        <v>2.0381944444444446E-2</v>
      </c>
      <c r="C241" s="1">
        <v>0</v>
      </c>
      <c r="D241" s="386"/>
      <c r="E241" s="1"/>
    </row>
    <row r="242" spans="1:5" x14ac:dyDescent="0.2">
      <c r="A242" t="s">
        <v>3072</v>
      </c>
      <c r="B242" s="44">
        <v>2.0324074074074074E-2</v>
      </c>
      <c r="C242" s="1">
        <v>0</v>
      </c>
      <c r="D242" s="386"/>
      <c r="E242" s="1"/>
    </row>
    <row r="243" spans="1:5" x14ac:dyDescent="0.2">
      <c r="A243" t="s">
        <v>5885</v>
      </c>
      <c r="B243" s="44">
        <v>2.0312500000000001E-2</v>
      </c>
      <c r="C243" s="1">
        <v>0</v>
      </c>
      <c r="D243" s="386"/>
      <c r="E243" s="1"/>
    </row>
    <row r="244" spans="1:5" x14ac:dyDescent="0.2">
      <c r="A244" s="115" t="s">
        <v>5654</v>
      </c>
      <c r="B244" s="116">
        <v>2.028935185185185E-2</v>
      </c>
      <c r="C244" s="1">
        <v>0</v>
      </c>
      <c r="D244" s="386"/>
      <c r="E244" s="1"/>
    </row>
    <row r="245" spans="1:5" x14ac:dyDescent="0.2">
      <c r="A245" s="5" t="s">
        <v>449</v>
      </c>
      <c r="B245" s="44">
        <v>2.0277777777777777E-2</v>
      </c>
      <c r="C245" s="1">
        <v>0</v>
      </c>
      <c r="D245" s="386"/>
      <c r="E245" s="1"/>
    </row>
    <row r="246" spans="1:5" x14ac:dyDescent="0.2">
      <c r="A246" s="135" t="s">
        <v>5889</v>
      </c>
      <c r="B246" s="44">
        <v>2.0266203703703703E-2</v>
      </c>
      <c r="C246" s="1">
        <v>0</v>
      </c>
      <c r="D246" s="386"/>
      <c r="E246" s="1"/>
    </row>
    <row r="247" spans="1:5" x14ac:dyDescent="0.2">
      <c r="A247" t="s">
        <v>998</v>
      </c>
      <c r="B247" s="44">
        <v>2.0231481481481482E-2</v>
      </c>
      <c r="C247" s="1">
        <v>0</v>
      </c>
      <c r="D247" s="386"/>
      <c r="E247" s="1"/>
    </row>
    <row r="248" spans="1:5" x14ac:dyDescent="0.2">
      <c r="A248" t="s">
        <v>2827</v>
      </c>
      <c r="B248" s="43">
        <v>1.9942129629629629E-2</v>
      </c>
      <c r="C248" s="1">
        <v>0</v>
      </c>
      <c r="D248" s="386"/>
      <c r="E248" s="1"/>
    </row>
    <row r="249" spans="1:5" x14ac:dyDescent="0.2">
      <c r="A249" s="115" t="s">
        <v>1002</v>
      </c>
      <c r="B249" s="150">
        <v>1.9918981481481482E-2</v>
      </c>
      <c r="C249" s="1">
        <v>0</v>
      </c>
      <c r="D249" s="386"/>
      <c r="E249" s="1"/>
    </row>
    <row r="250" spans="1:5" x14ac:dyDescent="0.2">
      <c r="A250" t="s">
        <v>248</v>
      </c>
      <c r="B250" s="43">
        <v>1.9884259259259258E-2</v>
      </c>
      <c r="C250" s="1">
        <v>0</v>
      </c>
      <c r="D250" s="386"/>
      <c r="E250" s="1"/>
    </row>
    <row r="251" spans="1:5" x14ac:dyDescent="0.2">
      <c r="A251" t="s">
        <v>715</v>
      </c>
      <c r="B251" s="43">
        <v>1.9884259259259258E-2</v>
      </c>
      <c r="C251" s="1">
        <v>0</v>
      </c>
      <c r="D251" s="386"/>
      <c r="E251" s="1"/>
    </row>
    <row r="252" spans="1:5" x14ac:dyDescent="0.2">
      <c r="A252" t="s">
        <v>4004</v>
      </c>
      <c r="B252" s="43">
        <v>1.9490740740740743E-2</v>
      </c>
      <c r="C252" s="1">
        <v>0</v>
      </c>
      <c r="D252" s="386"/>
      <c r="E252" s="1"/>
    </row>
    <row r="253" spans="1:5" ht="13.5" thickBot="1" x14ac:dyDescent="0.25">
      <c r="A253" s="377" t="s">
        <v>5544</v>
      </c>
      <c r="B253" s="378">
        <v>1.9490740740740743E-2</v>
      </c>
      <c r="C253" s="1">
        <v>0</v>
      </c>
      <c r="D253" s="386"/>
      <c r="E253" s="1"/>
    </row>
    <row r="254" spans="1:5" ht="13.5" thickTop="1" x14ac:dyDescent="0.2">
      <c r="C254" s="1">
        <f>SUM(C189:C253)</f>
        <v>1.1550925925925925E-2</v>
      </c>
      <c r="D254" s="1">
        <f>SUM(D189:D253)</f>
        <v>7.5231481481481471E-4</v>
      </c>
      <c r="E254" s="1">
        <f>C254-D254</f>
        <v>1.079861111111111E-2</v>
      </c>
    </row>
    <row r="256" spans="1:5" x14ac:dyDescent="0.2">
      <c r="A256" t="s">
        <v>5975</v>
      </c>
      <c r="B256">
        <f>COUNT(B248:B253)</f>
        <v>6</v>
      </c>
    </row>
    <row r="257" spans="1:4" x14ac:dyDescent="0.2">
      <c r="A257" t="s">
        <v>5976</v>
      </c>
      <c r="B257">
        <f>COUNT(B227:B253)</f>
        <v>27</v>
      </c>
    </row>
    <row r="258" spans="1:4" x14ac:dyDescent="0.2">
      <c r="A258" t="s">
        <v>3523</v>
      </c>
      <c r="B258">
        <f>COUNT(B202:B253)</f>
        <v>52</v>
      </c>
      <c r="D258" s="393" t="s">
        <v>2802</v>
      </c>
    </row>
    <row r="259" spans="1:4" x14ac:dyDescent="0.2">
      <c r="A259" t="s">
        <v>3524</v>
      </c>
      <c r="B259">
        <f>COUNT(B192:B253)</f>
        <v>62</v>
      </c>
      <c r="D259" s="6">
        <v>-1</v>
      </c>
    </row>
    <row r="260" spans="1:4" x14ac:dyDescent="0.2">
      <c r="A260" t="s">
        <v>3525</v>
      </c>
      <c r="B260">
        <f>COUNT(B189:B253)</f>
        <v>65</v>
      </c>
    </row>
    <row r="262" spans="1:4" x14ac:dyDescent="0.2">
      <c r="A262" s="2" t="s">
        <v>1777</v>
      </c>
    </row>
    <row r="263" spans="1:4" x14ac:dyDescent="0.2">
      <c r="A263" s="135" t="s">
        <v>5889</v>
      </c>
      <c r="B263" s="44">
        <v>2.0266203703703703E-2</v>
      </c>
      <c r="C263" s="1"/>
    </row>
    <row r="264" spans="1:4" x14ac:dyDescent="0.2">
      <c r="A264" t="s">
        <v>3072</v>
      </c>
      <c r="B264" s="44">
        <v>2.0324074074074074E-2</v>
      </c>
      <c r="C264" s="1"/>
    </row>
    <row r="265" spans="1:4" x14ac:dyDescent="0.2">
      <c r="A265" t="s">
        <v>5095</v>
      </c>
      <c r="B265" s="44">
        <v>2.0497685185185185E-2</v>
      </c>
      <c r="C265" s="1"/>
    </row>
    <row r="266" spans="1:4" x14ac:dyDescent="0.2">
      <c r="A266" s="271" t="s">
        <v>1499</v>
      </c>
      <c r="B266" s="95">
        <v>2.0844907407407406E-2</v>
      </c>
      <c r="C266" s="1"/>
    </row>
    <row r="267" spans="1:4" x14ac:dyDescent="0.2">
      <c r="A267" s="335" t="s">
        <v>1947</v>
      </c>
      <c r="B267" s="95">
        <v>2.0972222222222222E-2</v>
      </c>
      <c r="C267" s="1"/>
    </row>
    <row r="268" spans="1:4" x14ac:dyDescent="0.2">
      <c r="A268" t="s">
        <v>5198</v>
      </c>
      <c r="B268" s="95">
        <v>2.1087962962962961E-2</v>
      </c>
      <c r="C268" s="1"/>
    </row>
    <row r="269" spans="1:4" x14ac:dyDescent="0.2">
      <c r="A269" t="s">
        <v>5653</v>
      </c>
      <c r="B269" s="95">
        <v>2.1145833333333332E-2</v>
      </c>
      <c r="C269" s="1"/>
    </row>
    <row r="270" spans="1:4" x14ac:dyDescent="0.2">
      <c r="A270" t="s">
        <v>535</v>
      </c>
      <c r="B270" s="95">
        <v>2.1180555555555553E-2</v>
      </c>
      <c r="C270" s="1"/>
    </row>
    <row r="271" spans="1:4" x14ac:dyDescent="0.2">
      <c r="A271" t="s">
        <v>4727</v>
      </c>
      <c r="B271" s="95">
        <v>2.1250000000000002E-2</v>
      </c>
      <c r="C271" s="1"/>
    </row>
    <row r="272" spans="1:4" x14ac:dyDescent="0.2">
      <c r="A272" t="s">
        <v>2431</v>
      </c>
      <c r="B272" s="95">
        <v>2.1296296296296299E-2</v>
      </c>
      <c r="C272" s="1"/>
    </row>
    <row r="273" spans="1:3" x14ac:dyDescent="0.2">
      <c r="A273" t="s">
        <v>1214</v>
      </c>
      <c r="B273" s="95">
        <v>2.1446759259259259E-2</v>
      </c>
      <c r="C273" s="1"/>
    </row>
    <row r="274" spans="1:3" x14ac:dyDescent="0.2">
      <c r="A274" t="s">
        <v>3167</v>
      </c>
      <c r="B274" s="94">
        <v>2.1608796296296296E-2</v>
      </c>
      <c r="C274" s="1"/>
    </row>
    <row r="275" spans="1:3" x14ac:dyDescent="0.2">
      <c r="A275" t="s">
        <v>5947</v>
      </c>
      <c r="B275" s="94">
        <v>2.1689814814814815E-2</v>
      </c>
      <c r="C275" s="1"/>
    </row>
    <row r="276" spans="1:3" x14ac:dyDescent="0.2">
      <c r="A276" t="s">
        <v>5440</v>
      </c>
      <c r="B276" s="94">
        <v>2.1817129629629631E-2</v>
      </c>
      <c r="C276" s="1"/>
    </row>
    <row r="277" spans="1:3" x14ac:dyDescent="0.2">
      <c r="A277" t="s">
        <v>1929</v>
      </c>
      <c r="B277" s="264">
        <v>2.2523148148148143E-2</v>
      </c>
      <c r="C277" s="1"/>
    </row>
    <row r="278" spans="1:3" x14ac:dyDescent="0.2">
      <c r="A278" t="s">
        <v>2872</v>
      </c>
      <c r="B278" s="264">
        <v>2.2673611111111113E-2</v>
      </c>
      <c r="C278" s="1"/>
    </row>
    <row r="279" spans="1:3" x14ac:dyDescent="0.2">
      <c r="A279" t="s">
        <v>4936</v>
      </c>
      <c r="B279" s="264">
        <v>2.3171296296296297E-2</v>
      </c>
      <c r="C279" s="1"/>
    </row>
    <row r="280" spans="1:3" x14ac:dyDescent="0.2">
      <c r="A280" t="s">
        <v>4499</v>
      </c>
      <c r="B280" s="264">
        <v>2.3217592592592592E-2</v>
      </c>
      <c r="C280" s="1"/>
    </row>
    <row r="281" spans="1:3" x14ac:dyDescent="0.2">
      <c r="A281" t="s">
        <v>74</v>
      </c>
      <c r="B281" s="264">
        <v>2.3391203703703702E-2</v>
      </c>
      <c r="C281" s="1"/>
    </row>
    <row r="282" spans="1:3" x14ac:dyDescent="0.2">
      <c r="A282" t="s">
        <v>161</v>
      </c>
      <c r="B282" s="264">
        <v>2.3472222222222217E-2</v>
      </c>
      <c r="C282" s="1"/>
    </row>
    <row r="283" spans="1:3" x14ac:dyDescent="0.2">
      <c r="A283" t="s">
        <v>4510</v>
      </c>
      <c r="B283" s="264">
        <v>2.4282407407407409E-2</v>
      </c>
      <c r="C283" s="1"/>
    </row>
    <row r="284" spans="1:3" x14ac:dyDescent="0.2">
      <c r="A284" t="s">
        <v>1654</v>
      </c>
      <c r="B284" s="264">
        <v>2.431712962962963E-2</v>
      </c>
      <c r="C284" s="1"/>
    </row>
    <row r="285" spans="1:3" x14ac:dyDescent="0.2">
      <c r="A285" t="s">
        <v>8154</v>
      </c>
      <c r="B285" s="264">
        <v>2.4918981481481483E-2</v>
      </c>
      <c r="C285" s="1"/>
    </row>
    <row r="286" spans="1:3" x14ac:dyDescent="0.2">
      <c r="A286" t="s">
        <v>5239</v>
      </c>
      <c r="B286" s="264">
        <v>2.508101851851852E-2</v>
      </c>
      <c r="C286" s="1"/>
    </row>
    <row r="287" spans="1:3" x14ac:dyDescent="0.2">
      <c r="A287" t="s">
        <v>3669</v>
      </c>
      <c r="B287" s="264">
        <v>2.5520833333333336E-2</v>
      </c>
      <c r="C287" s="1"/>
    </row>
    <row r="288" spans="1:3" x14ac:dyDescent="0.2">
      <c r="A288" t="s">
        <v>8373</v>
      </c>
      <c r="B288" s="264">
        <v>2.5740740740740745E-2</v>
      </c>
      <c r="C288" s="1"/>
    </row>
    <row r="289" spans="1:3" x14ac:dyDescent="0.2">
      <c r="A289" t="s">
        <v>5230</v>
      </c>
      <c r="B289" s="264">
        <v>2.6192129629629631E-2</v>
      </c>
      <c r="C289" s="1"/>
    </row>
    <row r="290" spans="1:3" x14ac:dyDescent="0.2">
      <c r="A290" t="s">
        <v>4053</v>
      </c>
      <c r="B290" s="264">
        <v>2.6215277777777778E-2</v>
      </c>
      <c r="C290" s="1"/>
    </row>
    <row r="291" spans="1:3" x14ac:dyDescent="0.2">
      <c r="A291" t="s">
        <v>7938</v>
      </c>
      <c r="B291" s="264">
        <v>2.8587962962962964E-2</v>
      </c>
      <c r="C291" s="1"/>
    </row>
    <row r="292" spans="1:3" x14ac:dyDescent="0.2">
      <c r="A292" t="s">
        <v>2627</v>
      </c>
      <c r="B292" s="264">
        <v>2.9386574074074075E-2</v>
      </c>
      <c r="C292" s="1"/>
    </row>
    <row r="293" spans="1:3" ht="13.5" thickBot="1" x14ac:dyDescent="0.25">
      <c r="A293" s="64" t="s">
        <v>1735</v>
      </c>
      <c r="B293" s="396">
        <f>SUM(B263:B292)/B294</f>
        <v>2.313734567901234E-2</v>
      </c>
    </row>
    <row r="294" spans="1:3" ht="13.5" thickTop="1" x14ac:dyDescent="0.2">
      <c r="B294">
        <f>COUNT(B263:B292)</f>
        <v>30</v>
      </c>
    </row>
  </sheetData>
  <sortState xmlns:xlrd2="http://schemas.microsoft.com/office/spreadsheetml/2017/richdata2" ref="A137:U141">
    <sortCondition ref="B137:B141"/>
  </sortState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25"/>
  <sheetViews>
    <sheetView topLeftCell="A21" workbookViewId="0">
      <selection activeCell="I459" sqref="I459"/>
    </sheetView>
  </sheetViews>
  <sheetFormatPr defaultRowHeight="12.75" x14ac:dyDescent="0.2"/>
  <cols>
    <col min="1" max="1" width="20.42578125" customWidth="1"/>
    <col min="2" max="6" width="19.28515625" customWidth="1"/>
    <col min="7" max="7" width="4.85546875" customWidth="1"/>
    <col min="8" max="8" width="3.7109375" customWidth="1"/>
    <col min="11" max="11" width="9.140625" style="10"/>
    <col min="12" max="16" width="9.5703125" style="10" customWidth="1"/>
    <col min="17" max="17" width="9.140625" style="10"/>
  </cols>
  <sheetData>
    <row r="1" spans="1:27" x14ac:dyDescent="0.2">
      <c r="A1" s="2" t="s">
        <v>880</v>
      </c>
      <c r="B1" s="100" t="s">
        <v>1718</v>
      </c>
      <c r="J1" s="101"/>
      <c r="N1" s="215"/>
    </row>
    <row r="2" spans="1:27" x14ac:dyDescent="0.2">
      <c r="A2" s="56" t="s">
        <v>5736</v>
      </c>
      <c r="B2" s="102" t="s">
        <v>1783</v>
      </c>
      <c r="G2">
        <v>1</v>
      </c>
      <c r="H2">
        <v>1</v>
      </c>
      <c r="I2" s="144"/>
      <c r="J2" s="164"/>
      <c r="K2" s="151"/>
      <c r="L2" s="159"/>
      <c r="M2" s="159"/>
      <c r="N2" s="340" t="s">
        <v>3676</v>
      </c>
      <c r="O2" s="159"/>
      <c r="P2" s="159"/>
      <c r="Q2" s="151"/>
    </row>
    <row r="3" spans="1:27" x14ac:dyDescent="0.2">
      <c r="A3" s="56" t="s">
        <v>4536</v>
      </c>
      <c r="B3" s="102" t="s">
        <v>6019</v>
      </c>
      <c r="C3" s="865" t="s">
        <v>12218</v>
      </c>
      <c r="G3">
        <v>1</v>
      </c>
      <c r="H3">
        <v>2</v>
      </c>
      <c r="I3" s="144"/>
      <c r="J3" s="164"/>
      <c r="K3" s="159"/>
      <c r="L3" s="158" t="s">
        <v>1719</v>
      </c>
      <c r="M3" s="152" t="s">
        <v>4536</v>
      </c>
      <c r="N3" s="152" t="s">
        <v>2829</v>
      </c>
      <c r="O3" s="212" t="s">
        <v>5066</v>
      </c>
      <c r="P3" s="152" t="s">
        <v>3678</v>
      </c>
      <c r="Q3" s="161"/>
    </row>
    <row r="4" spans="1:27" x14ac:dyDescent="0.2">
      <c r="A4" s="56" t="s">
        <v>4544</v>
      </c>
      <c r="B4" s="102" t="s">
        <v>4544</v>
      </c>
      <c r="C4" s="879" t="s">
        <v>10272</v>
      </c>
      <c r="G4">
        <v>1</v>
      </c>
      <c r="H4">
        <v>2</v>
      </c>
      <c r="I4" s="144"/>
      <c r="J4" s="164"/>
      <c r="K4" s="338" t="s">
        <v>4537</v>
      </c>
      <c r="L4" s="152" t="s">
        <v>5135</v>
      </c>
      <c r="M4" s="152" t="s">
        <v>5137</v>
      </c>
      <c r="N4" s="152" t="s">
        <v>2828</v>
      </c>
      <c r="O4" s="152" t="s">
        <v>5147</v>
      </c>
      <c r="P4" s="152" t="s">
        <v>3677</v>
      </c>
      <c r="Q4" s="152" t="s">
        <v>1783</v>
      </c>
      <c r="R4" s="101"/>
    </row>
    <row r="5" spans="1:27" x14ac:dyDescent="0.2">
      <c r="A5" s="56" t="s">
        <v>5135</v>
      </c>
      <c r="B5" s="102" t="s">
        <v>4176</v>
      </c>
      <c r="G5">
        <v>1</v>
      </c>
      <c r="H5">
        <v>1</v>
      </c>
      <c r="I5" s="55"/>
      <c r="J5" s="101"/>
      <c r="K5" s="158" t="s">
        <v>4538</v>
      </c>
      <c r="L5" s="152" t="s">
        <v>5067</v>
      </c>
      <c r="M5" s="153" t="s">
        <v>5068</v>
      </c>
      <c r="N5" s="153" t="s">
        <v>5069</v>
      </c>
      <c r="O5" s="153" t="s">
        <v>4545</v>
      </c>
      <c r="P5" s="152" t="s">
        <v>5070</v>
      </c>
      <c r="Q5" s="152" t="s">
        <v>5735</v>
      </c>
      <c r="R5" s="128"/>
      <c r="X5" s="458" t="s">
        <v>5855</v>
      </c>
      <c r="Y5" s="45"/>
    </row>
    <row r="6" spans="1:27" x14ac:dyDescent="0.2">
      <c r="A6" s="56" t="s">
        <v>2830</v>
      </c>
      <c r="B6" s="148" t="s">
        <v>2830</v>
      </c>
      <c r="C6" s="55" t="s">
        <v>4397</v>
      </c>
      <c r="D6" s="55" t="s">
        <v>1805</v>
      </c>
      <c r="E6" s="865" t="s">
        <v>8111</v>
      </c>
      <c r="F6" s="1507" t="s">
        <v>12714</v>
      </c>
      <c r="G6">
        <v>1</v>
      </c>
      <c r="H6">
        <v>5</v>
      </c>
      <c r="I6" s="55"/>
      <c r="J6" s="101"/>
      <c r="K6" s="339" t="s">
        <v>2831</v>
      </c>
      <c r="L6" s="152" t="s">
        <v>1122</v>
      </c>
      <c r="M6" s="205" t="s">
        <v>1523</v>
      </c>
      <c r="N6" s="152" t="s">
        <v>5071</v>
      </c>
      <c r="O6" s="152" t="s">
        <v>2827</v>
      </c>
      <c r="P6" s="152" t="s">
        <v>2569</v>
      </c>
      <c r="Q6" s="166" t="s">
        <v>559</v>
      </c>
      <c r="R6" s="341" t="s">
        <v>4544</v>
      </c>
      <c r="S6" s="101"/>
    </row>
    <row r="7" spans="1:27" x14ac:dyDescent="0.2">
      <c r="A7" s="56" t="s">
        <v>5137</v>
      </c>
      <c r="B7" s="102" t="s">
        <v>5959</v>
      </c>
      <c r="G7">
        <v>1</v>
      </c>
      <c r="H7">
        <v>1</v>
      </c>
      <c r="I7" s="144"/>
      <c r="J7" s="164"/>
      <c r="K7" s="151"/>
      <c r="L7" s="339" t="s">
        <v>2147</v>
      </c>
      <c r="M7" s="166" t="s">
        <v>4542</v>
      </c>
      <c r="N7" s="166" t="s">
        <v>4543</v>
      </c>
      <c r="O7" s="166" t="s">
        <v>2570</v>
      </c>
      <c r="P7" s="341" t="s">
        <v>2830</v>
      </c>
      <c r="Q7" s="342"/>
      <c r="AA7" s="134" t="s">
        <v>1697</v>
      </c>
    </row>
    <row r="8" spans="1:27" x14ac:dyDescent="0.2">
      <c r="A8" s="2" t="s">
        <v>4545</v>
      </c>
      <c r="B8" s="101"/>
      <c r="I8" s="130"/>
      <c r="J8" s="164"/>
      <c r="K8" s="151"/>
      <c r="L8" s="151"/>
      <c r="M8" s="909" t="s">
        <v>8578</v>
      </c>
      <c r="N8" s="908"/>
      <c r="O8" s="151"/>
      <c r="P8" s="151"/>
      <c r="Q8" s="151"/>
      <c r="R8" s="1042" t="s">
        <v>8514</v>
      </c>
      <c r="S8" s="175" t="s">
        <v>4441</v>
      </c>
      <c r="W8" s="24" t="s">
        <v>3338</v>
      </c>
      <c r="Z8" s="24" t="s">
        <v>137</v>
      </c>
    </row>
    <row r="9" spans="1:27" x14ac:dyDescent="0.2">
      <c r="A9" s="56" t="s">
        <v>2570</v>
      </c>
      <c r="B9" s="102" t="s">
        <v>6017</v>
      </c>
      <c r="C9" s="55" t="s">
        <v>1969</v>
      </c>
      <c r="D9" s="879" t="s">
        <v>8009</v>
      </c>
      <c r="G9">
        <v>1</v>
      </c>
      <c r="H9">
        <v>3</v>
      </c>
      <c r="I9" s="144"/>
      <c r="J9" s="164"/>
      <c r="K9" s="151"/>
      <c r="L9" s="434" t="s">
        <v>5683</v>
      </c>
      <c r="M9" s="434" t="s">
        <v>5684</v>
      </c>
      <c r="N9" s="151"/>
      <c r="O9" s="151"/>
      <c r="P9" s="151"/>
      <c r="Q9" s="151"/>
      <c r="R9" s="911" t="s">
        <v>8579</v>
      </c>
      <c r="S9" s="910" t="s">
        <v>2294</v>
      </c>
    </row>
    <row r="10" spans="1:27" x14ac:dyDescent="0.2">
      <c r="A10" s="56" t="s">
        <v>4538</v>
      </c>
      <c r="B10" s="102" t="s">
        <v>1401</v>
      </c>
      <c r="G10">
        <v>1</v>
      </c>
      <c r="H10">
        <v>1</v>
      </c>
      <c r="I10" s="144"/>
      <c r="J10" s="101"/>
      <c r="L10" s="607" t="s">
        <v>11863</v>
      </c>
      <c r="M10" s="432" t="s">
        <v>5782</v>
      </c>
      <c r="O10" s="909" t="s">
        <v>4244</v>
      </c>
      <c r="P10" s="607" t="s">
        <v>8143</v>
      </c>
      <c r="Q10" s="225"/>
      <c r="R10" s="24" t="s">
        <v>4509</v>
      </c>
      <c r="S10" s="175"/>
    </row>
    <row r="11" spans="1:27" ht="15.75" x14ac:dyDescent="0.25">
      <c r="A11" s="56" t="s">
        <v>3676</v>
      </c>
      <c r="B11" s="102" t="s">
        <v>4556</v>
      </c>
      <c r="C11" s="55" t="s">
        <v>6020</v>
      </c>
      <c r="G11">
        <v>1</v>
      </c>
      <c r="H11">
        <v>2</v>
      </c>
      <c r="I11" s="55"/>
      <c r="J11" s="302" t="s">
        <v>676</v>
      </c>
      <c r="K11" s="217"/>
      <c r="M11" s="1007" t="s">
        <v>11664</v>
      </c>
      <c r="N11" s="272" t="s">
        <v>4667</v>
      </c>
      <c r="O11" s="225"/>
      <c r="R11" s="4" t="s">
        <v>4134</v>
      </c>
      <c r="S11" s="175"/>
      <c r="U11" s="274" t="s">
        <v>4668</v>
      </c>
      <c r="W11" s="24" t="s">
        <v>5552</v>
      </c>
      <c r="Y11" s="606" t="s">
        <v>2040</v>
      </c>
    </row>
    <row r="12" spans="1:27" ht="13.5" thickBot="1" x14ac:dyDescent="0.25">
      <c r="A12" s="56" t="s">
        <v>559</v>
      </c>
      <c r="B12" s="102" t="s">
        <v>559</v>
      </c>
      <c r="G12">
        <v>1</v>
      </c>
      <c r="H12">
        <v>1</v>
      </c>
      <c r="I12" s="55"/>
      <c r="J12" s="237" t="s">
        <v>993</v>
      </c>
      <c r="K12" s="213" t="s">
        <v>5337</v>
      </c>
      <c r="L12" s="360" t="s">
        <v>2995</v>
      </c>
      <c r="M12" s="433" t="s">
        <v>4452</v>
      </c>
      <c r="N12" s="443" t="s">
        <v>4430</v>
      </c>
      <c r="O12" s="211"/>
      <c r="P12" s="360" t="s">
        <v>5239</v>
      </c>
      <c r="Q12" s="211"/>
      <c r="R12" s="88"/>
      <c r="S12" s="447" t="s">
        <v>5208</v>
      </c>
      <c r="T12" s="88"/>
    </row>
    <row r="13" spans="1:27" x14ac:dyDescent="0.2">
      <c r="A13" s="56" t="s">
        <v>5147</v>
      </c>
      <c r="B13" s="102" t="s">
        <v>248</v>
      </c>
      <c r="G13">
        <v>1</v>
      </c>
      <c r="H13">
        <v>1</v>
      </c>
      <c r="I13" s="144"/>
      <c r="J13" s="1358" t="s">
        <v>10482</v>
      </c>
      <c r="K13" s="220"/>
      <c r="L13" s="361" t="s">
        <v>2593</v>
      </c>
      <c r="M13" s="448" t="s">
        <v>5821</v>
      </c>
      <c r="N13" s="249" t="s">
        <v>6019</v>
      </c>
      <c r="O13" s="222" t="s">
        <v>4556</v>
      </c>
      <c r="P13" s="350"/>
      <c r="Q13" s="361" t="s">
        <v>4861</v>
      </c>
      <c r="R13" s="221"/>
      <c r="S13" s="223"/>
      <c r="T13" s="226"/>
      <c r="U13" s="175"/>
    </row>
    <row r="14" spans="1:27" ht="15.75" x14ac:dyDescent="0.25">
      <c r="A14" s="56" t="s">
        <v>4541</v>
      </c>
      <c r="B14" s="102" t="s">
        <v>1002</v>
      </c>
      <c r="C14" s="55" t="s">
        <v>4004</v>
      </c>
      <c r="G14">
        <v>1</v>
      </c>
      <c r="H14">
        <v>2</v>
      </c>
      <c r="I14" s="55"/>
      <c r="J14" s="238"/>
      <c r="K14" s="629" t="s">
        <v>6393</v>
      </c>
      <c r="L14" s="362" t="s">
        <v>5659</v>
      </c>
      <c r="M14" s="225"/>
      <c r="N14" s="216"/>
      <c r="O14" s="210"/>
      <c r="P14" s="328" t="s">
        <v>6020</v>
      </c>
      <c r="Q14" s="631"/>
      <c r="R14" s="1483" t="s">
        <v>6159</v>
      </c>
      <c r="S14" s="274" t="s">
        <v>4668</v>
      </c>
      <c r="T14" s="226"/>
      <c r="U14" s="486" t="s">
        <v>4510</v>
      </c>
      <c r="V14" s="879" t="s">
        <v>8015</v>
      </c>
    </row>
    <row r="15" spans="1:27" x14ac:dyDescent="0.2">
      <c r="A15" s="56" t="s">
        <v>2829</v>
      </c>
      <c r="B15" s="102" t="s">
        <v>999</v>
      </c>
      <c r="C15" s="55" t="s">
        <v>861</v>
      </c>
      <c r="G15">
        <v>1</v>
      </c>
      <c r="H15">
        <v>2</v>
      </c>
      <c r="I15" s="55"/>
      <c r="J15" s="239" t="s">
        <v>5183</v>
      </c>
      <c r="K15" s="219"/>
      <c r="L15" s="159"/>
      <c r="M15" s="159"/>
      <c r="N15" s="1482" t="s">
        <v>12218</v>
      </c>
      <c r="O15" s="152" t="s">
        <v>999</v>
      </c>
      <c r="P15" s="151"/>
      <c r="Q15" s="212" t="s">
        <v>3139</v>
      </c>
      <c r="R15" s="161"/>
      <c r="S15" s="115"/>
      <c r="T15" s="226"/>
      <c r="U15" s="175"/>
      <c r="X15" s="1102" t="s">
        <v>9861</v>
      </c>
      <c r="Y15" s="1102"/>
    </row>
    <row r="16" spans="1:27" x14ac:dyDescent="0.2">
      <c r="A16" s="56" t="s">
        <v>1719</v>
      </c>
      <c r="B16" s="102" t="s">
        <v>5953</v>
      </c>
      <c r="C16" s="55" t="s">
        <v>74</v>
      </c>
      <c r="G16">
        <v>1</v>
      </c>
      <c r="H16">
        <v>2</v>
      </c>
      <c r="I16" s="55"/>
      <c r="J16" s="1317" t="s">
        <v>10441</v>
      </c>
      <c r="K16" s="301" t="s">
        <v>4537</v>
      </c>
      <c r="L16" s="152" t="s">
        <v>1968</v>
      </c>
      <c r="M16" s="208" t="s">
        <v>2363</v>
      </c>
      <c r="N16" s="151"/>
      <c r="O16" s="152" t="s">
        <v>4626</v>
      </c>
      <c r="P16" s="210"/>
      <c r="Q16" s="151"/>
      <c r="R16" s="152" t="s">
        <v>420</v>
      </c>
      <c r="S16" s="209" t="s">
        <v>1627</v>
      </c>
      <c r="T16" s="226"/>
      <c r="U16" s="175"/>
      <c r="X16" s="1102" t="s">
        <v>5230</v>
      </c>
      <c r="Y16" s="1102"/>
    </row>
    <row r="17" spans="1:28" x14ac:dyDescent="0.2">
      <c r="A17" s="56" t="s">
        <v>5735</v>
      </c>
      <c r="B17" s="102" t="s">
        <v>6022</v>
      </c>
      <c r="C17" s="55" t="s">
        <v>1627</v>
      </c>
      <c r="G17">
        <v>1</v>
      </c>
      <c r="H17">
        <v>2</v>
      </c>
      <c r="I17" s="144"/>
      <c r="J17" s="240" t="s">
        <v>3347</v>
      </c>
      <c r="K17" s="227" t="s">
        <v>5784</v>
      </c>
      <c r="L17" s="151"/>
      <c r="M17" s="152" t="s">
        <v>1827</v>
      </c>
      <c r="N17" s="152" t="s">
        <v>4621</v>
      </c>
      <c r="O17" s="152" t="s">
        <v>992</v>
      </c>
      <c r="P17" s="152" t="s">
        <v>5147</v>
      </c>
      <c r="Q17" s="152" t="s">
        <v>4622</v>
      </c>
      <c r="R17" s="152" t="s">
        <v>1783</v>
      </c>
      <c r="S17" s="341" t="s">
        <v>4628</v>
      </c>
      <c r="T17" s="226"/>
      <c r="U17" s="446" t="s">
        <v>5306</v>
      </c>
      <c r="V17" s="499" t="s">
        <v>5153</v>
      </c>
    </row>
    <row r="18" spans="1:28" ht="13.5" x14ac:dyDescent="0.25">
      <c r="A18" s="2" t="s">
        <v>4537</v>
      </c>
      <c r="B18" s="101"/>
      <c r="I18" s="130"/>
      <c r="J18" s="239" t="s">
        <v>406</v>
      </c>
      <c r="K18" s="176"/>
      <c r="L18" s="151"/>
      <c r="M18" s="152" t="s">
        <v>5048</v>
      </c>
      <c r="N18" s="153" t="s">
        <v>5068</v>
      </c>
      <c r="O18" s="1000" t="s">
        <v>9359</v>
      </c>
      <c r="P18" s="899" t="s">
        <v>449</v>
      </c>
      <c r="Q18" s="1028" t="s">
        <v>9532</v>
      </c>
      <c r="R18" s="199" t="s">
        <v>6003</v>
      </c>
      <c r="T18" s="226"/>
      <c r="U18" s="486" t="s">
        <v>2872</v>
      </c>
      <c r="Y18" s="531" t="s">
        <v>2364</v>
      </c>
      <c r="Z18" s="24" t="s">
        <v>2638</v>
      </c>
    </row>
    <row r="19" spans="1:28" x14ac:dyDescent="0.2">
      <c r="A19" s="56" t="s">
        <v>2831</v>
      </c>
      <c r="B19" s="102" t="s">
        <v>5883</v>
      </c>
      <c r="C19" s="55" t="s">
        <v>5180</v>
      </c>
      <c r="D19" s="55" t="s">
        <v>1123</v>
      </c>
      <c r="E19" s="55" t="s">
        <v>5456</v>
      </c>
      <c r="F19" s="1508" t="s">
        <v>12510</v>
      </c>
      <c r="G19">
        <v>1</v>
      </c>
      <c r="H19">
        <v>4.5</v>
      </c>
      <c r="I19" s="55"/>
      <c r="J19" s="353" t="s">
        <v>4727</v>
      </c>
      <c r="K19" s="228" t="s">
        <v>5453</v>
      </c>
      <c r="L19" s="152" t="s">
        <v>5149</v>
      </c>
      <c r="M19" s="152" t="s">
        <v>2048</v>
      </c>
      <c r="N19" s="212" t="s">
        <v>5484</v>
      </c>
      <c r="O19" s="158" t="s">
        <v>4625</v>
      </c>
      <c r="P19" s="152" t="s">
        <v>2827</v>
      </c>
      <c r="Q19" s="167"/>
      <c r="R19" s="169"/>
      <c r="S19" s="170"/>
      <c r="T19" s="445" t="s">
        <v>4432</v>
      </c>
      <c r="U19" s="214" t="s">
        <v>4133</v>
      </c>
      <c r="V19" s="129"/>
      <c r="W19" s="129"/>
      <c r="X19" s="129"/>
      <c r="Y19" s="129"/>
      <c r="Z19" s="129"/>
      <c r="AA19" s="129"/>
    </row>
    <row r="20" spans="1:28" ht="13.5" thickBot="1" x14ac:dyDescent="0.25">
      <c r="A20" s="56" t="s">
        <v>2828</v>
      </c>
      <c r="B20" s="102" t="s">
        <v>5654</v>
      </c>
      <c r="G20">
        <v>1</v>
      </c>
      <c r="H20">
        <v>1</v>
      </c>
      <c r="I20" s="55"/>
      <c r="J20" s="239" t="s">
        <v>3167</v>
      </c>
      <c r="K20" s="176"/>
      <c r="L20" s="151"/>
      <c r="M20" s="152" t="s">
        <v>4659</v>
      </c>
      <c r="N20" s="899" t="s">
        <v>9406</v>
      </c>
      <c r="O20" s="152" t="s">
        <v>1893</v>
      </c>
      <c r="P20" s="152" t="s">
        <v>5785</v>
      </c>
      <c r="Q20" s="152" t="s">
        <v>6016</v>
      </c>
      <c r="R20" s="1081" t="s">
        <v>559</v>
      </c>
      <c r="S20" s="1082" t="s">
        <v>4544</v>
      </c>
      <c r="T20" s="417" t="s">
        <v>4694</v>
      </c>
      <c r="U20" s="487" t="s">
        <v>1853</v>
      </c>
      <c r="V20" s="605"/>
      <c r="W20" s="605"/>
      <c r="X20" s="88"/>
      <c r="Y20" s="460" t="s">
        <v>5141</v>
      </c>
      <c r="Z20" s="88"/>
    </row>
    <row r="21" spans="1:28" x14ac:dyDescent="0.2">
      <c r="A21" s="2" t="s">
        <v>4539</v>
      </c>
      <c r="B21" s="101"/>
      <c r="I21" s="130"/>
      <c r="J21" s="239" t="s">
        <v>1214</v>
      </c>
      <c r="K21" s="231" t="s">
        <v>3346</v>
      </c>
      <c r="L21" s="1480" t="s">
        <v>5812</v>
      </c>
      <c r="M21" s="152" t="s">
        <v>1122</v>
      </c>
      <c r="N21" s="218" t="s">
        <v>1849</v>
      </c>
      <c r="O21" s="218" t="s">
        <v>209</v>
      </c>
      <c r="P21" s="899" t="s">
        <v>8055</v>
      </c>
      <c r="Q21" s="899" t="s">
        <v>9620</v>
      </c>
      <c r="R21" s="899" t="s">
        <v>8111</v>
      </c>
      <c r="S21" s="632" t="s">
        <v>10276</v>
      </c>
      <c r="T21" s="1080" t="s">
        <v>9745</v>
      </c>
      <c r="U21" s="175"/>
      <c r="V21" s="24" t="s">
        <v>3174</v>
      </c>
      <c r="Z21" s="24" t="s">
        <v>1696</v>
      </c>
      <c r="AB21" s="24" t="s">
        <v>2449</v>
      </c>
    </row>
    <row r="22" spans="1:28" ht="16.5" thickBot="1" x14ac:dyDescent="0.3">
      <c r="A22" s="56" t="s">
        <v>2147</v>
      </c>
      <c r="B22" s="102" t="s">
        <v>5181</v>
      </c>
      <c r="G22">
        <v>1</v>
      </c>
      <c r="H22">
        <v>0.5</v>
      </c>
      <c r="I22" s="55"/>
      <c r="J22" s="1535" t="s">
        <v>11665</v>
      </c>
      <c r="K22" s="232"/>
      <c r="L22" s="1505" t="s">
        <v>12510</v>
      </c>
      <c r="M22" s="1481" t="s">
        <v>2147</v>
      </c>
      <c r="N22" s="215"/>
      <c r="O22" s="218" t="s">
        <v>4624</v>
      </c>
      <c r="P22" s="152" t="s">
        <v>4623</v>
      </c>
      <c r="Q22" s="1642" t="s">
        <v>3741</v>
      </c>
      <c r="R22" s="171" t="s">
        <v>2830</v>
      </c>
      <c r="S22" s="788" t="s">
        <v>1805</v>
      </c>
      <c r="T22" s="273" t="s">
        <v>674</v>
      </c>
      <c r="U22" s="447"/>
      <c r="V22" s="500" t="s">
        <v>4496</v>
      </c>
      <c r="W22" s="88"/>
      <c r="X22" s="460" t="s">
        <v>5140</v>
      </c>
      <c r="Y22" s="88"/>
      <c r="AA22" s="531" t="s">
        <v>4501</v>
      </c>
      <c r="AB22" s="531" t="s">
        <v>4498</v>
      </c>
    </row>
    <row r="23" spans="1:28" ht="15" thickBot="1" x14ac:dyDescent="0.3">
      <c r="A23" s="56" t="s">
        <v>5138</v>
      </c>
      <c r="B23" s="102" t="s">
        <v>5057</v>
      </c>
      <c r="C23" s="865" t="s">
        <v>9539</v>
      </c>
      <c r="G23">
        <v>1</v>
      </c>
      <c r="H23">
        <v>1.5</v>
      </c>
      <c r="I23" s="55"/>
      <c r="J23" s="1510" t="s">
        <v>677</v>
      </c>
      <c r="K23"/>
      <c r="L23" s="1027" t="s">
        <v>9307</v>
      </c>
      <c r="M23" s="162" t="s">
        <v>1120</v>
      </c>
      <c r="N23" s="160" t="s">
        <v>1003</v>
      </c>
      <c r="O23" s="248" t="s">
        <v>4205</v>
      </c>
      <c r="P23" s="349" t="s">
        <v>4629</v>
      </c>
      <c r="Q23" s="1506" t="s">
        <v>12713</v>
      </c>
      <c r="R23" s="297"/>
      <c r="T23" s="226"/>
      <c r="U23" s="486" t="s">
        <v>3669</v>
      </c>
      <c r="AA23" s="24" t="s">
        <v>4901</v>
      </c>
    </row>
    <row r="24" spans="1:28" ht="12.75" customHeight="1" thickBot="1" x14ac:dyDescent="0.3">
      <c r="A24" s="56" t="s">
        <v>2569</v>
      </c>
      <c r="B24" s="102" t="s">
        <v>6016</v>
      </c>
      <c r="C24" s="616" t="s">
        <v>4379</v>
      </c>
      <c r="D24" s="879" t="s">
        <v>9688</v>
      </c>
      <c r="G24">
        <v>1</v>
      </c>
      <c r="H24">
        <v>3</v>
      </c>
      <c r="I24" s="55"/>
      <c r="J24" s="226"/>
      <c r="K24" s="999" t="s">
        <v>1982</v>
      </c>
      <c r="L24" s="998"/>
      <c r="M24" s="1536" t="s">
        <v>10983</v>
      </c>
      <c r="N24" s="442"/>
      <c r="O24" s="360" t="s">
        <v>5483</v>
      </c>
      <c r="P24" s="275" t="s">
        <v>675</v>
      </c>
      <c r="Q24" s="211"/>
      <c r="R24" s="211"/>
      <c r="S24" s="88"/>
      <c r="T24" s="233"/>
      <c r="U24" s="175"/>
    </row>
    <row r="25" spans="1:28" ht="16.5" thickBot="1" x14ac:dyDescent="0.3">
      <c r="A25" s="56" t="s">
        <v>4542</v>
      </c>
      <c r="B25" s="102" t="s">
        <v>4451</v>
      </c>
      <c r="G25">
        <v>1</v>
      </c>
      <c r="H25">
        <v>1</v>
      </c>
      <c r="I25" s="55"/>
      <c r="J25" s="233"/>
      <c r="K25" s="900" t="s">
        <v>4302</v>
      </c>
      <c r="L25" s="441" t="s">
        <v>5198</v>
      </c>
      <c r="M25" s="503" t="s">
        <v>4429</v>
      </c>
      <c r="N25" s="900" t="s">
        <v>8248</v>
      </c>
      <c r="O25" s="441" t="s">
        <v>4216</v>
      </c>
      <c r="P25" s="435"/>
      <c r="S25" s="444" t="s">
        <v>4431</v>
      </c>
      <c r="T25" s="459"/>
      <c r="V25" s="274" t="s">
        <v>674</v>
      </c>
    </row>
    <row r="26" spans="1:28" ht="15.75" x14ac:dyDescent="0.25">
      <c r="A26" s="56" t="s">
        <v>3677</v>
      </c>
      <c r="B26" s="102" t="s">
        <v>6003</v>
      </c>
      <c r="C26" s="865" t="s">
        <v>9304</v>
      </c>
      <c r="G26">
        <v>1</v>
      </c>
      <c r="H26">
        <v>2</v>
      </c>
      <c r="I26" s="144"/>
      <c r="J26" s="239" t="s">
        <v>4936</v>
      </c>
      <c r="K26" s="440" t="s">
        <v>2431</v>
      </c>
      <c r="L26" s="441" t="s">
        <v>5947</v>
      </c>
      <c r="M26" s="436"/>
      <c r="N26" s="439" t="s">
        <v>3009</v>
      </c>
      <c r="P26" s="436"/>
      <c r="Q26" s="272" t="s">
        <v>675</v>
      </c>
      <c r="T26" s="352" t="s">
        <v>1554</v>
      </c>
    </row>
    <row r="27" spans="1:28" x14ac:dyDescent="0.2">
      <c r="A27" s="56" t="s">
        <v>3678</v>
      </c>
      <c r="B27" s="102" t="s">
        <v>1780</v>
      </c>
      <c r="C27" s="55" t="s">
        <v>420</v>
      </c>
      <c r="G27">
        <v>1</v>
      </c>
      <c r="H27">
        <v>2</v>
      </c>
      <c r="I27" s="144"/>
      <c r="J27" s="101"/>
      <c r="K27" s="437" t="s">
        <v>5687</v>
      </c>
      <c r="L27" s="439" t="s">
        <v>3299</v>
      </c>
      <c r="M27" s="438" t="s">
        <v>843</v>
      </c>
      <c r="N27" s="439" t="s">
        <v>840</v>
      </c>
      <c r="P27" s="436"/>
      <c r="Q27"/>
      <c r="R27" s="919" t="s">
        <v>8373</v>
      </c>
      <c r="S27" s="920"/>
      <c r="T27" s="353" t="s">
        <v>1854</v>
      </c>
      <c r="W27" s="531" t="s">
        <v>4575</v>
      </c>
      <c r="X27" s="24" t="s">
        <v>3870</v>
      </c>
    </row>
    <row r="28" spans="1:28" x14ac:dyDescent="0.2">
      <c r="A28" s="56" t="s">
        <v>1122</v>
      </c>
      <c r="B28" s="102" t="s">
        <v>5885</v>
      </c>
      <c r="C28" s="55" t="s">
        <v>5180</v>
      </c>
      <c r="D28" s="55" t="s">
        <v>5181</v>
      </c>
      <c r="E28" s="55" t="s">
        <v>998</v>
      </c>
      <c r="F28" s="55" t="s">
        <v>2818</v>
      </c>
      <c r="G28">
        <v>1</v>
      </c>
      <c r="H28">
        <v>4</v>
      </c>
      <c r="I28" s="55"/>
      <c r="J28" s="101"/>
      <c r="K28" s="436"/>
      <c r="L28" s="1041" t="s">
        <v>9655</v>
      </c>
      <c r="M28" s="437" t="s">
        <v>5686</v>
      </c>
      <c r="O28" s="165" t="s">
        <v>3507</v>
      </c>
      <c r="P28" s="437" t="s">
        <v>5685</v>
      </c>
      <c r="T28" s="1509" t="s">
        <v>12665</v>
      </c>
      <c r="U28" s="606" t="s">
        <v>3947</v>
      </c>
      <c r="V28" s="606"/>
    </row>
    <row r="29" spans="1:28" ht="15.75" x14ac:dyDescent="0.25">
      <c r="A29" s="56" t="s">
        <v>2827</v>
      </c>
      <c r="B29" s="102" t="s">
        <v>715</v>
      </c>
      <c r="C29" s="55" t="s">
        <v>209</v>
      </c>
      <c r="D29" s="55" t="s">
        <v>5758</v>
      </c>
      <c r="E29" s="55" t="s">
        <v>1405</v>
      </c>
      <c r="G29">
        <v>1</v>
      </c>
      <c r="H29">
        <v>4</v>
      </c>
      <c r="I29" s="55"/>
      <c r="J29" s="101"/>
      <c r="K29" s="272" t="s">
        <v>678</v>
      </c>
      <c r="L29" s="1040" t="s">
        <v>3963</v>
      </c>
      <c r="O29" s="272" t="s">
        <v>679</v>
      </c>
      <c r="S29" s="4" t="s">
        <v>5139</v>
      </c>
      <c r="T29" s="101"/>
    </row>
    <row r="30" spans="1:28" x14ac:dyDescent="0.2">
      <c r="A30" s="56" t="s">
        <v>4543</v>
      </c>
      <c r="B30" s="102" t="s">
        <v>6018</v>
      </c>
      <c r="G30">
        <v>1</v>
      </c>
      <c r="H30">
        <v>1</v>
      </c>
      <c r="I30" s="55"/>
      <c r="J30" s="101"/>
      <c r="K30" s="165" t="s">
        <v>1939</v>
      </c>
      <c r="T30" s="101"/>
    </row>
    <row r="31" spans="1:28" x14ac:dyDescent="0.2">
      <c r="A31" s="56" t="s">
        <v>5557</v>
      </c>
      <c r="B31" s="102" t="s">
        <v>449</v>
      </c>
      <c r="G31">
        <v>1</v>
      </c>
      <c r="H31">
        <v>1</v>
      </c>
      <c r="I31" s="144"/>
      <c r="J31" s="164"/>
      <c r="K31" s="165" t="s">
        <v>5962</v>
      </c>
      <c r="M31" s="165" t="s">
        <v>891</v>
      </c>
      <c r="T31" s="238"/>
    </row>
    <row r="32" spans="1:28" x14ac:dyDescent="0.2">
      <c r="A32" s="56" t="s">
        <v>5734</v>
      </c>
      <c r="B32" s="102" t="s">
        <v>3139</v>
      </c>
      <c r="G32">
        <v>1</v>
      </c>
      <c r="H32">
        <v>1</v>
      </c>
      <c r="I32" s="55"/>
      <c r="J32" s="164"/>
      <c r="K32" s="165" t="s">
        <v>4500</v>
      </c>
      <c r="M32" s="165" t="s">
        <v>803</v>
      </c>
      <c r="O32" s="607" t="s">
        <v>2699</v>
      </c>
      <c r="Q32"/>
      <c r="S32" s="24" t="s">
        <v>768</v>
      </c>
      <c r="T32" s="101"/>
    </row>
    <row r="33" spans="1:20" x14ac:dyDescent="0.2">
      <c r="A33" s="56" t="s">
        <v>1523</v>
      </c>
      <c r="B33" s="102" t="s">
        <v>5267</v>
      </c>
      <c r="C33" s="865" t="s">
        <v>9539</v>
      </c>
      <c r="G33">
        <v>1</v>
      </c>
      <c r="H33">
        <v>1.5</v>
      </c>
      <c r="I33" s="55"/>
      <c r="J33" s="101"/>
      <c r="K33" s="165" t="s">
        <v>4497</v>
      </c>
      <c r="M33" s="165" t="s">
        <v>802</v>
      </c>
      <c r="O33" s="10" t="s">
        <v>2698</v>
      </c>
      <c r="Q33"/>
      <c r="R33" s="16"/>
      <c r="T33" s="531" t="s">
        <v>475</v>
      </c>
    </row>
    <row r="34" spans="1:20" x14ac:dyDescent="0.2">
      <c r="A34" s="2" t="s">
        <v>4540</v>
      </c>
      <c r="B34" s="101"/>
      <c r="I34" s="521"/>
      <c r="J34" s="101"/>
      <c r="L34" s="165" t="s">
        <v>3871</v>
      </c>
      <c r="O34" s="607" t="s">
        <v>2697</v>
      </c>
    </row>
    <row r="35" spans="1:20" ht="13.5" thickBot="1" x14ac:dyDescent="0.25">
      <c r="B35" s="101"/>
      <c r="G35" s="64">
        <f>SUM(G2:G34)</f>
        <v>29</v>
      </c>
      <c r="H35" s="64">
        <f>SUM(H2:H34)</f>
        <v>56</v>
      </c>
      <c r="L35" s="165" t="s">
        <v>3528</v>
      </c>
      <c r="O35" s="607" t="s">
        <v>2700</v>
      </c>
    </row>
    <row r="36" spans="1:20" ht="13.5" thickTop="1" x14ac:dyDescent="0.2">
      <c r="B36" s="101"/>
      <c r="G36">
        <f>COUNT(G2:G34)</f>
        <v>29</v>
      </c>
      <c r="J36" s="11"/>
      <c r="L36" s="165" t="s">
        <v>1433</v>
      </c>
      <c r="Q36" s="70"/>
    </row>
    <row r="37" spans="1:20" x14ac:dyDescent="0.2">
      <c r="A37" s="2" t="s">
        <v>1943</v>
      </c>
      <c r="B37" s="101"/>
    </row>
    <row r="38" spans="1:20" x14ac:dyDescent="0.2">
      <c r="A38" s="56" t="s">
        <v>3177</v>
      </c>
      <c r="B38" s="148" t="s">
        <v>1003</v>
      </c>
      <c r="G38">
        <v>1</v>
      </c>
      <c r="H38">
        <v>1</v>
      </c>
      <c r="K38" s="2106"/>
      <c r="Q38" s="16"/>
    </row>
    <row r="39" spans="1:20" x14ac:dyDescent="0.2">
      <c r="A39" s="56" t="s">
        <v>1962</v>
      </c>
      <c r="B39" s="148" t="s">
        <v>5992</v>
      </c>
      <c r="C39" s="625" t="s">
        <v>6159</v>
      </c>
      <c r="G39">
        <v>1</v>
      </c>
      <c r="H39">
        <v>2</v>
      </c>
      <c r="K39" s="2106"/>
    </row>
    <row r="40" spans="1:20" x14ac:dyDescent="0.2">
      <c r="A40" s="56" t="s">
        <v>1668</v>
      </c>
      <c r="B40" s="55" t="s">
        <v>527</v>
      </c>
      <c r="D40" t="s">
        <v>3668</v>
      </c>
      <c r="G40">
        <v>1</v>
      </c>
      <c r="H40">
        <v>1</v>
      </c>
      <c r="K40" s="2106"/>
    </row>
    <row r="41" spans="1:20" x14ac:dyDescent="0.2">
      <c r="A41" s="56" t="s">
        <v>1848</v>
      </c>
      <c r="B41" s="55" t="s">
        <v>1569</v>
      </c>
      <c r="C41" s="625" t="s">
        <v>6393</v>
      </c>
      <c r="G41">
        <v>1</v>
      </c>
      <c r="H41">
        <v>2</v>
      </c>
      <c r="K41" s="2106"/>
    </row>
    <row r="42" spans="1:20" x14ac:dyDescent="0.2">
      <c r="A42" s="56" t="s">
        <v>2882</v>
      </c>
      <c r="B42" s="55" t="s">
        <v>2593</v>
      </c>
      <c r="G42">
        <v>1</v>
      </c>
      <c r="H42">
        <v>1</v>
      </c>
      <c r="K42" s="2106"/>
    </row>
    <row r="43" spans="1:20" x14ac:dyDescent="0.2">
      <c r="A43" s="56" t="s">
        <v>5476</v>
      </c>
      <c r="B43" s="55" t="s">
        <v>5821</v>
      </c>
      <c r="G43">
        <v>1</v>
      </c>
      <c r="H43">
        <v>1</v>
      </c>
      <c r="K43" s="2106"/>
      <c r="M43" s="7"/>
      <c r="N43" s="7"/>
      <c r="O43" s="7"/>
    </row>
    <row r="44" spans="1:20" x14ac:dyDescent="0.2">
      <c r="A44" s="56" t="s">
        <v>4694</v>
      </c>
      <c r="B44" s="55" t="s">
        <v>4694</v>
      </c>
      <c r="C44" s="879" t="s">
        <v>9738</v>
      </c>
      <c r="G44">
        <v>1</v>
      </c>
      <c r="H44">
        <v>1</v>
      </c>
      <c r="K44" s="5"/>
    </row>
    <row r="45" spans="1:20" x14ac:dyDescent="0.2">
      <c r="A45" s="957" t="s">
        <v>9305</v>
      </c>
      <c r="B45" s="879" t="s">
        <v>9307</v>
      </c>
      <c r="G45">
        <v>1</v>
      </c>
      <c r="H45">
        <v>1</v>
      </c>
      <c r="M45" s="81"/>
      <c r="N45" s="1006"/>
    </row>
    <row r="46" spans="1:20" ht="13.5" thickBot="1" x14ac:dyDescent="0.25">
      <c r="A46" s="957" t="s">
        <v>11130</v>
      </c>
      <c r="B46" s="55" t="s">
        <v>10983</v>
      </c>
      <c r="G46" s="64">
        <f>SUM(G38:G45)</f>
        <v>8</v>
      </c>
      <c r="H46" s="64">
        <f>SUM(H38:H45)</f>
        <v>10</v>
      </c>
      <c r="M46" s="81"/>
      <c r="N46" s="1006"/>
    </row>
    <row r="47" spans="1:20" ht="13.5" thickTop="1" x14ac:dyDescent="0.2">
      <c r="M47" s="81"/>
      <c r="N47" s="1006"/>
    </row>
    <row r="48" spans="1:20" x14ac:dyDescent="0.2">
      <c r="B48" s="2" t="s">
        <v>5577</v>
      </c>
      <c r="C48" s="2" t="s">
        <v>1885</v>
      </c>
      <c r="D48" s="2" t="s">
        <v>585</v>
      </c>
      <c r="F48" s="4" t="s">
        <v>3038</v>
      </c>
      <c r="I48" s="10" t="s">
        <v>363</v>
      </c>
      <c r="M48" s="81"/>
    </row>
    <row r="49" spans="1:17" x14ac:dyDescent="0.2">
      <c r="A49" t="s">
        <v>999</v>
      </c>
      <c r="B49" s="1">
        <v>1.849537037037037E-2</v>
      </c>
      <c r="C49" t="s">
        <v>584</v>
      </c>
      <c r="D49" s="1">
        <v>2.7002314814814812E-2</v>
      </c>
      <c r="E49" s="172">
        <v>42714</v>
      </c>
      <c r="F49" s="136" t="s">
        <v>3039</v>
      </c>
      <c r="G49">
        <v>1</v>
      </c>
      <c r="H49">
        <v>0</v>
      </c>
      <c r="I49" s="1">
        <v>2.1990740740740741E-2</v>
      </c>
      <c r="J49" t="s">
        <v>1808</v>
      </c>
      <c r="K49" s="2106"/>
      <c r="M49" s="81"/>
      <c r="P49" s="1134">
        <v>2.1990740740740741E-2</v>
      </c>
      <c r="Q49" s="65">
        <f>I49-P49</f>
        <v>0</v>
      </c>
    </row>
    <row r="50" spans="1:17" x14ac:dyDescent="0.2">
      <c r="A50" s="101" t="s">
        <v>1783</v>
      </c>
      <c r="B50" s="1">
        <v>1.6423611111111111E-2</v>
      </c>
      <c r="C50" t="s">
        <v>1886</v>
      </c>
      <c r="D50" s="44">
        <v>2.0601851851851854E-2</v>
      </c>
      <c r="E50" s="172">
        <v>41874</v>
      </c>
      <c r="F50" s="136" t="s">
        <v>3039</v>
      </c>
      <c r="G50">
        <v>1</v>
      </c>
      <c r="H50">
        <v>0</v>
      </c>
      <c r="I50" s="1">
        <f>D50</f>
        <v>2.0601851851851854E-2</v>
      </c>
      <c r="J50" t="s">
        <v>1808</v>
      </c>
      <c r="K50" s="2106"/>
      <c r="M50" s="81"/>
      <c r="P50" s="1134">
        <v>2.0601851851851854E-2</v>
      </c>
      <c r="Q50" s="65">
        <f t="shared" ref="Q50:Q105" si="0">I50-P50</f>
        <v>0</v>
      </c>
    </row>
    <row r="51" spans="1:17" x14ac:dyDescent="0.2">
      <c r="A51" s="617" t="s">
        <v>4379</v>
      </c>
      <c r="B51" s="1">
        <v>1.638888888888889E-2</v>
      </c>
      <c r="C51" s="80" t="s">
        <v>3627</v>
      </c>
      <c r="D51" s="1">
        <v>2.5150462962962961E-2</v>
      </c>
      <c r="E51" s="172">
        <v>42938</v>
      </c>
      <c r="F51" s="136">
        <v>2.2430555555555554E-2</v>
      </c>
      <c r="G51">
        <v>1</v>
      </c>
      <c r="H51">
        <v>0</v>
      </c>
      <c r="I51" s="648">
        <v>2.5150462962962961E-2</v>
      </c>
      <c r="J51" t="s">
        <v>1808</v>
      </c>
      <c r="K51" s="2106"/>
      <c r="M51" s="81"/>
      <c r="P51" s="1134">
        <v>2.5150462962962961E-2</v>
      </c>
      <c r="Q51" s="65">
        <f t="shared" si="0"/>
        <v>0</v>
      </c>
    </row>
    <row r="52" spans="1:17" x14ac:dyDescent="0.2">
      <c r="A52" s="101" t="s">
        <v>6003</v>
      </c>
      <c r="B52" s="1">
        <v>1.6898148148148148E-2</v>
      </c>
      <c r="C52" t="s">
        <v>1886</v>
      </c>
      <c r="D52" s="44">
        <v>2.074074074074074E-2</v>
      </c>
      <c r="E52" s="172">
        <v>41797</v>
      </c>
      <c r="F52" s="136" t="s">
        <v>3039</v>
      </c>
      <c r="G52">
        <v>1</v>
      </c>
      <c r="H52">
        <v>0</v>
      </c>
      <c r="I52" s="1">
        <f>D52</f>
        <v>2.074074074074074E-2</v>
      </c>
      <c r="J52" t="s">
        <v>1808</v>
      </c>
      <c r="K52" s="2106"/>
      <c r="P52" s="1134">
        <v>2.074074074074074E-2</v>
      </c>
      <c r="Q52" s="65">
        <f t="shared" si="0"/>
        <v>0</v>
      </c>
    </row>
    <row r="53" spans="1:17" x14ac:dyDescent="0.2">
      <c r="A53" s="101" t="s">
        <v>5883</v>
      </c>
      <c r="B53" s="1">
        <v>1.5740740740740743E-2</v>
      </c>
      <c r="C53" s="2" t="s">
        <v>3216</v>
      </c>
      <c r="D53" s="1">
        <v>2.5196759259259256E-2</v>
      </c>
      <c r="E53" s="172">
        <v>42868</v>
      </c>
      <c r="F53" s="136" t="s">
        <v>3039</v>
      </c>
      <c r="G53">
        <v>1</v>
      </c>
      <c r="H53">
        <v>0</v>
      </c>
      <c r="I53" s="1">
        <v>2.0937500000000001E-2</v>
      </c>
      <c r="J53" t="s">
        <v>1808</v>
      </c>
      <c r="K53" s="2106"/>
      <c r="P53" s="1134">
        <v>2.0937499999999998E-2</v>
      </c>
      <c r="Q53" s="65">
        <f t="shared" si="0"/>
        <v>0</v>
      </c>
    </row>
    <row r="54" spans="1:17" x14ac:dyDescent="0.2">
      <c r="A54" s="617" t="s">
        <v>12711</v>
      </c>
      <c r="B54" s="1"/>
      <c r="C54" s="2"/>
      <c r="D54" s="1"/>
      <c r="E54" s="172"/>
      <c r="F54" s="136"/>
      <c r="G54">
        <v>1</v>
      </c>
      <c r="H54">
        <v>0</v>
      </c>
      <c r="I54" s="1"/>
      <c r="K54" s="2106"/>
      <c r="P54" s="1134"/>
      <c r="Q54" s="65"/>
    </row>
    <row r="55" spans="1:17" x14ac:dyDescent="0.2">
      <c r="A55" s="101" t="s">
        <v>4544</v>
      </c>
      <c r="B55" s="1">
        <v>1.6550925925925924E-2</v>
      </c>
      <c r="C55" t="s">
        <v>5143</v>
      </c>
      <c r="D55" s="1">
        <v>2.2094907407407407E-2</v>
      </c>
      <c r="E55" s="172">
        <v>41839</v>
      </c>
      <c r="F55" s="136">
        <v>1.8981481481481481E-2</v>
      </c>
      <c r="G55">
        <v>1</v>
      </c>
      <c r="H55">
        <v>0</v>
      </c>
      <c r="I55" s="1">
        <f>D55</f>
        <v>2.2094907407407407E-2</v>
      </c>
      <c r="J55" t="s">
        <v>1808</v>
      </c>
      <c r="K55" s="2106"/>
      <c r="P55" s="1134">
        <v>2.2094907407407407E-2</v>
      </c>
      <c r="Q55" s="65">
        <f t="shared" si="0"/>
        <v>0</v>
      </c>
    </row>
    <row r="56" spans="1:17" x14ac:dyDescent="0.2">
      <c r="A56" t="s">
        <v>5057</v>
      </c>
      <c r="B56" s="1">
        <v>1.6064814814814813E-2</v>
      </c>
      <c r="C56" t="s">
        <v>65</v>
      </c>
      <c r="D56" s="1">
        <v>2.0856481481481479E-2</v>
      </c>
      <c r="E56" s="172">
        <v>41958</v>
      </c>
      <c r="F56" s="136" t="s">
        <v>3039</v>
      </c>
      <c r="G56">
        <v>1</v>
      </c>
      <c r="H56">
        <v>0</v>
      </c>
      <c r="I56" s="1">
        <f>D56</f>
        <v>2.0856481481481479E-2</v>
      </c>
      <c r="J56" t="s">
        <v>1808</v>
      </c>
      <c r="K56" s="2106"/>
      <c r="P56" s="1134">
        <v>2.0856481481481479E-2</v>
      </c>
      <c r="Q56" s="65">
        <f t="shared" si="0"/>
        <v>0</v>
      </c>
    </row>
    <row r="57" spans="1:17" x14ac:dyDescent="0.2">
      <c r="A57" s="147" t="s">
        <v>2830</v>
      </c>
      <c r="B57" s="1">
        <v>1.525462962962963E-2</v>
      </c>
      <c r="C57" t="s">
        <v>5143</v>
      </c>
      <c r="D57" s="44">
        <v>2.074074074074074E-2</v>
      </c>
      <c r="E57" s="172">
        <v>41965</v>
      </c>
      <c r="F57" s="136">
        <v>1.9456018518518518E-2</v>
      </c>
      <c r="G57">
        <v>1</v>
      </c>
      <c r="H57">
        <v>0</v>
      </c>
      <c r="I57" s="1">
        <f>D57</f>
        <v>2.074074074074074E-2</v>
      </c>
      <c r="J57" t="s">
        <v>1808</v>
      </c>
      <c r="P57" s="1134">
        <v>2.074074074074074E-2</v>
      </c>
      <c r="Q57" s="65">
        <f t="shared" si="0"/>
        <v>0</v>
      </c>
    </row>
    <row r="58" spans="1:17" x14ac:dyDescent="0.2">
      <c r="A58" s="101" t="s">
        <v>715</v>
      </c>
      <c r="B58" s="1">
        <v>1.636574074074074E-2</v>
      </c>
      <c r="C58" t="s">
        <v>65</v>
      </c>
      <c r="D58" s="1">
        <v>2.2754629629629628E-2</v>
      </c>
      <c r="E58" s="172">
        <v>42623</v>
      </c>
      <c r="F58" s="136">
        <v>1.9930555555555556E-2</v>
      </c>
      <c r="G58">
        <v>1</v>
      </c>
      <c r="H58">
        <v>0</v>
      </c>
      <c r="I58" s="1">
        <v>1.9884259259259258E-2</v>
      </c>
      <c r="J58" t="s">
        <v>1808</v>
      </c>
      <c r="P58" s="1134">
        <v>1.9884259259259258E-2</v>
      </c>
      <c r="Q58" s="65">
        <f t="shared" si="0"/>
        <v>0</v>
      </c>
    </row>
    <row r="59" spans="1:17" x14ac:dyDescent="0.2">
      <c r="A59" s="101" t="s">
        <v>5885</v>
      </c>
      <c r="B59" s="1">
        <v>1.4212962962962962E-2</v>
      </c>
      <c r="C59" t="s">
        <v>644</v>
      </c>
      <c r="D59" s="1">
        <v>2.3333333333333334E-2</v>
      </c>
      <c r="E59" s="172">
        <v>42581</v>
      </c>
      <c r="F59" s="136">
        <v>1.9467592592592595E-2</v>
      </c>
      <c r="G59">
        <v>1</v>
      </c>
      <c r="H59">
        <v>0</v>
      </c>
      <c r="I59" s="1">
        <v>2.0324074074074074E-2</v>
      </c>
      <c r="J59" t="s">
        <v>1808</v>
      </c>
      <c r="P59" s="1134">
        <v>2.0324074074074074E-2</v>
      </c>
      <c r="Q59" s="65">
        <f t="shared" si="0"/>
        <v>0</v>
      </c>
    </row>
    <row r="60" spans="1:17" x14ac:dyDescent="0.2">
      <c r="A60" s="101" t="s">
        <v>74</v>
      </c>
      <c r="B60" s="1">
        <v>1.681712962962963E-2</v>
      </c>
      <c r="C60" s="80" t="s">
        <v>3627</v>
      </c>
      <c r="D60" s="1">
        <v>2.3391203703703702E-2</v>
      </c>
      <c r="E60" s="172">
        <v>42665</v>
      </c>
      <c r="F60" s="136">
        <v>2.5428240740740741E-2</v>
      </c>
      <c r="G60">
        <v>1</v>
      </c>
      <c r="H60">
        <v>0</v>
      </c>
      <c r="I60" s="1">
        <v>2.3391203703703702E-2</v>
      </c>
      <c r="J60" t="s">
        <v>1808</v>
      </c>
      <c r="K60" s="348"/>
      <c r="P60" s="1134">
        <v>2.3391203703703702E-2</v>
      </c>
      <c r="Q60" s="65">
        <f t="shared" si="0"/>
        <v>0</v>
      </c>
    </row>
    <row r="61" spans="1:17" x14ac:dyDescent="0.2">
      <c r="A61" s="101" t="s">
        <v>9620</v>
      </c>
      <c r="B61" s="1">
        <v>1.7465277777777777E-2</v>
      </c>
      <c r="C61" s="80" t="s">
        <v>9928</v>
      </c>
      <c r="D61" s="1">
        <v>2.4756944444444443E-2</v>
      </c>
      <c r="E61" s="172">
        <v>43386</v>
      </c>
      <c r="F61" s="136">
        <v>2.4930555555555553E-2</v>
      </c>
      <c r="G61">
        <v>1</v>
      </c>
      <c r="H61">
        <v>0</v>
      </c>
      <c r="I61" s="643">
        <v>2.4756944444444443E-2</v>
      </c>
      <c r="J61" t="s">
        <v>1808</v>
      </c>
      <c r="K61" s="348"/>
      <c r="P61" s="1134">
        <v>2.4756944444444443E-2</v>
      </c>
      <c r="Q61" s="65">
        <f t="shared" si="0"/>
        <v>0</v>
      </c>
    </row>
    <row r="62" spans="1:17" x14ac:dyDescent="0.2">
      <c r="A62" s="101" t="s">
        <v>9407</v>
      </c>
      <c r="B62" s="1">
        <v>1.7939814814814815E-2</v>
      </c>
      <c r="C62" s="80" t="s">
        <v>9929</v>
      </c>
      <c r="D62" s="1">
        <v>2.6168981481481477E-2</v>
      </c>
      <c r="E62" s="172">
        <v>43204</v>
      </c>
      <c r="F62" s="136"/>
      <c r="G62">
        <v>1</v>
      </c>
      <c r="H62">
        <v>0</v>
      </c>
      <c r="I62" s="650">
        <f>D62</f>
        <v>2.6168981481481477E-2</v>
      </c>
      <c r="J62" t="s">
        <v>1808</v>
      </c>
      <c r="K62"/>
      <c r="P62" s="1134">
        <v>2.6168981481481477E-2</v>
      </c>
      <c r="Q62" s="65">
        <f t="shared" si="0"/>
        <v>0</v>
      </c>
    </row>
    <row r="63" spans="1:17" x14ac:dyDescent="0.2">
      <c r="A63" s="101" t="s">
        <v>129</v>
      </c>
      <c r="B63" s="1">
        <v>1.6030092592592592E-2</v>
      </c>
      <c r="C63" s="2" t="s">
        <v>3216</v>
      </c>
      <c r="D63" s="1">
        <v>2.1840277777777778E-2</v>
      </c>
      <c r="E63" s="172">
        <v>42370</v>
      </c>
      <c r="F63" s="136">
        <v>2.0613425925925927E-2</v>
      </c>
      <c r="G63">
        <v>1</v>
      </c>
      <c r="H63">
        <v>0</v>
      </c>
      <c r="I63" s="1">
        <v>2.1261574074074075E-2</v>
      </c>
      <c r="J63" t="s">
        <v>1808</v>
      </c>
      <c r="K63"/>
      <c r="P63" s="1134">
        <v>2.1261574074074075E-2</v>
      </c>
      <c r="Q63" s="65">
        <f t="shared" si="0"/>
        <v>0</v>
      </c>
    </row>
    <row r="64" spans="1:17" x14ac:dyDescent="0.2">
      <c r="A64" s="101" t="s">
        <v>4397</v>
      </c>
      <c r="B64" s="1">
        <v>1.636574074074074E-2</v>
      </c>
      <c r="C64" t="s">
        <v>5143</v>
      </c>
      <c r="D64" s="1">
        <v>2.1527777777777781E-2</v>
      </c>
      <c r="E64" s="172">
        <v>41881</v>
      </c>
      <c r="F64" s="136">
        <v>2.0243055555555552E-2</v>
      </c>
      <c r="G64">
        <v>1</v>
      </c>
      <c r="H64">
        <v>0</v>
      </c>
      <c r="I64" s="1">
        <f>D64</f>
        <v>2.1527777777777781E-2</v>
      </c>
      <c r="J64" t="s">
        <v>1808</v>
      </c>
      <c r="K64"/>
      <c r="P64" s="1134">
        <v>2.1527777777777781E-2</v>
      </c>
      <c r="Q64" s="65">
        <f t="shared" si="0"/>
        <v>0</v>
      </c>
    </row>
    <row r="65" spans="1:17" x14ac:dyDescent="0.2">
      <c r="A65" s="101" t="s">
        <v>209</v>
      </c>
      <c r="B65" s="1">
        <v>1.5983796296296295E-2</v>
      </c>
      <c r="C65" t="s">
        <v>3851</v>
      </c>
      <c r="D65" s="44">
        <v>2.0601851851851854E-2</v>
      </c>
      <c r="E65" s="172">
        <v>42266</v>
      </c>
      <c r="F65" s="136">
        <v>1.9039351851851852E-2</v>
      </c>
      <c r="G65">
        <v>1</v>
      </c>
      <c r="H65">
        <v>0</v>
      </c>
      <c r="I65" s="1">
        <f>D65</f>
        <v>2.0601851851851854E-2</v>
      </c>
      <c r="J65" t="s">
        <v>1808</v>
      </c>
      <c r="K65"/>
      <c r="P65" s="1134">
        <v>2.0601851851851854E-2</v>
      </c>
      <c r="Q65" s="65">
        <f t="shared" si="0"/>
        <v>0</v>
      </c>
    </row>
    <row r="66" spans="1:17" x14ac:dyDescent="0.2">
      <c r="A66" s="1435" t="s">
        <v>861</v>
      </c>
      <c r="B66" s="1">
        <v>1.7175925925925924E-2</v>
      </c>
      <c r="C66" t="s">
        <v>64</v>
      </c>
      <c r="D66" s="1">
        <v>2.4687499999999998E-2</v>
      </c>
      <c r="E66" s="172">
        <v>43421</v>
      </c>
      <c r="F66" s="136">
        <v>2.0532407407407405E-2</v>
      </c>
      <c r="G66">
        <v>1</v>
      </c>
      <c r="H66">
        <v>0</v>
      </c>
      <c r="I66" s="371">
        <v>2.0706018518518519E-2</v>
      </c>
      <c r="J66" t="s">
        <v>1808</v>
      </c>
      <c r="K66"/>
      <c r="P66" s="1134">
        <v>2.0706018518518519E-2</v>
      </c>
      <c r="Q66" s="65">
        <f t="shared" si="0"/>
        <v>0</v>
      </c>
    </row>
    <row r="67" spans="1:17" x14ac:dyDescent="0.2">
      <c r="A67" s="1436" t="s">
        <v>10272</v>
      </c>
      <c r="B67" s="1"/>
      <c r="D67" s="1">
        <v>2.6678240740740738E-2</v>
      </c>
      <c r="E67" s="172">
        <v>43309</v>
      </c>
      <c r="F67" s="136"/>
      <c r="G67">
        <v>1</v>
      </c>
      <c r="H67">
        <v>0</v>
      </c>
      <c r="I67" s="650">
        <v>2.6481481481481481E-2</v>
      </c>
      <c r="J67" t="s">
        <v>1808</v>
      </c>
      <c r="K67"/>
      <c r="P67" s="1134">
        <v>2.6678240740740738E-2</v>
      </c>
      <c r="Q67" s="65">
        <f t="shared" si="0"/>
        <v>-1.9675925925925764E-4</v>
      </c>
    </row>
    <row r="68" spans="1:17" x14ac:dyDescent="0.2">
      <c r="A68" s="1435" t="s">
        <v>4004</v>
      </c>
      <c r="B68" s="1">
        <v>1.503472222222222E-2</v>
      </c>
      <c r="C68" t="s">
        <v>3950</v>
      </c>
      <c r="D68" s="43">
        <v>2.013888888888889E-2</v>
      </c>
      <c r="E68" s="172">
        <v>42294</v>
      </c>
      <c r="F68" s="136" t="s">
        <v>3039</v>
      </c>
      <c r="G68">
        <v>1</v>
      </c>
      <c r="H68">
        <v>0</v>
      </c>
      <c r="I68" s="1">
        <v>1.9490740740740743E-2</v>
      </c>
      <c r="J68" t="s">
        <v>1808</v>
      </c>
      <c r="K68"/>
      <c r="P68" s="1134">
        <v>1.9490740740740743E-2</v>
      </c>
      <c r="Q68" s="65">
        <f t="shared" si="0"/>
        <v>0</v>
      </c>
    </row>
    <row r="69" spans="1:17" x14ac:dyDescent="0.2">
      <c r="A69" s="1435" t="s">
        <v>4176</v>
      </c>
      <c r="B69" s="1">
        <v>1.6736111111111111E-2</v>
      </c>
      <c r="C69" t="s">
        <v>64</v>
      </c>
      <c r="D69" s="94">
        <v>2.2592592592592591E-2</v>
      </c>
      <c r="E69" s="172">
        <v>42322</v>
      </c>
      <c r="F69" s="136" t="s">
        <v>3039</v>
      </c>
      <c r="G69">
        <v>1</v>
      </c>
      <c r="H69">
        <v>0</v>
      </c>
      <c r="I69" s="1">
        <v>2.1863425925925925E-2</v>
      </c>
      <c r="J69" t="s">
        <v>1808</v>
      </c>
      <c r="K69"/>
      <c r="P69" s="1134">
        <v>2.1863425925925925E-2</v>
      </c>
      <c r="Q69" s="65">
        <f t="shared" si="0"/>
        <v>0</v>
      </c>
    </row>
    <row r="70" spans="1:17" x14ac:dyDescent="0.2">
      <c r="A70" s="1435" t="s">
        <v>559</v>
      </c>
      <c r="B70" s="1">
        <v>1.5949074074074074E-2</v>
      </c>
      <c r="C70" t="s">
        <v>5143</v>
      </c>
      <c r="D70" s="1">
        <v>2.5833333333333333E-2</v>
      </c>
      <c r="E70" s="172">
        <v>43414</v>
      </c>
      <c r="F70" s="136">
        <v>1.9583333333333331E-2</v>
      </c>
      <c r="G70">
        <v>1</v>
      </c>
      <c r="H70">
        <v>0</v>
      </c>
      <c r="I70" s="371">
        <v>2.0949074074074075E-2</v>
      </c>
      <c r="J70" t="s">
        <v>1808</v>
      </c>
      <c r="K70"/>
      <c r="P70" s="1134">
        <v>2.0949074074074075E-2</v>
      </c>
      <c r="Q70" s="65">
        <f t="shared" si="0"/>
        <v>0</v>
      </c>
    </row>
    <row r="71" spans="1:17" x14ac:dyDescent="0.2">
      <c r="A71" s="101" t="s">
        <v>4556</v>
      </c>
      <c r="B71" s="1">
        <v>1.7453703703703704E-2</v>
      </c>
      <c r="C71" t="s">
        <v>2054</v>
      </c>
      <c r="D71" s="1">
        <v>2.6435185185185187E-2</v>
      </c>
      <c r="E71" s="172">
        <v>43267</v>
      </c>
      <c r="F71" s="136">
        <v>2.6840277777777779E-2</v>
      </c>
      <c r="G71">
        <v>1</v>
      </c>
      <c r="H71">
        <v>0</v>
      </c>
      <c r="I71" s="1">
        <v>2.1284722222222222E-2</v>
      </c>
      <c r="J71" t="s">
        <v>1808</v>
      </c>
      <c r="K71"/>
      <c r="P71" s="1134">
        <v>2.1284722222222222E-2</v>
      </c>
      <c r="Q71" s="65">
        <f t="shared" si="0"/>
        <v>0</v>
      </c>
    </row>
    <row r="72" spans="1:17" x14ac:dyDescent="0.2">
      <c r="A72" s="101" t="s">
        <v>1123</v>
      </c>
      <c r="B72" s="1">
        <v>1.5266203703703705E-2</v>
      </c>
      <c r="C72" s="2" t="s">
        <v>3216</v>
      </c>
      <c r="D72" s="44">
        <v>2.0324074074074074E-2</v>
      </c>
      <c r="E72" s="172">
        <v>41944</v>
      </c>
      <c r="F72" s="136">
        <v>1.9479166666666669E-2</v>
      </c>
      <c r="G72">
        <v>1</v>
      </c>
      <c r="H72">
        <v>0</v>
      </c>
      <c r="I72" s="1">
        <v>1.9490740740740743E-2</v>
      </c>
      <c r="J72" t="s">
        <v>1808</v>
      </c>
      <c r="K72"/>
      <c r="P72" s="1134">
        <v>1.9490740740740743E-2</v>
      </c>
      <c r="Q72" s="65">
        <f t="shared" si="0"/>
        <v>0</v>
      </c>
    </row>
    <row r="73" spans="1:17" x14ac:dyDescent="0.2">
      <c r="A73" s="101" t="s">
        <v>248</v>
      </c>
      <c r="B73" s="1">
        <v>1.6261574074074074E-2</v>
      </c>
      <c r="C73" t="s">
        <v>1886</v>
      </c>
      <c r="D73" s="43">
        <v>1.9884259259259258E-2</v>
      </c>
      <c r="E73" s="172">
        <v>41755</v>
      </c>
      <c r="F73" s="136">
        <v>1.7847222222222223E-2</v>
      </c>
      <c r="G73">
        <v>1</v>
      </c>
      <c r="H73">
        <v>0</v>
      </c>
      <c r="I73" s="1">
        <f>D73</f>
        <v>1.9884259259259258E-2</v>
      </c>
      <c r="J73" t="s">
        <v>1808</v>
      </c>
      <c r="K73"/>
      <c r="P73" s="1134">
        <v>1.9884259259259258E-2</v>
      </c>
      <c r="Q73" s="65">
        <f t="shared" si="0"/>
        <v>0</v>
      </c>
    </row>
    <row r="74" spans="1:17" x14ac:dyDescent="0.2">
      <c r="A74" s="101" t="s">
        <v>5959</v>
      </c>
      <c r="B74" s="1">
        <v>1.7326388888888888E-2</v>
      </c>
      <c r="C74" t="s">
        <v>1887</v>
      </c>
      <c r="D74" s="1">
        <v>2.0891203703703703E-2</v>
      </c>
      <c r="E74" s="172">
        <v>41741</v>
      </c>
      <c r="F74" s="136" t="s">
        <v>3039</v>
      </c>
      <c r="G74">
        <v>1</v>
      </c>
      <c r="H74">
        <v>0</v>
      </c>
      <c r="I74" s="1">
        <f>D74</f>
        <v>2.0891203703703703E-2</v>
      </c>
      <c r="J74" t="s">
        <v>1808</v>
      </c>
      <c r="K74"/>
      <c r="P74" s="1134">
        <v>2.0891203703703703E-2</v>
      </c>
      <c r="Q74" s="65">
        <f t="shared" si="0"/>
        <v>0</v>
      </c>
    </row>
    <row r="75" spans="1:17" x14ac:dyDescent="0.2">
      <c r="A75" s="617" t="s">
        <v>12510</v>
      </c>
      <c r="B75" s="1"/>
      <c r="D75" s="1"/>
      <c r="E75" s="172"/>
      <c r="F75" s="136"/>
      <c r="G75">
        <v>1</v>
      </c>
      <c r="H75">
        <v>0</v>
      </c>
      <c r="I75" s="1"/>
      <c r="K75"/>
      <c r="P75" s="1134"/>
      <c r="Q75" s="65"/>
    </row>
    <row r="76" spans="1:17" x14ac:dyDescent="0.2">
      <c r="A76" s="101" t="s">
        <v>6022</v>
      </c>
      <c r="B76" s="1">
        <v>1.7962962962962962E-2</v>
      </c>
      <c r="C76" t="s">
        <v>4523</v>
      </c>
      <c r="D76" s="1">
        <v>2.0879629629629626E-2</v>
      </c>
      <c r="E76" s="172">
        <v>41804</v>
      </c>
      <c r="F76" s="136" t="s">
        <v>3039</v>
      </c>
      <c r="G76">
        <v>1</v>
      </c>
      <c r="H76">
        <v>0</v>
      </c>
      <c r="I76" s="1">
        <f>D76</f>
        <v>2.0879629629629626E-2</v>
      </c>
      <c r="J76" t="s">
        <v>1808</v>
      </c>
      <c r="K76"/>
      <c r="P76" s="1134">
        <v>2.0879629629629626E-2</v>
      </c>
      <c r="Q76" s="65">
        <f t="shared" si="0"/>
        <v>0</v>
      </c>
    </row>
    <row r="77" spans="1:17" x14ac:dyDescent="0.2">
      <c r="A77" s="101" t="s">
        <v>1766</v>
      </c>
      <c r="B77" s="1">
        <v>1.7986111111111109E-2</v>
      </c>
      <c r="C77" s="52" t="s">
        <v>5357</v>
      </c>
      <c r="D77" s="136">
        <v>2.0879629629629626E-2</v>
      </c>
      <c r="E77" s="172">
        <v>42287</v>
      </c>
      <c r="F77" s="136" t="s">
        <v>3039</v>
      </c>
      <c r="G77">
        <v>1</v>
      </c>
      <c r="H77">
        <v>0</v>
      </c>
      <c r="I77" s="1">
        <f>D77</f>
        <v>2.0879629629629626E-2</v>
      </c>
      <c r="J77" t="s">
        <v>1808</v>
      </c>
      <c r="K77"/>
      <c r="P77" s="1134">
        <v>2.0879629629629626E-2</v>
      </c>
      <c r="Q77" s="65">
        <f t="shared" si="0"/>
        <v>0</v>
      </c>
    </row>
    <row r="78" spans="1:17" x14ac:dyDescent="0.2">
      <c r="A78" s="101" t="s">
        <v>5654</v>
      </c>
      <c r="B78" s="1">
        <v>1.6863425925925928E-2</v>
      </c>
      <c r="C78" t="s">
        <v>65</v>
      </c>
      <c r="D78" s="1">
        <v>2.1724537037037039E-2</v>
      </c>
      <c r="E78" s="172">
        <v>42210</v>
      </c>
      <c r="F78" s="136">
        <v>2.5983796296296297E-2</v>
      </c>
      <c r="G78">
        <v>1</v>
      </c>
      <c r="H78">
        <v>0</v>
      </c>
      <c r="I78" s="1">
        <v>2.028935185185185E-2</v>
      </c>
      <c r="J78" t="s">
        <v>1808</v>
      </c>
      <c r="K78"/>
      <c r="P78" s="1134">
        <v>2.028935185185185E-2</v>
      </c>
      <c r="Q78" s="65">
        <f t="shared" si="0"/>
        <v>0</v>
      </c>
    </row>
    <row r="79" spans="1:17" x14ac:dyDescent="0.2">
      <c r="A79" s="101" t="s">
        <v>6016</v>
      </c>
      <c r="B79" s="1">
        <v>1.7731481481481483E-2</v>
      </c>
      <c r="C79" t="s">
        <v>3297</v>
      </c>
      <c r="D79" s="1">
        <v>2.1770833333333336E-2</v>
      </c>
      <c r="E79" s="172">
        <v>42231</v>
      </c>
      <c r="F79" s="136">
        <v>2.3854166666666666E-2</v>
      </c>
      <c r="G79">
        <v>1</v>
      </c>
      <c r="H79">
        <v>0</v>
      </c>
      <c r="I79" s="1">
        <f>D79</f>
        <v>2.1770833333333336E-2</v>
      </c>
      <c r="J79" t="s">
        <v>1808</v>
      </c>
      <c r="K79"/>
      <c r="P79" s="1134">
        <v>2.1770833333333336E-2</v>
      </c>
      <c r="Q79" s="65">
        <f t="shared" si="0"/>
        <v>0</v>
      </c>
    </row>
    <row r="80" spans="1:17" x14ac:dyDescent="0.2">
      <c r="A80" s="101" t="s">
        <v>8111</v>
      </c>
      <c r="B80" s="1">
        <v>1.7881944444444443E-2</v>
      </c>
      <c r="C80" s="80" t="s">
        <v>3627</v>
      </c>
      <c r="D80" s="1">
        <v>2.6226851851851852E-2</v>
      </c>
      <c r="E80" s="172">
        <v>42959</v>
      </c>
      <c r="F80" s="136">
        <v>2.5127314814814811E-2</v>
      </c>
      <c r="G80">
        <v>1</v>
      </c>
      <c r="H80">
        <v>0</v>
      </c>
      <c r="I80" s="650">
        <f>D80</f>
        <v>2.6226851851851852E-2</v>
      </c>
      <c r="J80" t="s">
        <v>1808</v>
      </c>
      <c r="K80"/>
      <c r="P80" s="1134">
        <v>2.6226851851851852E-2</v>
      </c>
      <c r="Q80" s="65">
        <f t="shared" si="0"/>
        <v>0</v>
      </c>
    </row>
    <row r="81" spans="1:17" x14ac:dyDescent="0.2">
      <c r="A81" s="101" t="s">
        <v>2147</v>
      </c>
      <c r="B81" s="1">
        <v>1.5474537037037038E-2</v>
      </c>
      <c r="C81" t="s">
        <v>1312</v>
      </c>
      <c r="D81" s="94">
        <v>2.4918981481481483E-2</v>
      </c>
      <c r="E81" s="172">
        <v>42413</v>
      </c>
      <c r="F81" s="136" t="s">
        <v>3039</v>
      </c>
      <c r="G81">
        <v>1</v>
      </c>
      <c r="H81">
        <v>0</v>
      </c>
      <c r="I81" s="1">
        <v>2.0775462962962964E-2</v>
      </c>
      <c r="J81" t="s">
        <v>1808</v>
      </c>
      <c r="K81"/>
      <c r="P81" s="1134">
        <v>2.0775462962962964E-2</v>
      </c>
      <c r="Q81" s="65">
        <f t="shared" si="0"/>
        <v>0</v>
      </c>
    </row>
    <row r="82" spans="1:17" x14ac:dyDescent="0.2">
      <c r="A82" s="101" t="s">
        <v>6017</v>
      </c>
      <c r="B82" s="1">
        <v>1.6296296296296295E-2</v>
      </c>
      <c r="C82" t="s">
        <v>5143</v>
      </c>
      <c r="D82" s="44">
        <v>2.0787037037037038E-2</v>
      </c>
      <c r="E82" s="172">
        <v>41748</v>
      </c>
      <c r="F82" s="136" t="s">
        <v>3039</v>
      </c>
      <c r="G82">
        <v>1</v>
      </c>
      <c r="H82">
        <v>0</v>
      </c>
      <c r="I82" s="1">
        <f>D82</f>
        <v>2.0787037037037038E-2</v>
      </c>
      <c r="J82" t="s">
        <v>1808</v>
      </c>
      <c r="K82"/>
      <c r="P82" s="1134">
        <v>2.0787037037037038E-2</v>
      </c>
      <c r="Q82" s="65">
        <f t="shared" si="0"/>
        <v>0</v>
      </c>
    </row>
    <row r="83" spans="1:17" x14ac:dyDescent="0.2">
      <c r="A83" s="101" t="s">
        <v>449</v>
      </c>
      <c r="B83" s="1">
        <v>1.6793981481481483E-2</v>
      </c>
      <c r="C83" t="s">
        <v>1886</v>
      </c>
      <c r="D83" s="1">
        <v>2.5231481481481483E-2</v>
      </c>
      <c r="E83" s="172">
        <v>43134</v>
      </c>
      <c r="F83" s="136" t="s">
        <v>3039</v>
      </c>
      <c r="G83">
        <v>1</v>
      </c>
      <c r="H83">
        <v>0</v>
      </c>
      <c r="I83" s="1">
        <v>2.0104166666666666E-2</v>
      </c>
      <c r="J83" t="s">
        <v>1808</v>
      </c>
      <c r="P83" s="1134">
        <v>2.0104166666666666E-2</v>
      </c>
      <c r="Q83" s="65">
        <f t="shared" si="0"/>
        <v>0</v>
      </c>
    </row>
    <row r="84" spans="1:17" x14ac:dyDescent="0.2">
      <c r="A84" s="101" t="s">
        <v>1401</v>
      </c>
      <c r="B84" s="1">
        <v>1.577546296296296E-2</v>
      </c>
      <c r="C84" s="5" t="s">
        <v>2393</v>
      </c>
      <c r="D84" s="44">
        <v>2.0532407407407405E-2</v>
      </c>
      <c r="E84" s="172">
        <v>41811</v>
      </c>
      <c r="F84" s="136" t="s">
        <v>3039</v>
      </c>
      <c r="G84">
        <v>1</v>
      </c>
      <c r="H84">
        <v>0</v>
      </c>
      <c r="I84" s="1">
        <f>D84</f>
        <v>2.0532407407407405E-2</v>
      </c>
      <c r="J84" t="s">
        <v>1808</v>
      </c>
      <c r="P84" s="1134">
        <v>2.0532407407407405E-2</v>
      </c>
      <c r="Q84" s="65">
        <f t="shared" si="0"/>
        <v>0</v>
      </c>
    </row>
    <row r="85" spans="1:17" x14ac:dyDescent="0.2">
      <c r="A85" s="101" t="s">
        <v>6019</v>
      </c>
      <c r="B85" s="1">
        <v>1.6342592592592593E-2</v>
      </c>
      <c r="C85" t="s">
        <v>669</v>
      </c>
      <c r="D85" s="44">
        <v>2.0497685185185185E-2</v>
      </c>
      <c r="E85" s="172">
        <v>41909</v>
      </c>
      <c r="F85" s="136" t="s">
        <v>3039</v>
      </c>
      <c r="G85">
        <v>1</v>
      </c>
      <c r="H85">
        <v>0</v>
      </c>
      <c r="I85" s="1">
        <f>D85</f>
        <v>2.0497685185185185E-2</v>
      </c>
      <c r="J85" t="s">
        <v>1808</v>
      </c>
      <c r="P85" s="1134">
        <v>2.0497685185185185E-2</v>
      </c>
      <c r="Q85" s="65">
        <f t="shared" si="0"/>
        <v>0</v>
      </c>
    </row>
    <row r="86" spans="1:17" x14ac:dyDescent="0.2">
      <c r="A86" s="101" t="s">
        <v>2854</v>
      </c>
      <c r="B86" s="1">
        <v>1.6296296296296295E-2</v>
      </c>
      <c r="C86" s="2" t="s">
        <v>3216</v>
      </c>
      <c r="D86" s="1">
        <v>2.210648148148148E-2</v>
      </c>
      <c r="E86" s="172">
        <v>42392</v>
      </c>
      <c r="F86" s="136">
        <v>3.3229166666666664E-2</v>
      </c>
      <c r="G86">
        <v>1</v>
      </c>
      <c r="H86">
        <v>0</v>
      </c>
      <c r="I86" s="1">
        <v>2.0231481481481482E-2</v>
      </c>
      <c r="J86" t="s">
        <v>1808</v>
      </c>
      <c r="P86" s="1134">
        <v>2.0231481481481482E-2</v>
      </c>
      <c r="Q86" s="65">
        <f t="shared" si="0"/>
        <v>0</v>
      </c>
    </row>
    <row r="87" spans="1:17" x14ac:dyDescent="0.2">
      <c r="A87" s="101" t="s">
        <v>1805</v>
      </c>
      <c r="B87" s="1">
        <v>1.5891203703703703E-2</v>
      </c>
      <c r="C87" t="s">
        <v>5143</v>
      </c>
      <c r="D87" s="94">
        <v>2.2627314814814819E-2</v>
      </c>
      <c r="E87" s="333" t="s">
        <v>5255</v>
      </c>
      <c r="F87" s="136">
        <v>1.9537037037037037E-2</v>
      </c>
      <c r="G87">
        <v>1</v>
      </c>
      <c r="H87">
        <v>0</v>
      </c>
      <c r="I87" s="1">
        <f>D87</f>
        <v>2.2627314814814819E-2</v>
      </c>
      <c r="J87" t="s">
        <v>1808</v>
      </c>
      <c r="P87" s="1134">
        <v>2.2627314814814819E-2</v>
      </c>
      <c r="Q87" s="65">
        <f t="shared" si="0"/>
        <v>0</v>
      </c>
    </row>
    <row r="88" spans="1:17" x14ac:dyDescent="0.2">
      <c r="A88" s="101" t="s">
        <v>5456</v>
      </c>
      <c r="B88" s="1">
        <v>1.6631944444444446E-2</v>
      </c>
      <c r="C88" s="2" t="s">
        <v>3216</v>
      </c>
      <c r="D88" s="94">
        <v>2.4236111111111111E-2</v>
      </c>
      <c r="E88" s="172">
        <v>42630</v>
      </c>
      <c r="F88" s="136" t="s">
        <v>3039</v>
      </c>
      <c r="G88">
        <v>1</v>
      </c>
      <c r="H88">
        <v>0</v>
      </c>
      <c r="I88" s="1">
        <v>2.0601851851851854E-2</v>
      </c>
      <c r="J88" t="s">
        <v>1808</v>
      </c>
      <c r="P88" s="1134">
        <v>2.0601851851851854E-2</v>
      </c>
      <c r="Q88" s="65">
        <f t="shared" si="0"/>
        <v>0</v>
      </c>
    </row>
    <row r="89" spans="1:17" x14ac:dyDescent="0.2">
      <c r="A89" s="147" t="s">
        <v>1405</v>
      </c>
      <c r="B89" s="32">
        <v>1.7233796296296296E-2</v>
      </c>
      <c r="C89" s="5" t="s">
        <v>65</v>
      </c>
      <c r="D89" s="51">
        <v>2.0798611111111111E-2</v>
      </c>
      <c r="E89" s="303">
        <v>41951</v>
      </c>
      <c r="F89" s="136" t="s">
        <v>3039</v>
      </c>
      <c r="G89">
        <v>1</v>
      </c>
      <c r="H89">
        <v>0</v>
      </c>
      <c r="I89" s="1">
        <f>D89</f>
        <v>2.0798611111111111E-2</v>
      </c>
      <c r="J89" t="s">
        <v>1808</v>
      </c>
      <c r="P89" s="1134">
        <v>2.0798611111111111E-2</v>
      </c>
      <c r="Q89" s="65">
        <f t="shared" si="0"/>
        <v>0</v>
      </c>
    </row>
    <row r="90" spans="1:17" x14ac:dyDescent="0.2">
      <c r="A90" s="101" t="s">
        <v>6020</v>
      </c>
      <c r="B90" s="1">
        <v>1.667824074074074E-2</v>
      </c>
      <c r="C90" t="s">
        <v>1886</v>
      </c>
      <c r="D90" s="1">
        <v>2.1238425925925924E-2</v>
      </c>
      <c r="E90" s="172">
        <v>42056</v>
      </c>
      <c r="F90" s="136" t="s">
        <v>3039</v>
      </c>
      <c r="G90">
        <v>1</v>
      </c>
      <c r="H90">
        <v>0</v>
      </c>
      <c r="I90" s="1">
        <f>D90</f>
        <v>2.1238425925925924E-2</v>
      </c>
      <c r="J90" t="s">
        <v>1808</v>
      </c>
      <c r="P90" s="1134">
        <v>2.1238425925925924E-2</v>
      </c>
      <c r="Q90" s="65">
        <f t="shared" si="0"/>
        <v>0</v>
      </c>
    </row>
    <row r="91" spans="1:17" x14ac:dyDescent="0.2">
      <c r="A91" s="101" t="s">
        <v>1627</v>
      </c>
      <c r="B91" s="1">
        <v>1.744212962962963E-2</v>
      </c>
      <c r="C91" s="5" t="s">
        <v>1430</v>
      </c>
      <c r="D91" s="1">
        <v>2.1666666666666667E-2</v>
      </c>
      <c r="E91" s="333" t="s">
        <v>2768</v>
      </c>
      <c r="F91" s="136">
        <v>1.8564814814814815E-2</v>
      </c>
      <c r="G91">
        <v>1</v>
      </c>
      <c r="H91">
        <v>0</v>
      </c>
      <c r="I91" s="1">
        <f>D91</f>
        <v>2.1666666666666667E-2</v>
      </c>
      <c r="J91" t="s">
        <v>1808</v>
      </c>
      <c r="K91" s="1134"/>
      <c r="P91" s="1134">
        <v>2.1666666666666667E-2</v>
      </c>
      <c r="Q91" s="65">
        <f t="shared" si="0"/>
        <v>0</v>
      </c>
    </row>
    <row r="92" spans="1:17" x14ac:dyDescent="0.2">
      <c r="A92" s="101" t="s">
        <v>2818</v>
      </c>
      <c r="B92" s="1">
        <v>1.4999999999999999E-2</v>
      </c>
      <c r="C92" t="s">
        <v>3850</v>
      </c>
      <c r="D92" s="1">
        <v>2.1284722222222222E-2</v>
      </c>
      <c r="E92" s="172">
        <v>41993</v>
      </c>
      <c r="F92" s="136">
        <v>2.013888888888889E-2</v>
      </c>
      <c r="G92">
        <v>1</v>
      </c>
      <c r="H92">
        <v>0</v>
      </c>
      <c r="I92" s="1">
        <v>2.0416666666666666E-2</v>
      </c>
      <c r="J92" t="s">
        <v>1808</v>
      </c>
      <c r="P92" s="1134">
        <v>2.0416666666666666E-2</v>
      </c>
      <c r="Q92" s="65">
        <f t="shared" si="0"/>
        <v>0</v>
      </c>
    </row>
    <row r="93" spans="1:17" x14ac:dyDescent="0.2">
      <c r="A93" s="101" t="s">
        <v>6021</v>
      </c>
      <c r="B93" s="1">
        <v>1.6631944444444446E-2</v>
      </c>
      <c r="C93" t="s">
        <v>3851</v>
      </c>
      <c r="D93" s="1">
        <v>2.1250000000000002E-2</v>
      </c>
      <c r="E93" s="172">
        <v>42273</v>
      </c>
      <c r="F93" s="136">
        <v>2.2175925925925929E-2</v>
      </c>
      <c r="G93">
        <v>1</v>
      </c>
      <c r="H93">
        <v>0</v>
      </c>
      <c r="I93" s="1">
        <f t="shared" ref="I93:I102" si="1">D93</f>
        <v>2.1250000000000002E-2</v>
      </c>
      <c r="J93" t="s">
        <v>1808</v>
      </c>
      <c r="P93" s="1134">
        <v>2.1250000000000002E-2</v>
      </c>
      <c r="Q93" s="65">
        <f t="shared" si="0"/>
        <v>0</v>
      </c>
    </row>
    <row r="94" spans="1:17" x14ac:dyDescent="0.2">
      <c r="A94" s="101" t="s">
        <v>6018</v>
      </c>
      <c r="B94" s="1">
        <v>1.5740740740740743E-2</v>
      </c>
      <c r="C94" t="s">
        <v>2118</v>
      </c>
      <c r="D94" s="1">
        <v>2.1493055555555557E-2</v>
      </c>
      <c r="E94" s="172">
        <v>41853</v>
      </c>
      <c r="F94" s="136">
        <v>2.449074074074074E-2</v>
      </c>
      <c r="G94">
        <v>1</v>
      </c>
      <c r="H94">
        <v>0</v>
      </c>
      <c r="I94" s="1">
        <f t="shared" si="1"/>
        <v>2.1493055555555557E-2</v>
      </c>
      <c r="J94" t="s">
        <v>1808</v>
      </c>
      <c r="P94" s="1134">
        <v>2.1493055555555557E-2</v>
      </c>
      <c r="Q94" s="65">
        <f t="shared" si="0"/>
        <v>0</v>
      </c>
    </row>
    <row r="95" spans="1:17" x14ac:dyDescent="0.2">
      <c r="A95" s="101" t="s">
        <v>8009</v>
      </c>
      <c r="B95" s="1">
        <v>1.8020833333333333E-2</v>
      </c>
      <c r="C95" t="s">
        <v>3627</v>
      </c>
      <c r="D95" s="1">
        <v>2.5462962962962962E-2</v>
      </c>
      <c r="E95" s="172">
        <v>42973</v>
      </c>
      <c r="F95" s="136"/>
      <c r="G95">
        <v>1</v>
      </c>
      <c r="H95">
        <v>0</v>
      </c>
      <c r="I95" s="648">
        <f t="shared" si="1"/>
        <v>2.5462962962962962E-2</v>
      </c>
      <c r="J95" t="s">
        <v>1808</v>
      </c>
      <c r="P95" s="1134">
        <v>2.5462962962962962E-2</v>
      </c>
      <c r="Q95" s="65">
        <f t="shared" si="0"/>
        <v>0</v>
      </c>
    </row>
    <row r="96" spans="1:17" x14ac:dyDescent="0.2">
      <c r="A96" s="101" t="s">
        <v>5758</v>
      </c>
      <c r="B96" s="1">
        <v>1.6157407407407409E-2</v>
      </c>
      <c r="C96" s="5" t="s">
        <v>4534</v>
      </c>
      <c r="D96" s="43">
        <v>1.9942129629629629E-2</v>
      </c>
      <c r="E96" s="172">
        <v>41783</v>
      </c>
      <c r="F96" s="136">
        <v>2.0208333333333335E-2</v>
      </c>
      <c r="G96">
        <v>1</v>
      </c>
      <c r="H96">
        <v>0</v>
      </c>
      <c r="I96" s="1">
        <f t="shared" si="1"/>
        <v>1.9942129629629629E-2</v>
      </c>
      <c r="J96" t="s">
        <v>1808</v>
      </c>
      <c r="P96" s="1134">
        <v>1.9942129629629629E-2</v>
      </c>
      <c r="Q96" s="65">
        <f t="shared" si="0"/>
        <v>0</v>
      </c>
    </row>
    <row r="97" spans="1:17" x14ac:dyDescent="0.2">
      <c r="A97" s="617" t="s">
        <v>12218</v>
      </c>
      <c r="B97" s="1"/>
      <c r="C97" s="1434"/>
      <c r="D97" s="1412"/>
      <c r="E97" s="172"/>
      <c r="F97" s="136"/>
      <c r="G97">
        <v>1</v>
      </c>
      <c r="H97">
        <v>0</v>
      </c>
      <c r="I97" s="1">
        <v>2.6979166666666669E-2</v>
      </c>
      <c r="J97" t="s">
        <v>1808</v>
      </c>
      <c r="P97" s="1134"/>
      <c r="Q97" s="65"/>
    </row>
    <row r="98" spans="1:17" x14ac:dyDescent="0.2">
      <c r="A98" s="101" t="s">
        <v>5267</v>
      </c>
      <c r="B98" s="1">
        <v>1.6921296296296299E-2</v>
      </c>
      <c r="C98" s="5" t="s">
        <v>3627</v>
      </c>
      <c r="D98" s="1">
        <v>2.1909722222222223E-2</v>
      </c>
      <c r="E98" s="172">
        <v>42469</v>
      </c>
      <c r="F98" s="136" t="s">
        <v>3039</v>
      </c>
      <c r="G98">
        <v>1</v>
      </c>
      <c r="H98">
        <v>0</v>
      </c>
      <c r="I98" s="1">
        <f t="shared" si="1"/>
        <v>2.1909722222222223E-2</v>
      </c>
      <c r="J98" t="s">
        <v>1808</v>
      </c>
      <c r="P98" s="1134">
        <v>2.1909722222222223E-2</v>
      </c>
      <c r="Q98" s="65">
        <f t="shared" si="0"/>
        <v>0</v>
      </c>
    </row>
    <row r="99" spans="1:17" x14ac:dyDescent="0.2">
      <c r="A99" t="s">
        <v>420</v>
      </c>
      <c r="B99" s="1">
        <v>1.6469907407407405E-2</v>
      </c>
      <c r="C99" t="s">
        <v>1886</v>
      </c>
      <c r="D99" s="1">
        <v>2.1307870370370369E-2</v>
      </c>
      <c r="E99" s="333" t="s">
        <v>37</v>
      </c>
      <c r="F99" s="136">
        <v>2.8009259259259262E-2</v>
      </c>
      <c r="G99">
        <v>1</v>
      </c>
      <c r="H99">
        <v>0</v>
      </c>
      <c r="I99" s="1">
        <f t="shared" si="1"/>
        <v>2.1307870370370369E-2</v>
      </c>
      <c r="J99" t="s">
        <v>1808</v>
      </c>
      <c r="P99" s="1134">
        <v>2.1307870370370369E-2</v>
      </c>
      <c r="Q99" s="65">
        <f t="shared" si="0"/>
        <v>0</v>
      </c>
    </row>
    <row r="100" spans="1:17" x14ac:dyDescent="0.2">
      <c r="A100" t="s">
        <v>9304</v>
      </c>
      <c r="B100" s="1"/>
      <c r="D100" s="1">
        <v>2.4398148148148145E-2</v>
      </c>
      <c r="E100" s="333">
        <v>43190</v>
      </c>
      <c r="F100" s="136"/>
      <c r="G100">
        <v>1</v>
      </c>
      <c r="H100">
        <v>0</v>
      </c>
      <c r="I100" s="643">
        <f t="shared" si="1"/>
        <v>2.4398148148148145E-2</v>
      </c>
      <c r="J100" t="s">
        <v>1808</v>
      </c>
      <c r="P100" s="1134">
        <v>2.4398148148148145E-2</v>
      </c>
      <c r="Q100" s="65">
        <f t="shared" si="0"/>
        <v>0</v>
      </c>
    </row>
    <row r="101" spans="1:17" x14ac:dyDescent="0.2">
      <c r="A101" t="s">
        <v>3139</v>
      </c>
      <c r="B101" s="1">
        <v>1.6203703703703703E-2</v>
      </c>
      <c r="C101" t="s">
        <v>3681</v>
      </c>
      <c r="D101" s="1">
        <v>2.1493055555555557E-2</v>
      </c>
      <c r="E101" s="172">
        <v>41895</v>
      </c>
      <c r="F101" s="136" t="s">
        <v>3039</v>
      </c>
      <c r="G101">
        <v>1</v>
      </c>
      <c r="H101">
        <v>0</v>
      </c>
      <c r="I101" s="1">
        <f t="shared" si="1"/>
        <v>2.1493055555555557E-2</v>
      </c>
      <c r="J101" t="s">
        <v>1808</v>
      </c>
      <c r="P101" s="1134">
        <v>2.1493055555555557E-2</v>
      </c>
      <c r="Q101" s="65">
        <f t="shared" si="0"/>
        <v>0</v>
      </c>
    </row>
    <row r="102" spans="1:17" x14ac:dyDescent="0.2">
      <c r="A102" t="s">
        <v>1780</v>
      </c>
      <c r="B102" s="1">
        <v>1.7164351851851851E-2</v>
      </c>
      <c r="C102" t="s">
        <v>1886</v>
      </c>
      <c r="D102" s="44">
        <v>2.0381944444444446E-2</v>
      </c>
      <c r="E102" s="172">
        <v>41776</v>
      </c>
      <c r="F102" s="136" t="s">
        <v>3039</v>
      </c>
      <c r="G102">
        <v>1</v>
      </c>
      <c r="H102">
        <v>0</v>
      </c>
      <c r="I102" s="1">
        <f t="shared" si="1"/>
        <v>2.0381944444444446E-2</v>
      </c>
      <c r="J102" t="s">
        <v>1808</v>
      </c>
      <c r="P102" s="1134">
        <v>2.0381944444444446E-2</v>
      </c>
      <c r="Q102" s="65">
        <f t="shared" si="0"/>
        <v>0</v>
      </c>
    </row>
    <row r="103" spans="1:17" x14ac:dyDescent="0.2">
      <c r="A103" t="s">
        <v>4451</v>
      </c>
      <c r="B103" s="1">
        <v>1.4201388888888888E-2</v>
      </c>
      <c r="C103" t="s">
        <v>3850</v>
      </c>
      <c r="D103" s="1">
        <v>2.5891203703703704E-2</v>
      </c>
      <c r="E103" s="172">
        <v>42736</v>
      </c>
      <c r="F103" s="136">
        <v>2.4467592592592593E-2</v>
      </c>
      <c r="G103">
        <v>1</v>
      </c>
      <c r="H103">
        <v>0</v>
      </c>
      <c r="I103" s="1">
        <v>2.101851851851852E-2</v>
      </c>
      <c r="J103" t="s">
        <v>1808</v>
      </c>
      <c r="P103" s="1134">
        <v>2.101851851851852E-2</v>
      </c>
      <c r="Q103" s="65">
        <f t="shared" si="0"/>
        <v>0</v>
      </c>
    </row>
    <row r="104" spans="1:17" ht="12" customHeight="1" x14ac:dyDescent="0.2">
      <c r="A104" t="s">
        <v>1002</v>
      </c>
      <c r="B104" s="1">
        <v>1.5821759259259261E-2</v>
      </c>
      <c r="C104" s="2" t="s">
        <v>3216</v>
      </c>
      <c r="D104" s="1">
        <v>2.4050925925925924E-2</v>
      </c>
      <c r="E104" s="172">
        <v>42553</v>
      </c>
      <c r="F104" s="136" t="s">
        <v>3039</v>
      </c>
      <c r="G104">
        <v>1</v>
      </c>
      <c r="H104">
        <v>0</v>
      </c>
      <c r="I104" s="1">
        <v>1.9918981481481482E-2</v>
      </c>
      <c r="J104" t="s">
        <v>1808</v>
      </c>
      <c r="P104" s="1134">
        <v>1.9918981481481482E-2</v>
      </c>
      <c r="Q104" s="65">
        <f t="shared" si="0"/>
        <v>0</v>
      </c>
    </row>
    <row r="105" spans="1:17" ht="12" customHeight="1" x14ac:dyDescent="0.2">
      <c r="B105" s="1"/>
      <c r="C105" s="2"/>
      <c r="D105" s="1"/>
      <c r="E105" s="172"/>
      <c r="F105" s="136"/>
      <c r="G105">
        <f>SUM(G49:G104)</f>
        <v>56</v>
      </c>
      <c r="H105">
        <f>SUM(H49:H104)</f>
        <v>0</v>
      </c>
      <c r="I105" s="50">
        <f>SUM(I49:I104)/COUNT(I49:I104)</f>
        <v>2.1628729423868308E-2</v>
      </c>
      <c r="P105" s="550">
        <f>SUM(P49:P104)</f>
        <v>1.1411689814814814</v>
      </c>
      <c r="Q105" s="65">
        <f t="shared" si="0"/>
        <v>-1.119540252057613</v>
      </c>
    </row>
    <row r="106" spans="1:17" ht="12" customHeight="1" x14ac:dyDescent="0.2">
      <c r="B106" s="1"/>
      <c r="C106" s="2"/>
      <c r="D106" s="1"/>
      <c r="E106" s="172"/>
      <c r="F106" s="136"/>
      <c r="I106" s="35">
        <f>SUM(I49:I104)-J106</f>
        <v>0.16795138888888861</v>
      </c>
      <c r="J106" s="35">
        <v>1</v>
      </c>
      <c r="K106" s="550"/>
      <c r="L106" s="1134">
        <v>0.14116898148148149</v>
      </c>
      <c r="M106" s="550">
        <f>I106-L106</f>
        <v>2.6782407407407116E-2</v>
      </c>
    </row>
    <row r="107" spans="1:17" ht="12" customHeight="1" x14ac:dyDescent="0.2">
      <c r="A107" s="2" t="s">
        <v>9896</v>
      </c>
      <c r="B107" s="3"/>
      <c r="C107" s="2"/>
      <c r="D107" s="1"/>
      <c r="E107" s="172"/>
      <c r="F107" s="136"/>
      <c r="I107" s="1"/>
    </row>
    <row r="108" spans="1:17" ht="12" customHeight="1" x14ac:dyDescent="0.2">
      <c r="A108" t="s">
        <v>5821</v>
      </c>
      <c r="B108" s="32">
        <v>1.8553240740740742E-2</v>
      </c>
      <c r="C108" s="5" t="s">
        <v>3411</v>
      </c>
      <c r="D108" s="373">
        <v>2.2488425925925926E-2</v>
      </c>
      <c r="E108" s="366">
        <v>42203</v>
      </c>
      <c r="F108" s="4"/>
      <c r="G108">
        <v>1</v>
      </c>
      <c r="H108">
        <v>0</v>
      </c>
      <c r="I108" s="1">
        <f t="shared" ref="I108:I115" si="2">D108</f>
        <v>2.2488425925925926E-2</v>
      </c>
      <c r="J108" t="s">
        <v>5208</v>
      </c>
    </row>
    <row r="109" spans="1:17" ht="13.5" customHeight="1" x14ac:dyDescent="0.2">
      <c r="A109" s="5" t="s">
        <v>527</v>
      </c>
      <c r="B109" s="1">
        <v>1.462962962962963E-2</v>
      </c>
      <c r="C109" t="s">
        <v>3850</v>
      </c>
      <c r="D109" s="1">
        <v>2.2129629629629628E-2</v>
      </c>
      <c r="E109" s="172">
        <v>42182</v>
      </c>
      <c r="F109" s="136">
        <v>2.5555555555555554E-2</v>
      </c>
      <c r="G109">
        <v>1</v>
      </c>
      <c r="H109">
        <v>0</v>
      </c>
      <c r="I109" s="1">
        <f t="shared" si="2"/>
        <v>2.2129629629629628E-2</v>
      </c>
      <c r="J109" t="s">
        <v>5208</v>
      </c>
    </row>
    <row r="110" spans="1:17" ht="13.5" customHeight="1" x14ac:dyDescent="0.2">
      <c r="A110" s="80" t="s">
        <v>10983</v>
      </c>
      <c r="B110" s="1"/>
      <c r="D110" s="1"/>
      <c r="E110" s="172"/>
      <c r="F110" s="136"/>
      <c r="G110">
        <v>0</v>
      </c>
      <c r="H110">
        <v>1</v>
      </c>
      <c r="I110" s="1"/>
      <c r="J110" t="s">
        <v>5208</v>
      </c>
    </row>
    <row r="111" spans="1:17" x14ac:dyDescent="0.2">
      <c r="A111" t="s">
        <v>2593</v>
      </c>
      <c r="B111" s="1">
        <v>1.7673611111111109E-2</v>
      </c>
      <c r="C111" t="s">
        <v>3411</v>
      </c>
      <c r="D111" s="1">
        <v>2.1446759259259259E-2</v>
      </c>
      <c r="E111" s="172">
        <v>42126</v>
      </c>
      <c r="F111" s="136" t="s">
        <v>3039</v>
      </c>
      <c r="G111">
        <v>1</v>
      </c>
      <c r="H111">
        <v>0</v>
      </c>
      <c r="I111" s="1">
        <f t="shared" si="2"/>
        <v>2.1446759259259259E-2</v>
      </c>
      <c r="J111" t="s">
        <v>5208</v>
      </c>
    </row>
    <row r="112" spans="1:17" x14ac:dyDescent="0.2">
      <c r="A112" t="s">
        <v>4694</v>
      </c>
      <c r="B112" s="1">
        <v>1.6238425925925924E-2</v>
      </c>
      <c r="C112" t="s">
        <v>5143</v>
      </c>
      <c r="D112" s="1">
        <v>2.146990740740741E-2</v>
      </c>
      <c r="E112" s="172">
        <v>42224</v>
      </c>
      <c r="F112" s="136">
        <v>2.0543981481481479E-2</v>
      </c>
      <c r="G112">
        <v>1</v>
      </c>
      <c r="H112">
        <v>0</v>
      </c>
      <c r="I112" s="1">
        <f t="shared" si="2"/>
        <v>2.146990740740741E-2</v>
      </c>
      <c r="J112" t="s">
        <v>5208</v>
      </c>
    </row>
    <row r="113" spans="1:10" x14ac:dyDescent="0.2">
      <c r="A113" t="s">
        <v>9738</v>
      </c>
      <c r="B113" s="1"/>
      <c r="D113" s="1">
        <v>2.6331018518518517E-2</v>
      </c>
      <c r="E113" s="172">
        <v>43295</v>
      </c>
      <c r="F113" s="136"/>
      <c r="G113">
        <v>1</v>
      </c>
      <c r="H113">
        <v>0</v>
      </c>
      <c r="I113" s="1">
        <f t="shared" si="2"/>
        <v>2.6331018518518517E-2</v>
      </c>
      <c r="J113" s="80" t="s">
        <v>5208</v>
      </c>
    </row>
    <row r="114" spans="1:10" x14ac:dyDescent="0.2">
      <c r="A114" s="5" t="s">
        <v>4861</v>
      </c>
      <c r="B114" s="1">
        <v>1.6006944444444445E-2</v>
      </c>
      <c r="C114" t="s">
        <v>5331</v>
      </c>
      <c r="D114" s="1">
        <v>2.1203703703703707E-2</v>
      </c>
      <c r="E114" s="172">
        <v>42175</v>
      </c>
      <c r="F114" s="136">
        <v>1.9907407407407408E-2</v>
      </c>
      <c r="G114">
        <v>1</v>
      </c>
      <c r="H114">
        <v>0</v>
      </c>
      <c r="I114" s="1">
        <f t="shared" si="2"/>
        <v>2.1203703703703707E-2</v>
      </c>
      <c r="J114" t="s">
        <v>5208</v>
      </c>
    </row>
    <row r="115" spans="1:10" x14ac:dyDescent="0.2">
      <c r="A115" s="80" t="s">
        <v>9307</v>
      </c>
      <c r="B115" s="1"/>
      <c r="D115" s="1">
        <v>2.5821759259259256E-2</v>
      </c>
      <c r="E115" s="172">
        <v>43232</v>
      </c>
      <c r="F115" s="136"/>
      <c r="G115">
        <v>1</v>
      </c>
      <c r="H115">
        <v>0</v>
      </c>
      <c r="I115" s="1">
        <f t="shared" si="2"/>
        <v>2.5821759259259256E-2</v>
      </c>
      <c r="J115" t="s">
        <v>5208</v>
      </c>
    </row>
    <row r="116" spans="1:10" x14ac:dyDescent="0.2">
      <c r="A116" t="s">
        <v>1003</v>
      </c>
      <c r="B116" s="1">
        <v>1.5856481481481482E-2</v>
      </c>
      <c r="C116" s="2" t="s">
        <v>3216</v>
      </c>
      <c r="D116" s="1">
        <v>2.4502314814814814E-2</v>
      </c>
      <c r="E116" s="172">
        <v>43029</v>
      </c>
      <c r="F116" s="136">
        <v>2.4212962962962964E-2</v>
      </c>
      <c r="G116">
        <v>1</v>
      </c>
      <c r="H116">
        <v>0</v>
      </c>
      <c r="I116" s="1">
        <v>2.0729166666666667E-2</v>
      </c>
      <c r="J116" t="s">
        <v>5208</v>
      </c>
    </row>
    <row r="117" spans="1:10" x14ac:dyDescent="0.2">
      <c r="A117" t="s">
        <v>6159</v>
      </c>
      <c r="B117" s="1">
        <v>1.7349537037037038E-2</v>
      </c>
      <c r="C117" s="80" t="s">
        <v>1886</v>
      </c>
      <c r="D117" s="1">
        <v>2.5196759259259256E-2</v>
      </c>
      <c r="E117" s="172">
        <v>42833</v>
      </c>
      <c r="F117" s="136">
        <v>2.3356481481481482E-2</v>
      </c>
      <c r="G117">
        <v>1</v>
      </c>
      <c r="H117">
        <v>0</v>
      </c>
      <c r="I117" s="1">
        <f>D117</f>
        <v>2.5196759259259256E-2</v>
      </c>
      <c r="J117" t="s">
        <v>5208</v>
      </c>
    </row>
    <row r="118" spans="1:10" x14ac:dyDescent="0.2">
      <c r="A118" t="s">
        <v>1569</v>
      </c>
      <c r="B118" s="1">
        <v>1.8715277777777779E-2</v>
      </c>
      <c r="C118" s="5" t="s">
        <v>3411</v>
      </c>
      <c r="D118" s="94">
        <v>2.2800925925925929E-2</v>
      </c>
      <c r="E118" s="172">
        <v>42112</v>
      </c>
      <c r="F118" s="136" t="s">
        <v>3039</v>
      </c>
      <c r="G118">
        <v>1</v>
      </c>
      <c r="H118">
        <v>0</v>
      </c>
      <c r="I118" s="1">
        <f>D118</f>
        <v>2.2800925925925929E-2</v>
      </c>
      <c r="J118" t="s">
        <v>5208</v>
      </c>
    </row>
    <row r="119" spans="1:10" x14ac:dyDescent="0.2">
      <c r="A119" s="4" t="s">
        <v>1212</v>
      </c>
      <c r="B119" s="2" t="s">
        <v>1212</v>
      </c>
      <c r="D119" s="50">
        <f>SUM(D49:D118)/COUNT(D49:D118)</f>
        <v>2.2739748677248678E-2</v>
      </c>
      <c r="G119">
        <f>SUM(G108:G118)</f>
        <v>10</v>
      </c>
      <c r="H119">
        <f>SUM(H108:H118)</f>
        <v>1</v>
      </c>
      <c r="I119" s="400">
        <f>SUM(I49:I118)/COUNT(I49:I118)</f>
        <v>2.4047720647836383E-2</v>
      </c>
    </row>
    <row r="120" spans="1:10" x14ac:dyDescent="0.2">
      <c r="D120">
        <f>COUNT(D49:D118)</f>
        <v>63</v>
      </c>
      <c r="E120" t="s">
        <v>1770</v>
      </c>
      <c r="I120" s="47">
        <v>2.0833333333333332E-2</v>
      </c>
    </row>
    <row r="122" spans="1:10" x14ac:dyDescent="0.2">
      <c r="A122" t="s">
        <v>5095</v>
      </c>
      <c r="F122" s="47">
        <v>2.3136574074074077E-2</v>
      </c>
      <c r="I122" s="47">
        <f>SUM(I49:I118)</f>
        <v>1.5871495627572012</v>
      </c>
    </row>
    <row r="123" spans="1:10" x14ac:dyDescent="0.2">
      <c r="A123" t="s">
        <v>527</v>
      </c>
      <c r="F123" s="47">
        <v>2.5555555555555554E-2</v>
      </c>
      <c r="I123" s="47">
        <f>51*I120</f>
        <v>1.0625</v>
      </c>
    </row>
    <row r="125" spans="1:10" x14ac:dyDescent="0.2">
      <c r="A125" t="s">
        <v>4694</v>
      </c>
      <c r="F125" s="47">
        <v>2.0543981481481479E-2</v>
      </c>
      <c r="I125" s="374">
        <f>I122-I123</f>
        <v>0.5246495627572012</v>
      </c>
    </row>
  </sheetData>
  <sortState xmlns:xlrd2="http://schemas.microsoft.com/office/spreadsheetml/2017/richdata2" ref="A93:J118">
    <sortCondition ref="J93:J118"/>
    <sortCondition ref="A93:A118"/>
  </sortState>
  <mergeCells count="2">
    <mergeCell ref="K38:K43"/>
    <mergeCell ref="K49:K56"/>
  </mergeCells>
  <phoneticPr fontId="8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K299"/>
  <sheetViews>
    <sheetView topLeftCell="A264" workbookViewId="0">
      <selection activeCell="I459" sqref="I459"/>
    </sheetView>
  </sheetViews>
  <sheetFormatPr defaultRowHeight="12.75" x14ac:dyDescent="0.2"/>
  <cols>
    <col min="1" max="1" width="17.42578125" customWidth="1"/>
    <col min="2" max="2" width="10.140625" bestFit="1" customWidth="1"/>
    <col min="18" max="36" width="4.5703125" customWidth="1"/>
  </cols>
  <sheetData>
    <row r="1" spans="1:2" x14ac:dyDescent="0.2">
      <c r="A1" t="s">
        <v>3616</v>
      </c>
    </row>
    <row r="2" spans="1:2" x14ac:dyDescent="0.2">
      <c r="A2" t="s">
        <v>3617</v>
      </c>
    </row>
    <row r="4" spans="1:2" x14ac:dyDescent="0.2">
      <c r="A4" s="34">
        <f t="shared" ref="A4:A11" si="0">A5+7</f>
        <v>42049</v>
      </c>
      <c r="B4" s="308"/>
    </row>
    <row r="5" spans="1:2" x14ac:dyDescent="0.2">
      <c r="A5" s="34">
        <f t="shared" si="0"/>
        <v>42042</v>
      </c>
      <c r="B5" s="308">
        <v>0</v>
      </c>
    </row>
    <row r="6" spans="1:2" x14ac:dyDescent="0.2">
      <c r="A6" s="34">
        <f t="shared" si="0"/>
        <v>42035</v>
      </c>
      <c r="B6" s="308">
        <v>0</v>
      </c>
    </row>
    <row r="7" spans="1:2" x14ac:dyDescent="0.2">
      <c r="A7" s="34">
        <f t="shared" si="0"/>
        <v>42028</v>
      </c>
      <c r="B7" s="308">
        <v>0</v>
      </c>
    </row>
    <row r="8" spans="1:2" x14ac:dyDescent="0.2">
      <c r="A8" s="34">
        <f t="shared" si="0"/>
        <v>42021</v>
      </c>
      <c r="B8" s="308">
        <v>0</v>
      </c>
    </row>
    <row r="9" spans="1:2" x14ac:dyDescent="0.2">
      <c r="A9" s="34">
        <f t="shared" si="0"/>
        <v>42014</v>
      </c>
      <c r="B9" s="308">
        <v>0</v>
      </c>
    </row>
    <row r="10" spans="1:2" x14ac:dyDescent="0.2">
      <c r="A10" s="34">
        <f t="shared" si="0"/>
        <v>42007</v>
      </c>
      <c r="B10" s="308">
        <v>0</v>
      </c>
    </row>
    <row r="11" spans="1:2" x14ac:dyDescent="0.2">
      <c r="A11" s="34">
        <f t="shared" si="0"/>
        <v>42000</v>
      </c>
      <c r="B11" s="308">
        <v>30732</v>
      </c>
    </row>
    <row r="12" spans="1:2" x14ac:dyDescent="0.2">
      <c r="A12" s="34">
        <f>A13+7</f>
        <v>41993</v>
      </c>
      <c r="B12" s="308">
        <v>46851</v>
      </c>
    </row>
    <row r="13" spans="1:2" x14ac:dyDescent="0.2">
      <c r="A13" s="34">
        <v>41986</v>
      </c>
      <c r="B13" s="308">
        <v>36113</v>
      </c>
    </row>
    <row r="14" spans="1:2" x14ac:dyDescent="0.2">
      <c r="A14" s="34">
        <v>41979</v>
      </c>
      <c r="B14" s="308">
        <v>41689</v>
      </c>
    </row>
    <row r="15" spans="1:2" x14ac:dyDescent="0.2">
      <c r="A15" s="34">
        <v>41972</v>
      </c>
      <c r="B15" s="308">
        <v>50564</v>
      </c>
    </row>
    <row r="16" spans="1:2" x14ac:dyDescent="0.2">
      <c r="A16" s="34">
        <v>41965</v>
      </c>
      <c r="B16" s="308">
        <v>50688</v>
      </c>
    </row>
    <row r="17" spans="1:2" x14ac:dyDescent="0.2">
      <c r="A17" s="34">
        <v>41958</v>
      </c>
      <c r="B17" s="308">
        <v>53888</v>
      </c>
    </row>
    <row r="18" spans="1:2" x14ac:dyDescent="0.2">
      <c r="A18" s="34">
        <v>41951</v>
      </c>
      <c r="B18" s="308">
        <v>53565</v>
      </c>
    </row>
    <row r="19" spans="1:2" x14ac:dyDescent="0.2">
      <c r="B19" s="308"/>
    </row>
    <row r="20" spans="1:2" x14ac:dyDescent="0.2">
      <c r="B20" s="308"/>
    </row>
    <row r="21" spans="1:2" x14ac:dyDescent="0.2">
      <c r="B21" s="308"/>
    </row>
    <row r="22" spans="1:2" x14ac:dyDescent="0.2">
      <c r="B22" s="308"/>
    </row>
    <row r="23" spans="1:2" x14ac:dyDescent="0.2">
      <c r="B23" s="308"/>
    </row>
    <row r="24" spans="1:2" x14ac:dyDescent="0.2">
      <c r="B24" s="308"/>
    </row>
    <row r="25" spans="1:2" x14ac:dyDescent="0.2">
      <c r="B25" s="308"/>
    </row>
    <row r="26" spans="1:2" x14ac:dyDescent="0.2">
      <c r="B26" s="308"/>
    </row>
    <row r="27" spans="1:2" x14ac:dyDescent="0.2">
      <c r="B27" s="308"/>
    </row>
    <row r="28" spans="1:2" x14ac:dyDescent="0.2">
      <c r="B28" s="308"/>
    </row>
    <row r="29" spans="1:2" x14ac:dyDescent="0.2">
      <c r="B29" s="308"/>
    </row>
    <row r="30" spans="1:2" x14ac:dyDescent="0.2">
      <c r="B30" s="308"/>
    </row>
    <row r="31" spans="1:2" x14ac:dyDescent="0.2">
      <c r="B31" s="308"/>
    </row>
    <row r="32" spans="1:2" x14ac:dyDescent="0.2">
      <c r="B32" s="308"/>
    </row>
    <row r="33" spans="1:8" x14ac:dyDescent="0.2">
      <c r="B33" s="308"/>
    </row>
    <row r="34" spans="1:8" x14ac:dyDescent="0.2">
      <c r="B34" s="308"/>
    </row>
    <row r="35" spans="1:8" x14ac:dyDescent="0.2">
      <c r="B35" s="308"/>
    </row>
    <row r="36" spans="1:8" x14ac:dyDescent="0.2">
      <c r="B36" s="308"/>
    </row>
    <row r="37" spans="1:8" x14ac:dyDescent="0.2">
      <c r="B37" s="308"/>
    </row>
    <row r="38" spans="1:8" x14ac:dyDescent="0.2">
      <c r="B38" s="308"/>
    </row>
    <row r="39" spans="1:8" x14ac:dyDescent="0.2">
      <c r="B39" s="308"/>
    </row>
    <row r="40" spans="1:8" x14ac:dyDescent="0.2">
      <c r="B40" s="308"/>
    </row>
    <row r="41" spans="1:8" x14ac:dyDescent="0.2">
      <c r="B41" s="308"/>
    </row>
    <row r="42" spans="1:8" x14ac:dyDescent="0.2">
      <c r="B42" s="308"/>
    </row>
    <row r="43" spans="1:8" x14ac:dyDescent="0.2">
      <c r="F43" s="65" t="s">
        <v>3508</v>
      </c>
      <c r="G43" s="65"/>
      <c r="H43" s="65" t="s">
        <v>665</v>
      </c>
    </row>
    <row r="44" spans="1:8" x14ac:dyDescent="0.2">
      <c r="A44" s="2" t="s">
        <v>4487</v>
      </c>
      <c r="F44" s="65" t="s">
        <v>3632</v>
      </c>
      <c r="G44" s="65"/>
      <c r="H44" s="65" t="s">
        <v>666</v>
      </c>
    </row>
    <row r="45" spans="1:8" x14ac:dyDescent="0.2">
      <c r="A45" s="59" t="s">
        <v>640</v>
      </c>
      <c r="B45" s="59" t="s">
        <v>641</v>
      </c>
      <c r="F45" s="65"/>
      <c r="G45" s="65"/>
      <c r="H45" s="65"/>
    </row>
    <row r="46" spans="1:8" x14ac:dyDescent="0.2">
      <c r="A46" s="59" t="s">
        <v>4681</v>
      </c>
      <c r="B46" s="59"/>
      <c r="F46" s="65"/>
      <c r="G46" s="65"/>
      <c r="H46" s="65"/>
    </row>
    <row r="47" spans="1:8" x14ac:dyDescent="0.2">
      <c r="A47" s="59" t="s">
        <v>4485</v>
      </c>
      <c r="B47" s="60">
        <v>0.375</v>
      </c>
      <c r="C47" s="60">
        <v>0.40625</v>
      </c>
      <c r="D47" t="s">
        <v>4488</v>
      </c>
      <c r="F47" s="65">
        <v>1.9375E-2</v>
      </c>
      <c r="G47" s="65"/>
      <c r="H47" s="65">
        <v>1.9375E-2</v>
      </c>
    </row>
    <row r="48" spans="1:8" x14ac:dyDescent="0.2">
      <c r="A48" s="59" t="s">
        <v>129</v>
      </c>
      <c r="B48" s="60">
        <v>0.4375</v>
      </c>
      <c r="C48" s="60">
        <v>0.46875</v>
      </c>
      <c r="F48" s="65">
        <v>1.8564814814814815E-2</v>
      </c>
      <c r="G48" s="65"/>
      <c r="H48" s="65">
        <v>1.9780092592592592E-2</v>
      </c>
    </row>
    <row r="49" spans="1:8" x14ac:dyDescent="0.2">
      <c r="A49" s="59" t="s">
        <v>998</v>
      </c>
      <c r="B49" s="60">
        <v>0.5</v>
      </c>
      <c r="C49" s="60">
        <v>0.53125</v>
      </c>
      <c r="F49" s="65">
        <v>1.7847222222222223E-2</v>
      </c>
      <c r="G49" s="65"/>
      <c r="H49" s="65">
        <v>1.9907407407407408E-2</v>
      </c>
    </row>
    <row r="50" spans="1:8" x14ac:dyDescent="0.2">
      <c r="A50" s="59" t="s">
        <v>2818</v>
      </c>
      <c r="B50" s="60">
        <v>0.5625</v>
      </c>
      <c r="C50" s="60">
        <v>0.59375</v>
      </c>
      <c r="F50" s="65">
        <v>1.726851851851852E-2</v>
      </c>
      <c r="G50" s="65"/>
      <c r="H50" s="65">
        <v>2.1666666666666667E-2</v>
      </c>
    </row>
    <row r="51" spans="1:8" ht="25.5" x14ac:dyDescent="0.2">
      <c r="A51" s="59" t="s">
        <v>4451</v>
      </c>
      <c r="B51" s="60">
        <v>0.625</v>
      </c>
      <c r="C51" s="60">
        <v>0.65625</v>
      </c>
      <c r="F51" s="65">
        <v>1.6354166666666666E-2</v>
      </c>
      <c r="G51" s="65"/>
      <c r="H51" s="65"/>
    </row>
    <row r="52" spans="1:8" x14ac:dyDescent="0.2">
      <c r="A52" s="59" t="s">
        <v>2147</v>
      </c>
      <c r="B52" s="60">
        <v>0.6875</v>
      </c>
      <c r="C52" s="60">
        <v>0.71875</v>
      </c>
      <c r="F52" s="65">
        <v>1.5416666666666667E-2</v>
      </c>
      <c r="G52" s="65"/>
      <c r="H52" s="65"/>
    </row>
    <row r="53" spans="1:8" x14ac:dyDescent="0.2">
      <c r="A53" s="59" t="s">
        <v>4486</v>
      </c>
      <c r="B53" s="60">
        <v>0.75</v>
      </c>
      <c r="C53" s="61"/>
      <c r="F53" s="65">
        <v>1.503472222222222E-2</v>
      </c>
      <c r="G53" s="65"/>
      <c r="H53" s="65"/>
    </row>
    <row r="55" spans="1:8" ht="25.5" x14ac:dyDescent="0.2">
      <c r="A55" s="59" t="s">
        <v>4680</v>
      </c>
    </row>
    <row r="56" spans="1:8" ht="15" x14ac:dyDescent="0.2">
      <c r="A56" s="62" t="s">
        <v>2319</v>
      </c>
    </row>
    <row r="57" spans="1:8" ht="15" x14ac:dyDescent="0.2">
      <c r="A57" s="62" t="s">
        <v>1414</v>
      </c>
    </row>
    <row r="58" spans="1:8" ht="15" x14ac:dyDescent="0.2">
      <c r="A58" s="62" t="s">
        <v>1415</v>
      </c>
    </row>
    <row r="59" spans="1:8" ht="15" x14ac:dyDescent="0.2">
      <c r="A59" s="62" t="s">
        <v>5611</v>
      </c>
    </row>
    <row r="60" spans="1:8" ht="15" x14ac:dyDescent="0.2">
      <c r="A60" s="62" t="s">
        <v>5612</v>
      </c>
    </row>
    <row r="61" spans="1:8" ht="15" x14ac:dyDescent="0.2">
      <c r="A61" s="62" t="s">
        <v>5520</v>
      </c>
    </row>
    <row r="62" spans="1:8" ht="15" x14ac:dyDescent="0.2">
      <c r="A62" s="62" t="s">
        <v>3875</v>
      </c>
    </row>
    <row r="63" spans="1:8" x14ac:dyDescent="0.2">
      <c r="G63" t="s">
        <v>1212</v>
      </c>
    </row>
    <row r="64" spans="1:8" x14ac:dyDescent="0.2">
      <c r="B64" s="2" t="s">
        <v>5403</v>
      </c>
      <c r="C64" s="2"/>
      <c r="D64" s="2"/>
      <c r="E64" s="2"/>
      <c r="F64" s="2"/>
      <c r="G64" s="2"/>
      <c r="H64" s="2"/>
    </row>
    <row r="65" spans="1:9" x14ac:dyDescent="0.2">
      <c r="B65" s="2" t="s">
        <v>5235</v>
      </c>
      <c r="C65" s="2" t="s">
        <v>3577</v>
      </c>
      <c r="D65" s="2" t="s">
        <v>3578</v>
      </c>
      <c r="E65" s="2" t="s">
        <v>1871</v>
      </c>
      <c r="F65" s="2" t="s">
        <v>1872</v>
      </c>
      <c r="G65" s="2" t="s">
        <v>5407</v>
      </c>
      <c r="H65" s="2" t="s">
        <v>5405</v>
      </c>
      <c r="I65" s="2" t="s">
        <v>5406</v>
      </c>
    </row>
    <row r="66" spans="1:9" x14ac:dyDescent="0.2">
      <c r="B66" s="105">
        <v>41573</v>
      </c>
      <c r="C66" s="105">
        <f>B66+7</f>
        <v>41580</v>
      </c>
      <c r="D66" s="105">
        <f t="shared" ref="D66:I66" si="1">C66+7</f>
        <v>41587</v>
      </c>
      <c r="E66" s="105">
        <f t="shared" si="1"/>
        <v>41594</v>
      </c>
      <c r="F66" s="105">
        <f t="shared" si="1"/>
        <v>41601</v>
      </c>
      <c r="G66" s="105">
        <f t="shared" si="1"/>
        <v>41608</v>
      </c>
      <c r="H66" s="105">
        <f t="shared" si="1"/>
        <v>41615</v>
      </c>
      <c r="I66" s="105">
        <f t="shared" si="1"/>
        <v>41622</v>
      </c>
    </row>
    <row r="67" spans="1:9" x14ac:dyDescent="0.2">
      <c r="A67" t="s">
        <v>837</v>
      </c>
      <c r="B67" s="106">
        <v>35442</v>
      </c>
      <c r="C67" s="106">
        <v>16592</v>
      </c>
      <c r="D67" s="106">
        <v>10883</v>
      </c>
      <c r="E67" s="106">
        <v>7089</v>
      </c>
      <c r="F67" s="106">
        <v>5747</v>
      </c>
      <c r="G67" s="106">
        <v>4863</v>
      </c>
      <c r="H67" s="106">
        <v>4113</v>
      </c>
      <c r="I67" s="106">
        <v>4021</v>
      </c>
    </row>
    <row r="68" spans="1:9" x14ac:dyDescent="0.2">
      <c r="A68" t="s">
        <v>5882</v>
      </c>
      <c r="B68" s="45" t="s">
        <v>5885</v>
      </c>
      <c r="C68" s="45" t="s">
        <v>5885</v>
      </c>
      <c r="D68" s="45" t="s">
        <v>5885</v>
      </c>
      <c r="E68" s="45" t="s">
        <v>5885</v>
      </c>
      <c r="F68" s="45" t="s">
        <v>5885</v>
      </c>
      <c r="G68" s="45" t="s">
        <v>5947</v>
      </c>
      <c r="H68" s="45" t="s">
        <v>1120</v>
      </c>
      <c r="I68" s="45" t="s">
        <v>1120</v>
      </c>
    </row>
    <row r="69" spans="1:9" x14ac:dyDescent="0.2">
      <c r="A69" t="s">
        <v>1209</v>
      </c>
      <c r="B69" s="45" t="s">
        <v>5095</v>
      </c>
      <c r="C69" s="45" t="s">
        <v>5095</v>
      </c>
      <c r="D69" s="45" t="s">
        <v>5095</v>
      </c>
      <c r="E69" s="45" t="s">
        <v>5095</v>
      </c>
      <c r="F69" s="45" t="s">
        <v>1670</v>
      </c>
      <c r="G69" s="45" t="s">
        <v>5095</v>
      </c>
      <c r="H69" s="45" t="s">
        <v>5095</v>
      </c>
      <c r="I69" s="45" t="s">
        <v>5095</v>
      </c>
    </row>
    <row r="70" spans="1:9" x14ac:dyDescent="0.2">
      <c r="A70" t="s">
        <v>5096</v>
      </c>
      <c r="B70" s="45" t="s">
        <v>4452</v>
      </c>
      <c r="C70" s="45" t="s">
        <v>993</v>
      </c>
      <c r="D70" s="111" t="s">
        <v>4452</v>
      </c>
      <c r="E70" s="45" t="s">
        <v>1893</v>
      </c>
      <c r="F70" s="45" t="s">
        <v>1533</v>
      </c>
      <c r="G70" s="45" t="s">
        <v>5095</v>
      </c>
      <c r="H70" s="45" t="s">
        <v>4205</v>
      </c>
      <c r="I70" s="45" t="s">
        <v>1070</v>
      </c>
    </row>
    <row r="71" spans="1:9" x14ac:dyDescent="0.2">
      <c r="A71" t="s">
        <v>4778</v>
      </c>
      <c r="B71" s="45" t="s">
        <v>5404</v>
      </c>
      <c r="C71" s="45" t="s">
        <v>5404</v>
      </c>
      <c r="D71" s="45" t="s">
        <v>3335</v>
      </c>
      <c r="E71" s="45" t="s">
        <v>2048</v>
      </c>
      <c r="F71" s="45" t="s">
        <v>992</v>
      </c>
      <c r="G71" s="45" t="s">
        <v>5095</v>
      </c>
      <c r="H71" s="45" t="s">
        <v>5404</v>
      </c>
      <c r="I71" s="45" t="s">
        <v>5544</v>
      </c>
    </row>
    <row r="72" spans="1:9" x14ac:dyDescent="0.2">
      <c r="A72" s="5" t="s">
        <v>3884</v>
      </c>
      <c r="B72" s="45" t="s">
        <v>4861</v>
      </c>
      <c r="C72" s="45" t="s">
        <v>4861</v>
      </c>
      <c r="D72" s="45" t="s">
        <v>4861</v>
      </c>
      <c r="E72" s="45" t="s">
        <v>4861</v>
      </c>
      <c r="F72" s="45" t="s">
        <v>4861</v>
      </c>
      <c r="G72" s="45" t="s">
        <v>5243</v>
      </c>
      <c r="H72" s="45" t="s">
        <v>4861</v>
      </c>
      <c r="I72" s="45" t="s">
        <v>4861</v>
      </c>
    </row>
    <row r="73" spans="1:9" x14ac:dyDescent="0.2">
      <c r="A73" s="5" t="s">
        <v>3848</v>
      </c>
      <c r="B73" s="45" t="s">
        <v>2048</v>
      </c>
      <c r="C73" s="45" t="s">
        <v>993</v>
      </c>
      <c r="D73" s="45" t="s">
        <v>1827</v>
      </c>
      <c r="E73" s="45" t="s">
        <v>5885</v>
      </c>
      <c r="F73" s="45" t="s">
        <v>992</v>
      </c>
      <c r="G73" s="45" t="s">
        <v>5095</v>
      </c>
      <c r="H73" s="45" t="s">
        <v>3528</v>
      </c>
      <c r="I73" s="112" t="s">
        <v>4815</v>
      </c>
    </row>
    <row r="74" spans="1:9" x14ac:dyDescent="0.2">
      <c r="A74" s="5" t="s">
        <v>5300</v>
      </c>
      <c r="B74" s="45" t="s">
        <v>3072</v>
      </c>
      <c r="C74" s="45" t="s">
        <v>3346</v>
      </c>
      <c r="D74" s="92" t="s">
        <v>5958</v>
      </c>
      <c r="E74" s="45" t="s">
        <v>5095</v>
      </c>
      <c r="F74" s="45" t="s">
        <v>3072</v>
      </c>
      <c r="G74" s="45" t="s">
        <v>5149</v>
      </c>
      <c r="H74" s="112" t="s">
        <v>4815</v>
      </c>
      <c r="I74" s="122" t="s">
        <v>3072</v>
      </c>
    </row>
    <row r="75" spans="1:9" x14ac:dyDescent="0.2">
      <c r="A75" t="s">
        <v>5244</v>
      </c>
      <c r="B75" s="45" t="s">
        <v>5404</v>
      </c>
      <c r="C75" s="45" t="s">
        <v>5404</v>
      </c>
      <c r="D75" s="45" t="s">
        <v>3335</v>
      </c>
      <c r="E75" s="45" t="s">
        <v>3335</v>
      </c>
      <c r="F75" s="45" t="s">
        <v>3335</v>
      </c>
      <c r="G75" s="112" t="s">
        <v>4815</v>
      </c>
      <c r="H75" s="112" t="s">
        <v>5149</v>
      </c>
      <c r="I75" s="122" t="s">
        <v>5149</v>
      </c>
    </row>
    <row r="76" spans="1:9" x14ac:dyDescent="0.2">
      <c r="A76" t="s">
        <v>4824</v>
      </c>
      <c r="B76" s="45" t="s">
        <v>5947</v>
      </c>
      <c r="C76" s="45" t="s">
        <v>5947</v>
      </c>
      <c r="D76" s="45" t="s">
        <v>5954</v>
      </c>
      <c r="E76" s="45" t="s">
        <v>5947</v>
      </c>
      <c r="F76" s="112" t="s">
        <v>4815</v>
      </c>
      <c r="G76" s="112" t="s">
        <v>4815</v>
      </c>
      <c r="H76" s="98" t="s">
        <v>4815</v>
      </c>
      <c r="I76" s="98" t="s">
        <v>4815</v>
      </c>
    </row>
    <row r="77" spans="1:9" x14ac:dyDescent="0.2">
      <c r="A77" s="5" t="s">
        <v>4823</v>
      </c>
      <c r="B77" s="45" t="s">
        <v>3167</v>
      </c>
      <c r="C77" s="45" t="s">
        <v>3167</v>
      </c>
      <c r="D77" s="45" t="s">
        <v>3167</v>
      </c>
      <c r="E77" s="112" t="s">
        <v>4815</v>
      </c>
      <c r="F77" s="112" t="s">
        <v>3167</v>
      </c>
      <c r="G77" s="112" t="s">
        <v>3167</v>
      </c>
      <c r="H77" s="112" t="s">
        <v>3167</v>
      </c>
      <c r="I77" s="30" t="s">
        <v>3167</v>
      </c>
    </row>
    <row r="78" spans="1:9" x14ac:dyDescent="0.2">
      <c r="A78" s="5" t="s">
        <v>2834</v>
      </c>
      <c r="B78" s="45" t="s">
        <v>5404</v>
      </c>
      <c r="C78" s="45" t="s">
        <v>5404</v>
      </c>
      <c r="D78" s="112" t="s">
        <v>4815</v>
      </c>
      <c r="E78" s="98" t="s">
        <v>4815</v>
      </c>
      <c r="F78" s="98" t="s">
        <v>4815</v>
      </c>
      <c r="G78" s="112" t="s">
        <v>4815</v>
      </c>
      <c r="H78" s="98" t="s">
        <v>4815</v>
      </c>
      <c r="I78" s="98" t="s">
        <v>4815</v>
      </c>
    </row>
    <row r="79" spans="1:9" x14ac:dyDescent="0.2">
      <c r="A79" t="s">
        <v>2833</v>
      </c>
      <c r="B79" s="45" t="s">
        <v>5184</v>
      </c>
      <c r="C79" s="45" t="s">
        <v>3346</v>
      </c>
      <c r="D79" s="112" t="s">
        <v>4815</v>
      </c>
      <c r="E79" s="98" t="s">
        <v>4815</v>
      </c>
      <c r="F79" s="98" t="s">
        <v>4815</v>
      </c>
      <c r="G79" s="112" t="s">
        <v>4815</v>
      </c>
      <c r="H79" s="112" t="s">
        <v>3346</v>
      </c>
      <c r="I79" s="112" t="s">
        <v>4815</v>
      </c>
    </row>
    <row r="82" spans="1:9" x14ac:dyDescent="0.2">
      <c r="B82" s="2" t="s">
        <v>2298</v>
      </c>
    </row>
    <row r="83" spans="1:9" x14ac:dyDescent="0.2">
      <c r="B83" s="2" t="s">
        <v>5235</v>
      </c>
      <c r="C83" s="2" t="s">
        <v>3577</v>
      </c>
      <c r="D83" s="2" t="s">
        <v>3578</v>
      </c>
      <c r="E83" s="2" t="s">
        <v>1871</v>
      </c>
      <c r="F83" s="2" t="s">
        <v>1872</v>
      </c>
      <c r="G83" s="2" t="s">
        <v>3351</v>
      </c>
    </row>
    <row r="84" spans="1:9" x14ac:dyDescent="0.2">
      <c r="A84" t="s">
        <v>837</v>
      </c>
      <c r="B84" s="2">
        <v>17337</v>
      </c>
      <c r="C84" s="2">
        <v>7615</v>
      </c>
      <c r="D84" s="2">
        <v>4910</v>
      </c>
      <c r="E84" s="2">
        <v>3724</v>
      </c>
      <c r="F84" s="2">
        <v>2778</v>
      </c>
      <c r="G84" s="2">
        <v>2367</v>
      </c>
      <c r="H84" s="2">
        <v>2367</v>
      </c>
      <c r="I84" s="2">
        <v>2367</v>
      </c>
    </row>
    <row r="85" spans="1:9" x14ac:dyDescent="0.2">
      <c r="B85" s="12">
        <v>41237</v>
      </c>
      <c r="C85" s="12">
        <f>B85+7</f>
        <v>41244</v>
      </c>
      <c r="D85" s="12">
        <f>C85+7</f>
        <v>41251</v>
      </c>
      <c r="E85" s="12">
        <f>D85+7</f>
        <v>41258</v>
      </c>
      <c r="F85" s="12">
        <f>E85+7</f>
        <v>41265</v>
      </c>
      <c r="G85" s="12">
        <f>F85+7</f>
        <v>41272</v>
      </c>
    </row>
    <row r="86" spans="1:9" x14ac:dyDescent="0.2">
      <c r="A86" t="s">
        <v>4637</v>
      </c>
      <c r="B86" t="s">
        <v>5149</v>
      </c>
      <c r="C86" t="s">
        <v>5148</v>
      </c>
      <c r="D86" t="s">
        <v>5149</v>
      </c>
      <c r="E86" t="s">
        <v>3332</v>
      </c>
      <c r="F86" t="s">
        <v>121</v>
      </c>
      <c r="G86" t="s">
        <v>5149</v>
      </c>
    </row>
    <row r="87" spans="1:9" x14ac:dyDescent="0.2">
      <c r="A87" t="s">
        <v>1210</v>
      </c>
      <c r="B87" t="s">
        <v>5149</v>
      </c>
      <c r="C87" t="s">
        <v>5149</v>
      </c>
      <c r="D87" t="s">
        <v>5149</v>
      </c>
      <c r="E87" t="s">
        <v>5149</v>
      </c>
      <c r="F87" t="s">
        <v>5149</v>
      </c>
      <c r="G87" t="s">
        <v>5149</v>
      </c>
    </row>
    <row r="88" spans="1:9" x14ac:dyDescent="0.2">
      <c r="A88" t="s">
        <v>4778</v>
      </c>
      <c r="B88" t="s">
        <v>5149</v>
      </c>
      <c r="C88" t="s">
        <v>5149</v>
      </c>
      <c r="D88" t="s">
        <v>5149</v>
      </c>
      <c r="E88" t="s">
        <v>5149</v>
      </c>
      <c r="F88" t="s">
        <v>5149</v>
      </c>
      <c r="G88" t="s">
        <v>5149</v>
      </c>
    </row>
    <row r="89" spans="1:9" x14ac:dyDescent="0.2">
      <c r="A89" t="s">
        <v>5882</v>
      </c>
      <c r="B89" t="s">
        <v>1120</v>
      </c>
      <c r="C89" t="s">
        <v>1120</v>
      </c>
      <c r="D89" t="s">
        <v>1120</v>
      </c>
      <c r="E89" t="s">
        <v>1120</v>
      </c>
      <c r="F89" t="s">
        <v>1003</v>
      </c>
      <c r="G89" t="s">
        <v>5149</v>
      </c>
    </row>
    <row r="90" spans="1:9" x14ac:dyDescent="0.2">
      <c r="A90" t="s">
        <v>1270</v>
      </c>
      <c r="B90" t="s">
        <v>3167</v>
      </c>
      <c r="C90" t="s">
        <v>1214</v>
      </c>
      <c r="D90" t="s">
        <v>1214</v>
      </c>
      <c r="E90" t="s">
        <v>1214</v>
      </c>
      <c r="F90" t="s">
        <v>1214</v>
      </c>
      <c r="G90" t="s">
        <v>5149</v>
      </c>
    </row>
    <row r="91" spans="1:9" x14ac:dyDescent="0.2">
      <c r="A91" t="s">
        <v>1209</v>
      </c>
      <c r="B91" t="s">
        <v>3347</v>
      </c>
      <c r="C91" t="s">
        <v>3347</v>
      </c>
      <c r="D91" t="s">
        <v>3347</v>
      </c>
      <c r="E91" t="s">
        <v>3347</v>
      </c>
      <c r="F91" s="30"/>
      <c r="G91" s="30"/>
    </row>
    <row r="92" spans="1:9" x14ac:dyDescent="0.2">
      <c r="A92" t="s">
        <v>1000</v>
      </c>
      <c r="B92" t="s">
        <v>406</v>
      </c>
      <c r="C92" t="s">
        <v>5147</v>
      </c>
      <c r="D92" t="s">
        <v>891</v>
      </c>
      <c r="E92" s="30"/>
      <c r="F92" s="30"/>
      <c r="G92" s="30"/>
    </row>
    <row r="93" spans="1:9" x14ac:dyDescent="0.2">
      <c r="A93" t="s">
        <v>1457</v>
      </c>
      <c r="B93" t="s">
        <v>1120</v>
      </c>
      <c r="C93" t="s">
        <v>1120</v>
      </c>
      <c r="D93" s="30"/>
      <c r="E93" s="30"/>
      <c r="F93" s="30"/>
      <c r="G93" s="30"/>
    </row>
    <row r="94" spans="1:9" x14ac:dyDescent="0.2">
      <c r="A94" t="s">
        <v>5097</v>
      </c>
      <c r="B94" t="s">
        <v>406</v>
      </c>
      <c r="C94" s="30"/>
      <c r="D94" s="30"/>
      <c r="E94" s="30"/>
      <c r="F94" s="30"/>
      <c r="G94" s="30"/>
    </row>
    <row r="95" spans="1:9" x14ac:dyDescent="0.2">
      <c r="A95" t="s">
        <v>889</v>
      </c>
      <c r="B95" t="s">
        <v>5149</v>
      </c>
      <c r="C95" s="30"/>
      <c r="D95" s="30"/>
      <c r="E95" s="30"/>
      <c r="F95" s="30"/>
      <c r="G95" s="30"/>
    </row>
    <row r="96" spans="1:9" x14ac:dyDescent="0.2">
      <c r="A96" t="s">
        <v>3345</v>
      </c>
      <c r="B96" t="s">
        <v>3346</v>
      </c>
      <c r="C96" s="30"/>
      <c r="D96" s="30"/>
      <c r="E96" s="30"/>
      <c r="F96" s="30"/>
      <c r="G96" s="30"/>
    </row>
    <row r="97" spans="1:7" x14ac:dyDescent="0.2">
      <c r="A97" t="s">
        <v>1213</v>
      </c>
      <c r="B97" t="s">
        <v>406</v>
      </c>
      <c r="C97" s="30"/>
      <c r="D97" s="30"/>
      <c r="E97" s="30"/>
      <c r="F97" s="30"/>
      <c r="G97" s="30"/>
    </row>
    <row r="98" spans="1:7" ht="13.5" thickBot="1" x14ac:dyDescent="0.25"/>
    <row r="99" spans="1:7" x14ac:dyDescent="0.2">
      <c r="B99" s="259" t="s">
        <v>5053</v>
      </c>
      <c r="C99" s="255"/>
      <c r="D99" s="224"/>
    </row>
    <row r="100" spans="1:7" x14ac:dyDescent="0.2">
      <c r="B100" s="290" t="s">
        <v>6022</v>
      </c>
      <c r="C100" s="288"/>
      <c r="D100" s="291">
        <v>1000</v>
      </c>
    </row>
    <row r="101" spans="1:7" x14ac:dyDescent="0.2">
      <c r="B101" s="268" t="s">
        <v>3643</v>
      </c>
      <c r="C101" s="6"/>
      <c r="D101" s="229">
        <v>1000</v>
      </c>
    </row>
    <row r="102" spans="1:7" x14ac:dyDescent="0.2">
      <c r="B102" s="282" t="s">
        <v>1780</v>
      </c>
      <c r="C102" s="288"/>
      <c r="D102" s="283">
        <v>900</v>
      </c>
    </row>
    <row r="103" spans="1:7" x14ac:dyDescent="0.2">
      <c r="B103" s="276" t="s">
        <v>559</v>
      </c>
      <c r="C103" s="6"/>
      <c r="D103" s="277">
        <v>900</v>
      </c>
    </row>
    <row r="104" spans="1:7" x14ac:dyDescent="0.2">
      <c r="B104" s="280" t="s">
        <v>6016</v>
      </c>
      <c r="C104" s="288"/>
      <c r="D104" s="281">
        <v>1000</v>
      </c>
    </row>
    <row r="105" spans="1:7" x14ac:dyDescent="0.2">
      <c r="B105" s="276" t="s">
        <v>1405</v>
      </c>
      <c r="C105" s="6"/>
      <c r="D105" s="277">
        <v>900</v>
      </c>
    </row>
    <row r="106" spans="1:7" x14ac:dyDescent="0.2">
      <c r="B106" s="276" t="s">
        <v>2830</v>
      </c>
      <c r="C106" s="6"/>
      <c r="D106" s="277">
        <v>1000</v>
      </c>
    </row>
    <row r="107" spans="1:7" x14ac:dyDescent="0.2">
      <c r="B107" s="309" t="s">
        <v>209</v>
      </c>
      <c r="C107" s="70"/>
      <c r="D107" s="310">
        <v>1000</v>
      </c>
    </row>
    <row r="108" spans="1:7" x14ac:dyDescent="0.2">
      <c r="B108" s="280" t="s">
        <v>2827</v>
      </c>
      <c r="C108" s="288"/>
      <c r="D108" s="281">
        <v>1000</v>
      </c>
    </row>
    <row r="109" spans="1:7" x14ac:dyDescent="0.2">
      <c r="B109" s="269" t="s">
        <v>1122</v>
      </c>
      <c r="C109" s="6"/>
      <c r="D109" s="229">
        <v>900</v>
      </c>
    </row>
    <row r="110" spans="1:7" x14ac:dyDescent="0.2">
      <c r="B110" s="263" t="s">
        <v>5885</v>
      </c>
      <c r="C110" s="6"/>
      <c r="D110" s="262">
        <v>900</v>
      </c>
    </row>
    <row r="111" spans="1:7" x14ac:dyDescent="0.2">
      <c r="B111" s="263" t="s">
        <v>5484</v>
      </c>
      <c r="C111" s="6"/>
      <c r="D111" s="262">
        <v>1000</v>
      </c>
    </row>
    <row r="112" spans="1:7" x14ac:dyDescent="0.2">
      <c r="B112" s="263" t="s">
        <v>1003</v>
      </c>
      <c r="C112" s="6"/>
      <c r="D112" s="262">
        <v>1000</v>
      </c>
    </row>
    <row r="113" spans="2:4" x14ac:dyDescent="0.2">
      <c r="B113" s="269" t="s">
        <v>2257</v>
      </c>
      <c r="C113" s="6"/>
      <c r="D113" s="229">
        <v>1000</v>
      </c>
    </row>
    <row r="114" spans="2:4" x14ac:dyDescent="0.2">
      <c r="B114" s="269" t="s">
        <v>1168</v>
      </c>
      <c r="C114" s="6"/>
      <c r="D114" s="229">
        <v>1030</v>
      </c>
    </row>
    <row r="115" spans="2:4" x14ac:dyDescent="0.2">
      <c r="B115" s="282" t="s">
        <v>4822</v>
      </c>
      <c r="C115" s="288"/>
      <c r="D115" s="283">
        <v>1030</v>
      </c>
    </row>
    <row r="116" spans="2:4" x14ac:dyDescent="0.2">
      <c r="B116" s="276" t="s">
        <v>5845</v>
      </c>
      <c r="C116" s="6"/>
      <c r="D116" s="277">
        <v>900</v>
      </c>
    </row>
    <row r="117" spans="2:4" x14ac:dyDescent="0.2">
      <c r="B117" s="276" t="s">
        <v>58</v>
      </c>
      <c r="C117" s="6"/>
      <c r="D117" s="277">
        <v>900</v>
      </c>
    </row>
    <row r="118" spans="2:4" x14ac:dyDescent="0.2">
      <c r="B118" s="276" t="s">
        <v>999</v>
      </c>
      <c r="C118" s="6"/>
      <c r="D118" s="277">
        <v>1000</v>
      </c>
    </row>
    <row r="119" spans="2:4" x14ac:dyDescent="0.2">
      <c r="B119" s="276" t="s">
        <v>2161</v>
      </c>
      <c r="C119" s="6"/>
      <c r="D119" s="277">
        <v>1000</v>
      </c>
    </row>
    <row r="120" spans="2:4" x14ac:dyDescent="0.2">
      <c r="B120" s="276" t="s">
        <v>4556</v>
      </c>
      <c r="C120" s="6"/>
      <c r="D120" s="277">
        <v>900</v>
      </c>
    </row>
    <row r="121" spans="2:4" x14ac:dyDescent="0.2">
      <c r="B121" s="276" t="s">
        <v>4861</v>
      </c>
      <c r="C121" s="6"/>
      <c r="D121" s="277">
        <v>1000</v>
      </c>
    </row>
    <row r="122" spans="2:4" x14ac:dyDescent="0.2">
      <c r="B122" s="276" t="s">
        <v>1827</v>
      </c>
      <c r="C122" s="6"/>
      <c r="D122" s="277">
        <v>1030</v>
      </c>
    </row>
    <row r="123" spans="2:4" x14ac:dyDescent="0.2">
      <c r="B123" s="298" t="s">
        <v>4452</v>
      </c>
      <c r="C123" s="6"/>
      <c r="D123" s="299">
        <v>1030</v>
      </c>
    </row>
    <row r="124" spans="2:4" x14ac:dyDescent="0.2">
      <c r="B124" s="294" t="s">
        <v>6021</v>
      </c>
      <c r="C124" s="6"/>
      <c r="D124" s="230">
        <v>900</v>
      </c>
    </row>
    <row r="125" spans="2:4" x14ac:dyDescent="0.2">
      <c r="B125" s="294" t="s">
        <v>527</v>
      </c>
      <c r="C125" s="6"/>
      <c r="D125" s="230">
        <v>1000</v>
      </c>
    </row>
    <row r="126" spans="2:4" x14ac:dyDescent="0.2">
      <c r="B126" s="260" t="s">
        <v>4205</v>
      </c>
      <c r="C126" s="6"/>
      <c r="D126" s="226">
        <v>1000</v>
      </c>
    </row>
    <row r="127" spans="2:4" x14ac:dyDescent="0.2">
      <c r="B127" s="285" t="s">
        <v>5948</v>
      </c>
      <c r="C127" s="288"/>
      <c r="D127" s="286">
        <v>1000</v>
      </c>
    </row>
    <row r="128" spans="2:4" x14ac:dyDescent="0.2">
      <c r="B128" s="268" t="s">
        <v>5095</v>
      </c>
      <c r="C128" s="6"/>
      <c r="D128" s="229">
        <v>900</v>
      </c>
    </row>
    <row r="129" spans="1:6" x14ac:dyDescent="0.2">
      <c r="B129" s="284" t="s">
        <v>3072</v>
      </c>
      <c r="C129" s="288"/>
      <c r="D129" s="283">
        <v>1030</v>
      </c>
    </row>
    <row r="130" spans="1:6" x14ac:dyDescent="0.2">
      <c r="B130" s="260" t="s">
        <v>3644</v>
      </c>
      <c r="C130" s="6"/>
      <c r="D130" s="226">
        <v>900</v>
      </c>
    </row>
    <row r="131" spans="1:6" x14ac:dyDescent="0.2">
      <c r="B131" s="287" t="s">
        <v>3167</v>
      </c>
      <c r="C131" s="288"/>
      <c r="D131" s="289">
        <v>1030</v>
      </c>
    </row>
    <row r="132" spans="1:6" ht="13.5" thickBot="1" x14ac:dyDescent="0.25">
      <c r="B132" s="261" t="s">
        <v>2987</v>
      </c>
      <c r="C132" s="300"/>
      <c r="D132" s="233">
        <v>900</v>
      </c>
    </row>
    <row r="136" spans="1:6" x14ac:dyDescent="0.2">
      <c r="A136" s="34">
        <v>41419</v>
      </c>
      <c r="C136" s="1"/>
      <c r="F136" s="41"/>
    </row>
    <row r="137" spans="1:6" x14ac:dyDescent="0.2">
      <c r="A137" t="s">
        <v>1270</v>
      </c>
      <c r="B137" s="47">
        <v>1.3078703703703703E-2</v>
      </c>
      <c r="C137" s="1" t="s">
        <v>3167</v>
      </c>
      <c r="F137" s="41"/>
    </row>
    <row r="138" spans="1:6" x14ac:dyDescent="0.2">
      <c r="A138" t="s">
        <v>5881</v>
      </c>
      <c r="B138" s="47">
        <v>1.3946759259259258E-2</v>
      </c>
      <c r="C138" s="1" t="s">
        <v>3167</v>
      </c>
      <c r="F138" s="41"/>
    </row>
    <row r="139" spans="1:6" x14ac:dyDescent="0.2">
      <c r="A139" t="s">
        <v>5882</v>
      </c>
      <c r="B139" s="47">
        <v>1.4826388888888889E-2</v>
      </c>
      <c r="C139" s="1" t="s">
        <v>1120</v>
      </c>
      <c r="F139" s="41"/>
    </row>
    <row r="140" spans="1:6" x14ac:dyDescent="0.2">
      <c r="A140" t="s">
        <v>5951</v>
      </c>
      <c r="B140" s="47">
        <v>1.6157407407407409E-2</v>
      </c>
      <c r="C140" s="1" t="s">
        <v>5149</v>
      </c>
      <c r="D140" t="s">
        <v>876</v>
      </c>
      <c r="F140" s="41"/>
    </row>
    <row r="141" spans="1:6" x14ac:dyDescent="0.2">
      <c r="A141" t="s">
        <v>889</v>
      </c>
      <c r="B141" s="47">
        <v>1.7465277777777777E-2</v>
      </c>
      <c r="C141" s="1" t="s">
        <v>5149</v>
      </c>
      <c r="F141" s="41"/>
    </row>
    <row r="142" spans="1:6" x14ac:dyDescent="0.2">
      <c r="A142" t="s">
        <v>4435</v>
      </c>
      <c r="B142" s="47">
        <v>1.7951388888888888E-2</v>
      </c>
      <c r="C142" s="1" t="s">
        <v>3167</v>
      </c>
      <c r="F142" s="41"/>
    </row>
    <row r="143" spans="1:6" x14ac:dyDescent="0.2">
      <c r="A143" t="s">
        <v>1000</v>
      </c>
      <c r="B143" s="47">
        <v>1.8275462962962962E-2</v>
      </c>
      <c r="C143" s="1" t="s">
        <v>4450</v>
      </c>
      <c r="F143" s="41"/>
    </row>
    <row r="144" spans="1:6" x14ac:dyDescent="0.2">
      <c r="A144" t="s">
        <v>4778</v>
      </c>
      <c r="B144" s="47">
        <v>2.0729166666666667E-2</v>
      </c>
      <c r="C144" s="1" t="s">
        <v>1003</v>
      </c>
      <c r="F144" s="41"/>
    </row>
    <row r="145" spans="1:11" x14ac:dyDescent="0.2">
      <c r="A145" s="53" t="s">
        <v>4732</v>
      </c>
      <c r="B145" s="47">
        <v>2.0949074074074075E-2</v>
      </c>
      <c r="C145" s="1" t="s">
        <v>5149</v>
      </c>
      <c r="F145" s="41"/>
    </row>
    <row r="146" spans="1:11" x14ac:dyDescent="0.2">
      <c r="A146" t="s">
        <v>5957</v>
      </c>
      <c r="B146" s="47">
        <v>2.1921296296296296E-2</v>
      </c>
      <c r="C146" s="1" t="s">
        <v>3347</v>
      </c>
      <c r="F146" s="41"/>
    </row>
    <row r="147" spans="1:11" x14ac:dyDescent="0.2">
      <c r="A147" s="53" t="s">
        <v>3884</v>
      </c>
      <c r="B147" s="47">
        <v>1.6666666666666666E-2</v>
      </c>
      <c r="C147" s="1" t="s">
        <v>5437</v>
      </c>
      <c r="D147" s="53"/>
      <c r="E147" s="53"/>
      <c r="F147" s="58" t="s">
        <v>2866</v>
      </c>
      <c r="G147" s="53"/>
      <c r="H147" s="53"/>
      <c r="I147" s="53"/>
      <c r="J147" s="53" t="s">
        <v>5436</v>
      </c>
      <c r="K147" s="53"/>
    </row>
    <row r="148" spans="1:11" x14ac:dyDescent="0.2">
      <c r="A148" s="53"/>
      <c r="B148" s="47"/>
      <c r="C148" s="1"/>
      <c r="F148" s="41"/>
    </row>
    <row r="149" spans="1:11" x14ac:dyDescent="0.2">
      <c r="A149" s="34">
        <v>41412</v>
      </c>
      <c r="C149" s="1"/>
      <c r="F149" s="41"/>
    </row>
    <row r="150" spans="1:11" x14ac:dyDescent="0.2">
      <c r="A150" t="s">
        <v>1270</v>
      </c>
      <c r="B150" s="1">
        <v>1.3333333333333334E-2</v>
      </c>
      <c r="C150" s="1" t="s">
        <v>3167</v>
      </c>
      <c r="F150" s="41"/>
    </row>
    <row r="151" spans="1:11" x14ac:dyDescent="0.2">
      <c r="A151" t="s">
        <v>5881</v>
      </c>
      <c r="B151" s="1">
        <v>1.3958333333333335E-2</v>
      </c>
      <c r="C151" s="1" t="s">
        <v>5812</v>
      </c>
      <c r="F151" s="41"/>
    </row>
    <row r="152" spans="1:11" x14ac:dyDescent="0.2">
      <c r="A152" t="s">
        <v>5882</v>
      </c>
      <c r="B152" s="1">
        <v>1.4618055555555556E-2</v>
      </c>
      <c r="C152" s="1" t="s">
        <v>3900</v>
      </c>
      <c r="F152" s="41"/>
    </row>
    <row r="153" spans="1:11" x14ac:dyDescent="0.2">
      <c r="A153" t="s">
        <v>627</v>
      </c>
      <c r="B153" s="1">
        <v>1.4976851851851852E-2</v>
      </c>
      <c r="C153" s="1" t="s">
        <v>5186</v>
      </c>
      <c r="D153" t="s">
        <v>363</v>
      </c>
      <c r="F153" s="41"/>
    </row>
    <row r="154" spans="1:11" x14ac:dyDescent="0.2">
      <c r="A154" t="s">
        <v>4435</v>
      </c>
      <c r="B154" s="1">
        <v>1.741898148148148E-2</v>
      </c>
      <c r="C154" s="1" t="s">
        <v>3167</v>
      </c>
      <c r="F154" s="41"/>
    </row>
    <row r="155" spans="1:11" x14ac:dyDescent="0.2">
      <c r="A155" t="s">
        <v>997</v>
      </c>
      <c r="B155" s="1">
        <v>1.8530092592592595E-2</v>
      </c>
      <c r="C155" s="1" t="s">
        <v>5947</v>
      </c>
      <c r="F155" s="41"/>
    </row>
    <row r="156" spans="1:11" x14ac:dyDescent="0.2">
      <c r="A156" t="s">
        <v>4584</v>
      </c>
      <c r="B156" s="1">
        <v>1.892361111111111E-2</v>
      </c>
      <c r="C156" s="1" t="s">
        <v>3346</v>
      </c>
      <c r="F156" s="41"/>
    </row>
    <row r="157" spans="1:11" x14ac:dyDescent="0.2">
      <c r="A157" t="s">
        <v>1000</v>
      </c>
      <c r="B157" s="1">
        <v>2.0694444444444446E-2</v>
      </c>
      <c r="C157" s="1" t="s">
        <v>2038</v>
      </c>
      <c r="F157" s="41"/>
    </row>
    <row r="158" spans="1:11" x14ac:dyDescent="0.2">
      <c r="A158" t="s">
        <v>128</v>
      </c>
      <c r="B158" s="1">
        <v>2.0914351851851851E-2</v>
      </c>
      <c r="C158" s="1" t="s">
        <v>3346</v>
      </c>
      <c r="F158" s="41"/>
    </row>
    <row r="159" spans="1:11" x14ac:dyDescent="0.2">
      <c r="A159" t="s">
        <v>5957</v>
      </c>
      <c r="B159" s="1">
        <v>2.1377314814814818E-2</v>
      </c>
      <c r="C159" s="1" t="s">
        <v>3347</v>
      </c>
      <c r="F159" s="41"/>
    </row>
    <row r="160" spans="1:11" x14ac:dyDescent="0.2">
      <c r="A160" t="s">
        <v>4778</v>
      </c>
      <c r="B160" s="1">
        <v>2.1817129629629631E-2</v>
      </c>
      <c r="C160" s="1" t="s">
        <v>2038</v>
      </c>
      <c r="F160" s="41"/>
    </row>
    <row r="161" spans="1:6" x14ac:dyDescent="0.2">
      <c r="A161" t="s">
        <v>4637</v>
      </c>
      <c r="B161" s="1">
        <v>2.7604166666666666E-2</v>
      </c>
      <c r="C161" s="1" t="s">
        <v>5149</v>
      </c>
      <c r="D161" t="s">
        <v>2037</v>
      </c>
      <c r="F161" s="41"/>
    </row>
    <row r="162" spans="1:6" x14ac:dyDescent="0.2">
      <c r="A162" t="s">
        <v>889</v>
      </c>
      <c r="B162" s="1" t="s">
        <v>787</v>
      </c>
      <c r="C162" s="1" t="s">
        <v>5149</v>
      </c>
      <c r="F162" s="41"/>
    </row>
    <row r="163" spans="1:6" x14ac:dyDescent="0.2">
      <c r="B163" s="1"/>
      <c r="C163" s="1"/>
      <c r="F163" s="41"/>
    </row>
    <row r="164" spans="1:6" x14ac:dyDescent="0.2">
      <c r="B164" s="1"/>
      <c r="C164" s="1"/>
      <c r="F164" s="41"/>
    </row>
    <row r="165" spans="1:6" x14ac:dyDescent="0.2">
      <c r="A165" s="34">
        <v>41405</v>
      </c>
      <c r="C165" s="1"/>
      <c r="F165" s="41"/>
    </row>
    <row r="166" spans="1:6" x14ac:dyDescent="0.2">
      <c r="A166" t="s">
        <v>4637</v>
      </c>
      <c r="B166" s="1">
        <v>1.4525462962962964E-2</v>
      </c>
      <c r="C166" s="1" t="s">
        <v>5149</v>
      </c>
      <c r="F166" s="41"/>
    </row>
    <row r="167" spans="1:6" x14ac:dyDescent="0.2">
      <c r="A167" t="s">
        <v>5882</v>
      </c>
      <c r="B167" s="1">
        <v>1.5219907407407409E-2</v>
      </c>
      <c r="C167" s="1" t="s">
        <v>3900</v>
      </c>
      <c r="F167" s="41"/>
    </row>
    <row r="168" spans="1:6" x14ac:dyDescent="0.2">
      <c r="A168" t="s">
        <v>627</v>
      </c>
      <c r="B168" s="1">
        <v>1.5729166666666666E-2</v>
      </c>
      <c r="C168" s="1" t="s">
        <v>5186</v>
      </c>
      <c r="F168" s="41"/>
    </row>
    <row r="169" spans="1:6" x14ac:dyDescent="0.2">
      <c r="A169" t="s">
        <v>5097</v>
      </c>
      <c r="B169" s="1">
        <v>1.6157407407407409E-2</v>
      </c>
      <c r="C169" s="1" t="s">
        <v>406</v>
      </c>
      <c r="F169" s="41"/>
    </row>
    <row r="170" spans="1:6" x14ac:dyDescent="0.2">
      <c r="A170" t="s">
        <v>1209</v>
      </c>
      <c r="B170" s="1">
        <v>1.622685185185185E-2</v>
      </c>
      <c r="C170" s="1" t="s">
        <v>3347</v>
      </c>
      <c r="F170" s="41"/>
    </row>
    <row r="171" spans="1:6" x14ac:dyDescent="0.2">
      <c r="A171" t="s">
        <v>1641</v>
      </c>
      <c r="B171" s="1">
        <v>1.6655092592592593E-2</v>
      </c>
      <c r="C171" s="1" t="s">
        <v>5184</v>
      </c>
      <c r="F171" s="41"/>
    </row>
    <row r="172" spans="1:6" x14ac:dyDescent="0.2">
      <c r="A172" t="s">
        <v>889</v>
      </c>
      <c r="B172" s="1">
        <v>1.7627314814814814E-2</v>
      </c>
      <c r="C172" s="1" t="s">
        <v>5149</v>
      </c>
      <c r="F172" s="41"/>
    </row>
    <row r="173" spans="1:6" x14ac:dyDescent="0.2">
      <c r="A173" t="s">
        <v>4435</v>
      </c>
      <c r="B173" s="1">
        <v>1.7685185185185182E-2</v>
      </c>
      <c r="C173" s="1" t="s">
        <v>3167</v>
      </c>
      <c r="F173" s="41"/>
    </row>
    <row r="174" spans="1:6" x14ac:dyDescent="0.2">
      <c r="A174" t="s">
        <v>997</v>
      </c>
      <c r="B174" s="1">
        <v>1.8761574074074073E-2</v>
      </c>
      <c r="C174" s="1" t="s">
        <v>5947</v>
      </c>
      <c r="F174" s="41"/>
    </row>
    <row r="175" spans="1:6" x14ac:dyDescent="0.2">
      <c r="A175" t="s">
        <v>1210</v>
      </c>
      <c r="B175" s="1">
        <v>1.8935185185185183E-2</v>
      </c>
      <c r="C175" s="1" t="s">
        <v>5149</v>
      </c>
      <c r="F175" s="41"/>
    </row>
    <row r="176" spans="1:6" x14ac:dyDescent="0.2">
      <c r="A176" t="s">
        <v>1000</v>
      </c>
      <c r="B176" s="1">
        <v>1.9733796296296298E-2</v>
      </c>
      <c r="C176" s="1" t="s">
        <v>5183</v>
      </c>
      <c r="F176" s="41"/>
    </row>
    <row r="177" spans="1:6" x14ac:dyDescent="0.2">
      <c r="A177" t="s">
        <v>4778</v>
      </c>
      <c r="B177" s="1">
        <v>2.0196759259259258E-2</v>
      </c>
      <c r="C177" s="1" t="s">
        <v>5149</v>
      </c>
      <c r="F177" s="41"/>
    </row>
    <row r="178" spans="1:6" x14ac:dyDescent="0.2">
      <c r="B178" s="1"/>
      <c r="C178" s="1"/>
      <c r="F178" s="41"/>
    </row>
    <row r="179" spans="1:6" x14ac:dyDescent="0.2">
      <c r="A179" s="34">
        <v>41398</v>
      </c>
      <c r="C179" s="1"/>
      <c r="F179" s="41"/>
    </row>
    <row r="180" spans="1:6" x14ac:dyDescent="0.2">
      <c r="A180" t="s">
        <v>1270</v>
      </c>
      <c r="B180" s="1">
        <v>1.3263888888888889E-2</v>
      </c>
      <c r="C180" s="1" t="s">
        <v>3167</v>
      </c>
      <c r="F180" s="41"/>
    </row>
    <row r="181" spans="1:6" x14ac:dyDescent="0.2">
      <c r="A181" t="s">
        <v>5882</v>
      </c>
      <c r="B181" s="1">
        <v>1.4571759259259258E-2</v>
      </c>
      <c r="C181" s="1" t="s">
        <v>1120</v>
      </c>
      <c r="F181" s="41"/>
    </row>
    <row r="182" spans="1:6" x14ac:dyDescent="0.2">
      <c r="A182" t="s">
        <v>366</v>
      </c>
      <c r="B182" s="1">
        <v>1.622685185185185E-2</v>
      </c>
      <c r="C182" s="1" t="s">
        <v>1120</v>
      </c>
      <c r="F182" s="41"/>
    </row>
    <row r="183" spans="1:6" x14ac:dyDescent="0.2">
      <c r="A183" t="s">
        <v>627</v>
      </c>
      <c r="B183" s="1">
        <v>1.6597222222222222E-2</v>
      </c>
      <c r="C183" s="1" t="s">
        <v>3346</v>
      </c>
      <c r="F183" s="41"/>
    </row>
    <row r="184" spans="1:6" x14ac:dyDescent="0.2">
      <c r="A184" t="s">
        <v>889</v>
      </c>
      <c r="B184" s="1">
        <v>1.7291666666666667E-2</v>
      </c>
      <c r="C184" s="1" t="s">
        <v>5149</v>
      </c>
      <c r="D184" t="s">
        <v>363</v>
      </c>
      <c r="F184" s="41"/>
    </row>
    <row r="185" spans="1:6" x14ac:dyDescent="0.2">
      <c r="A185" t="s">
        <v>4435</v>
      </c>
      <c r="B185" s="1">
        <v>1.8402777777777778E-2</v>
      </c>
      <c r="C185" s="1" t="s">
        <v>3167</v>
      </c>
      <c r="F185" s="41"/>
    </row>
    <row r="186" spans="1:6" x14ac:dyDescent="0.2">
      <c r="A186" t="s">
        <v>1210</v>
      </c>
      <c r="B186" s="1">
        <v>1.8645833333333334E-2</v>
      </c>
      <c r="C186" s="1" t="s">
        <v>5149</v>
      </c>
      <c r="F186" s="41"/>
    </row>
    <row r="187" spans="1:6" x14ac:dyDescent="0.2">
      <c r="A187" t="s">
        <v>1000</v>
      </c>
      <c r="B187" s="1">
        <v>1.8900462962962963E-2</v>
      </c>
      <c r="C187" s="1" t="s">
        <v>3346</v>
      </c>
      <c r="F187" s="41"/>
    </row>
    <row r="188" spans="1:6" x14ac:dyDescent="0.2">
      <c r="A188" s="34">
        <v>41335</v>
      </c>
      <c r="C188" s="1"/>
    </row>
    <row r="189" spans="1:6" x14ac:dyDescent="0.2">
      <c r="A189" t="s">
        <v>1270</v>
      </c>
      <c r="B189" s="1">
        <v>1.3599537037037037E-2</v>
      </c>
      <c r="C189" s="1" t="s">
        <v>3167</v>
      </c>
    </row>
    <row r="190" spans="1:6" x14ac:dyDescent="0.2">
      <c r="A190" t="s">
        <v>5882</v>
      </c>
      <c r="B190" s="1">
        <v>1.486111111111111E-2</v>
      </c>
      <c r="C190" s="1" t="s">
        <v>1120</v>
      </c>
    </row>
    <row r="191" spans="1:6" x14ac:dyDescent="0.2">
      <c r="A191" t="s">
        <v>3216</v>
      </c>
      <c r="B191" s="1">
        <v>1.5856481481481482E-2</v>
      </c>
      <c r="C191" s="1" t="s">
        <v>1003</v>
      </c>
    </row>
    <row r="192" spans="1:6" x14ac:dyDescent="0.2">
      <c r="A192" t="s">
        <v>4637</v>
      </c>
      <c r="B192" s="1">
        <v>1.6076388888888887E-2</v>
      </c>
      <c r="C192" s="1" t="s">
        <v>5149</v>
      </c>
    </row>
    <row r="193" spans="1:9" x14ac:dyDescent="0.2">
      <c r="A193" t="s">
        <v>889</v>
      </c>
      <c r="B193" s="1">
        <v>1.8032407407407407E-2</v>
      </c>
      <c r="C193" s="1" t="s">
        <v>5149</v>
      </c>
    </row>
    <row r="194" spans="1:9" x14ac:dyDescent="0.2">
      <c r="A194" t="s">
        <v>1210</v>
      </c>
      <c r="B194" s="1">
        <v>1.8379629629629628E-2</v>
      </c>
      <c r="C194" s="1" t="s">
        <v>5149</v>
      </c>
    </row>
    <row r="195" spans="1:9" x14ac:dyDescent="0.2">
      <c r="A195" t="s">
        <v>1000</v>
      </c>
      <c r="B195" s="1">
        <v>1.9456018518518518E-2</v>
      </c>
      <c r="C195" s="1" t="s">
        <v>1826</v>
      </c>
    </row>
    <row r="196" spans="1:9" x14ac:dyDescent="0.2">
      <c r="A196" t="s">
        <v>4778</v>
      </c>
      <c r="B196" s="1">
        <v>2.1863425925925925E-2</v>
      </c>
      <c r="C196" s="1" t="s">
        <v>1827</v>
      </c>
    </row>
    <row r="197" spans="1:9" x14ac:dyDescent="0.2">
      <c r="A197" t="s">
        <v>1641</v>
      </c>
      <c r="B197" s="1">
        <v>2.5821759259259256E-2</v>
      </c>
      <c r="C197" s="1" t="s">
        <v>3346</v>
      </c>
    </row>
    <row r="199" spans="1:9" x14ac:dyDescent="0.2">
      <c r="A199" s="34">
        <v>41328</v>
      </c>
      <c r="C199" s="1"/>
      <c r="F199" s="41"/>
    </row>
    <row r="200" spans="1:9" x14ac:dyDescent="0.2">
      <c r="A200" t="s">
        <v>5884</v>
      </c>
      <c r="B200" s="1">
        <v>1.3796296296296298E-2</v>
      </c>
      <c r="C200" s="1" t="s">
        <v>3346</v>
      </c>
      <c r="F200" s="41"/>
    </row>
    <row r="201" spans="1:9" x14ac:dyDescent="0.2">
      <c r="A201" t="s">
        <v>1270</v>
      </c>
      <c r="B201" s="1">
        <v>1.3946759259259258E-2</v>
      </c>
      <c r="C201" s="1" t="s">
        <v>3167</v>
      </c>
      <c r="F201" s="41"/>
      <c r="I201" t="s">
        <v>2446</v>
      </c>
    </row>
    <row r="202" spans="1:9" x14ac:dyDescent="0.2">
      <c r="A202" t="s">
        <v>5882</v>
      </c>
      <c r="B202" s="1">
        <v>1.5706018518518518E-2</v>
      </c>
      <c r="C202" s="1" t="s">
        <v>1120</v>
      </c>
      <c r="F202" s="41"/>
    </row>
    <row r="203" spans="1:9" x14ac:dyDescent="0.2">
      <c r="A203" t="s">
        <v>3216</v>
      </c>
      <c r="B203" s="1">
        <v>1.6180555555555556E-2</v>
      </c>
      <c r="C203" s="1" t="s">
        <v>1122</v>
      </c>
      <c r="F203" s="41"/>
    </row>
    <row r="204" spans="1:9" x14ac:dyDescent="0.2">
      <c r="A204" t="s">
        <v>5797</v>
      </c>
      <c r="B204" s="1">
        <v>1.8356481481481481E-2</v>
      </c>
      <c r="C204" s="1" t="s">
        <v>5149</v>
      </c>
      <c r="F204" s="41"/>
    </row>
    <row r="205" spans="1:9" x14ac:dyDescent="0.2">
      <c r="A205" t="s">
        <v>1210</v>
      </c>
      <c r="B205" s="1">
        <v>1.8819444444444448E-2</v>
      </c>
      <c r="C205" s="1" t="s">
        <v>5149</v>
      </c>
      <c r="D205" t="s">
        <v>1804</v>
      </c>
      <c r="F205" s="41"/>
    </row>
    <row r="206" spans="1:9" x14ac:dyDescent="0.2">
      <c r="A206" t="s">
        <v>1209</v>
      </c>
      <c r="B206" s="1">
        <v>1.9722222222222221E-2</v>
      </c>
      <c r="C206" s="1" t="s">
        <v>3347</v>
      </c>
      <c r="F206" s="41"/>
    </row>
    <row r="207" spans="1:9" x14ac:dyDescent="0.2">
      <c r="A207" t="s">
        <v>1000</v>
      </c>
      <c r="B207" s="1">
        <v>1.9733796296296298E-2</v>
      </c>
      <c r="C207" s="1" t="s">
        <v>4281</v>
      </c>
      <c r="D207" t="s">
        <v>1807</v>
      </c>
      <c r="F207" s="41"/>
    </row>
    <row r="208" spans="1:9" x14ac:dyDescent="0.2">
      <c r="A208" t="s">
        <v>4778</v>
      </c>
      <c r="B208" s="1">
        <v>1.9976851851851853E-2</v>
      </c>
      <c r="C208" s="1" t="s">
        <v>5149</v>
      </c>
      <c r="F208" s="41"/>
    </row>
    <row r="209" spans="1:6" x14ac:dyDescent="0.2">
      <c r="A209" t="s">
        <v>5957</v>
      </c>
      <c r="B209" s="1">
        <v>2.1307870370370369E-2</v>
      </c>
      <c r="C209" s="1" t="s">
        <v>3347</v>
      </c>
      <c r="F209" s="41"/>
    </row>
    <row r="210" spans="1:6" x14ac:dyDescent="0.2">
      <c r="B210" s="1"/>
      <c r="C210" s="1"/>
      <c r="F210" s="41"/>
    </row>
    <row r="211" spans="1:6" x14ac:dyDescent="0.2">
      <c r="A211" s="34">
        <v>41321</v>
      </c>
      <c r="C211" s="1"/>
      <c r="F211" s="41"/>
    </row>
    <row r="212" spans="1:6" x14ac:dyDescent="0.2">
      <c r="A212" s="34" t="s">
        <v>1457</v>
      </c>
      <c r="B212" s="1">
        <v>1.4270833333333335E-2</v>
      </c>
      <c r="C212" s="1" t="s">
        <v>1120</v>
      </c>
      <c r="F212" s="41"/>
    </row>
    <row r="213" spans="1:6" x14ac:dyDescent="0.2">
      <c r="A213" t="s">
        <v>5882</v>
      </c>
      <c r="B213" s="1">
        <v>1.5509259259259257E-2</v>
      </c>
      <c r="C213" s="1" t="s">
        <v>1120</v>
      </c>
      <c r="F213" s="41"/>
    </row>
    <row r="214" spans="1:6" x14ac:dyDescent="0.2">
      <c r="A214" t="s">
        <v>1209</v>
      </c>
      <c r="B214" s="1">
        <v>1.7106481481481483E-2</v>
      </c>
      <c r="C214" s="1" t="s">
        <v>3347</v>
      </c>
      <c r="F214" s="41"/>
    </row>
    <row r="215" spans="1:6" x14ac:dyDescent="0.2">
      <c r="A215" t="s">
        <v>1270</v>
      </c>
      <c r="B215" s="1">
        <v>1.7175925925925924E-2</v>
      </c>
      <c r="C215" s="1" t="s">
        <v>3167</v>
      </c>
      <c r="D215" t="s">
        <v>5751</v>
      </c>
      <c r="F215" s="41"/>
    </row>
    <row r="216" spans="1:6" x14ac:dyDescent="0.2">
      <c r="A216" t="s">
        <v>1210</v>
      </c>
      <c r="B216" s="1">
        <v>1.8240740740740741E-2</v>
      </c>
      <c r="C216" s="1" t="s">
        <v>5149</v>
      </c>
      <c r="D216" t="s">
        <v>2445</v>
      </c>
      <c r="F216" s="41"/>
    </row>
    <row r="217" spans="1:6" x14ac:dyDescent="0.2">
      <c r="A217" t="s">
        <v>889</v>
      </c>
      <c r="B217" s="1">
        <v>1.8854166666666665E-2</v>
      </c>
      <c r="C217" s="1" t="s">
        <v>5149</v>
      </c>
      <c r="F217" s="41"/>
    </row>
    <row r="218" spans="1:6" x14ac:dyDescent="0.2">
      <c r="A218" t="s">
        <v>1000</v>
      </c>
      <c r="B218" s="1">
        <v>2.0648148148148148E-2</v>
      </c>
      <c r="C218" s="1" t="s">
        <v>4282</v>
      </c>
      <c r="D218" t="s">
        <v>2443</v>
      </c>
      <c r="F218" s="41"/>
    </row>
    <row r="219" spans="1:6" x14ac:dyDescent="0.2">
      <c r="C219" s="1"/>
      <c r="F219" s="41"/>
    </row>
    <row r="220" spans="1:6" x14ac:dyDescent="0.2">
      <c r="A220" s="34">
        <v>41314</v>
      </c>
      <c r="C220" s="1"/>
      <c r="F220" s="41"/>
    </row>
    <row r="221" spans="1:6" x14ac:dyDescent="0.2">
      <c r="A221" t="s">
        <v>5951</v>
      </c>
      <c r="B221" s="1">
        <v>1.6400462962962964E-2</v>
      </c>
      <c r="C221" s="1" t="s">
        <v>5149</v>
      </c>
      <c r="F221" s="41"/>
    </row>
    <row r="222" spans="1:6" x14ac:dyDescent="0.2">
      <c r="A222" t="s">
        <v>1210</v>
      </c>
      <c r="B222" s="1">
        <v>1.8414351851851852E-2</v>
      </c>
      <c r="C222" s="1" t="s">
        <v>5149</v>
      </c>
      <c r="F222" s="41"/>
    </row>
    <row r="223" spans="1:6" x14ac:dyDescent="0.2">
      <c r="A223" t="s">
        <v>889</v>
      </c>
      <c r="B223" s="1">
        <v>1.8796296296296297E-2</v>
      </c>
      <c r="C223" s="1" t="s">
        <v>5149</v>
      </c>
      <c r="F223" s="41"/>
    </row>
    <row r="224" spans="1:6" x14ac:dyDescent="0.2">
      <c r="A224" t="s">
        <v>1209</v>
      </c>
      <c r="B224" s="1">
        <v>1.9571759259259257E-2</v>
      </c>
      <c r="C224" s="1" t="s">
        <v>3347</v>
      </c>
      <c r="F224" s="41"/>
    </row>
    <row r="225" spans="1:6" x14ac:dyDescent="0.2">
      <c r="A225" t="s">
        <v>1000</v>
      </c>
      <c r="B225" s="1">
        <v>2.327546296296296E-2</v>
      </c>
      <c r="C225" s="1" t="s">
        <v>3299</v>
      </c>
      <c r="D225" t="s">
        <v>458</v>
      </c>
      <c r="F225" s="41"/>
    </row>
    <row r="226" spans="1:6" x14ac:dyDescent="0.2">
      <c r="A226" t="s">
        <v>4637</v>
      </c>
      <c r="B226" s="1">
        <v>2.5659722222222223E-2</v>
      </c>
      <c r="C226" s="1" t="s">
        <v>5149</v>
      </c>
      <c r="D226" t="s">
        <v>3300</v>
      </c>
      <c r="F226" s="41"/>
    </row>
    <row r="227" spans="1:6" x14ac:dyDescent="0.2">
      <c r="A227" t="s">
        <v>4778</v>
      </c>
      <c r="B227" s="1" t="s">
        <v>787</v>
      </c>
      <c r="C227" s="1" t="s">
        <v>5149</v>
      </c>
      <c r="D227" t="s">
        <v>3301</v>
      </c>
      <c r="F227" s="41"/>
    </row>
    <row r="228" spans="1:6" x14ac:dyDescent="0.2">
      <c r="B228" s="1"/>
      <c r="C228" s="1"/>
      <c r="F228" s="41"/>
    </row>
    <row r="229" spans="1:6" x14ac:dyDescent="0.2">
      <c r="A229" s="33">
        <v>41307</v>
      </c>
      <c r="C229" s="63" t="s">
        <v>2324</v>
      </c>
      <c r="D229" s="46"/>
      <c r="F229" s="41"/>
    </row>
    <row r="230" spans="1:6" x14ac:dyDescent="0.2">
      <c r="A230" t="s">
        <v>1270</v>
      </c>
      <c r="B230" s="1">
        <v>1.3796296296296298E-2</v>
      </c>
      <c r="C230" s="1" t="s">
        <v>1214</v>
      </c>
      <c r="F230" s="41"/>
    </row>
    <row r="231" spans="1:6" x14ac:dyDescent="0.2">
      <c r="A231" t="s">
        <v>4637</v>
      </c>
      <c r="B231" s="1">
        <v>1.4999999999999999E-2</v>
      </c>
      <c r="C231" s="1" t="s">
        <v>3779</v>
      </c>
      <c r="F231" s="41"/>
    </row>
    <row r="232" spans="1:6" x14ac:dyDescent="0.2">
      <c r="A232" t="s">
        <v>5882</v>
      </c>
      <c r="B232" s="1">
        <v>1.5706018518518518E-2</v>
      </c>
      <c r="C232" s="1" t="s">
        <v>1120</v>
      </c>
      <c r="F232" s="41"/>
    </row>
    <row r="233" spans="1:6" x14ac:dyDescent="0.2">
      <c r="A233" t="s">
        <v>3345</v>
      </c>
      <c r="B233" s="1">
        <v>1.5891203703703703E-2</v>
      </c>
      <c r="C233" s="1" t="s">
        <v>3346</v>
      </c>
      <c r="F233" s="41"/>
    </row>
    <row r="234" spans="1:6" x14ac:dyDescent="0.2">
      <c r="A234" t="s">
        <v>3216</v>
      </c>
      <c r="B234" s="1">
        <v>1.6412037037037037E-2</v>
      </c>
      <c r="C234" s="1" t="s">
        <v>1214</v>
      </c>
      <c r="D234" t="s">
        <v>4190</v>
      </c>
      <c r="F234" s="41"/>
    </row>
    <row r="235" spans="1:6" x14ac:dyDescent="0.2">
      <c r="A235" t="s">
        <v>4467</v>
      </c>
      <c r="B235" s="1">
        <v>1.6747685185185185E-2</v>
      </c>
      <c r="C235" s="1" t="s">
        <v>1120</v>
      </c>
      <c r="F235" s="41"/>
    </row>
    <row r="236" spans="1:6" x14ac:dyDescent="0.2">
      <c r="A236" t="s">
        <v>3168</v>
      </c>
      <c r="B236" s="1">
        <v>1.7534722222222222E-2</v>
      </c>
      <c r="C236" s="1" t="s">
        <v>1214</v>
      </c>
      <c r="D236" t="s">
        <v>3780</v>
      </c>
      <c r="F236" s="41"/>
    </row>
    <row r="237" spans="1:6" x14ac:dyDescent="0.2">
      <c r="A237" t="s">
        <v>4435</v>
      </c>
      <c r="B237" s="1">
        <v>1.7986111111111109E-2</v>
      </c>
      <c r="C237" s="1" t="s">
        <v>1214</v>
      </c>
      <c r="D237" t="s">
        <v>4459</v>
      </c>
      <c r="F237" s="41"/>
    </row>
    <row r="238" spans="1:6" x14ac:dyDescent="0.2">
      <c r="A238" t="s">
        <v>1209</v>
      </c>
      <c r="B238" s="1">
        <v>1.8136574074074072E-2</v>
      </c>
      <c r="C238" s="1" t="s">
        <v>3347</v>
      </c>
      <c r="F238" s="41"/>
    </row>
    <row r="239" spans="1:6" x14ac:dyDescent="0.2">
      <c r="A239" t="s">
        <v>997</v>
      </c>
      <c r="B239" s="1">
        <v>1.8645833333333334E-2</v>
      </c>
      <c r="C239" s="1" t="s">
        <v>5947</v>
      </c>
      <c r="F239" s="41"/>
    </row>
    <row r="240" spans="1:6" x14ac:dyDescent="0.2">
      <c r="A240" t="s">
        <v>1210</v>
      </c>
      <c r="B240" s="1">
        <v>1.982638888888889E-2</v>
      </c>
      <c r="C240" s="1" t="s">
        <v>1214</v>
      </c>
      <c r="F240" s="41"/>
    </row>
    <row r="241" spans="1:8" x14ac:dyDescent="0.2">
      <c r="A241" t="s">
        <v>1000</v>
      </c>
      <c r="B241" s="1">
        <v>2.0277777777777777E-2</v>
      </c>
      <c r="C241" s="1" t="s">
        <v>1214</v>
      </c>
      <c r="D241" t="s">
        <v>3778</v>
      </c>
      <c r="F241" s="41"/>
    </row>
    <row r="242" spans="1:8" x14ac:dyDescent="0.2">
      <c r="A242" t="s">
        <v>4778</v>
      </c>
      <c r="B242" s="1">
        <v>2.1446759259259259E-2</v>
      </c>
      <c r="C242" s="1" t="s">
        <v>1214</v>
      </c>
      <c r="F242" s="41"/>
    </row>
    <row r="243" spans="1:8" x14ac:dyDescent="0.2">
      <c r="A243" t="s">
        <v>4584</v>
      </c>
      <c r="B243" s="1">
        <v>2.1851851851851848E-2</v>
      </c>
      <c r="C243" s="1" t="s">
        <v>3346</v>
      </c>
      <c r="F243" s="41"/>
    </row>
    <row r="244" spans="1:8" x14ac:dyDescent="0.2">
      <c r="A244" t="s">
        <v>5957</v>
      </c>
      <c r="B244" s="1">
        <v>2.2465277777777778E-2</v>
      </c>
      <c r="C244" s="1" t="s">
        <v>3347</v>
      </c>
      <c r="F244" s="41"/>
    </row>
    <row r="245" spans="1:8" x14ac:dyDescent="0.2">
      <c r="A245" t="s">
        <v>889</v>
      </c>
      <c r="B245" s="1">
        <v>2.585648148148148E-2</v>
      </c>
      <c r="C245" s="1" t="s">
        <v>3779</v>
      </c>
      <c r="D245" t="s">
        <v>1494</v>
      </c>
      <c r="F245" s="41"/>
    </row>
    <row r="246" spans="1:8" x14ac:dyDescent="0.2">
      <c r="A246" s="7" t="s">
        <v>4458</v>
      </c>
      <c r="B246" s="37">
        <f>COUNT(B230:B245)</f>
        <v>16</v>
      </c>
      <c r="C246" s="1"/>
      <c r="F246" s="41"/>
    </row>
    <row r="250" spans="1:8" x14ac:dyDescent="0.2">
      <c r="A250" t="s">
        <v>7664</v>
      </c>
    </row>
    <row r="251" spans="1:8" ht="30" x14ac:dyDescent="0.25">
      <c r="A251" s="623" t="s">
        <v>1308</v>
      </c>
      <c r="B251" s="623" t="s">
        <v>7665</v>
      </c>
      <c r="C251" s="621">
        <v>18630</v>
      </c>
      <c r="D251" s="622" t="s">
        <v>7666</v>
      </c>
      <c r="E251" s="620" t="s">
        <v>7667</v>
      </c>
      <c r="F251" s="620"/>
      <c r="H251" s="80" t="s">
        <v>7679</v>
      </c>
    </row>
    <row r="252" spans="1:8" ht="26.25" x14ac:dyDescent="0.25">
      <c r="A252" s="623" t="s">
        <v>3837</v>
      </c>
      <c r="B252" s="623" t="s">
        <v>3838</v>
      </c>
      <c r="C252" s="621">
        <v>22290</v>
      </c>
      <c r="D252" s="622" t="s">
        <v>7666</v>
      </c>
      <c r="E252" s="620" t="s">
        <v>7668</v>
      </c>
      <c r="F252" s="620"/>
    </row>
    <row r="253" spans="1:8" ht="30" x14ac:dyDescent="0.25">
      <c r="A253" s="623" t="s">
        <v>922</v>
      </c>
      <c r="B253" s="623" t="s">
        <v>860</v>
      </c>
      <c r="C253" s="621">
        <v>23572</v>
      </c>
      <c r="D253" s="622" t="s">
        <v>7666</v>
      </c>
      <c r="E253" s="620" t="s">
        <v>7668</v>
      </c>
      <c r="F253" s="620" t="s">
        <v>7669</v>
      </c>
    </row>
    <row r="254" spans="1:8" ht="26.25" x14ac:dyDescent="0.25">
      <c r="A254" s="623" t="s">
        <v>922</v>
      </c>
      <c r="B254" s="623" t="s">
        <v>7670</v>
      </c>
      <c r="C254" s="621">
        <v>12296</v>
      </c>
      <c r="D254" s="622" t="s">
        <v>7666</v>
      </c>
      <c r="E254" s="620" t="s">
        <v>7668</v>
      </c>
      <c r="F254" s="620"/>
      <c r="H254" s="80" t="s">
        <v>7679</v>
      </c>
    </row>
    <row r="255" spans="1:8" ht="30" x14ac:dyDescent="0.25">
      <c r="A255" s="623" t="s">
        <v>3011</v>
      </c>
      <c r="B255" s="623" t="s">
        <v>3012</v>
      </c>
      <c r="C255" s="621">
        <v>24583</v>
      </c>
      <c r="D255" s="622" t="s">
        <v>7666</v>
      </c>
      <c r="E255" s="622" t="s">
        <v>7667</v>
      </c>
      <c r="F255" s="620" t="s">
        <v>7671</v>
      </c>
    </row>
    <row r="256" spans="1:8" ht="26.25" x14ac:dyDescent="0.25">
      <c r="A256" s="623" t="s">
        <v>5369</v>
      </c>
      <c r="B256" s="623" t="s">
        <v>2117</v>
      </c>
      <c r="C256" s="621">
        <v>15923</v>
      </c>
      <c r="D256" s="622" t="s">
        <v>7666</v>
      </c>
      <c r="E256" s="622" t="s">
        <v>7667</v>
      </c>
      <c r="F256" s="622"/>
    </row>
    <row r="257" spans="1:37" ht="26.25" x14ac:dyDescent="0.25">
      <c r="A257" s="623" t="s">
        <v>4640</v>
      </c>
      <c r="B257" s="623" t="s">
        <v>4641</v>
      </c>
      <c r="C257" s="621">
        <v>19514</v>
      </c>
      <c r="D257" s="622" t="s">
        <v>7666</v>
      </c>
      <c r="E257" s="620" t="s">
        <v>7668</v>
      </c>
      <c r="F257" s="620"/>
    </row>
    <row r="258" spans="1:37" ht="30" x14ac:dyDescent="0.25">
      <c r="A258" s="623" t="s">
        <v>3898</v>
      </c>
      <c r="B258" s="623" t="s">
        <v>1543</v>
      </c>
      <c r="C258" s="621">
        <v>26546</v>
      </c>
      <c r="D258" s="622" t="s">
        <v>7666</v>
      </c>
      <c r="E258" s="622" t="s">
        <v>7667</v>
      </c>
      <c r="F258" s="620" t="s">
        <v>7669</v>
      </c>
    </row>
    <row r="259" spans="1:37" ht="30" x14ac:dyDescent="0.25">
      <c r="A259" s="623" t="s">
        <v>1798</v>
      </c>
      <c r="B259" s="623" t="s">
        <v>3006</v>
      </c>
      <c r="C259" s="621">
        <v>27368</v>
      </c>
      <c r="D259" s="622" t="s">
        <v>7666</v>
      </c>
      <c r="E259" s="622" t="s">
        <v>7667</v>
      </c>
      <c r="F259" s="620" t="s">
        <v>7669</v>
      </c>
    </row>
    <row r="260" spans="1:37" ht="26.25" x14ac:dyDescent="0.25">
      <c r="A260" s="623" t="s">
        <v>5540</v>
      </c>
      <c r="B260" s="623" t="s">
        <v>7672</v>
      </c>
      <c r="C260" s="621">
        <v>20770</v>
      </c>
      <c r="D260" s="622" t="s">
        <v>7666</v>
      </c>
      <c r="E260" s="620" t="s">
        <v>7668</v>
      </c>
      <c r="F260" s="620"/>
      <c r="H260" s="80" t="s">
        <v>7679</v>
      </c>
    </row>
    <row r="261" spans="1:37" ht="26.25" x14ac:dyDescent="0.25">
      <c r="A261" s="623" t="s">
        <v>3843</v>
      </c>
      <c r="B261" s="623" t="s">
        <v>5626</v>
      </c>
      <c r="C261" s="621">
        <v>25666</v>
      </c>
      <c r="D261" s="622" t="s">
        <v>7666</v>
      </c>
      <c r="E261" s="622" t="s">
        <v>7667</v>
      </c>
      <c r="F261" s="622"/>
    </row>
    <row r="262" spans="1:37" ht="30" x14ac:dyDescent="0.25">
      <c r="A262" s="623" t="s">
        <v>7673</v>
      </c>
      <c r="B262" s="623" t="s">
        <v>2702</v>
      </c>
      <c r="C262" s="621">
        <v>25583</v>
      </c>
      <c r="D262" s="622" t="s">
        <v>7666</v>
      </c>
      <c r="E262" s="620" t="s">
        <v>7668</v>
      </c>
      <c r="F262" s="620" t="s">
        <v>7669</v>
      </c>
    </row>
    <row r="263" spans="1:37" ht="30" x14ac:dyDescent="0.25">
      <c r="A263" s="623" t="s">
        <v>4578</v>
      </c>
      <c r="B263" s="623" t="s">
        <v>4579</v>
      </c>
      <c r="C263" s="621">
        <v>28515</v>
      </c>
      <c r="D263" s="622" t="s">
        <v>7666</v>
      </c>
      <c r="E263" s="620" t="s">
        <v>7668</v>
      </c>
      <c r="F263" s="620" t="s">
        <v>7669</v>
      </c>
    </row>
    <row r="264" spans="1:37" ht="26.25" x14ac:dyDescent="0.25">
      <c r="A264" s="623" t="s">
        <v>4977</v>
      </c>
      <c r="B264" s="623" t="s">
        <v>3961</v>
      </c>
      <c r="C264" s="621">
        <v>33038</v>
      </c>
      <c r="D264" s="622" t="s">
        <v>7666</v>
      </c>
      <c r="E264" s="622" t="s">
        <v>7667</v>
      </c>
      <c r="F264" s="622" t="s">
        <v>7671</v>
      </c>
    </row>
    <row r="265" spans="1:37" ht="26.25" x14ac:dyDescent="0.25">
      <c r="A265" s="623" t="s">
        <v>7674</v>
      </c>
      <c r="B265" s="623" t="s">
        <v>7675</v>
      </c>
      <c r="C265" s="621">
        <v>20789</v>
      </c>
      <c r="D265" s="622" t="s">
        <v>7666</v>
      </c>
      <c r="E265" s="622" t="s">
        <v>7668</v>
      </c>
      <c r="F265" s="620"/>
      <c r="H265" s="80" t="s">
        <v>7679</v>
      </c>
    </row>
    <row r="266" spans="1:37" ht="26.25" x14ac:dyDescent="0.25">
      <c r="A266" s="623" t="s">
        <v>7676</v>
      </c>
      <c r="B266" s="623" t="s">
        <v>7677</v>
      </c>
      <c r="C266" s="621">
        <v>18097</v>
      </c>
      <c r="D266" s="622" t="s">
        <v>7666</v>
      </c>
      <c r="E266" s="620" t="s">
        <v>7668</v>
      </c>
      <c r="F266" s="620"/>
      <c r="H266" s="80" t="s">
        <v>7679</v>
      </c>
    </row>
    <row r="267" spans="1:37" ht="30" x14ac:dyDescent="0.25">
      <c r="A267" s="623" t="s">
        <v>7676</v>
      </c>
      <c r="B267" s="623" t="s">
        <v>7678</v>
      </c>
      <c r="C267" s="621">
        <v>20564</v>
      </c>
      <c r="D267" s="622" t="s">
        <v>7666</v>
      </c>
      <c r="E267" s="620" t="s">
        <v>7667</v>
      </c>
      <c r="F267" s="620" t="s">
        <v>7671</v>
      </c>
      <c r="H267" s="80" t="s">
        <v>7679</v>
      </c>
    </row>
    <row r="268" spans="1:37" ht="26.25" x14ac:dyDescent="0.25">
      <c r="A268" s="623" t="s">
        <v>726</v>
      </c>
      <c r="B268" s="623" t="s">
        <v>5628</v>
      </c>
      <c r="C268" s="621">
        <v>27569</v>
      </c>
      <c r="D268" s="622" t="s">
        <v>7666</v>
      </c>
      <c r="E268" s="622" t="s">
        <v>7667</v>
      </c>
      <c r="F268" s="622"/>
    </row>
    <row r="271" spans="1:37" ht="12.75" customHeight="1" x14ac:dyDescent="0.25">
      <c r="C271" s="777"/>
      <c r="D271" s="521"/>
      <c r="E271" s="521"/>
      <c r="F271" s="778"/>
      <c r="G271" s="779"/>
      <c r="H271" s="779"/>
      <c r="I271" s="521"/>
      <c r="J271" s="780"/>
      <c r="K271" s="521"/>
      <c r="L271" s="521"/>
      <c r="M271" s="521"/>
      <c r="N271" s="779"/>
      <c r="O271" s="779"/>
      <c r="P271" s="779"/>
      <c r="Q271" s="779"/>
      <c r="R271" s="779"/>
      <c r="S271" s="776"/>
      <c r="T271" s="779"/>
      <c r="U271" s="779"/>
      <c r="V271" s="779"/>
      <c r="W271" s="781"/>
      <c r="X271" s="781"/>
      <c r="Y271" s="776"/>
      <c r="Z271" s="776"/>
      <c r="AA271" s="776"/>
      <c r="AB271" s="781"/>
      <c r="AC271" s="779"/>
      <c r="AD271" s="781"/>
      <c r="AE271" s="521"/>
      <c r="AF271" s="521"/>
      <c r="AG271" s="521"/>
      <c r="AH271" s="521"/>
      <c r="AI271" s="521"/>
      <c r="AJ271" s="521"/>
      <c r="AK271" s="521"/>
    </row>
    <row r="272" spans="1:37" ht="12.75" customHeight="1" x14ac:dyDescent="0.25">
      <c r="A272" s="80" t="s">
        <v>8054</v>
      </c>
      <c r="C272" s="9"/>
      <c r="F272" s="244"/>
      <c r="G272" s="185"/>
      <c r="H272" s="185"/>
      <c r="I272" s="80" t="s">
        <v>8084</v>
      </c>
      <c r="J272" s="10"/>
      <c r="N272" s="185"/>
      <c r="O272" s="185"/>
      <c r="P272" s="185"/>
      <c r="Q272" s="185"/>
      <c r="R272" s="185"/>
      <c r="S272" s="364"/>
      <c r="T272" s="185"/>
      <c r="U272" s="185"/>
      <c r="V272" s="185"/>
      <c r="W272" s="410"/>
      <c r="X272" s="410"/>
      <c r="Y272" s="364"/>
      <c r="Z272" s="364"/>
      <c r="AA272" s="364"/>
      <c r="AB272" s="410"/>
      <c r="AC272" s="185"/>
      <c r="AD272" s="410"/>
      <c r="AK272" s="521"/>
    </row>
    <row r="273" spans="1:37" ht="12.75" customHeight="1" x14ac:dyDescent="0.25">
      <c r="C273" s="9"/>
      <c r="F273" s="244"/>
      <c r="G273" s="185"/>
      <c r="H273" s="185" t="s">
        <v>7942</v>
      </c>
      <c r="I273" s="80" t="s">
        <v>7942</v>
      </c>
      <c r="J273" s="10"/>
      <c r="M273" s="80" t="s">
        <v>7942</v>
      </c>
      <c r="N273" s="185"/>
      <c r="O273" s="185" t="s">
        <v>7942</v>
      </c>
      <c r="P273" s="185" t="s">
        <v>7942</v>
      </c>
      <c r="Q273" s="185" t="s">
        <v>7942</v>
      </c>
      <c r="R273" s="185" t="s">
        <v>7942</v>
      </c>
      <c r="S273" s="364"/>
      <c r="T273" s="364" t="s">
        <v>7942</v>
      </c>
      <c r="U273" s="185" t="s">
        <v>7942</v>
      </c>
      <c r="V273" s="185" t="s">
        <v>7942</v>
      </c>
      <c r="W273" s="185"/>
      <c r="X273" s="410" t="s">
        <v>7942</v>
      </c>
      <c r="Y273" s="410"/>
      <c r="Z273" s="364"/>
      <c r="AA273" s="364"/>
      <c r="AB273" s="364"/>
      <c r="AC273" s="364" t="s">
        <v>7942</v>
      </c>
      <c r="AD273" s="364" t="s">
        <v>7942</v>
      </c>
      <c r="AE273" s="410"/>
      <c r="AG273" s="80" t="s">
        <v>7942</v>
      </c>
      <c r="AH273" s="80"/>
      <c r="AI273" s="80" t="s">
        <v>7942</v>
      </c>
      <c r="AK273" s="521"/>
    </row>
    <row r="274" spans="1:37" ht="12.75" customHeight="1" x14ac:dyDescent="0.2">
      <c r="C274" s="9"/>
      <c r="F274" s="244"/>
      <c r="G274" s="5" t="s">
        <v>4355</v>
      </c>
      <c r="AF274" s="2" t="s">
        <v>274</v>
      </c>
      <c r="AK274" s="782"/>
    </row>
    <row r="275" spans="1:37" ht="12" customHeight="1" x14ac:dyDescent="0.2">
      <c r="C275" s="9"/>
      <c r="F275" s="244"/>
      <c r="G275" s="553" t="s">
        <v>1675</v>
      </c>
      <c r="H275" s="554" t="s">
        <v>5473</v>
      </c>
      <c r="I275" s="537" t="s">
        <v>4285</v>
      </c>
      <c r="J275" s="540" t="s">
        <v>4812</v>
      </c>
      <c r="K275" s="537" t="s">
        <v>2502</v>
      </c>
      <c r="L275" s="540" t="s">
        <v>2863</v>
      </c>
      <c r="M275" s="537" t="s">
        <v>5902</v>
      </c>
      <c r="N275" s="540" t="s">
        <v>1754</v>
      </c>
      <c r="O275" s="540" t="s">
        <v>7699</v>
      </c>
      <c r="P275" s="537" t="s">
        <v>77</v>
      </c>
      <c r="Q275" s="540" t="s">
        <v>6194</v>
      </c>
      <c r="R275" s="537" t="s">
        <v>2327</v>
      </c>
      <c r="S275" s="540" t="s">
        <v>4549</v>
      </c>
      <c r="T275" s="540" t="s">
        <v>7939</v>
      </c>
      <c r="U275" s="537" t="s">
        <v>6204</v>
      </c>
      <c r="V275" s="540" t="s">
        <v>3621</v>
      </c>
      <c r="W275" s="537" t="s">
        <v>5773</v>
      </c>
      <c r="X275" s="537" t="s">
        <v>7576</v>
      </c>
      <c r="Y275" s="540" t="s">
        <v>3111</v>
      </c>
      <c r="Z275" s="537" t="s">
        <v>5893</v>
      </c>
      <c r="AA275" s="540" t="s">
        <v>1921</v>
      </c>
      <c r="AB275" s="537" t="s">
        <v>3569</v>
      </c>
      <c r="AC275" s="540" t="s">
        <v>1727</v>
      </c>
      <c r="AD275" s="537" t="s">
        <v>3200</v>
      </c>
      <c r="AE275" s="356"/>
      <c r="AF275" s="184" t="s">
        <v>5853</v>
      </c>
      <c r="AG275" s="204" t="s">
        <v>4780</v>
      </c>
      <c r="AH275" s="184" t="s">
        <v>1905</v>
      </c>
      <c r="AI275" s="204" t="s">
        <v>5521</v>
      </c>
      <c r="AK275" s="521"/>
    </row>
    <row r="276" spans="1:37" ht="12.75" customHeight="1" x14ac:dyDescent="0.2">
      <c r="A276" t="s">
        <v>3251</v>
      </c>
      <c r="B276" t="s">
        <v>3252</v>
      </c>
      <c r="C276" s="582">
        <f t="shared" ref="C276:C294" si="2">SUM(G276:AI276)</f>
        <v>1</v>
      </c>
      <c r="F276" s="182">
        <f t="shared" ref="F276:F294" si="3">COUNT(G276:AD276)</f>
        <v>1</v>
      </c>
      <c r="G276" s="462"/>
      <c r="H276" s="337">
        <v>1</v>
      </c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56"/>
      <c r="AF276" s="485"/>
      <c r="AG276" s="485"/>
      <c r="AH276" s="485"/>
      <c r="AI276" s="485"/>
      <c r="AK276" s="521"/>
    </row>
    <row r="277" spans="1:37" ht="12.75" customHeight="1" x14ac:dyDescent="0.2">
      <c r="A277" s="206" t="s">
        <v>2754</v>
      </c>
      <c r="B277" s="206" t="s">
        <v>1295</v>
      </c>
      <c r="C277" s="582">
        <f>SUM(G277:AI277)</f>
        <v>3</v>
      </c>
      <c r="E277" s="775">
        <f>COUNT(AF277:AI277)</f>
        <v>2</v>
      </c>
      <c r="F277" s="182">
        <f t="shared" si="3"/>
        <v>1</v>
      </c>
      <c r="G277" s="462"/>
      <c r="H277" s="355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>
        <v>1</v>
      </c>
      <c r="W277" s="23"/>
      <c r="X277" s="23"/>
      <c r="Y277" s="23"/>
      <c r="Z277" s="23"/>
      <c r="AA277" s="23"/>
      <c r="AB277" s="23"/>
      <c r="AC277" s="23"/>
      <c r="AD277" s="23"/>
      <c r="AE277" s="356"/>
      <c r="AF277" s="23">
        <v>1</v>
      </c>
      <c r="AG277" s="357"/>
      <c r="AH277" s="23">
        <v>1</v>
      </c>
      <c r="AI277" s="23"/>
      <c r="AK277" s="521"/>
    </row>
    <row r="278" spans="1:37" ht="12.75" customHeight="1" x14ac:dyDescent="0.2">
      <c r="A278" s="206" t="s">
        <v>3508</v>
      </c>
      <c r="B278" s="206" t="s">
        <v>1295</v>
      </c>
      <c r="C278" s="582">
        <f t="shared" si="2"/>
        <v>3</v>
      </c>
      <c r="E278" s="775">
        <f>COUNT(AF278:AI278)</f>
        <v>2</v>
      </c>
      <c r="F278" s="182">
        <f t="shared" si="3"/>
        <v>1</v>
      </c>
      <c r="G278" s="462"/>
      <c r="H278" s="355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>
        <v>1</v>
      </c>
      <c r="W278" s="23"/>
      <c r="X278" s="23"/>
      <c r="Y278" s="23"/>
      <c r="Z278" s="23"/>
      <c r="AA278" s="23"/>
      <c r="AB278" s="23"/>
      <c r="AC278" s="23"/>
      <c r="AD278" s="23"/>
      <c r="AE278" s="356"/>
      <c r="AF278" s="23">
        <v>1</v>
      </c>
      <c r="AG278" s="357"/>
      <c r="AH278" s="23">
        <v>1</v>
      </c>
      <c r="AI278" s="23"/>
      <c r="AK278" s="521"/>
    </row>
    <row r="279" spans="1:37" ht="12.75" customHeight="1" x14ac:dyDescent="0.2">
      <c r="A279" s="206" t="s">
        <v>3398</v>
      </c>
      <c r="B279" s="206" t="s">
        <v>3399</v>
      </c>
      <c r="C279" s="582">
        <f t="shared" si="2"/>
        <v>5</v>
      </c>
      <c r="E279" s="461"/>
      <c r="F279" s="182">
        <f t="shared" si="3"/>
        <v>1</v>
      </c>
      <c r="G279" s="462">
        <v>5</v>
      </c>
      <c r="H279" s="355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356"/>
      <c r="AF279" s="357"/>
      <c r="AG279" s="357"/>
      <c r="AH279" s="357"/>
      <c r="AI279" s="357"/>
      <c r="AK279" s="521"/>
    </row>
    <row r="280" spans="1:37" ht="12.75" customHeight="1" x14ac:dyDescent="0.2">
      <c r="A280" s="626" t="s">
        <v>3755</v>
      </c>
      <c r="B280" s="626" t="s">
        <v>3799</v>
      </c>
      <c r="C280" s="582">
        <f t="shared" si="2"/>
        <v>89</v>
      </c>
      <c r="E280" s="775">
        <f>COUNT(AF280:AI280)</f>
        <v>1</v>
      </c>
      <c r="F280" s="182">
        <f t="shared" si="3"/>
        <v>13</v>
      </c>
      <c r="G280" s="462">
        <v>1</v>
      </c>
      <c r="H280" s="355"/>
      <c r="I280" s="23"/>
      <c r="J280" s="23">
        <v>2</v>
      </c>
      <c r="K280" s="23"/>
      <c r="L280" s="23">
        <v>4</v>
      </c>
      <c r="M280" s="23">
        <v>32</v>
      </c>
      <c r="N280" s="23">
        <v>1</v>
      </c>
      <c r="O280" s="23"/>
      <c r="P280" s="23"/>
      <c r="Q280" s="23"/>
      <c r="R280" s="23"/>
      <c r="S280" s="23">
        <v>1</v>
      </c>
      <c r="T280" s="23"/>
      <c r="U280" s="23"/>
      <c r="V280" s="23">
        <v>3</v>
      </c>
      <c r="W280" s="23">
        <v>1</v>
      </c>
      <c r="X280" s="23">
        <v>1</v>
      </c>
      <c r="Y280" s="23">
        <v>2</v>
      </c>
      <c r="Z280" s="23">
        <v>38</v>
      </c>
      <c r="AA280" s="23">
        <v>1</v>
      </c>
      <c r="AB280" s="23"/>
      <c r="AC280" s="23"/>
      <c r="AD280" s="23">
        <v>1</v>
      </c>
      <c r="AE280" s="356"/>
      <c r="AF280" s="357"/>
      <c r="AG280" s="23">
        <v>1</v>
      </c>
      <c r="AH280" s="357"/>
      <c r="AI280" s="357"/>
      <c r="AK280" s="521"/>
    </row>
    <row r="281" spans="1:37" ht="12.75" customHeight="1" x14ac:dyDescent="0.2">
      <c r="A281" s="626" t="s">
        <v>1794</v>
      </c>
      <c r="B281" s="626" t="s">
        <v>3799</v>
      </c>
      <c r="C281" s="582">
        <f t="shared" si="2"/>
        <v>94</v>
      </c>
      <c r="E281" s="775">
        <f>COUNT(AF281:AI281)</f>
        <v>1</v>
      </c>
      <c r="F281" s="182">
        <f t="shared" si="3"/>
        <v>13</v>
      </c>
      <c r="G281" s="462">
        <v>1</v>
      </c>
      <c r="H281" s="355"/>
      <c r="I281" s="23"/>
      <c r="J281" s="23">
        <v>2</v>
      </c>
      <c r="K281" s="23"/>
      <c r="L281" s="23">
        <v>4</v>
      </c>
      <c r="M281" s="23">
        <v>33</v>
      </c>
      <c r="N281" s="23">
        <v>1</v>
      </c>
      <c r="O281" s="23"/>
      <c r="P281" s="23"/>
      <c r="Q281" s="23"/>
      <c r="R281" s="23"/>
      <c r="S281" s="23">
        <v>1</v>
      </c>
      <c r="T281" s="23"/>
      <c r="U281" s="23"/>
      <c r="V281" s="23">
        <v>3</v>
      </c>
      <c r="W281" s="23">
        <v>1</v>
      </c>
      <c r="X281" s="23">
        <v>1</v>
      </c>
      <c r="Y281" s="23">
        <v>2</v>
      </c>
      <c r="Z281" s="23">
        <v>42</v>
      </c>
      <c r="AA281" s="23">
        <v>1</v>
      </c>
      <c r="AB281" s="23"/>
      <c r="AC281" s="23"/>
      <c r="AD281" s="23">
        <v>1</v>
      </c>
      <c r="AE281" s="356"/>
      <c r="AF281" s="357"/>
      <c r="AG281" s="23">
        <v>1</v>
      </c>
      <c r="AH281" s="357"/>
      <c r="AI281" s="357"/>
      <c r="AK281" s="521"/>
    </row>
    <row r="282" spans="1:37" ht="12.75" customHeight="1" x14ac:dyDescent="0.2">
      <c r="A282" s="80" t="s">
        <v>1796</v>
      </c>
      <c r="B282" s="80" t="s">
        <v>1797</v>
      </c>
      <c r="C282" s="582">
        <f t="shared" si="2"/>
        <v>3</v>
      </c>
      <c r="E282" s="461"/>
      <c r="F282" s="182">
        <f t="shared" si="3"/>
        <v>3</v>
      </c>
      <c r="G282" s="462"/>
      <c r="H282" s="355"/>
      <c r="I282" s="23"/>
      <c r="J282" s="23"/>
      <c r="K282" s="23"/>
      <c r="L282" s="23"/>
      <c r="M282" s="455">
        <v>1</v>
      </c>
      <c r="N282" s="23"/>
      <c r="O282" s="23">
        <v>1</v>
      </c>
      <c r="P282" s="23"/>
      <c r="Q282" s="23"/>
      <c r="R282" s="23"/>
      <c r="S282" s="23">
        <v>1</v>
      </c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356"/>
      <c r="AF282" s="357"/>
      <c r="AG282" s="610"/>
      <c r="AH282" s="357"/>
      <c r="AI282" s="357"/>
      <c r="AK282" s="521"/>
    </row>
    <row r="283" spans="1:37" ht="12.75" customHeight="1" x14ac:dyDescent="0.2">
      <c r="A283" s="513" t="s">
        <v>5980</v>
      </c>
      <c r="B283" s="513" t="s">
        <v>4818</v>
      </c>
      <c r="C283" s="582">
        <f t="shared" si="2"/>
        <v>2</v>
      </c>
      <c r="E283" s="461"/>
      <c r="F283" s="182">
        <f t="shared" si="3"/>
        <v>2</v>
      </c>
      <c r="G283" s="462"/>
      <c r="H283" s="355"/>
      <c r="I283" s="23"/>
      <c r="J283" s="23"/>
      <c r="K283" s="23"/>
      <c r="L283" s="23"/>
      <c r="M283" s="455"/>
      <c r="N283" s="23"/>
      <c r="O283" s="23"/>
      <c r="P283" s="23"/>
      <c r="Q283" s="23">
        <v>1</v>
      </c>
      <c r="R283" s="23"/>
      <c r="S283" s="23"/>
      <c r="T283" s="23"/>
      <c r="U283" s="23">
        <v>1</v>
      </c>
      <c r="V283" s="23"/>
      <c r="W283" s="23"/>
      <c r="X283" s="23"/>
      <c r="Y283" s="23"/>
      <c r="Z283" s="23"/>
      <c r="AA283" s="23"/>
      <c r="AB283" s="23"/>
      <c r="AC283" s="23"/>
      <c r="AD283" s="23"/>
      <c r="AE283" s="356"/>
      <c r="AF283" s="357"/>
      <c r="AG283" s="610"/>
      <c r="AH283" s="357"/>
      <c r="AI283" s="357"/>
      <c r="AK283" s="521"/>
    </row>
    <row r="284" spans="1:37" ht="12.75" customHeight="1" x14ac:dyDescent="0.2">
      <c r="A284" t="s">
        <v>665</v>
      </c>
      <c r="B284" t="s">
        <v>666</v>
      </c>
      <c r="C284" s="582">
        <f t="shared" si="2"/>
        <v>3</v>
      </c>
      <c r="E284" s="461"/>
      <c r="F284" s="182">
        <f t="shared" si="3"/>
        <v>3</v>
      </c>
      <c r="G284" s="462"/>
      <c r="H284" s="355"/>
      <c r="I284" s="23">
        <v>1</v>
      </c>
      <c r="J284" s="23"/>
      <c r="K284" s="23"/>
      <c r="L284" s="23">
        <v>1</v>
      </c>
      <c r="M284" s="23"/>
      <c r="N284" s="23"/>
      <c r="O284" s="23"/>
      <c r="P284" s="23"/>
      <c r="Q284" s="23"/>
      <c r="R284" s="23"/>
      <c r="S284" s="23"/>
      <c r="T284" s="23">
        <v>1</v>
      </c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356"/>
      <c r="AF284" s="357"/>
      <c r="AG284" s="357"/>
      <c r="AH284" s="357"/>
      <c r="AI284" s="357"/>
      <c r="AK284" s="521"/>
    </row>
    <row r="285" spans="1:37" ht="12.75" customHeight="1" x14ac:dyDescent="0.2">
      <c r="A285" t="s">
        <v>4677</v>
      </c>
      <c r="B285" t="s">
        <v>4678</v>
      </c>
      <c r="C285" s="582">
        <f t="shared" si="2"/>
        <v>1</v>
      </c>
      <c r="E285" s="461"/>
      <c r="F285" s="182">
        <f t="shared" si="3"/>
        <v>1</v>
      </c>
      <c r="G285" s="462"/>
      <c r="H285" s="355"/>
      <c r="I285" s="23"/>
      <c r="J285" s="23"/>
      <c r="K285" s="23"/>
      <c r="L285" s="23"/>
      <c r="M285" s="23"/>
      <c r="N285" s="23"/>
      <c r="O285" s="23"/>
      <c r="P285" s="23">
        <v>1</v>
      </c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356"/>
      <c r="AF285" s="357"/>
      <c r="AG285" s="357"/>
      <c r="AH285" s="357"/>
      <c r="AI285" s="357"/>
      <c r="AK285" s="521"/>
    </row>
    <row r="286" spans="1:37" ht="12.75" customHeight="1" x14ac:dyDescent="0.2">
      <c r="A286" s="206" t="s">
        <v>5649</v>
      </c>
      <c r="B286" s="206" t="s">
        <v>1047</v>
      </c>
      <c r="C286" s="582">
        <f t="shared" si="2"/>
        <v>2</v>
      </c>
      <c r="E286" s="775">
        <f>COUNT(AF286:AI286)</f>
        <v>1</v>
      </c>
      <c r="F286" s="182">
        <f t="shared" si="3"/>
        <v>1</v>
      </c>
      <c r="G286" s="462"/>
      <c r="H286" s="355"/>
      <c r="I286" s="23"/>
      <c r="J286" s="23"/>
      <c r="K286" s="23"/>
      <c r="L286" s="23"/>
      <c r="M286" s="23"/>
      <c r="N286" s="23">
        <v>1</v>
      </c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356"/>
      <c r="AF286" s="357"/>
      <c r="AG286" s="357"/>
      <c r="AH286" s="23">
        <v>1</v>
      </c>
      <c r="AI286" s="357"/>
      <c r="AK286" s="521"/>
    </row>
    <row r="287" spans="1:37" ht="12.75" customHeight="1" x14ac:dyDescent="0.2">
      <c r="A287" t="s">
        <v>2137</v>
      </c>
      <c r="B287" t="s">
        <v>4943</v>
      </c>
      <c r="C287" s="582">
        <f t="shared" si="2"/>
        <v>2</v>
      </c>
      <c r="E287" s="461"/>
      <c r="F287" s="182">
        <f t="shared" si="3"/>
        <v>2</v>
      </c>
      <c r="G287" s="462"/>
      <c r="H287" s="355"/>
      <c r="I287" s="23"/>
      <c r="J287" s="23"/>
      <c r="K287" s="23"/>
      <c r="L287" s="23"/>
      <c r="M287" s="23"/>
      <c r="N287" s="23"/>
      <c r="O287" s="23"/>
      <c r="P287" s="23"/>
      <c r="Q287" s="23"/>
      <c r="R287" s="23">
        <v>1</v>
      </c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>
        <v>1</v>
      </c>
      <c r="AD287" s="23"/>
      <c r="AE287" s="356"/>
      <c r="AF287" s="357"/>
      <c r="AG287" s="357"/>
      <c r="AH287" s="357"/>
      <c r="AI287" s="357"/>
      <c r="AK287" s="521"/>
    </row>
    <row r="288" spans="1:37" ht="12.75" customHeight="1" x14ac:dyDescent="0.2">
      <c r="A288" s="206" t="s">
        <v>866</v>
      </c>
      <c r="B288" s="206" t="s">
        <v>4635</v>
      </c>
      <c r="C288" s="582">
        <f t="shared" si="2"/>
        <v>3</v>
      </c>
      <c r="E288" s="775">
        <f>COUNT(AF288:AI288)</f>
        <v>1</v>
      </c>
      <c r="F288" s="182">
        <f t="shared" si="3"/>
        <v>2</v>
      </c>
      <c r="G288" s="462"/>
      <c r="H288" s="355"/>
      <c r="I288" s="23"/>
      <c r="J288" s="23"/>
      <c r="K288" s="23">
        <v>1</v>
      </c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>
        <v>1</v>
      </c>
      <c r="X288" s="23"/>
      <c r="Y288" s="23"/>
      <c r="Z288" s="23"/>
      <c r="AA288" s="23"/>
      <c r="AB288" s="23"/>
      <c r="AC288" s="23"/>
      <c r="AD288" s="23"/>
      <c r="AE288" s="356"/>
      <c r="AF288" s="357"/>
      <c r="AG288" s="357"/>
      <c r="AH288" s="357"/>
      <c r="AI288" s="23">
        <v>1</v>
      </c>
      <c r="AK288" s="521"/>
    </row>
    <row r="289" spans="1:37" ht="12.75" customHeight="1" x14ac:dyDescent="0.2">
      <c r="A289" s="80" t="s">
        <v>1794</v>
      </c>
      <c r="B289" s="80" t="s">
        <v>1795</v>
      </c>
      <c r="C289" s="582">
        <f t="shared" si="2"/>
        <v>1</v>
      </c>
      <c r="E289" s="461"/>
      <c r="F289" s="182">
        <f t="shared" si="3"/>
        <v>1</v>
      </c>
      <c r="G289" s="462"/>
      <c r="H289" s="355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>
        <v>1</v>
      </c>
      <c r="AD289" s="23"/>
      <c r="AE289" s="356"/>
      <c r="AF289" s="357"/>
      <c r="AG289" s="357"/>
      <c r="AH289" s="357"/>
      <c r="AI289" s="663"/>
      <c r="AK289" s="521"/>
    </row>
    <row r="290" spans="1:37" ht="12.75" customHeight="1" x14ac:dyDescent="0.2">
      <c r="A290" t="s">
        <v>870</v>
      </c>
      <c r="B290" t="s">
        <v>871</v>
      </c>
      <c r="C290" s="582">
        <f t="shared" si="2"/>
        <v>1</v>
      </c>
      <c r="E290" s="461"/>
      <c r="F290" s="182">
        <f t="shared" si="3"/>
        <v>1</v>
      </c>
      <c r="G290" s="462"/>
      <c r="H290" s="355"/>
      <c r="I290" s="23"/>
      <c r="J290" s="23"/>
      <c r="K290" s="23"/>
      <c r="L290" s="23"/>
      <c r="M290" s="23"/>
      <c r="N290" s="23"/>
      <c r="O290" s="23"/>
      <c r="P290" s="23">
        <v>1</v>
      </c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356"/>
      <c r="AF290" s="357"/>
      <c r="AG290" s="357"/>
      <c r="AH290" s="357"/>
      <c r="AI290" s="357"/>
      <c r="AK290" s="521"/>
    </row>
    <row r="291" spans="1:37" ht="12.75" customHeight="1" x14ac:dyDescent="0.2">
      <c r="A291" s="197" t="s">
        <v>866</v>
      </c>
      <c r="B291" s="197" t="s">
        <v>5543</v>
      </c>
      <c r="C291" s="582">
        <f t="shared" si="2"/>
        <v>1</v>
      </c>
      <c r="E291" s="461"/>
      <c r="F291" s="182">
        <f t="shared" si="3"/>
        <v>1</v>
      </c>
      <c r="G291" s="462"/>
      <c r="H291" s="355"/>
      <c r="I291" s="23"/>
      <c r="J291" s="23"/>
      <c r="K291" s="23">
        <v>1</v>
      </c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356"/>
      <c r="AF291" s="357"/>
      <c r="AG291" s="357"/>
      <c r="AH291" s="357"/>
      <c r="AI291" s="357"/>
      <c r="AK291" s="521"/>
    </row>
    <row r="292" spans="1:37" ht="12.75" customHeight="1" x14ac:dyDescent="0.2">
      <c r="A292" t="s">
        <v>864</v>
      </c>
      <c r="B292" t="s">
        <v>865</v>
      </c>
      <c r="C292" s="582">
        <f t="shared" si="2"/>
        <v>2</v>
      </c>
      <c r="E292" s="461"/>
      <c r="F292" s="182">
        <f t="shared" si="3"/>
        <v>2</v>
      </c>
      <c r="G292" s="462"/>
      <c r="H292" s="355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>
        <v>1</v>
      </c>
      <c r="T292" s="23"/>
      <c r="U292" s="23"/>
      <c r="V292" s="23"/>
      <c r="W292" s="23"/>
      <c r="X292" s="23"/>
      <c r="Y292" s="23"/>
      <c r="Z292" s="23"/>
      <c r="AA292" s="23"/>
      <c r="AB292" s="23">
        <v>1</v>
      </c>
      <c r="AC292" s="23"/>
      <c r="AD292" s="23"/>
      <c r="AE292" s="356"/>
      <c r="AF292" s="357"/>
      <c r="AG292" s="357"/>
      <c r="AH292" s="357"/>
      <c r="AI292" s="357"/>
      <c r="AK292" s="521"/>
    </row>
    <row r="293" spans="1:37" ht="12.75" customHeight="1" x14ac:dyDescent="0.2">
      <c r="A293" s="626" t="s">
        <v>2929</v>
      </c>
      <c r="B293" s="626" t="s">
        <v>68</v>
      </c>
      <c r="C293" s="582">
        <f t="shared" si="2"/>
        <v>1</v>
      </c>
      <c r="E293" s="461"/>
      <c r="F293" s="182">
        <f t="shared" si="3"/>
        <v>1</v>
      </c>
      <c r="G293" s="462"/>
      <c r="H293" s="355"/>
      <c r="I293" s="23"/>
      <c r="J293" s="23"/>
      <c r="K293" s="23">
        <v>1</v>
      </c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356"/>
      <c r="AF293" s="357"/>
      <c r="AG293" s="357"/>
      <c r="AH293" s="357"/>
      <c r="AI293" s="357"/>
      <c r="AK293" s="521"/>
    </row>
    <row r="294" spans="1:37" ht="12.75" customHeight="1" x14ac:dyDescent="0.2">
      <c r="A294" t="s">
        <v>2703</v>
      </c>
      <c r="B294" t="s">
        <v>2704</v>
      </c>
      <c r="C294" s="582">
        <f t="shared" si="2"/>
        <v>1</v>
      </c>
      <c r="E294" s="461"/>
      <c r="F294" s="182">
        <f t="shared" si="3"/>
        <v>1</v>
      </c>
      <c r="G294" s="462"/>
      <c r="H294" s="355"/>
      <c r="I294" s="23"/>
      <c r="J294" s="23"/>
      <c r="K294" s="23">
        <v>1</v>
      </c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356"/>
      <c r="AF294" s="357"/>
      <c r="AG294" s="357"/>
      <c r="AH294" s="357"/>
      <c r="AI294" s="357"/>
      <c r="AK294" s="521"/>
    </row>
    <row r="295" spans="1:37" ht="12.75" customHeight="1" x14ac:dyDescent="0.2">
      <c r="C295" s="20">
        <f>SUM(C276:C294)</f>
        <v>218</v>
      </c>
      <c r="F295" s="244"/>
      <c r="G295" s="663">
        <f>SUM(G276:G294)</f>
        <v>7</v>
      </c>
      <c r="H295" s="663">
        <f t="shared" ref="H295:AD295" si="4">SUM(H276:H294)</f>
        <v>1</v>
      </c>
      <c r="I295" s="663">
        <f t="shared" si="4"/>
        <v>1</v>
      </c>
      <c r="J295" s="663">
        <f t="shared" si="4"/>
        <v>4</v>
      </c>
      <c r="K295" s="663">
        <f t="shared" si="4"/>
        <v>4</v>
      </c>
      <c r="L295" s="663">
        <f t="shared" si="4"/>
        <v>9</v>
      </c>
      <c r="M295" s="663">
        <f t="shared" si="4"/>
        <v>66</v>
      </c>
      <c r="N295" s="663">
        <f t="shared" si="4"/>
        <v>3</v>
      </c>
      <c r="O295" s="663">
        <f>SUM(O276:O294)</f>
        <v>1</v>
      </c>
      <c r="P295" s="663">
        <f t="shared" si="4"/>
        <v>2</v>
      </c>
      <c r="Q295" s="663">
        <f t="shared" si="4"/>
        <v>1</v>
      </c>
      <c r="R295" s="663">
        <f t="shared" si="4"/>
        <v>1</v>
      </c>
      <c r="S295" s="663">
        <f t="shared" si="4"/>
        <v>4</v>
      </c>
      <c r="T295" s="663">
        <f>SUM(T276:T294)</f>
        <v>1</v>
      </c>
      <c r="U295" s="663">
        <f t="shared" si="4"/>
        <v>1</v>
      </c>
      <c r="V295" s="663">
        <f t="shared" si="4"/>
        <v>8</v>
      </c>
      <c r="W295" s="663">
        <f t="shared" si="4"/>
        <v>3</v>
      </c>
      <c r="X295" s="663">
        <f>SUM(X276:X294)</f>
        <v>2</v>
      </c>
      <c r="Y295" s="663">
        <f t="shared" si="4"/>
        <v>4</v>
      </c>
      <c r="Z295" s="663">
        <f t="shared" si="4"/>
        <v>80</v>
      </c>
      <c r="AA295" s="663">
        <f t="shared" si="4"/>
        <v>2</v>
      </c>
      <c r="AB295" s="663">
        <f t="shared" si="4"/>
        <v>1</v>
      </c>
      <c r="AC295" s="663">
        <f t="shared" si="4"/>
        <v>2</v>
      </c>
      <c r="AD295" s="663">
        <f t="shared" si="4"/>
        <v>2</v>
      </c>
      <c r="AF295" s="23"/>
      <c r="AG295" s="23"/>
      <c r="AH295" s="23"/>
      <c r="AI295" s="23"/>
      <c r="AK295" s="521"/>
    </row>
    <row r="296" spans="1:37" ht="12.75" customHeight="1" x14ac:dyDescent="0.2">
      <c r="C296" s="9"/>
      <c r="E296" s="610">
        <f>COUNT(G296:AD296)</f>
        <v>24</v>
      </c>
      <c r="F296" s="244"/>
      <c r="G296" s="663">
        <f>COUNT(G276:G294)</f>
        <v>3</v>
      </c>
      <c r="H296" s="663">
        <f t="shared" ref="H296:AD296" si="5">COUNT(H276:H294)</f>
        <v>1</v>
      </c>
      <c r="I296" s="663">
        <f t="shared" si="5"/>
        <v>1</v>
      </c>
      <c r="J296" s="663">
        <f t="shared" si="5"/>
        <v>2</v>
      </c>
      <c r="K296" s="663">
        <f t="shared" si="5"/>
        <v>4</v>
      </c>
      <c r="L296" s="663">
        <f t="shared" si="5"/>
        <v>3</v>
      </c>
      <c r="M296" s="663">
        <f t="shared" si="5"/>
        <v>3</v>
      </c>
      <c r="N296" s="663">
        <f t="shared" si="5"/>
        <v>3</v>
      </c>
      <c r="O296" s="663">
        <f>COUNT(O276:O294)</f>
        <v>1</v>
      </c>
      <c r="P296" s="663">
        <f t="shared" si="5"/>
        <v>2</v>
      </c>
      <c r="Q296" s="663">
        <f t="shared" si="5"/>
        <v>1</v>
      </c>
      <c r="R296" s="663">
        <f t="shared" si="5"/>
        <v>1</v>
      </c>
      <c r="S296" s="663">
        <f t="shared" si="5"/>
        <v>4</v>
      </c>
      <c r="T296" s="663">
        <f>COUNT(T276:T294)</f>
        <v>1</v>
      </c>
      <c r="U296" s="663">
        <f t="shared" si="5"/>
        <v>1</v>
      </c>
      <c r="V296" s="663">
        <f t="shared" si="5"/>
        <v>4</v>
      </c>
      <c r="W296" s="663">
        <f t="shared" si="5"/>
        <v>3</v>
      </c>
      <c r="X296" s="663">
        <f>COUNT(X276:X294)</f>
        <v>2</v>
      </c>
      <c r="Y296" s="663">
        <f t="shared" si="5"/>
        <v>2</v>
      </c>
      <c r="Z296" s="663">
        <f t="shared" si="5"/>
        <v>2</v>
      </c>
      <c r="AA296" s="663">
        <f t="shared" si="5"/>
        <v>2</v>
      </c>
      <c r="AB296" s="663">
        <f t="shared" si="5"/>
        <v>1</v>
      </c>
      <c r="AC296" s="663">
        <f t="shared" si="5"/>
        <v>2</v>
      </c>
      <c r="AD296" s="663">
        <f t="shared" si="5"/>
        <v>2</v>
      </c>
      <c r="AF296" s="23"/>
      <c r="AG296" s="23"/>
      <c r="AH296" s="23"/>
      <c r="AI296" s="23"/>
      <c r="AK296" s="521"/>
    </row>
    <row r="297" spans="1:37" ht="12.75" customHeight="1" x14ac:dyDescent="0.25">
      <c r="C297" s="9"/>
      <c r="F297" s="244"/>
      <c r="G297" s="662" t="s">
        <v>7967</v>
      </c>
      <c r="H297" s="526"/>
      <c r="I297" s="527" t="s">
        <v>1826</v>
      </c>
      <c r="J297" s="527"/>
      <c r="K297" s="527" t="s">
        <v>1042</v>
      </c>
      <c r="L297" s="527"/>
      <c r="M297" s="528" t="s">
        <v>3225</v>
      </c>
      <c r="N297" s="528"/>
      <c r="O297" s="528" t="s">
        <v>5836</v>
      </c>
      <c r="P297" s="538"/>
      <c r="Q297" s="538" t="s">
        <v>3227</v>
      </c>
      <c r="R297" s="538"/>
      <c r="S297" s="538" t="s">
        <v>4837</v>
      </c>
      <c r="T297" s="538"/>
      <c r="U297" s="627"/>
      <c r="V297" s="538" t="s">
        <v>3683</v>
      </c>
      <c r="W297" s="561"/>
      <c r="X297" s="536" t="s">
        <v>3856</v>
      </c>
      <c r="Y297" s="538"/>
      <c r="Z297" s="538" t="s">
        <v>4202</v>
      </c>
      <c r="AA297" s="538"/>
      <c r="AB297" s="565" t="s">
        <v>2840</v>
      </c>
      <c r="AC297" s="565"/>
      <c r="AD297" s="565" t="s">
        <v>668</v>
      </c>
      <c r="AF297" s="305" t="s">
        <v>1368</v>
      </c>
      <c r="AG297" s="190"/>
      <c r="AH297" s="305" t="s">
        <v>4200</v>
      </c>
      <c r="AI297" s="245" t="s">
        <v>5835</v>
      </c>
      <c r="AK297" s="521"/>
    </row>
    <row r="298" spans="1:37" ht="12.75" customHeight="1" x14ac:dyDescent="0.25">
      <c r="C298" s="9"/>
      <c r="F298" s="244"/>
      <c r="G298" s="244"/>
      <c r="H298" s="566" t="s">
        <v>2529</v>
      </c>
      <c r="I298" s="531"/>
      <c r="J298" s="539" t="s">
        <v>4834</v>
      </c>
      <c r="K298" s="515"/>
      <c r="L298" s="539" t="s">
        <v>4835</v>
      </c>
      <c r="M298" s="515"/>
      <c r="N298" s="515" t="s">
        <v>4836</v>
      </c>
      <c r="O298" s="515"/>
      <c r="P298" s="539" t="s">
        <v>3226</v>
      </c>
      <c r="Q298" s="539"/>
      <c r="R298" s="539" t="s">
        <v>2326</v>
      </c>
      <c r="S298" s="539"/>
      <c r="T298" s="539" t="s">
        <v>7962</v>
      </c>
      <c r="U298" s="535" t="s">
        <v>4632</v>
      </c>
      <c r="V298" s="539"/>
      <c r="W298" s="539" t="s">
        <v>4199</v>
      </c>
      <c r="X298" s="539"/>
      <c r="Y298" s="539" t="s">
        <v>4201</v>
      </c>
      <c r="Z298" s="539"/>
      <c r="AA298" s="539" t="s">
        <v>5290</v>
      </c>
      <c r="AB298" s="558"/>
      <c r="AC298" s="535" t="s">
        <v>4053</v>
      </c>
      <c r="AD298" s="539"/>
      <c r="AE298" s="410"/>
      <c r="AF298" s="191"/>
      <c r="AG298" s="343" t="s">
        <v>667</v>
      </c>
      <c r="AH298" s="515"/>
      <c r="AI298" s="246"/>
      <c r="AJ298" s="185"/>
      <c r="AK298" s="781"/>
    </row>
    <row r="299" spans="1:37" ht="12.75" customHeight="1" x14ac:dyDescent="0.25">
      <c r="C299" s="777"/>
      <c r="D299" s="521"/>
      <c r="E299" s="521"/>
      <c r="F299" s="778"/>
      <c r="G299" s="521"/>
      <c r="H299" s="521"/>
      <c r="I299" s="521"/>
      <c r="J299" s="779"/>
      <c r="K299" s="776"/>
      <c r="L299" s="779"/>
      <c r="M299" s="779"/>
      <c r="N299" s="776"/>
      <c r="O299" s="776"/>
      <c r="P299" s="776"/>
      <c r="Q299" s="776"/>
      <c r="R299" s="776"/>
      <c r="S299" s="776"/>
      <c r="T299" s="776"/>
      <c r="U299" s="776"/>
      <c r="V299" s="776"/>
      <c r="W299" s="776"/>
      <c r="X299" s="776"/>
      <c r="Y299" s="776"/>
      <c r="Z299" s="776"/>
      <c r="AA299" s="781"/>
      <c r="AB299" s="783"/>
      <c r="AC299" s="776"/>
      <c r="AD299" s="521"/>
      <c r="AE299" s="521"/>
      <c r="AF299" s="521"/>
      <c r="AG299" s="521"/>
      <c r="AH299" s="521"/>
      <c r="AI299" s="521"/>
      <c r="AJ299" s="521"/>
      <c r="AK299" s="521"/>
    </row>
  </sheetData>
  <phoneticPr fontId="8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9A59B-D47C-4312-9ADB-2F8D13C2C362}">
  <dimension ref="B1:K15"/>
  <sheetViews>
    <sheetView workbookViewId="0">
      <selection activeCell="A2" sqref="A2:XFD39"/>
    </sheetView>
  </sheetViews>
  <sheetFormatPr defaultRowHeight="12.75" x14ac:dyDescent="0.2"/>
  <cols>
    <col min="1" max="1" width="11.140625" style="1371" customWidth="1"/>
    <col min="2" max="2" width="21.28515625" style="1371" customWidth="1"/>
    <col min="3" max="3" width="24.28515625" style="1371" customWidth="1"/>
    <col min="4" max="4" width="9.5703125" style="1412" customWidth="1"/>
    <col min="5" max="5" width="28.140625" style="1412" customWidth="1"/>
    <col min="6" max="6" width="49" style="1412" customWidth="1"/>
    <col min="7" max="7" width="9.140625" style="1412" customWidth="1"/>
    <col min="8" max="8" width="9.7109375" style="1412" customWidth="1"/>
    <col min="9" max="9" width="28" style="1371" customWidth="1"/>
    <col min="10" max="10" width="55.7109375" style="1371" customWidth="1"/>
    <col min="11" max="16384" width="9.140625" style="1371"/>
  </cols>
  <sheetData>
    <row r="1" spans="2:11" x14ac:dyDescent="0.2">
      <c r="B1" s="1523"/>
      <c r="C1" s="1489"/>
      <c r="D1" s="1623"/>
      <c r="E1" s="1623"/>
      <c r="F1" s="1623"/>
      <c r="G1" s="1623"/>
      <c r="H1" s="1623"/>
      <c r="I1" s="1489"/>
      <c r="J1" s="1404"/>
      <c r="K1" s="1404"/>
    </row>
    <row r="2" spans="2:11" x14ac:dyDescent="0.2">
      <c r="B2" s="1523"/>
      <c r="C2" s="1489"/>
      <c r="D2" s="1623"/>
      <c r="E2" s="1623"/>
      <c r="F2" s="1623"/>
      <c r="G2" s="1623"/>
      <c r="H2" s="1623"/>
      <c r="I2" s="1404"/>
      <c r="J2" s="1404"/>
    </row>
    <row r="3" spans="2:11" ht="15" x14ac:dyDescent="0.25">
      <c r="B3" s="1523"/>
      <c r="C3" s="1404"/>
      <c r="D3" s="2050"/>
      <c r="E3" s="2050"/>
      <c r="F3" s="2050"/>
      <c r="G3" s="2050"/>
      <c r="H3" s="2050"/>
      <c r="I3" s="1964"/>
      <c r="J3" s="1404"/>
      <c r="K3" s="1553"/>
    </row>
    <row r="4" spans="2:11" x14ac:dyDescent="0.2">
      <c r="B4" s="1404"/>
      <c r="C4" s="1404"/>
      <c r="D4" s="2050"/>
      <c r="E4" s="2050"/>
      <c r="F4" s="2050"/>
      <c r="G4" s="2050"/>
      <c r="H4" s="2050"/>
      <c r="I4" s="1404"/>
      <c r="J4" s="1404"/>
    </row>
    <row r="5" spans="2:11" x14ac:dyDescent="0.2">
      <c r="B5" s="1404"/>
      <c r="C5" s="1404"/>
      <c r="D5" s="2050"/>
      <c r="E5" s="2050"/>
      <c r="F5" s="2050"/>
      <c r="G5" s="2050"/>
      <c r="H5" s="2050"/>
      <c r="I5" s="1404"/>
      <c r="J5" s="1404"/>
    </row>
    <row r="6" spans="2:11" x14ac:dyDescent="0.2">
      <c r="B6" s="1404"/>
      <c r="C6" s="1404"/>
      <c r="D6" s="2050"/>
      <c r="E6" s="2050"/>
      <c r="F6" s="2050"/>
      <c r="G6" s="2050"/>
      <c r="H6" s="2050"/>
      <c r="I6" s="1404"/>
      <c r="J6" s="1404"/>
    </row>
    <row r="7" spans="2:11" x14ac:dyDescent="0.2">
      <c r="B7" s="1404"/>
      <c r="C7" s="1404"/>
      <c r="D7" s="2050"/>
      <c r="E7" s="2050"/>
      <c r="F7" s="2050"/>
      <c r="G7" s="2050"/>
      <c r="H7" s="2050"/>
      <c r="I7" s="1404"/>
      <c r="J7" s="1404"/>
    </row>
    <row r="8" spans="2:11" x14ac:dyDescent="0.2">
      <c r="B8" s="1404"/>
      <c r="C8" s="1404"/>
      <c r="D8" s="2050"/>
      <c r="E8" s="2050"/>
      <c r="F8" s="2050"/>
      <c r="G8" s="2050"/>
      <c r="H8" s="2050"/>
      <c r="I8" s="1404"/>
      <c r="J8" s="1404"/>
    </row>
    <row r="9" spans="2:11" x14ac:dyDescent="0.2">
      <c r="B9" s="1404"/>
      <c r="C9" s="1404"/>
      <c r="D9" s="2050"/>
      <c r="E9" s="2050"/>
      <c r="F9" s="2050"/>
      <c r="G9" s="2050"/>
      <c r="H9" s="2050"/>
      <c r="I9" s="1404"/>
      <c r="J9" s="1404"/>
    </row>
    <row r="10" spans="2:11" x14ac:dyDescent="0.2">
      <c r="B10" s="1404"/>
      <c r="C10" s="1404"/>
      <c r="D10" s="2050"/>
      <c r="E10" s="2050"/>
      <c r="F10" s="2050"/>
      <c r="G10" s="2050"/>
      <c r="H10" s="2050"/>
      <c r="I10" s="1404"/>
      <c r="J10" s="1404"/>
    </row>
    <row r="11" spans="2:11" x14ac:dyDescent="0.2">
      <c r="B11" s="1404"/>
      <c r="C11" s="1404"/>
      <c r="D11" s="2050"/>
      <c r="E11" s="2050"/>
      <c r="F11" s="2050"/>
      <c r="G11" s="2050"/>
      <c r="H11" s="2050"/>
      <c r="I11" s="1404"/>
      <c r="J11" s="1404"/>
    </row>
    <row r="12" spans="2:11" x14ac:dyDescent="0.2">
      <c r="B12" s="1404"/>
      <c r="C12" s="1404"/>
      <c r="D12" s="2050"/>
      <c r="E12" s="2050"/>
      <c r="F12" s="2050"/>
      <c r="G12" s="2050"/>
      <c r="H12" s="2050"/>
      <c r="I12" s="1404"/>
      <c r="J12" s="1404"/>
    </row>
    <row r="13" spans="2:11" x14ac:dyDescent="0.2">
      <c r="B13" s="1404"/>
      <c r="C13" s="1404"/>
      <c r="D13" s="2050"/>
      <c r="E13" s="2050"/>
      <c r="F13" s="2050"/>
      <c r="G13" s="2050"/>
      <c r="H13" s="2050"/>
      <c r="I13" s="1404"/>
      <c r="J13" s="1404"/>
    </row>
    <row r="14" spans="2:11" x14ac:dyDescent="0.2">
      <c r="B14" s="1404"/>
      <c r="C14" s="1404"/>
      <c r="D14" s="2050"/>
      <c r="E14" s="2050"/>
      <c r="F14" s="2050"/>
      <c r="G14" s="2050"/>
      <c r="H14" s="2050"/>
      <c r="I14" s="1404"/>
      <c r="J14" s="1404"/>
    </row>
    <row r="15" spans="2:11" x14ac:dyDescent="0.2">
      <c r="B15" s="1404"/>
      <c r="C15" s="1404"/>
      <c r="D15" s="2050"/>
      <c r="E15" s="2050"/>
      <c r="F15" s="2050"/>
      <c r="G15" s="2050"/>
      <c r="H15" s="2050"/>
      <c r="I15" s="1404"/>
      <c r="J15" s="1404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166"/>
  <sheetViews>
    <sheetView workbookViewId="0">
      <selection activeCell="I459" sqref="I459"/>
    </sheetView>
  </sheetViews>
  <sheetFormatPr defaultRowHeight="12.75" x14ac:dyDescent="0.2"/>
  <cols>
    <col min="1" max="1" width="18.28515625" customWidth="1"/>
    <col min="2" max="2" width="10.140625" bestFit="1" customWidth="1"/>
    <col min="7" max="7" width="11.28515625" customWidth="1"/>
    <col min="8" max="8" width="10.28515625" customWidth="1"/>
  </cols>
  <sheetData>
    <row r="1" spans="1:9" x14ac:dyDescent="0.2">
      <c r="A1" t="s">
        <v>335</v>
      </c>
      <c r="B1" s="137" t="s">
        <v>337</v>
      </c>
    </row>
    <row r="2" spans="1:9" x14ac:dyDescent="0.2">
      <c r="B2" s="138">
        <v>41704</v>
      </c>
      <c r="C2" t="s">
        <v>1120</v>
      </c>
      <c r="D2" t="s">
        <v>5483</v>
      </c>
      <c r="E2" t="s">
        <v>3347</v>
      </c>
      <c r="F2" t="s">
        <v>4302</v>
      </c>
      <c r="G2" t="s">
        <v>5544</v>
      </c>
      <c r="H2" t="s">
        <v>5484</v>
      </c>
      <c r="I2" t="s">
        <v>3106</v>
      </c>
    </row>
    <row r="3" spans="1:9" x14ac:dyDescent="0.2">
      <c r="B3" s="492">
        <v>42602</v>
      </c>
    </row>
    <row r="4" spans="1:9" x14ac:dyDescent="0.2">
      <c r="B4" s="955">
        <v>42784</v>
      </c>
    </row>
    <row r="5" spans="1:9" x14ac:dyDescent="0.2">
      <c r="A5" s="490" t="s">
        <v>1210</v>
      </c>
      <c r="B5" s="491">
        <v>422</v>
      </c>
      <c r="C5" s="490">
        <v>208</v>
      </c>
      <c r="G5" s="490">
        <v>199</v>
      </c>
      <c r="I5">
        <f>B5-C5-D5-E5-F5-G5-H5</f>
        <v>15</v>
      </c>
    </row>
    <row r="6" spans="1:9" x14ac:dyDescent="0.2">
      <c r="A6" s="601" t="s">
        <v>1210</v>
      </c>
      <c r="B6" s="602">
        <v>445</v>
      </c>
    </row>
    <row r="7" spans="1:9" x14ac:dyDescent="0.2">
      <c r="A7" t="s">
        <v>1837</v>
      </c>
      <c r="B7" s="137">
        <v>314</v>
      </c>
      <c r="C7">
        <v>3</v>
      </c>
      <c r="D7">
        <v>264</v>
      </c>
      <c r="I7">
        <f>B7-C7-D7-E7-F7-G7-H7</f>
        <v>47</v>
      </c>
    </row>
    <row r="8" spans="1:9" x14ac:dyDescent="0.2">
      <c r="A8" t="s">
        <v>4300</v>
      </c>
      <c r="B8" s="137">
        <v>302</v>
      </c>
      <c r="C8">
        <v>123</v>
      </c>
      <c r="H8">
        <v>12</v>
      </c>
      <c r="I8">
        <f>B8-C8-D8-E8-F8-G8-H8</f>
        <v>167</v>
      </c>
    </row>
    <row r="9" spans="1:9" x14ac:dyDescent="0.2">
      <c r="A9" s="601" t="s">
        <v>6443</v>
      </c>
      <c r="B9" s="602">
        <v>448</v>
      </c>
    </row>
    <row r="10" spans="1:9" x14ac:dyDescent="0.2">
      <c r="A10" s="2" t="s">
        <v>1959</v>
      </c>
      <c r="B10" s="139">
        <v>316</v>
      </c>
      <c r="C10" s="2">
        <v>127</v>
      </c>
      <c r="D10" s="2"/>
      <c r="E10" s="2">
        <v>183</v>
      </c>
      <c r="I10">
        <f>B10-C10-D10-E10-F10-G10-H10</f>
        <v>6</v>
      </c>
    </row>
    <row r="11" spans="1:9" x14ac:dyDescent="0.2">
      <c r="A11" s="488" t="s">
        <v>1959</v>
      </c>
      <c r="B11" s="489">
        <v>427</v>
      </c>
      <c r="C11" s="488">
        <v>127</v>
      </c>
      <c r="D11" s="2"/>
      <c r="E11" s="488">
        <v>290</v>
      </c>
      <c r="I11">
        <f>B11-C11-D11-E11-F11-G11-H11</f>
        <v>10</v>
      </c>
    </row>
    <row r="12" spans="1:9" x14ac:dyDescent="0.2">
      <c r="A12" s="80" t="s">
        <v>1959</v>
      </c>
      <c r="B12" s="604">
        <v>454</v>
      </c>
      <c r="C12" s="2"/>
      <c r="D12" s="2"/>
      <c r="E12" s="2"/>
    </row>
    <row r="13" spans="1:9" x14ac:dyDescent="0.2">
      <c r="A13" s="490" t="s">
        <v>3935</v>
      </c>
      <c r="B13" s="491">
        <v>417</v>
      </c>
      <c r="C13" s="490">
        <v>409</v>
      </c>
      <c r="I13">
        <v>8</v>
      </c>
    </row>
    <row r="14" spans="1:9" x14ac:dyDescent="0.2">
      <c r="A14" s="601" t="s">
        <v>3935</v>
      </c>
      <c r="B14" s="603">
        <v>435</v>
      </c>
    </row>
    <row r="15" spans="1:9" x14ac:dyDescent="0.2">
      <c r="A15" t="s">
        <v>1958</v>
      </c>
      <c r="B15" s="137">
        <v>317</v>
      </c>
      <c r="C15">
        <v>8</v>
      </c>
      <c r="H15">
        <v>299</v>
      </c>
      <c r="I15">
        <f>B15-C15-D15-E15-F15-G15-H15</f>
        <v>10</v>
      </c>
    </row>
    <row r="16" spans="1:9" x14ac:dyDescent="0.2">
      <c r="A16" s="490" t="s">
        <v>1958</v>
      </c>
      <c r="B16" s="491">
        <v>450</v>
      </c>
      <c r="C16" s="490">
        <v>9</v>
      </c>
      <c r="H16">
        <v>418</v>
      </c>
      <c r="I16">
        <f>B16-C16-D16-E16-F16-G16-H16</f>
        <v>23</v>
      </c>
    </row>
    <row r="17" spans="1:9" x14ac:dyDescent="0.2">
      <c r="A17" s="601" t="s">
        <v>1958</v>
      </c>
      <c r="B17" s="602">
        <v>479</v>
      </c>
    </row>
    <row r="18" spans="1:9" x14ac:dyDescent="0.2">
      <c r="A18" t="s">
        <v>4207</v>
      </c>
      <c r="B18" s="137">
        <v>362</v>
      </c>
      <c r="C18">
        <v>212</v>
      </c>
      <c r="I18">
        <f>B18-C18-D18-E18-F18-G18-H18</f>
        <v>150</v>
      </c>
    </row>
    <row r="19" spans="1:9" x14ac:dyDescent="0.2">
      <c r="A19" s="601" t="s">
        <v>4207</v>
      </c>
      <c r="B19" s="603">
        <v>521</v>
      </c>
    </row>
    <row r="20" spans="1:9" x14ac:dyDescent="0.2">
      <c r="A20" s="2" t="s">
        <v>336</v>
      </c>
      <c r="B20" s="139">
        <v>441</v>
      </c>
      <c r="C20" s="2">
        <v>254</v>
      </c>
      <c r="D20" s="2"/>
      <c r="E20" s="2"/>
      <c r="F20" s="2">
        <v>158</v>
      </c>
      <c r="I20">
        <f>B20-C20-D20-E20-F20-G20-H20</f>
        <v>29</v>
      </c>
    </row>
    <row r="21" spans="1:9" x14ac:dyDescent="0.2">
      <c r="A21" s="488" t="s">
        <v>336</v>
      </c>
      <c r="B21" s="489">
        <v>573</v>
      </c>
      <c r="C21" s="488">
        <v>270</v>
      </c>
      <c r="D21" s="2"/>
      <c r="E21" s="2"/>
      <c r="F21" s="2">
        <v>257</v>
      </c>
      <c r="I21">
        <f>B21-C21-D21-E21-F21-G21-H21</f>
        <v>46</v>
      </c>
    </row>
    <row r="22" spans="1:9" x14ac:dyDescent="0.2">
      <c r="A22" s="601" t="s">
        <v>336</v>
      </c>
      <c r="B22" s="603">
        <v>602</v>
      </c>
    </row>
    <row r="23" spans="1:9" x14ac:dyDescent="0.2">
      <c r="A23" s="601" t="s">
        <v>6444</v>
      </c>
      <c r="B23" s="602">
        <v>442</v>
      </c>
    </row>
    <row r="24" spans="1:9" x14ac:dyDescent="0.2">
      <c r="A24" t="s">
        <v>2170</v>
      </c>
      <c r="B24" s="137">
        <v>305</v>
      </c>
      <c r="C24">
        <v>298</v>
      </c>
      <c r="I24">
        <f>B24-C24-D24-E24-F24-G24-H24</f>
        <v>7</v>
      </c>
    </row>
    <row r="25" spans="1:9" x14ac:dyDescent="0.2">
      <c r="A25" t="s">
        <v>2167</v>
      </c>
      <c r="B25" s="137">
        <v>308</v>
      </c>
      <c r="C25">
        <v>308</v>
      </c>
      <c r="I25">
        <f>B25-C25-D25-E25-F25-G25-H25</f>
        <v>0</v>
      </c>
    </row>
    <row r="26" spans="1:9" x14ac:dyDescent="0.2">
      <c r="A26" t="s">
        <v>1945</v>
      </c>
      <c r="B26" s="137">
        <v>310</v>
      </c>
      <c r="C26">
        <v>0</v>
      </c>
      <c r="H26">
        <v>310</v>
      </c>
      <c r="I26">
        <f>B26-C26-D26-E26-F26-G26-H26</f>
        <v>0</v>
      </c>
    </row>
    <row r="27" spans="1:9" x14ac:dyDescent="0.2">
      <c r="A27" t="s">
        <v>2114</v>
      </c>
      <c r="B27" s="137">
        <v>400</v>
      </c>
      <c r="C27">
        <v>396</v>
      </c>
      <c r="I27">
        <f>B27-C27-D27-E27-F27-G27-H27</f>
        <v>4</v>
      </c>
    </row>
    <row r="28" spans="1:9" x14ac:dyDescent="0.2">
      <c r="A28" s="490" t="s">
        <v>2114</v>
      </c>
      <c r="B28" s="491">
        <v>502</v>
      </c>
      <c r="C28" s="490">
        <v>498</v>
      </c>
      <c r="I28">
        <v>4</v>
      </c>
    </row>
    <row r="29" spans="1:9" x14ac:dyDescent="0.2">
      <c r="A29" s="601" t="s">
        <v>2114</v>
      </c>
      <c r="B29" s="603">
        <v>523</v>
      </c>
    </row>
    <row r="30" spans="1:9" x14ac:dyDescent="0.2">
      <c r="A30" t="s">
        <v>1957</v>
      </c>
      <c r="B30" s="137">
        <v>330</v>
      </c>
      <c r="C30">
        <v>330</v>
      </c>
      <c r="I30">
        <f>B30-C30-D30-E30-F30-G30-H30</f>
        <v>0</v>
      </c>
    </row>
    <row r="31" spans="1:9" x14ac:dyDescent="0.2">
      <c r="A31" s="490" t="s">
        <v>1957</v>
      </c>
      <c r="B31" s="491">
        <v>463</v>
      </c>
      <c r="C31" s="490">
        <v>461</v>
      </c>
      <c r="I31">
        <f>B31-C31-D31-E31-F31-G31-H31</f>
        <v>2</v>
      </c>
    </row>
    <row r="32" spans="1:9" x14ac:dyDescent="0.2">
      <c r="A32" s="601" t="s">
        <v>6445</v>
      </c>
      <c r="B32" s="602">
        <v>491</v>
      </c>
    </row>
    <row r="33" spans="1:9" x14ac:dyDescent="0.2">
      <c r="A33" t="s">
        <v>1955</v>
      </c>
      <c r="B33" s="137">
        <v>339</v>
      </c>
      <c r="C33">
        <v>286</v>
      </c>
      <c r="I33">
        <f>B33-C33-D33-E33-F33-G33-H33</f>
        <v>53</v>
      </c>
    </row>
    <row r="34" spans="1:9" x14ac:dyDescent="0.2">
      <c r="A34" s="490" t="s">
        <v>1955</v>
      </c>
      <c r="B34" s="491">
        <v>446</v>
      </c>
      <c r="C34" s="490">
        <v>361</v>
      </c>
      <c r="I34">
        <f>B34-C34-D34-E34-F34-G34-H34</f>
        <v>85</v>
      </c>
    </row>
    <row r="35" spans="1:9" x14ac:dyDescent="0.2">
      <c r="A35" s="601" t="s">
        <v>1955</v>
      </c>
      <c r="B35" s="602">
        <v>472</v>
      </c>
    </row>
    <row r="36" spans="1:9" x14ac:dyDescent="0.2">
      <c r="A36" t="s">
        <v>4301</v>
      </c>
      <c r="B36" s="137">
        <v>301</v>
      </c>
      <c r="C36">
        <v>301</v>
      </c>
      <c r="I36">
        <f>B36-C36-D36-E36-F36-G36-H36</f>
        <v>0</v>
      </c>
    </row>
    <row r="37" spans="1:9" x14ac:dyDescent="0.2">
      <c r="A37" t="s">
        <v>2169</v>
      </c>
      <c r="B37" s="137">
        <v>305</v>
      </c>
      <c r="C37">
        <v>12</v>
      </c>
      <c r="D37">
        <v>271</v>
      </c>
      <c r="I37">
        <f>B37-C37-D37-E37-F37-G37-H37</f>
        <v>22</v>
      </c>
    </row>
    <row r="38" spans="1:9" x14ac:dyDescent="0.2">
      <c r="A38" t="s">
        <v>2884</v>
      </c>
      <c r="B38" s="137">
        <v>378</v>
      </c>
      <c r="C38">
        <v>42</v>
      </c>
      <c r="D38">
        <v>305</v>
      </c>
      <c r="I38">
        <f>B38-C38-D38-E38-F38-G38-H38</f>
        <v>31</v>
      </c>
    </row>
    <row r="39" spans="1:9" x14ac:dyDescent="0.2">
      <c r="A39" s="490" t="s">
        <v>2884</v>
      </c>
      <c r="B39" s="491">
        <v>507</v>
      </c>
      <c r="C39" s="490">
        <v>44</v>
      </c>
      <c r="D39">
        <v>411</v>
      </c>
      <c r="I39">
        <f>B39-C39-D39</f>
        <v>52</v>
      </c>
    </row>
    <row r="40" spans="1:9" x14ac:dyDescent="0.2">
      <c r="A40" s="601" t="s">
        <v>2884</v>
      </c>
      <c r="B40" s="603">
        <v>534</v>
      </c>
    </row>
    <row r="41" spans="1:9" x14ac:dyDescent="0.2">
      <c r="A41" t="s">
        <v>2168</v>
      </c>
      <c r="B41" s="137">
        <v>307</v>
      </c>
      <c r="C41">
        <v>284</v>
      </c>
      <c r="I41">
        <f>B41-C41-D41-E41-F41-G41-H41</f>
        <v>23</v>
      </c>
    </row>
    <row r="42" spans="1:9" x14ac:dyDescent="0.2">
      <c r="A42" t="s">
        <v>421</v>
      </c>
      <c r="B42" s="137">
        <v>364</v>
      </c>
      <c r="C42">
        <v>356</v>
      </c>
      <c r="I42">
        <f>B42-C42-D42-E42-F42-G42-H42</f>
        <v>8</v>
      </c>
    </row>
    <row r="43" spans="1:9" x14ac:dyDescent="0.2">
      <c r="A43" s="490" t="s">
        <v>421</v>
      </c>
      <c r="B43" s="491">
        <v>495</v>
      </c>
      <c r="C43" s="490">
        <v>484</v>
      </c>
      <c r="I43">
        <v>11</v>
      </c>
    </row>
    <row r="44" spans="1:9" x14ac:dyDescent="0.2">
      <c r="A44" s="601" t="s">
        <v>421</v>
      </c>
      <c r="B44" s="602">
        <v>521</v>
      </c>
    </row>
    <row r="45" spans="1:9" x14ac:dyDescent="0.2">
      <c r="A45" t="s">
        <v>560</v>
      </c>
      <c r="B45">
        <v>304</v>
      </c>
      <c r="C45">
        <v>109</v>
      </c>
      <c r="H45">
        <v>13</v>
      </c>
      <c r="I45">
        <f>B45-C45-D45-E45-F45-G45-H45</f>
        <v>182</v>
      </c>
    </row>
    <row r="46" spans="1:9" x14ac:dyDescent="0.2">
      <c r="A46" t="s">
        <v>1836</v>
      </c>
      <c r="B46">
        <v>315</v>
      </c>
      <c r="C46">
        <v>309</v>
      </c>
      <c r="I46">
        <f>B46-C46-D46-E46-F46-G46-H46</f>
        <v>6</v>
      </c>
    </row>
    <row r="47" spans="1:9" x14ac:dyDescent="0.2">
      <c r="A47" s="490" t="s">
        <v>1836</v>
      </c>
      <c r="B47" s="490">
        <v>433</v>
      </c>
      <c r="C47" s="490">
        <v>419</v>
      </c>
      <c r="I47">
        <f>B47-C47-D47-E47-F47-G47-H47</f>
        <v>14</v>
      </c>
    </row>
    <row r="48" spans="1:9" x14ac:dyDescent="0.2">
      <c r="A48" s="601" t="s">
        <v>1836</v>
      </c>
      <c r="B48" s="601">
        <v>460</v>
      </c>
    </row>
    <row r="49" spans="1:9" x14ac:dyDescent="0.2">
      <c r="A49" t="s">
        <v>1956</v>
      </c>
      <c r="B49">
        <v>331</v>
      </c>
      <c r="C49">
        <v>323</v>
      </c>
      <c r="I49">
        <f>B49-C49-D49-E49-F49-G49-H49</f>
        <v>8</v>
      </c>
    </row>
    <row r="50" spans="1:9" x14ac:dyDescent="0.2">
      <c r="A50" s="490" t="s">
        <v>1956</v>
      </c>
      <c r="B50" s="490">
        <v>463</v>
      </c>
      <c r="C50" s="490">
        <v>453</v>
      </c>
      <c r="I50">
        <v>10</v>
      </c>
    </row>
    <row r="51" spans="1:9" x14ac:dyDescent="0.2">
      <c r="A51" s="601" t="s">
        <v>1956</v>
      </c>
      <c r="B51" s="601">
        <v>492</v>
      </c>
    </row>
    <row r="52" spans="1:9" x14ac:dyDescent="0.2">
      <c r="A52" t="s">
        <v>2132</v>
      </c>
      <c r="B52">
        <v>384</v>
      </c>
      <c r="C52">
        <v>378</v>
      </c>
      <c r="I52">
        <f>B52-C52-D52-E52-F52-G52-H52</f>
        <v>6</v>
      </c>
    </row>
    <row r="53" spans="1:9" x14ac:dyDescent="0.2">
      <c r="A53" s="490" t="s">
        <v>2132</v>
      </c>
      <c r="B53" s="490">
        <v>506</v>
      </c>
      <c r="C53" s="490">
        <v>494</v>
      </c>
      <c r="I53">
        <f>B53-C53-D53-E53-F53-G53-H53</f>
        <v>12</v>
      </c>
    </row>
    <row r="54" spans="1:9" x14ac:dyDescent="0.2">
      <c r="A54" s="601" t="s">
        <v>2132</v>
      </c>
      <c r="B54" s="601">
        <v>533</v>
      </c>
    </row>
    <row r="55" spans="1:9" x14ac:dyDescent="0.2">
      <c r="A55" t="s">
        <v>1954</v>
      </c>
      <c r="B55">
        <v>347</v>
      </c>
      <c r="C55">
        <v>340</v>
      </c>
      <c r="I55">
        <f>B55-C55-D55-E55-F55-G55-H55</f>
        <v>7</v>
      </c>
    </row>
    <row r="56" spans="1:9" x14ac:dyDescent="0.2">
      <c r="A56" s="490" t="s">
        <v>1954</v>
      </c>
      <c r="B56" s="490">
        <v>453</v>
      </c>
      <c r="C56" s="490">
        <v>445</v>
      </c>
      <c r="I56">
        <v>8</v>
      </c>
    </row>
    <row r="57" spans="1:9" x14ac:dyDescent="0.2">
      <c r="A57" s="601" t="s">
        <v>1954</v>
      </c>
      <c r="B57" s="601">
        <v>482</v>
      </c>
    </row>
    <row r="58" spans="1:9" x14ac:dyDescent="0.2">
      <c r="A58" t="s">
        <v>4299</v>
      </c>
      <c r="B58">
        <v>304</v>
      </c>
      <c r="C58">
        <v>298</v>
      </c>
      <c r="I58">
        <f>B58-C58-D58-E58-F58-G58-H58</f>
        <v>6</v>
      </c>
    </row>
    <row r="59" spans="1:9" x14ac:dyDescent="0.2">
      <c r="A59" s="490" t="s">
        <v>4299</v>
      </c>
      <c r="B59" s="490">
        <v>432</v>
      </c>
      <c r="C59" s="490">
        <v>427</v>
      </c>
      <c r="I59">
        <v>6</v>
      </c>
    </row>
    <row r="60" spans="1:9" x14ac:dyDescent="0.2">
      <c r="A60" s="601" t="s">
        <v>4299</v>
      </c>
      <c r="B60" s="601">
        <v>458</v>
      </c>
    </row>
    <row r="61" spans="1:9" x14ac:dyDescent="0.2">
      <c r="B61" s="600">
        <v>42784</v>
      </c>
    </row>
    <row r="62" spans="1:9" x14ac:dyDescent="0.2">
      <c r="B62" s="34"/>
    </row>
    <row r="66" spans="1:9" x14ac:dyDescent="0.2">
      <c r="D66" s="82">
        <v>0.57999999999999996</v>
      </c>
      <c r="E66" s="82">
        <v>0.59</v>
      </c>
      <c r="F66" s="82">
        <v>0.6</v>
      </c>
      <c r="G66" s="82">
        <v>0.61</v>
      </c>
      <c r="H66" s="82">
        <v>0.62</v>
      </c>
      <c r="I66" s="82">
        <v>0.63</v>
      </c>
    </row>
    <row r="67" spans="1:9" x14ac:dyDescent="0.2">
      <c r="A67" s="2" t="s">
        <v>923</v>
      </c>
      <c r="B67" t="s">
        <v>1880</v>
      </c>
      <c r="C67" t="s">
        <v>2096</v>
      </c>
      <c r="D67" s="95">
        <v>2.1099537037037038E-2</v>
      </c>
      <c r="E67" s="44">
        <v>2.074074074074074E-2</v>
      </c>
      <c r="F67" s="44">
        <v>2.0393518518518519E-2</v>
      </c>
      <c r="G67" s="43">
        <v>2.0057870370370368E-2</v>
      </c>
      <c r="H67" s="43">
        <v>1.9733796296296298E-2</v>
      </c>
      <c r="I67" s="149">
        <v>1.9421296296296294E-2</v>
      </c>
    </row>
    <row r="70" spans="1:9" x14ac:dyDescent="0.2">
      <c r="A70" s="2" t="s">
        <v>7549</v>
      </c>
    </row>
    <row r="71" spans="1:9" x14ac:dyDescent="0.2">
      <c r="A71" s="80" t="s">
        <v>7548</v>
      </c>
    </row>
    <row r="72" spans="1:9" ht="25.5" x14ac:dyDescent="0.2">
      <c r="A72" s="609" t="s">
        <v>7330</v>
      </c>
      <c r="B72" s="608">
        <v>492</v>
      </c>
    </row>
    <row r="73" spans="1:9" x14ac:dyDescent="0.2">
      <c r="A73" s="609" t="s">
        <v>6952</v>
      </c>
      <c r="B73" s="608">
        <v>491</v>
      </c>
    </row>
    <row r="74" spans="1:9" x14ac:dyDescent="0.2">
      <c r="A74" s="609" t="s">
        <v>7422</v>
      </c>
      <c r="B74" s="608">
        <v>482</v>
      </c>
    </row>
    <row r="75" spans="1:9" x14ac:dyDescent="0.2">
      <c r="A75" s="609" t="s">
        <v>6657</v>
      </c>
      <c r="B75" s="608">
        <v>479</v>
      </c>
    </row>
    <row r="76" spans="1:9" x14ac:dyDescent="0.2">
      <c r="A76" s="609" t="s">
        <v>7055</v>
      </c>
      <c r="B76" s="608">
        <v>472</v>
      </c>
    </row>
    <row r="77" spans="1:9" x14ac:dyDescent="0.2">
      <c r="A77" s="609" t="s">
        <v>7323</v>
      </c>
      <c r="B77" s="608">
        <v>460</v>
      </c>
    </row>
    <row r="78" spans="1:9" x14ac:dyDescent="0.2">
      <c r="A78" s="609" t="s">
        <v>7457</v>
      </c>
      <c r="B78" s="608">
        <v>458</v>
      </c>
    </row>
    <row r="79" spans="1:9" x14ac:dyDescent="0.2">
      <c r="A79" s="609" t="s">
        <v>6557</v>
      </c>
      <c r="B79" s="608">
        <v>454</v>
      </c>
    </row>
    <row r="80" spans="1:9" x14ac:dyDescent="0.2">
      <c r="A80" s="609" t="s">
        <v>6513</v>
      </c>
      <c r="B80" s="608">
        <v>448</v>
      </c>
    </row>
    <row r="81" spans="1:2" x14ac:dyDescent="0.2">
      <c r="A81" s="609" t="s">
        <v>6465</v>
      </c>
      <c r="B81" s="608">
        <v>445</v>
      </c>
    </row>
    <row r="82" spans="1:2" x14ac:dyDescent="0.2">
      <c r="A82" s="609" t="s">
        <v>6522</v>
      </c>
      <c r="B82" s="608">
        <v>443</v>
      </c>
    </row>
    <row r="83" spans="1:2" x14ac:dyDescent="0.2">
      <c r="A83" s="609" t="s">
        <v>6723</v>
      </c>
      <c r="B83" s="608">
        <v>442</v>
      </c>
    </row>
    <row r="84" spans="1:2" x14ac:dyDescent="0.2">
      <c r="A84" s="609" t="s">
        <v>6701</v>
      </c>
      <c r="B84" s="608">
        <v>436</v>
      </c>
    </row>
    <row r="85" spans="1:2" x14ac:dyDescent="0.2">
      <c r="A85" s="609" t="s">
        <v>6643</v>
      </c>
      <c r="B85" s="608">
        <v>435</v>
      </c>
    </row>
    <row r="86" spans="1:2" x14ac:dyDescent="0.2">
      <c r="A86" s="609" t="s">
        <v>7260</v>
      </c>
      <c r="B86" s="608">
        <v>432</v>
      </c>
    </row>
    <row r="87" spans="1:2" x14ac:dyDescent="0.2">
      <c r="A87" s="609" t="s">
        <v>7456</v>
      </c>
      <c r="B87" s="608">
        <v>429</v>
      </c>
    </row>
    <row r="88" spans="1:2" x14ac:dyDescent="0.2">
      <c r="A88" s="609" t="s">
        <v>6843</v>
      </c>
      <c r="B88" s="608">
        <v>425</v>
      </c>
    </row>
    <row r="89" spans="1:2" x14ac:dyDescent="0.2">
      <c r="A89" s="609" t="s">
        <v>6474</v>
      </c>
      <c r="B89" s="608">
        <v>424</v>
      </c>
    </row>
    <row r="90" spans="1:2" x14ac:dyDescent="0.2">
      <c r="A90" s="609" t="s">
        <v>6619</v>
      </c>
      <c r="B90" s="608">
        <v>424</v>
      </c>
    </row>
    <row r="91" spans="1:2" x14ac:dyDescent="0.2">
      <c r="A91" s="609" t="s">
        <v>6895</v>
      </c>
      <c r="B91" s="608">
        <v>424</v>
      </c>
    </row>
    <row r="92" spans="1:2" x14ac:dyDescent="0.2">
      <c r="A92" s="609" t="s">
        <v>6594</v>
      </c>
      <c r="B92" s="608">
        <v>423</v>
      </c>
    </row>
    <row r="93" spans="1:2" ht="25.5" x14ac:dyDescent="0.2">
      <c r="A93" s="609" t="s">
        <v>6741</v>
      </c>
      <c r="B93" s="608">
        <v>423</v>
      </c>
    </row>
    <row r="94" spans="1:2" x14ac:dyDescent="0.2">
      <c r="A94" s="609" t="s">
        <v>6468</v>
      </c>
      <c r="B94" s="608">
        <v>422</v>
      </c>
    </row>
    <row r="95" spans="1:2" x14ac:dyDescent="0.2">
      <c r="A95" s="609" t="s">
        <v>7462</v>
      </c>
      <c r="B95" s="608">
        <v>422</v>
      </c>
    </row>
    <row r="96" spans="1:2" x14ac:dyDescent="0.2">
      <c r="A96" s="609" t="s">
        <v>7138</v>
      </c>
      <c r="B96" s="608">
        <v>420</v>
      </c>
    </row>
    <row r="97" spans="1:2" x14ac:dyDescent="0.2">
      <c r="A97" s="609" t="s">
        <v>6800</v>
      </c>
      <c r="B97" s="608">
        <v>419</v>
      </c>
    </row>
    <row r="98" spans="1:2" x14ac:dyDescent="0.2">
      <c r="A98" s="609" t="s">
        <v>6626</v>
      </c>
      <c r="B98" s="608">
        <v>416</v>
      </c>
    </row>
    <row r="99" spans="1:2" x14ac:dyDescent="0.2">
      <c r="A99" s="609" t="s">
        <v>7244</v>
      </c>
      <c r="B99" s="608">
        <v>415</v>
      </c>
    </row>
    <row r="100" spans="1:2" x14ac:dyDescent="0.2">
      <c r="A100" s="609" t="s">
        <v>7002</v>
      </c>
      <c r="B100" s="608">
        <v>414</v>
      </c>
    </row>
    <row r="101" spans="1:2" x14ac:dyDescent="0.2">
      <c r="A101" s="609" t="s">
        <v>7214</v>
      </c>
      <c r="B101" s="608">
        <v>414</v>
      </c>
    </row>
    <row r="102" spans="1:2" x14ac:dyDescent="0.2">
      <c r="A102" s="609" t="s">
        <v>7075</v>
      </c>
      <c r="B102" s="608">
        <v>410</v>
      </c>
    </row>
    <row r="103" spans="1:2" x14ac:dyDescent="0.2">
      <c r="A103" s="609" t="s">
        <v>6720</v>
      </c>
      <c r="B103" s="608">
        <v>409</v>
      </c>
    </row>
    <row r="104" spans="1:2" x14ac:dyDescent="0.2">
      <c r="A104" s="609" t="s">
        <v>6782</v>
      </c>
      <c r="B104" s="608">
        <v>409</v>
      </c>
    </row>
    <row r="105" spans="1:2" x14ac:dyDescent="0.2">
      <c r="A105" s="609" t="s">
        <v>6683</v>
      </c>
      <c r="B105" s="608">
        <v>408</v>
      </c>
    </row>
    <row r="106" spans="1:2" x14ac:dyDescent="0.2">
      <c r="A106" s="609" t="s">
        <v>6699</v>
      </c>
      <c r="B106" s="608">
        <v>408</v>
      </c>
    </row>
    <row r="107" spans="1:2" ht="25.5" x14ac:dyDescent="0.2">
      <c r="A107" s="609" t="s">
        <v>6729</v>
      </c>
      <c r="B107" s="608">
        <v>408</v>
      </c>
    </row>
    <row r="108" spans="1:2" x14ac:dyDescent="0.2">
      <c r="A108" s="609" t="s">
        <v>7379</v>
      </c>
      <c r="B108" s="608">
        <v>408</v>
      </c>
    </row>
    <row r="109" spans="1:2" x14ac:dyDescent="0.2">
      <c r="A109" s="609" t="s">
        <v>6759</v>
      </c>
      <c r="B109" s="608">
        <v>403</v>
      </c>
    </row>
    <row r="110" spans="1:2" x14ac:dyDescent="0.2">
      <c r="A110" s="609" t="s">
        <v>6731</v>
      </c>
      <c r="B110" s="608">
        <v>400</v>
      </c>
    </row>
    <row r="111" spans="1:2" x14ac:dyDescent="0.2">
      <c r="A111" s="609" t="s">
        <v>7185</v>
      </c>
      <c r="B111" s="608">
        <v>400</v>
      </c>
    </row>
    <row r="112" spans="1:2" x14ac:dyDescent="0.2">
      <c r="A112" s="609" t="s">
        <v>7317</v>
      </c>
      <c r="B112" s="608">
        <v>400</v>
      </c>
    </row>
    <row r="113" spans="1:2" ht="25.5" x14ac:dyDescent="0.2">
      <c r="A113" s="609" t="s">
        <v>6618</v>
      </c>
      <c r="B113" s="608">
        <v>396</v>
      </c>
    </row>
    <row r="114" spans="1:2" x14ac:dyDescent="0.2">
      <c r="A114" s="609" t="s">
        <v>7088</v>
      </c>
      <c r="B114" s="608">
        <v>396</v>
      </c>
    </row>
    <row r="115" spans="1:2" x14ac:dyDescent="0.2">
      <c r="A115" s="609" t="s">
        <v>7094</v>
      </c>
      <c r="B115" s="608">
        <v>396</v>
      </c>
    </row>
    <row r="116" spans="1:2" x14ac:dyDescent="0.2">
      <c r="A116" s="609" t="s">
        <v>7199</v>
      </c>
      <c r="B116" s="608">
        <v>396</v>
      </c>
    </row>
    <row r="117" spans="1:2" x14ac:dyDescent="0.2">
      <c r="A117" s="609" t="s">
        <v>7477</v>
      </c>
      <c r="B117" s="608">
        <v>396</v>
      </c>
    </row>
    <row r="118" spans="1:2" x14ac:dyDescent="0.2">
      <c r="A118" s="609" t="s">
        <v>7118</v>
      </c>
      <c r="B118" s="608">
        <v>395</v>
      </c>
    </row>
    <row r="119" spans="1:2" x14ac:dyDescent="0.2">
      <c r="A119" s="609" t="s">
        <v>7201</v>
      </c>
      <c r="B119" s="608">
        <v>395</v>
      </c>
    </row>
    <row r="120" spans="1:2" x14ac:dyDescent="0.2">
      <c r="A120" s="609" t="s">
        <v>7222</v>
      </c>
      <c r="B120" s="608">
        <v>395</v>
      </c>
    </row>
    <row r="121" spans="1:2" x14ac:dyDescent="0.2">
      <c r="A121" s="609" t="s">
        <v>7090</v>
      </c>
      <c r="B121" s="608">
        <v>394</v>
      </c>
    </row>
    <row r="122" spans="1:2" x14ac:dyDescent="0.2">
      <c r="A122" s="609" t="s">
        <v>7409</v>
      </c>
      <c r="B122" s="608">
        <v>394</v>
      </c>
    </row>
    <row r="123" spans="1:2" x14ac:dyDescent="0.2">
      <c r="A123" s="609" t="s">
        <v>7021</v>
      </c>
      <c r="B123" s="608">
        <v>393</v>
      </c>
    </row>
    <row r="124" spans="1:2" x14ac:dyDescent="0.2">
      <c r="A124" s="609" t="s">
        <v>6633</v>
      </c>
      <c r="B124" s="608">
        <v>392</v>
      </c>
    </row>
    <row r="125" spans="1:2" ht="25.5" x14ac:dyDescent="0.2">
      <c r="A125" s="609" t="s">
        <v>6679</v>
      </c>
      <c r="B125" s="608">
        <v>392</v>
      </c>
    </row>
    <row r="126" spans="1:2" x14ac:dyDescent="0.2">
      <c r="A126" s="609" t="s">
        <v>6512</v>
      </c>
      <c r="B126" s="608">
        <v>391</v>
      </c>
    </row>
    <row r="127" spans="1:2" x14ac:dyDescent="0.2">
      <c r="A127" s="609" t="s">
        <v>6569</v>
      </c>
      <c r="B127" s="608">
        <v>391</v>
      </c>
    </row>
    <row r="128" spans="1:2" x14ac:dyDescent="0.2">
      <c r="A128" s="609" t="s">
        <v>6651</v>
      </c>
      <c r="B128" s="608">
        <v>391</v>
      </c>
    </row>
    <row r="129" spans="1:2" x14ac:dyDescent="0.2">
      <c r="A129" s="609" t="s">
        <v>6922</v>
      </c>
      <c r="B129" s="608">
        <v>390</v>
      </c>
    </row>
    <row r="130" spans="1:2" x14ac:dyDescent="0.2">
      <c r="A130" s="609" t="s">
        <v>7527</v>
      </c>
      <c r="B130" s="608">
        <v>390</v>
      </c>
    </row>
    <row r="131" spans="1:2" x14ac:dyDescent="0.2">
      <c r="A131" s="609" t="s">
        <v>6628</v>
      </c>
      <c r="B131" s="608">
        <v>389</v>
      </c>
    </row>
    <row r="132" spans="1:2" x14ac:dyDescent="0.2">
      <c r="A132" s="609" t="s">
        <v>7263</v>
      </c>
      <c r="B132" s="608">
        <v>388</v>
      </c>
    </row>
    <row r="133" spans="1:2" x14ac:dyDescent="0.2">
      <c r="A133" s="609" t="s">
        <v>7353</v>
      </c>
      <c r="B133" s="608">
        <v>388</v>
      </c>
    </row>
    <row r="134" spans="1:2" x14ac:dyDescent="0.2">
      <c r="A134" s="609" t="s">
        <v>7403</v>
      </c>
      <c r="B134" s="608">
        <v>388</v>
      </c>
    </row>
    <row r="135" spans="1:2" x14ac:dyDescent="0.2">
      <c r="A135" s="609" t="s">
        <v>6687</v>
      </c>
      <c r="B135" s="608">
        <v>387</v>
      </c>
    </row>
    <row r="136" spans="1:2" x14ac:dyDescent="0.2">
      <c r="A136" s="609" t="s">
        <v>7443</v>
      </c>
      <c r="B136" s="608">
        <v>387</v>
      </c>
    </row>
    <row r="137" spans="1:2" x14ac:dyDescent="0.2">
      <c r="A137" s="609" t="s">
        <v>7294</v>
      </c>
      <c r="B137" s="608">
        <v>384</v>
      </c>
    </row>
    <row r="138" spans="1:2" x14ac:dyDescent="0.2">
      <c r="A138" s="609" t="s">
        <v>6600</v>
      </c>
      <c r="B138" s="608">
        <v>382</v>
      </c>
    </row>
    <row r="139" spans="1:2" ht="38.25" x14ac:dyDescent="0.2">
      <c r="A139" s="609" t="s">
        <v>6604</v>
      </c>
      <c r="B139" s="608">
        <v>382</v>
      </c>
    </row>
    <row r="140" spans="1:2" x14ac:dyDescent="0.2">
      <c r="A140" s="609" t="s">
        <v>6631</v>
      </c>
      <c r="B140" s="608">
        <v>382</v>
      </c>
    </row>
    <row r="141" spans="1:2" x14ac:dyDescent="0.2">
      <c r="A141" s="609" t="s">
        <v>6855</v>
      </c>
      <c r="B141" s="608">
        <v>382</v>
      </c>
    </row>
    <row r="142" spans="1:2" x14ac:dyDescent="0.2">
      <c r="A142" s="609" t="s">
        <v>6924</v>
      </c>
      <c r="B142" s="608">
        <v>382</v>
      </c>
    </row>
    <row r="143" spans="1:2" x14ac:dyDescent="0.2">
      <c r="A143" s="609" t="s">
        <v>7383</v>
      </c>
      <c r="B143" s="608">
        <v>382</v>
      </c>
    </row>
    <row r="144" spans="1:2" x14ac:dyDescent="0.2">
      <c r="A144" s="609" t="s">
        <v>7389</v>
      </c>
      <c r="B144" s="608">
        <v>382</v>
      </c>
    </row>
    <row r="145" spans="1:2" x14ac:dyDescent="0.2">
      <c r="A145" s="609" t="s">
        <v>7432</v>
      </c>
      <c r="B145" s="608">
        <v>382</v>
      </c>
    </row>
    <row r="146" spans="1:2" x14ac:dyDescent="0.2">
      <c r="A146" s="609" t="s">
        <v>6602</v>
      </c>
      <c r="B146" s="608">
        <v>381</v>
      </c>
    </row>
    <row r="147" spans="1:2" x14ac:dyDescent="0.2">
      <c r="A147" s="609" t="s">
        <v>6863</v>
      </c>
      <c r="B147" s="608">
        <v>381</v>
      </c>
    </row>
    <row r="148" spans="1:2" x14ac:dyDescent="0.2">
      <c r="A148" s="609" t="s">
        <v>6697</v>
      </c>
      <c r="B148" s="608">
        <v>380</v>
      </c>
    </row>
    <row r="149" spans="1:2" x14ac:dyDescent="0.2">
      <c r="A149" s="609" t="s">
        <v>7378</v>
      </c>
      <c r="B149" s="608">
        <v>380</v>
      </c>
    </row>
    <row r="150" spans="1:2" x14ac:dyDescent="0.2">
      <c r="A150" s="609" t="s">
        <v>6866</v>
      </c>
      <c r="B150" s="608">
        <v>376</v>
      </c>
    </row>
    <row r="151" spans="1:2" x14ac:dyDescent="0.2">
      <c r="A151" s="609" t="s">
        <v>6883</v>
      </c>
      <c r="B151" s="608">
        <v>375</v>
      </c>
    </row>
    <row r="152" spans="1:2" x14ac:dyDescent="0.2">
      <c r="A152" s="609" t="s">
        <v>7048</v>
      </c>
      <c r="B152" s="608">
        <v>375</v>
      </c>
    </row>
    <row r="153" spans="1:2" x14ac:dyDescent="0.2">
      <c r="A153" s="609" t="s">
        <v>7213</v>
      </c>
      <c r="B153" s="608">
        <v>374</v>
      </c>
    </row>
    <row r="154" spans="1:2" x14ac:dyDescent="0.2">
      <c r="A154" s="609" t="s">
        <v>7526</v>
      </c>
      <c r="B154" s="608">
        <v>374</v>
      </c>
    </row>
    <row r="155" spans="1:2" ht="25.5" x14ac:dyDescent="0.2">
      <c r="A155" s="609" t="s">
        <v>6496</v>
      </c>
      <c r="B155" s="608">
        <v>372</v>
      </c>
    </row>
    <row r="156" spans="1:2" x14ac:dyDescent="0.2">
      <c r="A156" s="609" t="s">
        <v>6520</v>
      </c>
      <c r="B156" s="608">
        <v>372</v>
      </c>
    </row>
    <row r="157" spans="1:2" x14ac:dyDescent="0.2">
      <c r="A157" s="609" t="s">
        <v>6751</v>
      </c>
      <c r="B157" s="608">
        <v>372</v>
      </c>
    </row>
    <row r="158" spans="1:2" x14ac:dyDescent="0.2">
      <c r="A158" s="609" t="s">
        <v>6849</v>
      </c>
      <c r="B158" s="608">
        <v>372</v>
      </c>
    </row>
    <row r="159" spans="1:2" x14ac:dyDescent="0.2">
      <c r="A159" s="609" t="s">
        <v>7041</v>
      </c>
      <c r="B159" s="608">
        <v>372</v>
      </c>
    </row>
    <row r="160" spans="1:2" x14ac:dyDescent="0.2">
      <c r="A160" s="609" t="s">
        <v>6576</v>
      </c>
      <c r="B160" s="608">
        <v>370</v>
      </c>
    </row>
    <row r="161" spans="1:2" x14ac:dyDescent="0.2">
      <c r="A161" s="609" t="s">
        <v>7083</v>
      </c>
      <c r="B161" s="608">
        <v>370</v>
      </c>
    </row>
    <row r="162" spans="1:2" ht="25.5" x14ac:dyDescent="0.2">
      <c r="A162" s="609" t="s">
        <v>7399</v>
      </c>
      <c r="B162" s="608">
        <v>370</v>
      </c>
    </row>
    <row r="163" spans="1:2" x14ac:dyDescent="0.2">
      <c r="A163" s="609" t="s">
        <v>6688</v>
      </c>
      <c r="B163" s="608">
        <v>368</v>
      </c>
    </row>
    <row r="164" spans="1:2" x14ac:dyDescent="0.2">
      <c r="A164" s="609" t="s">
        <v>7227</v>
      </c>
      <c r="B164" s="608">
        <v>368</v>
      </c>
    </row>
    <row r="165" spans="1:2" ht="25.5" x14ac:dyDescent="0.2">
      <c r="A165" s="609" t="s">
        <v>7415</v>
      </c>
      <c r="B165" s="608">
        <v>368</v>
      </c>
    </row>
    <row r="166" spans="1:2" x14ac:dyDescent="0.2">
      <c r="A166" s="609" t="s">
        <v>7144</v>
      </c>
      <c r="B166" s="608">
        <v>367</v>
      </c>
    </row>
    <row r="167" spans="1:2" ht="25.5" x14ac:dyDescent="0.2">
      <c r="A167" s="609" t="s">
        <v>6558</v>
      </c>
      <c r="B167" s="608">
        <v>366</v>
      </c>
    </row>
    <row r="168" spans="1:2" x14ac:dyDescent="0.2">
      <c r="A168" s="609" t="s">
        <v>6733</v>
      </c>
      <c r="B168" s="608">
        <v>365</v>
      </c>
    </row>
    <row r="169" spans="1:2" x14ac:dyDescent="0.2">
      <c r="A169" s="609" t="s">
        <v>6762</v>
      </c>
      <c r="B169" s="608">
        <v>365</v>
      </c>
    </row>
    <row r="170" spans="1:2" x14ac:dyDescent="0.2">
      <c r="A170" s="609" t="s">
        <v>7242</v>
      </c>
      <c r="B170" s="608">
        <v>365</v>
      </c>
    </row>
    <row r="171" spans="1:2" x14ac:dyDescent="0.2">
      <c r="A171" s="609" t="s">
        <v>7388</v>
      </c>
      <c r="B171" s="608">
        <v>365</v>
      </c>
    </row>
    <row r="172" spans="1:2" x14ac:dyDescent="0.2">
      <c r="A172" s="609" t="s">
        <v>6745</v>
      </c>
      <c r="B172" s="608">
        <v>364</v>
      </c>
    </row>
    <row r="173" spans="1:2" x14ac:dyDescent="0.2">
      <c r="A173" s="609" t="s">
        <v>7109</v>
      </c>
      <c r="B173" s="608">
        <v>364</v>
      </c>
    </row>
    <row r="174" spans="1:2" ht="25.5" x14ac:dyDescent="0.2">
      <c r="A174" s="609" t="s">
        <v>7286</v>
      </c>
      <c r="B174" s="608">
        <v>364</v>
      </c>
    </row>
    <row r="175" spans="1:2" x14ac:dyDescent="0.2">
      <c r="A175" s="609" t="s">
        <v>7231</v>
      </c>
      <c r="B175" s="608">
        <v>362</v>
      </c>
    </row>
    <row r="176" spans="1:2" ht="25.5" x14ac:dyDescent="0.2">
      <c r="A176" s="609" t="s">
        <v>7164</v>
      </c>
      <c r="B176" s="608">
        <v>361</v>
      </c>
    </row>
    <row r="177" spans="1:2" x14ac:dyDescent="0.2">
      <c r="A177" s="609" t="s">
        <v>7437</v>
      </c>
      <c r="B177" s="608">
        <v>361</v>
      </c>
    </row>
    <row r="178" spans="1:2" x14ac:dyDescent="0.2">
      <c r="A178" s="609" t="s">
        <v>7029</v>
      </c>
      <c r="B178" s="608">
        <v>360</v>
      </c>
    </row>
    <row r="179" spans="1:2" x14ac:dyDescent="0.2">
      <c r="A179" s="609" t="s">
        <v>7062</v>
      </c>
      <c r="B179" s="608">
        <v>359</v>
      </c>
    </row>
    <row r="180" spans="1:2" x14ac:dyDescent="0.2">
      <c r="A180" s="609" t="s">
        <v>6529</v>
      </c>
      <c r="B180" s="608">
        <v>358</v>
      </c>
    </row>
    <row r="181" spans="1:2" x14ac:dyDescent="0.2">
      <c r="A181" s="609" t="s">
        <v>6909</v>
      </c>
      <c r="B181" s="608">
        <v>357</v>
      </c>
    </row>
    <row r="182" spans="1:2" x14ac:dyDescent="0.2">
      <c r="A182" s="609" t="s">
        <v>6954</v>
      </c>
      <c r="B182" s="608">
        <v>357</v>
      </c>
    </row>
    <row r="183" spans="1:2" x14ac:dyDescent="0.2">
      <c r="A183" s="609" t="s">
        <v>7223</v>
      </c>
      <c r="B183" s="608">
        <v>357</v>
      </c>
    </row>
    <row r="184" spans="1:2" x14ac:dyDescent="0.2">
      <c r="A184" s="609" t="s">
        <v>7435</v>
      </c>
      <c r="B184" s="608">
        <v>357</v>
      </c>
    </row>
    <row r="185" spans="1:2" x14ac:dyDescent="0.2">
      <c r="A185" s="609" t="s">
        <v>6672</v>
      </c>
      <c r="B185" s="608">
        <v>355</v>
      </c>
    </row>
    <row r="186" spans="1:2" x14ac:dyDescent="0.2">
      <c r="A186" s="609" t="s">
        <v>6755</v>
      </c>
      <c r="B186" s="608">
        <v>355</v>
      </c>
    </row>
    <row r="187" spans="1:2" x14ac:dyDescent="0.2">
      <c r="A187" s="609" t="s">
        <v>6574</v>
      </c>
      <c r="B187" s="608">
        <v>354</v>
      </c>
    </row>
    <row r="188" spans="1:2" x14ac:dyDescent="0.2">
      <c r="A188" s="609" t="s">
        <v>6510</v>
      </c>
      <c r="B188" s="608">
        <v>353</v>
      </c>
    </row>
    <row r="189" spans="1:2" x14ac:dyDescent="0.2">
      <c r="A189" s="609" t="s">
        <v>7271</v>
      </c>
      <c r="B189" s="608">
        <v>353</v>
      </c>
    </row>
    <row r="190" spans="1:2" x14ac:dyDescent="0.2">
      <c r="A190" s="609" t="s">
        <v>6488</v>
      </c>
      <c r="B190" s="608">
        <v>352</v>
      </c>
    </row>
    <row r="191" spans="1:2" x14ac:dyDescent="0.2">
      <c r="A191" s="609" t="s">
        <v>6668</v>
      </c>
      <c r="B191" s="608">
        <v>351</v>
      </c>
    </row>
    <row r="192" spans="1:2" x14ac:dyDescent="0.2">
      <c r="A192" s="609" t="s">
        <v>6727</v>
      </c>
      <c r="B192" s="608">
        <v>351</v>
      </c>
    </row>
    <row r="193" spans="1:2" x14ac:dyDescent="0.2">
      <c r="A193" s="609" t="s">
        <v>7158</v>
      </c>
      <c r="B193" s="608">
        <v>351</v>
      </c>
    </row>
    <row r="194" spans="1:2" x14ac:dyDescent="0.2">
      <c r="A194" s="609" t="s">
        <v>7328</v>
      </c>
      <c r="B194" s="608">
        <v>351</v>
      </c>
    </row>
    <row r="195" spans="1:2" x14ac:dyDescent="0.2">
      <c r="A195" s="609" t="s">
        <v>7490</v>
      </c>
      <c r="B195" s="608">
        <v>351</v>
      </c>
    </row>
    <row r="196" spans="1:2" x14ac:dyDescent="0.2">
      <c r="A196" s="609" t="s">
        <v>6712</v>
      </c>
      <c r="B196" s="608">
        <v>350</v>
      </c>
    </row>
    <row r="197" spans="1:2" x14ac:dyDescent="0.2">
      <c r="A197" s="609" t="s">
        <v>7076</v>
      </c>
      <c r="B197" s="608">
        <v>350</v>
      </c>
    </row>
    <row r="198" spans="1:2" x14ac:dyDescent="0.2">
      <c r="A198" s="609" t="s">
        <v>7211</v>
      </c>
      <c r="B198" s="608">
        <v>350</v>
      </c>
    </row>
    <row r="199" spans="1:2" x14ac:dyDescent="0.2">
      <c r="A199" s="609" t="s">
        <v>7246</v>
      </c>
      <c r="B199" s="608">
        <v>350</v>
      </c>
    </row>
    <row r="200" spans="1:2" x14ac:dyDescent="0.2">
      <c r="A200" s="609" t="s">
        <v>7261</v>
      </c>
      <c r="B200" s="608">
        <v>350</v>
      </c>
    </row>
    <row r="201" spans="1:2" ht="25.5" x14ac:dyDescent="0.2">
      <c r="A201" s="609" t="s">
        <v>6642</v>
      </c>
      <c r="B201" s="608">
        <v>349</v>
      </c>
    </row>
    <row r="202" spans="1:2" x14ac:dyDescent="0.2">
      <c r="A202" s="609" t="s">
        <v>7033</v>
      </c>
      <c r="B202" s="608">
        <v>349</v>
      </c>
    </row>
    <row r="203" spans="1:2" x14ac:dyDescent="0.2">
      <c r="A203" s="609" t="s">
        <v>7424</v>
      </c>
      <c r="B203" s="608">
        <v>349</v>
      </c>
    </row>
    <row r="204" spans="1:2" ht="25.5" x14ac:dyDescent="0.2">
      <c r="A204" s="609" t="s">
        <v>6689</v>
      </c>
      <c r="B204" s="608">
        <v>348</v>
      </c>
    </row>
    <row r="205" spans="1:2" x14ac:dyDescent="0.2">
      <c r="A205" s="609" t="s">
        <v>6799</v>
      </c>
      <c r="B205" s="608">
        <v>348</v>
      </c>
    </row>
    <row r="206" spans="1:2" x14ac:dyDescent="0.2">
      <c r="A206" s="609" t="s">
        <v>6867</v>
      </c>
      <c r="B206" s="608">
        <v>348</v>
      </c>
    </row>
    <row r="207" spans="1:2" x14ac:dyDescent="0.2">
      <c r="A207" s="609" t="s">
        <v>7302</v>
      </c>
      <c r="B207" s="608">
        <v>348</v>
      </c>
    </row>
    <row r="208" spans="1:2" ht="25.5" x14ac:dyDescent="0.2">
      <c r="A208" s="609" t="s">
        <v>6493</v>
      </c>
      <c r="B208" s="608">
        <v>347</v>
      </c>
    </row>
    <row r="209" spans="1:2" x14ac:dyDescent="0.2">
      <c r="A209" s="609" t="s">
        <v>6625</v>
      </c>
      <c r="B209" s="608">
        <v>347</v>
      </c>
    </row>
    <row r="210" spans="1:2" x14ac:dyDescent="0.2">
      <c r="A210" s="609" t="s">
        <v>7210</v>
      </c>
      <c r="B210" s="608">
        <v>347</v>
      </c>
    </row>
    <row r="211" spans="1:2" x14ac:dyDescent="0.2">
      <c r="A211" s="609" t="s">
        <v>7438</v>
      </c>
      <c r="B211" s="608">
        <v>347</v>
      </c>
    </row>
    <row r="212" spans="1:2" x14ac:dyDescent="0.2">
      <c r="A212" s="609" t="s">
        <v>6479</v>
      </c>
      <c r="B212" s="608">
        <v>346</v>
      </c>
    </row>
    <row r="213" spans="1:2" x14ac:dyDescent="0.2">
      <c r="A213" s="609" t="s">
        <v>7006</v>
      </c>
      <c r="B213" s="608">
        <v>346</v>
      </c>
    </row>
    <row r="214" spans="1:2" x14ac:dyDescent="0.2">
      <c r="A214" s="609" t="s">
        <v>7469</v>
      </c>
      <c r="B214" s="608">
        <v>346</v>
      </c>
    </row>
    <row r="215" spans="1:2" x14ac:dyDescent="0.2">
      <c r="A215" s="609" t="s">
        <v>7486</v>
      </c>
      <c r="B215" s="608">
        <v>346</v>
      </c>
    </row>
    <row r="216" spans="1:2" x14ac:dyDescent="0.2">
      <c r="A216" s="609" t="s">
        <v>6912</v>
      </c>
      <c r="B216" s="608">
        <v>345</v>
      </c>
    </row>
    <row r="217" spans="1:2" x14ac:dyDescent="0.2">
      <c r="A217" s="609" t="s">
        <v>7128</v>
      </c>
      <c r="B217" s="608">
        <v>345</v>
      </c>
    </row>
    <row r="218" spans="1:2" x14ac:dyDescent="0.2">
      <c r="A218" s="609" t="s">
        <v>6862</v>
      </c>
      <c r="B218" s="608">
        <v>344</v>
      </c>
    </row>
    <row r="219" spans="1:2" ht="25.5" x14ac:dyDescent="0.2">
      <c r="A219" s="609" t="s">
        <v>7110</v>
      </c>
      <c r="B219" s="608">
        <v>344</v>
      </c>
    </row>
    <row r="220" spans="1:2" x14ac:dyDescent="0.2">
      <c r="A220" s="609" t="s">
        <v>6541</v>
      </c>
      <c r="B220" s="608">
        <v>343</v>
      </c>
    </row>
    <row r="221" spans="1:2" x14ac:dyDescent="0.2">
      <c r="A221" s="609" t="s">
        <v>6591</v>
      </c>
      <c r="B221" s="608">
        <v>343</v>
      </c>
    </row>
    <row r="222" spans="1:2" x14ac:dyDescent="0.2">
      <c r="A222" s="609" t="s">
        <v>6791</v>
      </c>
      <c r="B222" s="608">
        <v>343</v>
      </c>
    </row>
    <row r="223" spans="1:2" x14ac:dyDescent="0.2">
      <c r="A223" s="609" t="s">
        <v>7141</v>
      </c>
      <c r="B223" s="608">
        <v>343</v>
      </c>
    </row>
    <row r="224" spans="1:2" x14ac:dyDescent="0.2">
      <c r="A224" s="609" t="s">
        <v>7159</v>
      </c>
      <c r="B224" s="608">
        <v>343</v>
      </c>
    </row>
    <row r="225" spans="1:2" x14ac:dyDescent="0.2">
      <c r="A225" s="609" t="s">
        <v>7031</v>
      </c>
      <c r="B225" s="608">
        <v>342</v>
      </c>
    </row>
    <row r="226" spans="1:2" x14ac:dyDescent="0.2">
      <c r="A226" s="609" t="s">
        <v>6875</v>
      </c>
      <c r="B226" s="608">
        <v>341</v>
      </c>
    </row>
    <row r="227" spans="1:2" ht="25.5" x14ac:dyDescent="0.2">
      <c r="A227" s="609" t="s">
        <v>7305</v>
      </c>
      <c r="B227" s="608">
        <v>341</v>
      </c>
    </row>
    <row r="228" spans="1:2" ht="25.5" x14ac:dyDescent="0.2">
      <c r="A228" s="609" t="s">
        <v>7363</v>
      </c>
      <c r="B228" s="608">
        <v>341</v>
      </c>
    </row>
    <row r="229" spans="1:2" x14ac:dyDescent="0.2">
      <c r="A229" s="609" t="s">
        <v>7479</v>
      </c>
      <c r="B229" s="608">
        <v>341</v>
      </c>
    </row>
    <row r="230" spans="1:2" x14ac:dyDescent="0.2">
      <c r="A230" s="609" t="s">
        <v>7536</v>
      </c>
      <c r="B230" s="608">
        <v>341</v>
      </c>
    </row>
    <row r="231" spans="1:2" x14ac:dyDescent="0.2">
      <c r="A231" s="609" t="s">
        <v>6514</v>
      </c>
      <c r="B231" s="608">
        <v>340</v>
      </c>
    </row>
    <row r="232" spans="1:2" x14ac:dyDescent="0.2">
      <c r="A232" s="609" t="s">
        <v>7106</v>
      </c>
      <c r="B232" s="608">
        <v>339</v>
      </c>
    </row>
    <row r="233" spans="1:2" x14ac:dyDescent="0.2">
      <c r="A233" s="609" t="s">
        <v>7499</v>
      </c>
      <c r="B233" s="608">
        <v>338</v>
      </c>
    </row>
    <row r="234" spans="1:2" x14ac:dyDescent="0.2">
      <c r="A234" s="609" t="s">
        <v>7528</v>
      </c>
      <c r="B234" s="608">
        <v>338</v>
      </c>
    </row>
    <row r="235" spans="1:2" x14ac:dyDescent="0.2">
      <c r="A235" s="609" t="s">
        <v>7117</v>
      </c>
      <c r="B235" s="608">
        <v>337</v>
      </c>
    </row>
    <row r="236" spans="1:2" x14ac:dyDescent="0.2">
      <c r="A236" s="609" t="s">
        <v>7269</v>
      </c>
      <c r="B236" s="608">
        <v>337</v>
      </c>
    </row>
    <row r="237" spans="1:2" x14ac:dyDescent="0.2">
      <c r="A237" s="609" t="s">
        <v>6484</v>
      </c>
      <c r="B237" s="608">
        <v>336</v>
      </c>
    </row>
    <row r="238" spans="1:2" x14ac:dyDescent="0.2">
      <c r="A238" s="609" t="s">
        <v>6977</v>
      </c>
      <c r="B238" s="608">
        <v>336</v>
      </c>
    </row>
    <row r="239" spans="1:2" x14ac:dyDescent="0.2">
      <c r="A239" s="609" t="s">
        <v>7278</v>
      </c>
      <c r="B239" s="608">
        <v>336</v>
      </c>
    </row>
    <row r="240" spans="1:2" x14ac:dyDescent="0.2">
      <c r="A240" s="609" t="s">
        <v>7279</v>
      </c>
      <c r="B240" s="608">
        <v>335</v>
      </c>
    </row>
    <row r="241" spans="1:2" ht="25.5" x14ac:dyDescent="0.2">
      <c r="A241" s="609" t="s">
        <v>7339</v>
      </c>
      <c r="B241" s="608">
        <v>335</v>
      </c>
    </row>
    <row r="242" spans="1:2" x14ac:dyDescent="0.2">
      <c r="A242" s="609" t="s">
        <v>7368</v>
      </c>
      <c r="B242" s="608">
        <v>335</v>
      </c>
    </row>
    <row r="243" spans="1:2" x14ac:dyDescent="0.2">
      <c r="A243" s="609" t="s">
        <v>7471</v>
      </c>
      <c r="B243" s="608">
        <v>335</v>
      </c>
    </row>
    <row r="244" spans="1:2" ht="25.5" x14ac:dyDescent="0.2">
      <c r="A244" s="609" t="s">
        <v>7475</v>
      </c>
      <c r="B244" s="608">
        <v>335</v>
      </c>
    </row>
    <row r="245" spans="1:2" x14ac:dyDescent="0.2">
      <c r="A245" s="609" t="s">
        <v>7515</v>
      </c>
      <c r="B245" s="608">
        <v>335</v>
      </c>
    </row>
    <row r="246" spans="1:2" x14ac:dyDescent="0.2">
      <c r="A246" s="609" t="s">
        <v>6646</v>
      </c>
      <c r="B246" s="608">
        <v>334</v>
      </c>
    </row>
    <row r="247" spans="1:2" x14ac:dyDescent="0.2">
      <c r="A247" s="609" t="s">
        <v>6766</v>
      </c>
      <c r="B247" s="608">
        <v>334</v>
      </c>
    </row>
    <row r="248" spans="1:2" ht="25.5" x14ac:dyDescent="0.2">
      <c r="A248" s="609" t="s">
        <v>6811</v>
      </c>
      <c r="B248" s="608">
        <v>334</v>
      </c>
    </row>
    <row r="249" spans="1:2" ht="25.5" x14ac:dyDescent="0.2">
      <c r="A249" s="609" t="s">
        <v>6907</v>
      </c>
      <c r="B249" s="608">
        <v>334</v>
      </c>
    </row>
    <row r="250" spans="1:2" ht="25.5" x14ac:dyDescent="0.2">
      <c r="A250" s="609" t="s">
        <v>7080</v>
      </c>
      <c r="B250" s="608">
        <v>334</v>
      </c>
    </row>
    <row r="251" spans="1:2" x14ac:dyDescent="0.2">
      <c r="A251" s="609" t="s">
        <v>7108</v>
      </c>
      <c r="B251" s="608">
        <v>334</v>
      </c>
    </row>
    <row r="252" spans="1:2" ht="25.5" x14ac:dyDescent="0.2">
      <c r="A252" s="609" t="s">
        <v>6616</v>
      </c>
      <c r="B252" s="608">
        <v>333</v>
      </c>
    </row>
    <row r="253" spans="1:2" x14ac:dyDescent="0.2">
      <c r="A253" s="609" t="s">
        <v>6947</v>
      </c>
      <c r="B253" s="608">
        <v>333</v>
      </c>
    </row>
    <row r="254" spans="1:2" x14ac:dyDescent="0.2">
      <c r="A254" s="609" t="s">
        <v>6607</v>
      </c>
      <c r="B254" s="608">
        <v>332</v>
      </c>
    </row>
    <row r="255" spans="1:2" x14ac:dyDescent="0.2">
      <c r="A255" s="609" t="s">
        <v>6738</v>
      </c>
      <c r="B255" s="608">
        <v>332</v>
      </c>
    </row>
    <row r="256" spans="1:2" ht="25.5" x14ac:dyDescent="0.2">
      <c r="A256" s="609" t="s">
        <v>6804</v>
      </c>
      <c r="B256" s="608">
        <v>332</v>
      </c>
    </row>
    <row r="257" spans="1:2" ht="25.5" x14ac:dyDescent="0.2">
      <c r="A257" s="609" t="s">
        <v>7039</v>
      </c>
      <c r="B257" s="608">
        <v>332</v>
      </c>
    </row>
    <row r="258" spans="1:2" ht="25.5" x14ac:dyDescent="0.2">
      <c r="A258" s="609" t="s">
        <v>7093</v>
      </c>
      <c r="B258" s="608">
        <v>332</v>
      </c>
    </row>
    <row r="259" spans="1:2" x14ac:dyDescent="0.2">
      <c r="A259" s="609" t="s">
        <v>7098</v>
      </c>
      <c r="B259" s="608">
        <v>332</v>
      </c>
    </row>
    <row r="260" spans="1:2" x14ac:dyDescent="0.2">
      <c r="A260" s="609" t="s">
        <v>7504</v>
      </c>
      <c r="B260" s="608">
        <v>332</v>
      </c>
    </row>
    <row r="261" spans="1:2" x14ac:dyDescent="0.2">
      <c r="A261" s="609" t="s">
        <v>6503</v>
      </c>
      <c r="B261" s="608">
        <v>331</v>
      </c>
    </row>
    <row r="262" spans="1:2" x14ac:dyDescent="0.2">
      <c r="A262" s="609" t="s">
        <v>7120</v>
      </c>
      <c r="B262" s="608">
        <v>331</v>
      </c>
    </row>
    <row r="263" spans="1:2" x14ac:dyDescent="0.2">
      <c r="A263" s="609" t="s">
        <v>7161</v>
      </c>
      <c r="B263" s="608">
        <v>331</v>
      </c>
    </row>
    <row r="264" spans="1:2" x14ac:dyDescent="0.2">
      <c r="A264" s="609" t="s">
        <v>6588</v>
      </c>
      <c r="B264" s="608">
        <v>330</v>
      </c>
    </row>
    <row r="265" spans="1:2" ht="25.5" x14ac:dyDescent="0.2">
      <c r="A265" s="609" t="s">
        <v>6993</v>
      </c>
      <c r="B265" s="608">
        <v>330</v>
      </c>
    </row>
    <row r="266" spans="1:2" x14ac:dyDescent="0.2">
      <c r="A266" s="609" t="s">
        <v>7312</v>
      </c>
      <c r="B266" s="608">
        <v>330</v>
      </c>
    </row>
    <row r="267" spans="1:2" x14ac:dyDescent="0.2">
      <c r="A267" s="609" t="s">
        <v>7342</v>
      </c>
      <c r="B267" s="608">
        <v>330</v>
      </c>
    </row>
    <row r="268" spans="1:2" x14ac:dyDescent="0.2">
      <c r="A268" s="609" t="s">
        <v>7413</v>
      </c>
      <c r="B268" s="608">
        <v>330</v>
      </c>
    </row>
    <row r="269" spans="1:2" x14ac:dyDescent="0.2">
      <c r="A269" s="609" t="s">
        <v>7446</v>
      </c>
      <c r="B269" s="608">
        <v>330</v>
      </c>
    </row>
    <row r="270" spans="1:2" x14ac:dyDescent="0.2">
      <c r="A270" s="609" t="s">
        <v>7501</v>
      </c>
      <c r="B270" s="608">
        <v>330</v>
      </c>
    </row>
    <row r="271" spans="1:2" x14ac:dyDescent="0.2">
      <c r="A271" s="609" t="s">
        <v>7123</v>
      </c>
      <c r="B271" s="608">
        <v>329</v>
      </c>
    </row>
    <row r="272" spans="1:2" x14ac:dyDescent="0.2">
      <c r="A272" s="609" t="s">
        <v>7316</v>
      </c>
      <c r="B272" s="608">
        <v>329</v>
      </c>
    </row>
    <row r="273" spans="1:2" x14ac:dyDescent="0.2">
      <c r="A273" s="609" t="s">
        <v>7452</v>
      </c>
      <c r="B273" s="608">
        <v>329</v>
      </c>
    </row>
    <row r="274" spans="1:2" ht="25.5" x14ac:dyDescent="0.2">
      <c r="A274" s="609" t="s">
        <v>6476</v>
      </c>
      <c r="B274" s="608">
        <v>328</v>
      </c>
    </row>
    <row r="275" spans="1:2" x14ac:dyDescent="0.2">
      <c r="A275" s="609" t="s">
        <v>6620</v>
      </c>
      <c r="B275" s="608">
        <v>328</v>
      </c>
    </row>
    <row r="276" spans="1:2" x14ac:dyDescent="0.2">
      <c r="A276" s="609" t="s">
        <v>6700</v>
      </c>
      <c r="B276" s="608">
        <v>328</v>
      </c>
    </row>
    <row r="277" spans="1:2" x14ac:dyDescent="0.2">
      <c r="A277" s="609" t="s">
        <v>6808</v>
      </c>
      <c r="B277" s="608">
        <v>328</v>
      </c>
    </row>
    <row r="278" spans="1:2" x14ac:dyDescent="0.2">
      <c r="A278" s="609" t="s">
        <v>6825</v>
      </c>
      <c r="B278" s="608">
        <v>328</v>
      </c>
    </row>
    <row r="279" spans="1:2" x14ac:dyDescent="0.2">
      <c r="A279" s="609" t="s">
        <v>6788</v>
      </c>
      <c r="B279" s="608">
        <v>327</v>
      </c>
    </row>
    <row r="280" spans="1:2" ht="25.5" x14ac:dyDescent="0.2">
      <c r="A280" s="609" t="s">
        <v>6641</v>
      </c>
      <c r="B280" s="608">
        <v>326</v>
      </c>
    </row>
    <row r="281" spans="1:2" x14ac:dyDescent="0.2">
      <c r="A281" s="609" t="s">
        <v>6725</v>
      </c>
      <c r="B281" s="608">
        <v>326</v>
      </c>
    </row>
    <row r="282" spans="1:2" ht="25.5" x14ac:dyDescent="0.2">
      <c r="A282" s="609" t="s">
        <v>6848</v>
      </c>
      <c r="B282" s="608">
        <v>326</v>
      </c>
    </row>
    <row r="283" spans="1:2" x14ac:dyDescent="0.2">
      <c r="A283" s="609" t="s">
        <v>6921</v>
      </c>
      <c r="B283" s="608">
        <v>326</v>
      </c>
    </row>
    <row r="284" spans="1:2" x14ac:dyDescent="0.2">
      <c r="A284" s="609" t="s">
        <v>7024</v>
      </c>
      <c r="B284" s="608">
        <v>326</v>
      </c>
    </row>
    <row r="285" spans="1:2" x14ac:dyDescent="0.2">
      <c r="A285" s="609" t="s">
        <v>7114</v>
      </c>
      <c r="B285" s="608">
        <v>326</v>
      </c>
    </row>
    <row r="286" spans="1:2" x14ac:dyDescent="0.2">
      <c r="A286" s="609" t="s">
        <v>7442</v>
      </c>
      <c r="B286" s="608">
        <v>326</v>
      </c>
    </row>
    <row r="287" spans="1:2" x14ac:dyDescent="0.2">
      <c r="A287" s="609" t="s">
        <v>7520</v>
      </c>
      <c r="B287" s="608">
        <v>326</v>
      </c>
    </row>
    <row r="288" spans="1:2" x14ac:dyDescent="0.2">
      <c r="A288" s="609" t="s">
        <v>6469</v>
      </c>
      <c r="B288" s="608">
        <v>325</v>
      </c>
    </row>
    <row r="289" spans="1:2" x14ac:dyDescent="0.2">
      <c r="A289" s="609" t="s">
        <v>6747</v>
      </c>
      <c r="B289" s="608">
        <v>325</v>
      </c>
    </row>
    <row r="290" spans="1:2" x14ac:dyDescent="0.2">
      <c r="A290" s="609" t="s">
        <v>6975</v>
      </c>
      <c r="B290" s="608">
        <v>325</v>
      </c>
    </row>
    <row r="291" spans="1:2" x14ac:dyDescent="0.2">
      <c r="A291" s="609" t="s">
        <v>6996</v>
      </c>
      <c r="B291" s="608">
        <v>325</v>
      </c>
    </row>
    <row r="292" spans="1:2" x14ac:dyDescent="0.2">
      <c r="A292" s="609" t="s">
        <v>7077</v>
      </c>
      <c r="B292" s="608">
        <v>325</v>
      </c>
    </row>
    <row r="293" spans="1:2" x14ac:dyDescent="0.2">
      <c r="A293" s="609" t="s">
        <v>7172</v>
      </c>
      <c r="B293" s="608">
        <v>325</v>
      </c>
    </row>
    <row r="294" spans="1:2" x14ac:dyDescent="0.2">
      <c r="A294" s="609" t="s">
        <v>7386</v>
      </c>
      <c r="B294" s="608">
        <v>325</v>
      </c>
    </row>
    <row r="295" spans="1:2" x14ac:dyDescent="0.2">
      <c r="A295" s="609" t="s">
        <v>7429</v>
      </c>
      <c r="B295" s="608">
        <v>325</v>
      </c>
    </row>
    <row r="296" spans="1:2" x14ac:dyDescent="0.2">
      <c r="A296" s="609" t="s">
        <v>6884</v>
      </c>
      <c r="B296" s="608">
        <v>324</v>
      </c>
    </row>
    <row r="297" spans="1:2" x14ac:dyDescent="0.2">
      <c r="A297" s="609" t="s">
        <v>7155</v>
      </c>
      <c r="B297" s="608">
        <v>324</v>
      </c>
    </row>
    <row r="298" spans="1:2" x14ac:dyDescent="0.2">
      <c r="A298" s="609" t="s">
        <v>7174</v>
      </c>
      <c r="B298" s="608">
        <v>324</v>
      </c>
    </row>
    <row r="299" spans="1:2" x14ac:dyDescent="0.2">
      <c r="A299" s="609" t="s">
        <v>6490</v>
      </c>
      <c r="B299" s="608">
        <v>323</v>
      </c>
    </row>
    <row r="300" spans="1:2" ht="25.5" x14ac:dyDescent="0.2">
      <c r="A300" s="609" t="s">
        <v>6678</v>
      </c>
      <c r="B300" s="608">
        <v>323</v>
      </c>
    </row>
    <row r="301" spans="1:2" ht="25.5" x14ac:dyDescent="0.2">
      <c r="A301" s="609" t="s">
        <v>7343</v>
      </c>
      <c r="B301" s="608">
        <v>323</v>
      </c>
    </row>
    <row r="302" spans="1:2" ht="25.5" x14ac:dyDescent="0.2">
      <c r="A302" s="609" t="s">
        <v>7348</v>
      </c>
      <c r="B302" s="608">
        <v>323</v>
      </c>
    </row>
    <row r="303" spans="1:2" x14ac:dyDescent="0.2">
      <c r="A303" s="609" t="s">
        <v>7491</v>
      </c>
      <c r="B303" s="608">
        <v>323</v>
      </c>
    </row>
    <row r="304" spans="1:2" x14ac:dyDescent="0.2">
      <c r="A304" s="609" t="s">
        <v>7502</v>
      </c>
      <c r="B304" s="608">
        <v>323</v>
      </c>
    </row>
    <row r="305" spans="1:2" x14ac:dyDescent="0.2">
      <c r="A305" s="609" t="s">
        <v>7539</v>
      </c>
      <c r="B305" s="608">
        <v>323</v>
      </c>
    </row>
    <row r="306" spans="1:2" x14ac:dyDescent="0.2">
      <c r="A306" s="609" t="s">
        <v>6567</v>
      </c>
      <c r="B306" s="608">
        <v>322</v>
      </c>
    </row>
    <row r="307" spans="1:2" x14ac:dyDescent="0.2">
      <c r="A307" s="609" t="s">
        <v>6617</v>
      </c>
      <c r="B307" s="608">
        <v>322</v>
      </c>
    </row>
    <row r="308" spans="1:2" x14ac:dyDescent="0.2">
      <c r="A308" s="609" t="s">
        <v>6639</v>
      </c>
      <c r="B308" s="608">
        <v>322</v>
      </c>
    </row>
    <row r="309" spans="1:2" x14ac:dyDescent="0.2">
      <c r="A309" s="609" t="s">
        <v>6874</v>
      </c>
      <c r="B309" s="608">
        <v>322</v>
      </c>
    </row>
    <row r="310" spans="1:2" x14ac:dyDescent="0.2">
      <c r="A310" s="609" t="s">
        <v>6891</v>
      </c>
      <c r="B310" s="608">
        <v>322</v>
      </c>
    </row>
    <row r="311" spans="1:2" ht="25.5" x14ac:dyDescent="0.2">
      <c r="A311" s="609" t="s">
        <v>6941</v>
      </c>
      <c r="B311" s="608">
        <v>322</v>
      </c>
    </row>
    <row r="312" spans="1:2" x14ac:dyDescent="0.2">
      <c r="A312" s="609" t="s">
        <v>6973</v>
      </c>
      <c r="B312" s="608">
        <v>322</v>
      </c>
    </row>
    <row r="313" spans="1:2" ht="25.5" x14ac:dyDescent="0.2">
      <c r="A313" s="609" t="s">
        <v>7272</v>
      </c>
      <c r="B313" s="608">
        <v>322</v>
      </c>
    </row>
    <row r="314" spans="1:2" x14ac:dyDescent="0.2">
      <c r="A314" s="609" t="s">
        <v>7276</v>
      </c>
      <c r="B314" s="608">
        <v>322</v>
      </c>
    </row>
    <row r="315" spans="1:2" x14ac:dyDescent="0.2">
      <c r="A315" s="609" t="s">
        <v>7439</v>
      </c>
      <c r="B315" s="608">
        <v>322</v>
      </c>
    </row>
    <row r="316" spans="1:2" x14ac:dyDescent="0.2">
      <c r="A316" s="609" t="s">
        <v>6525</v>
      </c>
      <c r="B316" s="608">
        <v>321</v>
      </c>
    </row>
    <row r="317" spans="1:2" x14ac:dyDescent="0.2">
      <c r="A317" s="609" t="s">
        <v>6702</v>
      </c>
      <c r="B317" s="608">
        <v>321</v>
      </c>
    </row>
    <row r="318" spans="1:2" x14ac:dyDescent="0.2">
      <c r="A318" s="609" t="s">
        <v>6815</v>
      </c>
      <c r="B318" s="608">
        <v>321</v>
      </c>
    </row>
    <row r="319" spans="1:2" x14ac:dyDescent="0.2">
      <c r="A319" s="609" t="s">
        <v>6831</v>
      </c>
      <c r="B319" s="608">
        <v>321</v>
      </c>
    </row>
    <row r="320" spans="1:2" x14ac:dyDescent="0.2">
      <c r="A320" s="609" t="s">
        <v>7046</v>
      </c>
      <c r="B320" s="608">
        <v>321</v>
      </c>
    </row>
    <row r="321" spans="1:2" x14ac:dyDescent="0.2">
      <c r="A321" s="609" t="s">
        <v>7154</v>
      </c>
      <c r="B321" s="608">
        <v>321</v>
      </c>
    </row>
    <row r="322" spans="1:2" x14ac:dyDescent="0.2">
      <c r="A322" s="609" t="s">
        <v>7345</v>
      </c>
      <c r="B322" s="608">
        <v>321</v>
      </c>
    </row>
    <row r="323" spans="1:2" ht="25.5" x14ac:dyDescent="0.2">
      <c r="A323" s="609" t="s">
        <v>7385</v>
      </c>
      <c r="B323" s="608">
        <v>320</v>
      </c>
    </row>
    <row r="324" spans="1:2" x14ac:dyDescent="0.2">
      <c r="A324" s="609" t="s">
        <v>7540</v>
      </c>
      <c r="B324" s="608">
        <v>320</v>
      </c>
    </row>
    <row r="325" spans="1:2" x14ac:dyDescent="0.2">
      <c r="A325" s="609" t="s">
        <v>6666</v>
      </c>
      <c r="B325" s="608">
        <v>319</v>
      </c>
    </row>
    <row r="326" spans="1:2" x14ac:dyDescent="0.2">
      <c r="A326" s="609" t="s">
        <v>6724</v>
      </c>
      <c r="B326" s="608">
        <v>319</v>
      </c>
    </row>
    <row r="327" spans="1:2" x14ac:dyDescent="0.2">
      <c r="A327" s="609" t="s">
        <v>6749</v>
      </c>
      <c r="B327" s="608">
        <v>319</v>
      </c>
    </row>
    <row r="328" spans="1:2" x14ac:dyDescent="0.2">
      <c r="A328" s="609" t="s">
        <v>7028</v>
      </c>
      <c r="B328" s="608">
        <v>319</v>
      </c>
    </row>
    <row r="329" spans="1:2" x14ac:dyDescent="0.2">
      <c r="A329" s="609" t="s">
        <v>7067</v>
      </c>
      <c r="B329" s="608">
        <v>318</v>
      </c>
    </row>
    <row r="330" spans="1:2" x14ac:dyDescent="0.2">
      <c r="A330" s="609" t="s">
        <v>7320</v>
      </c>
      <c r="B330" s="608">
        <v>318</v>
      </c>
    </row>
    <row r="331" spans="1:2" x14ac:dyDescent="0.2">
      <c r="A331" s="609" t="s">
        <v>7406</v>
      </c>
      <c r="B331" s="608">
        <v>318</v>
      </c>
    </row>
    <row r="332" spans="1:2" x14ac:dyDescent="0.2">
      <c r="A332" s="609" t="s">
        <v>6462</v>
      </c>
      <c r="B332" s="608">
        <v>317</v>
      </c>
    </row>
    <row r="333" spans="1:2" x14ac:dyDescent="0.2">
      <c r="A333" s="609" t="s">
        <v>6665</v>
      </c>
      <c r="B333" s="608">
        <v>317</v>
      </c>
    </row>
    <row r="334" spans="1:2" x14ac:dyDescent="0.2">
      <c r="A334" s="609" t="s">
        <v>6905</v>
      </c>
      <c r="B334" s="608">
        <v>317</v>
      </c>
    </row>
    <row r="335" spans="1:2" x14ac:dyDescent="0.2">
      <c r="A335" s="609" t="s">
        <v>6957</v>
      </c>
      <c r="B335" s="608">
        <v>317</v>
      </c>
    </row>
    <row r="336" spans="1:2" x14ac:dyDescent="0.2">
      <c r="A336" s="609" t="s">
        <v>6580</v>
      </c>
      <c r="B336" s="608">
        <v>316</v>
      </c>
    </row>
    <row r="337" spans="1:2" x14ac:dyDescent="0.2">
      <c r="A337" s="609" t="s">
        <v>6955</v>
      </c>
      <c r="B337" s="608">
        <v>316</v>
      </c>
    </row>
    <row r="338" spans="1:2" x14ac:dyDescent="0.2">
      <c r="A338" s="609" t="s">
        <v>6995</v>
      </c>
      <c r="B338" s="608">
        <v>316</v>
      </c>
    </row>
    <row r="339" spans="1:2" x14ac:dyDescent="0.2">
      <c r="A339" s="609" t="s">
        <v>7003</v>
      </c>
      <c r="B339" s="608">
        <v>316</v>
      </c>
    </row>
    <row r="340" spans="1:2" x14ac:dyDescent="0.2">
      <c r="A340" s="609" t="s">
        <v>7228</v>
      </c>
      <c r="B340" s="608">
        <v>316</v>
      </c>
    </row>
    <row r="341" spans="1:2" x14ac:dyDescent="0.2">
      <c r="A341" s="609" t="s">
        <v>7301</v>
      </c>
      <c r="B341" s="608">
        <v>316</v>
      </c>
    </row>
    <row r="342" spans="1:2" x14ac:dyDescent="0.2">
      <c r="A342" s="609" t="s">
        <v>6663</v>
      </c>
      <c r="B342" s="608">
        <v>315</v>
      </c>
    </row>
    <row r="343" spans="1:2" x14ac:dyDescent="0.2">
      <c r="A343" s="609" t="s">
        <v>6776</v>
      </c>
      <c r="B343" s="608">
        <v>315</v>
      </c>
    </row>
    <row r="344" spans="1:2" x14ac:dyDescent="0.2">
      <c r="A344" s="609" t="s">
        <v>6786</v>
      </c>
      <c r="B344" s="608">
        <v>315</v>
      </c>
    </row>
    <row r="345" spans="1:2" x14ac:dyDescent="0.2">
      <c r="A345" s="609" t="s">
        <v>7027</v>
      </c>
      <c r="B345" s="608">
        <v>315</v>
      </c>
    </row>
    <row r="346" spans="1:2" x14ac:dyDescent="0.2">
      <c r="A346" s="609" t="s">
        <v>7241</v>
      </c>
      <c r="B346" s="608">
        <v>315</v>
      </c>
    </row>
    <row r="347" spans="1:2" x14ac:dyDescent="0.2">
      <c r="A347" s="609" t="s">
        <v>7249</v>
      </c>
      <c r="B347" s="608">
        <v>315</v>
      </c>
    </row>
    <row r="348" spans="1:2" x14ac:dyDescent="0.2">
      <c r="A348" s="609" t="s">
        <v>7273</v>
      </c>
      <c r="B348" s="608">
        <v>315</v>
      </c>
    </row>
    <row r="349" spans="1:2" x14ac:dyDescent="0.2">
      <c r="A349" s="609" t="s">
        <v>6545</v>
      </c>
      <c r="B349" s="608">
        <v>314</v>
      </c>
    </row>
    <row r="350" spans="1:2" x14ac:dyDescent="0.2">
      <c r="A350" s="609" t="s">
        <v>6936</v>
      </c>
      <c r="B350" s="608">
        <v>314</v>
      </c>
    </row>
    <row r="351" spans="1:2" x14ac:dyDescent="0.2">
      <c r="A351" s="609" t="s">
        <v>6983</v>
      </c>
      <c r="B351" s="608">
        <v>314</v>
      </c>
    </row>
    <row r="352" spans="1:2" x14ac:dyDescent="0.2">
      <c r="A352" s="609" t="s">
        <v>7544</v>
      </c>
      <c r="B352" s="608">
        <v>314</v>
      </c>
    </row>
    <row r="353" spans="1:2" x14ac:dyDescent="0.2">
      <c r="A353" s="609" t="s">
        <v>6481</v>
      </c>
      <c r="B353" s="608">
        <v>313</v>
      </c>
    </row>
    <row r="354" spans="1:2" x14ac:dyDescent="0.2">
      <c r="A354" s="609" t="s">
        <v>6813</v>
      </c>
      <c r="B354" s="608">
        <v>313</v>
      </c>
    </row>
    <row r="355" spans="1:2" x14ac:dyDescent="0.2">
      <c r="A355" s="609" t="s">
        <v>7180</v>
      </c>
      <c r="B355" s="608">
        <v>313</v>
      </c>
    </row>
    <row r="356" spans="1:2" x14ac:dyDescent="0.2">
      <c r="A356" s="609" t="s">
        <v>7230</v>
      </c>
      <c r="B356" s="608">
        <v>313</v>
      </c>
    </row>
    <row r="357" spans="1:2" x14ac:dyDescent="0.2">
      <c r="A357" s="609" t="s">
        <v>6695</v>
      </c>
      <c r="B357" s="608">
        <v>312</v>
      </c>
    </row>
    <row r="358" spans="1:2" x14ac:dyDescent="0.2">
      <c r="A358" s="609" t="s">
        <v>6753</v>
      </c>
      <c r="B358" s="608">
        <v>312</v>
      </c>
    </row>
    <row r="359" spans="1:2" x14ac:dyDescent="0.2">
      <c r="A359" s="609" t="s">
        <v>6968</v>
      </c>
      <c r="B359" s="608">
        <v>312</v>
      </c>
    </row>
    <row r="360" spans="1:2" x14ac:dyDescent="0.2">
      <c r="A360" s="609" t="s">
        <v>7079</v>
      </c>
      <c r="B360" s="608">
        <v>312</v>
      </c>
    </row>
    <row r="361" spans="1:2" x14ac:dyDescent="0.2">
      <c r="A361" s="609" t="s">
        <v>7310</v>
      </c>
      <c r="B361" s="608">
        <v>312</v>
      </c>
    </row>
    <row r="362" spans="1:2" ht="25.5" x14ac:dyDescent="0.2">
      <c r="A362" s="609" t="s">
        <v>6769</v>
      </c>
      <c r="B362" s="608">
        <v>311</v>
      </c>
    </row>
    <row r="363" spans="1:2" x14ac:dyDescent="0.2">
      <c r="A363" s="609" t="s">
        <v>6828</v>
      </c>
      <c r="B363" s="608">
        <v>311</v>
      </c>
    </row>
    <row r="364" spans="1:2" x14ac:dyDescent="0.2">
      <c r="A364" s="609" t="s">
        <v>6845</v>
      </c>
      <c r="B364" s="608">
        <v>311</v>
      </c>
    </row>
    <row r="365" spans="1:2" x14ac:dyDescent="0.2">
      <c r="A365" s="609" t="s">
        <v>6939</v>
      </c>
      <c r="B365" s="608">
        <v>311</v>
      </c>
    </row>
    <row r="366" spans="1:2" x14ac:dyDescent="0.2">
      <c r="A366" s="609" t="s">
        <v>7218</v>
      </c>
      <c r="B366" s="608">
        <v>311</v>
      </c>
    </row>
    <row r="367" spans="1:2" x14ac:dyDescent="0.2">
      <c r="A367" s="609" t="s">
        <v>7226</v>
      </c>
      <c r="B367" s="608">
        <v>311</v>
      </c>
    </row>
    <row r="368" spans="1:2" x14ac:dyDescent="0.2">
      <c r="A368" s="609" t="s">
        <v>7234</v>
      </c>
      <c r="B368" s="608">
        <v>311</v>
      </c>
    </row>
    <row r="369" spans="1:2" x14ac:dyDescent="0.2">
      <c r="A369" s="609" t="s">
        <v>7297</v>
      </c>
      <c r="B369" s="608">
        <v>311</v>
      </c>
    </row>
    <row r="370" spans="1:2" x14ac:dyDescent="0.2">
      <c r="A370" s="609" t="s">
        <v>6609</v>
      </c>
      <c r="B370" s="608">
        <v>310</v>
      </c>
    </row>
    <row r="371" spans="1:2" x14ac:dyDescent="0.2">
      <c r="A371" s="609" t="s">
        <v>6770</v>
      </c>
      <c r="B371" s="608">
        <v>310</v>
      </c>
    </row>
    <row r="372" spans="1:2" x14ac:dyDescent="0.2">
      <c r="A372" s="609" t="s">
        <v>6877</v>
      </c>
      <c r="B372" s="608">
        <v>310</v>
      </c>
    </row>
    <row r="373" spans="1:2" x14ac:dyDescent="0.2">
      <c r="A373" s="609" t="s">
        <v>7209</v>
      </c>
      <c r="B373" s="608">
        <v>310</v>
      </c>
    </row>
    <row r="374" spans="1:2" x14ac:dyDescent="0.2">
      <c r="A374" s="609" t="s">
        <v>7333</v>
      </c>
      <c r="B374" s="608">
        <v>310</v>
      </c>
    </row>
    <row r="375" spans="1:2" x14ac:dyDescent="0.2">
      <c r="A375" s="609" t="s">
        <v>6676</v>
      </c>
      <c r="B375" s="608">
        <v>309</v>
      </c>
    </row>
    <row r="376" spans="1:2" x14ac:dyDescent="0.2">
      <c r="A376" s="609" t="s">
        <v>6696</v>
      </c>
      <c r="B376" s="608">
        <v>309</v>
      </c>
    </row>
    <row r="377" spans="1:2" x14ac:dyDescent="0.2">
      <c r="A377" s="609" t="s">
        <v>6889</v>
      </c>
      <c r="B377" s="608">
        <v>309</v>
      </c>
    </row>
    <row r="378" spans="1:2" x14ac:dyDescent="0.2">
      <c r="A378" s="609" t="s">
        <v>7081</v>
      </c>
      <c r="B378" s="608">
        <v>309</v>
      </c>
    </row>
    <row r="379" spans="1:2" ht="25.5" x14ac:dyDescent="0.2">
      <c r="A379" s="609" t="s">
        <v>7394</v>
      </c>
      <c r="B379" s="608">
        <v>309</v>
      </c>
    </row>
    <row r="380" spans="1:2" x14ac:dyDescent="0.2">
      <c r="A380" s="609" t="s">
        <v>7454</v>
      </c>
      <c r="B380" s="608">
        <v>309</v>
      </c>
    </row>
    <row r="381" spans="1:2" x14ac:dyDescent="0.2">
      <c r="A381" s="609" t="s">
        <v>6458</v>
      </c>
      <c r="B381" s="608">
        <v>308</v>
      </c>
    </row>
    <row r="382" spans="1:2" x14ac:dyDescent="0.2">
      <c r="A382" s="609" t="s">
        <v>6662</v>
      </c>
      <c r="B382" s="608">
        <v>308</v>
      </c>
    </row>
    <row r="383" spans="1:2" x14ac:dyDescent="0.2">
      <c r="A383" s="609" t="s">
        <v>7489</v>
      </c>
      <c r="B383" s="608">
        <v>308</v>
      </c>
    </row>
    <row r="384" spans="1:2" x14ac:dyDescent="0.2">
      <c r="A384" s="609" t="s">
        <v>6460</v>
      </c>
      <c r="B384" s="608">
        <v>307</v>
      </c>
    </row>
    <row r="385" spans="1:2" x14ac:dyDescent="0.2">
      <c r="A385" s="609" t="s">
        <v>6563</v>
      </c>
      <c r="B385" s="608">
        <v>307</v>
      </c>
    </row>
    <row r="386" spans="1:2" x14ac:dyDescent="0.2">
      <c r="A386" s="609" t="s">
        <v>6693</v>
      </c>
      <c r="B386" s="608">
        <v>307</v>
      </c>
    </row>
    <row r="387" spans="1:2" x14ac:dyDescent="0.2">
      <c r="A387" s="609" t="s">
        <v>6739</v>
      </c>
      <c r="B387" s="608">
        <v>307</v>
      </c>
    </row>
    <row r="388" spans="1:2" x14ac:dyDescent="0.2">
      <c r="A388" s="609" t="s">
        <v>6768</v>
      </c>
      <c r="B388" s="608">
        <v>307</v>
      </c>
    </row>
    <row r="389" spans="1:2" x14ac:dyDescent="0.2">
      <c r="A389" s="609" t="s">
        <v>6780</v>
      </c>
      <c r="B389" s="608">
        <v>307</v>
      </c>
    </row>
    <row r="390" spans="1:2" x14ac:dyDescent="0.2">
      <c r="A390" s="609" t="s">
        <v>7025</v>
      </c>
      <c r="B390" s="608">
        <v>307</v>
      </c>
    </row>
    <row r="391" spans="1:2" x14ac:dyDescent="0.2">
      <c r="A391" s="609" t="s">
        <v>7265</v>
      </c>
      <c r="B391" s="608">
        <v>307</v>
      </c>
    </row>
    <row r="392" spans="1:2" x14ac:dyDescent="0.2">
      <c r="A392" s="609" t="s">
        <v>7277</v>
      </c>
      <c r="B392" s="608">
        <v>307</v>
      </c>
    </row>
    <row r="393" spans="1:2" ht="25.5" x14ac:dyDescent="0.2">
      <c r="A393" s="609" t="s">
        <v>7319</v>
      </c>
      <c r="B393" s="608">
        <v>307</v>
      </c>
    </row>
    <row r="394" spans="1:2" x14ac:dyDescent="0.2">
      <c r="A394" s="609" t="s">
        <v>7351</v>
      </c>
      <c r="B394" s="608">
        <v>307</v>
      </c>
    </row>
    <row r="395" spans="1:2" ht="25.5" x14ac:dyDescent="0.2">
      <c r="A395" s="609" t="s">
        <v>6757</v>
      </c>
      <c r="B395" s="608">
        <v>306</v>
      </c>
    </row>
    <row r="396" spans="1:2" x14ac:dyDescent="0.2">
      <c r="A396" s="609" t="s">
        <v>6841</v>
      </c>
      <c r="B396" s="608">
        <v>306</v>
      </c>
    </row>
    <row r="397" spans="1:2" x14ac:dyDescent="0.2">
      <c r="A397" s="609" t="s">
        <v>6856</v>
      </c>
      <c r="B397" s="608">
        <v>306</v>
      </c>
    </row>
    <row r="398" spans="1:2" x14ac:dyDescent="0.2">
      <c r="A398" s="609" t="s">
        <v>7451</v>
      </c>
      <c r="B398" s="608">
        <v>306</v>
      </c>
    </row>
    <row r="399" spans="1:2" x14ac:dyDescent="0.2">
      <c r="A399" s="609" t="s">
        <v>6506</v>
      </c>
      <c r="B399" s="608">
        <v>305</v>
      </c>
    </row>
    <row r="400" spans="1:2" x14ac:dyDescent="0.2">
      <c r="A400" s="609" t="s">
        <v>6534</v>
      </c>
      <c r="B400" s="608">
        <v>305</v>
      </c>
    </row>
    <row r="401" spans="1:2" x14ac:dyDescent="0.2">
      <c r="A401" s="609" t="s">
        <v>7116</v>
      </c>
      <c r="B401" s="608">
        <v>305</v>
      </c>
    </row>
    <row r="402" spans="1:2" x14ac:dyDescent="0.2">
      <c r="A402" s="609" t="s">
        <v>7280</v>
      </c>
      <c r="B402" s="608">
        <v>305</v>
      </c>
    </row>
    <row r="403" spans="1:2" x14ac:dyDescent="0.2">
      <c r="A403" s="609" t="s">
        <v>7303</v>
      </c>
      <c r="B403" s="608">
        <v>305</v>
      </c>
    </row>
    <row r="404" spans="1:2" x14ac:dyDescent="0.2">
      <c r="A404" s="609" t="s">
        <v>7453</v>
      </c>
      <c r="B404" s="608">
        <v>305</v>
      </c>
    </row>
    <row r="405" spans="1:2" x14ac:dyDescent="0.2">
      <c r="A405" s="609" t="s">
        <v>7484</v>
      </c>
      <c r="B405" s="608">
        <v>305</v>
      </c>
    </row>
    <row r="406" spans="1:2" x14ac:dyDescent="0.2">
      <c r="A406" s="609" t="s">
        <v>6523</v>
      </c>
      <c r="B406" s="608">
        <v>304</v>
      </c>
    </row>
    <row r="407" spans="1:2" x14ac:dyDescent="0.2">
      <c r="A407" s="609" t="s">
        <v>7056</v>
      </c>
      <c r="B407" s="608">
        <v>304</v>
      </c>
    </row>
    <row r="408" spans="1:2" x14ac:dyDescent="0.2">
      <c r="A408" s="609" t="s">
        <v>7122</v>
      </c>
      <c r="B408" s="608">
        <v>304</v>
      </c>
    </row>
    <row r="409" spans="1:2" x14ac:dyDescent="0.2">
      <c r="A409" s="609" t="s">
        <v>7134</v>
      </c>
      <c r="B409" s="608">
        <v>304</v>
      </c>
    </row>
    <row r="410" spans="1:2" x14ac:dyDescent="0.2">
      <c r="A410" s="609" t="s">
        <v>7197</v>
      </c>
      <c r="B410" s="608">
        <v>304</v>
      </c>
    </row>
    <row r="411" spans="1:2" x14ac:dyDescent="0.2">
      <c r="A411" s="609" t="s">
        <v>7224</v>
      </c>
      <c r="B411" s="608">
        <v>304</v>
      </c>
    </row>
    <row r="412" spans="1:2" x14ac:dyDescent="0.2">
      <c r="A412" s="609" t="s">
        <v>7341</v>
      </c>
      <c r="B412" s="608">
        <v>304</v>
      </c>
    </row>
    <row r="413" spans="1:2" x14ac:dyDescent="0.2">
      <c r="A413" s="609" t="s">
        <v>7344</v>
      </c>
      <c r="B413" s="608">
        <v>304</v>
      </c>
    </row>
    <row r="414" spans="1:2" x14ac:dyDescent="0.2">
      <c r="A414" s="609" t="s">
        <v>7350</v>
      </c>
      <c r="B414" s="608">
        <v>304</v>
      </c>
    </row>
    <row r="415" spans="1:2" x14ac:dyDescent="0.2">
      <c r="A415" s="609" t="s">
        <v>6457</v>
      </c>
      <c r="B415" s="608">
        <v>303</v>
      </c>
    </row>
    <row r="416" spans="1:2" x14ac:dyDescent="0.2">
      <c r="A416" s="609" t="s">
        <v>6603</v>
      </c>
      <c r="B416" s="608">
        <v>303</v>
      </c>
    </row>
    <row r="417" spans="1:2" x14ac:dyDescent="0.2">
      <c r="A417" s="609" t="s">
        <v>6929</v>
      </c>
      <c r="B417" s="608">
        <v>303</v>
      </c>
    </row>
    <row r="418" spans="1:2" x14ac:dyDescent="0.2">
      <c r="A418" s="609" t="s">
        <v>7026</v>
      </c>
      <c r="B418" s="608">
        <v>303</v>
      </c>
    </row>
    <row r="419" spans="1:2" x14ac:dyDescent="0.2">
      <c r="A419" s="609" t="s">
        <v>7047</v>
      </c>
      <c r="B419" s="608">
        <v>303</v>
      </c>
    </row>
    <row r="420" spans="1:2" x14ac:dyDescent="0.2">
      <c r="A420" s="609" t="s">
        <v>7365</v>
      </c>
      <c r="B420" s="608">
        <v>303</v>
      </c>
    </row>
    <row r="421" spans="1:2" x14ac:dyDescent="0.2">
      <c r="A421" s="609" t="s">
        <v>7493</v>
      </c>
      <c r="B421" s="608">
        <v>303</v>
      </c>
    </row>
    <row r="422" spans="1:2" x14ac:dyDescent="0.2">
      <c r="A422" s="609" t="s">
        <v>7496</v>
      </c>
      <c r="B422" s="608">
        <v>303</v>
      </c>
    </row>
    <row r="423" spans="1:2" x14ac:dyDescent="0.2">
      <c r="A423" s="609" t="s">
        <v>6455</v>
      </c>
      <c r="B423" s="608">
        <v>302</v>
      </c>
    </row>
    <row r="424" spans="1:2" x14ac:dyDescent="0.2">
      <c r="A424" s="609" t="s">
        <v>6463</v>
      </c>
      <c r="B424" s="608">
        <v>302</v>
      </c>
    </row>
    <row r="425" spans="1:2" x14ac:dyDescent="0.2">
      <c r="A425" s="609" t="s">
        <v>6656</v>
      </c>
      <c r="B425" s="608">
        <v>302</v>
      </c>
    </row>
    <row r="426" spans="1:2" x14ac:dyDescent="0.2">
      <c r="A426" s="609" t="s">
        <v>6704</v>
      </c>
      <c r="B426" s="608">
        <v>302</v>
      </c>
    </row>
    <row r="427" spans="1:2" x14ac:dyDescent="0.2">
      <c r="A427" s="609" t="s">
        <v>6795</v>
      </c>
      <c r="B427" s="608">
        <v>302</v>
      </c>
    </row>
    <row r="428" spans="1:2" ht="25.5" x14ac:dyDescent="0.2">
      <c r="A428" s="609" t="s">
        <v>7038</v>
      </c>
      <c r="B428" s="608">
        <v>302</v>
      </c>
    </row>
    <row r="429" spans="1:2" x14ac:dyDescent="0.2">
      <c r="A429" s="609" t="s">
        <v>7119</v>
      </c>
      <c r="B429" s="608">
        <v>302</v>
      </c>
    </row>
    <row r="430" spans="1:2" x14ac:dyDescent="0.2">
      <c r="A430" s="609" t="s">
        <v>6636</v>
      </c>
      <c r="B430" s="608">
        <v>301</v>
      </c>
    </row>
    <row r="431" spans="1:2" x14ac:dyDescent="0.2">
      <c r="A431" s="609" t="s">
        <v>6728</v>
      </c>
      <c r="B431" s="608">
        <v>301</v>
      </c>
    </row>
    <row r="432" spans="1:2" x14ac:dyDescent="0.2">
      <c r="A432" s="609" t="s">
        <v>6781</v>
      </c>
      <c r="B432" s="608">
        <v>301</v>
      </c>
    </row>
    <row r="433" spans="1:2" ht="25.5" x14ac:dyDescent="0.2">
      <c r="A433" s="609" t="s">
        <v>6821</v>
      </c>
      <c r="B433" s="608">
        <v>301</v>
      </c>
    </row>
    <row r="434" spans="1:2" x14ac:dyDescent="0.2">
      <c r="A434" s="609" t="s">
        <v>6844</v>
      </c>
      <c r="B434" s="608">
        <v>301</v>
      </c>
    </row>
    <row r="435" spans="1:2" x14ac:dyDescent="0.2">
      <c r="A435" s="609" t="s">
        <v>7321</v>
      </c>
      <c r="B435" s="608">
        <v>301</v>
      </c>
    </row>
    <row r="436" spans="1:2" ht="25.5" x14ac:dyDescent="0.2">
      <c r="A436" s="609" t="s">
        <v>7535</v>
      </c>
      <c r="B436" s="608">
        <v>301</v>
      </c>
    </row>
    <row r="437" spans="1:2" x14ac:dyDescent="0.2">
      <c r="A437" s="609" t="s">
        <v>6546</v>
      </c>
      <c r="B437" s="608">
        <v>300</v>
      </c>
    </row>
    <row r="438" spans="1:2" x14ac:dyDescent="0.2">
      <c r="A438" s="609" t="s">
        <v>6655</v>
      </c>
      <c r="B438" s="608">
        <v>300</v>
      </c>
    </row>
    <row r="439" spans="1:2" x14ac:dyDescent="0.2">
      <c r="A439" s="609" t="s">
        <v>6658</v>
      </c>
      <c r="B439" s="608">
        <v>300</v>
      </c>
    </row>
    <row r="440" spans="1:2" ht="25.5" x14ac:dyDescent="0.2">
      <c r="A440" s="609" t="s">
        <v>6765</v>
      </c>
      <c r="B440" s="608">
        <v>300</v>
      </c>
    </row>
    <row r="441" spans="1:2" x14ac:dyDescent="0.2">
      <c r="A441" s="609" t="s">
        <v>6772</v>
      </c>
      <c r="B441" s="608">
        <v>300</v>
      </c>
    </row>
    <row r="442" spans="1:2" x14ac:dyDescent="0.2">
      <c r="A442" s="609" t="s">
        <v>6803</v>
      </c>
      <c r="B442" s="608">
        <v>300</v>
      </c>
    </row>
    <row r="443" spans="1:2" x14ac:dyDescent="0.2">
      <c r="A443" s="609" t="s">
        <v>6880</v>
      </c>
      <c r="B443" s="608">
        <v>300</v>
      </c>
    </row>
    <row r="444" spans="1:2" x14ac:dyDescent="0.2">
      <c r="A444" s="609" t="s">
        <v>6959</v>
      </c>
      <c r="B444" s="608">
        <v>300</v>
      </c>
    </row>
    <row r="445" spans="1:2" x14ac:dyDescent="0.2">
      <c r="A445" s="609" t="s">
        <v>6990</v>
      </c>
      <c r="B445" s="608">
        <v>300</v>
      </c>
    </row>
    <row r="446" spans="1:2" x14ac:dyDescent="0.2">
      <c r="A446" s="609" t="s">
        <v>6527</v>
      </c>
      <c r="B446" s="608">
        <v>299</v>
      </c>
    </row>
    <row r="447" spans="1:2" x14ac:dyDescent="0.2">
      <c r="A447" s="609" t="s">
        <v>6638</v>
      </c>
      <c r="B447" s="608">
        <v>299</v>
      </c>
    </row>
    <row r="448" spans="1:2" x14ac:dyDescent="0.2">
      <c r="A448" s="609" t="s">
        <v>6963</v>
      </c>
      <c r="B448" s="608">
        <v>299</v>
      </c>
    </row>
    <row r="449" spans="1:2" x14ac:dyDescent="0.2">
      <c r="A449" s="609" t="s">
        <v>6999</v>
      </c>
      <c r="B449" s="608">
        <v>299</v>
      </c>
    </row>
    <row r="450" spans="1:2" x14ac:dyDescent="0.2">
      <c r="A450" s="609" t="s">
        <v>7042</v>
      </c>
      <c r="B450" s="608">
        <v>299</v>
      </c>
    </row>
    <row r="451" spans="1:2" x14ac:dyDescent="0.2">
      <c r="A451" s="609" t="s">
        <v>7092</v>
      </c>
      <c r="B451" s="608">
        <v>299</v>
      </c>
    </row>
    <row r="452" spans="1:2" x14ac:dyDescent="0.2">
      <c r="A452" s="609" t="s">
        <v>7257</v>
      </c>
      <c r="B452" s="608">
        <v>299</v>
      </c>
    </row>
    <row r="453" spans="1:2" x14ac:dyDescent="0.2">
      <c r="A453" s="609" t="s">
        <v>7390</v>
      </c>
      <c r="B453" s="608">
        <v>299</v>
      </c>
    </row>
    <row r="454" spans="1:2" x14ac:dyDescent="0.2">
      <c r="A454" s="609" t="s">
        <v>7404</v>
      </c>
      <c r="B454" s="608">
        <v>299</v>
      </c>
    </row>
    <row r="455" spans="1:2" x14ac:dyDescent="0.2">
      <c r="A455" s="609" t="s">
        <v>7506</v>
      </c>
      <c r="B455" s="608">
        <v>299</v>
      </c>
    </row>
    <row r="456" spans="1:2" x14ac:dyDescent="0.2">
      <c r="A456" s="609" t="s">
        <v>6524</v>
      </c>
      <c r="B456" s="608">
        <v>298</v>
      </c>
    </row>
    <row r="457" spans="1:2" x14ac:dyDescent="0.2">
      <c r="A457" s="609" t="s">
        <v>6703</v>
      </c>
      <c r="B457" s="608">
        <v>298</v>
      </c>
    </row>
    <row r="458" spans="1:2" ht="25.5" x14ac:dyDescent="0.2">
      <c r="A458" s="609" t="s">
        <v>6726</v>
      </c>
      <c r="B458" s="608">
        <v>298</v>
      </c>
    </row>
    <row r="459" spans="1:2" x14ac:dyDescent="0.2">
      <c r="A459" s="609" t="s">
        <v>6904</v>
      </c>
      <c r="B459" s="608">
        <v>298</v>
      </c>
    </row>
    <row r="460" spans="1:2" x14ac:dyDescent="0.2">
      <c r="A460" s="609" t="s">
        <v>7065</v>
      </c>
      <c r="B460" s="608">
        <v>298</v>
      </c>
    </row>
    <row r="461" spans="1:2" x14ac:dyDescent="0.2">
      <c r="A461" s="609" t="s">
        <v>7152</v>
      </c>
      <c r="B461" s="608">
        <v>298</v>
      </c>
    </row>
    <row r="462" spans="1:2" x14ac:dyDescent="0.2">
      <c r="A462" s="609" t="s">
        <v>7173</v>
      </c>
      <c r="B462" s="608">
        <v>298</v>
      </c>
    </row>
    <row r="463" spans="1:2" x14ac:dyDescent="0.2">
      <c r="A463" s="609" t="s">
        <v>6461</v>
      </c>
      <c r="B463" s="608">
        <v>297</v>
      </c>
    </row>
    <row r="464" spans="1:2" ht="25.5" x14ac:dyDescent="0.2">
      <c r="A464" s="609" t="s">
        <v>6499</v>
      </c>
      <c r="B464" s="608">
        <v>297</v>
      </c>
    </row>
    <row r="465" spans="1:2" x14ac:dyDescent="0.2">
      <c r="A465" s="609" t="s">
        <v>6583</v>
      </c>
      <c r="B465" s="608">
        <v>297</v>
      </c>
    </row>
    <row r="466" spans="1:2" ht="25.5" x14ac:dyDescent="0.2">
      <c r="A466" s="609" t="s">
        <v>6752</v>
      </c>
      <c r="B466" s="608">
        <v>297</v>
      </c>
    </row>
    <row r="467" spans="1:2" x14ac:dyDescent="0.2">
      <c r="A467" s="609" t="s">
        <v>6896</v>
      </c>
      <c r="B467" s="608">
        <v>297</v>
      </c>
    </row>
    <row r="468" spans="1:2" x14ac:dyDescent="0.2">
      <c r="A468" s="609" t="s">
        <v>7020</v>
      </c>
      <c r="B468" s="608">
        <v>297</v>
      </c>
    </row>
    <row r="469" spans="1:2" ht="38.25" x14ac:dyDescent="0.2">
      <c r="A469" s="609" t="s">
        <v>7163</v>
      </c>
      <c r="B469" s="608">
        <v>297</v>
      </c>
    </row>
    <row r="470" spans="1:2" x14ac:dyDescent="0.2">
      <c r="A470" s="609" t="s">
        <v>7220</v>
      </c>
      <c r="B470" s="608">
        <v>297</v>
      </c>
    </row>
    <row r="471" spans="1:2" x14ac:dyDescent="0.2">
      <c r="A471" s="609" t="s">
        <v>7270</v>
      </c>
      <c r="B471" s="608">
        <v>297</v>
      </c>
    </row>
    <row r="472" spans="1:2" x14ac:dyDescent="0.2">
      <c r="A472" s="609" t="s">
        <v>7361</v>
      </c>
      <c r="B472" s="608">
        <v>297</v>
      </c>
    </row>
    <row r="473" spans="1:2" x14ac:dyDescent="0.2">
      <c r="A473" s="609" t="s">
        <v>7416</v>
      </c>
      <c r="B473" s="608">
        <v>297</v>
      </c>
    </row>
    <row r="474" spans="1:2" x14ac:dyDescent="0.2">
      <c r="A474" s="609" t="s">
        <v>6475</v>
      </c>
      <c r="B474" s="608">
        <v>296</v>
      </c>
    </row>
    <row r="475" spans="1:2" ht="25.5" x14ac:dyDescent="0.2">
      <c r="A475" s="609" t="s">
        <v>6798</v>
      </c>
      <c r="B475" s="608">
        <v>296</v>
      </c>
    </row>
    <row r="476" spans="1:2" x14ac:dyDescent="0.2">
      <c r="A476" s="609" t="s">
        <v>7044</v>
      </c>
      <c r="B476" s="608">
        <v>296</v>
      </c>
    </row>
    <row r="477" spans="1:2" x14ac:dyDescent="0.2">
      <c r="A477" s="609" t="s">
        <v>7050</v>
      </c>
      <c r="B477" s="608">
        <v>296</v>
      </c>
    </row>
    <row r="478" spans="1:2" x14ac:dyDescent="0.2">
      <c r="A478" s="609" t="s">
        <v>7097</v>
      </c>
      <c r="B478" s="608">
        <v>296</v>
      </c>
    </row>
    <row r="479" spans="1:2" x14ac:dyDescent="0.2">
      <c r="A479" s="609" t="s">
        <v>7202</v>
      </c>
      <c r="B479" s="608">
        <v>296</v>
      </c>
    </row>
    <row r="480" spans="1:2" x14ac:dyDescent="0.2">
      <c r="A480" s="609" t="s">
        <v>7215</v>
      </c>
      <c r="B480" s="608">
        <v>296</v>
      </c>
    </row>
    <row r="481" spans="1:2" x14ac:dyDescent="0.2">
      <c r="A481" s="609" t="s">
        <v>7225</v>
      </c>
      <c r="B481" s="608">
        <v>296</v>
      </c>
    </row>
    <row r="482" spans="1:2" x14ac:dyDescent="0.2">
      <c r="A482" s="609" t="s">
        <v>7433</v>
      </c>
      <c r="B482" s="608">
        <v>296</v>
      </c>
    </row>
    <row r="483" spans="1:2" x14ac:dyDescent="0.2">
      <c r="A483" s="609" t="s">
        <v>7505</v>
      </c>
      <c r="B483" s="608">
        <v>296</v>
      </c>
    </row>
    <row r="484" spans="1:2" x14ac:dyDescent="0.2">
      <c r="A484" s="609" t="s">
        <v>7510</v>
      </c>
      <c r="B484" s="608">
        <v>296</v>
      </c>
    </row>
    <row r="485" spans="1:2" x14ac:dyDescent="0.2">
      <c r="A485" s="609" t="s">
        <v>6478</v>
      </c>
      <c r="B485" s="608">
        <v>295</v>
      </c>
    </row>
    <row r="486" spans="1:2" x14ac:dyDescent="0.2">
      <c r="A486" s="609" t="s">
        <v>6502</v>
      </c>
      <c r="B486" s="608">
        <v>295</v>
      </c>
    </row>
    <row r="487" spans="1:2" x14ac:dyDescent="0.2">
      <c r="A487" s="609" t="s">
        <v>6517</v>
      </c>
      <c r="B487" s="608">
        <v>295</v>
      </c>
    </row>
    <row r="488" spans="1:2" x14ac:dyDescent="0.2">
      <c r="A488" s="609" t="s">
        <v>6538</v>
      </c>
      <c r="B488" s="608">
        <v>295</v>
      </c>
    </row>
    <row r="489" spans="1:2" ht="25.5" x14ac:dyDescent="0.2">
      <c r="A489" s="609" t="s">
        <v>6568</v>
      </c>
      <c r="B489" s="608">
        <v>295</v>
      </c>
    </row>
    <row r="490" spans="1:2" x14ac:dyDescent="0.2">
      <c r="A490" s="609" t="s">
        <v>6659</v>
      </c>
      <c r="B490" s="608">
        <v>295</v>
      </c>
    </row>
    <row r="491" spans="1:2" x14ac:dyDescent="0.2">
      <c r="A491" s="609" t="s">
        <v>6754</v>
      </c>
      <c r="B491" s="608">
        <v>295</v>
      </c>
    </row>
    <row r="492" spans="1:2" x14ac:dyDescent="0.2">
      <c r="A492" s="609" t="s">
        <v>6946</v>
      </c>
      <c r="B492" s="608">
        <v>295</v>
      </c>
    </row>
    <row r="493" spans="1:2" x14ac:dyDescent="0.2">
      <c r="A493" s="609" t="s">
        <v>7168</v>
      </c>
      <c r="B493" s="608">
        <v>295</v>
      </c>
    </row>
    <row r="494" spans="1:2" x14ac:dyDescent="0.2">
      <c r="A494" s="609" t="s">
        <v>7398</v>
      </c>
      <c r="B494" s="608">
        <v>295</v>
      </c>
    </row>
    <row r="495" spans="1:2" x14ac:dyDescent="0.2">
      <c r="A495" s="609" t="s">
        <v>6593</v>
      </c>
      <c r="B495" s="608">
        <v>294</v>
      </c>
    </row>
    <row r="496" spans="1:2" x14ac:dyDescent="0.2">
      <c r="A496" s="609" t="s">
        <v>6719</v>
      </c>
      <c r="B496" s="608">
        <v>294</v>
      </c>
    </row>
    <row r="497" spans="1:2" x14ac:dyDescent="0.2">
      <c r="A497" s="609" t="s">
        <v>6742</v>
      </c>
      <c r="B497" s="608">
        <v>294</v>
      </c>
    </row>
    <row r="498" spans="1:2" x14ac:dyDescent="0.2">
      <c r="A498" s="609" t="s">
        <v>6767</v>
      </c>
      <c r="B498" s="608">
        <v>294</v>
      </c>
    </row>
    <row r="499" spans="1:2" x14ac:dyDescent="0.2">
      <c r="A499" s="609" t="s">
        <v>6879</v>
      </c>
      <c r="B499" s="608">
        <v>294</v>
      </c>
    </row>
    <row r="500" spans="1:2" x14ac:dyDescent="0.2">
      <c r="A500" s="609" t="s">
        <v>6897</v>
      </c>
      <c r="B500" s="608">
        <v>294</v>
      </c>
    </row>
    <row r="501" spans="1:2" x14ac:dyDescent="0.2">
      <c r="A501" s="609" t="s">
        <v>7001</v>
      </c>
      <c r="B501" s="608">
        <v>294</v>
      </c>
    </row>
    <row r="502" spans="1:2" ht="25.5" x14ac:dyDescent="0.2">
      <c r="A502" s="609" t="s">
        <v>7125</v>
      </c>
      <c r="B502" s="608">
        <v>294</v>
      </c>
    </row>
    <row r="503" spans="1:2" x14ac:dyDescent="0.2">
      <c r="A503" s="609" t="s">
        <v>7235</v>
      </c>
      <c r="B503" s="608">
        <v>294</v>
      </c>
    </row>
    <row r="504" spans="1:2" x14ac:dyDescent="0.2">
      <c r="A504" s="609" t="s">
        <v>7255</v>
      </c>
      <c r="B504" s="608">
        <v>294</v>
      </c>
    </row>
    <row r="505" spans="1:2" x14ac:dyDescent="0.2">
      <c r="A505" s="609" t="s">
        <v>7514</v>
      </c>
      <c r="B505" s="608">
        <v>294</v>
      </c>
    </row>
    <row r="506" spans="1:2" x14ac:dyDescent="0.2">
      <c r="A506" s="609" t="s">
        <v>6459</v>
      </c>
      <c r="B506" s="608">
        <v>293</v>
      </c>
    </row>
    <row r="507" spans="1:2" x14ac:dyDescent="0.2">
      <c r="A507" s="609" t="s">
        <v>6511</v>
      </c>
      <c r="B507" s="608">
        <v>293</v>
      </c>
    </row>
    <row r="508" spans="1:2" x14ac:dyDescent="0.2">
      <c r="A508" s="609" t="s">
        <v>6645</v>
      </c>
      <c r="B508" s="608">
        <v>293</v>
      </c>
    </row>
    <row r="509" spans="1:2" x14ac:dyDescent="0.2">
      <c r="A509" s="609" t="s">
        <v>6684</v>
      </c>
      <c r="B509" s="608">
        <v>293</v>
      </c>
    </row>
    <row r="510" spans="1:2" x14ac:dyDescent="0.2">
      <c r="A510" s="609" t="s">
        <v>6871</v>
      </c>
      <c r="B510" s="608">
        <v>293</v>
      </c>
    </row>
    <row r="511" spans="1:2" x14ac:dyDescent="0.2">
      <c r="A511" s="609" t="s">
        <v>7015</v>
      </c>
      <c r="B511" s="608">
        <v>293</v>
      </c>
    </row>
    <row r="512" spans="1:2" x14ac:dyDescent="0.2">
      <c r="A512" s="609" t="s">
        <v>7043</v>
      </c>
      <c r="B512" s="608">
        <v>293</v>
      </c>
    </row>
    <row r="513" spans="1:2" x14ac:dyDescent="0.2">
      <c r="A513" s="609" t="s">
        <v>7084</v>
      </c>
      <c r="B513" s="608">
        <v>293</v>
      </c>
    </row>
    <row r="514" spans="1:2" x14ac:dyDescent="0.2">
      <c r="A514" s="609" t="s">
        <v>7124</v>
      </c>
      <c r="B514" s="608">
        <v>293</v>
      </c>
    </row>
    <row r="515" spans="1:2" x14ac:dyDescent="0.2">
      <c r="A515" s="609" t="s">
        <v>7190</v>
      </c>
      <c r="B515" s="608">
        <v>293</v>
      </c>
    </row>
    <row r="516" spans="1:2" x14ac:dyDescent="0.2">
      <c r="A516" s="609" t="s">
        <v>7191</v>
      </c>
      <c r="B516" s="608">
        <v>293</v>
      </c>
    </row>
    <row r="517" spans="1:2" x14ac:dyDescent="0.2">
      <c r="A517" s="609" t="s">
        <v>7307</v>
      </c>
      <c r="B517" s="608">
        <v>293</v>
      </c>
    </row>
    <row r="518" spans="1:2" ht="25.5" x14ac:dyDescent="0.2">
      <c r="A518" s="609" t="s">
        <v>7376</v>
      </c>
      <c r="B518" s="608">
        <v>293</v>
      </c>
    </row>
    <row r="519" spans="1:2" x14ac:dyDescent="0.2">
      <c r="A519" s="609" t="s">
        <v>7420</v>
      </c>
      <c r="B519" s="608">
        <v>293</v>
      </c>
    </row>
    <row r="520" spans="1:2" x14ac:dyDescent="0.2">
      <c r="A520" s="609" t="s">
        <v>7481</v>
      </c>
      <c r="B520" s="608">
        <v>293</v>
      </c>
    </row>
    <row r="521" spans="1:2" ht="25.5" x14ac:dyDescent="0.2">
      <c r="A521" s="609" t="s">
        <v>6571</v>
      </c>
      <c r="B521" s="608">
        <v>292</v>
      </c>
    </row>
    <row r="522" spans="1:2" x14ac:dyDescent="0.2">
      <c r="A522" s="609" t="s">
        <v>6648</v>
      </c>
      <c r="B522" s="608">
        <v>292</v>
      </c>
    </row>
    <row r="523" spans="1:2" x14ac:dyDescent="0.2">
      <c r="A523" s="609" t="s">
        <v>6783</v>
      </c>
      <c r="B523" s="608">
        <v>292</v>
      </c>
    </row>
    <row r="524" spans="1:2" x14ac:dyDescent="0.2">
      <c r="A524" s="609" t="s">
        <v>6847</v>
      </c>
      <c r="B524" s="608">
        <v>292</v>
      </c>
    </row>
    <row r="525" spans="1:2" x14ac:dyDescent="0.2">
      <c r="A525" s="609" t="s">
        <v>6911</v>
      </c>
      <c r="B525" s="608">
        <v>292</v>
      </c>
    </row>
    <row r="526" spans="1:2" x14ac:dyDescent="0.2">
      <c r="A526" s="609" t="s">
        <v>6986</v>
      </c>
      <c r="B526" s="608">
        <v>292</v>
      </c>
    </row>
    <row r="527" spans="1:2" ht="25.5" x14ac:dyDescent="0.2">
      <c r="A527" s="609" t="s">
        <v>6991</v>
      </c>
      <c r="B527" s="608">
        <v>292</v>
      </c>
    </row>
    <row r="528" spans="1:2" x14ac:dyDescent="0.2">
      <c r="A528" s="609" t="s">
        <v>7240</v>
      </c>
      <c r="B528" s="608">
        <v>292</v>
      </c>
    </row>
    <row r="529" spans="1:2" x14ac:dyDescent="0.2">
      <c r="A529" s="609" t="s">
        <v>6575</v>
      </c>
      <c r="B529" s="608">
        <v>291</v>
      </c>
    </row>
    <row r="530" spans="1:2" x14ac:dyDescent="0.2">
      <c r="A530" s="609" t="s">
        <v>6613</v>
      </c>
      <c r="B530" s="608">
        <v>291</v>
      </c>
    </row>
    <row r="531" spans="1:2" ht="25.5" x14ac:dyDescent="0.2">
      <c r="A531" s="609" t="s">
        <v>6653</v>
      </c>
      <c r="B531" s="608">
        <v>291</v>
      </c>
    </row>
    <row r="532" spans="1:2" ht="25.5" x14ac:dyDescent="0.2">
      <c r="A532" s="609" t="s">
        <v>6989</v>
      </c>
      <c r="B532" s="608">
        <v>291</v>
      </c>
    </row>
    <row r="533" spans="1:2" x14ac:dyDescent="0.2">
      <c r="A533" s="609" t="s">
        <v>7105</v>
      </c>
      <c r="B533" s="608">
        <v>291</v>
      </c>
    </row>
    <row r="534" spans="1:2" x14ac:dyDescent="0.2">
      <c r="A534" s="609" t="s">
        <v>7221</v>
      </c>
      <c r="B534" s="608">
        <v>291</v>
      </c>
    </row>
    <row r="535" spans="1:2" x14ac:dyDescent="0.2">
      <c r="A535" s="609" t="s">
        <v>7322</v>
      </c>
      <c r="B535" s="608">
        <v>291</v>
      </c>
    </row>
    <row r="536" spans="1:2" ht="25.5" x14ac:dyDescent="0.2">
      <c r="A536" s="609" t="s">
        <v>7362</v>
      </c>
      <c r="B536" s="608">
        <v>291</v>
      </c>
    </row>
    <row r="537" spans="1:2" x14ac:dyDescent="0.2">
      <c r="A537" s="609" t="s">
        <v>7396</v>
      </c>
      <c r="B537" s="608">
        <v>291</v>
      </c>
    </row>
    <row r="538" spans="1:2" ht="25.5" x14ac:dyDescent="0.2">
      <c r="A538" s="609" t="s">
        <v>7412</v>
      </c>
      <c r="B538" s="608">
        <v>291</v>
      </c>
    </row>
    <row r="539" spans="1:2" x14ac:dyDescent="0.2">
      <c r="A539" s="609" t="s">
        <v>7444</v>
      </c>
      <c r="B539" s="608">
        <v>291</v>
      </c>
    </row>
    <row r="540" spans="1:2" x14ac:dyDescent="0.2">
      <c r="A540" s="609" t="s">
        <v>7461</v>
      </c>
      <c r="B540" s="608">
        <v>291</v>
      </c>
    </row>
    <row r="541" spans="1:2" x14ac:dyDescent="0.2">
      <c r="A541" s="609" t="s">
        <v>7546</v>
      </c>
      <c r="B541" s="608">
        <v>291</v>
      </c>
    </row>
    <row r="542" spans="1:2" x14ac:dyDescent="0.2">
      <c r="A542" s="609" t="s">
        <v>6677</v>
      </c>
      <c r="B542" s="608">
        <v>290</v>
      </c>
    </row>
    <row r="543" spans="1:2" ht="25.5" x14ac:dyDescent="0.2">
      <c r="A543" s="609" t="s">
        <v>6690</v>
      </c>
      <c r="B543" s="608">
        <v>290</v>
      </c>
    </row>
    <row r="544" spans="1:2" x14ac:dyDescent="0.2">
      <c r="A544" s="609" t="s">
        <v>6906</v>
      </c>
      <c r="B544" s="608">
        <v>290</v>
      </c>
    </row>
    <row r="545" spans="1:2" x14ac:dyDescent="0.2">
      <c r="A545" s="609" t="s">
        <v>6934</v>
      </c>
      <c r="B545" s="608">
        <v>290</v>
      </c>
    </row>
    <row r="546" spans="1:2" x14ac:dyDescent="0.2">
      <c r="A546" s="609" t="s">
        <v>6964</v>
      </c>
      <c r="B546" s="608">
        <v>290</v>
      </c>
    </row>
    <row r="547" spans="1:2" x14ac:dyDescent="0.2">
      <c r="A547" s="609" t="s">
        <v>6981</v>
      </c>
      <c r="B547" s="608">
        <v>290</v>
      </c>
    </row>
    <row r="548" spans="1:2" ht="25.5" x14ac:dyDescent="0.2">
      <c r="A548" s="609" t="s">
        <v>7171</v>
      </c>
      <c r="B548" s="608">
        <v>290</v>
      </c>
    </row>
    <row r="549" spans="1:2" x14ac:dyDescent="0.2">
      <c r="A549" s="609" t="s">
        <v>7266</v>
      </c>
      <c r="B549" s="608">
        <v>290</v>
      </c>
    </row>
    <row r="550" spans="1:2" ht="25.5" x14ac:dyDescent="0.2">
      <c r="A550" s="609" t="s">
        <v>7417</v>
      </c>
      <c r="B550" s="608">
        <v>290</v>
      </c>
    </row>
    <row r="551" spans="1:2" x14ac:dyDescent="0.2">
      <c r="A551" s="609" t="s">
        <v>7441</v>
      </c>
      <c r="B551" s="608">
        <v>290</v>
      </c>
    </row>
    <row r="552" spans="1:2" x14ac:dyDescent="0.2">
      <c r="A552" s="609" t="s">
        <v>6608</v>
      </c>
      <c r="B552" s="608">
        <v>289</v>
      </c>
    </row>
    <row r="553" spans="1:2" x14ac:dyDescent="0.2">
      <c r="A553" s="609" t="s">
        <v>6717</v>
      </c>
      <c r="B553" s="608">
        <v>289</v>
      </c>
    </row>
    <row r="554" spans="1:2" ht="25.5" x14ac:dyDescent="0.2">
      <c r="A554" s="609" t="s">
        <v>6950</v>
      </c>
      <c r="B554" s="608">
        <v>289</v>
      </c>
    </row>
    <row r="555" spans="1:2" x14ac:dyDescent="0.2">
      <c r="A555" s="609" t="s">
        <v>6958</v>
      </c>
      <c r="B555" s="608">
        <v>289</v>
      </c>
    </row>
    <row r="556" spans="1:2" x14ac:dyDescent="0.2">
      <c r="A556" s="609" t="s">
        <v>7016</v>
      </c>
      <c r="B556" s="608">
        <v>289</v>
      </c>
    </row>
    <row r="557" spans="1:2" x14ac:dyDescent="0.2">
      <c r="A557" s="609" t="s">
        <v>7101</v>
      </c>
      <c r="B557" s="608">
        <v>289</v>
      </c>
    </row>
    <row r="558" spans="1:2" x14ac:dyDescent="0.2">
      <c r="A558" s="609" t="s">
        <v>7522</v>
      </c>
      <c r="B558" s="608">
        <v>289</v>
      </c>
    </row>
    <row r="559" spans="1:2" x14ac:dyDescent="0.2">
      <c r="A559" s="609" t="s">
        <v>6501</v>
      </c>
      <c r="B559" s="608">
        <v>288</v>
      </c>
    </row>
    <row r="560" spans="1:2" x14ac:dyDescent="0.2">
      <c r="A560" s="609" t="s">
        <v>6515</v>
      </c>
      <c r="B560" s="608">
        <v>288</v>
      </c>
    </row>
    <row r="561" spans="1:2" x14ac:dyDescent="0.2">
      <c r="A561" s="609" t="s">
        <v>6615</v>
      </c>
      <c r="B561" s="608">
        <v>288</v>
      </c>
    </row>
    <row r="562" spans="1:2" x14ac:dyDescent="0.2">
      <c r="A562" s="609" t="s">
        <v>6708</v>
      </c>
      <c r="B562" s="608">
        <v>288</v>
      </c>
    </row>
    <row r="563" spans="1:2" x14ac:dyDescent="0.2">
      <c r="A563" s="609" t="s">
        <v>6908</v>
      </c>
      <c r="B563" s="608">
        <v>288</v>
      </c>
    </row>
    <row r="564" spans="1:2" x14ac:dyDescent="0.2">
      <c r="A564" s="609" t="s">
        <v>7010</v>
      </c>
      <c r="B564" s="608">
        <v>288</v>
      </c>
    </row>
    <row r="565" spans="1:2" x14ac:dyDescent="0.2">
      <c r="A565" s="609" t="s">
        <v>7372</v>
      </c>
      <c r="B565" s="608">
        <v>288</v>
      </c>
    </row>
    <row r="566" spans="1:2" x14ac:dyDescent="0.2">
      <c r="A566" s="609" t="s">
        <v>7393</v>
      </c>
      <c r="B566" s="608">
        <v>288</v>
      </c>
    </row>
    <row r="567" spans="1:2" x14ac:dyDescent="0.2">
      <c r="A567" s="609" t="s">
        <v>7414</v>
      </c>
      <c r="B567" s="608">
        <v>288</v>
      </c>
    </row>
    <row r="568" spans="1:2" x14ac:dyDescent="0.2">
      <c r="A568" s="609" t="s">
        <v>7480</v>
      </c>
      <c r="B568" s="608">
        <v>288</v>
      </c>
    </row>
    <row r="569" spans="1:2" x14ac:dyDescent="0.2">
      <c r="A569" s="609" t="s">
        <v>7512</v>
      </c>
      <c r="B569" s="608">
        <v>288</v>
      </c>
    </row>
    <row r="570" spans="1:2" x14ac:dyDescent="0.2">
      <c r="A570" s="609" t="s">
        <v>7517</v>
      </c>
      <c r="B570" s="608">
        <v>288</v>
      </c>
    </row>
    <row r="571" spans="1:2" x14ac:dyDescent="0.2">
      <c r="A571" s="609" t="s">
        <v>6482</v>
      </c>
      <c r="B571" s="608">
        <v>287</v>
      </c>
    </row>
    <row r="572" spans="1:2" x14ac:dyDescent="0.2">
      <c r="A572" s="609" t="s">
        <v>6489</v>
      </c>
      <c r="B572" s="608">
        <v>287</v>
      </c>
    </row>
    <row r="573" spans="1:2" x14ac:dyDescent="0.2">
      <c r="A573" s="609" t="s">
        <v>6601</v>
      </c>
      <c r="B573" s="608">
        <v>287</v>
      </c>
    </row>
    <row r="574" spans="1:2" x14ac:dyDescent="0.2">
      <c r="A574" s="609" t="s">
        <v>6680</v>
      </c>
      <c r="B574" s="608">
        <v>287</v>
      </c>
    </row>
    <row r="575" spans="1:2" x14ac:dyDescent="0.2">
      <c r="A575" s="609" t="s">
        <v>6714</v>
      </c>
      <c r="B575" s="608">
        <v>287</v>
      </c>
    </row>
    <row r="576" spans="1:2" x14ac:dyDescent="0.2">
      <c r="A576" s="609" t="s">
        <v>6740</v>
      </c>
      <c r="B576" s="608">
        <v>287</v>
      </c>
    </row>
    <row r="577" spans="1:2" x14ac:dyDescent="0.2">
      <c r="A577" s="609" t="s">
        <v>6784</v>
      </c>
      <c r="B577" s="608">
        <v>287</v>
      </c>
    </row>
    <row r="578" spans="1:2" x14ac:dyDescent="0.2">
      <c r="A578" s="609" t="s">
        <v>6839</v>
      </c>
      <c r="B578" s="608">
        <v>287</v>
      </c>
    </row>
    <row r="579" spans="1:2" x14ac:dyDescent="0.2">
      <c r="A579" s="609" t="s">
        <v>6979</v>
      </c>
      <c r="B579" s="608">
        <v>287</v>
      </c>
    </row>
    <row r="580" spans="1:2" x14ac:dyDescent="0.2">
      <c r="A580" s="609" t="s">
        <v>7008</v>
      </c>
      <c r="B580" s="608">
        <v>287</v>
      </c>
    </row>
    <row r="581" spans="1:2" x14ac:dyDescent="0.2">
      <c r="A581" s="609" t="s">
        <v>7022</v>
      </c>
      <c r="B581" s="608">
        <v>287</v>
      </c>
    </row>
    <row r="582" spans="1:2" x14ac:dyDescent="0.2">
      <c r="A582" s="609" t="s">
        <v>7053</v>
      </c>
      <c r="B582" s="608">
        <v>287</v>
      </c>
    </row>
    <row r="583" spans="1:2" x14ac:dyDescent="0.2">
      <c r="A583" s="609" t="s">
        <v>7127</v>
      </c>
      <c r="B583" s="608">
        <v>287</v>
      </c>
    </row>
    <row r="584" spans="1:2" x14ac:dyDescent="0.2">
      <c r="A584" s="609" t="s">
        <v>7165</v>
      </c>
      <c r="B584" s="608">
        <v>287</v>
      </c>
    </row>
    <row r="585" spans="1:2" x14ac:dyDescent="0.2">
      <c r="A585" s="609" t="s">
        <v>7169</v>
      </c>
      <c r="B585" s="608">
        <v>287</v>
      </c>
    </row>
    <row r="586" spans="1:2" x14ac:dyDescent="0.2">
      <c r="A586" s="609" t="s">
        <v>7182</v>
      </c>
      <c r="B586" s="608">
        <v>287</v>
      </c>
    </row>
    <row r="587" spans="1:2" x14ac:dyDescent="0.2">
      <c r="A587" s="609" t="s">
        <v>7200</v>
      </c>
      <c r="B587" s="608">
        <v>287</v>
      </c>
    </row>
    <row r="588" spans="1:2" x14ac:dyDescent="0.2">
      <c r="A588" s="609" t="s">
        <v>7254</v>
      </c>
      <c r="B588" s="608">
        <v>287</v>
      </c>
    </row>
    <row r="589" spans="1:2" x14ac:dyDescent="0.2">
      <c r="A589" s="609" t="s">
        <v>7449</v>
      </c>
      <c r="B589" s="608">
        <v>287</v>
      </c>
    </row>
    <row r="590" spans="1:2" ht="25.5" x14ac:dyDescent="0.2">
      <c r="A590" s="609" t="s">
        <v>7455</v>
      </c>
      <c r="B590" s="608">
        <v>287</v>
      </c>
    </row>
    <row r="591" spans="1:2" x14ac:dyDescent="0.2">
      <c r="A591" s="609" t="s">
        <v>6556</v>
      </c>
      <c r="B591" s="608">
        <v>286</v>
      </c>
    </row>
    <row r="592" spans="1:2" x14ac:dyDescent="0.2">
      <c r="A592" s="609" t="s">
        <v>6562</v>
      </c>
      <c r="B592" s="608">
        <v>286</v>
      </c>
    </row>
    <row r="593" spans="1:2" x14ac:dyDescent="0.2">
      <c r="A593" s="609" t="s">
        <v>6789</v>
      </c>
      <c r="B593" s="608">
        <v>286</v>
      </c>
    </row>
    <row r="594" spans="1:2" x14ac:dyDescent="0.2">
      <c r="A594" s="609" t="s">
        <v>6806</v>
      </c>
      <c r="B594" s="608">
        <v>286</v>
      </c>
    </row>
    <row r="595" spans="1:2" ht="25.5" x14ac:dyDescent="0.2">
      <c r="A595" s="609" t="s">
        <v>6842</v>
      </c>
      <c r="B595" s="608">
        <v>286</v>
      </c>
    </row>
    <row r="596" spans="1:2" x14ac:dyDescent="0.2">
      <c r="A596" s="609" t="s">
        <v>6956</v>
      </c>
      <c r="B596" s="608">
        <v>286</v>
      </c>
    </row>
    <row r="597" spans="1:2" x14ac:dyDescent="0.2">
      <c r="A597" s="609" t="s">
        <v>6967</v>
      </c>
      <c r="B597" s="608">
        <v>286</v>
      </c>
    </row>
    <row r="598" spans="1:2" x14ac:dyDescent="0.2">
      <c r="A598" s="609" t="s">
        <v>7070</v>
      </c>
      <c r="B598" s="608">
        <v>286</v>
      </c>
    </row>
    <row r="599" spans="1:2" x14ac:dyDescent="0.2">
      <c r="A599" s="609" t="s">
        <v>7115</v>
      </c>
      <c r="B599" s="608">
        <v>286</v>
      </c>
    </row>
    <row r="600" spans="1:2" x14ac:dyDescent="0.2">
      <c r="A600" s="609" t="s">
        <v>7166</v>
      </c>
      <c r="B600" s="608">
        <v>286</v>
      </c>
    </row>
    <row r="601" spans="1:2" x14ac:dyDescent="0.2">
      <c r="A601" s="609" t="s">
        <v>7195</v>
      </c>
      <c r="B601" s="608">
        <v>286</v>
      </c>
    </row>
    <row r="602" spans="1:2" x14ac:dyDescent="0.2">
      <c r="A602" s="609" t="s">
        <v>7233</v>
      </c>
      <c r="B602" s="608">
        <v>286</v>
      </c>
    </row>
    <row r="603" spans="1:2" x14ac:dyDescent="0.2">
      <c r="A603" s="609" t="s">
        <v>6756</v>
      </c>
      <c r="B603" s="608">
        <v>285</v>
      </c>
    </row>
    <row r="604" spans="1:2" x14ac:dyDescent="0.2">
      <c r="A604" s="609" t="s">
        <v>6771</v>
      </c>
      <c r="B604" s="608">
        <v>285</v>
      </c>
    </row>
    <row r="605" spans="1:2" x14ac:dyDescent="0.2">
      <c r="A605" s="609" t="s">
        <v>7037</v>
      </c>
      <c r="B605" s="608">
        <v>285</v>
      </c>
    </row>
    <row r="606" spans="1:2" x14ac:dyDescent="0.2">
      <c r="A606" s="609" t="s">
        <v>7142</v>
      </c>
      <c r="B606" s="608">
        <v>285</v>
      </c>
    </row>
    <row r="607" spans="1:2" ht="25.5" x14ac:dyDescent="0.2">
      <c r="A607" s="609" t="s">
        <v>7151</v>
      </c>
      <c r="B607" s="608">
        <v>285</v>
      </c>
    </row>
    <row r="608" spans="1:2" x14ac:dyDescent="0.2">
      <c r="A608" s="609" t="s">
        <v>7157</v>
      </c>
      <c r="B608" s="608">
        <v>285</v>
      </c>
    </row>
    <row r="609" spans="1:2" x14ac:dyDescent="0.2">
      <c r="A609" s="609" t="s">
        <v>7251</v>
      </c>
      <c r="B609" s="608">
        <v>285</v>
      </c>
    </row>
    <row r="610" spans="1:2" x14ac:dyDescent="0.2">
      <c r="A610" s="609" t="s">
        <v>7430</v>
      </c>
      <c r="B610" s="608">
        <v>285</v>
      </c>
    </row>
    <row r="611" spans="1:2" x14ac:dyDescent="0.2">
      <c r="A611" s="609" t="s">
        <v>7468</v>
      </c>
      <c r="B611" s="608">
        <v>285</v>
      </c>
    </row>
    <row r="612" spans="1:2" ht="25.5" x14ac:dyDescent="0.2">
      <c r="A612" s="609" t="s">
        <v>6521</v>
      </c>
      <c r="B612" s="608">
        <v>284</v>
      </c>
    </row>
    <row r="613" spans="1:2" x14ac:dyDescent="0.2">
      <c r="A613" s="609" t="s">
        <v>6540</v>
      </c>
      <c r="B613" s="608">
        <v>284</v>
      </c>
    </row>
    <row r="614" spans="1:2" x14ac:dyDescent="0.2">
      <c r="A614" s="609" t="s">
        <v>6584</v>
      </c>
      <c r="B614" s="608">
        <v>284</v>
      </c>
    </row>
    <row r="615" spans="1:2" x14ac:dyDescent="0.2">
      <c r="A615" s="609" t="s">
        <v>6630</v>
      </c>
      <c r="B615" s="608">
        <v>284</v>
      </c>
    </row>
    <row r="616" spans="1:2" x14ac:dyDescent="0.2">
      <c r="A616" s="609" t="s">
        <v>6706</v>
      </c>
      <c r="B616" s="608">
        <v>284</v>
      </c>
    </row>
    <row r="617" spans="1:2" x14ac:dyDescent="0.2">
      <c r="A617" s="609" t="s">
        <v>6872</v>
      </c>
      <c r="B617" s="608">
        <v>284</v>
      </c>
    </row>
    <row r="618" spans="1:2" x14ac:dyDescent="0.2">
      <c r="A618" s="609" t="s">
        <v>7066</v>
      </c>
      <c r="B618" s="608">
        <v>284</v>
      </c>
    </row>
    <row r="619" spans="1:2" x14ac:dyDescent="0.2">
      <c r="A619" s="609" t="s">
        <v>7183</v>
      </c>
      <c r="B619" s="608">
        <v>284</v>
      </c>
    </row>
    <row r="620" spans="1:2" x14ac:dyDescent="0.2">
      <c r="A620" s="609" t="s">
        <v>7205</v>
      </c>
      <c r="B620" s="608">
        <v>284</v>
      </c>
    </row>
    <row r="621" spans="1:2" x14ac:dyDescent="0.2">
      <c r="A621" s="609" t="s">
        <v>7364</v>
      </c>
      <c r="B621" s="608">
        <v>284</v>
      </c>
    </row>
    <row r="622" spans="1:2" x14ac:dyDescent="0.2">
      <c r="A622" s="609" t="s">
        <v>7370</v>
      </c>
      <c r="B622" s="608">
        <v>284</v>
      </c>
    </row>
    <row r="623" spans="1:2" x14ac:dyDescent="0.2">
      <c r="A623" s="609" t="s">
        <v>7377</v>
      </c>
      <c r="B623" s="608">
        <v>284</v>
      </c>
    </row>
    <row r="624" spans="1:2" x14ac:dyDescent="0.2">
      <c r="A624" s="609" t="s">
        <v>7470</v>
      </c>
      <c r="B624" s="608">
        <v>284</v>
      </c>
    </row>
    <row r="625" spans="1:2" x14ac:dyDescent="0.2">
      <c r="A625" s="609" t="s">
        <v>7494</v>
      </c>
      <c r="B625" s="608">
        <v>284</v>
      </c>
    </row>
    <row r="626" spans="1:2" x14ac:dyDescent="0.2">
      <c r="A626" s="609" t="s">
        <v>6715</v>
      </c>
      <c r="B626" s="608">
        <v>283</v>
      </c>
    </row>
    <row r="627" spans="1:2" x14ac:dyDescent="0.2">
      <c r="A627" s="609" t="s">
        <v>6797</v>
      </c>
      <c r="B627" s="608">
        <v>283</v>
      </c>
    </row>
    <row r="628" spans="1:2" x14ac:dyDescent="0.2">
      <c r="A628" s="609" t="s">
        <v>6894</v>
      </c>
      <c r="B628" s="608">
        <v>283</v>
      </c>
    </row>
    <row r="629" spans="1:2" x14ac:dyDescent="0.2">
      <c r="A629" s="609" t="s">
        <v>6965</v>
      </c>
      <c r="B629" s="608">
        <v>283</v>
      </c>
    </row>
    <row r="630" spans="1:2" x14ac:dyDescent="0.2">
      <c r="A630" s="609" t="s">
        <v>7184</v>
      </c>
      <c r="B630" s="608">
        <v>283</v>
      </c>
    </row>
    <row r="631" spans="1:2" x14ac:dyDescent="0.2">
      <c r="A631" s="609" t="s">
        <v>7392</v>
      </c>
      <c r="B631" s="608">
        <v>283</v>
      </c>
    </row>
    <row r="632" spans="1:2" x14ac:dyDescent="0.2">
      <c r="A632" s="609" t="s">
        <v>7500</v>
      </c>
      <c r="B632" s="608">
        <v>283</v>
      </c>
    </row>
    <row r="633" spans="1:2" x14ac:dyDescent="0.2">
      <c r="A633" s="609" t="s">
        <v>7532</v>
      </c>
      <c r="B633" s="608">
        <v>283</v>
      </c>
    </row>
    <row r="634" spans="1:2" x14ac:dyDescent="0.2">
      <c r="A634" s="609" t="s">
        <v>6709</v>
      </c>
      <c r="B634" s="608">
        <v>282</v>
      </c>
    </row>
    <row r="635" spans="1:2" x14ac:dyDescent="0.2">
      <c r="A635" s="609" t="s">
        <v>6746</v>
      </c>
      <c r="B635" s="608">
        <v>282</v>
      </c>
    </row>
    <row r="636" spans="1:2" ht="25.5" x14ac:dyDescent="0.2">
      <c r="A636" s="609" t="s">
        <v>6840</v>
      </c>
      <c r="B636" s="608">
        <v>282</v>
      </c>
    </row>
    <row r="637" spans="1:2" x14ac:dyDescent="0.2">
      <c r="A637" s="609" t="s">
        <v>7107</v>
      </c>
      <c r="B637" s="608">
        <v>282</v>
      </c>
    </row>
    <row r="638" spans="1:2" x14ac:dyDescent="0.2">
      <c r="A638" s="609" t="s">
        <v>7283</v>
      </c>
      <c r="B638" s="608">
        <v>282</v>
      </c>
    </row>
    <row r="639" spans="1:2" x14ac:dyDescent="0.2">
      <c r="A639" s="609" t="s">
        <v>7335</v>
      </c>
      <c r="B639" s="608">
        <v>282</v>
      </c>
    </row>
    <row r="640" spans="1:2" x14ac:dyDescent="0.2">
      <c r="A640" s="609" t="s">
        <v>7488</v>
      </c>
      <c r="B640" s="608">
        <v>282</v>
      </c>
    </row>
    <row r="641" spans="1:2" x14ac:dyDescent="0.2">
      <c r="A641" s="609" t="s">
        <v>6826</v>
      </c>
      <c r="B641" s="608">
        <v>281</v>
      </c>
    </row>
    <row r="642" spans="1:2" x14ac:dyDescent="0.2">
      <c r="A642" s="609" t="s">
        <v>6914</v>
      </c>
      <c r="B642" s="608">
        <v>281</v>
      </c>
    </row>
    <row r="643" spans="1:2" x14ac:dyDescent="0.2">
      <c r="A643" s="609" t="s">
        <v>7012</v>
      </c>
      <c r="B643" s="608">
        <v>281</v>
      </c>
    </row>
    <row r="644" spans="1:2" x14ac:dyDescent="0.2">
      <c r="A644" s="609" t="s">
        <v>7017</v>
      </c>
      <c r="B644" s="608">
        <v>281</v>
      </c>
    </row>
    <row r="645" spans="1:2" x14ac:dyDescent="0.2">
      <c r="A645" s="609" t="s">
        <v>7087</v>
      </c>
      <c r="B645" s="608">
        <v>281</v>
      </c>
    </row>
    <row r="646" spans="1:2" x14ac:dyDescent="0.2">
      <c r="A646" s="609" t="s">
        <v>7206</v>
      </c>
      <c r="B646" s="608">
        <v>281</v>
      </c>
    </row>
    <row r="647" spans="1:2" x14ac:dyDescent="0.2">
      <c r="A647" s="609" t="s">
        <v>7208</v>
      </c>
      <c r="B647" s="608">
        <v>281</v>
      </c>
    </row>
    <row r="648" spans="1:2" x14ac:dyDescent="0.2">
      <c r="A648" s="609" t="s">
        <v>7291</v>
      </c>
      <c r="B648" s="608">
        <v>281</v>
      </c>
    </row>
    <row r="649" spans="1:2" x14ac:dyDescent="0.2">
      <c r="A649" s="609" t="s">
        <v>7306</v>
      </c>
      <c r="B649" s="608">
        <v>281</v>
      </c>
    </row>
    <row r="650" spans="1:2" ht="25.5" x14ac:dyDescent="0.2">
      <c r="A650" s="609" t="s">
        <v>7458</v>
      </c>
      <c r="B650" s="608">
        <v>281</v>
      </c>
    </row>
    <row r="651" spans="1:2" x14ac:dyDescent="0.2">
      <c r="A651" s="609" t="s">
        <v>7483</v>
      </c>
      <c r="B651" s="608">
        <v>281</v>
      </c>
    </row>
    <row r="652" spans="1:2" x14ac:dyDescent="0.2">
      <c r="A652" s="609" t="s">
        <v>6667</v>
      </c>
      <c r="B652" s="608">
        <v>280</v>
      </c>
    </row>
    <row r="653" spans="1:2" x14ac:dyDescent="0.2">
      <c r="A653" s="609" t="s">
        <v>6670</v>
      </c>
      <c r="B653" s="608">
        <v>280</v>
      </c>
    </row>
    <row r="654" spans="1:2" x14ac:dyDescent="0.2">
      <c r="A654" s="609" t="s">
        <v>6830</v>
      </c>
      <c r="B654" s="608">
        <v>280</v>
      </c>
    </row>
    <row r="655" spans="1:2" x14ac:dyDescent="0.2">
      <c r="A655" s="609" t="s">
        <v>7103</v>
      </c>
      <c r="B655" s="608">
        <v>280</v>
      </c>
    </row>
    <row r="656" spans="1:2" x14ac:dyDescent="0.2">
      <c r="A656" s="609" t="s">
        <v>7148</v>
      </c>
      <c r="B656" s="608">
        <v>280</v>
      </c>
    </row>
    <row r="657" spans="1:2" x14ac:dyDescent="0.2">
      <c r="A657" s="609" t="s">
        <v>7160</v>
      </c>
      <c r="B657" s="608">
        <v>280</v>
      </c>
    </row>
    <row r="658" spans="1:2" x14ac:dyDescent="0.2">
      <c r="A658" s="609" t="s">
        <v>7293</v>
      </c>
      <c r="B658" s="608">
        <v>280</v>
      </c>
    </row>
    <row r="659" spans="1:2" x14ac:dyDescent="0.2">
      <c r="A659" s="609" t="s">
        <v>7518</v>
      </c>
      <c r="B659" s="608">
        <v>280</v>
      </c>
    </row>
    <row r="660" spans="1:2" x14ac:dyDescent="0.2">
      <c r="A660" s="609" t="s">
        <v>6507</v>
      </c>
      <c r="B660" s="608">
        <v>279</v>
      </c>
    </row>
    <row r="661" spans="1:2" x14ac:dyDescent="0.2">
      <c r="A661" s="609" t="s">
        <v>6537</v>
      </c>
      <c r="B661" s="608">
        <v>279</v>
      </c>
    </row>
    <row r="662" spans="1:2" x14ac:dyDescent="0.2">
      <c r="A662" s="609" t="s">
        <v>6664</v>
      </c>
      <c r="B662" s="608">
        <v>279</v>
      </c>
    </row>
    <row r="663" spans="1:2" x14ac:dyDescent="0.2">
      <c r="A663" s="609" t="s">
        <v>6793</v>
      </c>
      <c r="B663" s="608">
        <v>279</v>
      </c>
    </row>
    <row r="664" spans="1:2" ht="25.5" x14ac:dyDescent="0.2">
      <c r="A664" s="609" t="s">
        <v>6854</v>
      </c>
      <c r="B664" s="608">
        <v>279</v>
      </c>
    </row>
    <row r="665" spans="1:2" x14ac:dyDescent="0.2">
      <c r="A665" s="609" t="s">
        <v>6859</v>
      </c>
      <c r="B665" s="608">
        <v>279</v>
      </c>
    </row>
    <row r="666" spans="1:2" x14ac:dyDescent="0.2">
      <c r="A666" s="609" t="s">
        <v>6868</v>
      </c>
      <c r="B666" s="608">
        <v>279</v>
      </c>
    </row>
    <row r="667" spans="1:2" x14ac:dyDescent="0.2">
      <c r="A667" s="609" t="s">
        <v>6923</v>
      </c>
      <c r="B667" s="608">
        <v>279</v>
      </c>
    </row>
    <row r="668" spans="1:2" x14ac:dyDescent="0.2">
      <c r="A668" s="609" t="s">
        <v>6972</v>
      </c>
      <c r="B668" s="608">
        <v>279</v>
      </c>
    </row>
    <row r="669" spans="1:2" ht="25.5" x14ac:dyDescent="0.2">
      <c r="A669" s="609" t="s">
        <v>7170</v>
      </c>
      <c r="B669" s="608">
        <v>279</v>
      </c>
    </row>
    <row r="670" spans="1:2" x14ac:dyDescent="0.2">
      <c r="A670" s="609" t="s">
        <v>7188</v>
      </c>
      <c r="B670" s="608">
        <v>279</v>
      </c>
    </row>
    <row r="671" spans="1:2" x14ac:dyDescent="0.2">
      <c r="A671" s="609" t="s">
        <v>7253</v>
      </c>
      <c r="B671" s="608">
        <v>279</v>
      </c>
    </row>
    <row r="672" spans="1:2" ht="25.5" x14ac:dyDescent="0.2">
      <c r="A672" s="609" t="s">
        <v>7476</v>
      </c>
      <c r="B672" s="608">
        <v>279</v>
      </c>
    </row>
    <row r="673" spans="1:2" x14ac:dyDescent="0.2">
      <c r="A673" s="609" t="s">
        <v>7498</v>
      </c>
      <c r="B673" s="608">
        <v>279</v>
      </c>
    </row>
    <row r="674" spans="1:2" ht="25.5" x14ac:dyDescent="0.2">
      <c r="A674" s="609" t="s">
        <v>7530</v>
      </c>
      <c r="B674" s="608">
        <v>279</v>
      </c>
    </row>
    <row r="675" spans="1:2" x14ac:dyDescent="0.2">
      <c r="A675" s="609" t="s">
        <v>6559</v>
      </c>
      <c r="B675" s="608">
        <v>278</v>
      </c>
    </row>
    <row r="676" spans="1:2" x14ac:dyDescent="0.2">
      <c r="A676" s="609" t="s">
        <v>6561</v>
      </c>
      <c r="B676" s="608">
        <v>278</v>
      </c>
    </row>
    <row r="677" spans="1:2" x14ac:dyDescent="0.2">
      <c r="A677" s="609" t="s">
        <v>6900</v>
      </c>
      <c r="B677" s="608">
        <v>278</v>
      </c>
    </row>
    <row r="678" spans="1:2" x14ac:dyDescent="0.2">
      <c r="A678" s="609" t="s">
        <v>6938</v>
      </c>
      <c r="B678" s="608">
        <v>278</v>
      </c>
    </row>
    <row r="679" spans="1:2" x14ac:dyDescent="0.2">
      <c r="A679" s="609" t="s">
        <v>6980</v>
      </c>
      <c r="B679" s="608">
        <v>278</v>
      </c>
    </row>
    <row r="680" spans="1:2" x14ac:dyDescent="0.2">
      <c r="A680" s="609" t="s">
        <v>7052</v>
      </c>
      <c r="B680" s="608">
        <v>278</v>
      </c>
    </row>
    <row r="681" spans="1:2" x14ac:dyDescent="0.2">
      <c r="A681" s="609" t="s">
        <v>7177</v>
      </c>
      <c r="B681" s="608">
        <v>278</v>
      </c>
    </row>
    <row r="682" spans="1:2" x14ac:dyDescent="0.2">
      <c r="A682" s="609" t="s">
        <v>7373</v>
      </c>
      <c r="B682" s="608">
        <v>278</v>
      </c>
    </row>
    <row r="683" spans="1:2" x14ac:dyDescent="0.2">
      <c r="A683" s="609" t="s">
        <v>6539</v>
      </c>
      <c r="B683" s="608">
        <v>277</v>
      </c>
    </row>
    <row r="684" spans="1:2" x14ac:dyDescent="0.2">
      <c r="A684" s="609" t="s">
        <v>6579</v>
      </c>
      <c r="B684" s="608">
        <v>277</v>
      </c>
    </row>
    <row r="685" spans="1:2" x14ac:dyDescent="0.2">
      <c r="A685" s="609" t="s">
        <v>6681</v>
      </c>
      <c r="B685" s="608">
        <v>277</v>
      </c>
    </row>
    <row r="686" spans="1:2" x14ac:dyDescent="0.2">
      <c r="A686" s="609" t="s">
        <v>6682</v>
      </c>
      <c r="B686" s="608">
        <v>277</v>
      </c>
    </row>
    <row r="687" spans="1:2" x14ac:dyDescent="0.2">
      <c r="A687" s="609" t="s">
        <v>6721</v>
      </c>
      <c r="B687" s="608">
        <v>277</v>
      </c>
    </row>
    <row r="688" spans="1:2" x14ac:dyDescent="0.2">
      <c r="A688" s="609" t="s">
        <v>6730</v>
      </c>
      <c r="B688" s="608">
        <v>277</v>
      </c>
    </row>
    <row r="689" spans="1:2" x14ac:dyDescent="0.2">
      <c r="A689" s="609" t="s">
        <v>6761</v>
      </c>
      <c r="B689" s="608">
        <v>277</v>
      </c>
    </row>
    <row r="690" spans="1:2" x14ac:dyDescent="0.2">
      <c r="A690" s="609" t="s">
        <v>6812</v>
      </c>
      <c r="B690" s="608">
        <v>277</v>
      </c>
    </row>
    <row r="691" spans="1:2" x14ac:dyDescent="0.2">
      <c r="A691" s="609" t="s">
        <v>6835</v>
      </c>
      <c r="B691" s="608">
        <v>277</v>
      </c>
    </row>
    <row r="692" spans="1:2" x14ac:dyDescent="0.2">
      <c r="A692" s="609" t="s">
        <v>6864</v>
      </c>
      <c r="B692" s="608">
        <v>277</v>
      </c>
    </row>
    <row r="693" spans="1:2" x14ac:dyDescent="0.2">
      <c r="A693" s="609" t="s">
        <v>6881</v>
      </c>
      <c r="B693" s="608">
        <v>277</v>
      </c>
    </row>
    <row r="694" spans="1:2" x14ac:dyDescent="0.2">
      <c r="A694" s="609" t="s">
        <v>6887</v>
      </c>
      <c r="B694" s="608">
        <v>277</v>
      </c>
    </row>
    <row r="695" spans="1:2" ht="25.5" x14ac:dyDescent="0.2">
      <c r="A695" s="609" t="s">
        <v>6940</v>
      </c>
      <c r="B695" s="608">
        <v>277</v>
      </c>
    </row>
    <row r="696" spans="1:2" x14ac:dyDescent="0.2">
      <c r="A696" s="609" t="s">
        <v>7040</v>
      </c>
      <c r="B696" s="608">
        <v>277</v>
      </c>
    </row>
    <row r="697" spans="1:2" x14ac:dyDescent="0.2">
      <c r="A697" s="609" t="s">
        <v>7128</v>
      </c>
      <c r="B697" s="608">
        <v>277</v>
      </c>
    </row>
    <row r="698" spans="1:2" x14ac:dyDescent="0.2">
      <c r="A698" s="609" t="s">
        <v>7203</v>
      </c>
      <c r="B698" s="608">
        <v>277</v>
      </c>
    </row>
    <row r="699" spans="1:2" x14ac:dyDescent="0.2">
      <c r="A699" s="609" t="s">
        <v>7259</v>
      </c>
      <c r="B699" s="608">
        <v>277</v>
      </c>
    </row>
    <row r="700" spans="1:2" x14ac:dyDescent="0.2">
      <c r="A700" s="609" t="s">
        <v>7329</v>
      </c>
      <c r="B700" s="608">
        <v>277</v>
      </c>
    </row>
    <row r="701" spans="1:2" x14ac:dyDescent="0.2">
      <c r="A701" s="609" t="s">
        <v>7408</v>
      </c>
      <c r="B701" s="608">
        <v>277</v>
      </c>
    </row>
    <row r="702" spans="1:2" ht="25.5" x14ac:dyDescent="0.2">
      <c r="A702" s="609" t="s">
        <v>6467</v>
      </c>
      <c r="B702" s="608">
        <v>276</v>
      </c>
    </row>
    <row r="703" spans="1:2" ht="25.5" x14ac:dyDescent="0.2">
      <c r="A703" s="609" t="s">
        <v>6498</v>
      </c>
      <c r="B703" s="608">
        <v>276</v>
      </c>
    </row>
    <row r="704" spans="1:2" x14ac:dyDescent="0.2">
      <c r="A704" s="609" t="s">
        <v>6573</v>
      </c>
      <c r="B704" s="608">
        <v>276</v>
      </c>
    </row>
    <row r="705" spans="1:2" x14ac:dyDescent="0.2">
      <c r="A705" s="609" t="s">
        <v>6622</v>
      </c>
      <c r="B705" s="608">
        <v>276</v>
      </c>
    </row>
    <row r="706" spans="1:2" x14ac:dyDescent="0.2">
      <c r="A706" s="609" t="s">
        <v>6637</v>
      </c>
      <c r="B706" s="608">
        <v>276</v>
      </c>
    </row>
    <row r="707" spans="1:2" x14ac:dyDescent="0.2">
      <c r="A707" s="609" t="s">
        <v>6674</v>
      </c>
      <c r="B707" s="608">
        <v>276</v>
      </c>
    </row>
    <row r="708" spans="1:2" x14ac:dyDescent="0.2">
      <c r="A708" s="609" t="s">
        <v>6686</v>
      </c>
      <c r="B708" s="608">
        <v>276</v>
      </c>
    </row>
    <row r="709" spans="1:2" x14ac:dyDescent="0.2">
      <c r="A709" s="609" t="s">
        <v>6920</v>
      </c>
      <c r="B709" s="608">
        <v>276</v>
      </c>
    </row>
    <row r="710" spans="1:2" x14ac:dyDescent="0.2">
      <c r="A710" s="609" t="s">
        <v>7064</v>
      </c>
      <c r="B710" s="608">
        <v>276</v>
      </c>
    </row>
    <row r="711" spans="1:2" ht="25.5" x14ac:dyDescent="0.2">
      <c r="A711" s="609" t="s">
        <v>7153</v>
      </c>
      <c r="B711" s="608">
        <v>276</v>
      </c>
    </row>
    <row r="712" spans="1:2" x14ac:dyDescent="0.2">
      <c r="A712" s="609" t="s">
        <v>7309</v>
      </c>
      <c r="B712" s="608">
        <v>276</v>
      </c>
    </row>
    <row r="713" spans="1:2" x14ac:dyDescent="0.2">
      <c r="A713" s="609" t="s">
        <v>7427</v>
      </c>
      <c r="B713" s="608">
        <v>276</v>
      </c>
    </row>
    <row r="714" spans="1:2" x14ac:dyDescent="0.2">
      <c r="A714" s="609" t="s">
        <v>6654</v>
      </c>
      <c r="B714" s="608">
        <v>275</v>
      </c>
    </row>
    <row r="715" spans="1:2" x14ac:dyDescent="0.2">
      <c r="A715" s="609" t="s">
        <v>6809</v>
      </c>
      <c r="B715" s="608">
        <v>275</v>
      </c>
    </row>
    <row r="716" spans="1:2" x14ac:dyDescent="0.2">
      <c r="A716" s="609" t="s">
        <v>6833</v>
      </c>
      <c r="B716" s="608">
        <v>275</v>
      </c>
    </row>
    <row r="717" spans="1:2" x14ac:dyDescent="0.2">
      <c r="A717" s="609" t="s">
        <v>6860</v>
      </c>
      <c r="B717" s="608">
        <v>275</v>
      </c>
    </row>
    <row r="718" spans="1:2" x14ac:dyDescent="0.2">
      <c r="A718" s="609" t="s">
        <v>7013</v>
      </c>
      <c r="B718" s="608">
        <v>275</v>
      </c>
    </row>
    <row r="719" spans="1:2" ht="25.5" x14ac:dyDescent="0.2">
      <c r="A719" s="609" t="s">
        <v>7207</v>
      </c>
      <c r="B719" s="608">
        <v>275</v>
      </c>
    </row>
    <row r="720" spans="1:2" x14ac:dyDescent="0.2">
      <c r="A720" s="609" t="s">
        <v>7262</v>
      </c>
      <c r="B720" s="608">
        <v>275</v>
      </c>
    </row>
    <row r="721" spans="1:2" x14ac:dyDescent="0.2">
      <c r="A721" s="609" t="s">
        <v>7374</v>
      </c>
      <c r="B721" s="608">
        <v>275</v>
      </c>
    </row>
    <row r="722" spans="1:2" x14ac:dyDescent="0.2">
      <c r="A722" s="609" t="s">
        <v>7411</v>
      </c>
      <c r="B722" s="608">
        <v>275</v>
      </c>
    </row>
    <row r="723" spans="1:2" x14ac:dyDescent="0.2">
      <c r="A723" s="609" t="s">
        <v>7524</v>
      </c>
      <c r="B723" s="608">
        <v>275</v>
      </c>
    </row>
    <row r="724" spans="1:2" x14ac:dyDescent="0.2">
      <c r="A724" s="609" t="s">
        <v>6487</v>
      </c>
      <c r="B724" s="608">
        <v>274</v>
      </c>
    </row>
    <row r="725" spans="1:2" ht="25.5" x14ac:dyDescent="0.2">
      <c r="A725" s="609" t="s">
        <v>6491</v>
      </c>
      <c r="B725" s="608">
        <v>274</v>
      </c>
    </row>
    <row r="726" spans="1:2" x14ac:dyDescent="0.2">
      <c r="A726" s="609" t="s">
        <v>6566</v>
      </c>
      <c r="B726" s="608">
        <v>274</v>
      </c>
    </row>
    <row r="727" spans="1:2" ht="25.5" x14ac:dyDescent="0.2">
      <c r="A727" s="609" t="s">
        <v>6599</v>
      </c>
      <c r="B727" s="608">
        <v>274</v>
      </c>
    </row>
    <row r="728" spans="1:2" x14ac:dyDescent="0.2">
      <c r="A728" s="609" t="s">
        <v>6610</v>
      </c>
      <c r="B728" s="608">
        <v>274</v>
      </c>
    </row>
    <row r="729" spans="1:2" x14ac:dyDescent="0.2">
      <c r="A729" s="609" t="s">
        <v>6857</v>
      </c>
      <c r="B729" s="608">
        <v>274</v>
      </c>
    </row>
    <row r="730" spans="1:2" x14ac:dyDescent="0.2">
      <c r="A730" s="609" t="s">
        <v>6898</v>
      </c>
      <c r="B730" s="608">
        <v>274</v>
      </c>
    </row>
    <row r="731" spans="1:2" x14ac:dyDescent="0.2">
      <c r="A731" s="609" t="s">
        <v>7019</v>
      </c>
      <c r="B731" s="608">
        <v>274</v>
      </c>
    </row>
    <row r="732" spans="1:2" ht="25.5" x14ac:dyDescent="0.2">
      <c r="A732" s="609" t="s">
        <v>7181</v>
      </c>
      <c r="B732" s="608">
        <v>274</v>
      </c>
    </row>
    <row r="733" spans="1:2" x14ac:dyDescent="0.2">
      <c r="A733" s="609" t="s">
        <v>7268</v>
      </c>
      <c r="B733" s="608">
        <v>274</v>
      </c>
    </row>
    <row r="734" spans="1:2" x14ac:dyDescent="0.2">
      <c r="A734" s="609" t="s">
        <v>7299</v>
      </c>
      <c r="B734" s="608">
        <v>274</v>
      </c>
    </row>
    <row r="735" spans="1:2" x14ac:dyDescent="0.2">
      <c r="A735" s="609" t="s">
        <v>7355</v>
      </c>
      <c r="B735" s="608">
        <v>274</v>
      </c>
    </row>
    <row r="736" spans="1:2" x14ac:dyDescent="0.2">
      <c r="A736" s="609" t="s">
        <v>7459</v>
      </c>
      <c r="B736" s="608">
        <v>274</v>
      </c>
    </row>
    <row r="737" spans="1:2" x14ac:dyDescent="0.2">
      <c r="A737" s="609" t="s">
        <v>7495</v>
      </c>
      <c r="B737" s="608">
        <v>274</v>
      </c>
    </row>
    <row r="738" spans="1:2" x14ac:dyDescent="0.2">
      <c r="A738" s="609" t="s">
        <v>7511</v>
      </c>
      <c r="B738" s="608">
        <v>274</v>
      </c>
    </row>
    <row r="739" spans="1:2" x14ac:dyDescent="0.2">
      <c r="A739" s="609" t="s">
        <v>7537</v>
      </c>
      <c r="B739" s="608">
        <v>274</v>
      </c>
    </row>
    <row r="740" spans="1:2" x14ac:dyDescent="0.2">
      <c r="A740" s="609" t="s">
        <v>6549</v>
      </c>
      <c r="B740" s="608">
        <v>273</v>
      </c>
    </row>
    <row r="741" spans="1:2" ht="25.5" x14ac:dyDescent="0.2">
      <c r="A741" s="609" t="s">
        <v>6572</v>
      </c>
      <c r="B741" s="608">
        <v>273</v>
      </c>
    </row>
    <row r="742" spans="1:2" x14ac:dyDescent="0.2">
      <c r="A742" s="609" t="s">
        <v>6592</v>
      </c>
      <c r="B742" s="608">
        <v>273</v>
      </c>
    </row>
    <row r="743" spans="1:2" x14ac:dyDescent="0.2">
      <c r="A743" s="609" t="s">
        <v>6760</v>
      </c>
      <c r="B743" s="608">
        <v>273</v>
      </c>
    </row>
    <row r="744" spans="1:2" x14ac:dyDescent="0.2">
      <c r="A744" s="609" t="s">
        <v>6802</v>
      </c>
      <c r="B744" s="608">
        <v>273</v>
      </c>
    </row>
    <row r="745" spans="1:2" x14ac:dyDescent="0.2">
      <c r="A745" s="609" t="s">
        <v>6926</v>
      </c>
      <c r="B745" s="608">
        <v>273</v>
      </c>
    </row>
    <row r="746" spans="1:2" x14ac:dyDescent="0.2">
      <c r="A746" s="609" t="s">
        <v>7030</v>
      </c>
      <c r="B746" s="608">
        <v>273</v>
      </c>
    </row>
    <row r="747" spans="1:2" x14ac:dyDescent="0.2">
      <c r="A747" s="609" t="s">
        <v>7086</v>
      </c>
      <c r="B747" s="608">
        <v>273</v>
      </c>
    </row>
    <row r="748" spans="1:2" x14ac:dyDescent="0.2">
      <c r="A748" s="609" t="s">
        <v>7102</v>
      </c>
      <c r="B748" s="608">
        <v>273</v>
      </c>
    </row>
    <row r="749" spans="1:2" x14ac:dyDescent="0.2">
      <c r="A749" s="609" t="s">
        <v>7194</v>
      </c>
      <c r="B749" s="608">
        <v>273</v>
      </c>
    </row>
    <row r="750" spans="1:2" x14ac:dyDescent="0.2">
      <c r="A750" s="609" t="s">
        <v>7295</v>
      </c>
      <c r="B750" s="608">
        <v>273</v>
      </c>
    </row>
    <row r="751" spans="1:2" x14ac:dyDescent="0.2">
      <c r="A751" s="609" t="s">
        <v>7304</v>
      </c>
      <c r="B751" s="608">
        <v>273</v>
      </c>
    </row>
    <row r="752" spans="1:2" x14ac:dyDescent="0.2">
      <c r="A752" s="609" t="s">
        <v>7326</v>
      </c>
      <c r="B752" s="608">
        <v>273</v>
      </c>
    </row>
    <row r="753" spans="1:2" x14ac:dyDescent="0.2">
      <c r="A753" s="609" t="s">
        <v>6629</v>
      </c>
      <c r="B753" s="608">
        <v>272</v>
      </c>
    </row>
    <row r="754" spans="1:2" ht="38.25" x14ac:dyDescent="0.2">
      <c r="A754" s="609" t="s">
        <v>6691</v>
      </c>
      <c r="B754" s="608">
        <v>272</v>
      </c>
    </row>
    <row r="755" spans="1:2" ht="38.25" x14ac:dyDescent="0.2">
      <c r="A755" s="609" t="s">
        <v>6764</v>
      </c>
      <c r="B755" s="608">
        <v>272</v>
      </c>
    </row>
    <row r="756" spans="1:2" x14ac:dyDescent="0.2">
      <c r="A756" s="609" t="s">
        <v>6885</v>
      </c>
      <c r="B756" s="608">
        <v>272</v>
      </c>
    </row>
    <row r="757" spans="1:2" x14ac:dyDescent="0.2">
      <c r="A757" s="609" t="s">
        <v>6927</v>
      </c>
      <c r="B757" s="608">
        <v>272</v>
      </c>
    </row>
    <row r="758" spans="1:2" x14ac:dyDescent="0.2">
      <c r="A758" s="609" t="s">
        <v>6982</v>
      </c>
      <c r="B758" s="608">
        <v>272</v>
      </c>
    </row>
    <row r="759" spans="1:2" x14ac:dyDescent="0.2">
      <c r="A759" s="609" t="s">
        <v>6998</v>
      </c>
      <c r="B759" s="608">
        <v>272</v>
      </c>
    </row>
    <row r="760" spans="1:2" x14ac:dyDescent="0.2">
      <c r="A760" s="609" t="s">
        <v>7018</v>
      </c>
      <c r="B760" s="608">
        <v>272</v>
      </c>
    </row>
    <row r="761" spans="1:2" x14ac:dyDescent="0.2">
      <c r="A761" s="609" t="s">
        <v>7167</v>
      </c>
      <c r="B761" s="608">
        <v>272</v>
      </c>
    </row>
    <row r="762" spans="1:2" x14ac:dyDescent="0.2">
      <c r="A762" s="609" t="s">
        <v>7367</v>
      </c>
      <c r="B762" s="608">
        <v>272</v>
      </c>
    </row>
    <row r="763" spans="1:2" x14ac:dyDescent="0.2">
      <c r="A763" s="609" t="s">
        <v>7466</v>
      </c>
      <c r="B763" s="608">
        <v>272</v>
      </c>
    </row>
    <row r="764" spans="1:2" ht="25.5" x14ac:dyDescent="0.2">
      <c r="A764" s="609" t="s">
        <v>6497</v>
      </c>
      <c r="B764" s="608">
        <v>271</v>
      </c>
    </row>
    <row r="765" spans="1:2" x14ac:dyDescent="0.2">
      <c r="A765" s="609" t="s">
        <v>6582</v>
      </c>
      <c r="B765" s="608">
        <v>271</v>
      </c>
    </row>
    <row r="766" spans="1:2" x14ac:dyDescent="0.2">
      <c r="A766" s="609" t="s">
        <v>6750</v>
      </c>
      <c r="B766" s="608">
        <v>271</v>
      </c>
    </row>
    <row r="767" spans="1:2" ht="25.5" x14ac:dyDescent="0.2">
      <c r="A767" s="609" t="s">
        <v>6773</v>
      </c>
      <c r="B767" s="608">
        <v>271</v>
      </c>
    </row>
    <row r="768" spans="1:2" x14ac:dyDescent="0.2">
      <c r="A768" s="609" t="s">
        <v>6817</v>
      </c>
      <c r="B768" s="608">
        <v>271</v>
      </c>
    </row>
    <row r="769" spans="1:2" x14ac:dyDescent="0.2">
      <c r="A769" s="609" t="s">
        <v>6853</v>
      </c>
      <c r="B769" s="608">
        <v>271</v>
      </c>
    </row>
    <row r="770" spans="1:2" x14ac:dyDescent="0.2">
      <c r="A770" s="609" t="s">
        <v>6945</v>
      </c>
      <c r="B770" s="608">
        <v>271</v>
      </c>
    </row>
    <row r="771" spans="1:2" ht="25.5" x14ac:dyDescent="0.2">
      <c r="A771" s="609" t="s">
        <v>6951</v>
      </c>
      <c r="B771" s="608">
        <v>271</v>
      </c>
    </row>
    <row r="772" spans="1:2" x14ac:dyDescent="0.2">
      <c r="A772" s="609" t="s">
        <v>7011</v>
      </c>
      <c r="B772" s="608">
        <v>271</v>
      </c>
    </row>
    <row r="773" spans="1:2" x14ac:dyDescent="0.2">
      <c r="A773" s="609" t="s">
        <v>7035</v>
      </c>
      <c r="B773" s="608">
        <v>271</v>
      </c>
    </row>
    <row r="774" spans="1:2" x14ac:dyDescent="0.2">
      <c r="A774" s="609" t="s">
        <v>7089</v>
      </c>
      <c r="B774" s="608">
        <v>271</v>
      </c>
    </row>
    <row r="775" spans="1:2" x14ac:dyDescent="0.2">
      <c r="A775" s="609" t="s">
        <v>7104</v>
      </c>
      <c r="B775" s="608">
        <v>271</v>
      </c>
    </row>
    <row r="776" spans="1:2" x14ac:dyDescent="0.2">
      <c r="A776" s="609" t="s">
        <v>7232</v>
      </c>
      <c r="B776" s="608">
        <v>271</v>
      </c>
    </row>
    <row r="777" spans="1:2" x14ac:dyDescent="0.2">
      <c r="A777" s="609" t="s">
        <v>7282</v>
      </c>
      <c r="B777" s="608">
        <v>271</v>
      </c>
    </row>
    <row r="778" spans="1:2" x14ac:dyDescent="0.2">
      <c r="A778" s="609" t="s">
        <v>7285</v>
      </c>
      <c r="B778" s="608">
        <v>271</v>
      </c>
    </row>
    <row r="779" spans="1:2" x14ac:dyDescent="0.2">
      <c r="A779" s="609" t="s">
        <v>7346</v>
      </c>
      <c r="B779" s="608">
        <v>271</v>
      </c>
    </row>
    <row r="780" spans="1:2" x14ac:dyDescent="0.2">
      <c r="A780" s="609" t="s">
        <v>7395</v>
      </c>
      <c r="B780" s="608">
        <v>271</v>
      </c>
    </row>
    <row r="781" spans="1:2" x14ac:dyDescent="0.2">
      <c r="A781" s="609" t="s">
        <v>7516</v>
      </c>
      <c r="B781" s="608">
        <v>271</v>
      </c>
    </row>
    <row r="782" spans="1:2" x14ac:dyDescent="0.2">
      <c r="A782" s="609" t="s">
        <v>6486</v>
      </c>
      <c r="B782" s="608">
        <v>270</v>
      </c>
    </row>
    <row r="783" spans="1:2" ht="25.5" x14ac:dyDescent="0.2">
      <c r="A783" s="609" t="s">
        <v>6640</v>
      </c>
      <c r="B783" s="608">
        <v>270</v>
      </c>
    </row>
    <row r="784" spans="1:2" ht="25.5" x14ac:dyDescent="0.2">
      <c r="A784" s="609" t="s">
        <v>6692</v>
      </c>
      <c r="B784" s="608">
        <v>270</v>
      </c>
    </row>
    <row r="785" spans="1:2" x14ac:dyDescent="0.2">
      <c r="A785" s="609" t="s">
        <v>6785</v>
      </c>
      <c r="B785" s="608">
        <v>270</v>
      </c>
    </row>
    <row r="786" spans="1:2" x14ac:dyDescent="0.2">
      <c r="A786" s="609" t="s">
        <v>6919</v>
      </c>
      <c r="B786" s="608">
        <v>270</v>
      </c>
    </row>
    <row r="787" spans="1:2" x14ac:dyDescent="0.2">
      <c r="A787" s="609" t="s">
        <v>6935</v>
      </c>
      <c r="B787" s="608">
        <v>270</v>
      </c>
    </row>
    <row r="788" spans="1:2" x14ac:dyDescent="0.2">
      <c r="A788" s="609" t="s">
        <v>6943</v>
      </c>
      <c r="B788" s="608">
        <v>270</v>
      </c>
    </row>
    <row r="789" spans="1:2" x14ac:dyDescent="0.2">
      <c r="A789" s="609" t="s">
        <v>7193</v>
      </c>
      <c r="B789" s="608">
        <v>270</v>
      </c>
    </row>
    <row r="790" spans="1:2" x14ac:dyDescent="0.2">
      <c r="A790" s="609" t="s">
        <v>7236</v>
      </c>
      <c r="B790" s="608">
        <v>270</v>
      </c>
    </row>
    <row r="791" spans="1:2" x14ac:dyDescent="0.2">
      <c r="A791" s="609" t="s">
        <v>7267</v>
      </c>
      <c r="B791" s="608">
        <v>270</v>
      </c>
    </row>
    <row r="792" spans="1:2" ht="25.5" x14ac:dyDescent="0.2">
      <c r="A792" s="609" t="s">
        <v>7487</v>
      </c>
      <c r="B792" s="608">
        <v>270</v>
      </c>
    </row>
    <row r="793" spans="1:2" ht="25.5" x14ac:dyDescent="0.2">
      <c r="A793" s="609" t="s">
        <v>6516</v>
      </c>
      <c r="B793" s="608">
        <v>269</v>
      </c>
    </row>
    <row r="794" spans="1:2" x14ac:dyDescent="0.2">
      <c r="A794" s="609" t="s">
        <v>6555</v>
      </c>
      <c r="B794" s="608">
        <v>269</v>
      </c>
    </row>
    <row r="795" spans="1:2" x14ac:dyDescent="0.2">
      <c r="A795" s="609" t="s">
        <v>6564</v>
      </c>
      <c r="B795" s="608">
        <v>269</v>
      </c>
    </row>
    <row r="796" spans="1:2" x14ac:dyDescent="0.2">
      <c r="A796" s="609" t="s">
        <v>6605</v>
      </c>
      <c r="B796" s="608">
        <v>269</v>
      </c>
    </row>
    <row r="797" spans="1:2" x14ac:dyDescent="0.2">
      <c r="A797" s="609" t="s">
        <v>6606</v>
      </c>
      <c r="B797" s="608">
        <v>269</v>
      </c>
    </row>
    <row r="798" spans="1:2" x14ac:dyDescent="0.2">
      <c r="A798" s="609" t="s">
        <v>6612</v>
      </c>
      <c r="B798" s="608">
        <v>269</v>
      </c>
    </row>
    <row r="799" spans="1:2" x14ac:dyDescent="0.2">
      <c r="A799" s="609" t="s">
        <v>6787</v>
      </c>
      <c r="B799" s="608">
        <v>269</v>
      </c>
    </row>
    <row r="800" spans="1:2" x14ac:dyDescent="0.2">
      <c r="A800" s="609" t="s">
        <v>7009</v>
      </c>
      <c r="B800" s="608">
        <v>269</v>
      </c>
    </row>
    <row r="801" spans="1:2" x14ac:dyDescent="0.2">
      <c r="A801" s="609" t="s">
        <v>7032</v>
      </c>
      <c r="B801" s="608">
        <v>269</v>
      </c>
    </row>
    <row r="802" spans="1:2" x14ac:dyDescent="0.2">
      <c r="A802" s="609" t="s">
        <v>7091</v>
      </c>
      <c r="B802" s="608">
        <v>269</v>
      </c>
    </row>
    <row r="803" spans="1:2" x14ac:dyDescent="0.2">
      <c r="A803" s="609" t="s">
        <v>7178</v>
      </c>
      <c r="B803" s="608">
        <v>269</v>
      </c>
    </row>
    <row r="804" spans="1:2" x14ac:dyDescent="0.2">
      <c r="A804" s="609" t="s">
        <v>7308</v>
      </c>
      <c r="B804" s="608">
        <v>269</v>
      </c>
    </row>
    <row r="805" spans="1:2" x14ac:dyDescent="0.2">
      <c r="A805" s="609" t="s">
        <v>7382</v>
      </c>
      <c r="B805" s="608">
        <v>269</v>
      </c>
    </row>
    <row r="806" spans="1:2" x14ac:dyDescent="0.2">
      <c r="A806" s="609" t="s">
        <v>7400</v>
      </c>
      <c r="B806" s="608">
        <v>269</v>
      </c>
    </row>
    <row r="807" spans="1:2" x14ac:dyDescent="0.2">
      <c r="A807" s="609" t="s">
        <v>7405</v>
      </c>
      <c r="B807" s="608">
        <v>269</v>
      </c>
    </row>
    <row r="808" spans="1:2" x14ac:dyDescent="0.2">
      <c r="A808" s="609" t="s">
        <v>7503</v>
      </c>
      <c r="B808" s="608">
        <v>269</v>
      </c>
    </row>
    <row r="809" spans="1:2" x14ac:dyDescent="0.2">
      <c r="A809" s="609" t="s">
        <v>6483</v>
      </c>
      <c r="B809" s="608">
        <v>268</v>
      </c>
    </row>
    <row r="810" spans="1:2" x14ac:dyDescent="0.2">
      <c r="A810" s="609" t="s">
        <v>6635</v>
      </c>
      <c r="B810" s="608">
        <v>268</v>
      </c>
    </row>
    <row r="811" spans="1:2" x14ac:dyDescent="0.2">
      <c r="A811" s="609" t="s">
        <v>6647</v>
      </c>
      <c r="B811" s="608">
        <v>268</v>
      </c>
    </row>
    <row r="812" spans="1:2" x14ac:dyDescent="0.2">
      <c r="A812" s="609" t="s">
        <v>6671</v>
      </c>
      <c r="B812" s="608">
        <v>268</v>
      </c>
    </row>
    <row r="813" spans="1:2" x14ac:dyDescent="0.2">
      <c r="A813" s="609" t="s">
        <v>6707</v>
      </c>
      <c r="B813" s="608">
        <v>268</v>
      </c>
    </row>
    <row r="814" spans="1:2" x14ac:dyDescent="0.2">
      <c r="A814" s="609" t="s">
        <v>6737</v>
      </c>
      <c r="B814" s="608">
        <v>268</v>
      </c>
    </row>
    <row r="815" spans="1:2" x14ac:dyDescent="0.2">
      <c r="A815" s="609" t="s">
        <v>6838</v>
      </c>
      <c r="B815" s="608">
        <v>268</v>
      </c>
    </row>
    <row r="816" spans="1:2" ht="25.5" x14ac:dyDescent="0.2">
      <c r="A816" s="609" t="s">
        <v>6916</v>
      </c>
      <c r="B816" s="608">
        <v>268</v>
      </c>
    </row>
    <row r="817" spans="1:2" ht="25.5" x14ac:dyDescent="0.2">
      <c r="A817" s="609" t="s">
        <v>6961</v>
      </c>
      <c r="B817" s="608">
        <v>268</v>
      </c>
    </row>
    <row r="818" spans="1:2" ht="25.5" x14ac:dyDescent="0.2">
      <c r="A818" s="609" t="s">
        <v>7149</v>
      </c>
      <c r="B818" s="608">
        <v>268</v>
      </c>
    </row>
    <row r="819" spans="1:2" x14ac:dyDescent="0.2">
      <c r="A819" s="609" t="s">
        <v>7212</v>
      </c>
      <c r="B819" s="608">
        <v>268</v>
      </c>
    </row>
    <row r="820" spans="1:2" ht="25.5" x14ac:dyDescent="0.2">
      <c r="A820" s="609" t="s">
        <v>7338</v>
      </c>
      <c r="B820" s="608">
        <v>268</v>
      </c>
    </row>
    <row r="821" spans="1:2" x14ac:dyDescent="0.2">
      <c r="A821" s="609" t="s">
        <v>7381</v>
      </c>
      <c r="B821" s="608">
        <v>268</v>
      </c>
    </row>
    <row r="822" spans="1:2" ht="25.5" x14ac:dyDescent="0.2">
      <c r="A822" s="609" t="s">
        <v>7419</v>
      </c>
      <c r="B822" s="608">
        <v>268</v>
      </c>
    </row>
    <row r="823" spans="1:2" x14ac:dyDescent="0.2">
      <c r="A823" s="609" t="s">
        <v>6477</v>
      </c>
      <c r="B823" s="608">
        <v>267</v>
      </c>
    </row>
    <row r="824" spans="1:2" x14ac:dyDescent="0.2">
      <c r="A824" s="609" t="s">
        <v>6495</v>
      </c>
      <c r="B824" s="608">
        <v>267</v>
      </c>
    </row>
    <row r="825" spans="1:2" x14ac:dyDescent="0.2">
      <c r="A825" s="609" t="s">
        <v>6528</v>
      </c>
      <c r="B825" s="608">
        <v>267</v>
      </c>
    </row>
    <row r="826" spans="1:2" x14ac:dyDescent="0.2">
      <c r="A826" s="609" t="s">
        <v>6578</v>
      </c>
      <c r="B826" s="608">
        <v>267</v>
      </c>
    </row>
    <row r="827" spans="1:2" x14ac:dyDescent="0.2">
      <c r="A827" s="609" t="s">
        <v>6623</v>
      </c>
      <c r="B827" s="608">
        <v>267</v>
      </c>
    </row>
    <row r="828" spans="1:2" x14ac:dyDescent="0.2">
      <c r="A828" s="609" t="s">
        <v>6713</v>
      </c>
      <c r="B828" s="608">
        <v>267</v>
      </c>
    </row>
    <row r="829" spans="1:2" x14ac:dyDescent="0.2">
      <c r="A829" s="609" t="s">
        <v>6818</v>
      </c>
      <c r="B829" s="608">
        <v>267</v>
      </c>
    </row>
    <row r="830" spans="1:2" x14ac:dyDescent="0.2">
      <c r="A830" s="609" t="s">
        <v>6869</v>
      </c>
      <c r="B830" s="608">
        <v>267</v>
      </c>
    </row>
    <row r="831" spans="1:2" x14ac:dyDescent="0.2">
      <c r="A831" s="609" t="s">
        <v>6888</v>
      </c>
      <c r="B831" s="608">
        <v>267</v>
      </c>
    </row>
    <row r="832" spans="1:2" x14ac:dyDescent="0.2">
      <c r="A832" s="609" t="s">
        <v>6933</v>
      </c>
      <c r="B832" s="608">
        <v>267</v>
      </c>
    </row>
    <row r="833" spans="1:2" x14ac:dyDescent="0.2">
      <c r="A833" s="609" t="s">
        <v>6953</v>
      </c>
      <c r="B833" s="608">
        <v>267</v>
      </c>
    </row>
    <row r="834" spans="1:2" x14ac:dyDescent="0.2">
      <c r="A834" s="609" t="s">
        <v>7014</v>
      </c>
      <c r="B834" s="608">
        <v>267</v>
      </c>
    </row>
    <row r="835" spans="1:2" x14ac:dyDescent="0.2">
      <c r="A835" s="609" t="s">
        <v>7078</v>
      </c>
      <c r="B835" s="608">
        <v>267</v>
      </c>
    </row>
    <row r="836" spans="1:2" ht="25.5" x14ac:dyDescent="0.2">
      <c r="A836" s="609" t="s">
        <v>7113</v>
      </c>
      <c r="B836" s="608">
        <v>267</v>
      </c>
    </row>
    <row r="837" spans="1:2" x14ac:dyDescent="0.2">
      <c r="A837" s="609" t="s">
        <v>7248</v>
      </c>
      <c r="B837" s="608">
        <v>267</v>
      </c>
    </row>
    <row r="838" spans="1:2" x14ac:dyDescent="0.2">
      <c r="A838" s="609" t="s">
        <v>7313</v>
      </c>
      <c r="B838" s="608">
        <v>267</v>
      </c>
    </row>
    <row r="839" spans="1:2" x14ac:dyDescent="0.2">
      <c r="A839" s="609" t="s">
        <v>7325</v>
      </c>
      <c r="B839" s="608">
        <v>267</v>
      </c>
    </row>
    <row r="840" spans="1:2" x14ac:dyDescent="0.2">
      <c r="A840" s="609" t="s">
        <v>7337</v>
      </c>
      <c r="B840" s="608">
        <v>267</v>
      </c>
    </row>
    <row r="841" spans="1:2" x14ac:dyDescent="0.2">
      <c r="A841" s="609" t="s">
        <v>7352</v>
      </c>
      <c r="B841" s="608">
        <v>267</v>
      </c>
    </row>
    <row r="842" spans="1:2" x14ac:dyDescent="0.2">
      <c r="A842" s="609" t="s">
        <v>6531</v>
      </c>
      <c r="B842" s="608">
        <v>266</v>
      </c>
    </row>
    <row r="843" spans="1:2" x14ac:dyDescent="0.2">
      <c r="A843" s="609" t="s">
        <v>6536</v>
      </c>
      <c r="B843" s="608">
        <v>266</v>
      </c>
    </row>
    <row r="844" spans="1:2" x14ac:dyDescent="0.2">
      <c r="A844" s="609" t="s">
        <v>6552</v>
      </c>
      <c r="B844" s="608">
        <v>266</v>
      </c>
    </row>
    <row r="845" spans="1:2" x14ac:dyDescent="0.2">
      <c r="A845" s="609" t="s">
        <v>6560</v>
      </c>
      <c r="B845" s="608">
        <v>266</v>
      </c>
    </row>
    <row r="846" spans="1:2" x14ac:dyDescent="0.2">
      <c r="A846" s="609" t="s">
        <v>6565</v>
      </c>
      <c r="B846" s="608">
        <v>266</v>
      </c>
    </row>
    <row r="847" spans="1:2" x14ac:dyDescent="0.2">
      <c r="A847" s="609" t="s">
        <v>6918</v>
      </c>
      <c r="B847" s="608">
        <v>266</v>
      </c>
    </row>
    <row r="848" spans="1:2" x14ac:dyDescent="0.2">
      <c r="A848" s="609" t="s">
        <v>6930</v>
      </c>
      <c r="B848" s="608">
        <v>266</v>
      </c>
    </row>
    <row r="849" spans="1:2" x14ac:dyDescent="0.2">
      <c r="A849" s="609" t="s">
        <v>6931</v>
      </c>
      <c r="B849" s="608">
        <v>266</v>
      </c>
    </row>
    <row r="850" spans="1:2" ht="25.5" x14ac:dyDescent="0.2">
      <c r="A850" s="609" t="s">
        <v>6948</v>
      </c>
      <c r="B850" s="608">
        <v>266</v>
      </c>
    </row>
    <row r="851" spans="1:2" x14ac:dyDescent="0.2">
      <c r="A851" s="609" t="s">
        <v>6966</v>
      </c>
      <c r="B851" s="608">
        <v>266</v>
      </c>
    </row>
    <row r="852" spans="1:2" x14ac:dyDescent="0.2">
      <c r="A852" s="609" t="s">
        <v>6985</v>
      </c>
      <c r="B852" s="608">
        <v>266</v>
      </c>
    </row>
    <row r="853" spans="1:2" ht="25.5" x14ac:dyDescent="0.2">
      <c r="A853" s="609" t="s">
        <v>6994</v>
      </c>
      <c r="B853" s="608">
        <v>266</v>
      </c>
    </row>
    <row r="854" spans="1:2" x14ac:dyDescent="0.2">
      <c r="A854" s="609" t="s">
        <v>7049</v>
      </c>
      <c r="B854" s="608">
        <v>266</v>
      </c>
    </row>
    <row r="855" spans="1:2" x14ac:dyDescent="0.2">
      <c r="A855" s="609" t="s">
        <v>7264</v>
      </c>
      <c r="B855" s="608">
        <v>266</v>
      </c>
    </row>
    <row r="856" spans="1:2" x14ac:dyDescent="0.2">
      <c r="A856" s="609" t="s">
        <v>7375</v>
      </c>
      <c r="B856" s="608">
        <v>266</v>
      </c>
    </row>
    <row r="857" spans="1:2" x14ac:dyDescent="0.2">
      <c r="A857" s="609" t="s">
        <v>6480</v>
      </c>
      <c r="B857" s="608">
        <v>265</v>
      </c>
    </row>
    <row r="858" spans="1:2" x14ac:dyDescent="0.2">
      <c r="A858" s="609" t="s">
        <v>6547</v>
      </c>
      <c r="B858" s="608">
        <v>265</v>
      </c>
    </row>
    <row r="859" spans="1:2" x14ac:dyDescent="0.2">
      <c r="A859" s="609" t="s">
        <v>6634</v>
      </c>
      <c r="B859" s="608">
        <v>265</v>
      </c>
    </row>
    <row r="860" spans="1:2" x14ac:dyDescent="0.2">
      <c r="A860" s="609" t="s">
        <v>6820</v>
      </c>
      <c r="B860" s="608">
        <v>265</v>
      </c>
    </row>
    <row r="861" spans="1:2" x14ac:dyDescent="0.2">
      <c r="A861" s="609" t="s">
        <v>6822</v>
      </c>
      <c r="B861" s="608">
        <v>265</v>
      </c>
    </row>
    <row r="862" spans="1:2" ht="25.5" x14ac:dyDescent="0.2">
      <c r="A862" s="609" t="s">
        <v>6823</v>
      </c>
      <c r="B862" s="608">
        <v>265</v>
      </c>
    </row>
    <row r="863" spans="1:2" x14ac:dyDescent="0.2">
      <c r="A863" s="609" t="s">
        <v>6832</v>
      </c>
      <c r="B863" s="608">
        <v>265</v>
      </c>
    </row>
    <row r="864" spans="1:2" x14ac:dyDescent="0.2">
      <c r="A864" s="609" t="s">
        <v>6852</v>
      </c>
      <c r="B864" s="608">
        <v>265</v>
      </c>
    </row>
    <row r="865" spans="1:2" x14ac:dyDescent="0.2">
      <c r="A865" s="609" t="s">
        <v>6988</v>
      </c>
      <c r="B865" s="608">
        <v>265</v>
      </c>
    </row>
    <row r="866" spans="1:2" x14ac:dyDescent="0.2">
      <c r="A866" s="609" t="s">
        <v>7147</v>
      </c>
      <c r="B866" s="608">
        <v>265</v>
      </c>
    </row>
    <row r="867" spans="1:2" x14ac:dyDescent="0.2">
      <c r="A867" s="609" t="s">
        <v>7192</v>
      </c>
      <c r="B867" s="608">
        <v>265</v>
      </c>
    </row>
    <row r="868" spans="1:2" x14ac:dyDescent="0.2">
      <c r="A868" s="609" t="s">
        <v>7229</v>
      </c>
      <c r="B868" s="608">
        <v>265</v>
      </c>
    </row>
    <row r="869" spans="1:2" x14ac:dyDescent="0.2">
      <c r="A869" s="609" t="s">
        <v>7275</v>
      </c>
      <c r="B869" s="608">
        <v>265</v>
      </c>
    </row>
    <row r="870" spans="1:2" ht="25.5" x14ac:dyDescent="0.2">
      <c r="A870" s="609" t="s">
        <v>7318</v>
      </c>
      <c r="B870" s="608">
        <v>265</v>
      </c>
    </row>
    <row r="871" spans="1:2" x14ac:dyDescent="0.2">
      <c r="A871" s="609" t="s">
        <v>7356</v>
      </c>
      <c r="B871" s="608">
        <v>265</v>
      </c>
    </row>
    <row r="872" spans="1:2" x14ac:dyDescent="0.2">
      <c r="A872" s="609" t="s">
        <v>7380</v>
      </c>
      <c r="B872" s="608">
        <v>265</v>
      </c>
    </row>
    <row r="873" spans="1:2" x14ac:dyDescent="0.2">
      <c r="A873" s="609" t="s">
        <v>7387</v>
      </c>
      <c r="B873" s="608">
        <v>265</v>
      </c>
    </row>
    <row r="874" spans="1:2" x14ac:dyDescent="0.2">
      <c r="A874" s="609" t="s">
        <v>7421</v>
      </c>
      <c r="B874" s="608">
        <v>265</v>
      </c>
    </row>
    <row r="875" spans="1:2" x14ac:dyDescent="0.2">
      <c r="A875" s="609" t="s">
        <v>7426</v>
      </c>
      <c r="B875" s="608">
        <v>265</v>
      </c>
    </row>
    <row r="876" spans="1:2" ht="25.5" x14ac:dyDescent="0.2">
      <c r="A876" s="609" t="s">
        <v>7529</v>
      </c>
      <c r="B876" s="608">
        <v>265</v>
      </c>
    </row>
    <row r="877" spans="1:2" x14ac:dyDescent="0.2">
      <c r="A877" s="609" t="s">
        <v>6661</v>
      </c>
      <c r="B877" s="608">
        <v>264</v>
      </c>
    </row>
    <row r="878" spans="1:2" x14ac:dyDescent="0.2">
      <c r="A878" s="609" t="s">
        <v>6685</v>
      </c>
      <c r="B878" s="608">
        <v>264</v>
      </c>
    </row>
    <row r="879" spans="1:2" x14ac:dyDescent="0.2">
      <c r="A879" s="609" t="s">
        <v>6711</v>
      </c>
      <c r="B879" s="608">
        <v>264</v>
      </c>
    </row>
    <row r="880" spans="1:2" x14ac:dyDescent="0.2">
      <c r="A880" s="609" t="s">
        <v>6716</v>
      </c>
      <c r="B880" s="608">
        <v>264</v>
      </c>
    </row>
    <row r="881" spans="1:2" ht="25.5" x14ac:dyDescent="0.2">
      <c r="A881" s="609" t="s">
        <v>6735</v>
      </c>
      <c r="B881" s="608">
        <v>264</v>
      </c>
    </row>
    <row r="882" spans="1:2" x14ac:dyDescent="0.2">
      <c r="A882" s="609" t="s">
        <v>6790</v>
      </c>
      <c r="B882" s="608">
        <v>264</v>
      </c>
    </row>
    <row r="883" spans="1:2" x14ac:dyDescent="0.2">
      <c r="A883" s="609" t="s">
        <v>6834</v>
      </c>
      <c r="B883" s="608">
        <v>264</v>
      </c>
    </row>
    <row r="884" spans="1:2" x14ac:dyDescent="0.2">
      <c r="A884" s="609" t="s">
        <v>6878</v>
      </c>
      <c r="B884" s="608">
        <v>264</v>
      </c>
    </row>
    <row r="885" spans="1:2" x14ac:dyDescent="0.2">
      <c r="A885" s="609" t="s">
        <v>6899</v>
      </c>
      <c r="B885" s="608">
        <v>264</v>
      </c>
    </row>
    <row r="886" spans="1:2" x14ac:dyDescent="0.2">
      <c r="A886" s="609" t="s">
        <v>6917</v>
      </c>
      <c r="B886" s="608">
        <v>264</v>
      </c>
    </row>
    <row r="887" spans="1:2" ht="25.5" x14ac:dyDescent="0.2">
      <c r="A887" s="609" t="s">
        <v>6942</v>
      </c>
      <c r="B887" s="608">
        <v>264</v>
      </c>
    </row>
    <row r="888" spans="1:2" ht="25.5" x14ac:dyDescent="0.2">
      <c r="A888" s="609" t="s">
        <v>6992</v>
      </c>
      <c r="B888" s="608">
        <v>264</v>
      </c>
    </row>
    <row r="889" spans="1:2" x14ac:dyDescent="0.2">
      <c r="A889" s="609" t="s">
        <v>7023</v>
      </c>
      <c r="B889" s="608">
        <v>264</v>
      </c>
    </row>
    <row r="890" spans="1:2" x14ac:dyDescent="0.2">
      <c r="A890" s="609" t="s">
        <v>7099</v>
      </c>
      <c r="B890" s="608">
        <v>264</v>
      </c>
    </row>
    <row r="891" spans="1:2" ht="25.5" x14ac:dyDescent="0.2">
      <c r="A891" s="609" t="s">
        <v>7156</v>
      </c>
      <c r="B891" s="608">
        <v>264</v>
      </c>
    </row>
    <row r="892" spans="1:2" x14ac:dyDescent="0.2">
      <c r="A892" s="609" t="s">
        <v>7204</v>
      </c>
      <c r="B892" s="608">
        <v>264</v>
      </c>
    </row>
    <row r="893" spans="1:2" x14ac:dyDescent="0.2">
      <c r="A893" s="609" t="s">
        <v>7407</v>
      </c>
      <c r="B893" s="608">
        <v>264</v>
      </c>
    </row>
    <row r="894" spans="1:2" x14ac:dyDescent="0.2">
      <c r="A894" s="609" t="s">
        <v>7485</v>
      </c>
      <c r="B894" s="608">
        <v>264</v>
      </c>
    </row>
    <row r="895" spans="1:2" x14ac:dyDescent="0.2">
      <c r="A895" s="609" t="s">
        <v>7507</v>
      </c>
      <c r="B895" s="608">
        <v>264</v>
      </c>
    </row>
    <row r="896" spans="1:2" x14ac:dyDescent="0.2">
      <c r="A896" s="609" t="s">
        <v>6466</v>
      </c>
      <c r="B896" s="608">
        <v>263</v>
      </c>
    </row>
    <row r="897" spans="1:2" x14ac:dyDescent="0.2">
      <c r="A897" s="609" t="s">
        <v>6471</v>
      </c>
      <c r="B897" s="608">
        <v>263</v>
      </c>
    </row>
    <row r="898" spans="1:2" x14ac:dyDescent="0.2">
      <c r="A898" s="609" t="s">
        <v>6530</v>
      </c>
      <c r="B898" s="608">
        <v>263</v>
      </c>
    </row>
    <row r="899" spans="1:2" x14ac:dyDescent="0.2">
      <c r="A899" s="609" t="s">
        <v>6554</v>
      </c>
      <c r="B899" s="608">
        <v>263</v>
      </c>
    </row>
    <row r="900" spans="1:2" x14ac:dyDescent="0.2">
      <c r="A900" s="609" t="s">
        <v>6722</v>
      </c>
      <c r="B900" s="608">
        <v>263</v>
      </c>
    </row>
    <row r="901" spans="1:2" x14ac:dyDescent="0.2">
      <c r="A901" s="609" t="s">
        <v>6913</v>
      </c>
      <c r="B901" s="608">
        <v>263</v>
      </c>
    </row>
    <row r="902" spans="1:2" ht="25.5" x14ac:dyDescent="0.2">
      <c r="A902" s="609" t="s">
        <v>6925</v>
      </c>
      <c r="B902" s="608">
        <v>263</v>
      </c>
    </row>
    <row r="903" spans="1:2" x14ac:dyDescent="0.2">
      <c r="A903" s="609" t="s">
        <v>7034</v>
      </c>
      <c r="B903" s="608">
        <v>263</v>
      </c>
    </row>
    <row r="904" spans="1:2" x14ac:dyDescent="0.2">
      <c r="A904" s="609" t="s">
        <v>7085</v>
      </c>
      <c r="B904" s="608">
        <v>263</v>
      </c>
    </row>
    <row r="905" spans="1:2" x14ac:dyDescent="0.2">
      <c r="A905" s="609" t="s">
        <v>7111</v>
      </c>
      <c r="B905" s="608">
        <v>263</v>
      </c>
    </row>
    <row r="906" spans="1:2" x14ac:dyDescent="0.2">
      <c r="A906" s="609" t="s">
        <v>7137</v>
      </c>
      <c r="B906" s="608">
        <v>263</v>
      </c>
    </row>
    <row r="907" spans="1:2" x14ac:dyDescent="0.2">
      <c r="A907" s="609" t="s">
        <v>7252</v>
      </c>
      <c r="B907" s="608">
        <v>263</v>
      </c>
    </row>
    <row r="908" spans="1:2" x14ac:dyDescent="0.2">
      <c r="A908" s="609" t="s">
        <v>7258</v>
      </c>
      <c r="B908" s="608">
        <v>263</v>
      </c>
    </row>
    <row r="909" spans="1:2" x14ac:dyDescent="0.2">
      <c r="A909" s="609" t="s">
        <v>7292</v>
      </c>
      <c r="B909" s="608">
        <v>263</v>
      </c>
    </row>
    <row r="910" spans="1:2" ht="25.5" x14ac:dyDescent="0.2">
      <c r="A910" s="609" t="s">
        <v>7473</v>
      </c>
      <c r="B910" s="608">
        <v>263</v>
      </c>
    </row>
    <row r="911" spans="1:2" x14ac:dyDescent="0.2">
      <c r="A911" s="609" t="s">
        <v>7543</v>
      </c>
      <c r="B911" s="608">
        <v>263</v>
      </c>
    </row>
    <row r="912" spans="1:2" x14ac:dyDescent="0.2">
      <c r="A912" s="609" t="s">
        <v>6504</v>
      </c>
      <c r="B912" s="608">
        <v>262</v>
      </c>
    </row>
    <row r="913" spans="1:2" x14ac:dyDescent="0.2">
      <c r="A913" s="609" t="s">
        <v>6519</v>
      </c>
      <c r="B913" s="608">
        <v>262</v>
      </c>
    </row>
    <row r="914" spans="1:2" x14ac:dyDescent="0.2">
      <c r="A914" s="609" t="s">
        <v>6526</v>
      </c>
      <c r="B914" s="608">
        <v>262</v>
      </c>
    </row>
    <row r="915" spans="1:2" x14ac:dyDescent="0.2">
      <c r="A915" s="609" t="s">
        <v>6532</v>
      </c>
      <c r="B915" s="608">
        <v>262</v>
      </c>
    </row>
    <row r="916" spans="1:2" x14ac:dyDescent="0.2">
      <c r="A916" s="609" t="s">
        <v>6581</v>
      </c>
      <c r="B916" s="608">
        <v>262</v>
      </c>
    </row>
    <row r="917" spans="1:2" x14ac:dyDescent="0.2">
      <c r="A917" s="609" t="s">
        <v>6627</v>
      </c>
      <c r="B917" s="608">
        <v>262</v>
      </c>
    </row>
    <row r="918" spans="1:2" ht="25.5" x14ac:dyDescent="0.2">
      <c r="A918" s="609" t="s">
        <v>6669</v>
      </c>
      <c r="B918" s="608">
        <v>262</v>
      </c>
    </row>
    <row r="919" spans="1:2" x14ac:dyDescent="0.2">
      <c r="A919" s="609" t="s">
        <v>6805</v>
      </c>
      <c r="B919" s="608">
        <v>262</v>
      </c>
    </row>
    <row r="920" spans="1:2" x14ac:dyDescent="0.2">
      <c r="A920" s="609" t="s">
        <v>6886</v>
      </c>
      <c r="B920" s="608">
        <v>262</v>
      </c>
    </row>
    <row r="921" spans="1:2" x14ac:dyDescent="0.2">
      <c r="A921" s="609" t="s">
        <v>6892</v>
      </c>
      <c r="B921" s="608">
        <v>262</v>
      </c>
    </row>
    <row r="922" spans="1:2" x14ac:dyDescent="0.2">
      <c r="A922" s="609" t="s">
        <v>6910</v>
      </c>
      <c r="B922" s="608">
        <v>262</v>
      </c>
    </row>
    <row r="923" spans="1:2" x14ac:dyDescent="0.2">
      <c r="A923" s="609" t="s">
        <v>7068</v>
      </c>
      <c r="B923" s="608">
        <v>262</v>
      </c>
    </row>
    <row r="924" spans="1:2" ht="25.5" x14ac:dyDescent="0.2">
      <c r="A924" s="609" t="s">
        <v>7074</v>
      </c>
      <c r="B924" s="608">
        <v>262</v>
      </c>
    </row>
    <row r="925" spans="1:2" ht="25.5" x14ac:dyDescent="0.2">
      <c r="A925" s="609" t="s">
        <v>7247</v>
      </c>
      <c r="B925" s="608">
        <v>262</v>
      </c>
    </row>
    <row r="926" spans="1:2" x14ac:dyDescent="0.2">
      <c r="A926" s="609" t="s">
        <v>7298</v>
      </c>
      <c r="B926" s="608">
        <v>262</v>
      </c>
    </row>
    <row r="927" spans="1:2" x14ac:dyDescent="0.2">
      <c r="A927" s="609" t="s">
        <v>7311</v>
      </c>
      <c r="B927" s="608">
        <v>262</v>
      </c>
    </row>
    <row r="928" spans="1:2" ht="25.5" x14ac:dyDescent="0.2">
      <c r="A928" s="609" t="s">
        <v>7347</v>
      </c>
      <c r="B928" s="608">
        <v>262</v>
      </c>
    </row>
    <row r="929" spans="1:2" x14ac:dyDescent="0.2">
      <c r="A929" s="609" t="s">
        <v>7360</v>
      </c>
      <c r="B929" s="608">
        <v>262</v>
      </c>
    </row>
    <row r="930" spans="1:2" x14ac:dyDescent="0.2">
      <c r="A930" s="609" t="s">
        <v>7464</v>
      </c>
      <c r="B930" s="608">
        <v>262</v>
      </c>
    </row>
    <row r="931" spans="1:2" x14ac:dyDescent="0.2">
      <c r="A931" s="609" t="s">
        <v>7508</v>
      </c>
      <c r="B931" s="608">
        <v>262</v>
      </c>
    </row>
    <row r="932" spans="1:2" x14ac:dyDescent="0.2">
      <c r="A932" s="609" t="s">
        <v>7519</v>
      </c>
      <c r="B932" s="608">
        <v>262</v>
      </c>
    </row>
    <row r="933" spans="1:2" x14ac:dyDescent="0.2">
      <c r="A933" s="609" t="s">
        <v>7523</v>
      </c>
      <c r="B933" s="608">
        <v>262</v>
      </c>
    </row>
    <row r="934" spans="1:2" x14ac:dyDescent="0.2">
      <c r="A934" s="609" t="s">
        <v>6542</v>
      </c>
      <c r="B934" s="608">
        <v>261</v>
      </c>
    </row>
    <row r="935" spans="1:2" ht="25.5" x14ac:dyDescent="0.2">
      <c r="A935" s="609" t="s">
        <v>6543</v>
      </c>
      <c r="B935" s="608">
        <v>261</v>
      </c>
    </row>
    <row r="936" spans="1:2" x14ac:dyDescent="0.2">
      <c r="A936" s="609" t="s">
        <v>6585</v>
      </c>
      <c r="B936" s="608">
        <v>261</v>
      </c>
    </row>
    <row r="937" spans="1:2" x14ac:dyDescent="0.2">
      <c r="A937" s="609" t="s">
        <v>6611</v>
      </c>
      <c r="B937" s="608">
        <v>261</v>
      </c>
    </row>
    <row r="938" spans="1:2" x14ac:dyDescent="0.2">
      <c r="A938" s="609" t="s">
        <v>6621</v>
      </c>
      <c r="B938" s="608">
        <v>261</v>
      </c>
    </row>
    <row r="939" spans="1:2" x14ac:dyDescent="0.2">
      <c r="A939" s="609" t="s">
        <v>6779</v>
      </c>
      <c r="B939" s="608">
        <v>261</v>
      </c>
    </row>
    <row r="940" spans="1:2" x14ac:dyDescent="0.2">
      <c r="A940" s="609" t="s">
        <v>6807</v>
      </c>
      <c r="B940" s="608">
        <v>261</v>
      </c>
    </row>
    <row r="941" spans="1:2" x14ac:dyDescent="0.2">
      <c r="A941" s="609" t="s">
        <v>6850</v>
      </c>
      <c r="B941" s="608">
        <v>261</v>
      </c>
    </row>
    <row r="942" spans="1:2" ht="25.5" x14ac:dyDescent="0.2">
      <c r="A942" s="609" t="s">
        <v>7131</v>
      </c>
      <c r="B942" s="608">
        <v>261</v>
      </c>
    </row>
    <row r="943" spans="1:2" x14ac:dyDescent="0.2">
      <c r="A943" s="609" t="s">
        <v>7135</v>
      </c>
      <c r="B943" s="608">
        <v>261</v>
      </c>
    </row>
    <row r="944" spans="1:2" x14ac:dyDescent="0.2">
      <c r="A944" s="609" t="s">
        <v>7179</v>
      </c>
      <c r="B944" s="608">
        <v>261</v>
      </c>
    </row>
    <row r="945" spans="1:4" x14ac:dyDescent="0.2">
      <c r="A945" s="609" t="s">
        <v>7332</v>
      </c>
      <c r="B945" s="608">
        <v>261</v>
      </c>
    </row>
    <row r="946" spans="1:4" x14ac:dyDescent="0.2">
      <c r="A946" s="609" t="s">
        <v>7357</v>
      </c>
      <c r="B946" s="608">
        <v>261</v>
      </c>
    </row>
    <row r="947" spans="1:4" x14ac:dyDescent="0.2">
      <c r="A947" s="609" t="s">
        <v>7431</v>
      </c>
      <c r="B947" s="608">
        <v>261</v>
      </c>
    </row>
    <row r="948" spans="1:4" x14ac:dyDescent="0.2">
      <c r="A948" s="609" t="s">
        <v>7465</v>
      </c>
      <c r="B948" s="608">
        <v>261</v>
      </c>
    </row>
    <row r="949" spans="1:4" x14ac:dyDescent="0.2">
      <c r="A949" s="609" t="s">
        <v>7509</v>
      </c>
      <c r="B949" s="608">
        <v>261</v>
      </c>
    </row>
    <row r="950" spans="1:4" x14ac:dyDescent="0.2">
      <c r="A950" s="609" t="s">
        <v>7547</v>
      </c>
      <c r="B950" s="608">
        <v>261</v>
      </c>
    </row>
    <row r="951" spans="1:4" ht="25.5" x14ac:dyDescent="0.2">
      <c r="A951" s="609" t="s">
        <v>6505</v>
      </c>
      <c r="B951" s="608">
        <v>260</v>
      </c>
      <c r="D951">
        <v>1</v>
      </c>
    </row>
    <row r="952" spans="1:4" x14ac:dyDescent="0.2">
      <c r="A952" s="609" t="s">
        <v>6535</v>
      </c>
      <c r="B952" s="608">
        <v>260</v>
      </c>
      <c r="D952">
        <f>D951+1</f>
        <v>2</v>
      </c>
    </row>
    <row r="953" spans="1:4" x14ac:dyDescent="0.2">
      <c r="A953" s="609" t="s">
        <v>6544</v>
      </c>
      <c r="B953" s="608">
        <v>260</v>
      </c>
      <c r="D953">
        <f t="shared" ref="D953:D1016" si="0">D952+1</f>
        <v>3</v>
      </c>
    </row>
    <row r="954" spans="1:4" ht="25.5" x14ac:dyDescent="0.2">
      <c r="A954" s="609" t="s">
        <v>6824</v>
      </c>
      <c r="B954" s="608">
        <v>260</v>
      </c>
      <c r="D954">
        <f t="shared" si="0"/>
        <v>4</v>
      </c>
    </row>
    <row r="955" spans="1:4" x14ac:dyDescent="0.2">
      <c r="A955" s="609" t="s">
        <v>6944</v>
      </c>
      <c r="B955" s="608">
        <v>260</v>
      </c>
      <c r="D955">
        <f t="shared" si="0"/>
        <v>5</v>
      </c>
    </row>
    <row r="956" spans="1:4" x14ac:dyDescent="0.2">
      <c r="A956" s="609" t="s">
        <v>6971</v>
      </c>
      <c r="B956" s="608">
        <v>260</v>
      </c>
      <c r="D956">
        <f t="shared" si="0"/>
        <v>6</v>
      </c>
    </row>
    <row r="957" spans="1:4" ht="25.5" x14ac:dyDescent="0.2">
      <c r="A957" s="609" t="s">
        <v>7100</v>
      </c>
      <c r="B957" s="608">
        <v>260</v>
      </c>
      <c r="D957">
        <f t="shared" si="0"/>
        <v>7</v>
      </c>
    </row>
    <row r="958" spans="1:4" ht="25.5" x14ac:dyDescent="0.2">
      <c r="A958" s="609" t="s">
        <v>7287</v>
      </c>
      <c r="B958" s="608">
        <v>260</v>
      </c>
      <c r="D958">
        <f t="shared" si="0"/>
        <v>8</v>
      </c>
    </row>
    <row r="959" spans="1:4" ht="25.5" x14ac:dyDescent="0.2">
      <c r="A959" s="609" t="s">
        <v>7324</v>
      </c>
      <c r="B959" s="608">
        <v>260</v>
      </c>
      <c r="D959">
        <f t="shared" si="0"/>
        <v>9</v>
      </c>
    </row>
    <row r="960" spans="1:4" x14ac:dyDescent="0.2">
      <c r="A960" s="609" t="s">
        <v>7359</v>
      </c>
      <c r="B960" s="608">
        <v>260</v>
      </c>
      <c r="D960">
        <f t="shared" si="0"/>
        <v>10</v>
      </c>
    </row>
    <row r="961" spans="1:4" x14ac:dyDescent="0.2">
      <c r="A961" s="609" t="s">
        <v>7513</v>
      </c>
      <c r="B961" s="608">
        <v>260</v>
      </c>
      <c r="D961">
        <f t="shared" si="0"/>
        <v>11</v>
      </c>
    </row>
    <row r="962" spans="1:4" x14ac:dyDescent="0.2">
      <c r="A962" s="609" t="s">
        <v>7533</v>
      </c>
      <c r="B962" s="608">
        <v>260</v>
      </c>
      <c r="D962">
        <f t="shared" si="0"/>
        <v>12</v>
      </c>
    </row>
    <row r="963" spans="1:4" ht="25.5" x14ac:dyDescent="0.2">
      <c r="A963" s="609" t="s">
        <v>7534</v>
      </c>
      <c r="B963" s="608">
        <v>260</v>
      </c>
      <c r="D963">
        <f t="shared" si="0"/>
        <v>13</v>
      </c>
    </row>
    <row r="964" spans="1:4" x14ac:dyDescent="0.2">
      <c r="A964" s="609" t="s">
        <v>6472</v>
      </c>
      <c r="B964" s="608">
        <v>259</v>
      </c>
      <c r="D964">
        <f t="shared" si="0"/>
        <v>14</v>
      </c>
    </row>
    <row r="965" spans="1:4" x14ac:dyDescent="0.2">
      <c r="A965" s="609" t="s">
        <v>6577</v>
      </c>
      <c r="B965" s="608">
        <v>259</v>
      </c>
      <c r="D965">
        <f t="shared" si="0"/>
        <v>15</v>
      </c>
    </row>
    <row r="966" spans="1:4" x14ac:dyDescent="0.2">
      <c r="A966" s="609" t="s">
        <v>6589</v>
      </c>
      <c r="B966" s="608">
        <v>259</v>
      </c>
      <c r="D966">
        <f t="shared" si="0"/>
        <v>16</v>
      </c>
    </row>
    <row r="967" spans="1:4" x14ac:dyDescent="0.2">
      <c r="A967" s="609" t="s">
        <v>6597</v>
      </c>
      <c r="B967" s="608">
        <v>259</v>
      </c>
      <c r="D967">
        <f t="shared" si="0"/>
        <v>17</v>
      </c>
    </row>
    <row r="968" spans="1:4" x14ac:dyDescent="0.2">
      <c r="A968" s="609" t="s">
        <v>6705</v>
      </c>
      <c r="B968" s="608">
        <v>259</v>
      </c>
      <c r="D968">
        <f t="shared" si="0"/>
        <v>18</v>
      </c>
    </row>
    <row r="969" spans="1:4" x14ac:dyDescent="0.2">
      <c r="A969" s="609" t="s">
        <v>6796</v>
      </c>
      <c r="B969" s="608">
        <v>259</v>
      </c>
      <c r="D969">
        <f t="shared" si="0"/>
        <v>19</v>
      </c>
    </row>
    <row r="970" spans="1:4" x14ac:dyDescent="0.2">
      <c r="A970" s="609" t="s">
        <v>6827</v>
      </c>
      <c r="B970" s="608">
        <v>259</v>
      </c>
      <c r="D970">
        <f t="shared" si="0"/>
        <v>20</v>
      </c>
    </row>
    <row r="971" spans="1:4" ht="25.5" x14ac:dyDescent="0.2">
      <c r="A971" s="609" t="s">
        <v>6902</v>
      </c>
      <c r="B971" s="608">
        <v>259</v>
      </c>
      <c r="D971">
        <f t="shared" si="0"/>
        <v>21</v>
      </c>
    </row>
    <row r="972" spans="1:4" x14ac:dyDescent="0.2">
      <c r="A972" s="609" t="s">
        <v>6978</v>
      </c>
      <c r="B972" s="608">
        <v>259</v>
      </c>
      <c r="D972">
        <f t="shared" si="0"/>
        <v>22</v>
      </c>
    </row>
    <row r="973" spans="1:4" x14ac:dyDescent="0.2">
      <c r="A973" s="609" t="s">
        <v>7082</v>
      </c>
      <c r="B973" s="608">
        <v>259</v>
      </c>
      <c r="D973">
        <f t="shared" si="0"/>
        <v>23</v>
      </c>
    </row>
    <row r="974" spans="1:4" x14ac:dyDescent="0.2">
      <c r="A974" s="609" t="s">
        <v>7112</v>
      </c>
      <c r="B974" s="608">
        <v>259</v>
      </c>
      <c r="D974">
        <f t="shared" si="0"/>
        <v>24</v>
      </c>
    </row>
    <row r="975" spans="1:4" x14ac:dyDescent="0.2">
      <c r="A975" s="609" t="s">
        <v>7130</v>
      </c>
      <c r="B975" s="608">
        <v>259</v>
      </c>
      <c r="D975">
        <f t="shared" si="0"/>
        <v>25</v>
      </c>
    </row>
    <row r="976" spans="1:4" x14ac:dyDescent="0.2">
      <c r="A976" s="609" t="s">
        <v>7136</v>
      </c>
      <c r="B976" s="608">
        <v>259</v>
      </c>
      <c r="D976">
        <f t="shared" si="0"/>
        <v>26</v>
      </c>
    </row>
    <row r="977" spans="1:4" x14ac:dyDescent="0.2">
      <c r="A977" s="609" t="s">
        <v>7143</v>
      </c>
      <c r="B977" s="608">
        <v>259</v>
      </c>
      <c r="D977">
        <f t="shared" si="0"/>
        <v>27</v>
      </c>
    </row>
    <row r="978" spans="1:4" ht="25.5" x14ac:dyDescent="0.2">
      <c r="A978" s="609" t="s">
        <v>7176</v>
      </c>
      <c r="B978" s="608">
        <v>259</v>
      </c>
      <c r="D978">
        <f t="shared" si="0"/>
        <v>28</v>
      </c>
    </row>
    <row r="979" spans="1:4" x14ac:dyDescent="0.2">
      <c r="A979" s="609" t="s">
        <v>7239</v>
      </c>
      <c r="B979" s="608">
        <v>259</v>
      </c>
      <c r="D979">
        <f t="shared" si="0"/>
        <v>29</v>
      </c>
    </row>
    <row r="980" spans="1:4" ht="25.5" x14ac:dyDescent="0.2">
      <c r="A980" s="609" t="s">
        <v>7289</v>
      </c>
      <c r="B980" s="608">
        <v>259</v>
      </c>
      <c r="D980">
        <f t="shared" si="0"/>
        <v>30</v>
      </c>
    </row>
    <row r="981" spans="1:4" ht="25.5" x14ac:dyDescent="0.2">
      <c r="A981" s="609" t="s">
        <v>7296</v>
      </c>
      <c r="B981" s="608">
        <v>259</v>
      </c>
      <c r="D981">
        <f t="shared" si="0"/>
        <v>31</v>
      </c>
    </row>
    <row r="982" spans="1:4" x14ac:dyDescent="0.2">
      <c r="A982" s="609" t="s">
        <v>7300</v>
      </c>
      <c r="B982" s="608">
        <v>259</v>
      </c>
      <c r="D982">
        <f t="shared" si="0"/>
        <v>32</v>
      </c>
    </row>
    <row r="983" spans="1:4" x14ac:dyDescent="0.2">
      <c r="A983" s="609" t="s">
        <v>7327</v>
      </c>
      <c r="B983" s="608">
        <v>259</v>
      </c>
      <c r="D983">
        <f t="shared" si="0"/>
        <v>33</v>
      </c>
    </row>
    <row r="984" spans="1:4" x14ac:dyDescent="0.2">
      <c r="A984" s="609" t="s">
        <v>7425</v>
      </c>
      <c r="B984" s="608">
        <v>259</v>
      </c>
      <c r="D984">
        <f t="shared" si="0"/>
        <v>34</v>
      </c>
    </row>
    <row r="985" spans="1:4" x14ac:dyDescent="0.2">
      <c r="A985" s="609" t="s">
        <v>7436</v>
      </c>
      <c r="B985" s="608">
        <v>259</v>
      </c>
      <c r="D985">
        <f t="shared" si="0"/>
        <v>35</v>
      </c>
    </row>
    <row r="986" spans="1:4" ht="25.5" x14ac:dyDescent="0.2">
      <c r="A986" s="609" t="s">
        <v>7467</v>
      </c>
      <c r="B986" s="608">
        <v>259</v>
      </c>
      <c r="D986">
        <f t="shared" si="0"/>
        <v>36</v>
      </c>
    </row>
    <row r="987" spans="1:4" ht="25.5" x14ac:dyDescent="0.2">
      <c r="A987" s="609" t="s">
        <v>6548</v>
      </c>
      <c r="B987" s="608">
        <v>258</v>
      </c>
      <c r="D987">
        <f t="shared" si="0"/>
        <v>37</v>
      </c>
    </row>
    <row r="988" spans="1:4" x14ac:dyDescent="0.2">
      <c r="A988" s="609" t="s">
        <v>6587</v>
      </c>
      <c r="B988" s="608">
        <v>258</v>
      </c>
      <c r="D988">
        <f t="shared" si="0"/>
        <v>38</v>
      </c>
    </row>
    <row r="989" spans="1:4" x14ac:dyDescent="0.2">
      <c r="A989" s="609" t="s">
        <v>6596</v>
      </c>
      <c r="B989" s="608">
        <v>258</v>
      </c>
      <c r="D989">
        <f t="shared" si="0"/>
        <v>39</v>
      </c>
    </row>
    <row r="990" spans="1:4" x14ac:dyDescent="0.2">
      <c r="A990" s="609" t="s">
        <v>6624</v>
      </c>
      <c r="B990" s="608">
        <v>258</v>
      </c>
      <c r="D990">
        <f t="shared" si="0"/>
        <v>40</v>
      </c>
    </row>
    <row r="991" spans="1:4" x14ac:dyDescent="0.2">
      <c r="A991" s="609" t="s">
        <v>6649</v>
      </c>
      <c r="B991" s="608">
        <v>258</v>
      </c>
      <c r="D991">
        <f t="shared" si="0"/>
        <v>41</v>
      </c>
    </row>
    <row r="992" spans="1:4" x14ac:dyDescent="0.2">
      <c r="A992" s="609" t="s">
        <v>6732</v>
      </c>
      <c r="B992" s="608">
        <v>258</v>
      </c>
      <c r="D992">
        <f t="shared" si="0"/>
        <v>42</v>
      </c>
    </row>
    <row r="993" spans="1:4" x14ac:dyDescent="0.2">
      <c r="A993" s="609" t="s">
        <v>6777</v>
      </c>
      <c r="B993" s="608">
        <v>258</v>
      </c>
      <c r="D993">
        <f t="shared" si="0"/>
        <v>43</v>
      </c>
    </row>
    <row r="994" spans="1:4" x14ac:dyDescent="0.2">
      <c r="A994" s="609" t="s">
        <v>6816</v>
      </c>
      <c r="B994" s="608">
        <v>258</v>
      </c>
      <c r="D994">
        <f t="shared" si="0"/>
        <v>44</v>
      </c>
    </row>
    <row r="995" spans="1:4" x14ac:dyDescent="0.2">
      <c r="A995" s="609" t="s">
        <v>6819</v>
      </c>
      <c r="B995" s="608">
        <v>258</v>
      </c>
      <c r="D995">
        <f t="shared" si="0"/>
        <v>45</v>
      </c>
    </row>
    <row r="996" spans="1:4" x14ac:dyDescent="0.2">
      <c r="A996" s="609" t="s">
        <v>6962</v>
      </c>
      <c r="B996" s="608">
        <v>258</v>
      </c>
      <c r="D996">
        <f t="shared" si="0"/>
        <v>46</v>
      </c>
    </row>
    <row r="997" spans="1:4" x14ac:dyDescent="0.2">
      <c r="A997" s="609" t="s">
        <v>6974</v>
      </c>
      <c r="B997" s="608">
        <v>258</v>
      </c>
      <c r="D997">
        <f t="shared" si="0"/>
        <v>47</v>
      </c>
    </row>
    <row r="998" spans="1:4" x14ac:dyDescent="0.2">
      <c r="A998" s="609" t="s">
        <v>6997</v>
      </c>
      <c r="B998" s="608">
        <v>258</v>
      </c>
      <c r="D998">
        <f t="shared" si="0"/>
        <v>48</v>
      </c>
    </row>
    <row r="999" spans="1:4" x14ac:dyDescent="0.2">
      <c r="A999" s="609" t="s">
        <v>7004</v>
      </c>
      <c r="B999" s="608">
        <v>258</v>
      </c>
      <c r="D999">
        <f t="shared" si="0"/>
        <v>49</v>
      </c>
    </row>
    <row r="1000" spans="1:4" x14ac:dyDescent="0.2">
      <c r="A1000" s="609" t="s">
        <v>7069</v>
      </c>
      <c r="B1000" s="608">
        <v>258</v>
      </c>
      <c r="D1000">
        <f t="shared" si="0"/>
        <v>50</v>
      </c>
    </row>
    <row r="1001" spans="1:4" x14ac:dyDescent="0.2">
      <c r="A1001" s="609" t="s">
        <v>7071</v>
      </c>
      <c r="B1001" s="608">
        <v>258</v>
      </c>
      <c r="D1001">
        <f t="shared" si="0"/>
        <v>51</v>
      </c>
    </row>
    <row r="1002" spans="1:4" ht="38.25" x14ac:dyDescent="0.2">
      <c r="A1002" s="609" t="s">
        <v>7146</v>
      </c>
      <c r="B1002" s="608">
        <v>258</v>
      </c>
      <c r="D1002">
        <f t="shared" si="0"/>
        <v>52</v>
      </c>
    </row>
    <row r="1003" spans="1:4" x14ac:dyDescent="0.2">
      <c r="A1003" s="609" t="s">
        <v>7175</v>
      </c>
      <c r="B1003" s="608">
        <v>258</v>
      </c>
      <c r="D1003">
        <f t="shared" si="0"/>
        <v>53</v>
      </c>
    </row>
    <row r="1004" spans="1:4" x14ac:dyDescent="0.2">
      <c r="A1004" s="609" t="s">
        <v>7187</v>
      </c>
      <c r="B1004" s="608">
        <v>258</v>
      </c>
      <c r="D1004">
        <f t="shared" si="0"/>
        <v>54</v>
      </c>
    </row>
    <row r="1005" spans="1:4" x14ac:dyDescent="0.2">
      <c r="A1005" s="609" t="s">
        <v>7189</v>
      </c>
      <c r="B1005" s="608">
        <v>258</v>
      </c>
      <c r="D1005">
        <f t="shared" si="0"/>
        <v>55</v>
      </c>
    </row>
    <row r="1006" spans="1:4" x14ac:dyDescent="0.2">
      <c r="A1006" s="609" t="s">
        <v>7238</v>
      </c>
      <c r="B1006" s="608">
        <v>258</v>
      </c>
      <c r="D1006">
        <f t="shared" si="0"/>
        <v>56</v>
      </c>
    </row>
    <row r="1007" spans="1:4" x14ac:dyDescent="0.2">
      <c r="A1007" s="609" t="s">
        <v>7354</v>
      </c>
      <c r="B1007" s="608">
        <v>258</v>
      </c>
      <c r="D1007">
        <f t="shared" si="0"/>
        <v>57</v>
      </c>
    </row>
    <row r="1008" spans="1:4" x14ac:dyDescent="0.2">
      <c r="A1008" s="609" t="s">
        <v>7384</v>
      </c>
      <c r="B1008" s="608">
        <v>258</v>
      </c>
      <c r="D1008">
        <f t="shared" si="0"/>
        <v>58</v>
      </c>
    </row>
    <row r="1009" spans="1:4" x14ac:dyDescent="0.2">
      <c r="A1009" s="609" t="s">
        <v>7397</v>
      </c>
      <c r="B1009" s="608">
        <v>258</v>
      </c>
      <c r="D1009">
        <f t="shared" si="0"/>
        <v>59</v>
      </c>
    </row>
    <row r="1010" spans="1:4" x14ac:dyDescent="0.2">
      <c r="A1010" s="609" t="s">
        <v>7447</v>
      </c>
      <c r="B1010" s="608">
        <v>258</v>
      </c>
      <c r="D1010">
        <f t="shared" si="0"/>
        <v>60</v>
      </c>
    </row>
    <row r="1011" spans="1:4" x14ac:dyDescent="0.2">
      <c r="A1011" s="609" t="s">
        <v>7492</v>
      </c>
      <c r="B1011" s="608">
        <v>258</v>
      </c>
      <c r="D1011">
        <f t="shared" si="0"/>
        <v>61</v>
      </c>
    </row>
    <row r="1012" spans="1:4" x14ac:dyDescent="0.2">
      <c r="A1012" s="609" t="s">
        <v>6533</v>
      </c>
      <c r="B1012" s="608">
        <v>257</v>
      </c>
      <c r="D1012">
        <f t="shared" si="0"/>
        <v>62</v>
      </c>
    </row>
    <row r="1013" spans="1:4" x14ac:dyDescent="0.2">
      <c r="A1013" s="609" t="s">
        <v>6660</v>
      </c>
      <c r="B1013" s="608">
        <v>257</v>
      </c>
      <c r="D1013">
        <f t="shared" si="0"/>
        <v>63</v>
      </c>
    </row>
    <row r="1014" spans="1:4" x14ac:dyDescent="0.2">
      <c r="A1014" s="609" t="s">
        <v>6673</v>
      </c>
      <c r="B1014" s="608">
        <v>257</v>
      </c>
      <c r="D1014">
        <f t="shared" si="0"/>
        <v>64</v>
      </c>
    </row>
    <row r="1015" spans="1:4" x14ac:dyDescent="0.2">
      <c r="A1015" s="609" t="s">
        <v>6718</v>
      </c>
      <c r="B1015" s="608">
        <v>257</v>
      </c>
      <c r="D1015">
        <f t="shared" si="0"/>
        <v>65</v>
      </c>
    </row>
    <row r="1016" spans="1:4" x14ac:dyDescent="0.2">
      <c r="A1016" s="609" t="s">
        <v>6748</v>
      </c>
      <c r="B1016" s="608">
        <v>257</v>
      </c>
      <c r="D1016">
        <f t="shared" si="0"/>
        <v>66</v>
      </c>
    </row>
    <row r="1017" spans="1:4" x14ac:dyDescent="0.2">
      <c r="A1017" s="609" t="s">
        <v>6758</v>
      </c>
      <c r="B1017" s="608">
        <v>257</v>
      </c>
      <c r="D1017">
        <f t="shared" ref="D1017:D1080" si="1">D1016+1</f>
        <v>67</v>
      </c>
    </row>
    <row r="1018" spans="1:4" x14ac:dyDescent="0.2">
      <c r="A1018" s="609" t="s">
        <v>6763</v>
      </c>
      <c r="B1018" s="608">
        <v>257</v>
      </c>
      <c r="D1018">
        <f t="shared" si="1"/>
        <v>68</v>
      </c>
    </row>
    <row r="1019" spans="1:4" x14ac:dyDescent="0.2">
      <c r="A1019" s="609" t="s">
        <v>6794</v>
      </c>
      <c r="B1019" s="608">
        <v>257</v>
      </c>
      <c r="D1019">
        <f t="shared" si="1"/>
        <v>69</v>
      </c>
    </row>
    <row r="1020" spans="1:4" x14ac:dyDescent="0.2">
      <c r="A1020" s="609" t="s">
        <v>6851</v>
      </c>
      <c r="B1020" s="608">
        <v>257</v>
      </c>
      <c r="D1020">
        <f t="shared" si="1"/>
        <v>70</v>
      </c>
    </row>
    <row r="1021" spans="1:4" x14ac:dyDescent="0.2">
      <c r="A1021" s="609" t="s">
        <v>6858</v>
      </c>
      <c r="B1021" s="608">
        <v>257</v>
      </c>
      <c r="D1021">
        <f t="shared" si="1"/>
        <v>71</v>
      </c>
    </row>
    <row r="1022" spans="1:4" x14ac:dyDescent="0.2">
      <c r="A1022" s="609" t="s">
        <v>6932</v>
      </c>
      <c r="B1022" s="608">
        <v>257</v>
      </c>
      <c r="D1022">
        <f t="shared" si="1"/>
        <v>72</v>
      </c>
    </row>
    <row r="1023" spans="1:4" x14ac:dyDescent="0.2">
      <c r="A1023" s="609" t="s">
        <v>7096</v>
      </c>
      <c r="B1023" s="608">
        <v>257</v>
      </c>
      <c r="D1023">
        <f t="shared" si="1"/>
        <v>73</v>
      </c>
    </row>
    <row r="1024" spans="1:4" x14ac:dyDescent="0.2">
      <c r="A1024" s="609" t="s">
        <v>7126</v>
      </c>
      <c r="B1024" s="608">
        <v>257</v>
      </c>
      <c r="D1024">
        <f t="shared" si="1"/>
        <v>74</v>
      </c>
    </row>
    <row r="1025" spans="1:4" ht="25.5" x14ac:dyDescent="0.2">
      <c r="A1025" s="609" t="s">
        <v>7132</v>
      </c>
      <c r="B1025" s="608">
        <v>257</v>
      </c>
      <c r="D1025">
        <f t="shared" si="1"/>
        <v>75</v>
      </c>
    </row>
    <row r="1026" spans="1:4" ht="25.5" x14ac:dyDescent="0.2">
      <c r="A1026" s="609" t="s">
        <v>7162</v>
      </c>
      <c r="B1026" s="608">
        <v>257</v>
      </c>
      <c r="D1026">
        <f t="shared" si="1"/>
        <v>76</v>
      </c>
    </row>
    <row r="1027" spans="1:4" x14ac:dyDescent="0.2">
      <c r="A1027" s="609" t="s">
        <v>7256</v>
      </c>
      <c r="B1027" s="608">
        <v>257</v>
      </c>
      <c r="D1027">
        <f t="shared" si="1"/>
        <v>77</v>
      </c>
    </row>
    <row r="1028" spans="1:4" x14ac:dyDescent="0.2">
      <c r="A1028" s="609" t="s">
        <v>7315</v>
      </c>
      <c r="B1028" s="608">
        <v>257</v>
      </c>
      <c r="D1028">
        <f t="shared" si="1"/>
        <v>78</v>
      </c>
    </row>
    <row r="1029" spans="1:4" ht="25.5" x14ac:dyDescent="0.2">
      <c r="A1029" s="609" t="s">
        <v>7366</v>
      </c>
      <c r="B1029" s="608">
        <v>257</v>
      </c>
      <c r="D1029">
        <f t="shared" si="1"/>
        <v>79</v>
      </c>
    </row>
    <row r="1030" spans="1:4" x14ac:dyDescent="0.2">
      <c r="A1030" s="609" t="s">
        <v>7391</v>
      </c>
      <c r="B1030" s="608">
        <v>257</v>
      </c>
      <c r="D1030">
        <f t="shared" si="1"/>
        <v>80</v>
      </c>
    </row>
    <row r="1031" spans="1:4" ht="25.5" x14ac:dyDescent="0.2">
      <c r="A1031" s="609" t="s">
        <v>7402</v>
      </c>
      <c r="B1031" s="608">
        <v>257</v>
      </c>
      <c r="D1031">
        <f t="shared" si="1"/>
        <v>81</v>
      </c>
    </row>
    <row r="1032" spans="1:4" x14ac:dyDescent="0.2">
      <c r="A1032" s="609" t="s">
        <v>7418</v>
      </c>
      <c r="B1032" s="608">
        <v>257</v>
      </c>
      <c r="D1032">
        <f t="shared" si="1"/>
        <v>82</v>
      </c>
    </row>
    <row r="1033" spans="1:4" x14ac:dyDescent="0.2">
      <c r="A1033" s="609" t="s">
        <v>7463</v>
      </c>
      <c r="B1033" s="608">
        <v>257</v>
      </c>
      <c r="D1033">
        <f t="shared" si="1"/>
        <v>83</v>
      </c>
    </row>
    <row r="1034" spans="1:4" x14ac:dyDescent="0.2">
      <c r="A1034" s="609" t="s">
        <v>7545</v>
      </c>
      <c r="B1034" s="608">
        <v>257</v>
      </c>
      <c r="D1034">
        <f t="shared" si="1"/>
        <v>84</v>
      </c>
    </row>
    <row r="1035" spans="1:4" ht="25.5" x14ac:dyDescent="0.2">
      <c r="A1035" s="609" t="s">
        <v>6553</v>
      </c>
      <c r="B1035" s="608">
        <v>256</v>
      </c>
      <c r="D1035">
        <f t="shared" si="1"/>
        <v>85</v>
      </c>
    </row>
    <row r="1036" spans="1:4" x14ac:dyDescent="0.2">
      <c r="A1036" s="609" t="s">
        <v>6775</v>
      </c>
      <c r="B1036" s="608">
        <v>256</v>
      </c>
      <c r="D1036">
        <f t="shared" si="1"/>
        <v>86</v>
      </c>
    </row>
    <row r="1037" spans="1:4" x14ac:dyDescent="0.2">
      <c r="A1037" s="609" t="s">
        <v>6778</v>
      </c>
      <c r="B1037" s="608">
        <v>256</v>
      </c>
      <c r="D1037">
        <f t="shared" si="1"/>
        <v>87</v>
      </c>
    </row>
    <row r="1038" spans="1:4" x14ac:dyDescent="0.2">
      <c r="A1038" s="609" t="s">
        <v>6890</v>
      </c>
      <c r="B1038" s="608">
        <v>256</v>
      </c>
      <c r="D1038">
        <f t="shared" si="1"/>
        <v>88</v>
      </c>
    </row>
    <row r="1039" spans="1:4" x14ac:dyDescent="0.2">
      <c r="A1039" s="609" t="s">
        <v>6893</v>
      </c>
      <c r="B1039" s="608">
        <v>256</v>
      </c>
      <c r="D1039">
        <f t="shared" si="1"/>
        <v>89</v>
      </c>
    </row>
    <row r="1040" spans="1:4" x14ac:dyDescent="0.2">
      <c r="A1040" s="609" t="s">
        <v>6960</v>
      </c>
      <c r="B1040" s="608">
        <v>256</v>
      </c>
      <c r="D1040">
        <f t="shared" si="1"/>
        <v>90</v>
      </c>
    </row>
    <row r="1041" spans="1:4" ht="25.5" x14ac:dyDescent="0.2">
      <c r="A1041" s="609" t="s">
        <v>7000</v>
      </c>
      <c r="B1041" s="608">
        <v>256</v>
      </c>
      <c r="D1041">
        <f t="shared" si="1"/>
        <v>91</v>
      </c>
    </row>
    <row r="1042" spans="1:4" x14ac:dyDescent="0.2">
      <c r="A1042" s="609" t="s">
        <v>7007</v>
      </c>
      <c r="B1042" s="608">
        <v>256</v>
      </c>
      <c r="D1042">
        <f t="shared" si="1"/>
        <v>92</v>
      </c>
    </row>
    <row r="1043" spans="1:4" x14ac:dyDescent="0.2">
      <c r="A1043" s="609" t="s">
        <v>7059</v>
      </c>
      <c r="B1043" s="608">
        <v>256</v>
      </c>
      <c r="D1043">
        <f t="shared" si="1"/>
        <v>93</v>
      </c>
    </row>
    <row r="1044" spans="1:4" x14ac:dyDescent="0.2">
      <c r="A1044" s="609" t="s">
        <v>7061</v>
      </c>
      <c r="B1044" s="608">
        <v>256</v>
      </c>
      <c r="D1044">
        <f t="shared" si="1"/>
        <v>94</v>
      </c>
    </row>
    <row r="1045" spans="1:4" x14ac:dyDescent="0.2">
      <c r="A1045" s="609" t="s">
        <v>7186</v>
      </c>
      <c r="B1045" s="608">
        <v>256</v>
      </c>
      <c r="D1045">
        <f t="shared" si="1"/>
        <v>95</v>
      </c>
    </row>
    <row r="1046" spans="1:4" x14ac:dyDescent="0.2">
      <c r="A1046" s="609" t="s">
        <v>7216</v>
      </c>
      <c r="B1046" s="608">
        <v>256</v>
      </c>
      <c r="D1046">
        <f t="shared" si="1"/>
        <v>96</v>
      </c>
    </row>
    <row r="1047" spans="1:4" x14ac:dyDescent="0.2">
      <c r="A1047" s="609" t="s">
        <v>7281</v>
      </c>
      <c r="B1047" s="608">
        <v>256</v>
      </c>
      <c r="D1047">
        <f t="shared" si="1"/>
        <v>97</v>
      </c>
    </row>
    <row r="1048" spans="1:4" x14ac:dyDescent="0.2">
      <c r="A1048" s="609" t="s">
        <v>7336</v>
      </c>
      <c r="B1048" s="608">
        <v>256</v>
      </c>
      <c r="D1048">
        <f t="shared" si="1"/>
        <v>98</v>
      </c>
    </row>
    <row r="1049" spans="1:4" x14ac:dyDescent="0.2">
      <c r="A1049" s="609" t="s">
        <v>7410</v>
      </c>
      <c r="B1049" s="608">
        <v>256</v>
      </c>
      <c r="D1049">
        <f t="shared" si="1"/>
        <v>99</v>
      </c>
    </row>
    <row r="1050" spans="1:4" x14ac:dyDescent="0.2">
      <c r="A1050" s="609" t="s">
        <v>7428</v>
      </c>
      <c r="B1050" s="608">
        <v>256</v>
      </c>
      <c r="D1050">
        <f t="shared" si="1"/>
        <v>100</v>
      </c>
    </row>
    <row r="1051" spans="1:4" x14ac:dyDescent="0.2">
      <c r="A1051" s="609" t="s">
        <v>7440</v>
      </c>
      <c r="B1051" s="608">
        <v>256</v>
      </c>
      <c r="D1051">
        <f t="shared" si="1"/>
        <v>101</v>
      </c>
    </row>
    <row r="1052" spans="1:4" x14ac:dyDescent="0.2">
      <c r="A1052" s="609" t="s">
        <v>7474</v>
      </c>
      <c r="B1052" s="608">
        <v>256</v>
      </c>
      <c r="D1052">
        <f t="shared" si="1"/>
        <v>102</v>
      </c>
    </row>
    <row r="1053" spans="1:4" ht="25.5" x14ac:dyDescent="0.2">
      <c r="A1053" s="609" t="s">
        <v>6492</v>
      </c>
      <c r="B1053" s="608">
        <v>255</v>
      </c>
      <c r="D1053">
        <f t="shared" si="1"/>
        <v>103</v>
      </c>
    </row>
    <row r="1054" spans="1:4" x14ac:dyDescent="0.2">
      <c r="A1054" s="609" t="s">
        <v>6509</v>
      </c>
      <c r="B1054" s="608">
        <v>255</v>
      </c>
      <c r="D1054">
        <f t="shared" si="1"/>
        <v>104</v>
      </c>
    </row>
    <row r="1055" spans="1:4" x14ac:dyDescent="0.2">
      <c r="A1055" s="609" t="s">
        <v>6570</v>
      </c>
      <c r="B1055" s="608">
        <v>255</v>
      </c>
      <c r="D1055">
        <f t="shared" si="1"/>
        <v>105</v>
      </c>
    </row>
    <row r="1056" spans="1:4" ht="25.5" x14ac:dyDescent="0.2">
      <c r="A1056" s="609" t="s">
        <v>6614</v>
      </c>
      <c r="B1056" s="608">
        <v>255</v>
      </c>
      <c r="D1056">
        <f t="shared" si="1"/>
        <v>106</v>
      </c>
    </row>
    <row r="1057" spans="1:4" x14ac:dyDescent="0.2">
      <c r="A1057" s="609" t="s">
        <v>6644</v>
      </c>
      <c r="B1057" s="608">
        <v>255</v>
      </c>
      <c r="D1057">
        <f t="shared" si="1"/>
        <v>107</v>
      </c>
    </row>
    <row r="1058" spans="1:4" ht="25.5" x14ac:dyDescent="0.2">
      <c r="A1058" s="609" t="s">
        <v>6698</v>
      </c>
      <c r="B1058" s="608">
        <v>255</v>
      </c>
      <c r="D1058">
        <f t="shared" si="1"/>
        <v>108</v>
      </c>
    </row>
    <row r="1059" spans="1:4" x14ac:dyDescent="0.2">
      <c r="A1059" s="609" t="s">
        <v>6865</v>
      </c>
      <c r="B1059" s="608">
        <v>255</v>
      </c>
      <c r="D1059">
        <f t="shared" si="1"/>
        <v>109</v>
      </c>
    </row>
    <row r="1060" spans="1:4" x14ac:dyDescent="0.2">
      <c r="A1060" s="609" t="s">
        <v>6873</v>
      </c>
      <c r="B1060" s="608">
        <v>255</v>
      </c>
      <c r="D1060">
        <f t="shared" si="1"/>
        <v>110</v>
      </c>
    </row>
    <row r="1061" spans="1:4" ht="25.5" x14ac:dyDescent="0.2">
      <c r="A1061" s="609" t="s">
        <v>6876</v>
      </c>
      <c r="B1061" s="608">
        <v>255</v>
      </c>
      <c r="D1061">
        <f t="shared" si="1"/>
        <v>111</v>
      </c>
    </row>
    <row r="1062" spans="1:4" x14ac:dyDescent="0.2">
      <c r="A1062" s="609" t="s">
        <v>6937</v>
      </c>
      <c r="B1062" s="608">
        <v>255</v>
      </c>
      <c r="D1062">
        <f t="shared" si="1"/>
        <v>112</v>
      </c>
    </row>
    <row r="1063" spans="1:4" ht="25.5" x14ac:dyDescent="0.2">
      <c r="A1063" s="609" t="s">
        <v>7140</v>
      </c>
      <c r="B1063" s="608">
        <v>255</v>
      </c>
      <c r="D1063">
        <f t="shared" si="1"/>
        <v>113</v>
      </c>
    </row>
    <row r="1064" spans="1:4" x14ac:dyDescent="0.2">
      <c r="A1064" s="609" t="s">
        <v>7145</v>
      </c>
      <c r="B1064" s="608">
        <v>255</v>
      </c>
      <c r="D1064">
        <f t="shared" si="1"/>
        <v>114</v>
      </c>
    </row>
    <row r="1065" spans="1:4" x14ac:dyDescent="0.2">
      <c r="A1065" s="609" t="s">
        <v>7331</v>
      </c>
      <c r="B1065" s="608">
        <v>255</v>
      </c>
      <c r="D1065">
        <f t="shared" si="1"/>
        <v>115</v>
      </c>
    </row>
    <row r="1066" spans="1:4" x14ac:dyDescent="0.2">
      <c r="A1066" s="609" t="s">
        <v>7358</v>
      </c>
      <c r="B1066" s="608">
        <v>255</v>
      </c>
      <c r="D1066">
        <f t="shared" si="1"/>
        <v>116</v>
      </c>
    </row>
    <row r="1067" spans="1:4" x14ac:dyDescent="0.2">
      <c r="A1067" s="609" t="s">
        <v>7401</v>
      </c>
      <c r="B1067" s="608">
        <v>255</v>
      </c>
      <c r="D1067">
        <f t="shared" si="1"/>
        <v>117</v>
      </c>
    </row>
    <row r="1068" spans="1:4" x14ac:dyDescent="0.2">
      <c r="A1068" s="609" t="s">
        <v>7497</v>
      </c>
      <c r="B1068" s="608">
        <v>255</v>
      </c>
      <c r="D1068">
        <f t="shared" si="1"/>
        <v>118</v>
      </c>
    </row>
    <row r="1069" spans="1:4" ht="25.5" x14ac:dyDescent="0.2">
      <c r="A1069" s="609" t="s">
        <v>7531</v>
      </c>
      <c r="B1069" s="608">
        <v>255</v>
      </c>
      <c r="D1069">
        <f t="shared" si="1"/>
        <v>119</v>
      </c>
    </row>
    <row r="1070" spans="1:4" x14ac:dyDescent="0.2">
      <c r="A1070" s="609" t="s">
        <v>7541</v>
      </c>
      <c r="B1070" s="608">
        <v>255</v>
      </c>
      <c r="D1070">
        <f t="shared" si="1"/>
        <v>120</v>
      </c>
    </row>
    <row r="1071" spans="1:4" x14ac:dyDescent="0.2">
      <c r="A1071" s="609" t="s">
        <v>6456</v>
      </c>
      <c r="B1071" s="608">
        <v>254</v>
      </c>
      <c r="D1071">
        <f t="shared" si="1"/>
        <v>121</v>
      </c>
    </row>
    <row r="1072" spans="1:4" x14ac:dyDescent="0.2">
      <c r="A1072" s="609" t="s">
        <v>6485</v>
      </c>
      <c r="B1072" s="608">
        <v>254</v>
      </c>
      <c r="D1072">
        <f t="shared" si="1"/>
        <v>122</v>
      </c>
    </row>
    <row r="1073" spans="1:4" x14ac:dyDescent="0.2">
      <c r="A1073" s="609" t="s">
        <v>6675</v>
      </c>
      <c r="B1073" s="608">
        <v>254</v>
      </c>
      <c r="D1073">
        <f t="shared" si="1"/>
        <v>123</v>
      </c>
    </row>
    <row r="1074" spans="1:4" ht="25.5" x14ac:dyDescent="0.2">
      <c r="A1074" s="609" t="s">
        <v>6694</v>
      </c>
      <c r="B1074" s="608">
        <v>254</v>
      </c>
      <c r="D1074">
        <f t="shared" si="1"/>
        <v>124</v>
      </c>
    </row>
    <row r="1075" spans="1:4" x14ac:dyDescent="0.2">
      <c r="A1075" s="609" t="s">
        <v>6743</v>
      </c>
      <c r="B1075" s="608">
        <v>254</v>
      </c>
      <c r="D1075">
        <f t="shared" si="1"/>
        <v>125</v>
      </c>
    </row>
    <row r="1076" spans="1:4" ht="25.5" x14ac:dyDescent="0.2">
      <c r="A1076" s="609" t="s">
        <v>6801</v>
      </c>
      <c r="B1076" s="608">
        <v>254</v>
      </c>
      <c r="D1076">
        <f t="shared" si="1"/>
        <v>126</v>
      </c>
    </row>
    <row r="1077" spans="1:4" x14ac:dyDescent="0.2">
      <c r="A1077" s="609" t="s">
        <v>6846</v>
      </c>
      <c r="B1077" s="608">
        <v>254</v>
      </c>
      <c r="D1077">
        <f t="shared" si="1"/>
        <v>127</v>
      </c>
    </row>
    <row r="1078" spans="1:4" ht="25.5" x14ac:dyDescent="0.2">
      <c r="A1078" s="609" t="s">
        <v>6861</v>
      </c>
      <c r="B1078" s="608">
        <v>254</v>
      </c>
      <c r="D1078">
        <f t="shared" si="1"/>
        <v>128</v>
      </c>
    </row>
    <row r="1079" spans="1:4" x14ac:dyDescent="0.2">
      <c r="A1079" s="609" t="s">
        <v>6870</v>
      </c>
      <c r="B1079" s="608">
        <v>254</v>
      </c>
      <c r="D1079">
        <f t="shared" si="1"/>
        <v>129</v>
      </c>
    </row>
    <row r="1080" spans="1:4" x14ac:dyDescent="0.2">
      <c r="A1080" s="609" t="s">
        <v>6903</v>
      </c>
      <c r="B1080" s="608">
        <v>254</v>
      </c>
      <c r="D1080">
        <f t="shared" si="1"/>
        <v>130</v>
      </c>
    </row>
    <row r="1081" spans="1:4" x14ac:dyDescent="0.2">
      <c r="A1081" s="609" t="s">
        <v>6987</v>
      </c>
      <c r="B1081" s="608">
        <v>254</v>
      </c>
      <c r="D1081">
        <f t="shared" ref="D1081:D1144" si="2">D1080+1</f>
        <v>131</v>
      </c>
    </row>
    <row r="1082" spans="1:4" x14ac:dyDescent="0.2">
      <c r="A1082" s="609" t="s">
        <v>7005</v>
      </c>
      <c r="B1082" s="608">
        <v>254</v>
      </c>
      <c r="D1082">
        <f t="shared" si="2"/>
        <v>132</v>
      </c>
    </row>
    <row r="1083" spans="1:4" x14ac:dyDescent="0.2">
      <c r="A1083" s="609" t="s">
        <v>7051</v>
      </c>
      <c r="B1083" s="608">
        <v>254</v>
      </c>
      <c r="D1083">
        <f t="shared" si="2"/>
        <v>133</v>
      </c>
    </row>
    <row r="1084" spans="1:4" ht="25.5" x14ac:dyDescent="0.2">
      <c r="A1084" s="609" t="s">
        <v>7072</v>
      </c>
      <c r="B1084" s="608">
        <v>254</v>
      </c>
      <c r="D1084">
        <f t="shared" si="2"/>
        <v>134</v>
      </c>
    </row>
    <row r="1085" spans="1:4" x14ac:dyDescent="0.2">
      <c r="A1085" s="609" t="s">
        <v>7150</v>
      </c>
      <c r="B1085" s="608">
        <v>254</v>
      </c>
      <c r="D1085">
        <f t="shared" si="2"/>
        <v>135</v>
      </c>
    </row>
    <row r="1086" spans="1:4" x14ac:dyDescent="0.2">
      <c r="A1086" s="609" t="s">
        <v>7217</v>
      </c>
      <c r="B1086" s="608">
        <v>254</v>
      </c>
      <c r="D1086">
        <f t="shared" si="2"/>
        <v>136</v>
      </c>
    </row>
    <row r="1087" spans="1:4" x14ac:dyDescent="0.2">
      <c r="A1087" s="609" t="s">
        <v>7243</v>
      </c>
      <c r="B1087" s="608">
        <v>254</v>
      </c>
      <c r="D1087">
        <f t="shared" si="2"/>
        <v>137</v>
      </c>
    </row>
    <row r="1088" spans="1:4" x14ac:dyDescent="0.2">
      <c r="A1088" s="609" t="s">
        <v>7250</v>
      </c>
      <c r="B1088" s="608">
        <v>254</v>
      </c>
      <c r="D1088">
        <f t="shared" si="2"/>
        <v>138</v>
      </c>
    </row>
    <row r="1089" spans="1:4" x14ac:dyDescent="0.2">
      <c r="A1089" s="609" t="s">
        <v>7274</v>
      </c>
      <c r="B1089" s="608">
        <v>254</v>
      </c>
      <c r="D1089">
        <f t="shared" si="2"/>
        <v>139</v>
      </c>
    </row>
    <row r="1090" spans="1:4" x14ac:dyDescent="0.2">
      <c r="A1090" s="609" t="s">
        <v>7445</v>
      </c>
      <c r="B1090" s="608">
        <v>254</v>
      </c>
      <c r="D1090">
        <f t="shared" si="2"/>
        <v>140</v>
      </c>
    </row>
    <row r="1091" spans="1:4" x14ac:dyDescent="0.2">
      <c r="A1091" s="609" t="s">
        <v>7448</v>
      </c>
      <c r="B1091" s="608">
        <v>254</v>
      </c>
      <c r="D1091">
        <f t="shared" si="2"/>
        <v>141</v>
      </c>
    </row>
    <row r="1092" spans="1:4" ht="38.25" x14ac:dyDescent="0.2">
      <c r="A1092" s="609" t="s">
        <v>7482</v>
      </c>
      <c r="B1092" s="608">
        <v>254</v>
      </c>
      <c r="D1092">
        <f t="shared" si="2"/>
        <v>142</v>
      </c>
    </row>
    <row r="1093" spans="1:4" x14ac:dyDescent="0.2">
      <c r="A1093" s="609" t="s">
        <v>7521</v>
      </c>
      <c r="B1093" s="608">
        <v>254</v>
      </c>
      <c r="D1093">
        <f t="shared" si="2"/>
        <v>143</v>
      </c>
    </row>
    <row r="1094" spans="1:4" ht="25.5" x14ac:dyDescent="0.2">
      <c r="A1094" s="609" t="s">
        <v>6500</v>
      </c>
      <c r="B1094" s="608">
        <v>253</v>
      </c>
      <c r="D1094">
        <f t="shared" si="2"/>
        <v>144</v>
      </c>
    </row>
    <row r="1095" spans="1:4" x14ac:dyDescent="0.2">
      <c r="A1095" s="609" t="s">
        <v>6595</v>
      </c>
      <c r="B1095" s="608">
        <v>253</v>
      </c>
      <c r="D1095">
        <f t="shared" si="2"/>
        <v>145</v>
      </c>
    </row>
    <row r="1096" spans="1:4" x14ac:dyDescent="0.2">
      <c r="A1096" s="609" t="s">
        <v>6632</v>
      </c>
      <c r="B1096" s="608">
        <v>253</v>
      </c>
      <c r="D1096">
        <f t="shared" si="2"/>
        <v>146</v>
      </c>
    </row>
    <row r="1097" spans="1:4" ht="25.5" x14ac:dyDescent="0.2">
      <c r="A1097" s="609" t="s">
        <v>6652</v>
      </c>
      <c r="B1097" s="608">
        <v>253</v>
      </c>
      <c r="D1097">
        <f t="shared" si="2"/>
        <v>147</v>
      </c>
    </row>
    <row r="1098" spans="1:4" x14ac:dyDescent="0.2">
      <c r="A1098" s="609" t="s">
        <v>6744</v>
      </c>
      <c r="B1098" s="608">
        <v>253</v>
      </c>
      <c r="D1098">
        <f t="shared" si="2"/>
        <v>148</v>
      </c>
    </row>
    <row r="1099" spans="1:4" x14ac:dyDescent="0.2">
      <c r="A1099" s="609" t="s">
        <v>6814</v>
      </c>
      <c r="B1099" s="608">
        <v>253</v>
      </c>
      <c r="D1099">
        <f t="shared" si="2"/>
        <v>149</v>
      </c>
    </row>
    <row r="1100" spans="1:4" x14ac:dyDescent="0.2">
      <c r="A1100" s="609" t="s">
        <v>6836</v>
      </c>
      <c r="B1100" s="608">
        <v>253</v>
      </c>
      <c r="D1100">
        <f t="shared" si="2"/>
        <v>150</v>
      </c>
    </row>
    <row r="1101" spans="1:4" x14ac:dyDescent="0.2">
      <c r="A1101" s="609" t="s">
        <v>6915</v>
      </c>
      <c r="B1101" s="608">
        <v>253</v>
      </c>
      <c r="D1101">
        <f t="shared" si="2"/>
        <v>151</v>
      </c>
    </row>
    <row r="1102" spans="1:4" x14ac:dyDescent="0.2">
      <c r="A1102" s="609" t="s">
        <v>6970</v>
      </c>
      <c r="B1102" s="608">
        <v>253</v>
      </c>
      <c r="D1102">
        <f t="shared" si="2"/>
        <v>152</v>
      </c>
    </row>
    <row r="1103" spans="1:4" x14ac:dyDescent="0.2">
      <c r="A1103" s="609" t="s">
        <v>7036</v>
      </c>
      <c r="B1103" s="608">
        <v>253</v>
      </c>
      <c r="D1103">
        <f t="shared" si="2"/>
        <v>153</v>
      </c>
    </row>
    <row r="1104" spans="1:4" x14ac:dyDescent="0.2">
      <c r="A1104" s="609" t="s">
        <v>7045</v>
      </c>
      <c r="B1104" s="608">
        <v>253</v>
      </c>
      <c r="D1104">
        <f t="shared" si="2"/>
        <v>154</v>
      </c>
    </row>
    <row r="1105" spans="1:5" x14ac:dyDescent="0.2">
      <c r="A1105" s="609" t="s">
        <v>7060</v>
      </c>
      <c r="B1105" s="608">
        <v>253</v>
      </c>
      <c r="D1105">
        <f t="shared" si="2"/>
        <v>155</v>
      </c>
    </row>
    <row r="1106" spans="1:5" x14ac:dyDescent="0.2">
      <c r="A1106" s="609" t="s">
        <v>7063</v>
      </c>
      <c r="B1106" s="608">
        <v>253</v>
      </c>
      <c r="D1106">
        <f t="shared" si="2"/>
        <v>156</v>
      </c>
    </row>
    <row r="1107" spans="1:5" x14ac:dyDescent="0.2">
      <c r="A1107" s="609" t="s">
        <v>7121</v>
      </c>
      <c r="B1107" s="608">
        <v>253</v>
      </c>
      <c r="D1107">
        <f t="shared" si="2"/>
        <v>157</v>
      </c>
    </row>
    <row r="1108" spans="1:5" x14ac:dyDescent="0.2">
      <c r="A1108" s="609" t="s">
        <v>7129</v>
      </c>
      <c r="B1108" s="608">
        <v>253</v>
      </c>
      <c r="D1108">
        <f t="shared" si="2"/>
        <v>158</v>
      </c>
    </row>
    <row r="1109" spans="1:5" ht="25.5" x14ac:dyDescent="0.2">
      <c r="A1109" s="609" t="s">
        <v>7334</v>
      </c>
      <c r="B1109" s="608">
        <v>253</v>
      </c>
      <c r="D1109">
        <f t="shared" si="2"/>
        <v>159</v>
      </c>
    </row>
    <row r="1110" spans="1:5" ht="25.5" x14ac:dyDescent="0.2">
      <c r="A1110" s="609" t="s">
        <v>7349</v>
      </c>
      <c r="B1110" s="608">
        <v>253</v>
      </c>
      <c r="D1110">
        <f t="shared" si="2"/>
        <v>160</v>
      </c>
    </row>
    <row r="1111" spans="1:5" x14ac:dyDescent="0.2">
      <c r="A1111" s="1060" t="s">
        <v>7450</v>
      </c>
      <c r="B1111" s="1061">
        <v>253</v>
      </c>
      <c r="C1111" s="879"/>
      <c r="D1111" s="879">
        <f t="shared" si="2"/>
        <v>161</v>
      </c>
      <c r="E1111" s="879"/>
    </row>
    <row r="1112" spans="1:5" x14ac:dyDescent="0.2">
      <c r="A1112" s="609" t="s">
        <v>6550</v>
      </c>
      <c r="B1112" s="608">
        <v>252</v>
      </c>
      <c r="D1112">
        <f t="shared" si="2"/>
        <v>162</v>
      </c>
    </row>
    <row r="1113" spans="1:5" x14ac:dyDescent="0.2">
      <c r="A1113" s="609" t="s">
        <v>6650</v>
      </c>
      <c r="B1113" s="608">
        <v>252</v>
      </c>
      <c r="D1113">
        <f t="shared" si="2"/>
        <v>163</v>
      </c>
    </row>
    <row r="1114" spans="1:5" x14ac:dyDescent="0.2">
      <c r="A1114" s="609" t="s">
        <v>6734</v>
      </c>
      <c r="B1114" s="608">
        <v>252</v>
      </c>
      <c r="D1114">
        <f t="shared" si="2"/>
        <v>164</v>
      </c>
    </row>
    <row r="1115" spans="1:5" x14ac:dyDescent="0.2">
      <c r="A1115" s="609" t="s">
        <v>6837</v>
      </c>
      <c r="B1115" s="608">
        <v>252</v>
      </c>
      <c r="D1115">
        <f t="shared" si="2"/>
        <v>165</v>
      </c>
    </row>
    <row r="1116" spans="1:5" ht="25.5" x14ac:dyDescent="0.2">
      <c r="A1116" s="609" t="s">
        <v>6882</v>
      </c>
      <c r="B1116" s="608">
        <v>252</v>
      </c>
      <c r="D1116">
        <f t="shared" si="2"/>
        <v>166</v>
      </c>
    </row>
    <row r="1117" spans="1:5" x14ac:dyDescent="0.2">
      <c r="A1117" s="609" t="s">
        <v>7058</v>
      </c>
      <c r="B1117" s="608">
        <v>252</v>
      </c>
      <c r="D1117">
        <f t="shared" si="2"/>
        <v>167</v>
      </c>
    </row>
    <row r="1118" spans="1:5" x14ac:dyDescent="0.2">
      <c r="A1118" s="609" t="s">
        <v>7133</v>
      </c>
      <c r="B1118" s="608">
        <v>252</v>
      </c>
      <c r="D1118">
        <f t="shared" si="2"/>
        <v>168</v>
      </c>
    </row>
    <row r="1119" spans="1:5" x14ac:dyDescent="0.2">
      <c r="A1119" s="609" t="s">
        <v>7139</v>
      </c>
      <c r="B1119" s="608">
        <v>252</v>
      </c>
      <c r="D1119">
        <f t="shared" si="2"/>
        <v>169</v>
      </c>
    </row>
    <row r="1120" spans="1:5" x14ac:dyDescent="0.2">
      <c r="A1120" s="609" t="s">
        <v>7219</v>
      </c>
      <c r="B1120" s="608">
        <v>252</v>
      </c>
      <c r="D1120">
        <f t="shared" si="2"/>
        <v>170</v>
      </c>
    </row>
    <row r="1121" spans="1:4" ht="25.5" x14ac:dyDescent="0.2">
      <c r="A1121" s="609" t="s">
        <v>7288</v>
      </c>
      <c r="B1121" s="608">
        <v>252</v>
      </c>
      <c r="D1121">
        <f t="shared" si="2"/>
        <v>171</v>
      </c>
    </row>
    <row r="1122" spans="1:4" x14ac:dyDescent="0.2">
      <c r="A1122" s="609" t="s">
        <v>7340</v>
      </c>
      <c r="B1122" s="608">
        <v>252</v>
      </c>
      <c r="D1122">
        <f t="shared" si="2"/>
        <v>172</v>
      </c>
    </row>
    <row r="1123" spans="1:4" x14ac:dyDescent="0.2">
      <c r="A1123" s="609" t="s">
        <v>7371</v>
      </c>
      <c r="B1123" s="608">
        <v>252</v>
      </c>
      <c r="D1123">
        <f t="shared" si="2"/>
        <v>173</v>
      </c>
    </row>
    <row r="1124" spans="1:4" x14ac:dyDescent="0.2">
      <c r="A1124" s="609" t="s">
        <v>7434</v>
      </c>
      <c r="B1124" s="608">
        <v>252</v>
      </c>
      <c r="D1124">
        <f t="shared" si="2"/>
        <v>174</v>
      </c>
    </row>
    <row r="1125" spans="1:4" x14ac:dyDescent="0.2">
      <c r="A1125" s="609" t="s">
        <v>7525</v>
      </c>
      <c r="B1125" s="608">
        <v>252</v>
      </c>
      <c r="D1125">
        <f t="shared" si="2"/>
        <v>175</v>
      </c>
    </row>
    <row r="1126" spans="1:4" x14ac:dyDescent="0.2">
      <c r="A1126" s="609" t="s">
        <v>7538</v>
      </c>
      <c r="B1126" s="608">
        <v>252</v>
      </c>
      <c r="D1126">
        <f t="shared" si="2"/>
        <v>176</v>
      </c>
    </row>
    <row r="1127" spans="1:4" x14ac:dyDescent="0.2">
      <c r="A1127" s="609" t="s">
        <v>6470</v>
      </c>
      <c r="B1127" s="608">
        <v>251</v>
      </c>
      <c r="D1127">
        <f t="shared" si="2"/>
        <v>177</v>
      </c>
    </row>
    <row r="1128" spans="1:4" ht="25.5" x14ac:dyDescent="0.2">
      <c r="A1128" s="609" t="s">
        <v>6494</v>
      </c>
      <c r="B1128" s="608">
        <v>251</v>
      </c>
      <c r="D1128">
        <f t="shared" si="2"/>
        <v>178</v>
      </c>
    </row>
    <row r="1129" spans="1:4" x14ac:dyDescent="0.2">
      <c r="A1129" s="609" t="s">
        <v>6508</v>
      </c>
      <c r="B1129" s="608">
        <v>251</v>
      </c>
      <c r="D1129">
        <f t="shared" si="2"/>
        <v>179</v>
      </c>
    </row>
    <row r="1130" spans="1:4" x14ac:dyDescent="0.2">
      <c r="A1130" s="609" t="s">
        <v>6551</v>
      </c>
      <c r="B1130" s="608">
        <v>251</v>
      </c>
      <c r="D1130">
        <f t="shared" si="2"/>
        <v>180</v>
      </c>
    </row>
    <row r="1131" spans="1:4" x14ac:dyDescent="0.2">
      <c r="A1131" s="609" t="s">
        <v>6598</v>
      </c>
      <c r="B1131" s="608">
        <v>251</v>
      </c>
      <c r="D1131">
        <f t="shared" si="2"/>
        <v>181</v>
      </c>
    </row>
    <row r="1132" spans="1:4" x14ac:dyDescent="0.2">
      <c r="A1132" s="609" t="s">
        <v>6736</v>
      </c>
      <c r="B1132" s="608">
        <v>251</v>
      </c>
      <c r="D1132">
        <f t="shared" si="2"/>
        <v>182</v>
      </c>
    </row>
    <row r="1133" spans="1:4" x14ac:dyDescent="0.2">
      <c r="A1133" s="609" t="s">
        <v>6774</v>
      </c>
      <c r="B1133" s="608">
        <v>251</v>
      </c>
      <c r="D1133">
        <f t="shared" si="2"/>
        <v>183</v>
      </c>
    </row>
    <row r="1134" spans="1:4" x14ac:dyDescent="0.2">
      <c r="A1134" s="609" t="s">
        <v>6810</v>
      </c>
      <c r="B1134" s="608">
        <v>251</v>
      </c>
      <c r="D1134">
        <f t="shared" si="2"/>
        <v>184</v>
      </c>
    </row>
    <row r="1135" spans="1:4" x14ac:dyDescent="0.2">
      <c r="A1135" s="609" t="s">
        <v>6901</v>
      </c>
      <c r="B1135" s="608">
        <v>251</v>
      </c>
      <c r="D1135">
        <f t="shared" si="2"/>
        <v>185</v>
      </c>
    </row>
    <row r="1136" spans="1:4" x14ac:dyDescent="0.2">
      <c r="A1136" s="609" t="s">
        <v>6976</v>
      </c>
      <c r="B1136" s="608">
        <v>251</v>
      </c>
      <c r="D1136">
        <f t="shared" si="2"/>
        <v>186</v>
      </c>
    </row>
    <row r="1137" spans="1:4" ht="25.5" x14ac:dyDescent="0.2">
      <c r="A1137" s="609" t="s">
        <v>7057</v>
      </c>
      <c r="B1137" s="608">
        <v>251</v>
      </c>
      <c r="D1137">
        <f t="shared" si="2"/>
        <v>187</v>
      </c>
    </row>
    <row r="1138" spans="1:4" ht="25.5" x14ac:dyDescent="0.2">
      <c r="A1138" s="609" t="s">
        <v>7095</v>
      </c>
      <c r="B1138" s="608">
        <v>251</v>
      </c>
      <c r="D1138">
        <f t="shared" si="2"/>
        <v>188</v>
      </c>
    </row>
    <row r="1139" spans="1:4" x14ac:dyDescent="0.2">
      <c r="A1139" s="609" t="s">
        <v>7196</v>
      </c>
      <c r="B1139" s="608">
        <v>251</v>
      </c>
      <c r="D1139">
        <f t="shared" si="2"/>
        <v>189</v>
      </c>
    </row>
    <row r="1140" spans="1:4" x14ac:dyDescent="0.2">
      <c r="A1140" s="609" t="s">
        <v>7198</v>
      </c>
      <c r="B1140" s="608">
        <v>251</v>
      </c>
      <c r="D1140">
        <f t="shared" si="2"/>
        <v>190</v>
      </c>
    </row>
    <row r="1141" spans="1:4" ht="25.5" x14ac:dyDescent="0.2">
      <c r="A1141" s="609" t="s">
        <v>7237</v>
      </c>
      <c r="B1141" s="608">
        <v>251</v>
      </c>
      <c r="D1141">
        <f t="shared" si="2"/>
        <v>191</v>
      </c>
    </row>
    <row r="1142" spans="1:4" ht="25.5" x14ac:dyDescent="0.2">
      <c r="A1142" s="609" t="s">
        <v>7245</v>
      </c>
      <c r="B1142" s="608">
        <v>251</v>
      </c>
      <c r="D1142">
        <f t="shared" si="2"/>
        <v>192</v>
      </c>
    </row>
    <row r="1143" spans="1:4" x14ac:dyDescent="0.2">
      <c r="A1143" s="609" t="s">
        <v>7284</v>
      </c>
      <c r="B1143" s="608">
        <v>251</v>
      </c>
      <c r="D1143">
        <f t="shared" si="2"/>
        <v>193</v>
      </c>
    </row>
    <row r="1144" spans="1:4" x14ac:dyDescent="0.2">
      <c r="A1144" s="609" t="s">
        <v>7423</v>
      </c>
      <c r="B1144" s="608">
        <v>251</v>
      </c>
      <c r="D1144">
        <f t="shared" si="2"/>
        <v>194</v>
      </c>
    </row>
    <row r="1145" spans="1:4" x14ac:dyDescent="0.2">
      <c r="A1145" s="609" t="s">
        <v>7453</v>
      </c>
      <c r="B1145" s="608">
        <v>251</v>
      </c>
      <c r="D1145">
        <f t="shared" ref="D1145:D1166" si="3">D1144+1</f>
        <v>195</v>
      </c>
    </row>
    <row r="1146" spans="1:4" x14ac:dyDescent="0.2">
      <c r="A1146" s="609" t="s">
        <v>7460</v>
      </c>
      <c r="B1146" s="608">
        <v>251</v>
      </c>
      <c r="D1146">
        <f t="shared" si="3"/>
        <v>196</v>
      </c>
    </row>
    <row r="1147" spans="1:4" ht="25.5" x14ac:dyDescent="0.2">
      <c r="A1147" s="609" t="s">
        <v>7478</v>
      </c>
      <c r="B1147" s="608">
        <v>251</v>
      </c>
      <c r="D1147">
        <f t="shared" si="3"/>
        <v>197</v>
      </c>
    </row>
    <row r="1148" spans="1:4" ht="25.5" x14ac:dyDescent="0.2">
      <c r="A1148" s="609" t="s">
        <v>6464</v>
      </c>
      <c r="B1148" s="608">
        <v>250</v>
      </c>
      <c r="D1148">
        <f t="shared" si="3"/>
        <v>198</v>
      </c>
    </row>
    <row r="1149" spans="1:4" x14ac:dyDescent="0.2">
      <c r="A1149" s="609" t="s">
        <v>6473</v>
      </c>
      <c r="B1149" s="608">
        <v>250</v>
      </c>
      <c r="D1149">
        <f t="shared" si="3"/>
        <v>199</v>
      </c>
    </row>
    <row r="1150" spans="1:4" x14ac:dyDescent="0.2">
      <c r="A1150" s="609" t="s">
        <v>6518</v>
      </c>
      <c r="B1150" s="608">
        <v>250</v>
      </c>
      <c r="D1150">
        <f t="shared" si="3"/>
        <v>200</v>
      </c>
    </row>
    <row r="1151" spans="1:4" x14ac:dyDescent="0.2">
      <c r="A1151" s="609" t="s">
        <v>6586</v>
      </c>
      <c r="B1151" s="608">
        <v>250</v>
      </c>
      <c r="D1151">
        <f t="shared" si="3"/>
        <v>201</v>
      </c>
    </row>
    <row r="1152" spans="1:4" x14ac:dyDescent="0.2">
      <c r="A1152" s="609" t="s">
        <v>6590</v>
      </c>
      <c r="B1152" s="608">
        <v>250</v>
      </c>
      <c r="D1152">
        <f t="shared" si="3"/>
        <v>202</v>
      </c>
    </row>
    <row r="1153" spans="1:4" x14ac:dyDescent="0.2">
      <c r="A1153" s="609" t="s">
        <v>6710</v>
      </c>
      <c r="B1153" s="608">
        <v>250</v>
      </c>
      <c r="D1153">
        <f t="shared" si="3"/>
        <v>203</v>
      </c>
    </row>
    <row r="1154" spans="1:4" x14ac:dyDescent="0.2">
      <c r="A1154" s="609" t="s">
        <v>6792</v>
      </c>
      <c r="B1154" s="608">
        <v>250</v>
      </c>
      <c r="D1154">
        <f t="shared" si="3"/>
        <v>204</v>
      </c>
    </row>
    <row r="1155" spans="1:4" x14ac:dyDescent="0.2">
      <c r="A1155" s="609" t="s">
        <v>6829</v>
      </c>
      <c r="B1155" s="608">
        <v>250</v>
      </c>
      <c r="D1155">
        <f t="shared" si="3"/>
        <v>205</v>
      </c>
    </row>
    <row r="1156" spans="1:4" x14ac:dyDescent="0.2">
      <c r="A1156" s="609" t="s">
        <v>6928</v>
      </c>
      <c r="B1156" s="608">
        <v>250</v>
      </c>
      <c r="D1156">
        <f t="shared" si="3"/>
        <v>206</v>
      </c>
    </row>
    <row r="1157" spans="1:4" x14ac:dyDescent="0.2">
      <c r="A1157" s="609" t="s">
        <v>6949</v>
      </c>
      <c r="B1157" s="608">
        <v>250</v>
      </c>
      <c r="D1157">
        <f t="shared" si="3"/>
        <v>207</v>
      </c>
    </row>
    <row r="1158" spans="1:4" x14ac:dyDescent="0.2">
      <c r="A1158" s="609" t="s">
        <v>6969</v>
      </c>
      <c r="B1158" s="608">
        <v>250</v>
      </c>
      <c r="D1158">
        <f t="shared" si="3"/>
        <v>208</v>
      </c>
    </row>
    <row r="1159" spans="1:4" x14ac:dyDescent="0.2">
      <c r="A1159" s="609" t="s">
        <v>6984</v>
      </c>
      <c r="B1159" s="608">
        <v>250</v>
      </c>
      <c r="D1159">
        <f t="shared" si="3"/>
        <v>209</v>
      </c>
    </row>
    <row r="1160" spans="1:4" x14ac:dyDescent="0.2">
      <c r="A1160" s="609" t="s">
        <v>7054</v>
      </c>
      <c r="B1160" s="608">
        <v>250</v>
      </c>
      <c r="D1160">
        <f t="shared" si="3"/>
        <v>210</v>
      </c>
    </row>
    <row r="1161" spans="1:4" x14ac:dyDescent="0.2">
      <c r="A1161" s="609" t="s">
        <v>7073</v>
      </c>
      <c r="B1161" s="608">
        <v>250</v>
      </c>
      <c r="D1161">
        <f t="shared" si="3"/>
        <v>211</v>
      </c>
    </row>
    <row r="1162" spans="1:4" ht="25.5" x14ac:dyDescent="0.2">
      <c r="A1162" s="609" t="s">
        <v>7290</v>
      </c>
      <c r="B1162" s="608">
        <v>250</v>
      </c>
      <c r="D1162">
        <f t="shared" si="3"/>
        <v>212</v>
      </c>
    </row>
    <row r="1163" spans="1:4" x14ac:dyDescent="0.2">
      <c r="A1163" s="609" t="s">
        <v>7314</v>
      </c>
      <c r="B1163" s="608">
        <v>250</v>
      </c>
      <c r="D1163">
        <f t="shared" si="3"/>
        <v>213</v>
      </c>
    </row>
    <row r="1164" spans="1:4" x14ac:dyDescent="0.2">
      <c r="A1164" s="609" t="s">
        <v>7369</v>
      </c>
      <c r="B1164" s="608">
        <v>250</v>
      </c>
      <c r="D1164">
        <f t="shared" si="3"/>
        <v>214</v>
      </c>
    </row>
    <row r="1165" spans="1:4" x14ac:dyDescent="0.2">
      <c r="A1165" s="609" t="s">
        <v>7472</v>
      </c>
      <c r="B1165" s="608">
        <v>250</v>
      </c>
      <c r="D1165">
        <f t="shared" si="3"/>
        <v>215</v>
      </c>
    </row>
    <row r="1166" spans="1:4" x14ac:dyDescent="0.2">
      <c r="A1166" s="609" t="s">
        <v>7542</v>
      </c>
      <c r="B1166" s="608">
        <v>250</v>
      </c>
      <c r="D1166">
        <f t="shared" si="3"/>
        <v>216</v>
      </c>
    </row>
  </sheetData>
  <sortState xmlns:xlrd2="http://schemas.microsoft.com/office/spreadsheetml/2017/richdata2" ref="A72:K1166">
    <sortCondition descending="1" ref="B72:B1166"/>
  </sortState>
  <phoneticPr fontId="8" type="noConversion"/>
  <hyperlinks>
    <hyperlink ref="A423" r:id="rId1" display="http://www.parkrun.org.uk/results/athleteresultshistory/?athleteNumber=9954" xr:uid="{00000000-0004-0000-0E00-000000000000}"/>
    <hyperlink ref="A1071" r:id="rId2" display="http://www.parkrun.org.uk/results/athleteresultshistory/?athleteNumber=135944" xr:uid="{00000000-0004-0000-0E00-000001000000}"/>
    <hyperlink ref="A415" r:id="rId3" display="http://www.parkrun.org.uk/results/athleteresultshistory/?athleteNumber=16934" xr:uid="{00000000-0004-0000-0E00-000002000000}"/>
    <hyperlink ref="A381" r:id="rId4" display="http://www.parkrun.org.uk/results/athleteresultshistory/?athleteNumber=75711" xr:uid="{00000000-0004-0000-0E00-000003000000}"/>
    <hyperlink ref="A506" r:id="rId5" display="http://www.parkrun.org.uk/results/athleteresultshistory/?athleteNumber=11" xr:uid="{00000000-0004-0000-0E00-000004000000}"/>
    <hyperlink ref="A384" r:id="rId6" display="http://www.parkrun.org.uk/results/athleteresultshistory/?athleteNumber=70727" xr:uid="{00000000-0004-0000-0E00-000005000000}"/>
    <hyperlink ref="A463" r:id="rId7" display="http://www.parkrun.org.uk/results/athleteresultshistory/?athleteNumber=8953" xr:uid="{00000000-0004-0000-0E00-000006000000}"/>
    <hyperlink ref="A332" r:id="rId8" display="http://www.parkrun.org.uk/results/athleteresultshistory/?athleteNumber=14113" xr:uid="{00000000-0004-0000-0E00-000007000000}"/>
    <hyperlink ref="A424" r:id="rId9" display="http://www.parkrun.org.uk/results/athleteresultshistory/?athleteNumber=39857" xr:uid="{00000000-0004-0000-0E00-000008000000}"/>
    <hyperlink ref="A1148" r:id="rId10" display="http://www.parkrun.org.uk/results/athleteresultshistory/?athleteNumber=132157" xr:uid="{00000000-0004-0000-0E00-000009000000}"/>
    <hyperlink ref="A81" r:id="rId11" display="http://www.parkrun.org.uk/results/athleteresultshistory/?athleteNumber=5556" xr:uid="{00000000-0004-0000-0E00-00000A000000}"/>
    <hyperlink ref="A896" r:id="rId12" display="http://www.parkrun.org.uk/results/athleteresultshistory/?athleteNumber=151377" xr:uid="{00000000-0004-0000-0E00-00000B000000}"/>
    <hyperlink ref="A702" r:id="rId13" display="http://www.parkrun.org.uk/results/athleteresultshistory/?athleteNumber=4884" xr:uid="{00000000-0004-0000-0E00-00000C000000}"/>
    <hyperlink ref="A94" r:id="rId14" display="http://www.parkrun.org.uk/results/athleteresultshistory/?athleteNumber=11488" xr:uid="{00000000-0004-0000-0E00-00000D000000}"/>
    <hyperlink ref="A288" r:id="rId15" display="http://www.parkrun.org.uk/results/athleteresultshistory/?athleteNumber=24255" xr:uid="{00000000-0004-0000-0E00-00000E000000}"/>
    <hyperlink ref="A1127" r:id="rId16" display="http://www.parkrun.org.uk/results/athleteresultshistory/?athleteNumber=10080" xr:uid="{00000000-0004-0000-0E00-00000F000000}"/>
    <hyperlink ref="A897" r:id="rId17" display="http://www.parkrun.org.uk/results/athleteresultshistory/?athleteNumber=65272" xr:uid="{00000000-0004-0000-0E00-000010000000}"/>
    <hyperlink ref="A964" r:id="rId18" display="http://www.parkrun.org.uk/results/athleteresultshistory/?athleteNumber=29" xr:uid="{00000000-0004-0000-0E00-000011000000}"/>
    <hyperlink ref="A1149" r:id="rId19" display="http://www.parkrun.org.uk/results/athleteresultshistory/?athleteNumber=58265" xr:uid="{00000000-0004-0000-0E00-000012000000}"/>
    <hyperlink ref="A89" r:id="rId20" display="http://www.parkrun.org.uk/results/athleteresultshistory/?athleteNumber=5852" xr:uid="{00000000-0004-0000-0E00-000013000000}"/>
    <hyperlink ref="A474" r:id="rId21" display="http://www.parkrun.org.uk/results/athleteresultshistory/?athleteNumber=138470" xr:uid="{00000000-0004-0000-0E00-000014000000}"/>
    <hyperlink ref="A274" r:id="rId22" display="http://www.parkrun.org.uk/results/athleteresultshistory/?athleteNumber=22628" xr:uid="{00000000-0004-0000-0E00-000015000000}"/>
    <hyperlink ref="A823" r:id="rId23" display="http://www.parkrun.org.uk/results/athleteresultshistory/?athleteNumber=120847" xr:uid="{00000000-0004-0000-0E00-000016000000}"/>
    <hyperlink ref="A485" r:id="rId24" display="http://www.parkrun.org.uk/results/athleteresultshistory/?athleteNumber=34930" xr:uid="{00000000-0004-0000-0E00-000017000000}"/>
    <hyperlink ref="A212" r:id="rId25" display="http://www.parkrun.org.uk/results/athleteresultshistory/?athleteNumber=4433" xr:uid="{00000000-0004-0000-0E00-000018000000}"/>
    <hyperlink ref="A857" r:id="rId26" display="http://www.parkrun.org.uk/results/athleteresultshistory/?athleteNumber=52" xr:uid="{00000000-0004-0000-0E00-000019000000}"/>
    <hyperlink ref="A353" r:id="rId27" display="http://www.parkrun.org.uk/results/athleteresultshistory/?athleteNumber=36925" xr:uid="{00000000-0004-0000-0E00-00001A000000}"/>
    <hyperlink ref="A571" r:id="rId28" display="http://www.parkrun.org.uk/results/athleteresultshistory/?athleteNumber=44930" xr:uid="{00000000-0004-0000-0E00-00001B000000}"/>
    <hyperlink ref="A809" r:id="rId29" display="http://www.parkrun.org.uk/results/athleteresultshistory/?athleteNumber=91546" xr:uid="{00000000-0004-0000-0E00-00001C000000}"/>
    <hyperlink ref="A237" r:id="rId30" display="http://www.parkrun.org.uk/results/athleteresultshistory/?athleteNumber=32950" xr:uid="{00000000-0004-0000-0E00-00001D000000}"/>
    <hyperlink ref="A1072" r:id="rId31" display="http://www.parkrun.org.uk/results/athleteresultshistory/?athleteNumber=27618" xr:uid="{00000000-0004-0000-0E00-00001E000000}"/>
    <hyperlink ref="A782" r:id="rId32" display="http://www.parkrun.org.uk/results/athleteresultshistory/?athleteNumber=97081" xr:uid="{00000000-0004-0000-0E00-00001F000000}"/>
    <hyperlink ref="A724" r:id="rId33" display="http://www.parkrun.org.uk/results/athleteresultshistory/?athleteNumber=5334" xr:uid="{00000000-0004-0000-0E00-000020000000}"/>
    <hyperlink ref="A190" r:id="rId34" display="http://www.parkrun.org.uk/results/athleteresultshistory/?athleteNumber=18477" xr:uid="{00000000-0004-0000-0E00-000021000000}"/>
    <hyperlink ref="A572" r:id="rId35" display="http://www.parkrun.org.uk/results/athleteresultshistory/?athleteNumber=16352" xr:uid="{00000000-0004-0000-0E00-000022000000}"/>
    <hyperlink ref="A299" r:id="rId36" display="http://www.parkrun.org.uk/results/athleteresultshistory/?athleteNumber=12799" xr:uid="{00000000-0004-0000-0E00-000023000000}"/>
    <hyperlink ref="A725" r:id="rId37" display="http://www.parkrun.org.uk/results/athleteresultshistory/?athleteNumber=16041" xr:uid="{00000000-0004-0000-0E00-000024000000}"/>
    <hyperlink ref="A1053" r:id="rId38" display="http://www.parkrun.org.uk/results/athleteresultshistory/?athleteNumber=125856" xr:uid="{00000000-0004-0000-0E00-000025000000}"/>
    <hyperlink ref="A208" r:id="rId39" display="http://www.parkrun.org.uk/results/athleteresultshistory/?athleteNumber=15617" xr:uid="{00000000-0004-0000-0E00-000026000000}"/>
    <hyperlink ref="A1128" r:id="rId40" display="http://www.parkrun.org.uk/results/athleteresultshistory/?athleteNumber=21436" xr:uid="{00000000-0004-0000-0E00-000027000000}"/>
    <hyperlink ref="A824" r:id="rId41" display="http://www.parkrun.org.uk/results/athleteresultshistory/?athleteNumber=6178" xr:uid="{00000000-0004-0000-0E00-000028000000}"/>
    <hyperlink ref="A155" r:id="rId42" display="http://www.parkrun.org.uk/results/athleteresultshistory/?athleteNumber=3353" xr:uid="{00000000-0004-0000-0E00-000029000000}"/>
    <hyperlink ref="A764" r:id="rId43" display="http://www.parkrun.org.uk/results/athleteresultshistory/?athleteNumber=47715" xr:uid="{00000000-0004-0000-0E00-00002A000000}"/>
    <hyperlink ref="A703" r:id="rId44" display="http://www.parkrun.org.uk/results/athleteresultshistory/?athleteNumber=72703" xr:uid="{00000000-0004-0000-0E00-00002B000000}"/>
    <hyperlink ref="A464" r:id="rId45" display="http://www.parkrun.org.uk/results/athleteresultshistory/?athleteNumber=29990" xr:uid="{00000000-0004-0000-0E00-00002C000000}"/>
    <hyperlink ref="A1094" r:id="rId46" display="http://www.parkrun.org.uk/results/athleteresultshistory/?athleteNumber=141322" xr:uid="{00000000-0004-0000-0E00-00002D000000}"/>
    <hyperlink ref="A559" r:id="rId47" display="http://www.parkrun.org.uk/results/athleteresultshistory/?athleteNumber=16439" xr:uid="{00000000-0004-0000-0E00-00002E000000}"/>
    <hyperlink ref="A486" r:id="rId48" display="http://www.parkrun.org.uk/results/athleteresultshistory/?athleteNumber=100" xr:uid="{00000000-0004-0000-0E00-00002F000000}"/>
    <hyperlink ref="A261" r:id="rId49" display="http://www.parkrun.org.uk/results/athleteresultshistory/?athleteNumber=44068" xr:uid="{00000000-0004-0000-0E00-000030000000}"/>
    <hyperlink ref="A912" r:id="rId50" display="http://www.parkrun.org.uk/results/athleteresultshistory/?athleteNumber=25916" xr:uid="{00000000-0004-0000-0E00-000031000000}"/>
    <hyperlink ref="A951" r:id="rId51" display="http://www.parkrun.org.uk/results/athleteresultshistory/?athleteNumber=16583" xr:uid="{00000000-0004-0000-0E00-000032000000}"/>
    <hyperlink ref="A399" r:id="rId52" display="http://www.parkrun.org.uk/results/athleteresultshistory/?athleteNumber=98661" xr:uid="{00000000-0004-0000-0E00-000033000000}"/>
    <hyperlink ref="A660" r:id="rId53" display="http://www.parkrun.org.uk/results/athleteresultshistory/?athleteNumber=45173" xr:uid="{00000000-0004-0000-0E00-000034000000}"/>
    <hyperlink ref="A1129" r:id="rId54" display="http://www.parkrun.org.uk/results/athleteresultshistory/?athleteNumber=142367" xr:uid="{00000000-0004-0000-0E00-000035000000}"/>
    <hyperlink ref="A1054" r:id="rId55" display="http://www.parkrun.org.uk/results/athleteresultshistory/?athleteNumber=201144" xr:uid="{00000000-0004-0000-0E00-000036000000}"/>
    <hyperlink ref="A188" r:id="rId56" display="http://www.parkrun.org.uk/results/athleteresultshistory/?athleteNumber=41719" xr:uid="{00000000-0004-0000-0E00-000037000000}"/>
    <hyperlink ref="A507" r:id="rId57" display="http://www.parkrun.org.uk/results/athleteresultshistory/?athleteNumber=115" xr:uid="{00000000-0004-0000-0E00-000038000000}"/>
    <hyperlink ref="A126" r:id="rId58" display="http://www.parkrun.org.uk/results/athleteresultshistory/?athleteNumber=37847" xr:uid="{00000000-0004-0000-0E00-000039000000}"/>
    <hyperlink ref="A80" r:id="rId59" display="http://www.parkrun.org.uk/results/athleteresultshistory/?athleteNumber=19702" xr:uid="{00000000-0004-0000-0E00-00003A000000}"/>
    <hyperlink ref="A231" r:id="rId60" display="http://www.parkrun.org.uk/results/athleteresultshistory/?athleteNumber=119" xr:uid="{00000000-0004-0000-0E00-00003B000000}"/>
    <hyperlink ref="A560" r:id="rId61" display="http://www.parkrun.org.uk/results/athleteresultshistory/?athleteNumber=45772" xr:uid="{00000000-0004-0000-0E00-00003C000000}"/>
    <hyperlink ref="A793" r:id="rId62" display="http://www.parkrun.org.uk/results/athleteresultshistory/?athleteNumber=31873" xr:uid="{00000000-0004-0000-0E00-00003D000000}"/>
    <hyperlink ref="A487" r:id="rId63" display="http://www.parkrun.org.uk/results/athleteresultshistory/?athleteNumber=80190" xr:uid="{00000000-0004-0000-0E00-00003E000000}"/>
    <hyperlink ref="A1150" r:id="rId64" display="http://www.parkrun.org.uk/results/athleteresultshistory/?athleteNumber=161283" xr:uid="{00000000-0004-0000-0E00-00003F000000}"/>
    <hyperlink ref="A913" r:id="rId65" display="http://www.parkrun.org.uk/results/athleteresultshistory/?athleteNumber=78668" xr:uid="{00000000-0004-0000-0E00-000040000000}"/>
    <hyperlink ref="A156" r:id="rId66" display="http://www.parkrun.org.uk/results/athleteresultshistory/?athleteNumber=5173" xr:uid="{00000000-0004-0000-0E00-000041000000}"/>
    <hyperlink ref="A612" r:id="rId67" display="http://www.parkrun.org.uk/results/athleteresultshistory/?athleteNumber=123165" xr:uid="{00000000-0004-0000-0E00-000042000000}"/>
    <hyperlink ref="A82" r:id="rId68" display="http://www.parkrun.org.uk/results/athleteresultshistory/?athleteNumber=19079" xr:uid="{00000000-0004-0000-0E00-000043000000}"/>
    <hyperlink ref="A406" r:id="rId69" display="http://www.parkrun.org.uk/results/athleteresultshistory/?athleteNumber=43614" xr:uid="{00000000-0004-0000-0E00-000044000000}"/>
    <hyperlink ref="A456" r:id="rId70" display="http://www.parkrun.org.uk/results/athleteresultshistory/?athleteNumber=34628" xr:uid="{00000000-0004-0000-0E00-000045000000}"/>
    <hyperlink ref="A316" r:id="rId71" display="http://www.parkrun.org.uk/results/athleteresultshistory/?athleteNumber=12208" xr:uid="{00000000-0004-0000-0E00-000046000000}"/>
    <hyperlink ref="A914" r:id="rId72" display="http://www.parkrun.org.uk/results/athleteresultshistory/?athleteNumber=25482" xr:uid="{00000000-0004-0000-0E00-000047000000}"/>
    <hyperlink ref="A446" r:id="rId73" display="http://www.parkrun.org.uk/results/athleteresultshistory/?athleteNumber=104174" xr:uid="{00000000-0004-0000-0E00-000048000000}"/>
    <hyperlink ref="A825" r:id="rId74" display="http://www.parkrun.org.uk/results/athleteresultshistory/?athleteNumber=60099" xr:uid="{00000000-0004-0000-0E00-000049000000}"/>
    <hyperlink ref="A180" r:id="rId75" display="http://www.parkrun.org.uk/results/athleteresultshistory/?athleteNumber=7167" xr:uid="{00000000-0004-0000-0E00-00004A000000}"/>
    <hyperlink ref="A898" r:id="rId76" display="http://www.parkrun.org.uk/results/athleteresultshistory/?athleteNumber=137893" xr:uid="{00000000-0004-0000-0E00-00004B000000}"/>
    <hyperlink ref="A842" r:id="rId77" display="http://www.parkrun.org.uk/results/athleteresultshistory/?athleteNumber=20273" xr:uid="{00000000-0004-0000-0E00-00004C000000}"/>
    <hyperlink ref="A915" r:id="rId78" display="http://www.parkrun.org.uk/results/athleteresultshistory/?athleteNumber=135" xr:uid="{00000000-0004-0000-0E00-00004D000000}"/>
    <hyperlink ref="A1012" r:id="rId79" display="http://www.parkrun.org.uk/results/athleteresultshistory/?athleteNumber=15584" xr:uid="{00000000-0004-0000-0E00-00004E000000}"/>
    <hyperlink ref="A400" r:id="rId80" display="http://www.parkrun.org.uk/results/athleteresultshistory/?athleteNumber=62717" xr:uid="{00000000-0004-0000-0E00-00004F000000}"/>
    <hyperlink ref="A952" r:id="rId81" display="http://www.parkrun.org.uk/results/athleteresultshistory/?athleteNumber=137462" xr:uid="{00000000-0004-0000-0E00-000050000000}"/>
    <hyperlink ref="A843" r:id="rId82" display="http://www.parkrun.org.uk/results/athleteresultshistory/?athleteNumber=10333" xr:uid="{00000000-0004-0000-0E00-000051000000}"/>
    <hyperlink ref="A661" r:id="rId83" display="http://www.parkrun.org.uk/results/athleteresultshistory/?athleteNumber=69313" xr:uid="{00000000-0004-0000-0E00-000052000000}"/>
    <hyperlink ref="A488" r:id="rId84" display="http://www.parkrun.org.uk/results/athleteresultshistory/?athleteNumber=99095" xr:uid="{00000000-0004-0000-0E00-000053000000}"/>
    <hyperlink ref="A683" r:id="rId85" display="http://www.parkrun.org.uk/results/athleteresultshistory/?athleteNumber=87724" xr:uid="{00000000-0004-0000-0E00-000054000000}"/>
    <hyperlink ref="A613" r:id="rId86" display="http://www.parkrun.org.uk/results/athleteresultshistory/?athleteNumber=81401" xr:uid="{00000000-0004-0000-0E00-000055000000}"/>
    <hyperlink ref="A220" r:id="rId87" display="http://www.parkrun.org.uk/results/athleteresultshistory/?athleteNumber=11836" xr:uid="{00000000-0004-0000-0E00-000056000000}"/>
    <hyperlink ref="A934" r:id="rId88" display="http://www.parkrun.org.uk/results/athleteresultshistory/?athleteNumber=20595" xr:uid="{00000000-0004-0000-0E00-000057000000}"/>
    <hyperlink ref="A935" r:id="rId89" display="http://www.parkrun.org.uk/results/athleteresultshistory/?athleteNumber=56651" xr:uid="{00000000-0004-0000-0E00-000058000000}"/>
    <hyperlink ref="A953" r:id="rId90" display="http://www.parkrun.org.uk/results/athleteresultshistory/?athleteNumber=128022" xr:uid="{00000000-0004-0000-0E00-000059000000}"/>
    <hyperlink ref="A349" r:id="rId91" display="http://www.parkrun.org.uk/results/athleteresultshistory/?athleteNumber=95326" xr:uid="{00000000-0004-0000-0E00-00005A000000}"/>
    <hyperlink ref="A437" r:id="rId92" display="http://www.parkrun.org.uk/results/athleteresultshistory/?athleteNumber=46017" xr:uid="{00000000-0004-0000-0E00-00005B000000}"/>
    <hyperlink ref="A858" r:id="rId93" display="http://www.parkrun.org.uk/results/athleteresultshistory/?athleteNumber=15515" xr:uid="{00000000-0004-0000-0E00-00005C000000}"/>
    <hyperlink ref="A987" r:id="rId94" display="http://www.parkrun.org.uk/results/athleteresultshistory/?athleteNumber=69985" xr:uid="{00000000-0004-0000-0E00-00005D000000}"/>
    <hyperlink ref="A740" r:id="rId95" display="http://www.parkrun.org.uk/results/athleteresultshistory/?athleteNumber=72665" xr:uid="{00000000-0004-0000-0E00-00005E000000}"/>
    <hyperlink ref="A1112" r:id="rId96" display="http://www.parkrun.org.uk/results/athleteresultshistory/?athleteNumber=35429" xr:uid="{00000000-0004-0000-0E00-00005F000000}"/>
    <hyperlink ref="A1130" r:id="rId97" display="http://www.parkrun.org.uk/results/athleteresultshistory/?athleteNumber=22424" xr:uid="{00000000-0004-0000-0E00-000060000000}"/>
    <hyperlink ref="A844" r:id="rId98" display="http://www.parkrun.org.uk/results/athleteresultshistory/?athleteNumber=74936" xr:uid="{00000000-0004-0000-0E00-000061000000}"/>
    <hyperlink ref="A1035" r:id="rId99" display="http://www.parkrun.org.uk/results/athleteresultshistory/?athleteNumber=207977" xr:uid="{00000000-0004-0000-0E00-000062000000}"/>
    <hyperlink ref="A899" r:id="rId100" display="http://www.parkrun.org.uk/results/athleteresultshistory/?athleteNumber=155245" xr:uid="{00000000-0004-0000-0E00-000063000000}"/>
    <hyperlink ref="A794" r:id="rId101" display="http://www.parkrun.org.uk/results/athleteresultshistory/?athleteNumber=72680" xr:uid="{00000000-0004-0000-0E00-000064000000}"/>
    <hyperlink ref="A591" r:id="rId102" display="http://www.parkrun.org.uk/results/athleteresultshistory/?athleteNumber=54147" xr:uid="{00000000-0004-0000-0E00-000065000000}"/>
    <hyperlink ref="A79" r:id="rId103" display="http://www.parkrun.org.uk/results/athleteresultshistory/?athleteNumber=207" xr:uid="{00000000-0004-0000-0E00-000066000000}"/>
    <hyperlink ref="A167" r:id="rId104" display="http://www.parkrun.org.uk/results/athleteresultshistory/?athleteNumber=34340" xr:uid="{00000000-0004-0000-0E00-000067000000}"/>
    <hyperlink ref="A675" r:id="rId105" display="http://www.parkrun.org.uk/results/athleteresultshistory/?athleteNumber=36559" xr:uid="{00000000-0004-0000-0E00-000068000000}"/>
    <hyperlink ref="A845" r:id="rId106" display="http://www.parkrun.org.uk/results/athleteresultshistory/?athleteNumber=12071" xr:uid="{00000000-0004-0000-0E00-000069000000}"/>
    <hyperlink ref="A676" r:id="rId107" display="http://www.parkrun.org.uk/results/athleteresultshistory/?athleteNumber=22039" xr:uid="{00000000-0004-0000-0E00-00006A000000}"/>
    <hyperlink ref="A592" r:id="rId108" display="http://www.parkrun.org.uk/results/athleteresultshistory/?athleteNumber=133837" xr:uid="{00000000-0004-0000-0E00-00006B000000}"/>
    <hyperlink ref="A385" r:id="rId109" display="http://www.parkrun.org.uk/results/athleteresultshistory/?athleteNumber=20024" xr:uid="{00000000-0004-0000-0E00-00006C000000}"/>
    <hyperlink ref="A795" r:id="rId110" display="http://www.parkrun.org.uk/results/athleteresultshistory/?athleteNumber=27724" xr:uid="{00000000-0004-0000-0E00-00006D000000}"/>
    <hyperlink ref="A846" r:id="rId111" display="http://www.parkrun.org.uk/results/athleteresultshistory/?athleteNumber=138844" xr:uid="{00000000-0004-0000-0E00-00006E000000}"/>
    <hyperlink ref="A726" r:id="rId112" display="http://www.parkrun.org.uk/results/athleteresultshistory/?athleteNumber=3051" xr:uid="{00000000-0004-0000-0E00-00006F000000}"/>
    <hyperlink ref="A306" r:id="rId113" display="http://www.parkrun.org.uk/results/athleteresultshistory/?athleteNumber=28318" xr:uid="{00000000-0004-0000-0E00-000070000000}"/>
    <hyperlink ref="A489" r:id="rId114" display="http://www.parkrun.org.uk/results/athleteresultshistory/?athleteNumber=108284" xr:uid="{00000000-0004-0000-0E00-000071000000}"/>
    <hyperlink ref="A127" r:id="rId115" display="http://www.parkrun.org.uk/results/athleteresultshistory/?athleteNumber=223" xr:uid="{00000000-0004-0000-0E00-000072000000}"/>
    <hyperlink ref="A1055" r:id="rId116" display="http://www.parkrun.org.uk/results/athleteresultshistory/?athleteNumber=93745" xr:uid="{00000000-0004-0000-0E00-000073000000}"/>
    <hyperlink ref="A521" r:id="rId117" display="http://www.parkrun.org.uk/results/athleteresultshistory/?athleteNumber=5027" xr:uid="{00000000-0004-0000-0E00-000074000000}"/>
    <hyperlink ref="A741" r:id="rId118" display="http://www.parkrun.org.uk/results/athleteresultshistory/?athleteNumber=41852" xr:uid="{00000000-0004-0000-0E00-000075000000}"/>
    <hyperlink ref="A704" r:id="rId119" display="http://www.parkrun.org.uk/results/athleteresultshistory/?athleteNumber=17373" xr:uid="{00000000-0004-0000-0E00-000076000000}"/>
    <hyperlink ref="A187" r:id="rId120" display="http://www.parkrun.org.uk/results/athleteresultshistory/?athleteNumber=57641" xr:uid="{00000000-0004-0000-0E00-000077000000}"/>
    <hyperlink ref="A529" r:id="rId121" display="http://www.parkrun.org.uk/results/athleteresultshistory/?athleteNumber=81048" xr:uid="{00000000-0004-0000-0E00-000078000000}"/>
    <hyperlink ref="A160" r:id="rId122" display="http://www.parkrun.org.uk/results/athleteresultshistory/?athleteNumber=242" xr:uid="{00000000-0004-0000-0E00-000079000000}"/>
    <hyperlink ref="A965" r:id="rId123" display="http://www.parkrun.org.uk/results/athleteresultshistory/?athleteNumber=46076" xr:uid="{00000000-0004-0000-0E00-00007A000000}"/>
    <hyperlink ref="A826" r:id="rId124" display="http://www.parkrun.org.uk/results/athleteresultshistory/?athleteNumber=5414" xr:uid="{00000000-0004-0000-0E00-00007B000000}"/>
    <hyperlink ref="A684" r:id="rId125" display="http://www.parkrun.org.uk/results/athleteresultshistory/?athleteNumber=181446" xr:uid="{00000000-0004-0000-0E00-00007C000000}"/>
    <hyperlink ref="A336" r:id="rId126" display="http://www.parkrun.org.uk/results/athleteresultshistory/?athleteNumber=9923" xr:uid="{00000000-0004-0000-0E00-00007D000000}"/>
    <hyperlink ref="A916" r:id="rId127" display="http://www.parkrun.org.uk/results/athleteresultshistory/?athleteNumber=77735" xr:uid="{00000000-0004-0000-0E00-00007E000000}"/>
    <hyperlink ref="A765" r:id="rId128" display="http://www.parkrun.org.uk/results/athleteresultshistory/?athleteNumber=74141" xr:uid="{00000000-0004-0000-0E00-00007F000000}"/>
    <hyperlink ref="A465" r:id="rId129" display="http://www.parkrun.org.uk/results/athleteresultshistory/?athleteNumber=44298" xr:uid="{00000000-0004-0000-0E00-000080000000}"/>
    <hyperlink ref="A614" r:id="rId130" display="http://www.parkrun.org.uk/results/athleteresultshistory/?athleteNumber=23466" xr:uid="{00000000-0004-0000-0E00-000081000000}"/>
    <hyperlink ref="A936" r:id="rId131" display="http://www.parkrun.org.uk/results/athleteresultshistory/?athleteNumber=6903" xr:uid="{00000000-0004-0000-0E00-000082000000}"/>
    <hyperlink ref="A1151" r:id="rId132" display="http://www.parkrun.org.uk/results/athleteresultshistory/?athleteNumber=133824" xr:uid="{00000000-0004-0000-0E00-000083000000}"/>
    <hyperlink ref="A988" r:id="rId133" display="http://www.parkrun.org.uk/results/athleteresultshistory/?athleteNumber=61873" xr:uid="{00000000-0004-0000-0E00-000084000000}"/>
    <hyperlink ref="A264" r:id="rId134" display="http://www.parkrun.org.uk/results/athleteresultshistory/?athleteNumber=31086" xr:uid="{00000000-0004-0000-0E00-000085000000}"/>
    <hyperlink ref="A966" r:id="rId135" display="http://www.parkrun.org.uk/results/athleteresultshistory/?athleteNumber=150710" xr:uid="{00000000-0004-0000-0E00-000086000000}"/>
    <hyperlink ref="A1152" r:id="rId136" display="http://www.parkrun.org.uk/results/athleteresultshistory/?athleteNumber=67309" xr:uid="{00000000-0004-0000-0E00-000087000000}"/>
    <hyperlink ref="A221" r:id="rId137" display="http://www.parkrun.org.uk/results/athleteresultshistory/?athleteNumber=65742" xr:uid="{00000000-0004-0000-0E00-000088000000}"/>
    <hyperlink ref="A742" r:id="rId138" display="http://www.parkrun.org.uk/results/athleteresultshistory/?athleteNumber=84013" xr:uid="{00000000-0004-0000-0E00-000089000000}"/>
    <hyperlink ref="A495" r:id="rId139" display="http://www.parkrun.org.uk/results/athleteresultshistory/?athleteNumber=130575" xr:uid="{00000000-0004-0000-0E00-00008A000000}"/>
    <hyperlink ref="A92" r:id="rId140" display="http://www.parkrun.org.uk/results/athleteresultshistory/?athleteNumber=13807" xr:uid="{00000000-0004-0000-0E00-00008B000000}"/>
    <hyperlink ref="A1095" r:id="rId141" display="http://www.parkrun.org.uk/results/athleteresultshistory/?athleteNumber=107518" xr:uid="{00000000-0004-0000-0E00-00008C000000}"/>
    <hyperlink ref="A989" r:id="rId142" display="http://www.parkrun.org.uk/results/athleteresultshistory/?athleteNumber=7661" xr:uid="{00000000-0004-0000-0E00-00008D000000}"/>
    <hyperlink ref="A967" r:id="rId143" display="http://www.parkrun.org.uk/results/athleteresultshistory/?athleteNumber=47585" xr:uid="{00000000-0004-0000-0E00-00008E000000}"/>
    <hyperlink ref="A1131" r:id="rId144" display="http://www.parkrun.org.uk/results/athleteresultshistory/?athleteNumber=136862" xr:uid="{00000000-0004-0000-0E00-00008F000000}"/>
    <hyperlink ref="A727" r:id="rId145" display="http://www.parkrun.org.uk/results/athleteresultshistory/?athleteNumber=44823" xr:uid="{00000000-0004-0000-0E00-000090000000}"/>
    <hyperlink ref="A138" r:id="rId146" display="http://www.parkrun.org.uk/results/athleteresultshistory/?athleteNumber=19881" xr:uid="{00000000-0004-0000-0E00-000091000000}"/>
    <hyperlink ref="A573" r:id="rId147" display="http://www.parkrun.org.uk/results/athleteresultshistory/?athleteNumber=80911" xr:uid="{00000000-0004-0000-0E00-000092000000}"/>
    <hyperlink ref="A146" r:id="rId148" display="http://www.parkrun.org.uk/results/athleteresultshistory/?athleteNumber=4284" xr:uid="{00000000-0004-0000-0E00-000093000000}"/>
    <hyperlink ref="A416" r:id="rId149" display="http://www.parkrun.org.uk/results/athleteresultshistory/?athleteNumber=16935" xr:uid="{00000000-0004-0000-0E00-000094000000}"/>
    <hyperlink ref="A139" r:id="rId150" display="http://www.parkrun.org.uk/results/athleteresultshistory/?athleteNumber=299" xr:uid="{00000000-0004-0000-0E00-000095000000}"/>
    <hyperlink ref="A796" r:id="rId151" display="http://www.parkrun.org.uk/results/athleteresultshistory/?athleteNumber=53469" xr:uid="{00000000-0004-0000-0E00-000096000000}"/>
    <hyperlink ref="A797" r:id="rId152" display="http://www.parkrun.org.uk/results/athleteresultshistory/?athleteNumber=98802" xr:uid="{00000000-0004-0000-0E00-000097000000}"/>
    <hyperlink ref="A254" r:id="rId153" display="http://www.parkrun.org.uk/results/athleteresultshistory/?athleteNumber=20437" xr:uid="{00000000-0004-0000-0E00-000098000000}"/>
    <hyperlink ref="A552" r:id="rId154" display="http://www.parkrun.org.uk/results/athleteresultshistory/?athleteNumber=101816" xr:uid="{00000000-0004-0000-0E00-000099000000}"/>
    <hyperlink ref="A370" r:id="rId155" display="http://www.parkrun.org.uk/results/athleteresultshistory/?athleteNumber=14348" xr:uid="{00000000-0004-0000-0E00-00009A000000}"/>
    <hyperlink ref="A728" r:id="rId156" display="http://www.parkrun.org.uk/results/athleteresultshistory/?athleteNumber=64631" xr:uid="{00000000-0004-0000-0E00-00009B000000}"/>
    <hyperlink ref="A937" r:id="rId157" display="http://www.parkrun.org.uk/results/athleteresultshistory/?athleteNumber=13422" xr:uid="{00000000-0004-0000-0E00-00009C000000}"/>
    <hyperlink ref="A798" r:id="rId158" display="http://www.parkrun.org.uk/results/athleteresultshistory/?athleteNumber=17265" xr:uid="{00000000-0004-0000-0E00-00009D000000}"/>
    <hyperlink ref="A530" r:id="rId159" display="http://www.parkrun.org.uk/results/athleteresultshistory/?athleteNumber=105827" xr:uid="{00000000-0004-0000-0E00-00009E000000}"/>
    <hyperlink ref="A1056" r:id="rId160" display="http://www.parkrun.org.uk/results/athleteresultshistory/?athleteNumber=80499" xr:uid="{00000000-0004-0000-0E00-00009F000000}"/>
    <hyperlink ref="A561" r:id="rId161" display="http://www.parkrun.org.uk/results/athleteresultshistory/?athleteNumber=143236" xr:uid="{00000000-0004-0000-0E00-0000A0000000}"/>
    <hyperlink ref="A252" r:id="rId162" display="http://www.parkrun.org.uk/results/athleteresultshistory/?athleteNumber=57289" xr:uid="{00000000-0004-0000-0E00-0000A1000000}"/>
    <hyperlink ref="A307" r:id="rId163" display="http://www.parkrun.org.uk/results/athleteresultshistory/?athleteNumber=10405" xr:uid="{00000000-0004-0000-0E00-0000A2000000}"/>
    <hyperlink ref="A113" r:id="rId164" display="http://www.parkrun.org.uk/results/athleteresultshistory/?athleteNumber=12039" xr:uid="{00000000-0004-0000-0E00-0000A3000000}"/>
    <hyperlink ref="A90" r:id="rId165" display="http://www.parkrun.org.uk/results/athleteresultshistory/?athleteNumber=2477" xr:uid="{00000000-0004-0000-0E00-0000A4000000}"/>
    <hyperlink ref="A275" r:id="rId166" display="http://www.parkrun.org.uk/results/athleteresultshistory/?athleteNumber=5628" xr:uid="{00000000-0004-0000-0E00-0000A5000000}"/>
    <hyperlink ref="A938" r:id="rId167" display="http://www.parkrun.org.uk/results/athleteresultshistory/?athleteNumber=81402" xr:uid="{00000000-0004-0000-0E00-0000A6000000}"/>
    <hyperlink ref="A705" r:id="rId168" display="http://www.parkrun.org.uk/results/athleteresultshistory/?athleteNumber=80191" xr:uid="{00000000-0004-0000-0E00-0000A7000000}"/>
    <hyperlink ref="A827" r:id="rId169" display="http://www.parkrun.org.uk/results/athleteresultshistory/?athleteNumber=67401" xr:uid="{00000000-0004-0000-0E00-0000A8000000}"/>
    <hyperlink ref="A990" r:id="rId170" display="http://www.parkrun.org.uk/results/athleteresultshistory/?athleteNumber=53357" xr:uid="{00000000-0004-0000-0E00-0000A9000000}"/>
    <hyperlink ref="A209" r:id="rId171" display="http://www.parkrun.org.uk/results/athleteresultshistory/?athleteNumber=62819" xr:uid="{00000000-0004-0000-0E00-0000AA000000}"/>
    <hyperlink ref="A98" r:id="rId172" display="http://www.parkrun.org.uk/results/athleteresultshistory/?athleteNumber=349" xr:uid="{00000000-0004-0000-0E00-0000AB000000}"/>
    <hyperlink ref="A917" r:id="rId173" display="http://www.parkrun.org.uk/results/athleteresultshistory/?athleteNumber=63585" xr:uid="{00000000-0004-0000-0E00-0000AC000000}"/>
    <hyperlink ref="A131" r:id="rId174" display="http://www.parkrun.org.uk/results/athleteresultshistory/?athleteNumber=11865" xr:uid="{00000000-0004-0000-0E00-0000AD000000}"/>
    <hyperlink ref="A753" r:id="rId175" display="http://www.parkrun.org.uk/results/athleteresultshistory/?athleteNumber=111400" xr:uid="{00000000-0004-0000-0E00-0000AE000000}"/>
    <hyperlink ref="A615" r:id="rId176" display="http://www.parkrun.org.uk/results/athleteresultshistory/?athleteNumber=20744" xr:uid="{00000000-0004-0000-0E00-0000AF000000}"/>
    <hyperlink ref="A140" r:id="rId177" display="http://www.parkrun.org.uk/results/athleteresultshistory/?athleteNumber=14902" xr:uid="{00000000-0004-0000-0E00-0000B0000000}"/>
    <hyperlink ref="A1096" r:id="rId178" display="http://www.parkrun.org.uk/results/athleteresultshistory/?athleteNumber=143334" xr:uid="{00000000-0004-0000-0E00-0000B1000000}"/>
    <hyperlink ref="A124" r:id="rId179" display="http://www.parkrun.org.uk/results/athleteresultshistory/?athleteNumber=19147" xr:uid="{00000000-0004-0000-0E00-0000B2000000}"/>
    <hyperlink ref="A859" r:id="rId180" display="http://www.parkrun.org.uk/results/athleteresultshistory/?athleteNumber=104692" xr:uid="{00000000-0004-0000-0E00-0000B3000000}"/>
    <hyperlink ref="A810" r:id="rId181" display="http://www.parkrun.org.uk/results/athleteresultshistory/?athleteNumber=50137" xr:uid="{00000000-0004-0000-0E00-0000B4000000}"/>
    <hyperlink ref="A430" r:id="rId182" display="http://www.parkrun.org.uk/results/athleteresultshistory/?athleteNumber=45634" xr:uid="{00000000-0004-0000-0E00-0000B5000000}"/>
    <hyperlink ref="A706" r:id="rId183" display="http://www.parkrun.org.uk/results/athleteresultshistory/?athleteNumber=377" xr:uid="{00000000-0004-0000-0E00-0000B6000000}"/>
    <hyperlink ref="A447" r:id="rId184" display="http://www.parkrun.org.uk/results/athleteresultshistory/?athleteNumber=386" xr:uid="{00000000-0004-0000-0E00-0000B7000000}"/>
    <hyperlink ref="A308" r:id="rId185" display="http://www.parkrun.org.uk/results/athleteresultshistory/?athleteNumber=22445" xr:uid="{00000000-0004-0000-0E00-0000B8000000}"/>
    <hyperlink ref="A783" r:id="rId186" display="http://www.parkrun.org.uk/results/athleteresultshistory/?athleteNumber=32321" xr:uid="{00000000-0004-0000-0E00-0000B9000000}"/>
    <hyperlink ref="A280" r:id="rId187" display="http://www.parkrun.org.uk/results/athleteresultshistory/?athleteNumber=41573" xr:uid="{00000000-0004-0000-0E00-0000BA000000}"/>
    <hyperlink ref="A201" r:id="rId188" display="http://www.parkrun.org.uk/results/athleteresultshistory/?athleteNumber=12604" xr:uid="{00000000-0004-0000-0E00-0000BB000000}"/>
    <hyperlink ref="A85" r:id="rId189" display="http://www.parkrun.org.uk/results/athleteresultshistory/?athleteNumber=398" xr:uid="{00000000-0004-0000-0E00-0000BC000000}"/>
    <hyperlink ref="A1057" r:id="rId190" display="http://www.parkrun.org.uk/results/athleteresultshistory/?athleteNumber=107113" xr:uid="{00000000-0004-0000-0E00-0000BD000000}"/>
    <hyperlink ref="A508" r:id="rId191" display="http://www.parkrun.org.uk/results/athleteresultshistory/?athleteNumber=74612" xr:uid="{00000000-0004-0000-0E00-0000BE000000}"/>
    <hyperlink ref="A246" r:id="rId192" display="http://www.parkrun.org.uk/results/athleteresultshistory/?athleteNumber=28885" xr:uid="{00000000-0004-0000-0E00-0000BF000000}"/>
    <hyperlink ref="A811" r:id="rId193" display="http://www.parkrun.org.uk/results/athleteresultshistory/?athleteNumber=88474" xr:uid="{00000000-0004-0000-0E00-0000C0000000}"/>
    <hyperlink ref="A522" r:id="rId194" display="http://www.parkrun.org.uk/results/athleteresultshistory/?athleteNumber=25828" xr:uid="{00000000-0004-0000-0E00-0000C1000000}"/>
    <hyperlink ref="A991" r:id="rId195" display="http://www.parkrun.org.uk/results/athleteresultshistory/?athleteNumber=2585" xr:uid="{00000000-0004-0000-0E00-0000C2000000}"/>
    <hyperlink ref="A1113" r:id="rId196" display="http://www.parkrun.org.uk/results/athleteresultshistory/?athleteNumber=425" xr:uid="{00000000-0004-0000-0E00-0000C3000000}"/>
    <hyperlink ref="A128" r:id="rId197" display="http://www.parkrun.org.uk/results/athleteresultshistory/?athleteNumber=10411" xr:uid="{00000000-0004-0000-0E00-0000C4000000}"/>
    <hyperlink ref="A1097" r:id="rId198" display="http://www.parkrun.org.uk/results/athleteresultshistory/?athleteNumber=92692" xr:uid="{00000000-0004-0000-0E00-0000C5000000}"/>
    <hyperlink ref="A531" r:id="rId199" display="http://www.parkrun.org.uk/results/athleteresultshistory/?athleteNumber=28401" xr:uid="{00000000-0004-0000-0E00-0000C6000000}"/>
    <hyperlink ref="A714" r:id="rId200" display="http://www.parkrun.org.uk/results/athleteresultshistory/?athleteNumber=22725" xr:uid="{00000000-0004-0000-0E00-0000C7000000}"/>
    <hyperlink ref="A438" r:id="rId201" display="http://www.parkrun.org.uk/results/athleteresultshistory/?athleteNumber=100649" xr:uid="{00000000-0004-0000-0E00-0000C8000000}"/>
    <hyperlink ref="A425" r:id="rId202" display="http://www.parkrun.org.uk/results/athleteresultshistory/?athleteNumber=110307" xr:uid="{00000000-0004-0000-0E00-0000C9000000}"/>
    <hyperlink ref="A75" r:id="rId203" display="http://www.parkrun.org.uk/results/athleteresultshistory/?athleteNumber=3391" xr:uid="{00000000-0004-0000-0E00-0000CA000000}"/>
    <hyperlink ref="A439" r:id="rId204" display="http://www.parkrun.org.uk/results/athleteresultshistory/?athleteNumber=43221" xr:uid="{00000000-0004-0000-0E00-0000CB000000}"/>
    <hyperlink ref="A490" r:id="rId205" display="http://www.parkrun.org.uk/results/athleteresultshistory/?athleteNumber=2749" xr:uid="{00000000-0004-0000-0E00-0000CC000000}"/>
    <hyperlink ref="A1013" r:id="rId206" display="http://www.parkrun.org.uk/results/athleteresultshistory/?athleteNumber=25463" xr:uid="{00000000-0004-0000-0E00-0000CD000000}"/>
    <hyperlink ref="A877" r:id="rId207" display="http://www.parkrun.org.uk/results/athleteresultshistory/?athleteNumber=128450" xr:uid="{00000000-0004-0000-0E00-0000CE000000}"/>
    <hyperlink ref="A382" r:id="rId208" display="http://www.parkrun.org.uk/results/athleteresultshistory/?athleteNumber=56148" xr:uid="{00000000-0004-0000-0E00-0000CF000000}"/>
    <hyperlink ref="A342" r:id="rId209" display="http://www.parkrun.org.uk/results/athleteresultshistory/?athleteNumber=17429" xr:uid="{00000000-0004-0000-0E00-0000D0000000}"/>
    <hyperlink ref="A662" r:id="rId210" display="http://www.parkrun.org.uk/results/athleteresultshistory/?athleteNumber=137754" xr:uid="{00000000-0004-0000-0E00-0000D1000000}"/>
    <hyperlink ref="A333" r:id="rId211" display="http://www.parkrun.org.uk/results/athleteresultshistory/?athleteNumber=6670" xr:uid="{00000000-0004-0000-0E00-0000D2000000}"/>
    <hyperlink ref="A325" r:id="rId212" display="http://www.parkrun.org.uk/results/athleteresultshistory/?athleteNumber=5300" xr:uid="{00000000-0004-0000-0E00-0000D3000000}"/>
    <hyperlink ref="A652" r:id="rId213" display="http://www.parkrun.org.uk/results/athleteresultshistory/?athleteNumber=82805" xr:uid="{00000000-0004-0000-0E00-0000D4000000}"/>
    <hyperlink ref="A191" r:id="rId214" display="http://www.parkrun.org.uk/results/athleteresultshistory/?athleteNumber=23870" xr:uid="{00000000-0004-0000-0E00-0000D5000000}"/>
    <hyperlink ref="A918" r:id="rId215" display="http://www.parkrun.org.uk/results/athleteresultshistory/?athleteNumber=153959" xr:uid="{00000000-0004-0000-0E00-0000D6000000}"/>
    <hyperlink ref="A653" r:id="rId216" display="http://www.parkrun.org.uk/results/athleteresultshistory/?athleteNumber=68340" xr:uid="{00000000-0004-0000-0E00-0000D7000000}"/>
    <hyperlink ref="A812" r:id="rId217" display="http://www.parkrun.org.uk/results/athleteresultshistory/?athleteNumber=49021" xr:uid="{00000000-0004-0000-0E00-0000D8000000}"/>
    <hyperlink ref="A185" r:id="rId218" display="http://www.parkrun.org.uk/results/athleteresultshistory/?athleteNumber=2584" xr:uid="{00000000-0004-0000-0E00-0000D9000000}"/>
    <hyperlink ref="A1014" r:id="rId219" display="http://www.parkrun.org.uk/results/athleteresultshistory/?athleteNumber=481" xr:uid="{00000000-0004-0000-0E00-0000DA000000}"/>
    <hyperlink ref="A707" r:id="rId220" display="http://www.parkrun.org.uk/results/athleteresultshistory/?athleteNumber=23593" xr:uid="{00000000-0004-0000-0E00-0000DB000000}"/>
    <hyperlink ref="A1073" r:id="rId221" display="http://www.parkrun.org.uk/results/athleteresultshistory/?athleteNumber=229919" xr:uid="{00000000-0004-0000-0E00-0000DC000000}"/>
    <hyperlink ref="A375" r:id="rId222" display="http://www.parkrun.org.uk/results/athleteresultshistory/?athleteNumber=488" xr:uid="{00000000-0004-0000-0E00-0000DD000000}"/>
    <hyperlink ref="A542" r:id="rId223" display="http://www.parkrun.org.uk/results/athleteresultshistory/?athleteNumber=91802" xr:uid="{00000000-0004-0000-0E00-0000DE000000}"/>
    <hyperlink ref="A300" r:id="rId224" display="http://www.parkrun.org.uk/results/athleteresultshistory/?athleteNumber=493" xr:uid="{00000000-0004-0000-0E00-0000DF000000}"/>
    <hyperlink ref="A125" r:id="rId225" display="http://www.parkrun.org.uk/results/athleteresultshistory/?athleteNumber=43181" xr:uid="{00000000-0004-0000-0E00-0000E0000000}"/>
    <hyperlink ref="A574" r:id="rId226" display="http://www.parkrun.org.uk/results/athleteresultshistory/?athleteNumber=21283" xr:uid="{00000000-0004-0000-0E00-0000E1000000}"/>
    <hyperlink ref="A685" r:id="rId227" display="http://www.parkrun.org.uk/results/athleteresultshistory/?athleteNumber=83312" xr:uid="{00000000-0004-0000-0E00-0000E2000000}"/>
    <hyperlink ref="A686" r:id="rId228" display="http://www.parkrun.org.uk/results/athleteresultshistory/?athleteNumber=42934" xr:uid="{00000000-0004-0000-0E00-0000E3000000}"/>
    <hyperlink ref="A105" r:id="rId229" display="http://www.parkrun.org.uk/results/athleteresultshistory/?athleteNumber=19207" xr:uid="{00000000-0004-0000-0E00-0000E4000000}"/>
    <hyperlink ref="A509" r:id="rId230" display="http://www.parkrun.org.uk/results/athleteresultshistory/?athleteNumber=47837" xr:uid="{00000000-0004-0000-0E00-0000E5000000}"/>
    <hyperlink ref="A878" r:id="rId231" display="http://www.parkrun.org.uk/results/athleteresultshistory/?athleteNumber=492" xr:uid="{00000000-0004-0000-0E00-0000E6000000}"/>
    <hyperlink ref="A708" r:id="rId232" display="http://www.parkrun.org.uk/results/athleteresultshistory/?athleteNumber=60005" xr:uid="{00000000-0004-0000-0E00-0000E7000000}"/>
    <hyperlink ref="A135" r:id="rId233" display="http://www.parkrun.org.uk/results/athleteresultshistory/?athleteNumber=4556" xr:uid="{00000000-0004-0000-0E00-0000E8000000}"/>
    <hyperlink ref="A163" r:id="rId234" display="http://www.parkrun.org.uk/results/athleteresultshistory/?athleteNumber=507" xr:uid="{00000000-0004-0000-0E00-0000E9000000}"/>
    <hyperlink ref="A204" r:id="rId235" display="http://www.parkrun.org.uk/results/athleteresultshistory/?athleteNumber=15619" xr:uid="{00000000-0004-0000-0E00-0000EA000000}"/>
    <hyperlink ref="A543" r:id="rId236" display="http://www.parkrun.org.uk/results/athleteresultshistory/?athleteNumber=43350" xr:uid="{00000000-0004-0000-0E00-0000EB000000}"/>
    <hyperlink ref="A754" r:id="rId237" display="http://www.parkrun.org.uk/results/athleteresultshistory/?athleteNumber=107496" xr:uid="{00000000-0004-0000-0E00-0000EC000000}"/>
    <hyperlink ref="A784" r:id="rId238" display="http://www.parkrun.org.uk/results/athleteresultshistory/?athleteNumber=67463" xr:uid="{00000000-0004-0000-0E00-0000ED000000}"/>
    <hyperlink ref="A386" r:id="rId239" display="http://www.parkrun.org.uk/results/athleteresultshistory/?athleteNumber=33063" xr:uid="{00000000-0004-0000-0E00-0000EE000000}"/>
    <hyperlink ref="A1074" r:id="rId240" display="http://www.parkrun.org.uk/results/athleteresultshistory/?athleteNumber=70839" xr:uid="{00000000-0004-0000-0E00-0000EF000000}"/>
    <hyperlink ref="A357" r:id="rId241" display="http://www.parkrun.org.uk/results/athleteresultshistory/?athleteNumber=61185" xr:uid="{00000000-0004-0000-0E00-0000F0000000}"/>
    <hyperlink ref="A376" r:id="rId242" display="http://www.parkrun.org.uk/results/athleteresultshistory/?athleteNumber=12964" xr:uid="{00000000-0004-0000-0E00-0000F1000000}"/>
    <hyperlink ref="A148" r:id="rId243" display="http://www.parkrun.org.uk/results/athleteresultshistory/?athleteNumber=33755" xr:uid="{00000000-0004-0000-0E00-0000F2000000}"/>
    <hyperlink ref="A1058" r:id="rId244" display="http://www.parkrun.org.uk/results/athleteresultshistory/?athleteNumber=38605" xr:uid="{00000000-0004-0000-0E00-0000F3000000}"/>
    <hyperlink ref="A106" r:id="rId245" display="http://www.parkrun.org.uk/results/athleteresultshistory/?athleteNumber=16948" xr:uid="{00000000-0004-0000-0E00-0000F4000000}"/>
    <hyperlink ref="A276" r:id="rId246" display="http://www.parkrun.org.uk/results/athleteresultshistory/?athleteNumber=68233" xr:uid="{00000000-0004-0000-0E00-0000F5000000}"/>
    <hyperlink ref="A84" r:id="rId247" display="http://www.parkrun.org.uk/results/athleteresultshistory/?athleteNumber=16726" xr:uid="{00000000-0004-0000-0E00-0000F6000000}"/>
    <hyperlink ref="A317" r:id="rId248" display="http://www.parkrun.org.uk/results/athleteresultshistory/?athleteNumber=36306" xr:uid="{00000000-0004-0000-0E00-0000F7000000}"/>
    <hyperlink ref="A457" r:id="rId249" display="http://www.parkrun.org.uk/results/athleteresultshistory/?athleteNumber=65712" xr:uid="{00000000-0004-0000-0E00-0000F8000000}"/>
    <hyperlink ref="A426" r:id="rId250" display="http://www.parkrun.org.uk/results/athleteresultshistory/?athleteNumber=82196" xr:uid="{00000000-0004-0000-0E00-0000F9000000}"/>
    <hyperlink ref="A968" r:id="rId251" display="http://www.parkrun.org.uk/results/athleteresultshistory/?athleteNumber=102403" xr:uid="{00000000-0004-0000-0E00-0000FA000000}"/>
    <hyperlink ref="A616" r:id="rId252" display="http://www.parkrun.org.uk/results/athleteresultshistory/?athleteNumber=6341" xr:uid="{00000000-0004-0000-0E00-0000FB000000}"/>
    <hyperlink ref="A813" r:id="rId253" display="http://www.parkrun.org.uk/results/athleteresultshistory/?athleteNumber=111306" xr:uid="{00000000-0004-0000-0E00-0000FC000000}"/>
    <hyperlink ref="A562" r:id="rId254" display="http://www.parkrun.org.uk/results/athleteresultshistory/?athleteNumber=158841" xr:uid="{00000000-0004-0000-0E00-0000FD000000}"/>
    <hyperlink ref="A634" r:id="rId255" display="http://www.parkrun.org.uk/results/athleteresultshistory/?athleteNumber=143126" xr:uid="{00000000-0004-0000-0E00-0000FE000000}"/>
    <hyperlink ref="A1153" r:id="rId256" display="http://www.parkrun.org.uk/results/athleteresultshistory/?athleteNumber=51127" xr:uid="{00000000-0004-0000-0E00-0000FF000000}"/>
    <hyperlink ref="A879" r:id="rId257" display="http://www.parkrun.org.uk/results/athleteresultshistory/?athleteNumber=61315" xr:uid="{00000000-0004-0000-0E00-000000010000}"/>
    <hyperlink ref="A196" r:id="rId258" display="http://www.parkrun.org.uk/results/athleteresultshistory/?athleteNumber=64277" xr:uid="{00000000-0004-0000-0E00-000001010000}"/>
    <hyperlink ref="A828" r:id="rId259" display="http://www.parkrun.org.uk/results/athleteresultshistory/?athleteNumber=162162" xr:uid="{00000000-0004-0000-0E00-000002010000}"/>
    <hyperlink ref="A575" r:id="rId260" display="http://www.parkrun.org.uk/results/athleteresultshistory/?athleteNumber=87508" xr:uid="{00000000-0004-0000-0E00-000003010000}"/>
    <hyperlink ref="A626" r:id="rId261" display="http://www.parkrun.org.uk/results/athleteresultshistory/?athleteNumber=20705" xr:uid="{00000000-0004-0000-0E00-000004010000}"/>
    <hyperlink ref="A880" r:id="rId262" display="http://www.parkrun.org.uk/results/athleteresultshistory/?athleteNumber=63552" xr:uid="{00000000-0004-0000-0E00-000005010000}"/>
    <hyperlink ref="A553" r:id="rId263" display="http://www.parkrun.org.uk/results/athleteresultshistory/?athleteNumber=176679" xr:uid="{00000000-0004-0000-0E00-000006010000}"/>
    <hyperlink ref="A1015" r:id="rId264" display="http://www.parkrun.org.uk/results/athleteresultshistory/?athleteNumber=186644" xr:uid="{00000000-0004-0000-0E00-000007010000}"/>
    <hyperlink ref="A496" r:id="rId265" display="http://www.parkrun.org.uk/results/athleteresultshistory/?athleteNumber=118363" xr:uid="{00000000-0004-0000-0E00-000008010000}"/>
    <hyperlink ref="A103" r:id="rId266" display="http://www.parkrun.org.uk/results/athleteresultshistory/?athleteNumber=537" xr:uid="{00000000-0004-0000-0E00-000009010000}"/>
    <hyperlink ref="A687" r:id="rId267" display="http://www.parkrun.org.uk/results/athleteresultshistory/?athleteNumber=84276" xr:uid="{00000000-0004-0000-0E00-00000A010000}"/>
    <hyperlink ref="A900" r:id="rId268" display="http://www.parkrun.org.uk/results/athleteresultshistory/?athleteNumber=20059" xr:uid="{00000000-0004-0000-0E00-00000B010000}"/>
    <hyperlink ref="A83" r:id="rId269" display="http://www.parkrun.org.uk/results/athleteresultshistory/?athleteNumber=542" xr:uid="{00000000-0004-0000-0E00-00000C010000}"/>
    <hyperlink ref="A326" r:id="rId270" display="http://www.parkrun.org.uk/results/athleteresultshistory/?athleteNumber=5854" xr:uid="{00000000-0004-0000-0E00-00000D010000}"/>
    <hyperlink ref="A281" r:id="rId271" display="http://www.parkrun.org.uk/results/athleteresultshistory/?athleteNumber=79143" xr:uid="{00000000-0004-0000-0E00-00000E010000}"/>
    <hyperlink ref="A458" r:id="rId272" display="http://www.parkrun.org.uk/results/athleteresultshistory/?athleteNumber=83513" xr:uid="{00000000-0004-0000-0E00-00000F010000}"/>
    <hyperlink ref="A192" r:id="rId273" display="http://www.parkrun.org.uk/results/athleteresultshistory/?athleteNumber=16791" xr:uid="{00000000-0004-0000-0E00-000010010000}"/>
    <hyperlink ref="A431" r:id="rId274" display="http://www.parkrun.org.uk/results/athleteresultshistory/?athleteNumber=45317" xr:uid="{00000000-0004-0000-0E00-000011010000}"/>
    <hyperlink ref="A107" r:id="rId275" display="http://www.parkrun.org.uk/results/athleteresultshistory/?athleteNumber=22010" xr:uid="{00000000-0004-0000-0E00-000012010000}"/>
    <hyperlink ref="A688" r:id="rId276" display="http://www.parkrun.org.uk/results/athleteresultshistory/?athleteNumber=164007" xr:uid="{00000000-0004-0000-0E00-000013010000}"/>
    <hyperlink ref="A110" r:id="rId277" display="http://www.parkrun.org.uk/results/athleteresultshistory/?athleteNumber=2763" xr:uid="{00000000-0004-0000-0E00-000014010000}"/>
    <hyperlink ref="A992" r:id="rId278" display="http://www.parkrun.org.uk/results/athleteresultshistory/?athleteNumber=109222" xr:uid="{00000000-0004-0000-0E00-000015010000}"/>
    <hyperlink ref="A168" r:id="rId279" display="http://www.parkrun.org.uk/results/athleteresultshistory/?athleteNumber=45355" xr:uid="{00000000-0004-0000-0E00-000016010000}"/>
    <hyperlink ref="A1114" r:id="rId280" display="http://www.parkrun.org.uk/results/athleteresultshistory/?athleteNumber=188250" xr:uid="{00000000-0004-0000-0E00-000017010000}"/>
    <hyperlink ref="A881" r:id="rId281" display="http://www.parkrun.org.uk/results/athleteresultshistory/?athleteNumber=99574" xr:uid="{00000000-0004-0000-0E00-000018010000}"/>
    <hyperlink ref="A1132" r:id="rId282" display="http://www.parkrun.org.uk/results/athleteresultshistory/?athleteNumber=141222" xr:uid="{00000000-0004-0000-0E00-000019010000}"/>
    <hyperlink ref="A814" r:id="rId283" display="http://www.parkrun.org.uk/results/athleteresultshistory/?athleteNumber=12625" xr:uid="{00000000-0004-0000-0E00-00001A010000}"/>
    <hyperlink ref="A255" r:id="rId284" display="http://www.parkrun.org.uk/results/athleteresultshistory/?athleteNumber=558" xr:uid="{00000000-0004-0000-0E00-00001B010000}"/>
    <hyperlink ref="A387" r:id="rId285" display="http://www.parkrun.org.uk/results/athleteresultshistory/?athleteNumber=107922" xr:uid="{00000000-0004-0000-0E00-00001C010000}"/>
    <hyperlink ref="A576" r:id="rId286" display="http://www.parkrun.org.uk/results/athleteresultshistory/?athleteNumber=560" xr:uid="{00000000-0004-0000-0E00-00001D010000}"/>
    <hyperlink ref="A93" r:id="rId287" display="http://www.parkrun.org.uk/results/athleteresultshistory/?athleteNumber=562" xr:uid="{00000000-0004-0000-0E00-00001E010000}"/>
    <hyperlink ref="A497" r:id="rId288" display="http://www.parkrun.org.uk/results/athleteresultshistory/?athleteNumber=44515" xr:uid="{00000000-0004-0000-0E00-00001F010000}"/>
    <hyperlink ref="A1075" r:id="rId289" display="http://www.parkrun.org.uk/results/athleteresultshistory/?athleteNumber=31202" xr:uid="{00000000-0004-0000-0E00-000020010000}"/>
    <hyperlink ref="A1098" r:id="rId290" display="http://www.parkrun.org.uk/results/athleteresultshistory/?athleteNumber=143249" xr:uid="{00000000-0004-0000-0E00-000021010000}"/>
    <hyperlink ref="A172" r:id="rId291" display="http://www.parkrun.org.uk/results/athleteresultshistory/?athleteNumber=12616" xr:uid="{00000000-0004-0000-0E00-000022010000}"/>
    <hyperlink ref="A635" r:id="rId292" display="http://www.parkrun.org.uk/results/athleteresultshistory/?athleteNumber=53726" xr:uid="{00000000-0004-0000-0E00-000023010000}"/>
    <hyperlink ref="A289" r:id="rId293" display="http://www.parkrun.org.uk/results/athleteresultshistory/?athleteNumber=19653" xr:uid="{00000000-0004-0000-0E00-000024010000}"/>
    <hyperlink ref="A1016" r:id="rId294" display="http://www.parkrun.org.uk/results/athleteresultshistory/?athleteNumber=62111" xr:uid="{00000000-0004-0000-0E00-000025010000}"/>
    <hyperlink ref="A327" r:id="rId295" display="http://www.parkrun.org.uk/results/athleteresultshistory/?athleteNumber=78337" xr:uid="{00000000-0004-0000-0E00-000026010000}"/>
    <hyperlink ref="A766" r:id="rId296" display="http://www.parkrun.org.uk/results/athleteresultshistory/?athleteNumber=206080" xr:uid="{00000000-0004-0000-0E00-000027010000}"/>
    <hyperlink ref="A157" r:id="rId297" display="http://www.parkrun.org.uk/results/athleteresultshistory/?athleteNumber=10785" xr:uid="{00000000-0004-0000-0E00-000028010000}"/>
    <hyperlink ref="A466" r:id="rId298" display="http://www.parkrun.org.uk/results/athleteresultshistory/?athleteNumber=44702" xr:uid="{00000000-0004-0000-0E00-000029010000}"/>
    <hyperlink ref="A358" r:id="rId299" display="http://www.parkrun.org.uk/results/athleteresultshistory/?athleteNumber=587" xr:uid="{00000000-0004-0000-0E00-00002A010000}"/>
    <hyperlink ref="A491" r:id="rId300" display="http://www.parkrun.org.uk/results/athleteresultshistory/?athleteNumber=56739" xr:uid="{00000000-0004-0000-0E00-00002B010000}"/>
    <hyperlink ref="A186" r:id="rId301" display="http://www.parkrun.org.uk/results/athleteresultshistory/?athleteNumber=13338" xr:uid="{00000000-0004-0000-0E00-00002C010000}"/>
    <hyperlink ref="A603" r:id="rId302" display="http://www.parkrun.org.uk/results/athleteresultshistory/?athleteNumber=2944" xr:uid="{00000000-0004-0000-0E00-00002D010000}"/>
    <hyperlink ref="A395" r:id="rId303" display="http://www.parkrun.org.uk/results/athleteresultshistory/?athleteNumber=34342" xr:uid="{00000000-0004-0000-0E00-00002E010000}"/>
    <hyperlink ref="A1017" r:id="rId304" display="http://www.parkrun.org.uk/results/athleteresultshistory/?athleteNumber=64318" xr:uid="{00000000-0004-0000-0E00-00002F010000}"/>
    <hyperlink ref="A109" r:id="rId305" display="http://www.parkrun.org.uk/results/athleteresultshistory/?athleteNumber=16486" xr:uid="{00000000-0004-0000-0E00-000030010000}"/>
    <hyperlink ref="A743" r:id="rId306" display="http://www.parkrun.org.uk/results/athleteresultshistory/?athleteNumber=14085" xr:uid="{00000000-0004-0000-0E00-000031010000}"/>
    <hyperlink ref="A689" r:id="rId307" display="http://www.parkrun.org.uk/results/athleteresultshistory/?athleteNumber=15189" xr:uid="{00000000-0004-0000-0E00-000032010000}"/>
    <hyperlink ref="A169" r:id="rId308" display="http://www.parkrun.org.uk/results/athleteresultshistory/?athleteNumber=15372" xr:uid="{00000000-0004-0000-0E00-000033010000}"/>
    <hyperlink ref="A1018" r:id="rId309" display="http://www.parkrun.org.uk/results/athleteresultshistory/?athleteNumber=63991" xr:uid="{00000000-0004-0000-0E00-000034010000}"/>
    <hyperlink ref="A755" r:id="rId310" display="http://www.parkrun.org.uk/results/athleteresultshistory/?athleteNumber=5717" xr:uid="{00000000-0004-0000-0E00-000035010000}"/>
    <hyperlink ref="A440" r:id="rId311" display="http://www.parkrun.org.uk/results/athleteresultshistory/?athleteNumber=30096" xr:uid="{00000000-0004-0000-0E00-000036010000}"/>
    <hyperlink ref="A247" r:id="rId312" display="http://www.parkrun.org.uk/results/athleteresultshistory/?athleteNumber=31341" xr:uid="{00000000-0004-0000-0E00-000037010000}"/>
    <hyperlink ref="A498" r:id="rId313" display="http://www.parkrun.org.uk/results/athleteresultshistory/?athleteNumber=4534" xr:uid="{00000000-0004-0000-0E00-000038010000}"/>
    <hyperlink ref="A388" r:id="rId314" display="http://www.parkrun.org.uk/results/athleteresultshistory/?athleteNumber=37504" xr:uid="{00000000-0004-0000-0E00-000039010000}"/>
    <hyperlink ref="A362" r:id="rId315" display="http://www.parkrun.org.uk/results/athleteresultshistory/?athleteNumber=34281" xr:uid="{00000000-0004-0000-0E00-00003A010000}"/>
    <hyperlink ref="A371" r:id="rId316" display="http://www.parkrun.org.uk/results/athleteresultshistory/?athleteNumber=46724" xr:uid="{00000000-0004-0000-0E00-00003B010000}"/>
    <hyperlink ref="A604" r:id="rId317" display="http://www.parkrun.org.uk/results/athleteresultshistory/?athleteNumber=37039" xr:uid="{00000000-0004-0000-0E00-00003C010000}"/>
    <hyperlink ref="A441" r:id="rId318" display="http://www.parkrun.org.uk/results/athleteresultshistory/?athleteNumber=52647" xr:uid="{00000000-0004-0000-0E00-00003D010000}"/>
    <hyperlink ref="A767" r:id="rId319" display="http://www.parkrun.org.uk/results/athleteresultshistory/?athleteNumber=37581" xr:uid="{00000000-0004-0000-0E00-00003E010000}"/>
    <hyperlink ref="A1133" r:id="rId320" display="http://www.parkrun.org.uk/results/athleteresultshistory/?athleteNumber=91604" xr:uid="{00000000-0004-0000-0E00-00003F010000}"/>
    <hyperlink ref="A1036" r:id="rId321" display="http://www.parkrun.org.uk/results/athleteresultshistory/?athleteNumber=28890" xr:uid="{00000000-0004-0000-0E00-000040010000}"/>
    <hyperlink ref="A343" r:id="rId322" display="http://www.parkrun.org.uk/results/athleteresultshistory/?athleteNumber=650" xr:uid="{00000000-0004-0000-0E00-000041010000}"/>
    <hyperlink ref="A993" r:id="rId323" display="http://www.parkrun.org.uk/results/athleteresultshistory/?athleteNumber=83873" xr:uid="{00000000-0004-0000-0E00-000042010000}"/>
    <hyperlink ref="A1037" r:id="rId324" display="http://www.parkrun.org.uk/results/athleteresultshistory/?athleteNumber=61984" xr:uid="{00000000-0004-0000-0E00-000043010000}"/>
    <hyperlink ref="A939" r:id="rId325" display="http://www.parkrun.org.uk/results/athleteresultshistory/?athleteNumber=656" xr:uid="{00000000-0004-0000-0E00-000044010000}"/>
    <hyperlink ref="A389" r:id="rId326" display="http://www.parkrun.org.uk/results/athleteresultshistory/?athleteNumber=12324" xr:uid="{00000000-0004-0000-0E00-000045010000}"/>
    <hyperlink ref="A432" r:id="rId327" display="http://www.parkrun.org.uk/results/athleteresultshistory/?athleteNumber=17348" xr:uid="{00000000-0004-0000-0E00-000046010000}"/>
    <hyperlink ref="A104" r:id="rId328" display="http://www.parkrun.org.uk/results/athleteresultshistory/?athleteNumber=667" xr:uid="{00000000-0004-0000-0E00-000047010000}"/>
    <hyperlink ref="A523" r:id="rId329" display="http://www.parkrun.org.uk/results/athleteresultshistory/?athleteNumber=27752" xr:uid="{00000000-0004-0000-0E00-000048010000}"/>
    <hyperlink ref="A577" r:id="rId330" display="http://www.parkrun.org.uk/results/athleteresultshistory/?athleteNumber=113124" xr:uid="{00000000-0004-0000-0E00-000049010000}"/>
    <hyperlink ref="A785" r:id="rId331" display="http://www.parkrun.org.uk/results/athleteresultshistory/?athleteNumber=97017" xr:uid="{00000000-0004-0000-0E00-00004A010000}"/>
    <hyperlink ref="A344" r:id="rId332" display="http://www.parkrun.org.uk/results/athleteresultshistory/?athleteNumber=18237" xr:uid="{00000000-0004-0000-0E00-00004B010000}"/>
    <hyperlink ref="A799" r:id="rId333" display="http://www.parkrun.org.uk/results/athleteresultshistory/?athleteNumber=148716" xr:uid="{00000000-0004-0000-0E00-00004C010000}"/>
    <hyperlink ref="A279" r:id="rId334" display="http://www.parkrun.org.uk/results/athleteresultshistory/?athleteNumber=34733" xr:uid="{00000000-0004-0000-0E00-00004D010000}"/>
    <hyperlink ref="A593" r:id="rId335" display="http://www.parkrun.org.uk/results/athleteresultshistory/?athleteNumber=78677" xr:uid="{00000000-0004-0000-0E00-00004E010000}"/>
    <hyperlink ref="A882" r:id="rId336" display="http://www.parkrun.org.uk/results/athleteresultshistory/?athleteNumber=63768" xr:uid="{00000000-0004-0000-0E00-00004F010000}"/>
    <hyperlink ref="A222" r:id="rId337" display="http://www.parkrun.org.uk/results/athleteresultshistory/?athleteNumber=38278" xr:uid="{00000000-0004-0000-0E00-000050010000}"/>
    <hyperlink ref="A1154" r:id="rId338" display="http://www.parkrun.org.uk/results/athleteresultshistory/?athleteNumber=25065" xr:uid="{00000000-0004-0000-0E00-000051010000}"/>
    <hyperlink ref="A663" r:id="rId339" display="http://www.parkrun.org.uk/results/athleteresultshistory/?athleteNumber=698" xr:uid="{00000000-0004-0000-0E00-000052010000}"/>
    <hyperlink ref="A1019" r:id="rId340" display="http://www.parkrun.org.uk/results/athleteresultshistory/?athleteNumber=110257" xr:uid="{00000000-0004-0000-0E00-000053010000}"/>
    <hyperlink ref="A427" r:id="rId341" display="http://www.parkrun.org.uk/results/athleteresultshistory/?athleteNumber=26645" xr:uid="{00000000-0004-0000-0E00-000054010000}"/>
    <hyperlink ref="A969" r:id="rId342" display="http://www.parkrun.org.uk/results/athleteresultshistory/?athleteNumber=42153" xr:uid="{00000000-0004-0000-0E00-000055010000}"/>
    <hyperlink ref="A627" r:id="rId343" display="http://www.parkrun.org.uk/results/athleteresultshistory/?athleteNumber=15591" xr:uid="{00000000-0004-0000-0E00-000056010000}"/>
    <hyperlink ref="A475" r:id="rId344" display="http://www.parkrun.org.uk/results/athleteresultshistory/?athleteNumber=50617" xr:uid="{00000000-0004-0000-0E00-000057010000}"/>
    <hyperlink ref="A205" r:id="rId345" display="http://www.parkrun.org.uk/results/athleteresultshistory/?athleteNumber=5407" xr:uid="{00000000-0004-0000-0E00-000058010000}"/>
    <hyperlink ref="A97" r:id="rId346" display="http://www.parkrun.org.uk/results/athleteresultshistory/?athleteNumber=15695" xr:uid="{00000000-0004-0000-0E00-000059010000}"/>
    <hyperlink ref="A1076" r:id="rId347" display="http://www.parkrun.org.uk/results/athleteresultshistory/?athleteNumber=45227" xr:uid="{00000000-0004-0000-0E00-00005A010000}"/>
    <hyperlink ref="A744" r:id="rId348" display="http://www.parkrun.org.uk/results/athleteresultshistory/?athleteNumber=121355" xr:uid="{00000000-0004-0000-0E00-00005B010000}"/>
    <hyperlink ref="A442" r:id="rId349" display="http://www.parkrun.org.uk/results/athleteresultshistory/?athleteNumber=42795" xr:uid="{00000000-0004-0000-0E00-00005C010000}"/>
    <hyperlink ref="A256" r:id="rId350" display="http://www.parkrun.org.uk/results/athleteresultshistory/?athleteNumber=16526" xr:uid="{00000000-0004-0000-0E00-00005D010000}"/>
    <hyperlink ref="A919" r:id="rId351" display="http://www.parkrun.org.uk/results/athleteresultshistory/?athleteNumber=93796" xr:uid="{00000000-0004-0000-0E00-00005E010000}"/>
    <hyperlink ref="A594" r:id="rId352" display="http://www.parkrun.org.uk/results/athleteresultshistory/?athleteNumber=10048" xr:uid="{00000000-0004-0000-0E00-00005F010000}"/>
    <hyperlink ref="A940" r:id="rId353" display="http://www.parkrun.org.uk/results/athleteresultshistory/?athleteNumber=721" xr:uid="{00000000-0004-0000-0E00-000060010000}"/>
    <hyperlink ref="A277" r:id="rId354" display="http://www.parkrun.org.uk/results/athleteresultshistory/?athleteNumber=13216" xr:uid="{00000000-0004-0000-0E00-000061010000}"/>
    <hyperlink ref="A715" r:id="rId355" display="http://www.parkrun.org.uk/results/athleteresultshistory/?athleteNumber=726" xr:uid="{00000000-0004-0000-0E00-000062010000}"/>
    <hyperlink ref="A1134" r:id="rId356" display="http://www.parkrun.org.uk/results/athleteresultshistory/?athleteNumber=175311" xr:uid="{00000000-0004-0000-0E00-000063010000}"/>
    <hyperlink ref="A248" r:id="rId357" display="http://www.parkrun.org.uk/results/athleteresultshistory/?athleteNumber=39874" xr:uid="{00000000-0004-0000-0E00-000064010000}"/>
    <hyperlink ref="A690" r:id="rId358" display="http://www.parkrun.org.uk/results/athleteresultshistory/?athleteNumber=55556" xr:uid="{00000000-0004-0000-0E00-000065010000}"/>
    <hyperlink ref="A354" r:id="rId359" display="http://www.parkrun.org.uk/results/athleteresultshistory/?athleteNumber=31786" xr:uid="{00000000-0004-0000-0E00-000066010000}"/>
    <hyperlink ref="A1099" r:id="rId360" display="http://www.parkrun.org.uk/results/athleteresultshistory/?athleteNumber=16006" xr:uid="{00000000-0004-0000-0E00-000067010000}"/>
    <hyperlink ref="A318" r:id="rId361" display="http://www.parkrun.org.uk/results/athleteresultshistory/?athleteNumber=16947" xr:uid="{00000000-0004-0000-0E00-000068010000}"/>
    <hyperlink ref="A994" r:id="rId362" display="http://www.parkrun.org.uk/results/athleteresultshistory/?athleteNumber=183386" xr:uid="{00000000-0004-0000-0E00-000069010000}"/>
    <hyperlink ref="A768" r:id="rId363" display="http://www.parkrun.org.uk/results/athleteresultshistory/?athleteNumber=115223" xr:uid="{00000000-0004-0000-0E00-00006A010000}"/>
    <hyperlink ref="A829" r:id="rId364" display="http://www.parkrun.org.uk/results/athleteresultshistory/?athleteNumber=19249" xr:uid="{00000000-0004-0000-0E00-00006B010000}"/>
    <hyperlink ref="A995" r:id="rId365" display="http://www.parkrun.org.uk/results/athleteresultshistory/?athleteNumber=95224" xr:uid="{00000000-0004-0000-0E00-00006C010000}"/>
    <hyperlink ref="A860" r:id="rId366" display="http://www.parkrun.org.uk/results/athleteresultshistory/?athleteNumber=177666" xr:uid="{00000000-0004-0000-0E00-00006D010000}"/>
    <hyperlink ref="A433" r:id="rId367" display="http://www.parkrun.org.uk/results/athleteresultshistory/?athleteNumber=18989" xr:uid="{00000000-0004-0000-0E00-00006E010000}"/>
    <hyperlink ref="A861" r:id="rId368" display="http://www.parkrun.org.uk/results/athleteresultshistory/?athleteNumber=208915" xr:uid="{00000000-0004-0000-0E00-00006F010000}"/>
    <hyperlink ref="A862" r:id="rId369" display="http://www.parkrun.org.uk/results/athleteresultshistory/?athleteNumber=63659" xr:uid="{00000000-0004-0000-0E00-000070010000}"/>
    <hyperlink ref="A954" r:id="rId370" display="http://www.parkrun.org.uk/results/athleteresultshistory/?athleteNumber=194679" xr:uid="{00000000-0004-0000-0E00-000071010000}"/>
    <hyperlink ref="A278" r:id="rId371" display="http://www.parkrun.org.uk/results/athleteresultshistory/?athleteNumber=88653" xr:uid="{00000000-0004-0000-0E00-000072010000}"/>
    <hyperlink ref="A641" r:id="rId372" display="http://www.parkrun.org.uk/results/athleteresultshistory/?athleteNumber=106749" xr:uid="{00000000-0004-0000-0E00-000073010000}"/>
    <hyperlink ref="A970" r:id="rId373" display="http://www.parkrun.org.uk/results/athleteresultshistory/?athleteNumber=147540" xr:uid="{00000000-0004-0000-0E00-000074010000}"/>
    <hyperlink ref="A363" r:id="rId374" display="http://www.parkrun.org.uk/results/athleteresultshistory/?athleteNumber=6095" xr:uid="{00000000-0004-0000-0E00-000075010000}"/>
    <hyperlink ref="A1155" r:id="rId375" display="http://www.parkrun.org.uk/results/athleteresultshistory/?athleteNumber=53944" xr:uid="{00000000-0004-0000-0E00-000076010000}"/>
    <hyperlink ref="A654" r:id="rId376" display="http://www.parkrun.org.uk/results/athleteresultshistory/?athleteNumber=751" xr:uid="{00000000-0004-0000-0E00-000077010000}"/>
    <hyperlink ref="A319" r:id="rId377" display="http://www.parkrun.org.uk/results/athleteresultshistory/?athleteNumber=14675" xr:uid="{00000000-0004-0000-0E00-000078010000}"/>
    <hyperlink ref="A863" r:id="rId378" display="http://www.parkrun.org.uk/results/athleteresultshistory/?athleteNumber=104515" xr:uid="{00000000-0004-0000-0E00-000079010000}"/>
    <hyperlink ref="A716" r:id="rId379" display="http://www.parkrun.org.uk/results/athleteresultshistory/?athleteNumber=51405" xr:uid="{00000000-0004-0000-0E00-00007A010000}"/>
    <hyperlink ref="A883" r:id="rId380" display="http://www.parkrun.org.uk/results/athleteresultshistory/?athleteNumber=95201" xr:uid="{00000000-0004-0000-0E00-00007B010000}"/>
    <hyperlink ref="A691" r:id="rId381" display="http://www.parkrun.org.uk/results/athleteresultshistory/?athleteNumber=90911" xr:uid="{00000000-0004-0000-0E00-00007C010000}"/>
    <hyperlink ref="A1100" r:id="rId382" display="http://www.parkrun.org.uk/results/athleteresultshistory/?athleteNumber=143202" xr:uid="{00000000-0004-0000-0E00-00007D010000}"/>
    <hyperlink ref="A1115" r:id="rId383" display="http://www.parkrun.org.uk/results/athleteresultshistory/?athleteNumber=96790" xr:uid="{00000000-0004-0000-0E00-00007E010000}"/>
    <hyperlink ref="A815" r:id="rId384" display="http://www.parkrun.org.uk/results/athleteresultshistory/?athleteNumber=84987" xr:uid="{00000000-0004-0000-0E00-00007F010000}"/>
    <hyperlink ref="A578" r:id="rId385" display="http://www.parkrun.org.uk/results/athleteresultshistory/?athleteNumber=44445" xr:uid="{00000000-0004-0000-0E00-000080010000}"/>
    <hyperlink ref="A636" r:id="rId386" display="http://www.parkrun.org.uk/results/athleteresultshistory/?athleteNumber=9963" xr:uid="{00000000-0004-0000-0E00-000081010000}"/>
    <hyperlink ref="A396" r:id="rId387" display="http://www.parkrun.org.uk/results/athleteresultshistory/?athleteNumber=51545" xr:uid="{00000000-0004-0000-0E00-000082010000}"/>
    <hyperlink ref="A595" r:id="rId388" display="http://www.parkrun.org.uk/results/athleteresultshistory/?athleteNumber=100653" xr:uid="{00000000-0004-0000-0E00-000083010000}"/>
    <hyperlink ref="A88" r:id="rId389" display="http://www.parkrun.org.uk/results/athleteresultshistory/?athleteNumber=10558" xr:uid="{00000000-0004-0000-0E00-000084010000}"/>
    <hyperlink ref="A434" r:id="rId390" display="http://www.parkrun.org.uk/results/athleteresultshistory/?athleteNumber=13965" xr:uid="{00000000-0004-0000-0E00-000085010000}"/>
    <hyperlink ref="A364" r:id="rId391" display="http://www.parkrun.org.uk/results/athleteresultshistory/?athleteNumber=6483" xr:uid="{00000000-0004-0000-0E00-000086010000}"/>
    <hyperlink ref="A1077" r:id="rId392" display="http://www.parkrun.org.uk/results/athleteresultshistory/?athleteNumber=59903" xr:uid="{00000000-0004-0000-0E00-000087010000}"/>
    <hyperlink ref="A524" r:id="rId393" display="http://www.parkrun.org.uk/results/athleteresultshistory/?athleteNumber=110733" xr:uid="{00000000-0004-0000-0E00-000088010000}"/>
    <hyperlink ref="A282" r:id="rId394" display="http://www.parkrun.org.uk/results/athleteresultshistory/?athleteNumber=40126" xr:uid="{00000000-0004-0000-0E00-000089010000}"/>
    <hyperlink ref="A158" r:id="rId395" display="http://www.parkrun.org.uk/results/athleteresultshistory/?athleteNumber=36277" xr:uid="{00000000-0004-0000-0E00-00008A010000}"/>
    <hyperlink ref="A941" r:id="rId396" display="http://www.parkrun.org.uk/results/athleteresultshistory/?athleteNumber=74237" xr:uid="{00000000-0004-0000-0E00-00008B010000}"/>
    <hyperlink ref="A1020" r:id="rId397" display="http://www.parkrun.org.uk/results/athleteresultshistory/?athleteNumber=138449" xr:uid="{00000000-0004-0000-0E00-00008C010000}"/>
    <hyperlink ref="A864" r:id="rId398" display="http://www.parkrun.org.uk/results/athleteresultshistory/?athleteNumber=31340" xr:uid="{00000000-0004-0000-0E00-00008D010000}"/>
    <hyperlink ref="A769" r:id="rId399" display="http://www.parkrun.org.uk/results/athleteresultshistory/?athleteNumber=63786" xr:uid="{00000000-0004-0000-0E00-00008E010000}"/>
    <hyperlink ref="A664" r:id="rId400" display="http://www.parkrun.org.uk/results/athleteresultshistory/?athleteNumber=68183" xr:uid="{00000000-0004-0000-0E00-00008F010000}"/>
    <hyperlink ref="A141" r:id="rId401" display="http://www.parkrun.org.uk/results/athleteresultshistory/?athleteNumber=17970" xr:uid="{00000000-0004-0000-0E00-000090010000}"/>
    <hyperlink ref="A397" r:id="rId402" display="http://www.parkrun.org.uk/results/athleteresultshistory/?athleteNumber=54950" xr:uid="{00000000-0004-0000-0E00-000091010000}"/>
    <hyperlink ref="A729" r:id="rId403" display="http://www.parkrun.org.uk/results/athleteresultshistory/?athleteNumber=76664" xr:uid="{00000000-0004-0000-0E00-000092010000}"/>
    <hyperlink ref="A1021" r:id="rId404" display="http://www.parkrun.org.uk/results/athleteresultshistory/?athleteNumber=33099" xr:uid="{00000000-0004-0000-0E00-000093010000}"/>
    <hyperlink ref="A665" r:id="rId405" display="http://www.parkrun.org.uk/results/athleteresultshistory/?athleteNumber=56885" xr:uid="{00000000-0004-0000-0E00-000094010000}"/>
    <hyperlink ref="A717" r:id="rId406" display="http://www.parkrun.org.uk/results/athleteresultshistory/?athleteNumber=16074" xr:uid="{00000000-0004-0000-0E00-000095010000}"/>
    <hyperlink ref="A1078" r:id="rId407" display="http://www.parkrun.org.uk/results/athleteresultshistory/?athleteNumber=126472" xr:uid="{00000000-0004-0000-0E00-000096010000}"/>
    <hyperlink ref="A218" r:id="rId408" display="http://www.parkrun.org.uk/results/athleteresultshistory/?athleteNumber=65610" xr:uid="{00000000-0004-0000-0E00-000097010000}"/>
    <hyperlink ref="A147" r:id="rId409" display="http://www.parkrun.org.uk/results/athleteresultshistory/?athleteNumber=13423" xr:uid="{00000000-0004-0000-0E00-000098010000}"/>
    <hyperlink ref="A692" r:id="rId410" display="http://www.parkrun.org.uk/results/athleteresultshistory/?athleteNumber=6872" xr:uid="{00000000-0004-0000-0E00-000099010000}"/>
    <hyperlink ref="A1059" r:id="rId411" display="http://www.parkrun.org.uk/results/athleteresultshistory/?athleteNumber=61655" xr:uid="{00000000-0004-0000-0E00-00009A010000}"/>
    <hyperlink ref="A150" r:id="rId412" display="http://www.parkrun.org.uk/results/athleteresultshistory/?athleteNumber=25329" xr:uid="{00000000-0004-0000-0E00-00009B010000}"/>
    <hyperlink ref="A206" r:id="rId413" display="http://www.parkrun.org.uk/results/athleteresultshistory/?athleteNumber=2740" xr:uid="{00000000-0004-0000-0E00-00009C010000}"/>
    <hyperlink ref="A666" r:id="rId414" display="http://www.parkrun.org.uk/results/athleteresultshistory/?athleteNumber=123415" xr:uid="{00000000-0004-0000-0E00-00009D010000}"/>
    <hyperlink ref="A830" r:id="rId415" display="http://www.parkrun.org.uk/results/athleteresultshistory/?athleteNumber=67943" xr:uid="{00000000-0004-0000-0E00-00009E010000}"/>
    <hyperlink ref="A1079" r:id="rId416" display="http://www.parkrun.org.uk/results/athleteresultshistory/?athleteNumber=120652" xr:uid="{00000000-0004-0000-0E00-00009F010000}"/>
    <hyperlink ref="A510" r:id="rId417" display="http://www.parkrun.org.uk/results/athleteresultshistory/?athleteNumber=17251" xr:uid="{00000000-0004-0000-0E00-0000A0010000}"/>
    <hyperlink ref="A617" r:id="rId418" display="http://www.parkrun.org.uk/results/athleteresultshistory/?athleteNumber=148773" xr:uid="{00000000-0004-0000-0E00-0000A1010000}"/>
    <hyperlink ref="A1060" r:id="rId419" display="http://www.parkrun.org.uk/results/athleteresultshistory/?athleteNumber=8745" xr:uid="{00000000-0004-0000-0E00-0000A2010000}"/>
    <hyperlink ref="A309" r:id="rId420" display="http://www.parkrun.org.uk/results/athleteresultshistory/?athleteNumber=5857" xr:uid="{00000000-0004-0000-0E00-0000A3010000}"/>
    <hyperlink ref="A226" r:id="rId421" display="http://www.parkrun.org.uk/results/athleteresultshistory/?athleteNumber=46015" xr:uid="{00000000-0004-0000-0E00-0000A4010000}"/>
    <hyperlink ref="A1061" r:id="rId422" display="http://www.parkrun.org.uk/results/athleteresultshistory/?athleteNumber=37580" xr:uid="{00000000-0004-0000-0E00-0000A5010000}"/>
    <hyperlink ref="A372" r:id="rId423" display="http://www.parkrun.org.uk/results/athleteresultshistory/?athleteNumber=8680" xr:uid="{00000000-0004-0000-0E00-0000A6010000}"/>
    <hyperlink ref="A884" r:id="rId424" display="http://www.parkrun.org.uk/results/athleteresultshistory/?athleteNumber=51403" xr:uid="{00000000-0004-0000-0E00-0000A7010000}"/>
    <hyperlink ref="A499" r:id="rId425" display="http://www.parkrun.org.uk/results/athleteresultshistory/?athleteNumber=128794" xr:uid="{00000000-0004-0000-0E00-0000A8010000}"/>
    <hyperlink ref="A443" r:id="rId426" display="http://www.parkrun.org.uk/results/athleteresultshistory/?athleteNumber=27772" xr:uid="{00000000-0004-0000-0E00-0000A9010000}"/>
    <hyperlink ref="A693" r:id="rId427" display="http://www.parkrun.org.uk/results/athleteresultshistory/?athleteNumber=2603" xr:uid="{00000000-0004-0000-0E00-0000AA010000}"/>
    <hyperlink ref="A1116" r:id="rId428" display="http://www.parkrun.org.uk/results/athleteresultshistory/?athleteNumber=191091" xr:uid="{00000000-0004-0000-0E00-0000AB010000}"/>
    <hyperlink ref="A151" r:id="rId429" display="http://www.parkrun.org.uk/results/athleteresultshistory/?athleteNumber=16603" xr:uid="{00000000-0004-0000-0E00-0000AC010000}"/>
    <hyperlink ref="A296" r:id="rId430" display="http://www.parkrun.org.uk/results/athleteresultshistory/?athleteNumber=3351" xr:uid="{00000000-0004-0000-0E00-0000AD010000}"/>
    <hyperlink ref="A756" r:id="rId431" display="http://www.parkrun.org.uk/results/athleteresultshistory/?athleteNumber=130526" xr:uid="{00000000-0004-0000-0E00-0000AE010000}"/>
    <hyperlink ref="A920" r:id="rId432" display="http://www.parkrun.org.uk/results/athleteresultshistory/?athleteNumber=89651" xr:uid="{00000000-0004-0000-0E00-0000AF010000}"/>
    <hyperlink ref="A694" r:id="rId433" display="http://www.parkrun.org.uk/results/athleteresultshistory/?athleteNumber=66375" xr:uid="{00000000-0004-0000-0E00-0000B0010000}"/>
    <hyperlink ref="A831" r:id="rId434" display="http://www.parkrun.org.uk/results/athleteresultshistory/?athleteNumber=177017" xr:uid="{00000000-0004-0000-0E00-0000B1010000}"/>
    <hyperlink ref="A377" r:id="rId435" display="http://www.parkrun.org.uk/results/athleteresultshistory/?athleteNumber=45938" xr:uid="{00000000-0004-0000-0E00-0000B2010000}"/>
    <hyperlink ref="A1038" r:id="rId436" display="http://www.parkrun.org.uk/results/athleteresultshistory/?athleteNumber=94588" xr:uid="{00000000-0004-0000-0E00-0000B3010000}"/>
    <hyperlink ref="A310" r:id="rId437" display="http://www.parkrun.org.uk/results/athleteresultshistory/?athleteNumber=17187" xr:uid="{00000000-0004-0000-0E00-0000B4010000}"/>
    <hyperlink ref="A921" r:id="rId438" display="http://www.parkrun.org.uk/results/athleteresultshistory/?athleteNumber=42350" xr:uid="{00000000-0004-0000-0E00-0000B5010000}"/>
    <hyperlink ref="A1039" r:id="rId439" display="http://www.parkrun.org.uk/results/athleteresultshistory/?athleteNumber=193335" xr:uid="{00000000-0004-0000-0E00-0000B6010000}"/>
    <hyperlink ref="A628" r:id="rId440" display="http://www.parkrun.org.uk/results/athleteresultshistory/?athleteNumber=175955" xr:uid="{00000000-0004-0000-0E00-0000B7010000}"/>
    <hyperlink ref="A91" r:id="rId441" display="http://www.parkrun.org.uk/results/athleteresultshistory/?athleteNumber=884" xr:uid="{00000000-0004-0000-0E00-0000B8010000}"/>
    <hyperlink ref="A467" r:id="rId442" display="http://www.parkrun.org.uk/results/athleteresultshistory/?athleteNumber=10311" xr:uid="{00000000-0004-0000-0E00-0000B9010000}"/>
    <hyperlink ref="A500" r:id="rId443" display="http://www.parkrun.org.uk/results/athleteresultshistory/?athleteNumber=8572" xr:uid="{00000000-0004-0000-0E00-0000BA010000}"/>
    <hyperlink ref="A730" r:id="rId444" display="http://www.parkrun.org.uk/results/athleteresultshistory/?athleteNumber=33677" xr:uid="{00000000-0004-0000-0E00-0000BB010000}"/>
    <hyperlink ref="A885" r:id="rId445" display="http://www.parkrun.org.uk/results/athleteresultshistory/?athleteNumber=82100" xr:uid="{00000000-0004-0000-0E00-0000BC010000}"/>
    <hyperlink ref="A677" r:id="rId446" display="http://www.parkrun.org.uk/results/athleteresultshistory/?athleteNumber=167770" xr:uid="{00000000-0004-0000-0E00-0000BD010000}"/>
    <hyperlink ref="A1135" r:id="rId447" display="http://www.parkrun.org.uk/results/athleteresultshistory/?athleteNumber=137225" xr:uid="{00000000-0004-0000-0E00-0000BE010000}"/>
    <hyperlink ref="A971" r:id="rId448" display="http://www.parkrun.org.uk/results/athleteresultshistory/?athleteNumber=22748" xr:uid="{00000000-0004-0000-0E00-0000BF010000}"/>
    <hyperlink ref="A1080" r:id="rId449" display="http://www.parkrun.org.uk/results/athleteresultshistory/?athleteNumber=213475" xr:uid="{00000000-0004-0000-0E00-0000C0010000}"/>
    <hyperlink ref="A459" r:id="rId450" display="http://www.parkrun.org.uk/results/athleteresultshistory/?athleteNumber=30626" xr:uid="{00000000-0004-0000-0E00-0000C1010000}"/>
    <hyperlink ref="A334" r:id="rId451" display="http://www.parkrun.org.uk/results/athleteresultshistory/?athleteNumber=8057" xr:uid="{00000000-0004-0000-0E00-0000C2010000}"/>
    <hyperlink ref="A544" r:id="rId452" display="http://www.parkrun.org.uk/results/athleteresultshistory/?athleteNumber=18556" xr:uid="{00000000-0004-0000-0E00-0000C3010000}"/>
    <hyperlink ref="A249" r:id="rId453" display="http://www.parkrun.org.uk/results/athleteresultshistory/?athleteNumber=9253" xr:uid="{00000000-0004-0000-0E00-0000C4010000}"/>
    <hyperlink ref="A563" r:id="rId454" display="http://www.parkrun.org.uk/results/athleteresultshistory/?athleteNumber=35226" xr:uid="{00000000-0004-0000-0E00-0000C5010000}"/>
    <hyperlink ref="A181" r:id="rId455" display="http://www.parkrun.org.uk/results/athleteresultshistory/?athleteNumber=7786" xr:uid="{00000000-0004-0000-0E00-0000C6010000}"/>
    <hyperlink ref="A922" r:id="rId456" display="http://www.parkrun.org.uk/results/athleteresultshistory/?athleteNumber=38581" xr:uid="{00000000-0004-0000-0E00-0000C7010000}"/>
    <hyperlink ref="A525" r:id="rId457" display="http://www.parkrun.org.uk/results/athleteresultshistory/?athleteNumber=25431" xr:uid="{00000000-0004-0000-0E00-0000C8010000}"/>
    <hyperlink ref="A216" r:id="rId458" display="http://www.parkrun.org.uk/results/athleteresultshistory/?athleteNumber=5677" xr:uid="{00000000-0004-0000-0E00-0000C9010000}"/>
    <hyperlink ref="A901" r:id="rId459" display="http://www.parkrun.org.uk/results/athleteresultshistory/?athleteNumber=43692" xr:uid="{00000000-0004-0000-0E00-0000CA010000}"/>
    <hyperlink ref="A642" r:id="rId460" display="http://www.parkrun.org.uk/results/athleteresultshistory/?athleteNumber=47450" xr:uid="{00000000-0004-0000-0E00-0000CB010000}"/>
    <hyperlink ref="A1101" r:id="rId461" display="http://www.parkrun.org.uk/results/athleteresultshistory/?athleteNumber=25278" xr:uid="{00000000-0004-0000-0E00-0000CC010000}"/>
    <hyperlink ref="A816" r:id="rId462" display="http://www.parkrun.org.uk/results/athleteresultshistory/?athleteNumber=31872" xr:uid="{00000000-0004-0000-0E00-0000CD010000}"/>
    <hyperlink ref="A886" r:id="rId463" display="http://www.parkrun.org.uk/results/athleteresultshistory/?athleteNumber=9261" xr:uid="{00000000-0004-0000-0E00-0000CE010000}"/>
    <hyperlink ref="A847" r:id="rId464" display="http://www.parkrun.org.uk/results/athleteresultshistory/?athleteNumber=52152" xr:uid="{00000000-0004-0000-0E00-0000CF010000}"/>
    <hyperlink ref="A786" r:id="rId465" display="http://www.parkrun.org.uk/results/athleteresultshistory/?athleteNumber=34006" xr:uid="{00000000-0004-0000-0E00-0000D0010000}"/>
    <hyperlink ref="A709" r:id="rId466" display="http://www.parkrun.org.uk/results/athleteresultshistory/?athleteNumber=124562" xr:uid="{00000000-0004-0000-0E00-0000D1010000}"/>
    <hyperlink ref="A283" r:id="rId467" display="http://www.parkrun.org.uk/results/athleteresultshistory/?athleteNumber=38670" xr:uid="{00000000-0004-0000-0E00-0000D2010000}"/>
    <hyperlink ref="A129" r:id="rId468" display="http://www.parkrun.org.uk/results/athleteresultshistory/?athleteNumber=16053" xr:uid="{00000000-0004-0000-0E00-0000D3010000}"/>
    <hyperlink ref="A667" r:id="rId469" display="http://www.parkrun.org.uk/results/athleteresultshistory/?athleteNumber=105828" xr:uid="{00000000-0004-0000-0E00-0000D4010000}"/>
    <hyperlink ref="A142" r:id="rId470" display="http://www.parkrun.org.uk/results/athleteresultshistory/?athleteNumber=6835" xr:uid="{00000000-0004-0000-0E00-0000D5010000}"/>
    <hyperlink ref="A902" r:id="rId471" display="http://www.parkrun.org.uk/results/athleteresultshistory/?athleteNumber=80914" xr:uid="{00000000-0004-0000-0E00-0000D6010000}"/>
    <hyperlink ref="A745" r:id="rId472" display="http://www.parkrun.org.uk/results/athleteresultshistory/?athleteNumber=953" xr:uid="{00000000-0004-0000-0E00-0000D7010000}"/>
    <hyperlink ref="A757" r:id="rId473" display="http://www.parkrun.org.uk/results/athleteresultshistory/?athleteNumber=96943" xr:uid="{00000000-0004-0000-0E00-0000D8010000}"/>
    <hyperlink ref="A1156" r:id="rId474" display="http://www.parkrun.org.uk/results/athleteresultshistory/?athleteNumber=18014" xr:uid="{00000000-0004-0000-0E00-0000D9010000}"/>
    <hyperlink ref="A417" r:id="rId475" display="http://www.parkrun.org.uk/results/athleteresultshistory/?athleteNumber=106179" xr:uid="{00000000-0004-0000-0E00-0000DA010000}"/>
    <hyperlink ref="A848" r:id="rId476" display="http://www.parkrun.org.uk/results/athleteresultshistory/?athleteNumber=213518" xr:uid="{00000000-0004-0000-0E00-0000DB010000}"/>
    <hyperlink ref="A849" r:id="rId477" display="http://www.parkrun.org.uk/results/athleteresultshistory/?athleteNumber=962" xr:uid="{00000000-0004-0000-0E00-0000DC010000}"/>
    <hyperlink ref="A1022" r:id="rId478" display="http://www.parkrun.org.uk/results/athleteresultshistory/?athleteNumber=15227" xr:uid="{00000000-0004-0000-0E00-0000DD010000}"/>
    <hyperlink ref="A832" r:id="rId479" display="http://www.parkrun.org.uk/results/athleteresultshistory/?athleteNumber=120595" xr:uid="{00000000-0004-0000-0E00-0000DE010000}"/>
    <hyperlink ref="A545" r:id="rId480" display="http://www.parkrun.org.uk/results/athleteresultshistory/?athleteNumber=3081" xr:uid="{00000000-0004-0000-0E00-0000DF010000}"/>
    <hyperlink ref="A787" r:id="rId481" display="http://www.parkrun.org.uk/results/athleteresultshistory/?athleteNumber=51098" xr:uid="{00000000-0004-0000-0E00-0000E0010000}"/>
    <hyperlink ref="A350" r:id="rId482" display="http://www.parkrun.org.uk/results/athleteresultshistory/?athleteNumber=5844" xr:uid="{00000000-0004-0000-0E00-0000E1010000}"/>
    <hyperlink ref="A1062" r:id="rId483" display="http://www.parkrun.org.uk/results/athleteresultshistory/?athleteNumber=74484" xr:uid="{00000000-0004-0000-0E00-0000E2010000}"/>
    <hyperlink ref="A678" r:id="rId484" display="http://www.parkrun.org.uk/results/athleteresultshistory/?athleteNumber=3920" xr:uid="{00000000-0004-0000-0E00-0000E3010000}"/>
    <hyperlink ref="A365" r:id="rId485" display="http://www.parkrun.org.uk/results/athleteresultshistory/?athleteNumber=34172" xr:uid="{00000000-0004-0000-0E00-0000E4010000}"/>
    <hyperlink ref="A695" r:id="rId486" display="http://www.parkrun.org.uk/results/athleteresultshistory/?athleteNumber=84038" xr:uid="{00000000-0004-0000-0E00-0000E5010000}"/>
    <hyperlink ref="A311" r:id="rId487" display="http://www.parkrun.org.uk/results/athleteresultshistory/?athleteNumber=987" xr:uid="{00000000-0004-0000-0E00-0000E6010000}"/>
    <hyperlink ref="A887" r:id="rId488" display="http://www.parkrun.org.uk/results/athleteresultshistory/?athleteNumber=136419" xr:uid="{00000000-0004-0000-0E00-0000E7010000}"/>
    <hyperlink ref="A788" r:id="rId489" display="http://www.parkrun.org.uk/results/athleteresultshistory/?athleteNumber=154121" xr:uid="{00000000-0004-0000-0E00-0000E8010000}"/>
    <hyperlink ref="A955" r:id="rId490" display="http://www.parkrun.org.uk/results/athleteresultshistory/?athleteNumber=134810" xr:uid="{00000000-0004-0000-0E00-0000E9010000}"/>
    <hyperlink ref="A770" r:id="rId491" display="http://www.parkrun.org.uk/results/athleteresultshistory/?athleteNumber=49891" xr:uid="{00000000-0004-0000-0E00-0000EA010000}"/>
    <hyperlink ref="A492" r:id="rId492" display="http://www.parkrun.org.uk/results/athleteresultshistory/?athleteNumber=75934" xr:uid="{00000000-0004-0000-0E00-0000EB010000}"/>
    <hyperlink ref="A253" r:id="rId493" display="http://www.parkrun.org.uk/results/athleteresultshistory/?athleteNumber=28667" xr:uid="{00000000-0004-0000-0E00-0000EC010000}"/>
    <hyperlink ref="A850" r:id="rId494" display="http://www.parkrun.org.uk/results/athleteresultshistory/?athleteNumber=78960" xr:uid="{00000000-0004-0000-0E00-0000ED010000}"/>
    <hyperlink ref="A1157" r:id="rId495" display="http://www.parkrun.org.uk/results/athleteresultshistory/?athleteNumber=71209" xr:uid="{00000000-0004-0000-0E00-0000EE010000}"/>
    <hyperlink ref="A554" r:id="rId496" display="http://www.parkrun.org.uk/results/athleteresultshistory/?athleteNumber=109274" xr:uid="{00000000-0004-0000-0E00-0000EF010000}"/>
    <hyperlink ref="A771" r:id="rId497" display="http://www.parkrun.org.uk/results/athleteresultshistory/?athleteNumber=18200" xr:uid="{00000000-0004-0000-0E00-0000F0010000}"/>
    <hyperlink ref="A73" r:id="rId498" display="http://www.parkrun.org.uk/results/athleteresultshistory/?athleteNumber=1049" xr:uid="{00000000-0004-0000-0E00-0000F1010000}"/>
    <hyperlink ref="A833" r:id="rId499" display="http://www.parkrun.org.uk/results/athleteresultshistory/?athleteNumber=12323" xr:uid="{00000000-0004-0000-0E00-0000F2010000}"/>
    <hyperlink ref="A182" r:id="rId500" display="http://www.parkrun.org.uk/results/athleteresultshistory/?athleteNumber=67177" xr:uid="{00000000-0004-0000-0E00-0000F3010000}"/>
    <hyperlink ref="A337" r:id="rId501" display="http://www.parkrun.org.uk/results/athleteresultshistory/?athleteNumber=49984" xr:uid="{00000000-0004-0000-0E00-0000F4010000}"/>
    <hyperlink ref="A596" r:id="rId502" display="http://www.parkrun.org.uk/results/athleteresultshistory/?athleteNumber=38413" xr:uid="{00000000-0004-0000-0E00-0000F5010000}"/>
    <hyperlink ref="A335" r:id="rId503" display="http://www.parkrun.org.uk/results/athleteresultshistory/?athleteNumber=60155" xr:uid="{00000000-0004-0000-0E00-0000F6010000}"/>
    <hyperlink ref="A555" r:id="rId504" display="http://www.parkrun.org.uk/results/athleteresultshistory/?athleteNumber=13846" xr:uid="{00000000-0004-0000-0E00-0000F7010000}"/>
    <hyperlink ref="A444" r:id="rId505" display="http://www.parkrun.org.uk/results/athleteresultshistory/?athleteNumber=37351" xr:uid="{00000000-0004-0000-0E00-0000F8010000}"/>
    <hyperlink ref="A1040" r:id="rId506" display="http://www.parkrun.org.uk/results/athleteresultshistory/?athleteNumber=178969" xr:uid="{00000000-0004-0000-0E00-0000F9010000}"/>
    <hyperlink ref="A817" r:id="rId507" display="http://www.parkrun.org.uk/results/athleteresultshistory/?athleteNumber=45852" xr:uid="{00000000-0004-0000-0E00-0000FA010000}"/>
    <hyperlink ref="A996" r:id="rId508" display="http://www.parkrun.org.uk/results/athleteresultshistory/?athleteNumber=142567" xr:uid="{00000000-0004-0000-0E00-0000FB010000}"/>
    <hyperlink ref="A448" r:id="rId509" display="http://www.parkrun.org.uk/results/athleteresultshistory/?athleteNumber=98656" xr:uid="{00000000-0004-0000-0E00-0000FC010000}"/>
    <hyperlink ref="A546" r:id="rId510" display="http://www.parkrun.org.uk/results/athleteresultshistory/?athleteNumber=2606" xr:uid="{00000000-0004-0000-0E00-0000FD010000}"/>
    <hyperlink ref="A629" r:id="rId511" display="http://www.parkrun.org.uk/results/athleteresultshistory/?athleteNumber=15896" xr:uid="{00000000-0004-0000-0E00-0000FE010000}"/>
    <hyperlink ref="A851" r:id="rId512" display="http://www.parkrun.org.uk/results/athleteresultshistory/?athleteNumber=1022" xr:uid="{00000000-0004-0000-0E00-0000FF010000}"/>
    <hyperlink ref="A597" r:id="rId513" display="http://www.parkrun.org.uk/results/athleteresultshistory/?athleteNumber=95743" xr:uid="{00000000-0004-0000-0E00-000000020000}"/>
    <hyperlink ref="A359" r:id="rId514" display="http://www.parkrun.org.uk/results/athleteresultshistory/?athleteNumber=31855" xr:uid="{00000000-0004-0000-0E00-000001020000}"/>
    <hyperlink ref="A1158" r:id="rId515" display="http://www.parkrun.org.uk/results/athleteresultshistory/?athleteNumber=218171" xr:uid="{00000000-0004-0000-0E00-000002020000}"/>
    <hyperlink ref="A1102" r:id="rId516" display="http://www.parkrun.org.uk/results/athleteresultshistory/?athleteNumber=54968" xr:uid="{00000000-0004-0000-0E00-000003020000}"/>
    <hyperlink ref="A956" r:id="rId517" display="http://www.parkrun.org.uk/results/athleteresultshistory/?athleteNumber=42687" xr:uid="{00000000-0004-0000-0E00-000004020000}"/>
    <hyperlink ref="A668" r:id="rId518" display="http://www.parkrun.org.uk/results/athleteresultshistory/?athleteNumber=69007" xr:uid="{00000000-0004-0000-0E00-000005020000}"/>
    <hyperlink ref="A312" r:id="rId519" display="http://www.parkrun.org.uk/results/athleteresultshistory/?athleteNumber=13733" xr:uid="{00000000-0004-0000-0E00-000006020000}"/>
    <hyperlink ref="A997" r:id="rId520" display="http://www.parkrun.org.uk/results/athleteresultshistory/?athleteNumber=9844" xr:uid="{00000000-0004-0000-0E00-000007020000}"/>
    <hyperlink ref="A290" r:id="rId521" display="http://www.parkrun.org.uk/results/athleteresultshistory/?athleteNumber=10378" xr:uid="{00000000-0004-0000-0E00-000008020000}"/>
    <hyperlink ref="A1136" r:id="rId522" display="http://www.parkrun.org.uk/results/athleteresultshistory/?athleteNumber=128128" xr:uid="{00000000-0004-0000-0E00-000009020000}"/>
    <hyperlink ref="A238" r:id="rId523" display="http://www.parkrun.org.uk/results/athleteresultshistory/?athleteNumber=8390" xr:uid="{00000000-0004-0000-0E00-00000A020000}"/>
    <hyperlink ref="A972" r:id="rId524" display="http://www.parkrun.org.uk/results/athleteresultshistory/?athleteNumber=16106" xr:uid="{00000000-0004-0000-0E00-00000B020000}"/>
    <hyperlink ref="A579" r:id="rId525" display="http://www.parkrun.org.uk/results/athleteresultshistory/?athleteNumber=15057" xr:uid="{00000000-0004-0000-0E00-00000C020000}"/>
    <hyperlink ref="A679" r:id="rId526" display="http://www.parkrun.org.uk/results/athleteresultshistory/?athleteNumber=59485" xr:uid="{00000000-0004-0000-0E00-00000D020000}"/>
    <hyperlink ref="A547" r:id="rId527" display="http://www.parkrun.org.uk/results/athleteresultshistory/?athleteNumber=58414" xr:uid="{00000000-0004-0000-0E00-00000E020000}"/>
    <hyperlink ref="A758" r:id="rId528" display="http://www.parkrun.org.uk/results/athleteresultshistory/?athleteNumber=36485" xr:uid="{00000000-0004-0000-0E00-00000F020000}"/>
    <hyperlink ref="A351" r:id="rId529" display="http://www.parkrun.org.uk/results/athleteresultshistory/?athleteNumber=30600" xr:uid="{00000000-0004-0000-0E00-000010020000}"/>
    <hyperlink ref="A1159" r:id="rId530" display="http://www.parkrun.org.uk/results/athleteresultshistory/?athleteNumber=101873" xr:uid="{00000000-0004-0000-0E00-000011020000}"/>
    <hyperlink ref="A852" r:id="rId531" display="http://www.parkrun.org.uk/results/athleteresultshistory/?athleteNumber=75610" xr:uid="{00000000-0004-0000-0E00-000012020000}"/>
    <hyperlink ref="A526" r:id="rId532" display="http://www.parkrun.org.uk/results/athleteresultshistory/?athleteNumber=25124" xr:uid="{00000000-0004-0000-0E00-000013020000}"/>
    <hyperlink ref="A1081" r:id="rId533" display="http://www.parkrun.org.uk/results/athleteresultshistory/?athleteNumber=78606" xr:uid="{00000000-0004-0000-0E00-000014020000}"/>
    <hyperlink ref="A865" r:id="rId534" display="http://www.parkrun.org.uk/results/athleteresultshistory/?athleteNumber=1058" xr:uid="{00000000-0004-0000-0E00-000015020000}"/>
    <hyperlink ref="A532" r:id="rId535" display="http://www.parkrun.org.uk/results/athleteresultshistory/?athleteNumber=25370" xr:uid="{00000000-0004-0000-0E00-000016020000}"/>
    <hyperlink ref="A445" r:id="rId536" display="http://www.parkrun.org.uk/results/athleteresultshistory/?athleteNumber=13860" xr:uid="{00000000-0004-0000-0E00-000017020000}"/>
    <hyperlink ref="A527" r:id="rId537" display="http://www.parkrun.org.uk/results/athleteresultshistory/?athleteNumber=1063" xr:uid="{00000000-0004-0000-0E00-000018020000}"/>
    <hyperlink ref="A888" r:id="rId538" display="http://www.parkrun.org.uk/results/athleteresultshistory/?athleteNumber=56117" xr:uid="{00000000-0004-0000-0E00-000019020000}"/>
    <hyperlink ref="A265" r:id="rId539" display="http://www.parkrun.org.uk/results/athleteresultshistory/?athleteNumber=4053" xr:uid="{00000000-0004-0000-0E00-00001A020000}"/>
    <hyperlink ref="A853" r:id="rId540" display="http://www.parkrun.org.uk/results/athleteresultshistory/?athleteNumber=57044" xr:uid="{00000000-0004-0000-0E00-00001B020000}"/>
    <hyperlink ref="A338" r:id="rId541" display="http://www.parkrun.org.uk/results/athleteresultshistory/?athleteNumber=1083" xr:uid="{00000000-0004-0000-0E00-00001C020000}"/>
    <hyperlink ref="A291" r:id="rId542" display="http://www.parkrun.org.uk/results/athleteresultshistory/?athleteNumber=80189" xr:uid="{00000000-0004-0000-0E00-00001D020000}"/>
    <hyperlink ref="A998" r:id="rId543" display="http://www.parkrun.org.uk/results/athleteresultshistory/?athleteNumber=178849" xr:uid="{00000000-0004-0000-0E00-00001E020000}"/>
    <hyperlink ref="A759" r:id="rId544" display="http://www.parkrun.org.uk/results/athleteresultshistory/?athleteNumber=144148" xr:uid="{00000000-0004-0000-0E00-00001F020000}"/>
    <hyperlink ref="A449" r:id="rId545" display="http://www.parkrun.org.uk/results/athleteresultshistory/?athleteNumber=41256" xr:uid="{00000000-0004-0000-0E00-000020020000}"/>
    <hyperlink ref="A1041" r:id="rId546" display="http://www.parkrun.org.uk/results/athleteresultshistory/?athleteNumber=166950" xr:uid="{00000000-0004-0000-0E00-000021020000}"/>
    <hyperlink ref="A501" r:id="rId547" display="http://www.parkrun.org.uk/results/athleteresultshistory/?athleteNumber=77867" xr:uid="{00000000-0004-0000-0E00-000022020000}"/>
    <hyperlink ref="A100" r:id="rId548" display="http://www.parkrun.org.uk/results/athleteresultshistory/?athleteNumber=2647" xr:uid="{00000000-0004-0000-0E00-000023020000}"/>
    <hyperlink ref="A339" r:id="rId549" display="http://www.parkrun.org.uk/results/athleteresultshistory/?athleteNumber=1109" xr:uid="{00000000-0004-0000-0E00-000024020000}"/>
    <hyperlink ref="A999" r:id="rId550" display="http://www.parkrun.org.uk/results/athleteresultshistory/?athleteNumber=63990" xr:uid="{00000000-0004-0000-0E00-000025020000}"/>
    <hyperlink ref="A1082" r:id="rId551" display="http://www.parkrun.org.uk/results/athleteresultshistory/?athleteNumber=56042" xr:uid="{00000000-0004-0000-0E00-000026020000}"/>
    <hyperlink ref="A213" r:id="rId552" display="http://www.parkrun.org.uk/results/athleteresultshistory/?athleteNumber=14082" xr:uid="{00000000-0004-0000-0E00-000027020000}"/>
    <hyperlink ref="A1042" r:id="rId553" display="http://www.parkrun.org.uk/results/athleteresultshistory/?athleteNumber=210758" xr:uid="{00000000-0004-0000-0E00-000028020000}"/>
    <hyperlink ref="A580" r:id="rId554" display="http://www.parkrun.org.uk/results/athleteresultshistory/?athleteNumber=3892" xr:uid="{00000000-0004-0000-0E00-000029020000}"/>
    <hyperlink ref="A800" r:id="rId555" display="http://www.parkrun.org.uk/results/athleteresultshistory/?athleteNumber=72492" xr:uid="{00000000-0004-0000-0E00-00002A020000}"/>
    <hyperlink ref="A564" r:id="rId556" display="http://www.parkrun.org.uk/results/athleteresultshistory/?athleteNumber=40418" xr:uid="{00000000-0004-0000-0E00-00002B020000}"/>
    <hyperlink ref="A772" r:id="rId557" display="http://www.parkrun.org.uk/results/athleteresultshistory/?athleteNumber=28367" xr:uid="{00000000-0004-0000-0E00-00002C020000}"/>
    <hyperlink ref="A643" r:id="rId558" display="http://www.parkrun.org.uk/results/athleteresultshistory/?athleteNumber=53872" xr:uid="{00000000-0004-0000-0E00-00002D020000}"/>
    <hyperlink ref="A718" r:id="rId559" display="http://www.parkrun.org.uk/results/athleteresultshistory/?athleteNumber=5830" xr:uid="{00000000-0004-0000-0E00-00002E020000}"/>
    <hyperlink ref="A834" r:id="rId560" display="http://www.parkrun.org.uk/results/athleteresultshistory/?athleteNumber=77401" xr:uid="{00000000-0004-0000-0E00-00002F020000}"/>
    <hyperlink ref="A511" r:id="rId561" display="http://www.parkrun.org.uk/results/athleteresultshistory/?athleteNumber=6847" xr:uid="{00000000-0004-0000-0E00-000030020000}"/>
    <hyperlink ref="A556" r:id="rId562" display="http://www.parkrun.org.uk/results/athleteresultshistory/?athleteNumber=37675" xr:uid="{00000000-0004-0000-0E00-000031020000}"/>
    <hyperlink ref="A644" r:id="rId563" display="http://www.parkrun.org.uk/results/athleteresultshistory/?athleteNumber=70653" xr:uid="{00000000-0004-0000-0E00-000032020000}"/>
    <hyperlink ref="A760" r:id="rId564" display="http://www.parkrun.org.uk/results/athleteresultshistory/?athleteNumber=39029" xr:uid="{00000000-0004-0000-0E00-000033020000}"/>
    <hyperlink ref="A731" r:id="rId565" display="http://www.parkrun.org.uk/results/athleteresultshistory/?athleteNumber=29122" xr:uid="{00000000-0004-0000-0E00-000034020000}"/>
    <hyperlink ref="A468" r:id="rId566" display="http://www.parkrun.org.uk/results/athleteresultshistory/?athleteNumber=7800" xr:uid="{00000000-0004-0000-0E00-000035020000}"/>
    <hyperlink ref="A123" r:id="rId567" display="http://www.parkrun.org.uk/results/athleteresultshistory/?athleteNumber=1166" xr:uid="{00000000-0004-0000-0E00-000036020000}"/>
    <hyperlink ref="A581" r:id="rId568" display="http://www.parkrun.org.uk/results/athleteresultshistory/?athleteNumber=8021" xr:uid="{00000000-0004-0000-0E00-000037020000}"/>
    <hyperlink ref="A889" r:id="rId569" display="http://www.parkrun.org.uk/results/athleteresultshistory/?athleteNumber=134261" xr:uid="{00000000-0004-0000-0E00-000038020000}"/>
    <hyperlink ref="A284" r:id="rId570" display="http://www.parkrun.org.uk/results/athleteresultshistory/?athleteNumber=97278" xr:uid="{00000000-0004-0000-0E00-000039020000}"/>
    <hyperlink ref="A390" r:id="rId571" display="http://www.parkrun.org.uk/results/athleteresultshistory/?athleteNumber=1170" xr:uid="{00000000-0004-0000-0E00-00003A020000}"/>
    <hyperlink ref="A418" r:id="rId572" display="http://www.parkrun.org.uk/results/athleteresultshistory/?athleteNumber=34180" xr:uid="{00000000-0004-0000-0E00-00003B020000}"/>
    <hyperlink ref="A345" r:id="rId573" display="http://www.parkrun.org.uk/results/athleteresultshistory/?athleteNumber=71617" xr:uid="{00000000-0004-0000-0E00-00003C020000}"/>
    <hyperlink ref="A328" r:id="rId574" display="http://www.parkrun.org.uk/results/athleteresultshistory/?athleteNumber=44905" xr:uid="{00000000-0004-0000-0E00-00003D020000}"/>
    <hyperlink ref="A178" r:id="rId575" display="http://www.parkrun.org.uk/results/athleteresultshistory/?athleteNumber=23126" xr:uid="{00000000-0004-0000-0E00-00003E020000}"/>
    <hyperlink ref="A746" r:id="rId576" display="http://www.parkrun.org.uk/results/athleteresultshistory/?athleteNumber=88551" xr:uid="{00000000-0004-0000-0E00-00003F020000}"/>
    <hyperlink ref="A225" r:id="rId577" display="http://www.parkrun.org.uk/results/athleteresultshistory/?athleteNumber=37725" xr:uid="{00000000-0004-0000-0E00-000040020000}"/>
    <hyperlink ref="A801" r:id="rId578" display="http://www.parkrun.org.uk/results/athleteresultshistory/?athleteNumber=14884" xr:uid="{00000000-0004-0000-0E00-000041020000}"/>
    <hyperlink ref="A202" r:id="rId579" display="http://www.parkrun.org.uk/results/athleteresultshistory/?athleteNumber=12545" xr:uid="{00000000-0004-0000-0E00-000042020000}"/>
    <hyperlink ref="A903" r:id="rId580" display="http://www.parkrun.org.uk/results/athleteresultshistory/?athleteNumber=202552" xr:uid="{00000000-0004-0000-0E00-000043020000}"/>
    <hyperlink ref="A773" r:id="rId581" display="http://www.parkrun.org.uk/results/athleteresultshistory/?athleteNumber=132794" xr:uid="{00000000-0004-0000-0E00-000044020000}"/>
    <hyperlink ref="A1103" r:id="rId582" display="http://www.parkrun.org.uk/results/athleteresultshistory/?athleteNumber=148333" xr:uid="{00000000-0004-0000-0E00-000045020000}"/>
    <hyperlink ref="A605" r:id="rId583" display="http://www.parkrun.org.uk/results/athleteresultshistory/?athleteNumber=46364" xr:uid="{00000000-0004-0000-0E00-000046020000}"/>
    <hyperlink ref="A428" r:id="rId584" display="http://www.parkrun.org.uk/results/athleteresultshistory/?athleteNumber=19072" xr:uid="{00000000-0004-0000-0E00-000047020000}"/>
    <hyperlink ref="A257" r:id="rId585" display="http://www.parkrun.org.uk/results/athleteresultshistory/?athleteNumber=45171" xr:uid="{00000000-0004-0000-0E00-000048020000}"/>
    <hyperlink ref="A696" r:id="rId586" display="http://www.parkrun.org.uk/results/athleteresultshistory/?athleteNumber=41208" xr:uid="{00000000-0004-0000-0E00-000049020000}"/>
    <hyperlink ref="A159" r:id="rId587" display="http://www.parkrun.org.uk/results/athleteresultshistory/?athleteNumber=7517" xr:uid="{00000000-0004-0000-0E00-00004A020000}"/>
    <hyperlink ref="A450" r:id="rId588" display="http://www.parkrun.org.uk/results/athleteresultshistory/?athleteNumber=9229" xr:uid="{00000000-0004-0000-0E00-00004B020000}"/>
    <hyperlink ref="A512" r:id="rId589" display="http://www.parkrun.org.uk/results/athleteresultshistory/?athleteNumber=52980" xr:uid="{00000000-0004-0000-0E00-00004C020000}"/>
    <hyperlink ref="A476" r:id="rId590" display="http://www.parkrun.org.uk/results/athleteresultshistory/?athleteNumber=3102" xr:uid="{00000000-0004-0000-0E00-00004D020000}"/>
    <hyperlink ref="A1104" r:id="rId591" display="http://www.parkrun.org.uk/results/athleteresultshistory/?athleteNumber=120702" xr:uid="{00000000-0004-0000-0E00-00004E020000}"/>
    <hyperlink ref="A320" r:id="rId592" display="http://www.parkrun.org.uk/results/athleteresultshistory/?athleteNumber=17008" xr:uid="{00000000-0004-0000-0E00-00004F020000}"/>
    <hyperlink ref="A419" r:id="rId593" display="http://www.parkrun.org.uk/results/athleteresultshistory/?athleteNumber=168858" xr:uid="{00000000-0004-0000-0E00-000050020000}"/>
    <hyperlink ref="A152" r:id="rId594" display="http://www.parkrun.org.uk/results/athleteresultshistory/?athleteNumber=34477" xr:uid="{00000000-0004-0000-0E00-000051020000}"/>
    <hyperlink ref="A854" r:id="rId595" display="http://www.parkrun.org.uk/results/athleteresultshistory/?athleteNumber=146609" xr:uid="{00000000-0004-0000-0E00-000052020000}"/>
    <hyperlink ref="A477" r:id="rId596" display="http://www.parkrun.org.uk/results/athleteresultshistory/?athleteNumber=77078" xr:uid="{00000000-0004-0000-0E00-000053020000}"/>
    <hyperlink ref="A1083" r:id="rId597" display="http://www.parkrun.org.uk/results/athleteresultshistory/?athleteNumber=158157" xr:uid="{00000000-0004-0000-0E00-000054020000}"/>
    <hyperlink ref="A680" r:id="rId598" display="http://www.parkrun.org.uk/results/athleteresultshistory/?athleteNumber=103508" xr:uid="{00000000-0004-0000-0E00-000055020000}"/>
    <hyperlink ref="A582" r:id="rId599" display="http://www.parkrun.org.uk/results/athleteresultshistory/?athleteNumber=75734" xr:uid="{00000000-0004-0000-0E00-000056020000}"/>
    <hyperlink ref="A1160" r:id="rId600" display="http://www.parkrun.org.uk/results/athleteresultshistory/?athleteNumber=210555" xr:uid="{00000000-0004-0000-0E00-000057020000}"/>
    <hyperlink ref="A76" r:id="rId601" display="http://www.parkrun.org.uk/results/athleteresultshistory/?athleteNumber=1205" xr:uid="{00000000-0004-0000-0E00-000058020000}"/>
    <hyperlink ref="A407" r:id="rId602" display="http://www.parkrun.org.uk/results/athleteresultshistory/?athleteNumber=79331" xr:uid="{00000000-0004-0000-0E00-000059020000}"/>
    <hyperlink ref="A1137" r:id="rId603" display="http://www.parkrun.org.uk/results/athleteresultshistory/?athleteNumber=232279" xr:uid="{00000000-0004-0000-0E00-00005A020000}"/>
    <hyperlink ref="A1117" r:id="rId604" display="http://www.parkrun.org.uk/results/athleteresultshistory/?athleteNumber=52697" xr:uid="{00000000-0004-0000-0E00-00005B020000}"/>
    <hyperlink ref="A1043" r:id="rId605" display="http://www.parkrun.org.uk/results/athleteresultshistory/?athleteNumber=77088" xr:uid="{00000000-0004-0000-0E00-00005C020000}"/>
    <hyperlink ref="A1105" r:id="rId606" display="http://www.parkrun.org.uk/results/athleteresultshistory/?athleteNumber=18653" xr:uid="{00000000-0004-0000-0E00-00005D020000}"/>
    <hyperlink ref="A1044" r:id="rId607" display="http://www.parkrun.org.uk/results/athleteresultshistory/?athleteNumber=16786" xr:uid="{00000000-0004-0000-0E00-00005E020000}"/>
    <hyperlink ref="A179" r:id="rId608" display="http://www.parkrun.org.uk/results/athleteresultshistory/?athleteNumber=45627" xr:uid="{00000000-0004-0000-0E00-00005F020000}"/>
    <hyperlink ref="A1106" r:id="rId609" display="http://www.parkrun.org.uk/results/athleteresultshistory/?athleteNumber=13826" xr:uid="{00000000-0004-0000-0E00-000060020000}"/>
    <hyperlink ref="A710" r:id="rId610" display="http://www.parkrun.org.uk/results/athleteresultshistory/?athleteNumber=54087" xr:uid="{00000000-0004-0000-0E00-000061020000}"/>
    <hyperlink ref="A460" r:id="rId611" display="http://www.parkrun.org.uk/results/athleteresultshistory/?athleteNumber=59875" xr:uid="{00000000-0004-0000-0E00-000062020000}"/>
    <hyperlink ref="A618" r:id="rId612" display="http://www.parkrun.org.uk/results/athleteresultshistory/?athleteNumber=1244" xr:uid="{00000000-0004-0000-0E00-000063020000}"/>
    <hyperlink ref="A329" r:id="rId613" display="http://www.parkrun.org.uk/results/athleteresultshistory/?athleteNumber=17947" xr:uid="{00000000-0004-0000-0E00-000064020000}"/>
    <hyperlink ref="A923" r:id="rId614" display="http://www.parkrun.org.uk/results/athleteresultshistory/?athleteNumber=158131" xr:uid="{00000000-0004-0000-0E00-000065020000}"/>
    <hyperlink ref="A1000" r:id="rId615" display="http://www.parkrun.org.uk/results/athleteresultshistory/?athleteNumber=94681" xr:uid="{00000000-0004-0000-0E00-000066020000}"/>
    <hyperlink ref="A598" r:id="rId616" display="http://www.parkrun.org.uk/results/athleteresultshistory/?athleteNumber=165475" xr:uid="{00000000-0004-0000-0E00-000067020000}"/>
    <hyperlink ref="A1001" r:id="rId617" display="http://www.parkrun.org.uk/results/athleteresultshistory/?athleteNumber=101545" xr:uid="{00000000-0004-0000-0E00-000068020000}"/>
    <hyperlink ref="A1084" r:id="rId618" display="http://www.parkrun.org.uk/results/athleteresultshistory/?athleteNumber=14043" xr:uid="{00000000-0004-0000-0E00-000069020000}"/>
    <hyperlink ref="A1161" r:id="rId619" display="http://www.parkrun.org.uk/results/athleteresultshistory/?athleteNumber=30614" xr:uid="{00000000-0004-0000-0E00-00006A020000}"/>
    <hyperlink ref="A924" r:id="rId620" display="http://www.parkrun.org.uk/results/athleteresultshistory/?athleteNumber=51509" xr:uid="{00000000-0004-0000-0E00-00006B020000}"/>
    <hyperlink ref="A102" r:id="rId621" display="http://www.parkrun.org.uk/results/athleteresultshistory/?athleteNumber=1269" xr:uid="{00000000-0004-0000-0E00-00006C020000}"/>
    <hyperlink ref="A197" r:id="rId622" display="http://www.parkrun.org.uk/results/athleteresultshistory/?athleteNumber=8258" xr:uid="{00000000-0004-0000-0E00-00006D020000}"/>
    <hyperlink ref="A292" r:id="rId623" display="http://www.parkrun.org.uk/results/athleteresultshistory/?athleteNumber=19071" xr:uid="{00000000-0004-0000-0E00-00006E020000}"/>
    <hyperlink ref="A835" r:id="rId624" display="http://www.parkrun.org.uk/results/athleteresultshistory/?athleteNumber=172153" xr:uid="{00000000-0004-0000-0E00-00006F020000}"/>
    <hyperlink ref="A360" r:id="rId625" display="http://www.parkrun.org.uk/results/athleteresultshistory/?athleteNumber=1277" xr:uid="{00000000-0004-0000-0E00-000070020000}"/>
    <hyperlink ref="A250" r:id="rId626" display="http://www.parkrun.org.uk/results/athleteresultshistory/?athleteNumber=17409" xr:uid="{00000000-0004-0000-0E00-000071020000}"/>
    <hyperlink ref="A378" r:id="rId627" display="http://www.parkrun.org.uk/results/athleteresultshistory/?athleteNumber=46418" xr:uid="{00000000-0004-0000-0E00-000072020000}"/>
    <hyperlink ref="A973" r:id="rId628" display="http://www.parkrun.org.uk/results/athleteresultshistory/?athleteNumber=16279" xr:uid="{00000000-0004-0000-0E00-000073020000}"/>
    <hyperlink ref="A161" r:id="rId629" display="http://www.parkrun.org.uk/results/athleteresultshistory/?athleteNumber=41476" xr:uid="{00000000-0004-0000-0E00-000074020000}"/>
    <hyperlink ref="A513" r:id="rId630" display="http://www.parkrun.org.uk/results/athleteresultshistory/?athleteNumber=26761" xr:uid="{00000000-0004-0000-0E00-000075020000}"/>
    <hyperlink ref="A904" r:id="rId631" display="http://www.parkrun.org.uk/results/athleteresultshistory/?athleteNumber=113791" xr:uid="{00000000-0004-0000-0E00-000076020000}"/>
    <hyperlink ref="A747" r:id="rId632" display="http://www.parkrun.org.uk/results/athleteresultshistory/?athleteNumber=41450" xr:uid="{00000000-0004-0000-0E00-000077020000}"/>
    <hyperlink ref="A645" r:id="rId633" display="http://www.parkrun.org.uk/results/athleteresultshistory/?athleteNumber=152556" xr:uid="{00000000-0004-0000-0E00-000078020000}"/>
    <hyperlink ref="A114" r:id="rId634" display="http://www.parkrun.org.uk/results/athleteresultshistory/?athleteNumber=17269" xr:uid="{00000000-0004-0000-0E00-000079020000}"/>
    <hyperlink ref="A774" r:id="rId635" display="http://www.parkrun.org.uk/results/athleteresultshistory/?athleteNumber=105613" xr:uid="{00000000-0004-0000-0E00-00007A020000}"/>
    <hyperlink ref="A121" r:id="rId636" display="http://www.parkrun.org.uk/results/athleteresultshistory/?athleteNumber=5877" xr:uid="{00000000-0004-0000-0E00-00007B020000}"/>
    <hyperlink ref="A802" r:id="rId637" display="http://www.parkrun.org.uk/results/athleteresultshistory/?athleteNumber=156798" xr:uid="{00000000-0004-0000-0E00-00007C020000}"/>
    <hyperlink ref="A451" r:id="rId638" display="http://www.parkrun.org.uk/results/athleteresultshistory/?athleteNumber=14592" xr:uid="{00000000-0004-0000-0E00-00007D020000}"/>
    <hyperlink ref="A258" r:id="rId639" display="http://www.parkrun.org.uk/results/athleteresultshistory/?athleteNumber=83516" xr:uid="{00000000-0004-0000-0E00-00007E020000}"/>
    <hyperlink ref="A115" r:id="rId640" display="http://www.parkrun.org.uk/results/athleteresultshistory/?athleteNumber=17732" xr:uid="{00000000-0004-0000-0E00-00007F020000}"/>
    <hyperlink ref="A1138" r:id="rId641" display="http://www.parkrun.org.uk/results/athleteresultshistory/?athleteNumber=42656" xr:uid="{00000000-0004-0000-0E00-000080020000}"/>
    <hyperlink ref="A1023" r:id="rId642" display="http://www.parkrun.org.uk/results/athleteresultshistory/?athleteNumber=71638" xr:uid="{00000000-0004-0000-0E00-000081020000}"/>
    <hyperlink ref="A478" r:id="rId643" display="http://www.parkrun.org.uk/results/athleteresultshistory/?athleteNumber=10661" xr:uid="{00000000-0004-0000-0E00-000082020000}"/>
    <hyperlink ref="A259" r:id="rId644" display="http://www.parkrun.org.uk/results/athleteresultshistory/?athleteNumber=9173" xr:uid="{00000000-0004-0000-0E00-000083020000}"/>
    <hyperlink ref="A890" r:id="rId645" display="http://www.parkrun.org.uk/results/athleteresultshistory/?athleteNumber=101559" xr:uid="{00000000-0004-0000-0E00-000084020000}"/>
    <hyperlink ref="A957" r:id="rId646" display="http://www.parkrun.org.uk/results/athleteresultshistory/?athleteNumber=113449" xr:uid="{00000000-0004-0000-0E00-000085020000}"/>
    <hyperlink ref="A557" r:id="rId647" display="http://www.parkrun.org.uk/results/athleteresultshistory/?athleteNumber=40923" xr:uid="{00000000-0004-0000-0E00-000086020000}"/>
    <hyperlink ref="A748" r:id="rId648" display="http://www.parkrun.org.uk/results/athleteresultshistory/?athleteNumber=39292" xr:uid="{00000000-0004-0000-0E00-000087020000}"/>
    <hyperlink ref="A655" r:id="rId649" display="http://www.parkrun.org.uk/results/athleteresultshistory/?athleteNumber=133780" xr:uid="{00000000-0004-0000-0E00-000088020000}"/>
    <hyperlink ref="A775" r:id="rId650" display="http://www.parkrun.org.uk/results/athleteresultshistory/?athleteNumber=56118" xr:uid="{00000000-0004-0000-0E00-000089020000}"/>
    <hyperlink ref="A533" r:id="rId651" display="http://www.parkrun.org.uk/results/athleteresultshistory/?athleteNumber=51745" xr:uid="{00000000-0004-0000-0E00-00008A020000}"/>
    <hyperlink ref="A232" r:id="rId652" display="http://www.parkrun.org.uk/results/athleteresultshistory/?athleteNumber=35421" xr:uid="{00000000-0004-0000-0E00-00008B020000}"/>
    <hyperlink ref="A637" r:id="rId653" display="http://www.parkrun.org.uk/results/athleteresultshistory/?athleteNumber=80575" xr:uid="{00000000-0004-0000-0E00-00008C020000}"/>
    <hyperlink ref="A251" r:id="rId654" display="http://www.parkrun.org.uk/results/athleteresultshistory/?athleteNumber=14299" xr:uid="{00000000-0004-0000-0E00-00008D020000}"/>
    <hyperlink ref="A173" r:id="rId655" display="http://www.parkrun.org.uk/results/athleteresultshistory/?athleteNumber=22243" xr:uid="{00000000-0004-0000-0E00-00008E020000}"/>
    <hyperlink ref="A219" r:id="rId656" display="http://www.parkrun.org.uk/results/athleteresultshistory/?athleteNumber=28821" xr:uid="{00000000-0004-0000-0E00-00008F020000}"/>
    <hyperlink ref="A905" r:id="rId657" display="http://www.parkrun.org.uk/results/athleteresultshistory/?athleteNumber=1345" xr:uid="{00000000-0004-0000-0E00-000090020000}"/>
    <hyperlink ref="A974" r:id="rId658" display="http://www.parkrun.org.uk/results/athleteresultshistory/?athleteNumber=139720" xr:uid="{00000000-0004-0000-0E00-000091020000}"/>
    <hyperlink ref="A836" r:id="rId659" display="http://www.parkrun.org.uk/results/athleteresultshistory/?athleteNumber=76113" xr:uid="{00000000-0004-0000-0E00-000092020000}"/>
    <hyperlink ref="A285" r:id="rId660" display="http://www.parkrun.org.uk/results/athleteresultshistory/?athleteNumber=56741" xr:uid="{00000000-0004-0000-0E00-000093020000}"/>
    <hyperlink ref="A599" r:id="rId661" display="http://www.parkrun.org.uk/results/athleteresultshistory/?athleteNumber=51534" xr:uid="{00000000-0004-0000-0E00-000094020000}"/>
    <hyperlink ref="A401" r:id="rId662" display="http://www.parkrun.org.uk/results/athleteresultshistory/?athleteNumber=82127" xr:uid="{00000000-0004-0000-0E00-000095020000}"/>
    <hyperlink ref="A235" r:id="rId663" display="http://www.parkrun.org.uk/results/athleteresultshistory/?athleteNumber=22136" xr:uid="{00000000-0004-0000-0E00-000096020000}"/>
    <hyperlink ref="A118" r:id="rId664" display="http://www.parkrun.org.uk/results/athleteresultshistory/?athleteNumber=1349" xr:uid="{00000000-0004-0000-0E00-000097020000}"/>
    <hyperlink ref="A429" r:id="rId665" display="http://www.parkrun.org.uk/results/athleteresultshistory/?athleteNumber=65986" xr:uid="{00000000-0004-0000-0E00-000098020000}"/>
    <hyperlink ref="A262" r:id="rId666" display="http://www.parkrun.org.uk/results/athleteresultshistory/?athleteNumber=15143" xr:uid="{00000000-0004-0000-0E00-000099020000}"/>
    <hyperlink ref="A1107" r:id="rId667" display="http://www.parkrun.org.uk/results/athleteresultshistory/?athleteNumber=79736" xr:uid="{00000000-0004-0000-0E00-00009A020000}"/>
    <hyperlink ref="A408" r:id="rId668" display="http://www.parkrun.org.uk/results/athleteresultshistory/?athleteNumber=70580" xr:uid="{00000000-0004-0000-0E00-00009B020000}"/>
    <hyperlink ref="A271" r:id="rId669" display="http://www.parkrun.org.uk/results/athleteresultshistory/?athleteNumber=1364" xr:uid="{00000000-0004-0000-0E00-00009C020000}"/>
    <hyperlink ref="A514" r:id="rId670" display="http://www.parkrun.org.uk/results/athleteresultshistory/?athleteNumber=17554" xr:uid="{00000000-0004-0000-0E00-00009D020000}"/>
    <hyperlink ref="A502" r:id="rId671" display="http://www.parkrun.org.uk/results/athleteresultshistory/?athleteNumber=17266" xr:uid="{00000000-0004-0000-0E00-00009E020000}"/>
    <hyperlink ref="A1024" r:id="rId672" display="http://www.parkrun.org.uk/results/athleteresultshistory/?athleteNumber=39239" xr:uid="{00000000-0004-0000-0E00-00009F020000}"/>
    <hyperlink ref="A583" r:id="rId673" display="http://www.parkrun.org.uk/results/athleteresultshistory/?athleteNumber=59307" xr:uid="{00000000-0004-0000-0E00-0000A0020000}"/>
    <hyperlink ref="A217" r:id="rId674" display="http://www.parkrun.org.uk/results/athleteresultshistory/?athleteNumber=12394" xr:uid="{00000000-0004-0000-0E00-0000A1020000}"/>
    <hyperlink ref="A697" r:id="rId675" display="http://www.parkrun.org.uk/results/athleteresultshistory/?athleteNumber=101694" xr:uid="{00000000-0004-0000-0E00-0000A2020000}"/>
    <hyperlink ref="A1108" r:id="rId676" display="http://www.parkrun.org.uk/results/athleteresultshistory/?athleteNumber=179735" xr:uid="{00000000-0004-0000-0E00-0000A3020000}"/>
    <hyperlink ref="A975" r:id="rId677" display="http://www.parkrun.org.uk/results/athleteresultshistory/?athleteNumber=143892" xr:uid="{00000000-0004-0000-0E00-0000A4020000}"/>
    <hyperlink ref="A942" r:id="rId678" display="http://www.parkrun.org.uk/results/athleteresultshistory/?athleteNumber=67515" xr:uid="{00000000-0004-0000-0E00-0000A5020000}"/>
    <hyperlink ref="A1025" r:id="rId679" display="http://www.parkrun.org.uk/results/athleteresultshistory/?athleteNumber=30854" xr:uid="{00000000-0004-0000-0E00-0000A6020000}"/>
    <hyperlink ref="A1118" r:id="rId680" display="http://www.parkrun.org.uk/results/athleteresultshistory/?athleteNumber=102194" xr:uid="{00000000-0004-0000-0E00-0000A7020000}"/>
    <hyperlink ref="A409" r:id="rId681" display="http://www.parkrun.org.uk/results/athleteresultshistory/?athleteNumber=58891" xr:uid="{00000000-0004-0000-0E00-0000A8020000}"/>
    <hyperlink ref="A943" r:id="rId682" display="http://www.parkrun.org.uk/results/athleteresultshistory/?athleteNumber=164022" xr:uid="{00000000-0004-0000-0E00-0000A9020000}"/>
    <hyperlink ref="A976" r:id="rId683" display="http://www.parkrun.org.uk/results/athleteresultshistory/?athleteNumber=53778" xr:uid="{00000000-0004-0000-0E00-0000AA020000}"/>
    <hyperlink ref="A906" r:id="rId684" display="http://www.parkrun.org.uk/results/athleteresultshistory/?athleteNumber=5159" xr:uid="{00000000-0004-0000-0E00-0000AB020000}"/>
    <hyperlink ref="A96" r:id="rId685" display="http://www.parkrun.org.uk/results/athleteresultshistory/?athleteNumber=10555" xr:uid="{00000000-0004-0000-0E00-0000AC020000}"/>
    <hyperlink ref="A1119" r:id="rId686" display="http://www.parkrun.org.uk/results/athleteresultshistory/?athleteNumber=3694" xr:uid="{00000000-0004-0000-0E00-0000AD020000}"/>
    <hyperlink ref="A1063" r:id="rId687" display="http://www.parkrun.org.uk/results/athleteresultshistory/?athleteNumber=22740" xr:uid="{00000000-0004-0000-0E00-0000AE020000}"/>
    <hyperlink ref="A223" r:id="rId688" display="http://www.parkrun.org.uk/results/athleteresultshistory/?athleteNumber=45334" xr:uid="{00000000-0004-0000-0E00-0000AF020000}"/>
    <hyperlink ref="A606" r:id="rId689" display="http://www.parkrun.org.uk/results/athleteresultshistory/?athleteNumber=36553" xr:uid="{00000000-0004-0000-0E00-0000B0020000}"/>
    <hyperlink ref="A977" r:id="rId690" display="http://www.parkrun.org.uk/results/athleteresultshistory/?athleteNumber=104530" xr:uid="{00000000-0004-0000-0E00-0000B1020000}"/>
    <hyperlink ref="A166" r:id="rId691" display="http://www.parkrun.org.uk/results/athleteresultshistory/?athleteNumber=2726" xr:uid="{00000000-0004-0000-0E00-0000B2020000}"/>
    <hyperlink ref="A1064" r:id="rId692" display="http://www.parkrun.org.uk/results/athleteresultshistory/?athleteNumber=174133" xr:uid="{00000000-0004-0000-0E00-0000B3020000}"/>
    <hyperlink ref="A1002" r:id="rId693" display="http://www.parkrun.org.uk/results/athleteresultshistory/?athleteNumber=83030" xr:uid="{00000000-0004-0000-0E00-0000B4020000}"/>
    <hyperlink ref="A866" r:id="rId694" display="http://www.parkrun.org.uk/results/athleteresultshistory/?athleteNumber=23985" xr:uid="{00000000-0004-0000-0E00-0000B5020000}"/>
    <hyperlink ref="A656" r:id="rId695" display="http://www.parkrun.org.uk/results/athleteresultshistory/?athleteNumber=14724" xr:uid="{00000000-0004-0000-0E00-0000B6020000}"/>
    <hyperlink ref="A818" r:id="rId696" display="http://www.parkrun.org.uk/results/athleteresultshistory/?athleteNumber=114646" xr:uid="{00000000-0004-0000-0E00-0000B7020000}"/>
    <hyperlink ref="A1085" r:id="rId697" display="http://www.parkrun.org.uk/results/athleteresultshistory/?athleteNumber=160891" xr:uid="{00000000-0004-0000-0E00-0000B8020000}"/>
    <hyperlink ref="A607" r:id="rId698" display="http://www.parkrun.org.uk/results/athleteresultshistory/?athleteNumber=52324" xr:uid="{00000000-0004-0000-0E00-0000B9020000}"/>
    <hyperlink ref="A461" r:id="rId699" display="http://www.parkrun.org.uk/results/athleteresultshistory/?athleteNumber=31647" xr:uid="{00000000-0004-0000-0E00-0000BA020000}"/>
    <hyperlink ref="A711" r:id="rId700" display="http://www.parkrun.org.uk/results/athleteresultshistory/?athleteNumber=77359" xr:uid="{00000000-0004-0000-0E00-0000BB020000}"/>
    <hyperlink ref="A321" r:id="rId701" display="http://www.parkrun.org.uk/results/athleteresultshistory/?athleteNumber=3989" xr:uid="{00000000-0004-0000-0E00-0000BC020000}"/>
    <hyperlink ref="A297" r:id="rId702" display="http://www.parkrun.org.uk/results/athleteresultshistory/?athleteNumber=1435" xr:uid="{00000000-0004-0000-0E00-0000BD020000}"/>
    <hyperlink ref="A891" r:id="rId703" display="http://www.parkrun.org.uk/results/athleteresultshistory/?athleteNumber=46781" xr:uid="{00000000-0004-0000-0E00-0000BE020000}"/>
    <hyperlink ref="A608" r:id="rId704" display="http://www.parkrun.org.uk/results/athleteresultshistory/?athleteNumber=44018" xr:uid="{00000000-0004-0000-0E00-0000BF020000}"/>
    <hyperlink ref="A193" r:id="rId705" display="http://www.parkrun.org.uk/results/athleteresultshistory/?athleteNumber=6346" xr:uid="{00000000-0004-0000-0E00-0000C0020000}"/>
    <hyperlink ref="A224" r:id="rId706" display="http://www.parkrun.org.uk/results/athleteresultshistory/?athleteNumber=71828" xr:uid="{00000000-0004-0000-0E00-0000C1020000}"/>
    <hyperlink ref="A657" r:id="rId707" display="http://www.parkrun.org.uk/results/athleteresultshistory/?athleteNumber=86702" xr:uid="{00000000-0004-0000-0E00-0000C2020000}"/>
    <hyperlink ref="A263" r:id="rId708" display="http://www.parkrun.org.uk/results/athleteresultshistory/?athleteNumber=22749" xr:uid="{00000000-0004-0000-0E00-0000C3020000}"/>
    <hyperlink ref="A1026" r:id="rId709" display="http://www.parkrun.org.uk/results/athleteresultshistory/?athleteNumber=32175" xr:uid="{00000000-0004-0000-0E00-0000C4020000}"/>
    <hyperlink ref="A469" r:id="rId710" display="http://www.parkrun.org.uk/results/athleteresultshistory/?athleteNumber=176174" xr:uid="{00000000-0004-0000-0E00-0000C5020000}"/>
    <hyperlink ref="A176" r:id="rId711" display="http://www.parkrun.org.uk/results/athleteresultshistory/?athleteNumber=16584" xr:uid="{00000000-0004-0000-0E00-0000C6020000}"/>
    <hyperlink ref="A584" r:id="rId712" display="http://www.parkrun.org.uk/results/athleteresultshistory/?athleteNumber=85880" xr:uid="{00000000-0004-0000-0E00-0000C7020000}"/>
    <hyperlink ref="A600" r:id="rId713" display="http://www.parkrun.org.uk/results/athleteresultshistory/?athleteNumber=139452" xr:uid="{00000000-0004-0000-0E00-0000C8020000}"/>
    <hyperlink ref="A761" r:id="rId714" display="http://www.parkrun.org.uk/results/athleteresultshistory/?athleteNumber=91548" xr:uid="{00000000-0004-0000-0E00-0000C9020000}"/>
    <hyperlink ref="A493" r:id="rId715" display="http://www.parkrun.org.uk/results/athleteresultshistory/?athleteNumber=108426" xr:uid="{00000000-0004-0000-0E00-0000CA020000}"/>
    <hyperlink ref="A585" r:id="rId716" display="http://www.parkrun.org.uk/results/athleteresultshistory/?athleteNumber=24022" xr:uid="{00000000-0004-0000-0E00-0000CB020000}"/>
    <hyperlink ref="A669" r:id="rId717" display="http://www.parkrun.org.uk/results/athleteresultshistory/?athleteNumber=1463" xr:uid="{00000000-0004-0000-0E00-0000CC020000}"/>
    <hyperlink ref="A548" r:id="rId718" display="http://www.parkrun.org.uk/results/athleteresultshistory/?athleteNumber=15303" xr:uid="{00000000-0004-0000-0E00-0000CD020000}"/>
    <hyperlink ref="A293" r:id="rId719" display="http://www.parkrun.org.uk/results/athleteresultshistory/?athleteNumber=74659" xr:uid="{00000000-0004-0000-0E00-0000CE020000}"/>
    <hyperlink ref="A462" r:id="rId720" display="http://www.parkrun.org.uk/results/athleteresultshistory/?athleteNumber=8035" xr:uid="{00000000-0004-0000-0E00-0000CF020000}"/>
    <hyperlink ref="A298" r:id="rId721" display="http://www.parkrun.org.uk/results/athleteresultshistory/?athleteNumber=2898" xr:uid="{00000000-0004-0000-0E00-0000D0020000}"/>
    <hyperlink ref="A1003" r:id="rId722" display="http://www.parkrun.org.uk/results/athleteresultshistory/?athleteNumber=17873" xr:uid="{00000000-0004-0000-0E00-0000D1020000}"/>
    <hyperlink ref="A978" r:id="rId723" display="http://www.parkrun.org.uk/results/athleteresultshistory/?athleteNumber=42854" xr:uid="{00000000-0004-0000-0E00-0000D2020000}"/>
    <hyperlink ref="A681" r:id="rId724" display="http://www.parkrun.org.uk/results/athleteresultshistory/?athleteNumber=83326" xr:uid="{00000000-0004-0000-0E00-0000D3020000}"/>
    <hyperlink ref="A803" r:id="rId725" display="http://www.parkrun.org.uk/results/athleteresultshistory/?athleteNumber=78255" xr:uid="{00000000-0004-0000-0E00-0000D4020000}"/>
    <hyperlink ref="A944" r:id="rId726" display="http://www.parkrun.org.uk/results/athleteresultshistory/?athleteNumber=152531" xr:uid="{00000000-0004-0000-0E00-0000D5020000}"/>
    <hyperlink ref="A355" r:id="rId727" display="http://www.parkrun.org.uk/results/athleteresultshistory/?athleteNumber=7999" xr:uid="{00000000-0004-0000-0E00-0000D6020000}"/>
    <hyperlink ref="A732" r:id="rId728" display="http://www.parkrun.org.uk/results/athleteresultshistory/?athleteNumber=7887" xr:uid="{00000000-0004-0000-0E00-0000D7020000}"/>
    <hyperlink ref="A586" r:id="rId729" display="http://www.parkrun.org.uk/results/athleteresultshistory/?athleteNumber=1488" xr:uid="{00000000-0004-0000-0E00-0000D8020000}"/>
    <hyperlink ref="A619" r:id="rId730" display="http://www.parkrun.org.uk/results/athleteresultshistory/?athleteNumber=29133" xr:uid="{00000000-0004-0000-0E00-0000D9020000}"/>
    <hyperlink ref="A630" r:id="rId731" display="http://www.parkrun.org.uk/results/athleteresultshistory/?athleteNumber=5561" xr:uid="{00000000-0004-0000-0E00-0000DA020000}"/>
    <hyperlink ref="A111" r:id="rId732" display="http://www.parkrun.org.uk/results/athleteresultshistory/?athleteNumber=2464" xr:uid="{00000000-0004-0000-0E00-0000DB020000}"/>
    <hyperlink ref="A1045" r:id="rId733" display="http://www.parkrun.org.uk/results/athleteresultshistory/?athleteNumber=17413" xr:uid="{00000000-0004-0000-0E00-0000DC020000}"/>
    <hyperlink ref="A1004" r:id="rId734" display="http://www.parkrun.org.uk/results/athleteresultshistory/?athleteNumber=128950" xr:uid="{00000000-0004-0000-0E00-0000DD020000}"/>
    <hyperlink ref="A670" r:id="rId735" display="http://www.parkrun.org.uk/results/athleteresultshistory/?athleteNumber=49849" xr:uid="{00000000-0004-0000-0E00-0000DE020000}"/>
    <hyperlink ref="A1005" r:id="rId736" display="http://www.parkrun.org.uk/results/athleteresultshistory/?athleteNumber=17969" xr:uid="{00000000-0004-0000-0E00-0000DF020000}"/>
    <hyperlink ref="A515" r:id="rId737" display="http://www.parkrun.org.uk/results/athleteresultshistory/?athleteNumber=14593" xr:uid="{00000000-0004-0000-0E00-0000E0020000}"/>
    <hyperlink ref="A516" r:id="rId738" display="http://www.parkrun.org.uk/results/athleteresultshistory/?athleteNumber=93329" xr:uid="{00000000-0004-0000-0E00-0000E1020000}"/>
    <hyperlink ref="A867" r:id="rId739" display="http://www.parkrun.org.uk/results/athleteresultshistory/?athleteNumber=37503" xr:uid="{00000000-0004-0000-0E00-0000E2020000}"/>
    <hyperlink ref="A789" r:id="rId740" display="http://www.parkrun.org.uk/results/athleteresultshistory/?athleteNumber=82186" xr:uid="{00000000-0004-0000-0E00-0000E3020000}"/>
    <hyperlink ref="A749" r:id="rId741" display="http://www.parkrun.org.uk/results/athleteresultshistory/?athleteNumber=44806" xr:uid="{00000000-0004-0000-0E00-0000E4020000}"/>
    <hyperlink ref="A601" r:id="rId742" display="http://www.parkrun.org.uk/results/athleteresultshistory/?athleteNumber=24942" xr:uid="{00000000-0004-0000-0E00-0000E5020000}"/>
    <hyperlink ref="A1139" r:id="rId743" display="http://www.parkrun.org.uk/results/athleteresultshistory/?athleteNumber=77243" xr:uid="{00000000-0004-0000-0E00-0000E6020000}"/>
    <hyperlink ref="A410" r:id="rId744" display="http://www.parkrun.org.uk/results/athleteresultshistory/?athleteNumber=136487" xr:uid="{00000000-0004-0000-0E00-0000E7020000}"/>
    <hyperlink ref="A1140" r:id="rId745" display="http://www.parkrun.org.uk/results/athleteresultshistory/?athleteNumber=86909" xr:uid="{00000000-0004-0000-0E00-0000E8020000}"/>
    <hyperlink ref="A116" r:id="rId746" display="http://www.parkrun.org.uk/results/athleteresultshistory/?athleteNumber=3360" xr:uid="{00000000-0004-0000-0E00-0000E9020000}"/>
    <hyperlink ref="A587" r:id="rId747" display="http://www.parkrun.org.uk/results/athleteresultshistory/?athleteNumber=3712" xr:uid="{00000000-0004-0000-0E00-0000EA020000}"/>
    <hyperlink ref="A119" r:id="rId748" display="http://www.parkrun.org.uk/results/athleteresultshistory/?athleteNumber=1526" xr:uid="{00000000-0004-0000-0E00-0000EB020000}"/>
    <hyperlink ref="A479" r:id="rId749" display="http://www.parkrun.org.uk/results/athleteresultshistory/?athleteNumber=21818" xr:uid="{00000000-0004-0000-0E00-0000EC020000}"/>
    <hyperlink ref="A698" r:id="rId750" display="http://www.parkrun.org.uk/results/athleteresultshistory/?athleteNumber=61044" xr:uid="{00000000-0004-0000-0E00-0000ED020000}"/>
    <hyperlink ref="A892" r:id="rId751" display="http://www.parkrun.org.uk/results/athleteresultshistory/?athleteNumber=173012" xr:uid="{00000000-0004-0000-0E00-0000EE020000}"/>
    <hyperlink ref="A620" r:id="rId752" display="http://www.parkrun.org.uk/results/athleteresultshistory/?athleteNumber=12275" xr:uid="{00000000-0004-0000-0E00-0000EF020000}"/>
    <hyperlink ref="A646" r:id="rId753" display="http://www.parkrun.org.uk/results/athleteresultshistory/?athleteNumber=3105" xr:uid="{00000000-0004-0000-0E00-0000F0020000}"/>
    <hyperlink ref="A719" r:id="rId754" display="http://www.parkrun.org.uk/results/athleteresultshistory/?athleteNumber=17131" xr:uid="{00000000-0004-0000-0E00-0000F1020000}"/>
    <hyperlink ref="A647" r:id="rId755" display="http://www.parkrun.org.uk/results/athleteresultshistory/?athleteNumber=54115" xr:uid="{00000000-0004-0000-0E00-0000F2020000}"/>
    <hyperlink ref="A373" r:id="rId756" display="http://www.parkrun.org.uk/results/athleteresultshistory/?athleteNumber=59626" xr:uid="{00000000-0004-0000-0E00-0000F3020000}"/>
    <hyperlink ref="A210" r:id="rId757" display="http://www.parkrun.org.uk/results/athleteresultshistory/?athleteNumber=6850" xr:uid="{00000000-0004-0000-0E00-0000F4020000}"/>
    <hyperlink ref="A198" r:id="rId758" display="http://www.parkrun.org.uk/results/athleteresultshistory/?athleteNumber=20344" xr:uid="{00000000-0004-0000-0E00-0000F5020000}"/>
    <hyperlink ref="A819" r:id="rId759" display="http://www.parkrun.org.uk/results/athleteresultshistory/?athleteNumber=86672" xr:uid="{00000000-0004-0000-0E00-0000F6020000}"/>
    <hyperlink ref="A153" r:id="rId760" display="http://www.parkrun.org.uk/results/athleteresultshistory/?athleteNumber=13534" xr:uid="{00000000-0004-0000-0E00-0000F7020000}"/>
    <hyperlink ref="A101" r:id="rId761" display="http://www.parkrun.org.uk/results/athleteresultshistory/?athleteNumber=31830" xr:uid="{00000000-0004-0000-0E00-0000F8020000}"/>
    <hyperlink ref="A480" r:id="rId762" display="http://www.parkrun.org.uk/results/athleteresultshistory/?athleteNumber=147616" xr:uid="{00000000-0004-0000-0E00-0000F9020000}"/>
    <hyperlink ref="A1046" r:id="rId763" display="http://www.parkrun.org.uk/results/athleteresultshistory/?athleteNumber=113936" xr:uid="{00000000-0004-0000-0E00-0000FA020000}"/>
    <hyperlink ref="A1086" r:id="rId764" display="http://www.parkrun.org.uk/results/athleteresultshistory/?athleteNumber=38066" xr:uid="{00000000-0004-0000-0E00-0000FB020000}"/>
    <hyperlink ref="A366" r:id="rId765" display="http://www.parkrun.org.uk/results/athleteresultshistory/?athleteNumber=4553" xr:uid="{00000000-0004-0000-0E00-0000FC020000}"/>
    <hyperlink ref="A1120" r:id="rId766" display="http://www.parkrun.org.uk/results/athleteresultshistory/?athleteNumber=14735" xr:uid="{00000000-0004-0000-0E00-0000FD020000}"/>
    <hyperlink ref="A470" r:id="rId767" display="http://www.parkrun.org.uk/results/athleteresultshistory/?athleteNumber=1564" xr:uid="{00000000-0004-0000-0E00-0000FE020000}"/>
    <hyperlink ref="A534" r:id="rId768" display="http://www.parkrun.org.uk/results/athleteresultshistory/?athleteNumber=205080" xr:uid="{00000000-0004-0000-0E00-0000FF020000}"/>
    <hyperlink ref="A120" r:id="rId769" display="http://www.parkrun.org.uk/results/athleteresultshistory/?athleteNumber=13110" xr:uid="{00000000-0004-0000-0E00-000000030000}"/>
    <hyperlink ref="A183" r:id="rId770" display="http://www.parkrun.org.uk/results/athleteresultshistory/?athleteNumber=8863" xr:uid="{00000000-0004-0000-0E00-000001030000}"/>
    <hyperlink ref="A411" r:id="rId771" display="http://www.parkrun.org.uk/results/athleteresultshistory/?athleteNumber=25471" xr:uid="{00000000-0004-0000-0E00-000002030000}"/>
    <hyperlink ref="A481" r:id="rId772" display="http://www.parkrun.org.uk/results/athleteresultshistory/?athleteNumber=16165" xr:uid="{00000000-0004-0000-0E00-000003030000}"/>
    <hyperlink ref="A367" r:id="rId773" display="http://www.parkrun.org.uk/results/athleteresultshistory/?athleteNumber=120310" xr:uid="{00000000-0004-0000-0E00-000004030000}"/>
    <hyperlink ref="A164" r:id="rId774" display="http://www.parkrun.org.uk/results/athleteresultshistory/?athleteNumber=1575" xr:uid="{00000000-0004-0000-0E00-000005030000}"/>
    <hyperlink ref="A340" r:id="rId775" display="http://www.parkrun.org.uk/results/athleteresultshistory/?athleteNumber=79284" xr:uid="{00000000-0004-0000-0E00-000006030000}"/>
    <hyperlink ref="A868" r:id="rId776" display="http://www.parkrun.org.uk/results/athleteresultshistory/?athleteNumber=69679" xr:uid="{00000000-0004-0000-0E00-000007030000}"/>
    <hyperlink ref="A356" r:id="rId777" display="http://www.parkrun.org.uk/results/athleteresultshistory/?athleteNumber=61854" xr:uid="{00000000-0004-0000-0E00-000008030000}"/>
    <hyperlink ref="A175" r:id="rId778" display="http://www.parkrun.org.uk/results/athleteresultshistory/?athleteNumber=6743" xr:uid="{00000000-0004-0000-0E00-000009030000}"/>
    <hyperlink ref="A776" r:id="rId779" display="http://www.parkrun.org.uk/results/athleteresultshistory/?athleteNumber=55557" xr:uid="{00000000-0004-0000-0E00-00000A030000}"/>
    <hyperlink ref="A602" r:id="rId780" display="http://www.parkrun.org.uk/results/athleteresultshistory/?athleteNumber=112399" xr:uid="{00000000-0004-0000-0E00-00000B030000}"/>
    <hyperlink ref="A368" r:id="rId781" display="http://www.parkrun.org.uk/results/athleteresultshistory/?athleteNumber=56740" xr:uid="{00000000-0004-0000-0E00-00000C030000}"/>
    <hyperlink ref="A503" r:id="rId782" display="http://www.parkrun.org.uk/results/athleteresultshistory/?athleteNumber=36558" xr:uid="{00000000-0004-0000-0E00-00000D030000}"/>
    <hyperlink ref="A790" r:id="rId783" display="http://www.parkrun.org.uk/results/athleteresultshistory/?athleteNumber=2900" xr:uid="{00000000-0004-0000-0E00-00000E030000}"/>
    <hyperlink ref="A1141" r:id="rId784" display="http://www.parkrun.org.uk/results/athleteresultshistory/?athleteNumber=117798" xr:uid="{00000000-0004-0000-0E00-00000F030000}"/>
    <hyperlink ref="A1006" r:id="rId785" display="http://www.parkrun.org.uk/results/athleteresultshistory/?athleteNumber=40268" xr:uid="{00000000-0004-0000-0E00-000010030000}"/>
    <hyperlink ref="A979" r:id="rId786" display="http://www.parkrun.org.uk/results/athleteresultshistory/?athleteNumber=67851" xr:uid="{00000000-0004-0000-0E00-000011030000}"/>
    <hyperlink ref="A528" r:id="rId787" display="http://www.parkrun.org.uk/results/athleteresultshistory/?athleteNumber=7742" xr:uid="{00000000-0004-0000-0E00-000012030000}"/>
    <hyperlink ref="A346" r:id="rId788" display="http://www.parkrun.org.uk/results/athleteresultshistory/?athleteNumber=64563" xr:uid="{00000000-0004-0000-0E00-000013030000}"/>
    <hyperlink ref="A170" r:id="rId789" display="http://www.parkrun.org.uk/results/athleteresultshistory/?athleteNumber=1620" xr:uid="{00000000-0004-0000-0E00-000014030000}"/>
    <hyperlink ref="A1087" r:id="rId790" display="http://www.parkrun.org.uk/results/athleteresultshistory/?athleteNumber=37771" xr:uid="{00000000-0004-0000-0E00-000015030000}"/>
    <hyperlink ref="A99" r:id="rId791" display="http://www.parkrun.org.uk/results/athleteresultshistory/?athleteNumber=1623" xr:uid="{00000000-0004-0000-0E00-000016030000}"/>
    <hyperlink ref="A1142" r:id="rId792" display="http://www.parkrun.org.uk/results/athleteresultshistory/?athleteNumber=121453" xr:uid="{00000000-0004-0000-0E00-000017030000}"/>
    <hyperlink ref="A199" r:id="rId793" display="http://www.parkrun.org.uk/results/athleteresultshistory/?athleteNumber=1679" xr:uid="{00000000-0004-0000-0E00-000018030000}"/>
    <hyperlink ref="A925" r:id="rId794" display="http://www.parkrun.org.uk/results/athleteresultshistory/?athleteNumber=156644" xr:uid="{00000000-0004-0000-0E00-000019030000}"/>
    <hyperlink ref="A837" r:id="rId795" display="http://www.parkrun.org.uk/results/athleteresultshistory/?athleteNumber=93024" xr:uid="{00000000-0004-0000-0E00-00001A030000}"/>
    <hyperlink ref="A347" r:id="rId796" display="http://www.parkrun.org.uk/results/athleteresultshistory/?athleteNumber=96112" xr:uid="{00000000-0004-0000-0E00-00001B030000}"/>
    <hyperlink ref="A1088" r:id="rId797" display="http://www.parkrun.org.uk/results/athleteresultshistory/?athleteNumber=14674" xr:uid="{00000000-0004-0000-0E00-00001C030000}"/>
    <hyperlink ref="A609" r:id="rId798" display="http://www.parkrun.org.uk/results/athleteresultshistory/?athleteNumber=1634" xr:uid="{00000000-0004-0000-0E00-00001D030000}"/>
    <hyperlink ref="A907" r:id="rId799" display="http://www.parkrun.org.uk/results/athleteresultshistory/?athleteNumber=114247" xr:uid="{00000000-0004-0000-0E00-00001E030000}"/>
    <hyperlink ref="A671" r:id="rId800" display="http://www.parkrun.org.uk/results/athleteresultshistory/?athleteNumber=125705" xr:uid="{00000000-0004-0000-0E00-00001F030000}"/>
    <hyperlink ref="A588" r:id="rId801" display="http://www.parkrun.org.uk/results/athleteresultshistory/?athleteNumber=26151" xr:uid="{00000000-0004-0000-0E00-000020030000}"/>
    <hyperlink ref="A504" r:id="rId802" display="http://www.parkrun.org.uk/results/athleteresultshistory/?athleteNumber=43916" xr:uid="{00000000-0004-0000-0E00-000021030000}"/>
    <hyperlink ref="A1027" r:id="rId803" display="http://www.parkrun.org.uk/results/athleteresultshistory/?athleteNumber=68744" xr:uid="{00000000-0004-0000-0E00-000022030000}"/>
    <hyperlink ref="A452" r:id="rId804" display="http://www.parkrun.org.uk/results/athleteresultshistory/?athleteNumber=46350" xr:uid="{00000000-0004-0000-0E00-000023030000}"/>
    <hyperlink ref="A908" r:id="rId805" display="http://www.parkrun.org.uk/results/athleteresultshistory/?athleteNumber=103009" xr:uid="{00000000-0004-0000-0E00-000024030000}"/>
    <hyperlink ref="A699" r:id="rId806" display="http://www.parkrun.org.uk/results/athleteresultshistory/?athleteNumber=3921" xr:uid="{00000000-0004-0000-0E00-000025030000}"/>
    <hyperlink ref="A86" r:id="rId807" display="http://www.parkrun.org.uk/results/athleteresultshistory/?athleteNumber=16730" xr:uid="{00000000-0004-0000-0E00-000026030000}"/>
    <hyperlink ref="A200" r:id="rId808" display="http://www.parkrun.org.uk/results/athleteresultshistory/?athleteNumber=32294" xr:uid="{00000000-0004-0000-0E00-000027030000}"/>
    <hyperlink ref="A720" r:id="rId809" display="http://www.parkrun.org.uk/results/athleteresultshistory/?athleteNumber=119334" xr:uid="{00000000-0004-0000-0E00-000028030000}"/>
    <hyperlink ref="A132" r:id="rId810" display="http://www.parkrun.org.uk/results/athleteresultshistory/?athleteNumber=5227" xr:uid="{00000000-0004-0000-0E00-000029030000}"/>
    <hyperlink ref="A855" r:id="rId811" display="http://www.parkrun.org.uk/results/athleteresultshistory/?athleteNumber=14233" xr:uid="{00000000-0004-0000-0E00-00002A030000}"/>
    <hyperlink ref="A391" r:id="rId812" display="http://www.parkrun.org.uk/results/athleteresultshistory/?athleteNumber=49479" xr:uid="{00000000-0004-0000-0E00-00002B030000}"/>
    <hyperlink ref="A549" r:id="rId813" display="http://www.parkrun.org.uk/results/athleteresultshistory/?athleteNumber=75494" xr:uid="{00000000-0004-0000-0E00-00002C030000}"/>
    <hyperlink ref="A791" r:id="rId814" display="http://www.parkrun.org.uk/results/athleteresultshistory/?athleteNumber=15140" xr:uid="{00000000-0004-0000-0E00-00002D030000}"/>
    <hyperlink ref="A733" r:id="rId815" display="http://www.parkrun.org.uk/results/athleteresultshistory/?athleteNumber=83327" xr:uid="{00000000-0004-0000-0E00-00002E030000}"/>
    <hyperlink ref="A236" r:id="rId816" display="http://www.parkrun.org.uk/results/athleteresultshistory/?athleteNumber=24202" xr:uid="{00000000-0004-0000-0E00-00002F030000}"/>
    <hyperlink ref="A471" r:id="rId817" display="http://www.parkrun.org.uk/results/athleteresultshistory/?athleteNumber=1669" xr:uid="{00000000-0004-0000-0E00-000030030000}"/>
    <hyperlink ref="A189" r:id="rId818" display="http://www.parkrun.org.uk/results/athleteresultshistory/?athleteNumber=8259" xr:uid="{00000000-0004-0000-0E00-000031030000}"/>
    <hyperlink ref="A313" r:id="rId819" display="http://www.parkrun.org.uk/results/athleteresultshistory/?athleteNumber=1674" xr:uid="{00000000-0004-0000-0E00-000032030000}"/>
    <hyperlink ref="A348" r:id="rId820" display="http://www.parkrun.org.uk/results/athleteresultshistory/?athleteNumber=66935" xr:uid="{00000000-0004-0000-0E00-000033030000}"/>
    <hyperlink ref="A1089" r:id="rId821" display="http://www.parkrun.org.uk/results/athleteresultshistory/?athleteNumber=67255" xr:uid="{00000000-0004-0000-0E00-000034030000}"/>
    <hyperlink ref="A869" r:id="rId822" display="http://www.parkrun.org.uk/results/athleteresultshistory/?athleteNumber=62117" xr:uid="{00000000-0004-0000-0E00-000035030000}"/>
    <hyperlink ref="A314" r:id="rId823" display="http://www.parkrun.org.uk/results/athleteresultshistory/?athleteNumber=69759" xr:uid="{00000000-0004-0000-0E00-000036030000}"/>
    <hyperlink ref="A392" r:id="rId824" display="http://www.parkrun.org.uk/results/athleteresultshistory/?athleteNumber=14842" xr:uid="{00000000-0004-0000-0E00-000037030000}"/>
    <hyperlink ref="A239" r:id="rId825" display="http://www.parkrun.org.uk/results/athleteresultshistory/?athleteNumber=18178" xr:uid="{00000000-0004-0000-0E00-000038030000}"/>
    <hyperlink ref="A240" r:id="rId826" display="http://www.parkrun.org.uk/results/athleteresultshistory/?athleteNumber=70471" xr:uid="{00000000-0004-0000-0E00-000039030000}"/>
    <hyperlink ref="A402" r:id="rId827" display="http://www.parkrun.org.uk/results/athleteresultshistory/?athleteNumber=68021" xr:uid="{00000000-0004-0000-0E00-00003A030000}"/>
    <hyperlink ref="A1047" r:id="rId828" display="http://www.parkrun.org.uk/results/athleteresultshistory/?athleteNumber=53380" xr:uid="{00000000-0004-0000-0E00-00003B030000}"/>
    <hyperlink ref="A777" r:id="rId829" display="http://www.parkrun.org.uk/results/athleteresultshistory/?athleteNumber=47757" xr:uid="{00000000-0004-0000-0E00-00003C030000}"/>
    <hyperlink ref="A638" r:id="rId830" display="http://www.parkrun.org.uk/results/athleteresultshistory/?athleteNumber=112208" xr:uid="{00000000-0004-0000-0E00-00003D030000}"/>
    <hyperlink ref="A1143" r:id="rId831" display="http://www.parkrun.org.uk/results/athleteresultshistory/?athleteNumber=211316" xr:uid="{00000000-0004-0000-0E00-00003E030000}"/>
    <hyperlink ref="A778" r:id="rId832" display="http://www.parkrun.org.uk/results/athleteresultshistory/?athleteNumber=55810" xr:uid="{00000000-0004-0000-0E00-00003F030000}"/>
    <hyperlink ref="A174" r:id="rId833" display="http://www.parkrun.org.uk/results/athleteresultshistory/?athleteNumber=29299" xr:uid="{00000000-0004-0000-0E00-000040030000}"/>
    <hyperlink ref="A958" r:id="rId834" display="http://www.parkrun.org.uk/results/athleteresultshistory/?athleteNumber=5207" xr:uid="{00000000-0004-0000-0E00-000041030000}"/>
    <hyperlink ref="A1121" r:id="rId835" display="http://www.parkrun.org.uk/results/athleteresultshistory/?athleteNumber=123982" xr:uid="{00000000-0004-0000-0E00-000042030000}"/>
    <hyperlink ref="A980" r:id="rId836" display="http://www.parkrun.org.uk/results/athleteresultshistory/?athleteNumber=134331" xr:uid="{00000000-0004-0000-0E00-000043030000}"/>
    <hyperlink ref="A1162" r:id="rId837" display="http://www.parkrun.org.uk/results/athleteresultshistory/?athleteNumber=22565" xr:uid="{00000000-0004-0000-0E00-000044030000}"/>
    <hyperlink ref="A648" r:id="rId838" display="http://www.parkrun.org.uk/results/athleteresultshistory/?athleteNumber=98439" xr:uid="{00000000-0004-0000-0E00-000045030000}"/>
    <hyperlink ref="A909" r:id="rId839" display="http://www.parkrun.org.uk/results/athleteresultshistory/?athleteNumber=78647" xr:uid="{00000000-0004-0000-0E00-000046030000}"/>
    <hyperlink ref="A658" r:id="rId840" display="http://www.parkrun.org.uk/results/athleteresultshistory/?athleteNumber=91555" xr:uid="{00000000-0004-0000-0E00-000047030000}"/>
    <hyperlink ref="A137" r:id="rId841" display="http://www.parkrun.org.uk/results/athleteresultshistory/?athleteNumber=1707" xr:uid="{00000000-0004-0000-0E00-000048030000}"/>
    <hyperlink ref="A750" r:id="rId842" display="http://www.parkrun.org.uk/results/athleteresultshistory/?athleteNumber=26898" xr:uid="{00000000-0004-0000-0E00-000049030000}"/>
    <hyperlink ref="A981" r:id="rId843" display="http://www.parkrun.org.uk/results/athleteresultshistory/?athleteNumber=60666" xr:uid="{00000000-0004-0000-0E00-00004A030000}"/>
    <hyperlink ref="A369" r:id="rId844" display="http://www.parkrun.org.uk/results/athleteresultshistory/?athleteNumber=46590" xr:uid="{00000000-0004-0000-0E00-00004B030000}"/>
    <hyperlink ref="A926" r:id="rId845" display="http://www.parkrun.org.uk/results/athleteresultshistory/?athleteNumber=59595" xr:uid="{00000000-0004-0000-0E00-00004C030000}"/>
    <hyperlink ref="A734" r:id="rId846" display="http://www.parkrun.org.uk/results/athleteresultshistory/?athleteNumber=55307" xr:uid="{00000000-0004-0000-0E00-00004D030000}"/>
    <hyperlink ref="A982" r:id="rId847" display="http://www.parkrun.org.uk/results/athleteresultshistory/?athleteNumber=116857" xr:uid="{00000000-0004-0000-0E00-00004E030000}"/>
    <hyperlink ref="A341" r:id="rId848" display="http://www.parkrun.org.uk/results/athleteresultshistory/?athleteNumber=17333" xr:uid="{00000000-0004-0000-0E00-00004F030000}"/>
    <hyperlink ref="A207" r:id="rId849" display="http://www.parkrun.org.uk/results/athleteresultshistory/?athleteNumber=25006" xr:uid="{00000000-0004-0000-0E00-000050030000}"/>
    <hyperlink ref="A403" r:id="rId850" display="http://www.parkrun.org.uk/results/athleteresultshistory/?athleteNumber=68020" xr:uid="{00000000-0004-0000-0E00-000051030000}"/>
    <hyperlink ref="A751" r:id="rId851" display="http://www.parkrun.org.uk/results/athleteresultshistory/?athleteNumber=18911" xr:uid="{00000000-0004-0000-0E00-000052030000}"/>
    <hyperlink ref="A227" r:id="rId852" display="http://www.parkrun.org.uk/results/athleteresultshistory/?athleteNumber=1729" xr:uid="{00000000-0004-0000-0E00-000053030000}"/>
    <hyperlink ref="A649" r:id="rId853" display="http://www.parkrun.org.uk/results/athleteresultshistory/?athleteNumber=87995" xr:uid="{00000000-0004-0000-0E00-000054030000}"/>
    <hyperlink ref="A517" r:id="rId854" display="http://www.parkrun.org.uk/results/athleteresultshistory/?athleteNumber=146341" xr:uid="{00000000-0004-0000-0E00-000055030000}"/>
    <hyperlink ref="A804" r:id="rId855" display="http://www.parkrun.org.uk/results/athleteresultshistory/?athleteNumber=1737" xr:uid="{00000000-0004-0000-0E00-000056030000}"/>
    <hyperlink ref="A712" r:id="rId856" display="http://www.parkrun.org.uk/results/athleteresultshistory/?athleteNumber=9956" xr:uid="{00000000-0004-0000-0E00-000057030000}"/>
    <hyperlink ref="A361" r:id="rId857" display="http://www.parkrun.org.uk/results/athleteresultshistory/?athleteNumber=11049" xr:uid="{00000000-0004-0000-0E00-000058030000}"/>
    <hyperlink ref="A927" r:id="rId858" display="http://www.parkrun.org.uk/results/athleteresultshistory/?athleteNumber=194748" xr:uid="{00000000-0004-0000-0E00-000059030000}"/>
    <hyperlink ref="A266" r:id="rId859" display="http://www.parkrun.org.uk/results/athleteresultshistory/?athleteNumber=52949" xr:uid="{00000000-0004-0000-0E00-00005A030000}"/>
    <hyperlink ref="A838" r:id="rId860" display="http://www.parkrun.org.uk/results/athleteresultshistory/?athleteNumber=98846" xr:uid="{00000000-0004-0000-0E00-00005B030000}"/>
    <hyperlink ref="A1163" r:id="rId861" display="http://www.parkrun.org.uk/results/athleteresultshistory/?athleteNumber=218360" xr:uid="{00000000-0004-0000-0E00-00005C030000}"/>
    <hyperlink ref="A1028" r:id="rId862" display="http://www.parkrun.org.uk/results/athleteresultshistory/?athleteNumber=115964" xr:uid="{00000000-0004-0000-0E00-00005D030000}"/>
    <hyperlink ref="A272" r:id="rId863" display="http://www.parkrun.org.uk/results/athleteresultshistory/?athleteNumber=20006" xr:uid="{00000000-0004-0000-0E00-00005E030000}"/>
    <hyperlink ref="A112" r:id="rId864" display="http://www.parkrun.org.uk/results/athleteresultshistory/?athleteNumber=4432" xr:uid="{00000000-0004-0000-0E00-00005F030000}"/>
    <hyperlink ref="A870" r:id="rId865" display="http://www.parkrun.org.uk/results/athleteresultshistory/?athleteNumber=39248" xr:uid="{00000000-0004-0000-0E00-000060030000}"/>
    <hyperlink ref="A393" r:id="rId866" display="http://www.parkrun.org.uk/results/athleteresultshistory/?athleteNumber=4417" xr:uid="{00000000-0004-0000-0E00-000061030000}"/>
    <hyperlink ref="A330" r:id="rId867" display="http://www.parkrun.org.uk/results/athleteresultshistory/?athleteNumber=30876" xr:uid="{00000000-0004-0000-0E00-000062030000}"/>
    <hyperlink ref="A435" r:id="rId868" display="http://www.parkrun.org.uk/results/athleteresultshistory/?athleteNumber=55818" xr:uid="{00000000-0004-0000-0E00-000063030000}"/>
    <hyperlink ref="A535" r:id="rId869" display="http://www.parkrun.org.uk/results/athleteresultshistory/?athleteNumber=1759" xr:uid="{00000000-0004-0000-0E00-000064030000}"/>
    <hyperlink ref="A77" r:id="rId870" display="http://www.parkrun.org.uk/results/athleteresultshistory/?athleteNumber=2360" xr:uid="{00000000-0004-0000-0E00-000065030000}"/>
    <hyperlink ref="A959" r:id="rId871" display="http://www.parkrun.org.uk/results/athleteresultshistory/?athleteNumber=73636" xr:uid="{00000000-0004-0000-0E00-000066030000}"/>
    <hyperlink ref="A839" r:id="rId872" display="http://www.parkrun.org.uk/results/athleteresultshistory/?athleteNumber=33213" xr:uid="{00000000-0004-0000-0E00-000067030000}"/>
    <hyperlink ref="A752" r:id="rId873" display="http://www.parkrun.org.uk/results/athleteresultshistory/?athleteNumber=77417" xr:uid="{00000000-0004-0000-0E00-000068030000}"/>
    <hyperlink ref="A983" r:id="rId874" display="http://www.parkrun.org.uk/results/athleteresultshistory/?athleteNumber=5071" xr:uid="{00000000-0004-0000-0E00-000069030000}"/>
    <hyperlink ref="A194" r:id="rId875" display="http://www.parkrun.org.uk/results/athleteresultshistory/?athleteNumber=1781" xr:uid="{00000000-0004-0000-0E00-00006A030000}"/>
    <hyperlink ref="A700" r:id="rId876" display="http://www.parkrun.org.uk/results/athleteresultshistory/?athleteNumber=46052" xr:uid="{00000000-0004-0000-0E00-00006B030000}"/>
    <hyperlink ref="A72" r:id="rId877" display="http://www.parkrun.org.uk/results/athleteresultshistory/?athleteNumber=1786" xr:uid="{00000000-0004-0000-0E00-00006C030000}"/>
    <hyperlink ref="A1065" r:id="rId878" display="http://www.parkrun.org.uk/results/athleteresultshistory/?athleteNumber=93783" xr:uid="{00000000-0004-0000-0E00-00006D030000}"/>
    <hyperlink ref="A945" r:id="rId879" display="http://www.parkrun.org.uk/results/athleteresultshistory/?athleteNumber=189837" xr:uid="{00000000-0004-0000-0E00-00006E030000}"/>
    <hyperlink ref="A374" r:id="rId880" display="http://www.parkrun.org.uk/results/athleteresultshistory/?athleteNumber=92700" xr:uid="{00000000-0004-0000-0E00-00006F030000}"/>
    <hyperlink ref="A1109" r:id="rId881" display="http://www.parkrun.org.uk/results/athleteresultshistory/?athleteNumber=14661" xr:uid="{00000000-0004-0000-0E00-000070030000}"/>
    <hyperlink ref="A639" r:id="rId882" display="http://www.parkrun.org.uk/results/athleteresultshistory/?athleteNumber=50048" xr:uid="{00000000-0004-0000-0E00-000071030000}"/>
    <hyperlink ref="A1048" r:id="rId883" display="http://www.parkrun.org.uk/results/athleteresultshistory/?athleteNumber=209511" xr:uid="{00000000-0004-0000-0E00-000072030000}"/>
    <hyperlink ref="A840" r:id="rId884" display="http://www.parkrun.org.uk/results/athleteresultshistory/?athleteNumber=121768" xr:uid="{00000000-0004-0000-0E00-000073030000}"/>
    <hyperlink ref="A820" r:id="rId885" display="http://www.parkrun.org.uk/results/athleteresultshistory/?athleteNumber=51116" xr:uid="{00000000-0004-0000-0E00-000074030000}"/>
    <hyperlink ref="A241" r:id="rId886" display="http://www.parkrun.org.uk/results/athleteresultshistory/?athleteNumber=9138" xr:uid="{00000000-0004-0000-0E00-000075030000}"/>
    <hyperlink ref="A1122" r:id="rId887" display="http://www.parkrun.org.uk/results/athleteresultshistory/?athleteNumber=31033" xr:uid="{00000000-0004-0000-0E00-000076030000}"/>
    <hyperlink ref="A412" r:id="rId888" display="http://www.parkrun.org.uk/results/athleteresultshistory/?athleteNumber=2979" xr:uid="{00000000-0004-0000-0E00-000077030000}"/>
    <hyperlink ref="A267" r:id="rId889" display="http://www.parkrun.org.uk/results/athleteresultshistory/?athleteNumber=37186" xr:uid="{00000000-0004-0000-0E00-000078030000}"/>
    <hyperlink ref="A301" r:id="rId890" display="http://www.parkrun.org.uk/results/athleteresultshistory/?athleteNumber=29361" xr:uid="{00000000-0004-0000-0E00-000079030000}"/>
    <hyperlink ref="A413" r:id="rId891" display="http://www.parkrun.org.uk/results/athleteresultshistory/?athleteNumber=75992" xr:uid="{00000000-0004-0000-0E00-00007A030000}"/>
    <hyperlink ref="A322" r:id="rId892" display="http://www.parkrun.org.uk/results/athleteresultshistory/?athleteNumber=18302" xr:uid="{00000000-0004-0000-0E00-00007B030000}"/>
    <hyperlink ref="A779" r:id="rId893" display="http://www.parkrun.org.uk/results/athleteresultshistory/?athleteNumber=105483" xr:uid="{00000000-0004-0000-0E00-00007C030000}"/>
    <hyperlink ref="A928" r:id="rId894" display="http://www.parkrun.org.uk/results/athleteresultshistory/?athleteNumber=70363" xr:uid="{00000000-0004-0000-0E00-00007D030000}"/>
    <hyperlink ref="A302" r:id="rId895" display="http://www.parkrun.org.uk/results/athleteresultshistory/?athleteNumber=20077" xr:uid="{00000000-0004-0000-0E00-00007E030000}"/>
    <hyperlink ref="A1110" r:id="rId896" display="http://www.parkrun.org.uk/results/athleteresultshistory/?athleteNumber=74039" xr:uid="{00000000-0004-0000-0E00-00007F030000}"/>
    <hyperlink ref="A414" r:id="rId897" display="http://www.parkrun.org.uk/results/athleteresultshistory/?athleteNumber=18846" xr:uid="{00000000-0004-0000-0E00-000080030000}"/>
    <hyperlink ref="A394" r:id="rId898" display="http://www.parkrun.org.uk/results/athleteresultshistory/?athleteNumber=114726" xr:uid="{00000000-0004-0000-0E00-000081030000}"/>
    <hyperlink ref="A841" r:id="rId899" display="http://www.parkrun.org.uk/results/athleteresultshistory/?athleteNumber=1827" xr:uid="{00000000-0004-0000-0E00-000082030000}"/>
    <hyperlink ref="A133" r:id="rId900" display="http://www.parkrun.org.uk/results/athleteresultshistory/?athleteNumber=3845" xr:uid="{00000000-0004-0000-0E00-000083030000}"/>
    <hyperlink ref="A1007" r:id="rId901" display="http://www.parkrun.org.uk/results/athleteresultshistory/?athleteNumber=49712" xr:uid="{00000000-0004-0000-0E00-000084030000}"/>
    <hyperlink ref="A735" r:id="rId902" display="http://www.parkrun.org.uk/results/athleteresultshistory/?athleteNumber=8757" xr:uid="{00000000-0004-0000-0E00-000085030000}"/>
    <hyperlink ref="A871" r:id="rId903" display="http://www.parkrun.org.uk/results/athleteresultshistory/?athleteNumber=50108" xr:uid="{00000000-0004-0000-0E00-000086030000}"/>
    <hyperlink ref="A946" r:id="rId904" display="http://www.parkrun.org.uk/results/athleteresultshistory/?athleteNumber=15408" xr:uid="{00000000-0004-0000-0E00-000087030000}"/>
    <hyperlink ref="A1066" r:id="rId905" display="http://www.parkrun.org.uk/results/athleteresultshistory/?athleteNumber=174462" xr:uid="{00000000-0004-0000-0E00-000088030000}"/>
    <hyperlink ref="A960" r:id="rId906" display="http://www.parkrun.org.uk/results/athleteresultshistory/?athleteNumber=70689" xr:uid="{00000000-0004-0000-0E00-000089030000}"/>
    <hyperlink ref="A929" r:id="rId907" display="http://www.parkrun.org.uk/results/athleteresultshistory/?athleteNumber=13693" xr:uid="{00000000-0004-0000-0E00-00008A030000}"/>
    <hyperlink ref="A472" r:id="rId908" display="http://www.parkrun.org.uk/results/athleteresultshistory/?athleteNumber=7945" xr:uid="{00000000-0004-0000-0E00-00008B030000}"/>
    <hyperlink ref="A536" r:id="rId909" display="http://www.parkrun.org.uk/results/athleteresultshistory/?athleteNumber=73804" xr:uid="{00000000-0004-0000-0E00-00008C030000}"/>
    <hyperlink ref="A228" r:id="rId910" display="http://www.parkrun.org.uk/results/athleteresultshistory/?athleteNumber=63755" xr:uid="{00000000-0004-0000-0E00-00008D030000}"/>
    <hyperlink ref="A621" r:id="rId911" display="http://www.parkrun.org.uk/results/athleteresultshistory/?athleteNumber=11477" xr:uid="{00000000-0004-0000-0E00-00008E030000}"/>
    <hyperlink ref="A420" r:id="rId912" display="http://www.parkrun.org.uk/results/athleteresultshistory/?athleteNumber=16896" xr:uid="{00000000-0004-0000-0E00-00008F030000}"/>
    <hyperlink ref="A1029" r:id="rId913" display="http://www.parkrun.org.uk/results/athleteresultshistory/?athleteNumber=81914" xr:uid="{00000000-0004-0000-0E00-000090030000}"/>
    <hyperlink ref="A762" r:id="rId914" display="http://www.parkrun.org.uk/results/athleteresultshistory/?athleteNumber=42078" xr:uid="{00000000-0004-0000-0E00-000091030000}"/>
    <hyperlink ref="A242" r:id="rId915" display="http://www.parkrun.org.uk/results/athleteresultshistory/?athleteNumber=70172" xr:uid="{00000000-0004-0000-0E00-000092030000}"/>
    <hyperlink ref="A1164" r:id="rId916" display="http://www.parkrun.org.uk/results/athleteresultshistory/?athleteNumber=113437" xr:uid="{00000000-0004-0000-0E00-000093030000}"/>
    <hyperlink ref="A622" r:id="rId917" display="http://www.parkrun.org.uk/results/athleteresultshistory/?athleteNumber=92128" xr:uid="{00000000-0004-0000-0E00-000094030000}"/>
    <hyperlink ref="A1123" r:id="rId918" display="http://www.parkrun.org.uk/results/athleteresultshistory/?athleteNumber=38403" xr:uid="{00000000-0004-0000-0E00-000095030000}"/>
    <hyperlink ref="A565" r:id="rId919" display="http://www.parkrun.org.uk/results/athleteresultshistory/?athleteNumber=5059" xr:uid="{00000000-0004-0000-0E00-000096030000}"/>
    <hyperlink ref="A682" r:id="rId920" display="http://www.parkrun.org.uk/results/athleteresultshistory/?athleteNumber=19258" xr:uid="{00000000-0004-0000-0E00-000097030000}"/>
    <hyperlink ref="A721" r:id="rId921" display="http://www.parkrun.org.uk/results/athleteresultshistory/?athleteNumber=93268" xr:uid="{00000000-0004-0000-0E00-000098030000}"/>
    <hyperlink ref="A856" r:id="rId922" display="http://www.parkrun.org.uk/results/athleteresultshistory/?athleteNumber=101223" xr:uid="{00000000-0004-0000-0E00-000099030000}"/>
    <hyperlink ref="A518" r:id="rId923" display="http://www.parkrun.org.uk/results/athleteresultshistory/?athleteNumber=16760" xr:uid="{00000000-0004-0000-0E00-00009A030000}"/>
    <hyperlink ref="A623" r:id="rId924" display="http://www.parkrun.org.uk/results/athleteresultshistory/?athleteNumber=1873" xr:uid="{00000000-0004-0000-0E00-00009B030000}"/>
    <hyperlink ref="A149" r:id="rId925" display="http://www.parkrun.org.uk/results/athleteresultshistory/?athleteNumber=19602" xr:uid="{00000000-0004-0000-0E00-00009C030000}"/>
    <hyperlink ref="A108" r:id="rId926" display="http://www.parkrun.org.uk/results/athleteresultshistory/?athleteNumber=13199" xr:uid="{00000000-0004-0000-0E00-00009D030000}"/>
    <hyperlink ref="A872" r:id="rId927" display="http://www.parkrun.org.uk/results/athleteresultshistory/?athleteNumber=74409" xr:uid="{00000000-0004-0000-0E00-00009E030000}"/>
    <hyperlink ref="A821" r:id="rId928" display="http://www.parkrun.org.uk/results/athleteresultshistory/?athleteNumber=54076" xr:uid="{00000000-0004-0000-0E00-00009F030000}"/>
    <hyperlink ref="A805" r:id="rId929" display="http://www.parkrun.org.uk/results/athleteresultshistory/?athleteNumber=14727" xr:uid="{00000000-0004-0000-0E00-0000A0030000}"/>
    <hyperlink ref="A143" r:id="rId930" display="http://www.parkrun.org.uk/results/athleteresultshistory/?athleteNumber=19783" xr:uid="{00000000-0004-0000-0E00-0000A1030000}"/>
    <hyperlink ref="A1008" r:id="rId931" display="http://www.parkrun.org.uk/results/athleteresultshistory/?athleteNumber=52953" xr:uid="{00000000-0004-0000-0E00-0000A2030000}"/>
    <hyperlink ref="A323" r:id="rId932" display="http://www.parkrun.org.uk/results/athleteresultshistory/?athleteNumber=17428" xr:uid="{00000000-0004-0000-0E00-0000A3030000}"/>
    <hyperlink ref="A294" r:id="rId933" display="http://www.parkrun.org.uk/results/athleteresultshistory/?athleteNumber=74670" xr:uid="{00000000-0004-0000-0E00-0000A4030000}"/>
    <hyperlink ref="A873" r:id="rId934" display="http://www.parkrun.org.uk/results/athleteresultshistory/?athleteNumber=45422" xr:uid="{00000000-0004-0000-0E00-0000A5030000}"/>
    <hyperlink ref="A171" r:id="rId935" display="http://www.parkrun.org.uk/results/athleteresultshistory/?athleteNumber=46194" xr:uid="{00000000-0004-0000-0E00-0000A6030000}"/>
    <hyperlink ref="A144" r:id="rId936" display="http://www.parkrun.org.uk/results/athleteresultshistory/?athleteNumber=1892" xr:uid="{00000000-0004-0000-0E00-0000A7030000}"/>
    <hyperlink ref="A453" r:id="rId937" display="http://www.parkrun.org.uk/results/athleteresultshistory/?athleteNumber=40715" xr:uid="{00000000-0004-0000-0E00-0000A8030000}"/>
    <hyperlink ref="A1030" r:id="rId938" display="http://www.parkrun.org.uk/results/athleteresultshistory/?athleteNumber=64134" xr:uid="{00000000-0004-0000-0E00-0000A9030000}"/>
    <hyperlink ref="A631" r:id="rId939" display="http://www.parkrun.org.uk/results/athleteresultshistory/?athleteNumber=16124" xr:uid="{00000000-0004-0000-0E00-0000AA030000}"/>
    <hyperlink ref="A566" r:id="rId940" display="http://www.parkrun.org.uk/results/athleteresultshistory/?athleteNumber=13195" xr:uid="{00000000-0004-0000-0E00-0000AB030000}"/>
    <hyperlink ref="A379" r:id="rId941" display="http://www.parkrun.org.uk/results/athleteresultshistory/?athleteNumber=47559" xr:uid="{00000000-0004-0000-0E00-0000AC030000}"/>
    <hyperlink ref="A780" r:id="rId942" display="http://www.parkrun.org.uk/results/athleteresultshistory/?athleteNumber=22544" xr:uid="{00000000-0004-0000-0E00-0000AD030000}"/>
    <hyperlink ref="A537" r:id="rId943" display="http://www.parkrun.org.uk/results/athleteresultshistory/?athleteNumber=1897" xr:uid="{00000000-0004-0000-0E00-0000AE030000}"/>
    <hyperlink ref="A1009" r:id="rId944" display="http://www.parkrun.org.uk/results/athleteresultshistory/?athleteNumber=76721" xr:uid="{00000000-0004-0000-0E00-0000AF030000}"/>
    <hyperlink ref="A494" r:id="rId945" display="http://www.parkrun.org.uk/results/athleteresultshistory/?athleteNumber=11017" xr:uid="{00000000-0004-0000-0E00-0000B0030000}"/>
    <hyperlink ref="A162" r:id="rId946" display="http://www.parkrun.org.uk/results/athleteresultshistory/?athleteNumber=14374" xr:uid="{00000000-0004-0000-0E00-0000B1030000}"/>
    <hyperlink ref="A806" r:id="rId947" display="http://www.parkrun.org.uk/results/athleteresultshistory/?athleteNumber=37545" xr:uid="{00000000-0004-0000-0E00-0000B2030000}"/>
    <hyperlink ref="A1067" r:id="rId948" display="http://www.parkrun.org.uk/results/athleteresultshistory/?athleteNumber=21699" xr:uid="{00000000-0004-0000-0E00-0000B3030000}"/>
    <hyperlink ref="A1031" r:id="rId949" display="http://www.parkrun.org.uk/results/athleteresultshistory/?athleteNumber=5253" xr:uid="{00000000-0004-0000-0E00-0000B4030000}"/>
    <hyperlink ref="A134" r:id="rId950" display="http://www.parkrun.org.uk/results/athleteresultshistory/?athleteNumber=26084" xr:uid="{00000000-0004-0000-0E00-0000B5030000}"/>
    <hyperlink ref="A454" r:id="rId951" display="http://www.parkrun.org.uk/results/athleteresultshistory/?athleteNumber=17134" xr:uid="{00000000-0004-0000-0E00-0000B6030000}"/>
    <hyperlink ref="A807" r:id="rId952" display="http://www.parkrun.org.uk/results/athleteresultshistory/?athleteNumber=105058" xr:uid="{00000000-0004-0000-0E00-0000B7030000}"/>
    <hyperlink ref="A331" r:id="rId953" display="http://www.parkrun.org.uk/results/athleteresultshistory/?athleteNumber=57950" xr:uid="{00000000-0004-0000-0E00-0000B8030000}"/>
    <hyperlink ref="A893" r:id="rId954" display="http://www.parkrun.org.uk/results/athleteresultshistory/?athleteNumber=108816" xr:uid="{00000000-0004-0000-0E00-0000B9030000}"/>
    <hyperlink ref="A701" r:id="rId955" display="http://www.parkrun.org.uk/results/athleteresultshistory/?athleteNumber=44712" xr:uid="{00000000-0004-0000-0E00-0000BA030000}"/>
    <hyperlink ref="A122" r:id="rId956" display="http://www.parkrun.org.uk/results/athleteresultshistory/?athleteNumber=18023" xr:uid="{00000000-0004-0000-0E00-0000BB030000}"/>
    <hyperlink ref="A1049" r:id="rId957" display="http://www.parkrun.org.uk/results/athleteresultshistory/?athleteNumber=29227" xr:uid="{00000000-0004-0000-0E00-0000BC030000}"/>
    <hyperlink ref="A722" r:id="rId958" display="http://www.parkrun.org.uk/results/athleteresultshistory/?athleteNumber=101150" xr:uid="{00000000-0004-0000-0E00-0000BD030000}"/>
    <hyperlink ref="A538" r:id="rId959" display="http://www.parkrun.org.uk/results/athleteresultshistory/?athleteNumber=1968" xr:uid="{00000000-0004-0000-0E00-0000BE030000}"/>
    <hyperlink ref="A268" r:id="rId960" display="http://www.parkrun.org.uk/results/athleteresultshistory/?athleteNumber=10336" xr:uid="{00000000-0004-0000-0E00-0000BF030000}"/>
    <hyperlink ref="A567" r:id="rId961" display="http://www.parkrun.org.uk/results/athleteresultshistory/?athleteNumber=1972" xr:uid="{00000000-0004-0000-0E00-0000C0030000}"/>
    <hyperlink ref="A165" r:id="rId962" display="http://www.parkrun.org.uk/results/athleteresultshistory/?athleteNumber=1974" xr:uid="{00000000-0004-0000-0E00-0000C1030000}"/>
    <hyperlink ref="A473" r:id="rId963" display="http://www.parkrun.org.uk/results/athleteresultshistory/?athleteNumber=41540" xr:uid="{00000000-0004-0000-0E00-0000C2030000}"/>
    <hyperlink ref="A550" r:id="rId964" display="http://www.parkrun.org.uk/results/athleteresultshistory/?athleteNumber=18629" xr:uid="{00000000-0004-0000-0E00-0000C3030000}"/>
    <hyperlink ref="A1032" r:id="rId965" display="http://www.parkrun.org.uk/results/athleteresultshistory/?athleteNumber=93416" xr:uid="{00000000-0004-0000-0E00-0000C4030000}"/>
    <hyperlink ref="A822" r:id="rId966" display="http://www.parkrun.org.uk/results/athleteresultshistory/?athleteNumber=76882" xr:uid="{00000000-0004-0000-0E00-0000C5030000}"/>
    <hyperlink ref="A519" r:id="rId967" display="http://www.parkrun.org.uk/results/athleteresultshistory/?athleteNumber=16010" xr:uid="{00000000-0004-0000-0E00-0000C6030000}"/>
    <hyperlink ref="A874" r:id="rId968" display="http://www.parkrun.org.uk/results/athleteresultshistory/?athleteNumber=31405" xr:uid="{00000000-0004-0000-0E00-0000C7030000}"/>
    <hyperlink ref="A74" r:id="rId969" display="http://www.parkrun.org.uk/results/athleteresultshistory/?athleteNumber=1998" xr:uid="{00000000-0004-0000-0E00-0000C8030000}"/>
    <hyperlink ref="A1144" r:id="rId970" display="http://www.parkrun.org.uk/results/athleteresultshistory/?athleteNumber=32374" xr:uid="{00000000-0004-0000-0E00-0000C9030000}"/>
    <hyperlink ref="A203" r:id="rId971" display="http://www.parkrun.org.uk/results/athleteresultshistory/?athleteNumber=64658" xr:uid="{00000000-0004-0000-0E00-0000CA030000}"/>
    <hyperlink ref="A984" r:id="rId972" display="http://www.parkrun.org.uk/results/athleteresultshistory/?athleteNumber=20066" xr:uid="{00000000-0004-0000-0E00-0000CB030000}"/>
    <hyperlink ref="A875" r:id="rId973" display="http://www.parkrun.org.uk/results/athleteresultshistory/?athleteNumber=110992" xr:uid="{00000000-0004-0000-0E00-0000CC030000}"/>
    <hyperlink ref="A713" r:id="rId974" display="http://www.parkrun.org.uk/results/athleteresultshistory/?athleteNumber=74172" xr:uid="{00000000-0004-0000-0E00-0000CD030000}"/>
    <hyperlink ref="A1050" r:id="rId975" display="http://www.parkrun.org.uk/results/athleteresultshistory/?athleteNumber=211076" xr:uid="{00000000-0004-0000-0E00-0000CE030000}"/>
    <hyperlink ref="A295" r:id="rId976" display="http://www.parkrun.org.uk/results/athleteresultshistory/?athleteNumber=41934" xr:uid="{00000000-0004-0000-0E00-0000CF030000}"/>
    <hyperlink ref="A610" r:id="rId977" display="http://www.parkrun.org.uk/results/athleteresultshistory/?athleteNumber=13963" xr:uid="{00000000-0004-0000-0E00-0000D0030000}"/>
    <hyperlink ref="A947" r:id="rId978" display="http://www.parkrun.org.uk/results/athleteresultshistory/?athleteNumber=87466" xr:uid="{00000000-0004-0000-0E00-0000D1030000}"/>
    <hyperlink ref="A145" r:id="rId979" display="http://www.parkrun.org.uk/results/athleteresultshistory/?athleteNumber=9671" xr:uid="{00000000-0004-0000-0E00-0000D2030000}"/>
    <hyperlink ref="A482" r:id="rId980" display="http://www.parkrun.org.uk/results/athleteresultshistory/?athleteNumber=25306" xr:uid="{00000000-0004-0000-0E00-0000D3030000}"/>
    <hyperlink ref="A1124" r:id="rId981" display="http://www.parkrun.org.uk/results/athleteresultshistory/?athleteNumber=56276" xr:uid="{00000000-0004-0000-0E00-0000D4030000}"/>
    <hyperlink ref="A184" r:id="rId982" display="http://www.parkrun.org.uk/results/athleteresultshistory/?athleteNumber=10581" xr:uid="{00000000-0004-0000-0E00-0000D5030000}"/>
    <hyperlink ref="A985" r:id="rId983" display="http://www.parkrun.org.uk/results/athleteresultshistory/?athleteNumber=15541" xr:uid="{00000000-0004-0000-0E00-0000D6030000}"/>
    <hyperlink ref="A177" r:id="rId984" display="http://www.parkrun.org.uk/results/athleteresultshistory/?athleteNumber=42217" xr:uid="{00000000-0004-0000-0E00-0000D7030000}"/>
    <hyperlink ref="A211" r:id="rId985" display="http://www.parkrun.org.uk/results/athleteresultshistory/?athleteNumber=9792" xr:uid="{00000000-0004-0000-0E00-0000D8030000}"/>
    <hyperlink ref="A315" r:id="rId986" display="http://www.parkrun.org.uk/results/athleteresultshistory/?athleteNumber=42943" xr:uid="{00000000-0004-0000-0E00-0000D9030000}"/>
    <hyperlink ref="A1051" r:id="rId987" display="http://www.parkrun.org.uk/results/athleteresultshistory/?athleteNumber=39036" xr:uid="{00000000-0004-0000-0E00-0000DA030000}"/>
    <hyperlink ref="A551" r:id="rId988" display="http://www.parkrun.org.uk/results/athleteresultshistory/?athleteNumber=69484" xr:uid="{00000000-0004-0000-0E00-0000DB030000}"/>
    <hyperlink ref="A286" r:id="rId989" display="http://www.parkrun.org.uk/results/athleteresultshistory/?athleteNumber=2056" xr:uid="{00000000-0004-0000-0E00-0000DC030000}"/>
    <hyperlink ref="A136" r:id="rId990" display="http://www.parkrun.org.uk/results/athleteresultshistory/?athleteNumber=22706" xr:uid="{00000000-0004-0000-0E00-0000DD030000}"/>
    <hyperlink ref="A539" r:id="rId991" display="http://www.parkrun.org.uk/results/athleteresultshistory/?athleteNumber=18922" xr:uid="{00000000-0004-0000-0E00-0000DE030000}"/>
    <hyperlink ref="A1090" r:id="rId992" display="http://www.parkrun.org.uk/results/athleteresultshistory/?athleteNumber=88020" xr:uid="{00000000-0004-0000-0E00-0000DF030000}"/>
    <hyperlink ref="A269" r:id="rId993" display="http://www.parkrun.org.uk/results/athleteresultshistory/?athleteNumber=20436" xr:uid="{00000000-0004-0000-0E00-0000E0030000}"/>
    <hyperlink ref="A1010" r:id="rId994" display="http://www.parkrun.org.uk/results/athleteresultshistory/?athleteNumber=27150" xr:uid="{00000000-0004-0000-0E00-0000E1030000}"/>
    <hyperlink ref="A1091" r:id="rId995" display="http://www.parkrun.org.uk/results/athleteresultshistory/?athleteNumber=62533" xr:uid="{00000000-0004-0000-0E00-0000E2030000}"/>
    <hyperlink ref="A589" r:id="rId996" display="http://www.parkrun.org.uk/results/athleteresultshistory/?athleteNumber=2069" xr:uid="{00000000-0004-0000-0E00-0000E3030000}"/>
    <hyperlink ref="A1111" r:id="rId997" display="http://www.parkrun.org.uk/results/athleteresultshistory/?athleteNumber=45221" xr:uid="{00000000-0004-0000-0E00-0000E4030000}"/>
    <hyperlink ref="A398" r:id="rId998" display="http://www.parkrun.org.uk/results/athleteresultshistory/?athleteNumber=40660" xr:uid="{00000000-0004-0000-0E00-0000E5030000}"/>
    <hyperlink ref="A273" r:id="rId999" display="http://www.parkrun.org.uk/results/athleteresultshistory/?athleteNumber=3948" xr:uid="{00000000-0004-0000-0E00-0000E6030000}"/>
    <hyperlink ref="A404" r:id="rId1000" display="http://www.parkrun.org.uk/results/athleteresultshistory/?athleteNumber=17679" xr:uid="{00000000-0004-0000-0E00-0000E7030000}"/>
    <hyperlink ref="A1145" r:id="rId1001" display="http://www.parkrun.org.uk/results/athleteresultshistory/?athleteNumber=80797" xr:uid="{00000000-0004-0000-0E00-0000E8030000}"/>
    <hyperlink ref="A380" r:id="rId1002" display="http://www.parkrun.org.uk/results/athleteresultshistory/?athleteNumber=58114" xr:uid="{00000000-0004-0000-0E00-0000E9030000}"/>
    <hyperlink ref="A590" r:id="rId1003" display="http://www.parkrun.org.uk/results/athleteresultshistory/?athleteNumber=108116" xr:uid="{00000000-0004-0000-0E00-0000EA030000}"/>
    <hyperlink ref="A87" r:id="rId1004" display="http://www.parkrun.org.uk/results/athleteresultshistory/?athleteNumber=8174" xr:uid="{00000000-0004-0000-0E00-0000EB030000}"/>
    <hyperlink ref="A78" r:id="rId1005" display="http://www.parkrun.org.uk/results/athleteresultshistory/?athleteNumber=13824" xr:uid="{00000000-0004-0000-0E00-0000EC030000}"/>
    <hyperlink ref="A650" r:id="rId1006" display="http://www.parkrun.org.uk/results/athleteresultshistory/?athleteNumber=48668" xr:uid="{00000000-0004-0000-0E00-0000ED030000}"/>
    <hyperlink ref="A736" r:id="rId1007" display="http://www.parkrun.org.uk/results/athleteresultshistory/?athleteNumber=49766" xr:uid="{00000000-0004-0000-0E00-0000EE030000}"/>
    <hyperlink ref="A1146" r:id="rId1008" display="http://www.parkrun.org.uk/results/athleteresultshistory/?athleteNumber=167741" xr:uid="{00000000-0004-0000-0E00-0000EF030000}"/>
    <hyperlink ref="A540" r:id="rId1009" display="http://www.parkrun.org.uk/results/athleteresultshistory/?athleteNumber=22369" xr:uid="{00000000-0004-0000-0E00-0000F0030000}"/>
    <hyperlink ref="A95" r:id="rId1010" display="http://www.parkrun.org.uk/results/athleteresultshistory/?athleteNumber=2089" xr:uid="{00000000-0004-0000-0E00-0000F1030000}"/>
    <hyperlink ref="A1033" r:id="rId1011" display="http://www.parkrun.org.uk/results/athleteresultshistory/?athleteNumber=16588" xr:uid="{00000000-0004-0000-0E00-0000F2030000}"/>
    <hyperlink ref="A930" r:id="rId1012" display="http://www.parkrun.org.uk/results/athleteresultshistory/?athleteNumber=30941" xr:uid="{00000000-0004-0000-0E00-0000F3030000}"/>
    <hyperlink ref="A948" r:id="rId1013" display="http://www.parkrun.org.uk/results/athleteresultshistory/?athleteNumber=9870" xr:uid="{00000000-0004-0000-0E00-0000F4030000}"/>
    <hyperlink ref="A763" r:id="rId1014" display="http://www.parkrun.org.uk/results/athleteresultshistory/?athleteNumber=21385" xr:uid="{00000000-0004-0000-0E00-0000F5030000}"/>
    <hyperlink ref="A986" r:id="rId1015" display="http://www.parkrun.org.uk/results/athleteresultshistory/?athleteNumber=6540" xr:uid="{00000000-0004-0000-0E00-0000F6030000}"/>
    <hyperlink ref="A611" r:id="rId1016" display="http://www.parkrun.org.uk/results/athleteresultshistory/?athleteNumber=23695" xr:uid="{00000000-0004-0000-0E00-0000F7030000}"/>
    <hyperlink ref="A214" r:id="rId1017" display="http://www.parkrun.org.uk/results/athleteresultshistory/?athleteNumber=2097" xr:uid="{00000000-0004-0000-0E00-0000F8030000}"/>
    <hyperlink ref="A624" r:id="rId1018" display="http://www.parkrun.org.uk/results/athleteresultshistory/?athleteNumber=51869" xr:uid="{00000000-0004-0000-0E00-0000F9030000}"/>
    <hyperlink ref="A243" r:id="rId1019" display="http://www.parkrun.org.uk/results/athleteresultshistory/?athleteNumber=19577" xr:uid="{00000000-0004-0000-0E00-0000FA030000}"/>
    <hyperlink ref="A1165" r:id="rId1020" display="http://www.parkrun.org.uk/results/athleteresultshistory/?athleteNumber=50950" xr:uid="{00000000-0004-0000-0E00-0000FB030000}"/>
    <hyperlink ref="A910" r:id="rId1021" display="http://www.parkrun.org.uk/results/athleteresultshistory/?athleteNumber=77851" xr:uid="{00000000-0004-0000-0E00-0000FC030000}"/>
    <hyperlink ref="A1052" r:id="rId1022" display="http://www.parkrun.org.uk/results/athleteresultshistory/?athleteNumber=139625" xr:uid="{00000000-0004-0000-0E00-0000FD030000}"/>
    <hyperlink ref="A244" r:id="rId1023" display="http://www.parkrun.org.uk/results/athleteresultshistory/?athleteNumber=5172" xr:uid="{00000000-0004-0000-0E00-0000FE030000}"/>
    <hyperlink ref="A672" r:id="rId1024" display="http://www.parkrun.org.uk/results/athleteresultshistory/?athleteNumber=75732" xr:uid="{00000000-0004-0000-0E00-0000FF030000}"/>
    <hyperlink ref="A117" r:id="rId1025" display="http://www.parkrun.org.uk/results/athleteresultshistory/?athleteNumber=2108" xr:uid="{00000000-0004-0000-0E00-000000040000}"/>
    <hyperlink ref="A1147" r:id="rId1026" display="http://www.parkrun.org.uk/results/athleteresultshistory/?athleteNumber=82435" xr:uid="{00000000-0004-0000-0E00-000001040000}"/>
    <hyperlink ref="A229" r:id="rId1027" display="http://www.parkrun.org.uk/results/athleteresultshistory/?athleteNumber=2460" xr:uid="{00000000-0004-0000-0E00-000002040000}"/>
    <hyperlink ref="A568" r:id="rId1028" display="http://www.parkrun.org.uk/results/athleteresultshistory/?athleteNumber=104052" xr:uid="{00000000-0004-0000-0E00-000003040000}"/>
    <hyperlink ref="A520" r:id="rId1029" display="http://www.parkrun.org.uk/results/athleteresultshistory/?athleteNumber=2311" xr:uid="{00000000-0004-0000-0E00-000004040000}"/>
    <hyperlink ref="A1092" r:id="rId1030" display="http://www.parkrun.org.uk/results/athleteresultshistory/?athleteNumber=35200" xr:uid="{00000000-0004-0000-0E00-000005040000}"/>
    <hyperlink ref="A651" r:id="rId1031" display="http://www.parkrun.org.uk/results/athleteresultshistory/?athleteNumber=55022" xr:uid="{00000000-0004-0000-0E00-000006040000}"/>
    <hyperlink ref="A405" r:id="rId1032" display="http://www.parkrun.org.uk/results/athleteresultshistory/?athleteNumber=106774" xr:uid="{00000000-0004-0000-0E00-000007040000}"/>
    <hyperlink ref="A894" r:id="rId1033" display="http://www.parkrun.org.uk/results/athleteresultshistory/?athleteNumber=73480" xr:uid="{00000000-0004-0000-0E00-000008040000}"/>
    <hyperlink ref="A215" r:id="rId1034" display="http://www.parkrun.org.uk/results/athleteresultshistory/?athleteNumber=56487" xr:uid="{00000000-0004-0000-0E00-000009040000}"/>
    <hyperlink ref="A792" r:id="rId1035" display="http://www.parkrun.org.uk/results/athleteresultshistory/?athleteNumber=50834" xr:uid="{00000000-0004-0000-0E00-00000A040000}"/>
    <hyperlink ref="A640" r:id="rId1036" display="http://www.parkrun.org.uk/results/athleteresultshistory/?athleteNumber=59348" xr:uid="{00000000-0004-0000-0E00-00000B040000}"/>
    <hyperlink ref="A383" r:id="rId1037" display="http://www.parkrun.org.uk/results/athleteresultshistory/?athleteNumber=71499" xr:uid="{00000000-0004-0000-0E00-00000C040000}"/>
    <hyperlink ref="A195" r:id="rId1038" display="http://www.parkrun.org.uk/results/athleteresultshistory/?athleteNumber=2145" xr:uid="{00000000-0004-0000-0E00-00000D040000}"/>
    <hyperlink ref="A303" r:id="rId1039" display="http://www.parkrun.org.uk/results/athleteresultshistory/?athleteNumber=2146" xr:uid="{00000000-0004-0000-0E00-00000E040000}"/>
    <hyperlink ref="A1011" r:id="rId1040" display="http://www.parkrun.org.uk/results/athleteresultshistory/?athleteNumber=126166" xr:uid="{00000000-0004-0000-0E00-00000F040000}"/>
    <hyperlink ref="A421" r:id="rId1041" display="http://www.parkrun.org.uk/results/athleteresultshistory/?athleteNumber=44556" xr:uid="{00000000-0004-0000-0E00-000010040000}"/>
    <hyperlink ref="A625" r:id="rId1042" display="http://www.parkrun.org.uk/results/athleteresultshistory/?athleteNumber=2152" xr:uid="{00000000-0004-0000-0E00-000011040000}"/>
    <hyperlink ref="A737" r:id="rId1043" display="http://www.parkrun.org.uk/results/athleteresultshistory/?athleteNumber=77058" xr:uid="{00000000-0004-0000-0E00-000012040000}"/>
    <hyperlink ref="A422" r:id="rId1044" display="http://www.parkrun.org.uk/results/athleteresultshistory/?athleteNumber=57525" xr:uid="{00000000-0004-0000-0E00-000013040000}"/>
    <hyperlink ref="A1068" r:id="rId1045" display="http://www.parkrun.org.uk/results/athleteresultshistory/?athleteNumber=91676" xr:uid="{00000000-0004-0000-0E00-000014040000}"/>
    <hyperlink ref="A673" r:id="rId1046" display="http://www.parkrun.org.uk/results/athleteresultshistory/?athleteNumber=9195" xr:uid="{00000000-0004-0000-0E00-000015040000}"/>
    <hyperlink ref="A233" r:id="rId1047" display="http://www.parkrun.org.uk/results/athleteresultshistory/?athleteNumber=33499" xr:uid="{00000000-0004-0000-0E00-000016040000}"/>
    <hyperlink ref="A632" r:id="rId1048" display="http://www.parkrun.org.uk/results/athleteresultshistory/?athleteNumber=2192" xr:uid="{00000000-0004-0000-0E00-000017040000}"/>
    <hyperlink ref="A270" r:id="rId1049" display="http://www.parkrun.org.uk/results/athleteresultshistory/?athleteNumber=53884" xr:uid="{00000000-0004-0000-0E00-000018040000}"/>
    <hyperlink ref="A304" r:id="rId1050" display="http://www.parkrun.org.uk/results/athleteresultshistory/?athleteNumber=21266" xr:uid="{00000000-0004-0000-0E00-000019040000}"/>
    <hyperlink ref="A808" r:id="rId1051" display="http://www.parkrun.org.uk/results/athleteresultshistory/?athleteNumber=85453" xr:uid="{00000000-0004-0000-0E00-00001A040000}"/>
    <hyperlink ref="A260" r:id="rId1052" display="http://www.parkrun.org.uk/results/athleteresultshistory/?athleteNumber=62211" xr:uid="{00000000-0004-0000-0E00-00001B040000}"/>
    <hyperlink ref="A483" r:id="rId1053" display="http://www.parkrun.org.uk/results/athleteresultshistory/?athleteNumber=46441" xr:uid="{00000000-0004-0000-0E00-00001C040000}"/>
    <hyperlink ref="A455" r:id="rId1054" display="http://www.parkrun.org.uk/results/athleteresultshistory/?athleteNumber=124177" xr:uid="{00000000-0004-0000-0E00-00001D040000}"/>
    <hyperlink ref="A895" r:id="rId1055" display="http://www.parkrun.org.uk/results/athleteresultshistory/?athleteNumber=57662" xr:uid="{00000000-0004-0000-0E00-00001E040000}"/>
    <hyperlink ref="A931" r:id="rId1056" display="http://www.parkrun.org.uk/results/athleteresultshistory/?athleteNumber=106773" xr:uid="{00000000-0004-0000-0E00-00001F040000}"/>
    <hyperlink ref="A949" r:id="rId1057" display="http://www.parkrun.org.uk/results/athleteresultshistory/?athleteNumber=79944" xr:uid="{00000000-0004-0000-0E00-000020040000}"/>
    <hyperlink ref="A484" r:id="rId1058" display="http://www.parkrun.org.uk/results/athleteresultshistory/?athleteNumber=48579" xr:uid="{00000000-0004-0000-0E00-000021040000}"/>
    <hyperlink ref="A738" r:id="rId1059" display="http://www.parkrun.org.uk/results/athleteresultshistory/?athleteNumber=200447" xr:uid="{00000000-0004-0000-0E00-000022040000}"/>
    <hyperlink ref="A569" r:id="rId1060" display="http://www.parkrun.org.uk/results/athleteresultshistory/?athleteNumber=93311" xr:uid="{00000000-0004-0000-0E00-000023040000}"/>
    <hyperlink ref="A961" r:id="rId1061" display="http://www.parkrun.org.uk/results/athleteresultshistory/?athleteNumber=206636" xr:uid="{00000000-0004-0000-0E00-000024040000}"/>
    <hyperlink ref="A505" r:id="rId1062" display="http://www.parkrun.org.uk/results/athleteresultshistory/?athleteNumber=9934" xr:uid="{00000000-0004-0000-0E00-000025040000}"/>
    <hyperlink ref="A245" r:id="rId1063" display="http://www.parkrun.org.uk/results/athleteresultshistory/?athleteNumber=84881" xr:uid="{00000000-0004-0000-0E00-000026040000}"/>
    <hyperlink ref="A781" r:id="rId1064" display="http://www.parkrun.org.uk/results/athleteresultshistory/?athleteNumber=80772" xr:uid="{00000000-0004-0000-0E00-000027040000}"/>
    <hyperlink ref="A570" r:id="rId1065" display="http://www.parkrun.org.uk/results/athleteresultshistory/?athleteNumber=108427" xr:uid="{00000000-0004-0000-0E00-000028040000}"/>
    <hyperlink ref="A659" r:id="rId1066" display="http://www.parkrun.org.uk/results/athleteresultshistory/?athleteNumber=105544" xr:uid="{00000000-0004-0000-0E00-000029040000}"/>
    <hyperlink ref="A932" r:id="rId1067" display="http://www.parkrun.org.uk/results/athleteresultshistory/?athleteNumber=146965" xr:uid="{00000000-0004-0000-0E00-00002A040000}"/>
    <hyperlink ref="A287" r:id="rId1068" display="http://www.parkrun.org.uk/results/athleteresultshistory/?athleteNumber=40651" xr:uid="{00000000-0004-0000-0E00-00002B040000}"/>
    <hyperlink ref="A1093" r:id="rId1069" display="http://www.parkrun.org.uk/results/athleteresultshistory/?athleteNumber=15543" xr:uid="{00000000-0004-0000-0E00-00002C040000}"/>
    <hyperlink ref="A558" r:id="rId1070" display="http://www.parkrun.org.uk/results/athleteresultshistory/?athleteNumber=2241" xr:uid="{00000000-0004-0000-0E00-00002D040000}"/>
    <hyperlink ref="A933" r:id="rId1071" display="http://www.parkrun.org.uk/results/athleteresultshistory/?athleteNumber=140381" xr:uid="{00000000-0004-0000-0E00-00002E040000}"/>
    <hyperlink ref="A723" r:id="rId1072" display="http://www.parkrun.org.uk/results/athleteresultshistory/?athleteNumber=39490" xr:uid="{00000000-0004-0000-0E00-00002F040000}"/>
    <hyperlink ref="A1125" r:id="rId1073" display="http://www.parkrun.org.uk/results/athleteresultshistory/?athleteNumber=92651" xr:uid="{00000000-0004-0000-0E00-000030040000}"/>
    <hyperlink ref="A154" r:id="rId1074" display="http://www.parkrun.org.uk/results/athleteresultshistory/?athleteNumber=2243" xr:uid="{00000000-0004-0000-0E00-000031040000}"/>
    <hyperlink ref="A130" r:id="rId1075" display="http://www.parkrun.org.uk/results/athleteresultshistory/?athleteNumber=2244" xr:uid="{00000000-0004-0000-0E00-000032040000}"/>
    <hyperlink ref="A234" r:id="rId1076" display="http://www.parkrun.org.uk/results/athleteresultshistory/?athleteNumber=21185" xr:uid="{00000000-0004-0000-0E00-000033040000}"/>
    <hyperlink ref="A876" r:id="rId1077" display="http://www.parkrun.org.uk/results/athleteresultshistory/?athleteNumber=13858" xr:uid="{00000000-0004-0000-0E00-000034040000}"/>
    <hyperlink ref="A674" r:id="rId1078" display="http://www.parkrun.org.uk/results/athleteresultshistory/?athleteNumber=59876" xr:uid="{00000000-0004-0000-0E00-000035040000}"/>
    <hyperlink ref="A1069" r:id="rId1079" display="http://www.parkrun.org.uk/results/athleteresultshistory/?athleteNumber=68203" xr:uid="{00000000-0004-0000-0E00-000036040000}"/>
    <hyperlink ref="A633" r:id="rId1080" display="http://www.parkrun.org.uk/results/athleteresultshistory/?athleteNumber=32259" xr:uid="{00000000-0004-0000-0E00-000037040000}"/>
    <hyperlink ref="A962" r:id="rId1081" display="http://www.parkrun.org.uk/results/athleteresultshistory/?athleteNumber=62653" xr:uid="{00000000-0004-0000-0E00-000038040000}"/>
    <hyperlink ref="A963" r:id="rId1082" display="http://www.parkrun.org.uk/results/athleteresultshistory/?athleteNumber=89660" xr:uid="{00000000-0004-0000-0E00-000039040000}"/>
    <hyperlink ref="A436" r:id="rId1083" display="http://www.parkrun.org.uk/results/athleteresultshistory/?athleteNumber=34141" xr:uid="{00000000-0004-0000-0E00-00003A040000}"/>
    <hyperlink ref="A230" r:id="rId1084" display="http://www.parkrun.org.uk/results/athleteresultshistory/?athleteNumber=36143" xr:uid="{00000000-0004-0000-0E00-00003B040000}"/>
    <hyperlink ref="A739" r:id="rId1085" display="http://www.parkrun.org.uk/results/athleteresultshistory/?athleteNumber=13268" xr:uid="{00000000-0004-0000-0E00-00003C040000}"/>
    <hyperlink ref="A1126" r:id="rId1086" display="http://www.parkrun.org.uk/results/athleteresultshistory/?athleteNumber=6422" xr:uid="{00000000-0004-0000-0E00-00003D040000}"/>
    <hyperlink ref="A305" r:id="rId1087" display="http://www.parkrun.org.uk/results/athleteresultshistory/?athleteNumber=47655" xr:uid="{00000000-0004-0000-0E00-00003E040000}"/>
    <hyperlink ref="A324" r:id="rId1088" display="http://www.parkrun.org.uk/results/athleteresultshistory/?athleteNumber=27434" xr:uid="{00000000-0004-0000-0E00-00003F040000}"/>
    <hyperlink ref="A1070" r:id="rId1089" display="http://www.parkrun.org.uk/results/athleteresultshistory/?athleteNumber=54594" xr:uid="{00000000-0004-0000-0E00-000040040000}"/>
    <hyperlink ref="A1166" r:id="rId1090" display="http://www.parkrun.org.uk/results/athleteresultshistory/?athleteNumber=79326" xr:uid="{00000000-0004-0000-0E00-000041040000}"/>
    <hyperlink ref="A911" r:id="rId1091" display="http://www.parkrun.org.uk/results/athleteresultshistory/?athleteNumber=68583" xr:uid="{00000000-0004-0000-0E00-000042040000}"/>
    <hyperlink ref="A352" r:id="rId1092" display="http://www.parkrun.org.uk/results/athleteresultshistory/?athleteNumber=66164" xr:uid="{00000000-0004-0000-0E00-000043040000}"/>
    <hyperlink ref="A1034" r:id="rId1093" display="http://www.parkrun.org.uk/results/athleteresultshistory/?athleteNumber=42663" xr:uid="{00000000-0004-0000-0E00-000044040000}"/>
    <hyperlink ref="A541" r:id="rId1094" display="http://www.parkrun.org.uk/results/athleteresultshistory/?athleteNumber=120780" xr:uid="{00000000-0004-0000-0E00-000045040000}"/>
    <hyperlink ref="A950" r:id="rId1095" display="http://www.parkrun.org.uk/results/athleteresultshistory/?athleteNumber=76435" xr:uid="{00000000-0004-0000-0E00-000046040000}"/>
  </hyperlinks>
  <pageMargins left="0.75" right="0.75" top="1" bottom="1" header="0.5" footer="0.5"/>
  <pageSetup paperSize="9" orientation="portrait" r:id="rId1096"/>
  <headerFooter alignWithMargins="0"/>
  <drawing r:id="rId109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28"/>
  <sheetViews>
    <sheetView topLeftCell="A60" workbookViewId="0">
      <selection activeCell="I459" sqref="I459"/>
    </sheetView>
  </sheetViews>
  <sheetFormatPr defaultRowHeight="12.75" x14ac:dyDescent="0.2"/>
  <cols>
    <col min="1" max="1" width="15.28515625" customWidth="1"/>
    <col min="2" max="2" width="16.28515625" customWidth="1"/>
    <col min="3" max="3" width="19" customWidth="1"/>
    <col min="4" max="4" width="11.28515625" customWidth="1"/>
    <col min="5" max="5" width="20.42578125" customWidth="1"/>
  </cols>
  <sheetData>
    <row r="1" spans="1:4" x14ac:dyDescent="0.2">
      <c r="A1" t="s">
        <v>3086</v>
      </c>
      <c r="B1" t="s">
        <v>3087</v>
      </c>
      <c r="C1" t="s">
        <v>3088</v>
      </c>
      <c r="D1" s="10" t="s">
        <v>4038</v>
      </c>
    </row>
    <row r="2" spans="1:4" x14ac:dyDescent="0.2">
      <c r="A2" t="s">
        <v>1038</v>
      </c>
      <c r="B2" t="s">
        <v>1041</v>
      </c>
      <c r="C2" t="s">
        <v>1040</v>
      </c>
      <c r="D2" s="34">
        <v>41062</v>
      </c>
    </row>
    <row r="3" spans="1:4" x14ac:dyDescent="0.2">
      <c r="A3" t="s">
        <v>1038</v>
      </c>
      <c r="B3" t="s">
        <v>1043</v>
      </c>
      <c r="C3" t="s">
        <v>1042</v>
      </c>
      <c r="D3" s="34">
        <v>41454</v>
      </c>
    </row>
    <row r="4" spans="1:4" x14ac:dyDescent="0.2">
      <c r="A4" t="s">
        <v>1038</v>
      </c>
      <c r="B4" t="s">
        <v>1044</v>
      </c>
      <c r="C4" t="s">
        <v>2068</v>
      </c>
      <c r="D4" s="34">
        <v>41391</v>
      </c>
    </row>
    <row r="5" spans="1:4" x14ac:dyDescent="0.2">
      <c r="A5" t="s">
        <v>4682</v>
      </c>
      <c r="B5" t="s">
        <v>3771</v>
      </c>
      <c r="C5" t="s">
        <v>4683</v>
      </c>
      <c r="D5" s="34">
        <v>41699</v>
      </c>
    </row>
    <row r="6" spans="1:4" x14ac:dyDescent="0.2">
      <c r="A6" t="s">
        <v>4682</v>
      </c>
      <c r="B6" t="s">
        <v>3771</v>
      </c>
      <c r="C6" t="s">
        <v>3772</v>
      </c>
      <c r="D6" s="34">
        <v>41699</v>
      </c>
    </row>
    <row r="7" spans="1:4" x14ac:dyDescent="0.2">
      <c r="A7" t="s">
        <v>4847</v>
      </c>
      <c r="B7" t="s">
        <v>2253</v>
      </c>
      <c r="C7" t="s">
        <v>4848</v>
      </c>
      <c r="D7" s="34">
        <v>41678</v>
      </c>
    </row>
    <row r="8" spans="1:4" x14ac:dyDescent="0.2">
      <c r="A8" t="s">
        <v>4847</v>
      </c>
      <c r="B8" t="s">
        <v>2254</v>
      </c>
      <c r="C8" t="s">
        <v>4849</v>
      </c>
      <c r="D8" s="34">
        <v>41412</v>
      </c>
    </row>
    <row r="9" spans="1:4" x14ac:dyDescent="0.2">
      <c r="A9" t="s">
        <v>4847</v>
      </c>
      <c r="B9" t="s">
        <v>4475</v>
      </c>
      <c r="C9" t="s">
        <v>4850</v>
      </c>
      <c r="D9" s="34">
        <v>41706</v>
      </c>
    </row>
    <row r="10" spans="1:4" x14ac:dyDescent="0.2">
      <c r="A10" t="s">
        <v>4847</v>
      </c>
      <c r="B10" t="s">
        <v>2255</v>
      </c>
      <c r="C10" t="s">
        <v>2433</v>
      </c>
      <c r="D10" s="34">
        <v>41671</v>
      </c>
    </row>
    <row r="11" spans="1:4" x14ac:dyDescent="0.2">
      <c r="A11" t="s">
        <v>4847</v>
      </c>
      <c r="B11" t="s">
        <v>3863</v>
      </c>
      <c r="C11" t="s">
        <v>2434</v>
      </c>
      <c r="D11" s="34">
        <v>41440</v>
      </c>
    </row>
    <row r="12" spans="1:4" x14ac:dyDescent="0.2">
      <c r="A12" t="s">
        <v>4847</v>
      </c>
      <c r="B12" t="s">
        <v>3863</v>
      </c>
      <c r="C12" t="s">
        <v>4862</v>
      </c>
      <c r="D12" s="34">
        <v>41223</v>
      </c>
    </row>
    <row r="13" spans="1:4" x14ac:dyDescent="0.2">
      <c r="A13" t="s">
        <v>4847</v>
      </c>
      <c r="B13" t="s">
        <v>3863</v>
      </c>
      <c r="C13" t="s">
        <v>4863</v>
      </c>
      <c r="D13" s="34">
        <v>41342</v>
      </c>
    </row>
    <row r="14" spans="1:4" x14ac:dyDescent="0.2">
      <c r="A14" t="s">
        <v>4847</v>
      </c>
      <c r="B14" t="s">
        <v>4474</v>
      </c>
      <c r="C14" t="s">
        <v>4864</v>
      </c>
      <c r="D14" s="34">
        <v>41713</v>
      </c>
    </row>
    <row r="15" spans="1:4" x14ac:dyDescent="0.2">
      <c r="A15" t="s">
        <v>4847</v>
      </c>
      <c r="B15" t="s">
        <v>3863</v>
      </c>
      <c r="C15" t="s">
        <v>4865</v>
      </c>
      <c r="D15" s="34">
        <v>41545</v>
      </c>
    </row>
    <row r="16" spans="1:4" x14ac:dyDescent="0.2">
      <c r="A16" t="s">
        <v>4847</v>
      </c>
      <c r="B16" t="s">
        <v>4475</v>
      </c>
      <c r="C16" t="s">
        <v>3191</v>
      </c>
      <c r="D16" s="34">
        <v>41531</v>
      </c>
    </row>
    <row r="17" spans="1:4" x14ac:dyDescent="0.2">
      <c r="A17" t="s">
        <v>2256</v>
      </c>
      <c r="B17" t="s">
        <v>1377</v>
      </c>
      <c r="C17" t="s">
        <v>1376</v>
      </c>
      <c r="D17" s="34">
        <v>41419</v>
      </c>
    </row>
    <row r="18" spans="1:4" x14ac:dyDescent="0.2">
      <c r="A18" t="s">
        <v>2256</v>
      </c>
      <c r="B18" t="s">
        <v>1377</v>
      </c>
      <c r="C18" t="s">
        <v>2003</v>
      </c>
      <c r="D18" s="34">
        <v>41118</v>
      </c>
    </row>
    <row r="19" spans="1:4" x14ac:dyDescent="0.2">
      <c r="A19" t="s">
        <v>2256</v>
      </c>
      <c r="B19" t="s">
        <v>3041</v>
      </c>
      <c r="C19" t="s">
        <v>1378</v>
      </c>
      <c r="D19" s="34">
        <v>41650</v>
      </c>
    </row>
    <row r="20" spans="1:4" x14ac:dyDescent="0.2">
      <c r="A20" t="s">
        <v>2256</v>
      </c>
      <c r="B20" t="s">
        <v>3043</v>
      </c>
      <c r="C20" t="s">
        <v>3042</v>
      </c>
      <c r="D20" s="34">
        <v>41566</v>
      </c>
    </row>
    <row r="21" spans="1:4" x14ac:dyDescent="0.2">
      <c r="A21" t="s">
        <v>2256</v>
      </c>
      <c r="B21" t="s">
        <v>3155</v>
      </c>
      <c r="C21" t="s">
        <v>3957</v>
      </c>
      <c r="D21" s="34">
        <v>41034</v>
      </c>
    </row>
    <row r="22" spans="1:4" x14ac:dyDescent="0.2">
      <c r="A22" t="s">
        <v>2256</v>
      </c>
      <c r="B22" t="s">
        <v>3155</v>
      </c>
      <c r="C22" t="s">
        <v>3156</v>
      </c>
      <c r="D22" s="34">
        <v>41461</v>
      </c>
    </row>
    <row r="23" spans="1:4" x14ac:dyDescent="0.2">
      <c r="A23" t="s">
        <v>215</v>
      </c>
      <c r="B23" t="s">
        <v>216</v>
      </c>
      <c r="C23" t="s">
        <v>266</v>
      </c>
      <c r="D23" s="34">
        <v>41027</v>
      </c>
    </row>
    <row r="24" spans="1:4" x14ac:dyDescent="0.2">
      <c r="A24" t="s">
        <v>215</v>
      </c>
      <c r="B24" t="s">
        <v>216</v>
      </c>
      <c r="C24" t="s">
        <v>278</v>
      </c>
      <c r="D24" s="34">
        <v>41566</v>
      </c>
    </row>
    <row r="25" spans="1:4" x14ac:dyDescent="0.2">
      <c r="A25" t="s">
        <v>215</v>
      </c>
      <c r="B25" t="s">
        <v>216</v>
      </c>
      <c r="C25" t="s">
        <v>229</v>
      </c>
      <c r="D25" s="34">
        <v>41328</v>
      </c>
    </row>
    <row r="26" spans="1:4" x14ac:dyDescent="0.2">
      <c r="A26" t="s">
        <v>215</v>
      </c>
      <c r="B26" t="s">
        <v>4470</v>
      </c>
      <c r="C26" t="s">
        <v>3093</v>
      </c>
      <c r="D26" s="34">
        <v>41706</v>
      </c>
    </row>
    <row r="27" spans="1:4" x14ac:dyDescent="0.2">
      <c r="A27" t="s">
        <v>215</v>
      </c>
      <c r="B27" t="s">
        <v>2292</v>
      </c>
      <c r="C27" t="s">
        <v>3094</v>
      </c>
    </row>
    <row r="28" spans="1:4" x14ac:dyDescent="0.2">
      <c r="A28" t="s">
        <v>215</v>
      </c>
      <c r="B28" t="s">
        <v>2292</v>
      </c>
      <c r="C28" t="s">
        <v>3095</v>
      </c>
    </row>
    <row r="29" spans="1:4" x14ac:dyDescent="0.2">
      <c r="A29" t="s">
        <v>215</v>
      </c>
      <c r="B29" t="s">
        <v>2293</v>
      </c>
      <c r="C29" t="s">
        <v>443</v>
      </c>
    </row>
    <row r="30" spans="1:4" x14ac:dyDescent="0.2">
      <c r="A30" t="s">
        <v>215</v>
      </c>
      <c r="B30" t="s">
        <v>2293</v>
      </c>
      <c r="C30" t="s">
        <v>444</v>
      </c>
    </row>
    <row r="31" spans="1:4" x14ac:dyDescent="0.2">
      <c r="A31" t="s">
        <v>215</v>
      </c>
      <c r="B31" t="s">
        <v>2292</v>
      </c>
      <c r="C31" t="s">
        <v>445</v>
      </c>
    </row>
    <row r="32" spans="1:4" x14ac:dyDescent="0.2">
      <c r="A32" t="s">
        <v>215</v>
      </c>
      <c r="B32" t="s">
        <v>4469</v>
      </c>
      <c r="C32" t="s">
        <v>1279</v>
      </c>
    </row>
    <row r="33" spans="1:7" x14ac:dyDescent="0.2">
      <c r="A33" t="s">
        <v>215</v>
      </c>
      <c r="B33" t="s">
        <v>2292</v>
      </c>
      <c r="C33" t="s">
        <v>1280</v>
      </c>
    </row>
    <row r="34" spans="1:7" x14ac:dyDescent="0.2">
      <c r="A34" t="s">
        <v>215</v>
      </c>
      <c r="B34" t="s">
        <v>2292</v>
      </c>
      <c r="C34" t="s">
        <v>1281</v>
      </c>
    </row>
    <row r="35" spans="1:7" x14ac:dyDescent="0.2">
      <c r="A35" t="s">
        <v>215</v>
      </c>
      <c r="B35" t="s">
        <v>1855</v>
      </c>
      <c r="C35" t="s">
        <v>133</v>
      </c>
    </row>
    <row r="36" spans="1:7" x14ac:dyDescent="0.2">
      <c r="A36" t="s">
        <v>215</v>
      </c>
      <c r="B36" t="s">
        <v>2293</v>
      </c>
      <c r="C36" t="s">
        <v>4968</v>
      </c>
    </row>
    <row r="37" spans="1:7" x14ac:dyDescent="0.2">
      <c r="A37" t="s">
        <v>215</v>
      </c>
      <c r="B37" t="s">
        <v>2292</v>
      </c>
      <c r="C37" t="s">
        <v>4969</v>
      </c>
    </row>
    <row r="38" spans="1:7" x14ac:dyDescent="0.2">
      <c r="A38" t="s">
        <v>215</v>
      </c>
      <c r="B38" t="s">
        <v>2293</v>
      </c>
      <c r="C38" t="s">
        <v>3121</v>
      </c>
    </row>
    <row r="39" spans="1:7" x14ac:dyDescent="0.2">
      <c r="A39" t="s">
        <v>215</v>
      </c>
      <c r="B39" t="s">
        <v>2293</v>
      </c>
      <c r="C39" t="s">
        <v>3122</v>
      </c>
    </row>
    <row r="40" spans="1:7" x14ac:dyDescent="0.2">
      <c r="A40" t="s">
        <v>215</v>
      </c>
      <c r="B40" t="s">
        <v>2293</v>
      </c>
      <c r="C40" t="s">
        <v>2291</v>
      </c>
    </row>
    <row r="41" spans="1:7" x14ac:dyDescent="0.2">
      <c r="A41" t="s">
        <v>215</v>
      </c>
      <c r="B41" t="s">
        <v>4472</v>
      </c>
      <c r="C41" t="s">
        <v>4473</v>
      </c>
    </row>
    <row r="44" spans="1:7" x14ac:dyDescent="0.2">
      <c r="A44" s="27" t="s">
        <v>5119</v>
      </c>
      <c r="B44" s="74" t="s">
        <v>1821</v>
      </c>
      <c r="C44" s="34">
        <v>40999</v>
      </c>
      <c r="D44" s="9">
        <v>21</v>
      </c>
      <c r="E44" t="s">
        <v>1139</v>
      </c>
      <c r="G44" t="s">
        <v>1139</v>
      </c>
    </row>
    <row r="45" spans="1:7" x14ac:dyDescent="0.2">
      <c r="A45" s="27" t="s">
        <v>1701</v>
      </c>
      <c r="B45" s="74" t="s">
        <v>3167</v>
      </c>
      <c r="C45" s="34">
        <v>40068</v>
      </c>
      <c r="D45" s="9">
        <v>4</v>
      </c>
      <c r="E45" t="s">
        <v>1143</v>
      </c>
      <c r="G45" t="s">
        <v>1143</v>
      </c>
    </row>
    <row r="46" spans="1:7" x14ac:dyDescent="0.2">
      <c r="A46" s="27" t="s">
        <v>1702</v>
      </c>
      <c r="B46" s="74" t="s">
        <v>5704</v>
      </c>
      <c r="C46" s="34">
        <v>40040</v>
      </c>
      <c r="D46" s="9">
        <v>3</v>
      </c>
      <c r="E46" t="s">
        <v>1150</v>
      </c>
      <c r="G46" t="s">
        <v>1150</v>
      </c>
    </row>
    <row r="47" spans="1:7" x14ac:dyDescent="0.2">
      <c r="A47" s="27" t="s">
        <v>2119</v>
      </c>
      <c r="B47" s="74" t="s">
        <v>1187</v>
      </c>
      <c r="C47" s="34">
        <v>41524</v>
      </c>
      <c r="D47" s="9">
        <v>69</v>
      </c>
      <c r="E47" t="s">
        <v>3587</v>
      </c>
      <c r="G47" t="s">
        <v>3587</v>
      </c>
    </row>
    <row r="48" spans="1:7" x14ac:dyDescent="0.2">
      <c r="A48" s="27" t="s">
        <v>1614</v>
      </c>
      <c r="B48" s="74" t="s">
        <v>5964</v>
      </c>
      <c r="C48" s="34">
        <v>40838</v>
      </c>
      <c r="D48" s="9">
        <v>11</v>
      </c>
      <c r="E48" t="s">
        <v>5468</v>
      </c>
      <c r="G48" t="s">
        <v>5468</v>
      </c>
    </row>
    <row r="49" spans="1:8" x14ac:dyDescent="0.2">
      <c r="A49" s="27"/>
      <c r="B49" s="74"/>
      <c r="C49" s="34"/>
      <c r="D49" s="9"/>
      <c r="G49" s="46" t="s">
        <v>3081</v>
      </c>
    </row>
    <row r="50" spans="1:8" x14ac:dyDescent="0.2">
      <c r="A50" s="27" t="s">
        <v>5893</v>
      </c>
      <c r="B50" s="74" t="s">
        <v>4202</v>
      </c>
      <c r="C50" s="34">
        <v>42392</v>
      </c>
      <c r="D50" s="9">
        <v>224</v>
      </c>
      <c r="E50" t="s">
        <v>1131</v>
      </c>
      <c r="G50" t="s">
        <v>1131</v>
      </c>
    </row>
    <row r="51" spans="1:8" x14ac:dyDescent="0.2">
      <c r="A51" s="27" t="s">
        <v>4985</v>
      </c>
      <c r="B51" s="74" t="s">
        <v>972</v>
      </c>
      <c r="C51" s="34">
        <v>42301</v>
      </c>
      <c r="D51" s="9">
        <v>201</v>
      </c>
      <c r="E51" t="s">
        <v>5464</v>
      </c>
      <c r="G51" t="s">
        <v>5464</v>
      </c>
    </row>
    <row r="52" spans="1:8" x14ac:dyDescent="0.2">
      <c r="A52" s="467" t="s">
        <v>2917</v>
      </c>
      <c r="B52" s="466" t="s">
        <v>4220</v>
      </c>
      <c r="C52" s="468">
        <v>42483</v>
      </c>
      <c r="D52" s="9">
        <v>254</v>
      </c>
      <c r="E52" t="s">
        <v>5469</v>
      </c>
      <c r="G52" t="s">
        <v>5469</v>
      </c>
    </row>
    <row r="53" spans="1:8" x14ac:dyDescent="0.2">
      <c r="A53" s="27" t="s">
        <v>1712</v>
      </c>
      <c r="B53" s="74" t="s">
        <v>1347</v>
      </c>
      <c r="C53" s="34">
        <v>41132</v>
      </c>
      <c r="D53" s="9">
        <v>35</v>
      </c>
      <c r="E53" t="s">
        <v>1147</v>
      </c>
      <c r="G53" t="s">
        <v>1147</v>
      </c>
    </row>
    <row r="54" spans="1:8" x14ac:dyDescent="0.2">
      <c r="A54" s="27" t="s">
        <v>1789</v>
      </c>
      <c r="B54" s="74" t="s">
        <v>1788</v>
      </c>
      <c r="C54" s="34">
        <v>41531</v>
      </c>
      <c r="D54" s="9">
        <v>70</v>
      </c>
      <c r="E54" t="s">
        <v>1151</v>
      </c>
      <c r="G54" t="s">
        <v>1151</v>
      </c>
    </row>
    <row r="55" spans="1:8" x14ac:dyDescent="0.2">
      <c r="A55" s="27" t="s">
        <v>1625</v>
      </c>
      <c r="B55" s="74" t="s">
        <v>5431</v>
      </c>
      <c r="C55" s="34">
        <v>41461</v>
      </c>
      <c r="D55" s="9">
        <v>63</v>
      </c>
      <c r="E55" t="s">
        <v>1141</v>
      </c>
      <c r="G55" t="s">
        <v>1141</v>
      </c>
    </row>
    <row r="56" spans="1:8" x14ac:dyDescent="0.2">
      <c r="A56" s="27" t="s">
        <v>1910</v>
      </c>
      <c r="B56" s="74" t="s">
        <v>1434</v>
      </c>
      <c r="C56" s="34">
        <v>42469</v>
      </c>
      <c r="D56" s="9">
        <v>248</v>
      </c>
      <c r="E56" t="s">
        <v>1137</v>
      </c>
      <c r="G56" t="s">
        <v>1137</v>
      </c>
    </row>
    <row r="57" spans="1:8" x14ac:dyDescent="0.2">
      <c r="A57" s="27" t="s">
        <v>1704</v>
      </c>
      <c r="B57" s="74" t="s">
        <v>5948</v>
      </c>
      <c r="C57" s="34">
        <v>40222</v>
      </c>
      <c r="D57" s="9">
        <v>6</v>
      </c>
      <c r="E57" t="s">
        <v>1148</v>
      </c>
      <c r="G57" t="s">
        <v>1148</v>
      </c>
    </row>
    <row r="58" spans="1:8" x14ac:dyDescent="0.2">
      <c r="A58" s="27"/>
      <c r="B58" s="74"/>
      <c r="C58" s="34"/>
      <c r="D58" s="9"/>
      <c r="G58" s="46" t="s">
        <v>1132</v>
      </c>
      <c r="H58" s="46"/>
    </row>
    <row r="59" spans="1:8" x14ac:dyDescent="0.2">
      <c r="A59" s="27" t="s">
        <v>1620</v>
      </c>
      <c r="B59" s="74" t="s">
        <v>4452</v>
      </c>
      <c r="C59" s="34">
        <v>41062</v>
      </c>
      <c r="D59" s="9">
        <v>23</v>
      </c>
      <c r="E59" t="s">
        <v>1140</v>
      </c>
      <c r="G59" t="s">
        <v>1140</v>
      </c>
    </row>
    <row r="60" spans="1:8" x14ac:dyDescent="0.2">
      <c r="A60" s="27" t="s">
        <v>2734</v>
      </c>
      <c r="B60" s="74" t="s">
        <v>2732</v>
      </c>
      <c r="C60" s="34">
        <v>42420</v>
      </c>
      <c r="D60" s="9">
        <v>229</v>
      </c>
      <c r="E60" t="s">
        <v>2732</v>
      </c>
      <c r="G60" t="s">
        <v>2732</v>
      </c>
    </row>
    <row r="61" spans="1:8" x14ac:dyDescent="0.2">
      <c r="A61" s="27" t="s">
        <v>2816</v>
      </c>
      <c r="B61" s="74" t="s">
        <v>1483</v>
      </c>
      <c r="C61" s="34">
        <v>41727</v>
      </c>
      <c r="D61" s="9">
        <v>95</v>
      </c>
      <c r="E61" t="s">
        <v>1146</v>
      </c>
      <c r="G61" t="s">
        <v>1146</v>
      </c>
    </row>
    <row r="62" spans="1:8" x14ac:dyDescent="0.2">
      <c r="A62" s="27" t="s">
        <v>1613</v>
      </c>
      <c r="B62" s="74" t="s">
        <v>5965</v>
      </c>
      <c r="C62" s="34">
        <v>40817</v>
      </c>
      <c r="D62" s="9">
        <v>10</v>
      </c>
      <c r="E62" t="s">
        <v>5467</v>
      </c>
      <c r="G62" t="s">
        <v>5467</v>
      </c>
    </row>
    <row r="63" spans="1:8" x14ac:dyDescent="0.2">
      <c r="A63" s="27" t="s">
        <v>1277</v>
      </c>
      <c r="B63" s="74" t="s">
        <v>5656</v>
      </c>
      <c r="C63" s="34">
        <v>41111</v>
      </c>
      <c r="D63" s="9">
        <v>32</v>
      </c>
      <c r="E63" t="s">
        <v>3585</v>
      </c>
      <c r="G63" t="s">
        <v>3585</v>
      </c>
    </row>
    <row r="64" spans="1:8" x14ac:dyDescent="0.2">
      <c r="A64" s="27"/>
      <c r="B64" s="74"/>
      <c r="C64" s="34"/>
      <c r="D64" s="9"/>
      <c r="G64" t="s">
        <v>5470</v>
      </c>
    </row>
    <row r="65" spans="1:7" x14ac:dyDescent="0.2">
      <c r="A65" s="27" t="s">
        <v>1700</v>
      </c>
      <c r="B65" s="420" t="s">
        <v>5885</v>
      </c>
      <c r="C65" s="332">
        <v>38710</v>
      </c>
      <c r="D65" s="99">
        <v>1</v>
      </c>
      <c r="E65" t="s">
        <v>1144</v>
      </c>
      <c r="G65" t="s">
        <v>1144</v>
      </c>
    </row>
    <row r="66" spans="1:7" x14ac:dyDescent="0.2">
      <c r="A66" s="27" t="s">
        <v>5344</v>
      </c>
      <c r="B66" s="74" t="s">
        <v>707</v>
      </c>
      <c r="C66" s="34">
        <v>41832</v>
      </c>
      <c r="D66" s="9">
        <v>117</v>
      </c>
      <c r="E66" t="s">
        <v>4293</v>
      </c>
      <c r="G66" t="s">
        <v>4293</v>
      </c>
    </row>
    <row r="67" spans="1:7" x14ac:dyDescent="0.2">
      <c r="A67" s="27" t="s">
        <v>1619</v>
      </c>
      <c r="B67" s="74" t="s">
        <v>2588</v>
      </c>
      <c r="C67" s="34">
        <v>41223</v>
      </c>
      <c r="D67" s="9">
        <v>43</v>
      </c>
      <c r="E67" t="s">
        <v>2588</v>
      </c>
      <c r="G67" t="s">
        <v>1135</v>
      </c>
    </row>
    <row r="68" spans="1:7" x14ac:dyDescent="0.2">
      <c r="A68" s="27" t="s">
        <v>3569</v>
      </c>
      <c r="B68" s="74" t="s">
        <v>2840</v>
      </c>
      <c r="C68" s="34">
        <v>41832</v>
      </c>
      <c r="D68" s="9">
        <v>116</v>
      </c>
      <c r="E68" t="s">
        <v>5463</v>
      </c>
      <c r="G68" t="s">
        <v>5463</v>
      </c>
    </row>
    <row r="69" spans="1:7" x14ac:dyDescent="0.2">
      <c r="A69" s="27" t="s">
        <v>1623</v>
      </c>
      <c r="B69" s="74" t="s">
        <v>226</v>
      </c>
      <c r="C69" s="34">
        <v>41510</v>
      </c>
      <c r="D69" s="9">
        <v>67</v>
      </c>
      <c r="E69" t="s">
        <v>3582</v>
      </c>
      <c r="G69" t="s">
        <v>3582</v>
      </c>
    </row>
    <row r="70" spans="1:7" x14ac:dyDescent="0.2">
      <c r="A70" s="27" t="s">
        <v>1609</v>
      </c>
      <c r="B70" s="15" t="s">
        <v>4288</v>
      </c>
      <c r="C70" s="34">
        <v>40761</v>
      </c>
      <c r="D70" s="9">
        <v>9</v>
      </c>
      <c r="E70" t="s">
        <v>1138</v>
      </c>
      <c r="G70" t="s">
        <v>1138</v>
      </c>
    </row>
    <row r="71" spans="1:7" x14ac:dyDescent="0.2">
      <c r="A71" s="27"/>
      <c r="B71" s="15"/>
      <c r="C71" s="34"/>
      <c r="D71" s="9"/>
      <c r="G71" s="46" t="s">
        <v>3586</v>
      </c>
    </row>
    <row r="72" spans="1:7" x14ac:dyDescent="0.2">
      <c r="A72" s="27" t="s">
        <v>3108</v>
      </c>
      <c r="B72" s="15" t="s">
        <v>296</v>
      </c>
      <c r="C72" s="34">
        <v>42189</v>
      </c>
      <c r="D72" s="9">
        <v>185</v>
      </c>
      <c r="E72" t="s">
        <v>3583</v>
      </c>
      <c r="G72" t="s">
        <v>3583</v>
      </c>
    </row>
    <row r="73" spans="1:7" x14ac:dyDescent="0.2">
      <c r="A73" s="27" t="s">
        <v>1278</v>
      </c>
      <c r="B73" s="74" t="s">
        <v>4532</v>
      </c>
      <c r="C73" s="34">
        <v>41216</v>
      </c>
      <c r="D73" s="9">
        <v>42</v>
      </c>
      <c r="E73" t="s">
        <v>1142</v>
      </c>
      <c r="G73" t="s">
        <v>1142</v>
      </c>
    </row>
    <row r="74" spans="1:7" x14ac:dyDescent="0.2">
      <c r="A74" s="27" t="s">
        <v>1375</v>
      </c>
      <c r="B74" s="74" t="s">
        <v>3333</v>
      </c>
      <c r="C74" s="33">
        <v>41601</v>
      </c>
      <c r="D74" s="9">
        <v>79</v>
      </c>
      <c r="E74" t="s">
        <v>3584</v>
      </c>
      <c r="G74" t="s">
        <v>3584</v>
      </c>
    </row>
    <row r="75" spans="1:7" x14ac:dyDescent="0.2">
      <c r="A75" s="27" t="s">
        <v>2657</v>
      </c>
      <c r="B75" s="15" t="s">
        <v>3329</v>
      </c>
      <c r="C75" s="34">
        <v>42005</v>
      </c>
      <c r="D75" s="9">
        <v>150</v>
      </c>
      <c r="E75" t="s">
        <v>4292</v>
      </c>
      <c r="G75" t="s">
        <v>4292</v>
      </c>
    </row>
    <row r="76" spans="1:7" x14ac:dyDescent="0.2">
      <c r="A76" s="27" t="s">
        <v>1708</v>
      </c>
      <c r="B76" s="24" t="s">
        <v>2818</v>
      </c>
      <c r="C76" s="34">
        <v>40096</v>
      </c>
      <c r="D76" s="9">
        <v>5</v>
      </c>
      <c r="E76" t="s">
        <v>1145</v>
      </c>
      <c r="G76" t="s">
        <v>1145</v>
      </c>
    </row>
    <row r="77" spans="1:7" x14ac:dyDescent="0.2">
      <c r="A77" s="27" t="s">
        <v>5117</v>
      </c>
      <c r="B77" s="74" t="s">
        <v>451</v>
      </c>
      <c r="C77" s="34">
        <v>41209</v>
      </c>
      <c r="D77" s="9">
        <v>40</v>
      </c>
      <c r="E77" t="s">
        <v>1149</v>
      </c>
      <c r="G77" t="s">
        <v>1149</v>
      </c>
    </row>
    <row r="78" spans="1:7" x14ac:dyDescent="0.2">
      <c r="A78" s="27" t="s">
        <v>1610</v>
      </c>
      <c r="B78" s="74" t="s">
        <v>6005</v>
      </c>
      <c r="C78" s="34">
        <v>41090</v>
      </c>
      <c r="D78" s="9">
        <v>28</v>
      </c>
      <c r="E78" t="s">
        <v>1134</v>
      </c>
      <c r="G78" t="s">
        <v>1134</v>
      </c>
    </row>
    <row r="79" spans="1:7" x14ac:dyDescent="0.2">
      <c r="A79" s="27" t="s">
        <v>3325</v>
      </c>
      <c r="B79" s="74" t="s">
        <v>3324</v>
      </c>
      <c r="C79" s="34">
        <v>42126</v>
      </c>
      <c r="D79" s="9">
        <v>167</v>
      </c>
      <c r="E79" t="s">
        <v>5530</v>
      </c>
      <c r="G79" t="s">
        <v>5530</v>
      </c>
    </row>
    <row r="80" spans="1:7" x14ac:dyDescent="0.2">
      <c r="A80" s="27" t="s">
        <v>5120</v>
      </c>
      <c r="B80" s="74" t="s">
        <v>5652</v>
      </c>
      <c r="C80" s="34">
        <v>41174</v>
      </c>
      <c r="D80" s="9">
        <v>37</v>
      </c>
      <c r="E80" t="s">
        <v>54</v>
      </c>
      <c r="G80" t="s">
        <v>54</v>
      </c>
    </row>
    <row r="81" spans="1:7" x14ac:dyDescent="0.2">
      <c r="A81" s="27" t="s">
        <v>1359</v>
      </c>
      <c r="B81" s="24" t="s">
        <v>1263</v>
      </c>
      <c r="C81" s="34">
        <v>41650</v>
      </c>
      <c r="D81" s="9">
        <v>87</v>
      </c>
      <c r="E81" t="s">
        <v>1133</v>
      </c>
      <c r="G81" t="s">
        <v>1133</v>
      </c>
    </row>
    <row r="82" spans="1:7" x14ac:dyDescent="0.2">
      <c r="A82" s="27" t="s">
        <v>4285</v>
      </c>
      <c r="B82" s="74" t="s">
        <v>1660</v>
      </c>
      <c r="C82" s="34">
        <v>41335</v>
      </c>
      <c r="D82" s="9">
        <v>57</v>
      </c>
      <c r="E82" t="s">
        <v>5466</v>
      </c>
      <c r="G82" t="s">
        <v>5466</v>
      </c>
    </row>
    <row r="84" spans="1:7" x14ac:dyDescent="0.2">
      <c r="A84" t="s">
        <v>3808</v>
      </c>
      <c r="B84" s="5" t="s">
        <v>3947</v>
      </c>
      <c r="C84" s="34"/>
      <c r="D84" s="9"/>
    </row>
    <row r="85" spans="1:7" x14ac:dyDescent="0.2">
      <c r="A85" t="s">
        <v>2503</v>
      </c>
      <c r="B85" s="5" t="s">
        <v>692</v>
      </c>
      <c r="C85" s="34"/>
      <c r="D85" s="9"/>
    </row>
    <row r="86" spans="1:7" x14ac:dyDescent="0.2">
      <c r="A86" t="s">
        <v>1184</v>
      </c>
      <c r="B86" s="5" t="s">
        <v>1183</v>
      </c>
      <c r="C86" s="34"/>
      <c r="D86" s="9"/>
    </row>
    <row r="87" spans="1:7" x14ac:dyDescent="0.2">
      <c r="A87" t="s">
        <v>1903</v>
      </c>
      <c r="B87" s="5" t="s">
        <v>475</v>
      </c>
      <c r="C87" s="33"/>
      <c r="D87" s="9"/>
    </row>
    <row r="88" spans="1:7" x14ac:dyDescent="0.2">
      <c r="A88" t="s">
        <v>1879</v>
      </c>
      <c r="B88" s="5" t="s">
        <v>2783</v>
      </c>
      <c r="C88" s="34"/>
      <c r="D88" s="9"/>
    </row>
    <row r="89" spans="1:7" x14ac:dyDescent="0.2">
      <c r="A89" t="s">
        <v>3505</v>
      </c>
      <c r="B89" s="5" t="s">
        <v>2634</v>
      </c>
      <c r="C89" s="34"/>
      <c r="D89" s="9"/>
    </row>
    <row r="90" spans="1:7" x14ac:dyDescent="0.2">
      <c r="A90" t="s">
        <v>5521</v>
      </c>
      <c r="B90" t="s">
        <v>4806</v>
      </c>
      <c r="C90" s="34"/>
      <c r="D90" s="9"/>
    </row>
    <row r="128" spans="6:6" x14ac:dyDescent="0.2">
      <c r="F128" t="s">
        <v>1152</v>
      </c>
    </row>
  </sheetData>
  <phoneticPr fontId="8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I459" sqref="I459"/>
    </sheetView>
  </sheetViews>
  <sheetFormatPr defaultRowHeight="12.75" x14ac:dyDescent="0.2"/>
  <sheetData/>
  <phoneticPr fontId="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55C38-9342-44A0-B45D-92C59D1D5E87}">
  <dimension ref="A1:W718"/>
  <sheetViews>
    <sheetView topLeftCell="A479" workbookViewId="0">
      <selection activeCell="E483" sqref="E483"/>
    </sheetView>
  </sheetViews>
  <sheetFormatPr defaultRowHeight="12.75" x14ac:dyDescent="0.2"/>
  <cols>
    <col min="1" max="1" width="11.42578125" customWidth="1"/>
    <col min="2" max="2" width="14" customWidth="1"/>
    <col min="3" max="3" width="12.7109375" customWidth="1"/>
    <col min="4" max="4" width="9.5703125" style="1581" customWidth="1"/>
    <col min="5" max="5" width="26.85546875" customWidth="1"/>
    <col min="6" max="6" width="47.5703125" customWidth="1"/>
    <col min="8" max="8" width="40.42578125" customWidth="1"/>
  </cols>
  <sheetData>
    <row r="1" spans="1:15" x14ac:dyDescent="0.2">
      <c r="A1" s="2" t="s">
        <v>3550</v>
      </c>
      <c r="C1" s="1"/>
      <c r="F1" s="41"/>
    </row>
    <row r="2" spans="1:15" ht="12.75" customHeight="1" x14ac:dyDescent="0.2">
      <c r="A2" s="34"/>
      <c r="B2" s="80"/>
      <c r="C2" s="334"/>
      <c r="D2" s="1582"/>
      <c r="E2" s="80"/>
      <c r="F2" s="69"/>
    </row>
    <row r="3" spans="1:15" ht="12.75" customHeight="1" x14ac:dyDescent="0.2">
      <c r="A3" s="34">
        <v>43876</v>
      </c>
      <c r="B3" s="80" t="s">
        <v>4640</v>
      </c>
      <c r="C3" s="334" t="s">
        <v>4641</v>
      </c>
      <c r="D3" s="1582"/>
      <c r="E3" s="80" t="s">
        <v>16988</v>
      </c>
      <c r="F3" s="69" t="s">
        <v>5508</v>
      </c>
    </row>
    <row r="4" spans="1:15" ht="12.75" customHeight="1" x14ac:dyDescent="0.2">
      <c r="A4" s="34">
        <v>43883</v>
      </c>
      <c r="B4" s="80" t="s">
        <v>4640</v>
      </c>
      <c r="C4" s="334" t="s">
        <v>4641</v>
      </c>
      <c r="D4" s="1582"/>
      <c r="E4" s="80" t="s">
        <v>5947</v>
      </c>
      <c r="F4" s="69" t="s">
        <v>4185</v>
      </c>
    </row>
    <row r="5" spans="1:15" ht="12.75" customHeight="1" x14ac:dyDescent="0.2">
      <c r="A5" s="34"/>
      <c r="B5" s="80"/>
      <c r="C5" s="334"/>
      <c r="D5" s="1582"/>
      <c r="E5" s="80"/>
      <c r="F5" s="69"/>
    </row>
    <row r="6" spans="1:15" ht="12.75" customHeight="1" x14ac:dyDescent="0.2">
      <c r="A6" s="34"/>
      <c r="B6" s="523"/>
      <c r="C6" s="80"/>
      <c r="D6" s="334"/>
      <c r="E6" s="1582"/>
      <c r="F6" s="69"/>
      <c r="G6" s="69"/>
    </row>
    <row r="7" spans="1:15" ht="12.75" customHeight="1" x14ac:dyDescent="0.2">
      <c r="A7" s="33"/>
      <c r="B7" s="80"/>
      <c r="C7" s="334"/>
      <c r="D7" s="1582"/>
      <c r="E7" s="80"/>
      <c r="F7" s="69"/>
      <c r="G7" s="80"/>
    </row>
    <row r="8" spans="1:15" ht="12.75" customHeight="1" x14ac:dyDescent="0.2">
      <c r="A8" s="33">
        <v>43890</v>
      </c>
      <c r="B8" s="80" t="s">
        <v>1794</v>
      </c>
      <c r="C8" s="334" t="s">
        <v>1795</v>
      </c>
      <c r="D8" s="1582"/>
      <c r="E8" s="80" t="s">
        <v>5883</v>
      </c>
      <c r="F8" s="69" t="s">
        <v>8160</v>
      </c>
    </row>
    <row r="9" spans="1:15" ht="12.75" customHeight="1" x14ac:dyDescent="0.2">
      <c r="A9" s="33"/>
      <c r="B9" s="80"/>
      <c r="C9" s="334"/>
      <c r="D9" s="1582"/>
      <c r="E9" s="80"/>
      <c r="F9" s="69"/>
    </row>
    <row r="10" spans="1:15" ht="12.75" customHeight="1" x14ac:dyDescent="0.2">
      <c r="A10" s="33"/>
      <c r="B10" s="80"/>
      <c r="C10" s="334"/>
      <c r="D10" s="1582"/>
      <c r="E10" s="80"/>
      <c r="F10" s="69"/>
    </row>
    <row r="11" spans="1:15" ht="12" customHeight="1" x14ac:dyDescent="0.2">
      <c r="A11" s="33"/>
      <c r="B11" s="2" t="s">
        <v>4793</v>
      </c>
      <c r="C11" s="1"/>
      <c r="F11" s="97" t="s">
        <v>4794</v>
      </c>
      <c r="G11" s="80"/>
    </row>
    <row r="12" spans="1:15" ht="12.75" customHeight="1" x14ac:dyDescent="0.2">
      <c r="A12" s="33"/>
      <c r="B12" s="80"/>
      <c r="C12" s="334"/>
      <c r="D12" s="1584"/>
      <c r="F12" s="69"/>
      <c r="G12" s="80"/>
      <c r="O12" s="206"/>
    </row>
    <row r="13" spans="1:15" ht="12.75" customHeight="1" x14ac:dyDescent="0.2">
      <c r="A13" s="33"/>
      <c r="B13" s="80" t="s">
        <v>13403</v>
      </c>
      <c r="C13" s="334" t="s">
        <v>13368</v>
      </c>
      <c r="D13" s="1584">
        <f>Runners!C55</f>
        <v>49</v>
      </c>
      <c r="F13" s="69">
        <v>50</v>
      </c>
      <c r="G13" s="80">
        <f t="shared" ref="G13:G18" si="0">F13-D13</f>
        <v>1</v>
      </c>
      <c r="O13" s="206"/>
    </row>
    <row r="14" spans="1:15" ht="12.75" customHeight="1" x14ac:dyDescent="0.2">
      <c r="A14" s="33"/>
      <c r="B14" s="80" t="s">
        <v>2703</v>
      </c>
      <c r="C14" s="334" t="s">
        <v>2704</v>
      </c>
      <c r="D14" s="1584">
        <f>Runners!C110</f>
        <v>47</v>
      </c>
      <c r="F14" s="69">
        <v>50</v>
      </c>
      <c r="G14" s="80">
        <f t="shared" si="0"/>
        <v>3</v>
      </c>
    </row>
    <row r="15" spans="1:15" ht="12.75" customHeight="1" x14ac:dyDescent="0.2">
      <c r="A15" s="33"/>
      <c r="B15" s="80" t="s">
        <v>2349</v>
      </c>
      <c r="C15" s="334" t="s">
        <v>2350</v>
      </c>
      <c r="D15" s="1584">
        <f>Runners!C74</f>
        <v>94</v>
      </c>
      <c r="F15" s="69">
        <v>100</v>
      </c>
      <c r="G15" s="80">
        <f t="shared" si="0"/>
        <v>6</v>
      </c>
    </row>
    <row r="16" spans="1:15" ht="12.75" customHeight="1" x14ac:dyDescent="0.2">
      <c r="A16" s="33"/>
      <c r="B16" s="80" t="s">
        <v>1796</v>
      </c>
      <c r="C16" s="334" t="s">
        <v>1797</v>
      </c>
      <c r="D16" s="1584">
        <f>Runners!C37</f>
        <v>249</v>
      </c>
      <c r="F16" s="69">
        <v>250</v>
      </c>
      <c r="G16" s="80">
        <f t="shared" si="0"/>
        <v>1</v>
      </c>
    </row>
    <row r="17" spans="1:7" ht="12.75" customHeight="1" x14ac:dyDescent="0.2">
      <c r="A17" s="33"/>
      <c r="B17" s="80" t="s">
        <v>9377</v>
      </c>
      <c r="C17" s="334" t="s">
        <v>9378</v>
      </c>
      <c r="D17" s="1584">
        <f>Runners!C77</f>
        <v>249</v>
      </c>
      <c r="F17" s="69">
        <v>250</v>
      </c>
      <c r="G17" s="80">
        <f t="shared" si="0"/>
        <v>1</v>
      </c>
    </row>
    <row r="18" spans="1:7" ht="12.75" customHeight="1" x14ac:dyDescent="0.2">
      <c r="A18" s="33"/>
      <c r="B18" s="80" t="s">
        <v>3535</v>
      </c>
      <c r="C18" s="334" t="s">
        <v>1026</v>
      </c>
      <c r="D18" s="1584">
        <f>Runners!C102</f>
        <v>47</v>
      </c>
      <c r="F18" s="69">
        <v>50</v>
      </c>
      <c r="G18" s="80">
        <f t="shared" si="0"/>
        <v>3</v>
      </c>
    </row>
    <row r="19" spans="1:7" ht="12.75" customHeight="1" x14ac:dyDescent="0.2">
      <c r="A19" s="33"/>
      <c r="B19" s="80"/>
      <c r="C19" s="334"/>
      <c r="D19" s="1584"/>
      <c r="F19" s="69"/>
      <c r="G19" s="80"/>
    </row>
    <row r="20" spans="1:7" ht="12.75" customHeight="1" x14ac:dyDescent="0.2">
      <c r="A20" s="33"/>
      <c r="C20" s="1"/>
      <c r="F20" s="69"/>
    </row>
    <row r="21" spans="1:7" ht="12" customHeight="1" x14ac:dyDescent="0.2">
      <c r="A21" s="33"/>
      <c r="B21" s="2" t="s">
        <v>11456</v>
      </c>
      <c r="C21" s="3"/>
      <c r="F21" s="69" t="s">
        <v>11630</v>
      </c>
    </row>
    <row r="22" spans="1:7" x14ac:dyDescent="0.2">
      <c r="A22" s="523"/>
      <c r="B22" t="s">
        <v>11457</v>
      </c>
      <c r="C22" s="80"/>
      <c r="D22" s="1585"/>
      <c r="E22" s="80"/>
      <c r="F22" s="80"/>
      <c r="G22" s="82"/>
    </row>
    <row r="23" spans="1:7" x14ac:dyDescent="0.2">
      <c r="A23" s="523">
        <v>43554</v>
      </c>
      <c r="B23" s="1514" t="s">
        <v>4264</v>
      </c>
      <c r="C23" s="1514" t="s">
        <v>5239</v>
      </c>
      <c r="D23" s="1774">
        <v>1.5497685185185186E-2</v>
      </c>
      <c r="E23" s="1514" t="s">
        <v>12230</v>
      </c>
      <c r="F23" s="1514" t="s">
        <v>12240</v>
      </c>
      <c r="G23" s="1755">
        <v>0.80059999999999998</v>
      </c>
    </row>
    <row r="24" spans="1:7" x14ac:dyDescent="0.2">
      <c r="A24" s="523">
        <v>43645</v>
      </c>
      <c r="B24" s="80" t="s">
        <v>4264</v>
      </c>
      <c r="C24" s="80" t="s">
        <v>5239</v>
      </c>
      <c r="D24" s="1786">
        <v>1.5092592592592593E-2</v>
      </c>
      <c r="E24" s="80" t="s">
        <v>13028</v>
      </c>
      <c r="F24" s="1489" t="s">
        <v>13046</v>
      </c>
      <c r="G24" s="1622">
        <v>0.83279999999999998</v>
      </c>
    </row>
    <row r="25" spans="1:7" x14ac:dyDescent="0.2">
      <c r="A25" s="523">
        <v>43757</v>
      </c>
      <c r="B25" s="1489" t="s">
        <v>4264</v>
      </c>
      <c r="C25" s="1489" t="s">
        <v>5239</v>
      </c>
      <c r="D25" s="1786">
        <v>1.486111111111111E-2</v>
      </c>
      <c r="E25" s="1489" t="s">
        <v>15848</v>
      </c>
      <c r="F25" s="1489" t="s">
        <v>15875</v>
      </c>
      <c r="G25" s="1622">
        <v>0.8458</v>
      </c>
    </row>
    <row r="26" spans="1:7" x14ac:dyDescent="0.2">
      <c r="A26" s="34">
        <v>43764</v>
      </c>
      <c r="B26" s="1526" t="s">
        <v>4264</v>
      </c>
      <c r="C26" s="1526" t="s">
        <v>5239</v>
      </c>
      <c r="D26" s="1848">
        <v>1.5497685185185186E-2</v>
      </c>
      <c r="E26" s="1721" t="s">
        <v>15912</v>
      </c>
      <c r="F26" s="1721" t="s">
        <v>9043</v>
      </c>
      <c r="G26" s="1854">
        <v>0.81110000000000004</v>
      </c>
    </row>
    <row r="27" spans="1:7" x14ac:dyDescent="0.2">
      <c r="A27" s="34">
        <v>43617</v>
      </c>
      <c r="B27" s="1499" t="s">
        <v>8457</v>
      </c>
      <c r="C27" s="1499" t="s">
        <v>5239</v>
      </c>
      <c r="D27" s="1785">
        <v>1.5196759259259259E-2</v>
      </c>
      <c r="E27" s="1493" t="s">
        <v>12801</v>
      </c>
      <c r="F27" s="1493" t="s">
        <v>12781</v>
      </c>
      <c r="G27" s="1494">
        <v>0.8165</v>
      </c>
    </row>
    <row r="28" spans="1:7" x14ac:dyDescent="0.2">
      <c r="A28" s="523">
        <v>43638</v>
      </c>
      <c r="B28" s="1493" t="s">
        <v>8457</v>
      </c>
      <c r="C28" s="1569" t="s">
        <v>5239</v>
      </c>
      <c r="D28" s="1792">
        <v>1.5208333333333332E-2</v>
      </c>
      <c r="E28" s="1569" t="s">
        <v>12989</v>
      </c>
      <c r="F28" s="1793" t="s">
        <v>13006</v>
      </c>
      <c r="G28" s="1624">
        <v>0.82650000000000001</v>
      </c>
    </row>
    <row r="29" spans="1:7" x14ac:dyDescent="0.2">
      <c r="A29" s="1673">
        <v>43743</v>
      </c>
      <c r="B29" s="1489" t="s">
        <v>8457</v>
      </c>
      <c r="C29" s="1489" t="s">
        <v>5239</v>
      </c>
      <c r="D29" s="1791">
        <v>1.5474537037037038E-2</v>
      </c>
      <c r="E29" s="1514" t="s">
        <v>15705</v>
      </c>
      <c r="F29" s="1514" t="s">
        <v>15746</v>
      </c>
      <c r="G29" s="1755">
        <v>0.81230000000000002</v>
      </c>
    </row>
    <row r="30" spans="1:7" x14ac:dyDescent="0.2">
      <c r="A30" s="523">
        <v>43694</v>
      </c>
      <c r="B30" s="1404" t="s">
        <v>13279</v>
      </c>
      <c r="C30" s="1404" t="s">
        <v>5239</v>
      </c>
      <c r="D30" s="1733">
        <v>1.5416666666666667E-2</v>
      </c>
      <c r="E30" s="1850" t="s">
        <v>768</v>
      </c>
      <c r="F30" s="1639" t="s">
        <v>15190</v>
      </c>
      <c r="G30" s="1622">
        <v>0.81530000000000002</v>
      </c>
    </row>
    <row r="31" spans="1:7" x14ac:dyDescent="0.2">
      <c r="A31" s="1523">
        <v>43708</v>
      </c>
      <c r="B31" s="1404" t="s">
        <v>13279</v>
      </c>
      <c r="C31" s="1404" t="s">
        <v>5239</v>
      </c>
      <c r="D31" s="1786">
        <v>1.5335648148148147E-2</v>
      </c>
      <c r="E31" s="1489" t="s">
        <v>15364</v>
      </c>
      <c r="F31" s="1489" t="s">
        <v>15388</v>
      </c>
      <c r="G31" s="1622">
        <v>0.8196</v>
      </c>
    </row>
    <row r="32" spans="1:7" x14ac:dyDescent="0.2">
      <c r="A32" s="523">
        <v>43722</v>
      </c>
      <c r="B32" s="1489" t="s">
        <v>13279</v>
      </c>
      <c r="C32" s="1489" t="s">
        <v>5239</v>
      </c>
      <c r="D32" s="1786">
        <v>1.4548611111111111E-2</v>
      </c>
      <c r="E32" s="1404" t="s">
        <v>15472</v>
      </c>
      <c r="F32" s="1489" t="s">
        <v>15506</v>
      </c>
      <c r="G32" s="1622">
        <v>0.86399999999999999</v>
      </c>
    </row>
    <row r="33" spans="1:7" x14ac:dyDescent="0.2">
      <c r="A33" s="1673">
        <v>43785</v>
      </c>
      <c r="B33" s="1514" t="s">
        <v>13279</v>
      </c>
      <c r="C33" s="1514" t="s">
        <v>5239</v>
      </c>
      <c r="D33" s="1791">
        <v>1.5208333333333332E-2</v>
      </c>
      <c r="E33" s="1514" t="s">
        <v>16015</v>
      </c>
      <c r="F33" s="1514" t="s">
        <v>16050</v>
      </c>
      <c r="G33" s="1755">
        <v>0.82650000000000001</v>
      </c>
    </row>
    <row r="34" spans="1:7" x14ac:dyDescent="0.2">
      <c r="A34" s="1751">
        <v>43792</v>
      </c>
      <c r="B34" s="1404" t="s">
        <v>13279</v>
      </c>
      <c r="C34" s="1404" t="s">
        <v>5239</v>
      </c>
      <c r="D34" s="1786">
        <v>1.4907407407407406E-2</v>
      </c>
      <c r="E34" s="1489" t="s">
        <v>16078</v>
      </c>
      <c r="F34" s="1404" t="s">
        <v>16101</v>
      </c>
      <c r="G34" s="1622">
        <v>0.84319999999999995</v>
      </c>
    </row>
    <row r="35" spans="1:7" x14ac:dyDescent="0.2">
      <c r="A35" s="34">
        <v>43806</v>
      </c>
      <c r="B35" s="1489" t="s">
        <v>13279</v>
      </c>
      <c r="C35" s="1489" t="s">
        <v>5239</v>
      </c>
      <c r="D35" s="1786">
        <v>1.556712962962963E-2</v>
      </c>
      <c r="E35" s="1489" t="s">
        <v>16222</v>
      </c>
      <c r="F35" s="1489" t="s">
        <v>16239</v>
      </c>
      <c r="G35" s="1622">
        <v>0.80740000000000001</v>
      </c>
    </row>
    <row r="36" spans="1:7" x14ac:dyDescent="0.2">
      <c r="A36" s="34">
        <v>43824</v>
      </c>
      <c r="B36" s="1404" t="s">
        <v>13279</v>
      </c>
      <c r="C36" s="1404" t="s">
        <v>5239</v>
      </c>
      <c r="D36" s="1621">
        <v>1.5601851851851849E-2</v>
      </c>
      <c r="E36" s="1489" t="s">
        <v>16378</v>
      </c>
      <c r="F36" s="1489" t="s">
        <v>16385</v>
      </c>
      <c r="G36" s="1622">
        <v>0.80559999999999998</v>
      </c>
    </row>
    <row r="37" spans="1:7" ht="13.5" customHeight="1" x14ac:dyDescent="0.2">
      <c r="A37" s="34">
        <v>43652</v>
      </c>
      <c r="B37" s="1371" t="s">
        <v>3230</v>
      </c>
      <c r="C37" s="1404" t="s">
        <v>11625</v>
      </c>
      <c r="D37" s="1786">
        <v>1.3993055555555554E-2</v>
      </c>
      <c r="E37" s="1489" t="s">
        <v>13068</v>
      </c>
      <c r="F37" s="1489" t="s">
        <v>13110</v>
      </c>
      <c r="G37" s="1622">
        <v>0.80310000000000004</v>
      </c>
    </row>
    <row r="38" spans="1:7" ht="14.25" customHeight="1" x14ac:dyDescent="0.2">
      <c r="A38" s="523">
        <v>43757</v>
      </c>
      <c r="B38" s="1489" t="s">
        <v>3230</v>
      </c>
      <c r="C38" s="1489" t="s">
        <v>11625</v>
      </c>
      <c r="D38" s="1733">
        <v>1.383101851851852E-2</v>
      </c>
      <c r="E38" s="1489" t="s">
        <v>15844</v>
      </c>
      <c r="F38" s="1489" t="s">
        <v>15861</v>
      </c>
      <c r="G38" s="1622">
        <v>0.81259999999999999</v>
      </c>
    </row>
    <row r="39" spans="1:7" x14ac:dyDescent="0.2">
      <c r="A39" s="34">
        <v>43764</v>
      </c>
      <c r="B39" s="523" t="s">
        <v>3230</v>
      </c>
      <c r="C39" s="523" t="s">
        <v>11625</v>
      </c>
      <c r="D39" s="1848">
        <v>1.3888888888888888E-2</v>
      </c>
      <c r="E39" s="1721" t="s">
        <v>9497</v>
      </c>
      <c r="F39" s="1721" t="s">
        <v>15922</v>
      </c>
      <c r="G39" s="1854">
        <v>0.80920000000000003</v>
      </c>
    </row>
    <row r="40" spans="1:7" x14ac:dyDescent="0.2">
      <c r="A40" s="523">
        <v>43610</v>
      </c>
      <c r="B40" t="s">
        <v>8230</v>
      </c>
      <c r="C40" s="1370" t="s">
        <v>11625</v>
      </c>
      <c r="D40" s="65">
        <v>1.375E-2</v>
      </c>
      <c r="E40" t="s">
        <v>12510</v>
      </c>
      <c r="F40" s="80" t="s">
        <v>12722</v>
      </c>
      <c r="G40" s="26">
        <v>0.81730000000000003</v>
      </c>
    </row>
    <row r="41" spans="1:7" x14ac:dyDescent="0.2">
      <c r="A41" s="34">
        <v>43617</v>
      </c>
      <c r="B41" s="1499" t="s">
        <v>8230</v>
      </c>
      <c r="C41" s="1499" t="s">
        <v>11625</v>
      </c>
      <c r="D41" s="1785">
        <v>1.3842592592592594E-2</v>
      </c>
      <c r="E41" s="1493" t="s">
        <v>12800</v>
      </c>
      <c r="F41" s="942"/>
      <c r="G41" s="1494">
        <v>0.81189999999999996</v>
      </c>
    </row>
    <row r="42" spans="1:7" x14ac:dyDescent="0.2">
      <c r="A42" s="34">
        <v>43624</v>
      </c>
      <c r="B42" s="1493" t="s">
        <v>8230</v>
      </c>
      <c r="C42" s="1493" t="s">
        <v>11625</v>
      </c>
      <c r="D42" s="1847">
        <v>1.4016203703703704E-2</v>
      </c>
      <c r="E42" s="1493" t="s">
        <v>12859</v>
      </c>
      <c r="F42" s="1493" t="s">
        <v>12865</v>
      </c>
      <c r="G42" s="1853">
        <v>0.80179999999999996</v>
      </c>
    </row>
    <row r="43" spans="1:7" x14ac:dyDescent="0.2">
      <c r="A43" s="523">
        <v>43631</v>
      </c>
      <c r="B43" s="1499" t="s">
        <v>8230</v>
      </c>
      <c r="C43" s="1499" t="s">
        <v>11625</v>
      </c>
      <c r="D43" s="1847">
        <v>1.3715277777777778E-2</v>
      </c>
      <c r="E43" s="1493" t="s">
        <v>12918</v>
      </c>
      <c r="F43" s="1494"/>
      <c r="G43" s="1853">
        <v>0.81940000000000002</v>
      </c>
    </row>
    <row r="44" spans="1:7" x14ac:dyDescent="0.2">
      <c r="A44" s="523">
        <v>43638</v>
      </c>
      <c r="B44" s="1493" t="s">
        <v>8230</v>
      </c>
      <c r="C44" s="1845" t="s">
        <v>11625</v>
      </c>
      <c r="D44" s="1847">
        <v>1.3865740740740739E-2</v>
      </c>
      <c r="E44" s="1849" t="s">
        <v>12978</v>
      </c>
      <c r="F44" s="1852"/>
      <c r="G44" s="1853">
        <v>0.8105</v>
      </c>
    </row>
    <row r="45" spans="1:7" x14ac:dyDescent="0.2">
      <c r="A45" s="523">
        <v>43659</v>
      </c>
      <c r="B45" s="1537" t="s">
        <v>8230</v>
      </c>
      <c r="C45" s="1537" t="s">
        <v>11625</v>
      </c>
      <c r="D45" s="1789">
        <v>1.3668981481481482E-2</v>
      </c>
      <c r="E45" s="1539" t="s">
        <v>13131</v>
      </c>
      <c r="F45" s="1553" t="s">
        <v>13126</v>
      </c>
      <c r="G45" s="1532">
        <v>0.82220000000000004</v>
      </c>
    </row>
    <row r="46" spans="1:7" x14ac:dyDescent="0.2">
      <c r="A46" s="34">
        <v>43687</v>
      </c>
      <c r="B46" s="1538" t="s">
        <v>8230</v>
      </c>
      <c r="C46" s="1539" t="s">
        <v>11625</v>
      </c>
      <c r="D46" s="1789">
        <v>1.4004629629629629E-2</v>
      </c>
      <c r="E46" s="1539" t="s">
        <v>13445</v>
      </c>
      <c r="F46" s="1554" t="s">
        <v>13451</v>
      </c>
      <c r="G46" s="1532">
        <v>0.80249999999999999</v>
      </c>
    </row>
    <row r="47" spans="1:7" x14ac:dyDescent="0.2">
      <c r="A47" s="1673">
        <v>43785</v>
      </c>
      <c r="B47" s="1773" t="s">
        <v>8230</v>
      </c>
      <c r="C47" s="1557" t="s">
        <v>11625</v>
      </c>
      <c r="D47" s="1788">
        <v>1.4016203703703704E-2</v>
      </c>
      <c r="E47" s="1557" t="s">
        <v>15993</v>
      </c>
      <c r="F47" s="1557" t="s">
        <v>16048</v>
      </c>
      <c r="G47" s="1746">
        <v>0.80179999999999996</v>
      </c>
    </row>
    <row r="48" spans="1:7" x14ac:dyDescent="0.2">
      <c r="A48" s="1673">
        <v>43820</v>
      </c>
      <c r="B48" s="1538" t="s">
        <v>8230</v>
      </c>
      <c r="C48" s="1539" t="s">
        <v>11625</v>
      </c>
      <c r="D48" s="1787">
        <v>1.3657407407407408E-2</v>
      </c>
      <c r="E48" s="1784" t="s">
        <v>16327</v>
      </c>
      <c r="F48" s="1851" t="s">
        <v>16340</v>
      </c>
      <c r="G48" s="26">
        <v>0.82289999999999996</v>
      </c>
    </row>
    <row r="49" spans="1:8" x14ac:dyDescent="0.2">
      <c r="A49" s="1729">
        <v>43827</v>
      </c>
      <c r="B49" s="1404" t="s">
        <v>8230</v>
      </c>
      <c r="C49" s="1404" t="s">
        <v>11625</v>
      </c>
      <c r="D49" s="1621">
        <v>1.4097222222222223E-2</v>
      </c>
      <c r="E49" s="1489" t="s">
        <v>16430</v>
      </c>
      <c r="F49" s="1489" t="s">
        <v>16449</v>
      </c>
      <c r="G49" s="1622">
        <v>0.79720000000000002</v>
      </c>
    </row>
    <row r="50" spans="1:8" x14ac:dyDescent="0.2">
      <c r="A50" s="1523">
        <v>43708</v>
      </c>
      <c r="B50" s="1404" t="s">
        <v>13269</v>
      </c>
      <c r="C50" s="1404" t="s">
        <v>11625</v>
      </c>
      <c r="D50" s="1786">
        <v>1.3981481481481482E-2</v>
      </c>
      <c r="E50" s="1489" t="s">
        <v>15372</v>
      </c>
      <c r="F50" s="1404" t="s">
        <v>15347</v>
      </c>
      <c r="G50" s="1622">
        <v>0.80379999999999996</v>
      </c>
    </row>
    <row r="51" spans="1:8" x14ac:dyDescent="0.2">
      <c r="A51" s="523">
        <v>43722</v>
      </c>
      <c r="B51" s="1489" t="s">
        <v>13269</v>
      </c>
      <c r="C51" s="1489" t="s">
        <v>11625</v>
      </c>
      <c r="D51" s="1786">
        <v>1.3703703703703706E-2</v>
      </c>
      <c r="E51" s="1404" t="s">
        <v>15469</v>
      </c>
      <c r="F51" s="1489" t="s">
        <v>15517</v>
      </c>
      <c r="G51" s="1622">
        <v>0.82010000000000005</v>
      </c>
    </row>
    <row r="52" spans="1:8" x14ac:dyDescent="0.2">
      <c r="A52" s="1673">
        <v>43729</v>
      </c>
      <c r="B52" s="1489" t="s">
        <v>13269</v>
      </c>
      <c r="C52" s="1489" t="s">
        <v>11625</v>
      </c>
      <c r="D52" s="1786">
        <v>1.3958333333333333E-2</v>
      </c>
      <c r="E52" s="1489" t="s">
        <v>15566</v>
      </c>
      <c r="F52" s="1489" t="s">
        <v>15689</v>
      </c>
      <c r="G52" s="1622">
        <v>0.80510000000000004</v>
      </c>
    </row>
    <row r="53" spans="1:8" x14ac:dyDescent="0.2">
      <c r="A53" s="1673">
        <v>43736</v>
      </c>
      <c r="B53" s="1489" t="s">
        <v>13269</v>
      </c>
      <c r="C53" s="1489" t="s">
        <v>11625</v>
      </c>
      <c r="D53" s="1786">
        <v>1.3912037037037037E-2</v>
      </c>
      <c r="E53" s="1489" t="s">
        <v>15634</v>
      </c>
      <c r="F53" s="1489"/>
      <c r="G53" s="1622">
        <v>0.80779999999999996</v>
      </c>
    </row>
    <row r="54" spans="1:8" x14ac:dyDescent="0.2">
      <c r="A54" s="1673">
        <v>43743</v>
      </c>
      <c r="B54" s="1370" t="s">
        <v>13269</v>
      </c>
      <c r="C54" s="1370" t="s">
        <v>11625</v>
      </c>
      <c r="D54" s="1787">
        <v>1.3680555555555555E-2</v>
      </c>
      <c r="E54" s="80" t="s">
        <v>15706</v>
      </c>
      <c r="F54" s="80" t="s">
        <v>15752</v>
      </c>
      <c r="G54" s="26">
        <v>0.82150000000000001</v>
      </c>
      <c r="H54" s="80" t="s">
        <v>15750</v>
      </c>
    </row>
    <row r="55" spans="1:8" ht="12.75" customHeight="1" x14ac:dyDescent="0.2">
      <c r="A55" s="34">
        <v>43771</v>
      </c>
      <c r="B55" s="1514" t="s">
        <v>13269</v>
      </c>
      <c r="C55" s="1514" t="s">
        <v>11625</v>
      </c>
      <c r="D55" s="1787">
        <v>1.3969907407407408E-2</v>
      </c>
      <c r="E55" s="1514" t="s">
        <v>15882</v>
      </c>
      <c r="F55" s="1486"/>
      <c r="G55" s="26">
        <v>0.80449999999999999</v>
      </c>
    </row>
    <row r="56" spans="1:8" ht="12.75" customHeight="1" x14ac:dyDescent="0.2">
      <c r="A56" s="1751">
        <v>43792</v>
      </c>
      <c r="B56" s="1404" t="s">
        <v>13269</v>
      </c>
      <c r="C56" s="1489" t="s">
        <v>11625</v>
      </c>
      <c r="D56" s="1786">
        <v>1.3611111111111112E-2</v>
      </c>
      <c r="E56" s="1489" t="s">
        <v>16078</v>
      </c>
      <c r="F56" s="1404" t="s">
        <v>16105</v>
      </c>
      <c r="G56" s="1622">
        <v>0.82569999999999999</v>
      </c>
    </row>
    <row r="57" spans="1:8" ht="12.75" customHeight="1" x14ac:dyDescent="0.2">
      <c r="A57" s="34">
        <v>43806</v>
      </c>
      <c r="B57" s="1489" t="s">
        <v>13269</v>
      </c>
      <c r="C57" s="1489" t="s">
        <v>11625</v>
      </c>
      <c r="D57" s="1786">
        <v>1.3761574074074074E-2</v>
      </c>
      <c r="E57" s="1489" t="s">
        <v>16213</v>
      </c>
      <c r="F57" s="1489" t="s">
        <v>16229</v>
      </c>
      <c r="G57" s="1622">
        <v>0.81669999999999998</v>
      </c>
    </row>
    <row r="58" spans="1:8" ht="12.75" customHeight="1" x14ac:dyDescent="0.2">
      <c r="A58" s="523">
        <v>43722</v>
      </c>
      <c r="B58" s="1489" t="s">
        <v>15350</v>
      </c>
      <c r="C58" s="1489" t="s">
        <v>860</v>
      </c>
      <c r="D58" s="1786">
        <v>1.2395833333333333E-2</v>
      </c>
      <c r="E58" s="1404" t="s">
        <v>15468</v>
      </c>
      <c r="F58" s="1639" t="s">
        <v>15516</v>
      </c>
      <c r="G58" s="1622">
        <v>0.8609</v>
      </c>
    </row>
    <row r="59" spans="1:8" ht="12.75" customHeight="1" x14ac:dyDescent="0.2">
      <c r="A59" s="523">
        <v>43750</v>
      </c>
      <c r="B59" s="1537" t="s">
        <v>15350</v>
      </c>
      <c r="C59" s="1752" t="s">
        <v>860</v>
      </c>
      <c r="D59" s="1789">
        <v>1.2546296296296297E-2</v>
      </c>
      <c r="E59" s="1539" t="s">
        <v>15802</v>
      </c>
      <c r="F59" s="1539" t="s">
        <v>15831</v>
      </c>
      <c r="G59" s="1532">
        <v>0.85060000000000002</v>
      </c>
      <c r="H59" s="80" t="s">
        <v>15816</v>
      </c>
    </row>
    <row r="60" spans="1:8" ht="12.75" customHeight="1" x14ac:dyDescent="0.2">
      <c r="A60" s="523">
        <v>43722</v>
      </c>
      <c r="B60" s="1489" t="s">
        <v>15490</v>
      </c>
      <c r="C60" s="1489" t="s">
        <v>3012</v>
      </c>
      <c r="D60" s="1786">
        <v>1.2916666666666667E-2</v>
      </c>
      <c r="E60" s="1404" t="s">
        <v>15481</v>
      </c>
      <c r="F60" s="1489">
        <v>7</v>
      </c>
      <c r="G60" s="1622">
        <v>0.80559999999999998</v>
      </c>
    </row>
    <row r="61" spans="1:8" ht="12.75" customHeight="1" x14ac:dyDescent="0.2">
      <c r="A61" s="1673">
        <v>43743</v>
      </c>
      <c r="B61" s="1489" t="s">
        <v>15490</v>
      </c>
      <c r="C61" s="1489" t="s">
        <v>3012</v>
      </c>
      <c r="D61" s="1791">
        <v>1.3136574074074075E-2</v>
      </c>
      <c r="E61" s="1514" t="s">
        <v>15725</v>
      </c>
      <c r="F61" s="1514" t="s">
        <v>15761</v>
      </c>
      <c r="G61" s="1755">
        <v>0.79210000000000003</v>
      </c>
    </row>
    <row r="62" spans="1:8" ht="12.75" customHeight="1" x14ac:dyDescent="0.2">
      <c r="A62" s="1673">
        <v>43785</v>
      </c>
      <c r="B62" s="80" t="s">
        <v>15490</v>
      </c>
      <c r="C62" s="80" t="s">
        <v>3012</v>
      </c>
      <c r="D62" s="1787">
        <v>1.3194444444444444E-2</v>
      </c>
      <c r="E62" s="80" t="s">
        <v>16015</v>
      </c>
      <c r="F62" s="80" t="s">
        <v>16035</v>
      </c>
      <c r="G62" s="26">
        <v>0.78859999999999997</v>
      </c>
    </row>
    <row r="63" spans="1:8" ht="12.75" customHeight="1" x14ac:dyDescent="0.2">
      <c r="A63" s="523">
        <v>43568</v>
      </c>
      <c r="B63" s="1370" t="s">
        <v>3535</v>
      </c>
      <c r="C63" s="1370" t="s">
        <v>3536</v>
      </c>
      <c r="D63" s="65">
        <v>1.2372685185185186E-2</v>
      </c>
      <c r="E63" s="80" t="s">
        <v>12361</v>
      </c>
      <c r="F63" s="80" t="s">
        <v>12430</v>
      </c>
      <c r="G63" s="26">
        <v>0.80820000000000003</v>
      </c>
    </row>
    <row r="64" spans="1:8" ht="12.75" customHeight="1" x14ac:dyDescent="0.2">
      <c r="A64" s="34">
        <v>43824</v>
      </c>
      <c r="B64" s="1404" t="s">
        <v>13270</v>
      </c>
      <c r="C64" s="1404" t="s">
        <v>3536</v>
      </c>
      <c r="D64" s="1621">
        <v>1.224537037037037E-2</v>
      </c>
      <c r="E64" s="1489" t="s">
        <v>16370</v>
      </c>
      <c r="F64" s="1489"/>
      <c r="G64" s="1622">
        <v>0.82330000000000003</v>
      </c>
      <c r="H64" s="80" t="s">
        <v>16386</v>
      </c>
    </row>
    <row r="65" spans="1:8" ht="12.75" customHeight="1" x14ac:dyDescent="0.2">
      <c r="A65" s="1729">
        <v>43827</v>
      </c>
      <c r="B65" s="1404" t="s">
        <v>13270</v>
      </c>
      <c r="C65" s="1489" t="s">
        <v>3536</v>
      </c>
      <c r="D65" s="1621">
        <v>1.2291666666666666E-2</v>
      </c>
      <c r="E65" s="1489" t="s">
        <v>16419</v>
      </c>
      <c r="F65" s="1404" t="s">
        <v>16416</v>
      </c>
      <c r="G65" s="1622">
        <v>0.82020000000000004</v>
      </c>
    </row>
    <row r="66" spans="1:8" ht="12.75" customHeight="1" x14ac:dyDescent="0.2">
      <c r="A66" s="523">
        <v>43484</v>
      </c>
      <c r="B66" s="1514" t="s">
        <v>9701</v>
      </c>
      <c r="C66" s="1514" t="s">
        <v>9702</v>
      </c>
      <c r="D66" s="1774">
        <v>1.4675925925925926E-2</v>
      </c>
      <c r="E66" s="1514" t="s">
        <v>10983</v>
      </c>
      <c r="F66" s="1514" t="s">
        <v>11619</v>
      </c>
      <c r="G66" s="1755">
        <v>0.82410000000000005</v>
      </c>
    </row>
    <row r="67" spans="1:8" ht="12.75" customHeight="1" x14ac:dyDescent="0.2">
      <c r="A67" s="523">
        <v>43491</v>
      </c>
      <c r="B67" s="80" t="s">
        <v>9701</v>
      </c>
      <c r="C67" s="334" t="s">
        <v>9702</v>
      </c>
      <c r="D67" s="1774">
        <v>1.4594907407407405E-2</v>
      </c>
      <c r="E67" s="80" t="s">
        <v>5198</v>
      </c>
      <c r="F67" s="69" t="s">
        <v>11696</v>
      </c>
      <c r="G67" s="1755">
        <v>0.82869999999999999</v>
      </c>
    </row>
    <row r="68" spans="1:8" ht="12.75" customHeight="1" x14ac:dyDescent="0.2">
      <c r="A68" s="523">
        <v>43519</v>
      </c>
      <c r="B68" s="80" t="s">
        <v>9701</v>
      </c>
      <c r="C68" s="80" t="s">
        <v>9702</v>
      </c>
      <c r="D68" s="1774">
        <v>1.4537037037037038E-2</v>
      </c>
      <c r="E68" s="80" t="s">
        <v>5198</v>
      </c>
      <c r="F68" s="80" t="s">
        <v>11884</v>
      </c>
      <c r="G68" s="1755">
        <v>0.83199999999999996</v>
      </c>
    </row>
    <row r="69" spans="1:8" ht="12.75" customHeight="1" x14ac:dyDescent="0.2">
      <c r="A69" s="523">
        <v>43540</v>
      </c>
      <c r="B69" s="1514" t="s">
        <v>9701</v>
      </c>
      <c r="C69" s="1514" t="s">
        <v>9702</v>
      </c>
      <c r="D69" s="1774">
        <v>1.4398148148148148E-2</v>
      </c>
      <c r="E69" s="1514" t="s">
        <v>12123</v>
      </c>
      <c r="F69" s="1514" t="s">
        <v>12122</v>
      </c>
      <c r="G69" s="1755">
        <v>0.84</v>
      </c>
    </row>
    <row r="70" spans="1:8" ht="12.75" customHeight="1" x14ac:dyDescent="0.2">
      <c r="A70" s="523">
        <v>43554</v>
      </c>
      <c r="B70" s="80" t="s">
        <v>9701</v>
      </c>
      <c r="C70" s="80" t="s">
        <v>9702</v>
      </c>
      <c r="D70" s="65">
        <v>1.4386574074074072E-2</v>
      </c>
      <c r="E70" s="80" t="s">
        <v>12238</v>
      </c>
      <c r="F70" s="80" t="s">
        <v>12236</v>
      </c>
      <c r="G70" s="26">
        <v>0.8407</v>
      </c>
      <c r="H70" t="s">
        <v>12237</v>
      </c>
    </row>
    <row r="71" spans="1:8" ht="12.75" customHeight="1" x14ac:dyDescent="0.2">
      <c r="A71" s="523">
        <v>43561</v>
      </c>
      <c r="B71" s="1370" t="s">
        <v>9701</v>
      </c>
      <c r="C71" s="1370" t="s">
        <v>9702</v>
      </c>
      <c r="D71" s="1774">
        <v>1.3888888888888888E-2</v>
      </c>
      <c r="E71" s="80" t="s">
        <v>12329</v>
      </c>
      <c r="F71" s="80" t="s">
        <v>12341</v>
      </c>
      <c r="G71" s="1755">
        <v>0.87080000000000002</v>
      </c>
    </row>
    <row r="72" spans="1:8" ht="12.75" customHeight="1" x14ac:dyDescent="0.2">
      <c r="A72" s="523">
        <v>43575</v>
      </c>
      <c r="B72" s="1489" t="s">
        <v>9701</v>
      </c>
      <c r="C72" s="1489" t="s">
        <v>9702</v>
      </c>
      <c r="D72" s="1774">
        <v>1.3969907407407408E-2</v>
      </c>
      <c r="E72" s="1514" t="s">
        <v>12480</v>
      </c>
      <c r="F72" s="1514" t="s">
        <v>12493</v>
      </c>
      <c r="G72" s="1755">
        <v>0.86580000000000001</v>
      </c>
    </row>
    <row r="73" spans="1:8" ht="12.75" customHeight="1" x14ac:dyDescent="0.2">
      <c r="A73" s="523">
        <v>43582</v>
      </c>
      <c r="B73" s="1370" t="s">
        <v>9701</v>
      </c>
      <c r="C73" s="1370" t="s">
        <v>9702</v>
      </c>
      <c r="D73" s="65">
        <v>1.4004629629629631E-2</v>
      </c>
      <c r="E73" s="1370" t="s">
        <v>12626</v>
      </c>
      <c r="F73" s="1370" t="s">
        <v>12627</v>
      </c>
      <c r="G73" s="26">
        <v>0.86360000000000003</v>
      </c>
    </row>
    <row r="74" spans="1:8" ht="12.75" customHeight="1" x14ac:dyDescent="0.2">
      <c r="A74" s="523">
        <v>43645</v>
      </c>
      <c r="B74" s="80" t="s">
        <v>9701</v>
      </c>
      <c r="C74" s="80" t="s">
        <v>9702</v>
      </c>
      <c r="D74" s="1786">
        <v>1.4143518518518519E-2</v>
      </c>
      <c r="E74" s="80" t="s">
        <v>13028</v>
      </c>
      <c r="F74" s="1489" t="s">
        <v>13044</v>
      </c>
      <c r="G74" s="1622">
        <v>0.85519999999999996</v>
      </c>
    </row>
    <row r="75" spans="1:8" ht="12.75" customHeight="1" x14ac:dyDescent="0.2">
      <c r="A75" s="34">
        <v>43666</v>
      </c>
      <c r="B75" s="1489" t="s">
        <v>9701</v>
      </c>
      <c r="C75" s="1489" t="s">
        <v>9702</v>
      </c>
      <c r="D75" s="1786">
        <v>1.4953703703703703E-2</v>
      </c>
      <c r="E75" s="1489" t="s">
        <v>13209</v>
      </c>
      <c r="F75" s="1489" t="s">
        <v>13227</v>
      </c>
      <c r="G75" s="1622">
        <v>0.80879999999999996</v>
      </c>
    </row>
    <row r="76" spans="1:8" ht="12.75" customHeight="1" x14ac:dyDescent="0.2">
      <c r="A76" s="1523">
        <v>43708</v>
      </c>
      <c r="B76" s="1404" t="s">
        <v>9701</v>
      </c>
      <c r="C76" s="1404" t="s">
        <v>9702</v>
      </c>
      <c r="D76" s="1786">
        <v>1.3969907407407408E-2</v>
      </c>
      <c r="E76" s="1489" t="s">
        <v>15381</v>
      </c>
      <c r="F76" s="1489" t="s">
        <v>15394</v>
      </c>
      <c r="G76" s="1622">
        <v>0.86580000000000001</v>
      </c>
    </row>
    <row r="77" spans="1:8" ht="12.75" customHeight="1" x14ac:dyDescent="0.2">
      <c r="A77" s="34">
        <v>43617</v>
      </c>
      <c r="B77" s="1846" t="s">
        <v>9704</v>
      </c>
      <c r="C77" s="1846" t="s">
        <v>9702</v>
      </c>
      <c r="D77" s="1847">
        <v>1.4097222222222221E-2</v>
      </c>
      <c r="E77" s="1849" t="s">
        <v>12799</v>
      </c>
      <c r="F77" s="1849" t="s">
        <v>12791</v>
      </c>
      <c r="G77" s="1853">
        <v>0.85799999999999998</v>
      </c>
    </row>
    <row r="78" spans="1:8" ht="12.75" customHeight="1" x14ac:dyDescent="0.2">
      <c r="A78" s="34">
        <v>43624</v>
      </c>
      <c r="B78" s="1845" t="s">
        <v>9704</v>
      </c>
      <c r="C78" s="1845" t="s">
        <v>9702</v>
      </c>
      <c r="D78" s="1847">
        <v>1.3854166666666666E-2</v>
      </c>
      <c r="E78" s="1849" t="s">
        <v>12860</v>
      </c>
      <c r="F78" s="1849" t="s">
        <v>12847</v>
      </c>
      <c r="G78" s="1853">
        <v>0.873</v>
      </c>
    </row>
    <row r="79" spans="1:8" ht="12.75" customHeight="1" x14ac:dyDescent="0.2">
      <c r="A79" s="1523">
        <v>43701</v>
      </c>
      <c r="B79" s="1538" t="s">
        <v>9704</v>
      </c>
      <c r="C79" s="1538" t="s">
        <v>9702</v>
      </c>
      <c r="D79" s="1789">
        <v>1.4768518518518518E-2</v>
      </c>
      <c r="E79" s="1539" t="s">
        <v>15279</v>
      </c>
      <c r="F79" s="1539" t="s">
        <v>15313</v>
      </c>
      <c r="G79" s="1532">
        <v>0.81899999999999995</v>
      </c>
    </row>
    <row r="80" spans="1:8" ht="12.75" customHeight="1" x14ac:dyDescent="0.2">
      <c r="A80" s="1729">
        <v>43799</v>
      </c>
      <c r="B80" s="80" t="s">
        <v>9704</v>
      </c>
      <c r="C80" s="80" t="s">
        <v>9702</v>
      </c>
      <c r="D80" s="1787">
        <v>1.4606481481481482E-2</v>
      </c>
      <c r="E80" t="s">
        <v>16164</v>
      </c>
      <c r="F80" s="80" t="s">
        <v>16175</v>
      </c>
      <c r="G80" s="26">
        <v>0.83840000000000003</v>
      </c>
    </row>
    <row r="81" spans="1:23" ht="12.75" customHeight="1" x14ac:dyDescent="0.2">
      <c r="A81" s="1379">
        <v>43673</v>
      </c>
      <c r="B81" s="1489" t="s">
        <v>13273</v>
      </c>
      <c r="C81" s="1489" t="s">
        <v>9702</v>
      </c>
      <c r="D81" s="1786">
        <v>1.4421296296296295E-2</v>
      </c>
      <c r="E81" s="1489" t="s">
        <v>13284</v>
      </c>
      <c r="F81" s="1489" t="s">
        <v>13307</v>
      </c>
      <c r="G81" s="1622">
        <v>0.8387</v>
      </c>
    </row>
    <row r="82" spans="1:23" ht="12.75" customHeight="1" x14ac:dyDescent="0.2">
      <c r="A82" s="34">
        <v>43680</v>
      </c>
      <c r="B82" s="1489" t="s">
        <v>13273</v>
      </c>
      <c r="C82" s="1489" t="s">
        <v>9702</v>
      </c>
      <c r="D82" s="1786">
        <v>1.4247685185185184E-2</v>
      </c>
      <c r="E82" s="1489" t="s">
        <v>13344</v>
      </c>
      <c r="F82" s="1489" t="s">
        <v>13345</v>
      </c>
      <c r="G82" s="1622">
        <v>0.84889999999999999</v>
      </c>
    </row>
    <row r="83" spans="1:23" ht="12.75" customHeight="1" x14ac:dyDescent="0.2">
      <c r="A83" s="34">
        <v>43771</v>
      </c>
      <c r="B83" s="80" t="s">
        <v>13273</v>
      </c>
      <c r="C83" s="80" t="s">
        <v>9702</v>
      </c>
      <c r="D83" s="1787">
        <v>1.4953703703703703E-2</v>
      </c>
      <c r="E83" s="80" t="s">
        <v>15881</v>
      </c>
      <c r="G83" s="26">
        <v>0.81889999999999996</v>
      </c>
    </row>
    <row r="84" spans="1:23" ht="12.75" customHeight="1" x14ac:dyDescent="0.2">
      <c r="A84" s="34">
        <v>43806</v>
      </c>
      <c r="B84" s="1489" t="s">
        <v>13273</v>
      </c>
      <c r="C84" s="1489" t="s">
        <v>9702</v>
      </c>
      <c r="D84" s="1786">
        <v>1.4490740740740742E-2</v>
      </c>
      <c r="E84" s="1489" t="s">
        <v>16224</v>
      </c>
      <c r="F84" s="1489" t="s">
        <v>16235</v>
      </c>
      <c r="G84" s="1622">
        <v>0.84499999999999997</v>
      </c>
    </row>
    <row r="85" spans="1:23" ht="12.75" customHeight="1" x14ac:dyDescent="0.2">
      <c r="A85" s="34"/>
      <c r="B85" s="1489"/>
      <c r="C85" s="1489"/>
      <c r="D85" s="1786"/>
      <c r="E85" s="1489"/>
      <c r="F85" s="1489"/>
      <c r="G85" s="1622"/>
    </row>
    <row r="86" spans="1:23" ht="12.75" customHeight="1" x14ac:dyDescent="0.2">
      <c r="A86" s="34"/>
      <c r="B86" s="1489"/>
      <c r="C86" s="1489"/>
      <c r="D86" s="1786"/>
      <c r="E86" s="1489"/>
      <c r="F86" s="1489"/>
      <c r="G86" s="1622"/>
    </row>
    <row r="87" spans="1:23" ht="12.75" customHeight="1" x14ac:dyDescent="0.2">
      <c r="A87" s="34"/>
      <c r="B87" s="1489"/>
      <c r="C87" s="1489"/>
      <c r="D87" s="1786"/>
      <c r="E87" s="1489"/>
      <c r="F87" s="1489"/>
      <c r="G87" s="1622"/>
    </row>
    <row r="88" spans="1:23" ht="12.75" customHeight="1" x14ac:dyDescent="0.2">
      <c r="A88" s="1766" t="s">
        <v>16776</v>
      </c>
      <c r="B88" s="2"/>
      <c r="C88" s="80"/>
      <c r="D88" s="1674"/>
      <c r="E88" s="80"/>
      <c r="F88" s="80"/>
      <c r="G88" s="26"/>
    </row>
    <row r="89" spans="1:23" s="1877" customFormat="1" x14ac:dyDescent="0.2">
      <c r="A89" s="34">
        <v>43855</v>
      </c>
      <c r="B89" s="1384" t="s">
        <v>4264</v>
      </c>
      <c r="C89" s="1384" t="s">
        <v>5239</v>
      </c>
      <c r="D89" s="1621">
        <v>1.5636574074074074E-2</v>
      </c>
      <c r="E89" s="1489" t="s">
        <v>16763</v>
      </c>
      <c r="F89" s="1489" t="s">
        <v>16784</v>
      </c>
      <c r="G89" s="1622">
        <v>0.80379999999999996</v>
      </c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</row>
    <row r="90" spans="1:23" s="1877" customFormat="1" x14ac:dyDescent="0.2">
      <c r="A90" s="1891">
        <v>43848</v>
      </c>
      <c r="B90" s="1404" t="s">
        <v>8457</v>
      </c>
      <c r="C90" s="1404" t="s">
        <v>5239</v>
      </c>
      <c r="D90" s="1621">
        <v>1.5428240740740739E-2</v>
      </c>
      <c r="E90" s="1489" t="s">
        <v>16671</v>
      </c>
      <c r="F90" s="1489" t="s">
        <v>16689</v>
      </c>
      <c r="G90" s="1622">
        <v>0.81469999999999998</v>
      </c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</row>
    <row r="91" spans="1:23" s="1884" customFormat="1" x14ac:dyDescent="0.2">
      <c r="A91" s="2038">
        <v>43897</v>
      </c>
      <c r="B91" s="2031" t="s">
        <v>13279</v>
      </c>
      <c r="C91" s="2034" t="s">
        <v>5239</v>
      </c>
      <c r="D91" s="2030">
        <v>1.5092592592592593E-2</v>
      </c>
      <c r="E91" s="2031" t="s">
        <v>17228</v>
      </c>
      <c r="F91" s="2025" t="s">
        <v>17235</v>
      </c>
      <c r="G91" s="2032">
        <v>0.83279999999999998</v>
      </c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</row>
    <row r="92" spans="1:23" s="1884" customFormat="1" x14ac:dyDescent="0.2">
      <c r="A92" s="34">
        <v>43862</v>
      </c>
      <c r="B92" s="1404" t="s">
        <v>13279</v>
      </c>
      <c r="C92" s="1404" t="s">
        <v>5239</v>
      </c>
      <c r="D92" s="1621">
        <v>1.5891203703703703E-2</v>
      </c>
      <c r="E92" s="1489" t="s">
        <v>16847</v>
      </c>
      <c r="F92" s="1489" t="s">
        <v>16870</v>
      </c>
      <c r="G92" s="1622">
        <v>0.79100000000000004</v>
      </c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1:23" ht="12.75" customHeight="1" x14ac:dyDescent="0.2">
      <c r="A93" s="1883">
        <v>43834</v>
      </c>
      <c r="B93" s="1886" t="s">
        <v>4264</v>
      </c>
      <c r="C93" s="1660" t="s">
        <v>16599</v>
      </c>
      <c r="D93" s="1412">
        <v>1.5266203703703705E-2</v>
      </c>
      <c r="E93" s="1370" t="s">
        <v>16603</v>
      </c>
      <c r="F93" s="1370" t="s">
        <v>16604</v>
      </c>
      <c r="G93" s="1885">
        <v>0.82340000000000002</v>
      </c>
      <c r="H93" s="1371"/>
      <c r="I93" s="1370"/>
      <c r="J93" s="1884"/>
      <c r="K93" s="1884"/>
      <c r="L93" s="1884"/>
      <c r="M93" s="1884"/>
      <c r="N93" s="1884"/>
      <c r="O93" s="1884"/>
      <c r="P93" s="1884"/>
      <c r="Q93" s="1884"/>
      <c r="R93" s="1884"/>
      <c r="S93" s="1884"/>
      <c r="T93" s="1884"/>
      <c r="U93" s="1884"/>
      <c r="V93" s="1884"/>
      <c r="W93" s="1884"/>
    </row>
    <row r="94" spans="1:23" ht="12.75" customHeight="1" x14ac:dyDescent="0.2">
      <c r="A94" s="1883">
        <v>43834</v>
      </c>
      <c r="B94" s="1886" t="s">
        <v>3230</v>
      </c>
      <c r="C94" s="1660" t="s">
        <v>11625</v>
      </c>
      <c r="D94" s="1412">
        <v>1.4085648148148151E-2</v>
      </c>
      <c r="E94" s="1370" t="s">
        <v>16617</v>
      </c>
      <c r="F94" s="1370" t="s">
        <v>16618</v>
      </c>
      <c r="G94" s="1885">
        <v>0.79969999999999997</v>
      </c>
      <c r="H94" s="1371"/>
      <c r="I94" s="1370"/>
      <c r="J94" s="1884"/>
      <c r="K94" s="1884"/>
      <c r="L94" s="1884"/>
      <c r="M94" s="1884"/>
      <c r="N94" s="1884"/>
      <c r="O94" s="1884"/>
      <c r="P94" s="1884"/>
      <c r="Q94" s="1884"/>
      <c r="R94" s="1884"/>
      <c r="S94" s="1884"/>
      <c r="T94" s="1884"/>
      <c r="U94" s="1884"/>
      <c r="V94" s="1884"/>
      <c r="W94" s="1884"/>
    </row>
    <row r="95" spans="1:23" ht="12.75" customHeight="1" x14ac:dyDescent="0.2">
      <c r="A95" s="2038">
        <v>43897</v>
      </c>
      <c r="B95" s="2031" t="s">
        <v>8230</v>
      </c>
      <c r="C95" s="2034" t="s">
        <v>11625</v>
      </c>
      <c r="D95" s="2030">
        <v>1.3784722222222223E-2</v>
      </c>
      <c r="E95" s="2031" t="s">
        <v>17215</v>
      </c>
      <c r="F95" s="2025" t="s">
        <v>17204</v>
      </c>
      <c r="G95" s="2032">
        <v>0.82199999999999995</v>
      </c>
    </row>
    <row r="96" spans="1:23" ht="12.75" customHeight="1" x14ac:dyDescent="0.2">
      <c r="A96" s="1523">
        <v>43876</v>
      </c>
      <c r="B96" s="1489" t="s">
        <v>8230</v>
      </c>
      <c r="C96" s="1489" t="s">
        <v>11625</v>
      </c>
      <c r="D96" s="1621">
        <v>1.3877314814814816E-2</v>
      </c>
      <c r="E96" s="1489" t="s">
        <v>16999</v>
      </c>
      <c r="F96" s="1404"/>
      <c r="G96" s="1622">
        <v>0.80979999999999996</v>
      </c>
    </row>
    <row r="97" spans="1:23" ht="12.75" customHeight="1" x14ac:dyDescent="0.2">
      <c r="A97" s="34">
        <v>43862</v>
      </c>
      <c r="B97" s="1404" t="s">
        <v>8230</v>
      </c>
      <c r="C97" s="1404" t="s">
        <v>11625</v>
      </c>
      <c r="D97" s="1621">
        <v>1.4085648148148149E-2</v>
      </c>
      <c r="E97" s="1489" t="s">
        <v>16833</v>
      </c>
      <c r="F97" s="1489" t="s">
        <v>3826</v>
      </c>
      <c r="G97" s="1622">
        <v>0.79790000000000005</v>
      </c>
    </row>
    <row r="98" spans="1:23" ht="12.75" customHeight="1" x14ac:dyDescent="0.2">
      <c r="A98" s="1891">
        <v>43848</v>
      </c>
      <c r="B98" s="1404" t="s">
        <v>8230</v>
      </c>
      <c r="C98" s="1404" t="s">
        <v>11625</v>
      </c>
      <c r="D98" s="1621">
        <v>1.3842592592592594E-2</v>
      </c>
      <c r="E98" s="1489" t="s">
        <v>16662</v>
      </c>
      <c r="F98" s="1404"/>
      <c r="G98" s="1622">
        <v>0.81189999999999996</v>
      </c>
    </row>
    <row r="99" spans="1:23" ht="12.75" customHeight="1" x14ac:dyDescent="0.2">
      <c r="A99" s="1891">
        <v>43841</v>
      </c>
      <c r="B99" s="1895" t="s">
        <v>8230</v>
      </c>
      <c r="C99" s="1895" t="s">
        <v>11625</v>
      </c>
      <c r="D99" s="1896">
        <v>1.40625E-2</v>
      </c>
      <c r="E99" s="1728" t="s">
        <v>16694</v>
      </c>
      <c r="F99" s="1728" t="s">
        <v>16708</v>
      </c>
      <c r="G99" s="1897">
        <v>0.79920000000000002</v>
      </c>
    </row>
    <row r="100" spans="1:23" ht="12.75" customHeight="1" x14ac:dyDescent="0.2">
      <c r="A100" s="34">
        <v>43890</v>
      </c>
      <c r="B100" s="1489" t="s">
        <v>13269</v>
      </c>
      <c r="C100" s="1489" t="s">
        <v>11625</v>
      </c>
      <c r="D100" s="1621">
        <v>1.4074074074074074E-2</v>
      </c>
      <c r="E100" s="1404" t="s">
        <v>17146</v>
      </c>
      <c r="F100" s="2000" t="s">
        <v>17179</v>
      </c>
      <c r="G100" s="1622">
        <v>0.80510000000000004</v>
      </c>
    </row>
    <row r="101" spans="1:23" ht="12.75" customHeight="1" x14ac:dyDescent="0.2">
      <c r="A101" s="1523">
        <v>43883</v>
      </c>
      <c r="B101" s="1370" t="s">
        <v>13269</v>
      </c>
      <c r="C101" s="1370" t="s">
        <v>11625</v>
      </c>
      <c r="D101" s="1674">
        <v>1.3842592592592594E-2</v>
      </c>
      <c r="E101" s="80" t="s">
        <v>17105</v>
      </c>
      <c r="F101" s="80" t="s">
        <v>17118</v>
      </c>
      <c r="G101" s="26">
        <v>0.81859999999999999</v>
      </c>
    </row>
    <row r="102" spans="1:23" ht="12.75" customHeight="1" x14ac:dyDescent="0.2">
      <c r="A102" s="1673">
        <v>43831</v>
      </c>
      <c r="B102" s="1371" t="s">
        <v>13269</v>
      </c>
      <c r="C102" s="1371" t="s">
        <v>11625</v>
      </c>
      <c r="D102" s="1674">
        <v>1.3946759259259258E-2</v>
      </c>
      <c r="E102" s="80" t="s">
        <v>16510</v>
      </c>
      <c r="F102" s="80" t="s">
        <v>11297</v>
      </c>
      <c r="G102" s="26">
        <v>0.80579999999999996</v>
      </c>
      <c r="I102" s="1877"/>
      <c r="J102" s="1877"/>
      <c r="K102" s="1877"/>
      <c r="L102" s="1877"/>
      <c r="M102" s="1877"/>
      <c r="N102" s="1877"/>
      <c r="O102" s="1877"/>
      <c r="P102" s="1877"/>
      <c r="Q102" s="1877"/>
      <c r="R102" s="1877"/>
      <c r="S102" s="1877"/>
      <c r="T102" s="1877"/>
      <c r="U102" s="1877"/>
      <c r="V102" s="1877"/>
      <c r="W102" s="1877"/>
    </row>
    <row r="103" spans="1:23" ht="12.75" customHeight="1" x14ac:dyDescent="0.2">
      <c r="A103" s="1673">
        <v>43831</v>
      </c>
      <c r="B103" s="1371" t="s">
        <v>13269</v>
      </c>
      <c r="C103" s="1371" t="s">
        <v>11625</v>
      </c>
      <c r="D103" s="1674">
        <v>1.3877314814814816E-2</v>
      </c>
      <c r="E103" s="80" t="s">
        <v>16521</v>
      </c>
      <c r="F103" s="80" t="s">
        <v>16548</v>
      </c>
      <c r="G103" s="26">
        <v>0.80979999999999996</v>
      </c>
      <c r="I103" s="1877"/>
      <c r="J103" s="1877"/>
      <c r="K103" s="1877"/>
      <c r="L103" s="1877"/>
      <c r="N103" s="80"/>
      <c r="O103" s="1877"/>
      <c r="P103" s="1877"/>
      <c r="Q103" s="1877"/>
      <c r="R103" s="1877"/>
      <c r="S103" s="1877"/>
      <c r="T103" s="1877"/>
      <c r="U103" s="1877"/>
      <c r="V103" s="1877"/>
      <c r="W103" s="1877"/>
    </row>
    <row r="104" spans="1:23" ht="12.75" customHeight="1" x14ac:dyDescent="0.2">
      <c r="A104" s="1523">
        <v>43883</v>
      </c>
      <c r="B104" s="1370" t="s">
        <v>15490</v>
      </c>
      <c r="C104" s="1370" t="s">
        <v>3012</v>
      </c>
      <c r="D104" s="1674">
        <v>1.3020833333333334E-2</v>
      </c>
      <c r="E104" s="80" t="s">
        <v>17101</v>
      </c>
      <c r="F104" s="80" t="s">
        <v>17089</v>
      </c>
      <c r="G104" s="26">
        <v>0.79910000000000003</v>
      </c>
    </row>
    <row r="105" spans="1:23" ht="12.75" customHeight="1" x14ac:dyDescent="0.2">
      <c r="A105" s="1523">
        <v>43876</v>
      </c>
      <c r="B105" s="1489" t="s">
        <v>15490</v>
      </c>
      <c r="C105" s="1489" t="s">
        <v>3012</v>
      </c>
      <c r="D105" s="1621">
        <v>1.2951388888888887E-2</v>
      </c>
      <c r="E105" s="1489" t="s">
        <v>17005</v>
      </c>
      <c r="F105" s="1489" t="s">
        <v>17020</v>
      </c>
      <c r="G105" s="1622">
        <v>0.8034</v>
      </c>
    </row>
    <row r="106" spans="1:23" ht="12.75" customHeight="1" x14ac:dyDescent="0.2">
      <c r="A106" s="34">
        <v>43855</v>
      </c>
      <c r="B106" s="523" t="s">
        <v>9701</v>
      </c>
      <c r="C106" s="523" t="s">
        <v>9702</v>
      </c>
      <c r="D106" s="1621">
        <v>1.5185185185185185E-2</v>
      </c>
      <c r="E106" s="1489" t="s">
        <v>16742</v>
      </c>
      <c r="F106" s="1404" t="s">
        <v>16730</v>
      </c>
      <c r="G106" s="1622">
        <v>0.80640000000000001</v>
      </c>
    </row>
    <row r="107" spans="1:23" ht="12.75" customHeight="1" x14ac:dyDescent="0.2">
      <c r="A107" s="34">
        <v>43890</v>
      </c>
      <c r="B107" s="1489" t="s">
        <v>13273</v>
      </c>
      <c r="C107" s="1489" t="s">
        <v>9702</v>
      </c>
      <c r="D107" s="1621">
        <v>1.4872685185185187E-2</v>
      </c>
      <c r="E107" s="1404" t="s">
        <v>17162</v>
      </c>
      <c r="F107" s="1489" t="s">
        <v>17183</v>
      </c>
      <c r="G107" s="1622">
        <v>0.82330000000000003</v>
      </c>
    </row>
    <row r="108" spans="1:23" ht="12.75" customHeight="1" x14ac:dyDescent="0.2">
      <c r="A108" s="1967">
        <v>43883</v>
      </c>
      <c r="B108" s="1370" t="s">
        <v>13273</v>
      </c>
      <c r="C108" s="1370" t="s">
        <v>9702</v>
      </c>
      <c r="D108" s="1674">
        <v>1.4930555555555556E-2</v>
      </c>
      <c r="E108" s="80" t="s">
        <v>17111</v>
      </c>
      <c r="F108" s="80" t="s">
        <v>17126</v>
      </c>
      <c r="G108" s="26">
        <v>0.82020000000000004</v>
      </c>
    </row>
    <row r="109" spans="1:23" ht="12.75" customHeight="1" x14ac:dyDescent="0.2">
      <c r="A109" s="1967">
        <v>43876</v>
      </c>
      <c r="B109" s="1489" t="s">
        <v>13273</v>
      </c>
      <c r="C109" s="1489" t="s">
        <v>9702</v>
      </c>
      <c r="D109" s="1621">
        <v>1.486111111111111E-2</v>
      </c>
      <c r="E109" s="1489" t="s">
        <v>17015</v>
      </c>
      <c r="F109" s="1489" t="s">
        <v>17032</v>
      </c>
      <c r="G109" s="1622">
        <v>0.82399999999999995</v>
      </c>
    </row>
    <row r="110" spans="1:23" ht="12.75" customHeight="1" x14ac:dyDescent="0.25">
      <c r="A110" s="2029">
        <v>43904</v>
      </c>
      <c r="B110" s="2051" t="s">
        <v>13269</v>
      </c>
      <c r="C110" s="2051" t="s">
        <v>11625</v>
      </c>
      <c r="D110" s="2043">
        <v>1.4074074074074074E-2</v>
      </c>
      <c r="E110" s="2044" t="s">
        <v>17301</v>
      </c>
      <c r="F110" s="2048" t="s">
        <v>17314</v>
      </c>
      <c r="G110" s="2046">
        <v>0.80510000000000004</v>
      </c>
    </row>
    <row r="111" spans="1:23" ht="12.75" customHeight="1" x14ac:dyDescent="0.25">
      <c r="A111" s="2029">
        <v>43904</v>
      </c>
      <c r="B111" s="2071" t="s">
        <v>9704</v>
      </c>
      <c r="C111" s="2071" t="s">
        <v>9702</v>
      </c>
      <c r="D111" s="2043">
        <v>1.5069444444444444E-2</v>
      </c>
      <c r="E111" s="2044" t="s">
        <v>17302</v>
      </c>
      <c r="F111" s="2048" t="s">
        <v>17313</v>
      </c>
      <c r="G111" s="2045">
        <v>0.81259999999999999</v>
      </c>
    </row>
    <row r="112" spans="1:23" ht="12.75" customHeight="1" x14ac:dyDescent="0.25">
      <c r="A112" s="2029">
        <v>43904</v>
      </c>
      <c r="B112" s="2051" t="s">
        <v>13279</v>
      </c>
      <c r="C112" s="2051" t="s">
        <v>5239</v>
      </c>
      <c r="D112" s="2043">
        <v>1.5335648148148147E-2</v>
      </c>
      <c r="E112" s="2044" t="s">
        <v>17294</v>
      </c>
      <c r="F112" s="2048" t="s">
        <v>17309</v>
      </c>
      <c r="G112" s="2046">
        <v>0.8196</v>
      </c>
    </row>
    <row r="113" spans="1:7" ht="12.75" customHeight="1" x14ac:dyDescent="0.2">
      <c r="A113" s="34"/>
      <c r="B113" s="1384"/>
      <c r="C113" s="1384"/>
      <c r="D113" s="1621"/>
      <c r="E113" s="1489"/>
      <c r="F113" s="1404"/>
      <c r="G113" s="1622"/>
    </row>
    <row r="114" spans="1:7" ht="12.75" customHeight="1" x14ac:dyDescent="0.2">
      <c r="A114" s="34"/>
      <c r="B114" s="1384"/>
      <c r="C114" s="1384"/>
      <c r="D114" s="1621"/>
      <c r="E114" s="1489"/>
      <c r="F114" s="1404"/>
      <c r="G114" s="1622"/>
    </row>
    <row r="115" spans="1:7" ht="12.75" customHeight="1" x14ac:dyDescent="0.2">
      <c r="A115" s="1916" t="s">
        <v>16808</v>
      </c>
      <c r="B115" s="1526"/>
      <c r="C115" s="1526"/>
      <c r="D115" s="1621"/>
      <c r="E115" s="1489"/>
      <c r="F115" s="1404"/>
      <c r="G115" s="1622"/>
    </row>
    <row r="116" spans="1:7" ht="12.75" customHeight="1" x14ac:dyDescent="0.2">
      <c r="A116" s="1917">
        <v>43855</v>
      </c>
      <c r="B116" s="1526" t="s">
        <v>9231</v>
      </c>
      <c r="C116" s="1526" t="s">
        <v>3252</v>
      </c>
      <c r="D116" s="1621">
        <v>1.9525462962962963E-2</v>
      </c>
      <c r="E116" s="1489" t="s">
        <v>16746</v>
      </c>
      <c r="F116" s="1489" t="s">
        <v>16764</v>
      </c>
      <c r="G116" s="1622">
        <v>0.71009999999999995</v>
      </c>
    </row>
    <row r="117" spans="1:7" ht="12.75" customHeight="1" x14ac:dyDescent="0.2">
      <c r="A117" s="1918">
        <v>43841</v>
      </c>
      <c r="B117" s="1895" t="s">
        <v>8230</v>
      </c>
      <c r="C117" s="1895" t="s">
        <v>11625</v>
      </c>
      <c r="D117" s="1727">
        <v>1.40625E-2</v>
      </c>
      <c r="E117" s="1728" t="s">
        <v>16799</v>
      </c>
      <c r="F117" s="1728" t="s">
        <v>16718</v>
      </c>
      <c r="G117" s="1897">
        <v>0.79920000000000002</v>
      </c>
    </row>
    <row r="118" spans="1:7" ht="12.75" customHeight="1" x14ac:dyDescent="0.2">
      <c r="A118" s="1918">
        <v>43841</v>
      </c>
      <c r="B118" s="1895" t="s">
        <v>922</v>
      </c>
      <c r="C118" s="1895" t="s">
        <v>1530</v>
      </c>
      <c r="D118" s="1727">
        <v>2.2129629629629628E-2</v>
      </c>
      <c r="E118" s="1728" t="s">
        <v>16799</v>
      </c>
      <c r="F118" s="1568" t="s">
        <v>16716</v>
      </c>
      <c r="G118" s="1897">
        <v>0.499</v>
      </c>
    </row>
    <row r="119" spans="1:7" ht="12.75" customHeight="1" x14ac:dyDescent="0.2">
      <c r="A119" s="1967">
        <v>43883</v>
      </c>
      <c r="B119" s="1370" t="s">
        <v>13272</v>
      </c>
      <c r="C119" s="1370" t="s">
        <v>1530</v>
      </c>
      <c r="D119" s="1674">
        <v>2.1944444444444444E-2</v>
      </c>
      <c r="E119" s="80" t="s">
        <v>17114</v>
      </c>
      <c r="F119" s="1235" t="s">
        <v>17128</v>
      </c>
      <c r="G119" s="26">
        <v>0.50739999999999996</v>
      </c>
    </row>
    <row r="120" spans="1:7" ht="12.75" customHeight="1" x14ac:dyDescent="0.2">
      <c r="A120" s="1918">
        <v>43841</v>
      </c>
      <c r="B120" s="1895" t="s">
        <v>5540</v>
      </c>
      <c r="C120" s="1895" t="s">
        <v>5541</v>
      </c>
      <c r="D120" s="1727">
        <v>1.9745370370370371E-2</v>
      </c>
      <c r="E120" s="1728" t="s">
        <v>16809</v>
      </c>
      <c r="F120" s="1489" t="s">
        <v>16764</v>
      </c>
      <c r="G120" s="1897">
        <v>0.62780000000000002</v>
      </c>
    </row>
    <row r="121" spans="1:7" ht="12.75" customHeight="1" x14ac:dyDescent="0.2">
      <c r="A121" s="1523">
        <v>43876</v>
      </c>
      <c r="B121" s="1489" t="s">
        <v>15153</v>
      </c>
      <c r="C121" s="1489" t="s">
        <v>4818</v>
      </c>
      <c r="D121" s="1621">
        <v>2.4166666666666666E-2</v>
      </c>
      <c r="E121" s="1489" t="s">
        <v>16995</v>
      </c>
      <c r="F121" s="1489" t="s">
        <v>17067</v>
      </c>
      <c r="G121" s="1622">
        <v>0.57379999999999998</v>
      </c>
    </row>
    <row r="122" spans="1:7" ht="12.75" customHeight="1" x14ac:dyDescent="0.2">
      <c r="A122" s="1891">
        <v>43869</v>
      </c>
      <c r="B122" s="1489" t="s">
        <v>3209</v>
      </c>
      <c r="C122" s="1489" t="s">
        <v>3012</v>
      </c>
      <c r="D122" s="1805">
        <v>1.3425925925925924E-2</v>
      </c>
      <c r="E122" s="1489" t="s">
        <v>16914</v>
      </c>
      <c r="F122" s="1489" t="s">
        <v>16948</v>
      </c>
      <c r="G122" s="1622">
        <v>0.77500000000000002</v>
      </c>
    </row>
    <row r="123" spans="1:7" ht="12.75" customHeight="1" x14ac:dyDescent="0.2">
      <c r="A123" s="1523">
        <v>43876</v>
      </c>
      <c r="B123" s="1489" t="s">
        <v>16367</v>
      </c>
      <c r="C123" s="1489" t="s">
        <v>666</v>
      </c>
      <c r="D123" s="1621">
        <v>2.1226851851851851E-2</v>
      </c>
      <c r="E123" s="1489" t="s">
        <v>16995</v>
      </c>
      <c r="F123" s="1404" t="s">
        <v>16992</v>
      </c>
      <c r="G123" s="1622">
        <v>0.5202</v>
      </c>
    </row>
    <row r="124" spans="1:7" ht="12.75" customHeight="1" x14ac:dyDescent="0.2">
      <c r="A124" s="1891">
        <v>43841</v>
      </c>
      <c r="B124" s="1895" t="s">
        <v>2342</v>
      </c>
      <c r="C124" s="1895" t="s">
        <v>2343</v>
      </c>
      <c r="D124" s="1727">
        <v>1.4467592592592593E-2</v>
      </c>
      <c r="E124" s="1728" t="s">
        <v>16799</v>
      </c>
      <c r="F124" s="1728" t="s">
        <v>16717</v>
      </c>
      <c r="G124" s="1897">
        <v>0.75519999999999998</v>
      </c>
    </row>
    <row r="125" spans="1:7" ht="12.75" customHeight="1" x14ac:dyDescent="0.2">
      <c r="A125" s="1891">
        <v>43869</v>
      </c>
      <c r="B125" s="1489" t="s">
        <v>16103</v>
      </c>
      <c r="C125" s="1489" t="s">
        <v>2343</v>
      </c>
      <c r="D125" s="1805">
        <v>1.8587962962962962E-2</v>
      </c>
      <c r="E125" s="1489" t="s">
        <v>16919</v>
      </c>
      <c r="F125" s="1489" t="s">
        <v>16945</v>
      </c>
      <c r="G125" s="1622">
        <v>0.58779999999999999</v>
      </c>
    </row>
    <row r="126" spans="1:7" ht="12.75" customHeight="1" x14ac:dyDescent="0.2">
      <c r="A126" s="1891">
        <v>43834</v>
      </c>
      <c r="B126" s="1891" t="s">
        <v>1794</v>
      </c>
      <c r="C126" s="1404" t="s">
        <v>1795</v>
      </c>
      <c r="D126" s="1786" t="s">
        <v>787</v>
      </c>
      <c r="E126" s="1371" t="s">
        <v>16588</v>
      </c>
      <c r="F126" s="1370" t="s">
        <v>16654</v>
      </c>
      <c r="G126" s="1885"/>
    </row>
    <row r="127" spans="1:7" ht="12.75" customHeight="1" x14ac:dyDescent="0.2">
      <c r="A127" s="1523">
        <v>43876</v>
      </c>
      <c r="B127" s="1489" t="s">
        <v>16681</v>
      </c>
      <c r="C127" s="1489" t="s">
        <v>433</v>
      </c>
      <c r="D127" s="1621">
        <v>2.207175925925926E-2</v>
      </c>
      <c r="E127" s="1489" t="s">
        <v>16996</v>
      </c>
      <c r="F127" s="1489" t="s">
        <v>16764</v>
      </c>
      <c r="G127" s="1622">
        <v>0.52280000000000004</v>
      </c>
    </row>
    <row r="128" spans="1:7" ht="12.75" customHeight="1" x14ac:dyDescent="0.2">
      <c r="A128" s="2029">
        <v>43897</v>
      </c>
      <c r="B128" s="2031" t="s">
        <v>3322</v>
      </c>
      <c r="C128" s="2034" t="s">
        <v>2417</v>
      </c>
      <c r="D128" s="2030" t="s">
        <v>787</v>
      </c>
      <c r="E128" s="2031" t="s">
        <v>17225</v>
      </c>
      <c r="F128" s="2039" t="s">
        <v>5604</v>
      </c>
      <c r="G128" s="1622"/>
    </row>
    <row r="129" spans="1:7" ht="12.75" customHeight="1" x14ac:dyDescent="0.2">
      <c r="A129" s="2029">
        <v>43897</v>
      </c>
      <c r="B129" s="2031" t="s">
        <v>13275</v>
      </c>
      <c r="C129" s="2034" t="s">
        <v>2417</v>
      </c>
      <c r="D129" s="2030" t="s">
        <v>787</v>
      </c>
      <c r="E129" s="2031" t="s">
        <v>17225</v>
      </c>
      <c r="F129" s="2039" t="s">
        <v>5604</v>
      </c>
      <c r="G129" s="1622"/>
    </row>
    <row r="130" spans="1:7" ht="12.75" customHeight="1" x14ac:dyDescent="0.2">
      <c r="A130" s="1933">
        <v>43855</v>
      </c>
      <c r="B130" s="1526" t="s">
        <v>3543</v>
      </c>
      <c r="C130" s="1526" t="s">
        <v>6122</v>
      </c>
      <c r="D130" s="1621">
        <v>1.7743055555555557E-2</v>
      </c>
      <c r="E130" s="1489" t="s">
        <v>16758</v>
      </c>
      <c r="F130" s="1489" t="s">
        <v>16789</v>
      </c>
      <c r="G130" s="1622">
        <v>0.50490000000000002</v>
      </c>
    </row>
    <row r="131" spans="1:7" ht="12.75" customHeight="1" x14ac:dyDescent="0.2">
      <c r="A131" s="34"/>
      <c r="B131" s="1384"/>
      <c r="C131" s="1384"/>
      <c r="D131" s="1621"/>
      <c r="E131" s="1489"/>
      <c r="F131" s="1404"/>
      <c r="G131" s="1622"/>
    </row>
    <row r="132" spans="1:7" ht="12.75" customHeight="1" x14ac:dyDescent="0.2">
      <c r="A132" s="34"/>
      <c r="B132" s="1384"/>
      <c r="C132" s="1384"/>
      <c r="D132" s="1621"/>
      <c r="E132" s="1489"/>
      <c r="F132" s="1404"/>
      <c r="G132" s="1622"/>
    </row>
    <row r="133" spans="1:7" ht="12.75" customHeight="1" x14ac:dyDescent="0.2">
      <c r="A133" s="34"/>
      <c r="B133" s="1384"/>
      <c r="C133" s="1384"/>
      <c r="D133" s="1621"/>
      <c r="E133" s="1489"/>
      <c r="F133" s="1404"/>
      <c r="G133" s="1622"/>
    </row>
    <row r="134" spans="1:7" ht="12.75" customHeight="1" x14ac:dyDescent="0.2">
      <c r="A134" s="332" t="s">
        <v>16655</v>
      </c>
      <c r="B134" s="1384"/>
      <c r="C134" s="1384"/>
      <c r="D134" s="1621"/>
      <c r="E134" s="1489"/>
      <c r="F134" s="1404"/>
      <c r="G134" s="1622"/>
    </row>
    <row r="135" spans="1:7" ht="12.75" customHeight="1" x14ac:dyDescent="0.2">
      <c r="A135" s="332"/>
      <c r="B135" s="1384"/>
      <c r="C135" s="1384"/>
      <c r="D135" s="1621"/>
      <c r="E135" s="1489"/>
      <c r="F135" s="1404"/>
      <c r="G135" s="1622"/>
    </row>
    <row r="136" spans="1:7" ht="12.75" customHeight="1" x14ac:dyDescent="0.2">
      <c r="A136" s="332"/>
      <c r="B136" s="1384"/>
      <c r="C136" s="1384"/>
      <c r="D136" s="1621"/>
      <c r="E136" s="1489"/>
      <c r="F136" s="1404"/>
      <c r="G136" s="1622"/>
    </row>
    <row r="137" spans="1:7" ht="12.75" customHeight="1" x14ac:dyDescent="0.2">
      <c r="A137" s="332"/>
      <c r="B137" s="1384"/>
      <c r="C137" s="1384"/>
      <c r="D137" s="1621"/>
      <c r="E137" s="1489"/>
      <c r="F137" s="1404"/>
      <c r="G137" s="1622"/>
    </row>
    <row r="138" spans="1:7" ht="12.75" customHeight="1" x14ac:dyDescent="0.2">
      <c r="A138" s="332"/>
      <c r="B138" s="1384"/>
      <c r="C138" s="1384"/>
      <c r="D138" s="1621"/>
      <c r="E138" s="1489"/>
      <c r="F138" s="1404"/>
      <c r="G138" s="1622"/>
    </row>
    <row r="139" spans="1:7" ht="12.75" customHeight="1" x14ac:dyDescent="0.2">
      <c r="A139" s="332"/>
      <c r="B139" s="1384"/>
      <c r="C139" s="1384"/>
      <c r="D139" s="1621"/>
      <c r="E139" s="1489"/>
      <c r="F139" s="1404"/>
      <c r="G139" s="1622"/>
    </row>
    <row r="140" spans="1:7" ht="12.75" customHeight="1" x14ac:dyDescent="0.2">
      <c r="A140" s="332"/>
      <c r="B140" s="1384"/>
      <c r="C140" s="1384"/>
      <c r="D140" s="1621"/>
      <c r="E140" s="1489"/>
      <c r="F140" s="1404"/>
      <c r="G140" s="1622"/>
    </row>
    <row r="141" spans="1:7" ht="12.75" customHeight="1" x14ac:dyDescent="0.2">
      <c r="A141" s="332"/>
      <c r="B141" s="1384"/>
      <c r="C141" s="1384"/>
      <c r="D141" s="1621"/>
      <c r="E141" s="1489"/>
      <c r="F141" s="1404"/>
      <c r="G141" s="1622"/>
    </row>
    <row r="142" spans="1:7" ht="12.75" customHeight="1" x14ac:dyDescent="0.2">
      <c r="A142" s="332"/>
      <c r="B142" s="1384"/>
      <c r="C142" s="1384"/>
      <c r="D142" s="1621"/>
      <c r="E142" s="1489"/>
      <c r="F142" s="1404"/>
      <c r="G142" s="1622"/>
    </row>
    <row r="143" spans="1:7" ht="12.75" customHeight="1" x14ac:dyDescent="0.2">
      <c r="A143" s="332"/>
      <c r="B143" s="1384"/>
      <c r="C143" s="1384"/>
      <c r="D143" s="1621"/>
      <c r="E143" s="1489"/>
      <c r="F143" s="1404"/>
      <c r="G143" s="1622"/>
    </row>
    <row r="144" spans="1:7" ht="12.75" customHeight="1" x14ac:dyDescent="0.2">
      <c r="A144" s="332"/>
      <c r="B144" s="1384"/>
      <c r="C144" s="1384"/>
      <c r="D144" s="1621"/>
      <c r="E144" s="1489"/>
      <c r="F144" s="1404"/>
      <c r="G144" s="1622"/>
    </row>
    <row r="145" spans="1:7" ht="12.75" customHeight="1" x14ac:dyDescent="0.2">
      <c r="A145" s="332"/>
      <c r="B145" s="1384"/>
      <c r="C145" s="1384"/>
      <c r="D145" s="1621"/>
      <c r="E145" s="1489"/>
      <c r="F145" s="1404"/>
      <c r="G145" s="1622"/>
    </row>
    <row r="146" spans="1:7" ht="12.75" customHeight="1" x14ac:dyDescent="0.2">
      <c r="A146" s="332"/>
      <c r="B146" s="1384"/>
      <c r="C146" s="1384"/>
      <c r="D146" s="1621"/>
      <c r="E146" s="1489"/>
      <c r="F146" s="1404"/>
      <c r="G146" s="1622"/>
    </row>
    <row r="147" spans="1:7" ht="12.75" customHeight="1" x14ac:dyDescent="0.2">
      <c r="A147" s="332"/>
      <c r="B147" s="1384"/>
      <c r="C147" s="1384"/>
      <c r="D147" s="1621"/>
      <c r="E147" s="1489"/>
      <c r="F147" s="1404"/>
      <c r="G147" s="1622"/>
    </row>
    <row r="148" spans="1:7" ht="12.75" customHeight="1" x14ac:dyDescent="0.2">
      <c r="A148" s="332"/>
      <c r="B148" s="1384"/>
      <c r="C148" s="1384"/>
      <c r="D148" s="1621"/>
      <c r="E148" s="1489"/>
      <c r="F148" s="1404"/>
      <c r="G148" s="1622"/>
    </row>
    <row r="149" spans="1:7" ht="12.75" customHeight="1" x14ac:dyDescent="0.2">
      <c r="A149" s="332"/>
      <c r="B149" s="1384"/>
      <c r="C149" s="1384"/>
      <c r="D149" s="1621"/>
      <c r="E149" s="1489"/>
      <c r="F149" s="1404"/>
      <c r="G149" s="1622"/>
    </row>
    <row r="150" spans="1:7" ht="12.75" customHeight="1" x14ac:dyDescent="0.2">
      <c r="A150" s="332"/>
      <c r="B150" s="1384"/>
      <c r="C150" s="1384"/>
      <c r="D150" s="1621"/>
      <c r="E150" s="1489"/>
      <c r="F150" s="1404"/>
      <c r="G150" s="1622"/>
    </row>
    <row r="151" spans="1:7" ht="12.75" customHeight="1" x14ac:dyDescent="0.2">
      <c r="A151" s="332"/>
      <c r="B151" s="1384"/>
      <c r="C151" s="1384"/>
      <c r="D151" s="1621"/>
      <c r="E151" s="1489"/>
      <c r="F151" s="1404"/>
      <c r="G151" s="1622"/>
    </row>
    <row r="152" spans="1:7" ht="12.75" customHeight="1" x14ac:dyDescent="0.2">
      <c r="A152" s="332"/>
      <c r="B152" s="1384"/>
      <c r="C152" s="1384"/>
      <c r="D152" s="1621"/>
      <c r="E152" s="1489"/>
      <c r="F152" s="1404"/>
      <c r="G152" s="1622"/>
    </row>
    <row r="153" spans="1:7" ht="12.75" customHeight="1" x14ac:dyDescent="0.2">
      <c r="A153" s="332"/>
      <c r="B153" s="1384"/>
      <c r="C153" s="1384"/>
      <c r="D153" s="1621"/>
      <c r="E153" s="1489"/>
      <c r="F153" s="1404"/>
      <c r="G153" s="1622"/>
    </row>
    <row r="154" spans="1:7" ht="12.75" customHeight="1" x14ac:dyDescent="0.2">
      <c r="A154" s="332"/>
      <c r="B154" s="1384"/>
      <c r="C154" s="1384"/>
      <c r="D154" s="1621"/>
      <c r="E154" s="1489"/>
      <c r="F154" s="1404"/>
      <c r="G154" s="1622"/>
    </row>
    <row r="155" spans="1:7" ht="12.75" customHeight="1" x14ac:dyDescent="0.2">
      <c r="A155" s="332"/>
      <c r="B155" s="1384"/>
      <c r="C155" s="1384"/>
      <c r="D155" s="1621"/>
      <c r="E155" s="1489"/>
      <c r="F155" s="1404"/>
      <c r="G155" s="1622"/>
    </row>
    <row r="156" spans="1:7" ht="12.75" customHeight="1" x14ac:dyDescent="0.2">
      <c r="A156" s="332"/>
      <c r="B156" s="1384"/>
      <c r="C156" s="1384"/>
      <c r="D156" s="1621"/>
      <c r="E156" s="1489"/>
      <c r="F156" s="1404"/>
      <c r="G156" s="1622"/>
    </row>
    <row r="157" spans="1:7" ht="12.75" customHeight="1" x14ac:dyDescent="0.2">
      <c r="A157" s="332"/>
      <c r="B157" s="1384"/>
      <c r="C157" s="1384"/>
      <c r="D157" s="1621"/>
      <c r="E157" s="1489"/>
      <c r="F157" s="1404"/>
      <c r="G157" s="1622"/>
    </row>
    <row r="158" spans="1:7" ht="12.75" customHeight="1" x14ac:dyDescent="0.2">
      <c r="A158" s="332"/>
      <c r="B158" s="1384"/>
      <c r="C158" s="1384"/>
      <c r="D158" s="1621"/>
      <c r="E158" s="1489"/>
      <c r="F158" s="1404"/>
      <c r="G158" s="1622"/>
    </row>
    <row r="159" spans="1:7" ht="12.75" customHeight="1" x14ac:dyDescent="0.2">
      <c r="A159" s="332"/>
      <c r="B159" s="1384"/>
      <c r="C159" s="1384"/>
      <c r="D159" s="1621"/>
      <c r="E159" s="1489"/>
      <c r="F159" s="1404"/>
      <c r="G159" s="1622"/>
    </row>
    <row r="160" spans="1:7" ht="12.75" customHeight="1" x14ac:dyDescent="0.2">
      <c r="A160" s="332"/>
      <c r="B160" s="1384"/>
      <c r="C160" s="1384"/>
      <c r="D160" s="1621"/>
      <c r="E160" s="1489"/>
      <c r="F160" s="1404"/>
      <c r="G160" s="1622"/>
    </row>
    <row r="161" spans="1:7" ht="12.75" customHeight="1" x14ac:dyDescent="0.2">
      <c r="A161" s="332"/>
      <c r="B161" s="1384"/>
      <c r="C161" s="1384"/>
      <c r="D161" s="1621"/>
      <c r="E161" s="1489"/>
      <c r="F161" s="1404"/>
      <c r="G161" s="1622"/>
    </row>
    <row r="162" spans="1:7" ht="12.75" customHeight="1" x14ac:dyDescent="0.2">
      <c r="A162" s="332"/>
      <c r="B162" s="1384"/>
      <c r="C162" s="1384"/>
      <c r="D162" s="1621"/>
      <c r="E162" s="1489"/>
      <c r="F162" s="1404"/>
      <c r="G162" s="1622"/>
    </row>
    <row r="163" spans="1:7" ht="12.75" customHeight="1" x14ac:dyDescent="0.2">
      <c r="A163" s="332"/>
      <c r="B163" s="1384"/>
      <c r="C163" s="1384"/>
      <c r="D163" s="1621"/>
      <c r="E163" s="1489"/>
      <c r="F163" s="1404"/>
      <c r="G163" s="1622"/>
    </row>
    <row r="164" spans="1:7" ht="12.75" customHeight="1" x14ac:dyDescent="0.2">
      <c r="A164" s="332"/>
      <c r="B164" s="1384"/>
      <c r="C164" s="1384"/>
      <c r="D164" s="1621"/>
      <c r="E164" s="1489"/>
      <c r="F164" s="1404"/>
      <c r="G164" s="1622"/>
    </row>
    <row r="165" spans="1:7" ht="12.75" customHeight="1" x14ac:dyDescent="0.2">
      <c r="A165" s="332"/>
      <c r="B165" s="1384"/>
      <c r="C165" s="1384"/>
      <c r="D165" s="1621"/>
      <c r="E165" s="1489"/>
      <c r="F165" s="1404"/>
      <c r="G165" s="1622"/>
    </row>
    <row r="166" spans="1:7" ht="12.75" customHeight="1" x14ac:dyDescent="0.2">
      <c r="A166" s="332"/>
      <c r="B166" s="1384"/>
      <c r="C166" s="1384"/>
      <c r="D166" s="1621"/>
      <c r="E166" s="1489"/>
      <c r="F166" s="1404"/>
      <c r="G166" s="1622"/>
    </row>
    <row r="167" spans="1:7" ht="12.75" customHeight="1" x14ac:dyDescent="0.2">
      <c r="A167" s="332"/>
      <c r="B167" s="1384"/>
      <c r="C167" s="1384"/>
      <c r="D167" s="1621"/>
      <c r="E167" s="1489"/>
      <c r="F167" s="1404"/>
      <c r="G167" s="1622"/>
    </row>
    <row r="168" spans="1:7" ht="12.75" customHeight="1" x14ac:dyDescent="0.2">
      <c r="A168" s="332"/>
      <c r="B168" s="1384"/>
      <c r="C168" s="1384"/>
      <c r="D168" s="1621"/>
      <c r="E168" s="1489"/>
      <c r="F168" s="1404"/>
      <c r="G168" s="1622"/>
    </row>
    <row r="169" spans="1:7" ht="12.75" customHeight="1" x14ac:dyDescent="0.2">
      <c r="A169" s="332"/>
      <c r="B169" s="1384"/>
      <c r="C169" s="1384"/>
      <c r="D169" s="1621"/>
      <c r="E169" s="1489"/>
      <c r="F169" s="1404"/>
      <c r="G169" s="1622"/>
    </row>
    <row r="170" spans="1:7" ht="12.75" customHeight="1" x14ac:dyDescent="0.2">
      <c r="A170" s="332"/>
      <c r="B170" s="1384"/>
      <c r="C170" s="1384"/>
      <c r="D170" s="1621"/>
      <c r="E170" s="1489"/>
      <c r="F170" s="1404"/>
      <c r="G170" s="1622"/>
    </row>
    <row r="171" spans="1:7" ht="12.75" customHeight="1" x14ac:dyDescent="0.2">
      <c r="A171" s="332"/>
      <c r="B171" s="1384"/>
      <c r="C171" s="1384"/>
      <c r="D171" s="1621"/>
      <c r="E171" s="1489"/>
      <c r="F171" s="1404"/>
      <c r="G171" s="1622"/>
    </row>
    <row r="172" spans="1:7" ht="12.75" customHeight="1" x14ac:dyDescent="0.2">
      <c r="A172" s="332"/>
      <c r="B172" s="1384"/>
      <c r="C172" s="1384"/>
      <c r="D172" s="1621"/>
      <c r="E172" s="1489"/>
      <c r="F172" s="1404"/>
      <c r="G172" s="1622"/>
    </row>
    <row r="173" spans="1:7" ht="12.75" customHeight="1" x14ac:dyDescent="0.2">
      <c r="A173" s="332"/>
      <c r="B173" s="1384"/>
      <c r="C173" s="1384"/>
      <c r="D173" s="1621"/>
      <c r="E173" s="1489"/>
      <c r="F173" s="1404"/>
      <c r="G173" s="1622"/>
    </row>
    <row r="174" spans="1:7" ht="12.75" customHeight="1" x14ac:dyDescent="0.2">
      <c r="A174" s="332" t="s">
        <v>16067</v>
      </c>
      <c r="B174" s="1384"/>
      <c r="C174" s="1384"/>
      <c r="D174" s="1621"/>
      <c r="E174" s="1489"/>
      <c r="F174" s="1404"/>
      <c r="G174" s="1622"/>
    </row>
    <row r="175" spans="1:7" s="80" customFormat="1" ht="12.75" customHeight="1" x14ac:dyDescent="0.2">
      <c r="A175" s="2029">
        <v>43904</v>
      </c>
      <c r="B175" s="2066" t="s">
        <v>13270</v>
      </c>
      <c r="C175" s="1489" t="s">
        <v>12648</v>
      </c>
      <c r="D175" s="2067">
        <v>1.4050925925925927E-2</v>
      </c>
      <c r="E175" s="2055" t="s">
        <v>17282</v>
      </c>
      <c r="F175" s="1623" t="s">
        <v>17325</v>
      </c>
      <c r="G175" s="2068">
        <v>0.63839999999999997</v>
      </c>
    </row>
    <row r="176" spans="1:7" s="80" customFormat="1" ht="12.75" customHeight="1" x14ac:dyDescent="0.2">
      <c r="A176" s="2029">
        <v>43904</v>
      </c>
      <c r="B176" s="2066" t="s">
        <v>17082</v>
      </c>
      <c r="C176" s="1489" t="s">
        <v>16991</v>
      </c>
      <c r="D176" s="2067">
        <v>1.7291666666666664E-2</v>
      </c>
      <c r="E176" s="2055" t="s">
        <v>17282</v>
      </c>
      <c r="F176" s="1623" t="s">
        <v>17323</v>
      </c>
      <c r="G176" s="2068">
        <v>0.61040000000000005</v>
      </c>
    </row>
    <row r="177" spans="1:7" s="80" customFormat="1" ht="12.75" customHeight="1" x14ac:dyDescent="0.2">
      <c r="A177" s="2029">
        <v>43904</v>
      </c>
      <c r="B177" s="2069" t="s">
        <v>16863</v>
      </c>
      <c r="C177" s="1489" t="s">
        <v>10860</v>
      </c>
      <c r="D177" s="2067">
        <v>1.8564814814814815E-2</v>
      </c>
      <c r="E177" s="2055" t="s">
        <v>17282</v>
      </c>
      <c r="F177" s="1623" t="s">
        <v>16882</v>
      </c>
      <c r="G177" s="2070">
        <v>0.5181</v>
      </c>
    </row>
    <row r="178" spans="1:7" s="80" customFormat="1" ht="12.75" customHeight="1" x14ac:dyDescent="0.2">
      <c r="A178" s="2029">
        <v>43904</v>
      </c>
      <c r="B178" s="2055" t="s">
        <v>13272</v>
      </c>
      <c r="C178" s="2055" t="s">
        <v>1530</v>
      </c>
      <c r="D178" s="2061">
        <v>2.1608796296296296E-2</v>
      </c>
      <c r="E178" s="2055" t="s">
        <v>17282</v>
      </c>
      <c r="F178" s="2054" t="s">
        <v>17324</v>
      </c>
      <c r="G178" s="2063">
        <v>0.51529999999999998</v>
      </c>
    </row>
    <row r="179" spans="1:7" s="80" customFormat="1" ht="12.75" customHeight="1" x14ac:dyDescent="0.2">
      <c r="A179" s="2029">
        <v>43904</v>
      </c>
      <c r="B179" s="2049" t="s">
        <v>13280</v>
      </c>
      <c r="C179" s="2049" t="s">
        <v>1295</v>
      </c>
      <c r="D179" s="2061" t="s">
        <v>787</v>
      </c>
      <c r="E179" s="2055" t="s">
        <v>17282</v>
      </c>
      <c r="F179" s="2047" t="s">
        <v>94</v>
      </c>
      <c r="G179" s="2062"/>
    </row>
    <row r="180" spans="1:7" s="80" customFormat="1" ht="12.75" customHeight="1" x14ac:dyDescent="0.2">
      <c r="A180" s="2029">
        <v>43904</v>
      </c>
      <c r="B180" s="2055" t="s">
        <v>8318</v>
      </c>
      <c r="C180" s="2055" t="s">
        <v>1295</v>
      </c>
      <c r="D180" s="2061" t="s">
        <v>787</v>
      </c>
      <c r="E180" s="2055" t="s">
        <v>17282</v>
      </c>
      <c r="F180" s="2048" t="s">
        <v>16733</v>
      </c>
      <c r="G180" s="2063"/>
    </row>
    <row r="181" spans="1:7" s="80" customFormat="1" ht="12.75" customHeight="1" x14ac:dyDescent="0.2">
      <c r="A181" s="2029">
        <v>43904</v>
      </c>
      <c r="B181" s="2055" t="s">
        <v>16104</v>
      </c>
      <c r="C181" s="2055" t="s">
        <v>1797</v>
      </c>
      <c r="D181" s="2061" t="s">
        <v>787</v>
      </c>
      <c r="E181" s="2055" t="s">
        <v>17282</v>
      </c>
      <c r="F181" s="2047" t="s">
        <v>17328</v>
      </c>
      <c r="G181" s="2063"/>
    </row>
    <row r="182" spans="1:7" s="80" customFormat="1" ht="12.75" customHeight="1" x14ac:dyDescent="0.2">
      <c r="A182" s="2029">
        <v>43904</v>
      </c>
      <c r="B182" s="2055" t="s">
        <v>16681</v>
      </c>
      <c r="C182" s="2055" t="s">
        <v>433</v>
      </c>
      <c r="D182" s="2061">
        <v>2.0937499999999998E-2</v>
      </c>
      <c r="E182" s="2055" t="s">
        <v>17283</v>
      </c>
      <c r="F182" s="2048" t="s">
        <v>17315</v>
      </c>
      <c r="G182" s="2063">
        <v>0.55110000000000003</v>
      </c>
    </row>
    <row r="183" spans="1:7" s="80" customFormat="1" ht="12.75" customHeight="1" x14ac:dyDescent="0.2">
      <c r="A183" s="2029">
        <v>43904</v>
      </c>
      <c r="B183" s="2055" t="s">
        <v>73</v>
      </c>
      <c r="C183" s="2055" t="s">
        <v>4818</v>
      </c>
      <c r="D183" s="2061">
        <v>2.3159722222222224E-2</v>
      </c>
      <c r="E183" s="2055" t="s">
        <v>17284</v>
      </c>
      <c r="F183" s="2048" t="s">
        <v>17275</v>
      </c>
      <c r="G183" s="2063">
        <v>0.59870000000000001</v>
      </c>
    </row>
    <row r="184" spans="1:7" s="80" customFormat="1" ht="12.75" customHeight="1" x14ac:dyDescent="0.2">
      <c r="A184" s="2029">
        <v>43904</v>
      </c>
      <c r="B184" s="2055" t="s">
        <v>13280</v>
      </c>
      <c r="C184" s="2055" t="s">
        <v>3632</v>
      </c>
      <c r="D184" s="2061">
        <v>1.8483796296296297E-2</v>
      </c>
      <c r="E184" s="2055" t="s">
        <v>17285</v>
      </c>
      <c r="F184" s="2047"/>
      <c r="G184" s="2063">
        <v>0.58740000000000003</v>
      </c>
    </row>
    <row r="185" spans="1:7" s="80" customFormat="1" ht="12.75" customHeight="1" x14ac:dyDescent="0.2">
      <c r="A185" s="2029">
        <v>43904</v>
      </c>
      <c r="B185" s="2055" t="s">
        <v>2641</v>
      </c>
      <c r="C185" s="2055" t="s">
        <v>2479</v>
      </c>
      <c r="D185" s="2061">
        <v>2.6296296296296297E-2</v>
      </c>
      <c r="E185" s="2055" t="s">
        <v>17286</v>
      </c>
      <c r="F185" s="2055" t="s">
        <v>17276</v>
      </c>
      <c r="G185" s="2063">
        <v>0.40229999999999999</v>
      </c>
    </row>
    <row r="186" spans="1:7" s="80" customFormat="1" ht="12.75" customHeight="1" x14ac:dyDescent="0.2">
      <c r="A186" s="2029">
        <v>43904</v>
      </c>
      <c r="B186" s="2055" t="s">
        <v>16367</v>
      </c>
      <c r="C186" s="2055" t="s">
        <v>666</v>
      </c>
      <c r="D186" s="2061">
        <v>2.0868055555555556E-2</v>
      </c>
      <c r="E186" s="2055" t="s">
        <v>17287</v>
      </c>
      <c r="F186" s="2048" t="s">
        <v>17320</v>
      </c>
      <c r="G186" s="2063">
        <v>0.52910000000000001</v>
      </c>
    </row>
    <row r="187" spans="1:7" s="80" customFormat="1" ht="12.75" customHeight="1" x14ac:dyDescent="0.2">
      <c r="A187" s="2029">
        <v>43904</v>
      </c>
      <c r="B187" s="2055" t="s">
        <v>13271</v>
      </c>
      <c r="C187" s="2055" t="s">
        <v>4577</v>
      </c>
      <c r="D187" s="2061">
        <v>1.7013888888888887E-2</v>
      </c>
      <c r="E187" s="2055" t="s">
        <v>17288</v>
      </c>
      <c r="F187" s="2055"/>
      <c r="G187" s="2063">
        <v>0.59250000000000003</v>
      </c>
    </row>
    <row r="188" spans="1:7" s="80" customFormat="1" ht="12.75" customHeight="1" x14ac:dyDescent="0.2">
      <c r="A188" s="2029">
        <v>43904</v>
      </c>
      <c r="B188" s="2049" t="s">
        <v>17304</v>
      </c>
      <c r="C188" s="2049" t="s">
        <v>10840</v>
      </c>
      <c r="D188" s="2061">
        <v>1.2534722222222221E-2</v>
      </c>
      <c r="E188" s="2055" t="s">
        <v>17289</v>
      </c>
      <c r="F188" s="2049" t="s">
        <v>16778</v>
      </c>
      <c r="G188" s="2063">
        <v>0.72299999999999998</v>
      </c>
    </row>
    <row r="189" spans="1:7" s="80" customFormat="1" ht="12.75" customHeight="1" x14ac:dyDescent="0.2">
      <c r="A189" s="2029">
        <v>43904</v>
      </c>
      <c r="B189" s="2055" t="s">
        <v>13275</v>
      </c>
      <c r="C189" s="2055" t="s">
        <v>4635</v>
      </c>
      <c r="D189" s="2061">
        <v>2.6458333333333337E-2</v>
      </c>
      <c r="E189" s="2055" t="s">
        <v>17290</v>
      </c>
      <c r="F189" s="2055" t="s">
        <v>17277</v>
      </c>
      <c r="G189" s="2063">
        <v>0.4173</v>
      </c>
    </row>
    <row r="190" spans="1:7" s="80" customFormat="1" ht="12.75" customHeight="1" x14ac:dyDescent="0.2">
      <c r="A190" s="2029">
        <v>43904</v>
      </c>
      <c r="B190" s="2049" t="s">
        <v>10595</v>
      </c>
      <c r="C190" s="2049" t="s">
        <v>4641</v>
      </c>
      <c r="D190" s="2065" t="s">
        <v>787</v>
      </c>
      <c r="E190" s="2055" t="s">
        <v>17290</v>
      </c>
      <c r="F190" s="2049" t="s">
        <v>16893</v>
      </c>
      <c r="G190" s="2062"/>
    </row>
    <row r="191" spans="1:7" s="80" customFormat="1" ht="12.75" customHeight="1" x14ac:dyDescent="0.2">
      <c r="A191" s="2029">
        <v>43904</v>
      </c>
      <c r="B191" s="2049" t="s">
        <v>16862</v>
      </c>
      <c r="C191" s="2049" t="s">
        <v>1795</v>
      </c>
      <c r="D191" s="2061">
        <v>3.1030092592592592E-2</v>
      </c>
      <c r="E191" s="2055" t="s">
        <v>17271</v>
      </c>
      <c r="F191" s="2048" t="s">
        <v>17317</v>
      </c>
      <c r="G191" s="2062">
        <v>0.42409999999999998</v>
      </c>
    </row>
    <row r="192" spans="1:7" s="80" customFormat="1" ht="12.75" customHeight="1" x14ac:dyDescent="0.2">
      <c r="A192" s="2029">
        <v>43904</v>
      </c>
      <c r="B192" s="2049" t="s">
        <v>13270</v>
      </c>
      <c r="C192" s="2049" t="s">
        <v>17311</v>
      </c>
      <c r="D192" s="2061">
        <v>1.4444444444444446E-2</v>
      </c>
      <c r="E192" s="2055" t="s">
        <v>17291</v>
      </c>
      <c r="F192" s="2049" t="s">
        <v>17310</v>
      </c>
      <c r="G192" s="2062">
        <v>0.65629999999999999</v>
      </c>
    </row>
    <row r="193" spans="1:8" s="80" customFormat="1" ht="12.75" customHeight="1" x14ac:dyDescent="0.2">
      <c r="A193" s="2029">
        <v>43904</v>
      </c>
      <c r="B193" s="2055" t="s">
        <v>13277</v>
      </c>
      <c r="C193" s="2055" t="s">
        <v>1590</v>
      </c>
      <c r="D193" s="2061" t="s">
        <v>787</v>
      </c>
      <c r="E193" s="2055" t="s">
        <v>17292</v>
      </c>
      <c r="F193" s="2048" t="s">
        <v>17278</v>
      </c>
      <c r="G193" s="2063"/>
    </row>
    <row r="194" spans="1:8" s="80" customFormat="1" ht="12.75" customHeight="1" x14ac:dyDescent="0.2">
      <c r="A194" s="2029">
        <v>43904</v>
      </c>
      <c r="B194" s="2055" t="s">
        <v>16866</v>
      </c>
      <c r="C194" s="2055" t="s">
        <v>16703</v>
      </c>
      <c r="D194" s="2061">
        <v>2.1550925925925928E-2</v>
      </c>
      <c r="E194" s="2055" t="s">
        <v>17293</v>
      </c>
      <c r="F194" s="2048" t="s">
        <v>17318</v>
      </c>
      <c r="G194" s="2063">
        <v>0.55369999999999997</v>
      </c>
    </row>
    <row r="195" spans="1:8" s="80" customFormat="1" ht="12.75" customHeight="1" x14ac:dyDescent="0.2">
      <c r="A195" s="2029">
        <v>43904</v>
      </c>
      <c r="B195" s="2055" t="s">
        <v>17305</v>
      </c>
      <c r="C195" s="2055" t="s">
        <v>17201</v>
      </c>
      <c r="D195" s="2061">
        <v>2.4791666666666667E-2</v>
      </c>
      <c r="E195" s="2055" t="s">
        <v>17293</v>
      </c>
      <c r="F195" s="2048" t="s">
        <v>17319</v>
      </c>
      <c r="G195" s="2063">
        <v>0.48130000000000001</v>
      </c>
    </row>
    <row r="196" spans="1:8" s="80" customFormat="1" ht="12.75" customHeight="1" x14ac:dyDescent="0.2">
      <c r="A196" s="2029">
        <v>43904</v>
      </c>
      <c r="B196" s="2055" t="s">
        <v>13279</v>
      </c>
      <c r="C196" s="2055" t="s">
        <v>5239</v>
      </c>
      <c r="D196" s="2061">
        <v>1.5335648148148147E-2</v>
      </c>
      <c r="E196" s="2055" t="s">
        <v>17294</v>
      </c>
      <c r="F196" s="2048" t="s">
        <v>17309</v>
      </c>
      <c r="G196" s="2063">
        <v>0.8196</v>
      </c>
      <c r="H196" s="80" t="s">
        <v>17322</v>
      </c>
    </row>
    <row r="197" spans="1:8" s="80" customFormat="1" ht="12.75" customHeight="1" x14ac:dyDescent="0.2">
      <c r="A197" s="2029">
        <v>43904</v>
      </c>
      <c r="B197" s="2055" t="s">
        <v>13270</v>
      </c>
      <c r="C197" s="2055" t="s">
        <v>4741</v>
      </c>
      <c r="D197" s="2061">
        <v>1.5057870370370371E-2</v>
      </c>
      <c r="E197" s="2055" t="s">
        <v>17294</v>
      </c>
      <c r="F197" s="2048" t="s">
        <v>17308</v>
      </c>
      <c r="G197" s="2063">
        <v>0.7087</v>
      </c>
    </row>
    <row r="198" spans="1:8" s="80" customFormat="1" ht="12.75" customHeight="1" x14ac:dyDescent="0.2">
      <c r="A198" s="2029">
        <v>43904</v>
      </c>
      <c r="B198" s="2055" t="s">
        <v>13274</v>
      </c>
      <c r="C198" s="2055" t="s">
        <v>2417</v>
      </c>
      <c r="D198" s="2061">
        <v>2.2881944444444448E-2</v>
      </c>
      <c r="E198" s="2055" t="s">
        <v>17295</v>
      </c>
      <c r="F198" s="2048" t="s">
        <v>17279</v>
      </c>
      <c r="G198" s="2063">
        <v>0.61509999999999998</v>
      </c>
    </row>
    <row r="199" spans="1:8" s="80" customFormat="1" ht="12.75" customHeight="1" x14ac:dyDescent="0.2">
      <c r="A199" s="2029">
        <v>43904</v>
      </c>
      <c r="B199" s="2055" t="s">
        <v>13275</v>
      </c>
      <c r="C199" s="2055" t="s">
        <v>2417</v>
      </c>
      <c r="D199" s="2061">
        <v>2.2893518518518518E-2</v>
      </c>
      <c r="E199" s="2055" t="s">
        <v>17295</v>
      </c>
      <c r="F199" s="2048" t="s">
        <v>17312</v>
      </c>
      <c r="G199" s="2063">
        <v>0.51370000000000005</v>
      </c>
    </row>
    <row r="200" spans="1:8" s="80" customFormat="1" ht="12.75" customHeight="1" x14ac:dyDescent="0.2">
      <c r="A200" s="2029">
        <v>43904</v>
      </c>
      <c r="B200" s="2049" t="s">
        <v>9064</v>
      </c>
      <c r="C200" s="2049" t="s">
        <v>5789</v>
      </c>
      <c r="D200" s="2061">
        <v>2.6342592592592591E-2</v>
      </c>
      <c r="E200" s="2055" t="s">
        <v>17296</v>
      </c>
      <c r="F200" s="2048" t="s">
        <v>17326</v>
      </c>
      <c r="G200" s="2062">
        <v>0.55930000000000002</v>
      </c>
    </row>
    <row r="201" spans="1:8" s="80" customFormat="1" ht="12.75" customHeight="1" x14ac:dyDescent="0.2">
      <c r="A201" s="2029">
        <v>43904</v>
      </c>
      <c r="B201" s="2055" t="s">
        <v>12756</v>
      </c>
      <c r="C201" s="2055" t="s">
        <v>12718</v>
      </c>
      <c r="D201" s="2061">
        <v>1.4918981481481483E-2</v>
      </c>
      <c r="E201" s="2055" t="s">
        <v>17297</v>
      </c>
      <c r="F201" s="2048" t="s">
        <v>17280</v>
      </c>
      <c r="G201" s="2063">
        <v>0.74009999999999998</v>
      </c>
    </row>
    <row r="202" spans="1:8" s="80" customFormat="1" ht="12.75" customHeight="1" x14ac:dyDescent="0.2">
      <c r="A202" s="2029">
        <v>43904</v>
      </c>
      <c r="B202" s="2049" t="s">
        <v>17166</v>
      </c>
      <c r="C202" s="2049" t="s">
        <v>3015</v>
      </c>
      <c r="D202" s="2061">
        <v>2.2152777777777778E-2</v>
      </c>
      <c r="E202" s="2055" t="s">
        <v>17298</v>
      </c>
      <c r="F202" s="2049" t="s">
        <v>17330</v>
      </c>
      <c r="G202" s="2062">
        <v>0.54600000000000004</v>
      </c>
    </row>
    <row r="203" spans="1:8" s="80" customFormat="1" ht="12.75" customHeight="1" x14ac:dyDescent="0.2">
      <c r="A203" s="2029">
        <v>43904</v>
      </c>
      <c r="B203" s="2055" t="s">
        <v>13278</v>
      </c>
      <c r="C203" s="2055" t="s">
        <v>869</v>
      </c>
      <c r="D203" s="2061">
        <v>3.39699074074074E-2</v>
      </c>
      <c r="E203" s="2055" t="s">
        <v>17299</v>
      </c>
      <c r="F203" s="2055"/>
      <c r="G203" s="2063">
        <v>0.55779999999999996</v>
      </c>
    </row>
    <row r="204" spans="1:8" s="80" customFormat="1" ht="12.75" customHeight="1" x14ac:dyDescent="0.2">
      <c r="A204" s="2029">
        <v>43904</v>
      </c>
      <c r="B204" s="2055" t="s">
        <v>16686</v>
      </c>
      <c r="C204" s="2055" t="s">
        <v>4562</v>
      </c>
      <c r="D204" s="2061">
        <v>1.9988425925925927E-2</v>
      </c>
      <c r="E204" s="2055" t="s">
        <v>17299</v>
      </c>
      <c r="F204" s="2048" t="s">
        <v>17327</v>
      </c>
      <c r="G204" s="2063">
        <v>0.54259999999999997</v>
      </c>
    </row>
    <row r="205" spans="1:8" s="80" customFormat="1" ht="12.75" customHeight="1" x14ac:dyDescent="0.2">
      <c r="A205" s="2029">
        <v>43904</v>
      </c>
      <c r="B205" s="2049" t="s">
        <v>16864</v>
      </c>
      <c r="C205" s="2049" t="s">
        <v>869</v>
      </c>
      <c r="D205" s="2061">
        <v>3.3981481481481481E-2</v>
      </c>
      <c r="E205" s="2055" t="s">
        <v>17299</v>
      </c>
      <c r="F205" s="2049"/>
      <c r="G205" s="2062">
        <v>0.48020000000000002</v>
      </c>
    </row>
    <row r="206" spans="1:8" s="80" customFormat="1" ht="12.75" customHeight="1" x14ac:dyDescent="0.2">
      <c r="A206" s="2029">
        <v>43904</v>
      </c>
      <c r="B206" s="2055" t="s">
        <v>13404</v>
      </c>
      <c r="C206" s="2055" t="s">
        <v>9795</v>
      </c>
      <c r="D206" s="2061">
        <v>1.9120370370370374E-2</v>
      </c>
      <c r="E206" s="2055" t="s">
        <v>17300</v>
      </c>
      <c r="F206" s="2048"/>
      <c r="G206" s="2063">
        <v>0.64039999999999997</v>
      </c>
    </row>
    <row r="207" spans="1:8" s="80" customFormat="1" ht="12.75" customHeight="1" x14ac:dyDescent="0.2">
      <c r="A207" s="2029">
        <v>43904</v>
      </c>
      <c r="B207" s="2055" t="s">
        <v>13269</v>
      </c>
      <c r="C207" s="2055" t="s">
        <v>11625</v>
      </c>
      <c r="D207" s="2061">
        <v>1.4074074074074074E-2</v>
      </c>
      <c r="E207" s="2055" t="s">
        <v>17301</v>
      </c>
      <c r="F207" s="2048" t="s">
        <v>17314</v>
      </c>
      <c r="G207" s="2063">
        <v>0.80510000000000004</v>
      </c>
    </row>
    <row r="208" spans="1:8" s="80" customFormat="1" ht="12.75" customHeight="1" x14ac:dyDescent="0.2">
      <c r="A208" s="2029">
        <v>43904</v>
      </c>
      <c r="B208" s="2055" t="s">
        <v>16007</v>
      </c>
      <c r="C208" s="2055" t="s">
        <v>2343</v>
      </c>
      <c r="D208" s="2061">
        <v>1.4826388888888891E-2</v>
      </c>
      <c r="E208" s="2055" t="s">
        <v>17301</v>
      </c>
      <c r="F208" s="2048" t="s">
        <v>17281</v>
      </c>
      <c r="G208" s="2063">
        <v>0.7369</v>
      </c>
    </row>
    <row r="209" spans="1:23" s="80" customFormat="1" ht="12.75" customHeight="1" x14ac:dyDescent="0.2">
      <c r="A209" s="2029">
        <v>43904</v>
      </c>
      <c r="B209" s="2055" t="s">
        <v>17086</v>
      </c>
      <c r="C209" s="2055" t="s">
        <v>6122</v>
      </c>
      <c r="D209" s="2061">
        <v>1.3009259259259259E-2</v>
      </c>
      <c r="E209" s="2055" t="s">
        <v>17301</v>
      </c>
      <c r="F209" s="2048" t="s">
        <v>17307</v>
      </c>
      <c r="G209" s="2063">
        <v>0.68859999999999999</v>
      </c>
    </row>
    <row r="210" spans="1:23" s="80" customFormat="1" ht="12.75" customHeight="1" x14ac:dyDescent="0.2">
      <c r="A210" s="2029">
        <v>43904</v>
      </c>
      <c r="B210" s="2049" t="s">
        <v>9704</v>
      </c>
      <c r="C210" s="2049" t="s">
        <v>9702</v>
      </c>
      <c r="D210" s="2061">
        <v>1.5069444444444444E-2</v>
      </c>
      <c r="E210" s="2055" t="s">
        <v>17302</v>
      </c>
      <c r="F210" s="2048" t="s">
        <v>17321</v>
      </c>
      <c r="G210" s="2062">
        <v>0.81259999999999999</v>
      </c>
    </row>
    <row r="211" spans="1:23" s="80" customFormat="1" ht="12.75" customHeight="1" x14ac:dyDescent="0.2">
      <c r="A211" s="2029">
        <v>43904</v>
      </c>
      <c r="B211" s="2055" t="s">
        <v>17022</v>
      </c>
      <c r="C211" s="2055" t="s">
        <v>504</v>
      </c>
      <c r="D211" s="2065" t="s">
        <v>787</v>
      </c>
      <c r="E211" s="2055" t="s">
        <v>17302</v>
      </c>
      <c r="F211" s="2048" t="s">
        <v>16204</v>
      </c>
      <c r="G211" s="2063"/>
    </row>
    <row r="212" spans="1:23" s="80" customFormat="1" ht="12.75" customHeight="1" x14ac:dyDescent="0.2">
      <c r="A212" s="2029">
        <v>43904</v>
      </c>
      <c r="B212" s="2049" t="s">
        <v>17167</v>
      </c>
      <c r="C212" s="2049" t="s">
        <v>3252</v>
      </c>
      <c r="D212" s="2061">
        <v>1.9583333333333335E-2</v>
      </c>
      <c r="E212" s="2055" t="s">
        <v>17303</v>
      </c>
      <c r="F212" s="2049" t="s">
        <v>17316</v>
      </c>
      <c r="G212" s="2062">
        <v>0.70799999999999996</v>
      </c>
    </row>
    <row r="213" spans="1:23" ht="12.75" customHeight="1" x14ac:dyDescent="0.2">
      <c r="A213" s="332"/>
      <c r="B213" s="1384"/>
      <c r="C213" s="1384"/>
      <c r="D213" s="1621"/>
      <c r="E213" s="1489"/>
      <c r="F213" s="1404"/>
      <c r="G213" s="1622"/>
    </row>
    <row r="214" spans="1:23" ht="12.75" customHeight="1" x14ac:dyDescent="0.2">
      <c r="A214" s="332"/>
      <c r="B214" s="1384"/>
      <c r="C214" s="1384"/>
      <c r="D214" s="1621"/>
      <c r="E214" s="1489"/>
      <c r="F214" s="1404"/>
      <c r="G214" s="1622"/>
    </row>
    <row r="215" spans="1:23" ht="12.75" customHeight="1" x14ac:dyDescent="0.2">
      <c r="A215" s="33"/>
      <c r="B215" s="80"/>
      <c r="C215" s="334"/>
      <c r="D215" s="1583"/>
      <c r="E215" s="80"/>
      <c r="F215" s="69"/>
    </row>
    <row r="216" spans="1:23" ht="12.75" customHeight="1" x14ac:dyDescent="0.2">
      <c r="A216" s="332" t="s">
        <v>16777</v>
      </c>
      <c r="B216" s="80"/>
      <c r="C216" s="334"/>
      <c r="D216" s="1583"/>
      <c r="E216" s="80"/>
      <c r="F216" s="69"/>
    </row>
    <row r="217" spans="1:23" s="1708" customFormat="1" x14ac:dyDescent="0.2">
      <c r="A217" s="2029">
        <v>43897</v>
      </c>
      <c r="B217" s="1384" t="s">
        <v>868</v>
      </c>
      <c r="C217" s="1384" t="s">
        <v>869</v>
      </c>
      <c r="D217" s="2030">
        <v>3.7256944444444447E-2</v>
      </c>
      <c r="E217" s="2031" t="s">
        <v>17229</v>
      </c>
      <c r="F217" s="2035"/>
      <c r="G217" s="2033">
        <v>0.438</v>
      </c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</row>
    <row r="218" spans="1:23" s="1708" customFormat="1" x14ac:dyDescent="0.2">
      <c r="A218" s="1526">
        <v>43876</v>
      </c>
      <c r="B218" s="1384" t="s">
        <v>868</v>
      </c>
      <c r="C218" s="1384" t="s">
        <v>869</v>
      </c>
      <c r="D218" s="1686">
        <v>3.473379629629629E-2</v>
      </c>
      <c r="E218" s="1489" t="s">
        <v>17009</v>
      </c>
      <c r="F218" s="1489" t="s">
        <v>17027</v>
      </c>
      <c r="G218" s="1578">
        <v>0.4698</v>
      </c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</row>
    <row r="219" spans="1:23" s="1708" customFormat="1" x14ac:dyDescent="0.2">
      <c r="A219" s="523">
        <v>43862</v>
      </c>
      <c r="B219" s="1384" t="s">
        <v>868</v>
      </c>
      <c r="C219" s="1384" t="s">
        <v>869</v>
      </c>
      <c r="D219" s="1686">
        <v>3.6203703703703703E-2</v>
      </c>
      <c r="E219" s="1489" t="s">
        <v>16844</v>
      </c>
      <c r="F219" s="1489" t="s">
        <v>16886</v>
      </c>
      <c r="G219" s="1578">
        <v>0.45079999999999998</v>
      </c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</row>
    <row r="220" spans="1:23" s="1708" customFormat="1" x14ac:dyDescent="0.2">
      <c r="A220" s="523">
        <v>43855</v>
      </c>
      <c r="B220" s="1384" t="s">
        <v>868</v>
      </c>
      <c r="C220" s="1384" t="s">
        <v>869</v>
      </c>
      <c r="D220" s="1686">
        <v>3.5115740740740746E-2</v>
      </c>
      <c r="E220" s="1489" t="s">
        <v>16755</v>
      </c>
      <c r="F220" s="1489"/>
      <c r="G220" s="1578">
        <v>0.4647</v>
      </c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</row>
    <row r="221" spans="1:23" s="1708" customFormat="1" x14ac:dyDescent="0.2">
      <c r="A221" s="1886">
        <v>43834</v>
      </c>
      <c r="B221" s="1384" t="s">
        <v>868</v>
      </c>
      <c r="C221" s="1384" t="s">
        <v>869</v>
      </c>
      <c r="D221" s="1834">
        <v>3.770833333333333E-2</v>
      </c>
      <c r="E221" s="1370" t="s">
        <v>16607</v>
      </c>
      <c r="F221" s="1370" t="s">
        <v>16608</v>
      </c>
      <c r="G221" s="1885">
        <v>0.43280000000000002</v>
      </c>
      <c r="H221" s="1370"/>
      <c r="I221" s="1370"/>
      <c r="J221" s="2056"/>
      <c r="K221" s="2056"/>
      <c r="L221" s="2056"/>
      <c r="M221" s="2056"/>
      <c r="N221" s="2056"/>
      <c r="O221" s="2056"/>
      <c r="P221" s="2056"/>
      <c r="Q221" s="2056"/>
      <c r="R221" s="2056"/>
      <c r="S221" s="2056"/>
      <c r="T221" s="2056"/>
      <c r="U221" s="2056"/>
      <c r="V221" s="2056"/>
      <c r="W221" s="2056"/>
    </row>
    <row r="222" spans="1:23" s="1708" customFormat="1" ht="12.75" customHeight="1" x14ac:dyDescent="0.2">
      <c r="A222" s="2029">
        <v>43904</v>
      </c>
      <c r="B222" s="2049" t="s">
        <v>16864</v>
      </c>
      <c r="C222" s="2049" t="s">
        <v>869</v>
      </c>
      <c r="D222" s="2061">
        <v>3.3981481481481481E-2</v>
      </c>
      <c r="E222" s="2055" t="s">
        <v>17299</v>
      </c>
      <c r="F222" s="2049"/>
      <c r="G222" s="2062">
        <v>0.48020000000000002</v>
      </c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</row>
    <row r="223" spans="1:23" s="1708" customFormat="1" ht="12.75" customHeight="1" x14ac:dyDescent="0.2">
      <c r="A223" s="2029">
        <v>43904</v>
      </c>
      <c r="B223" s="2055" t="s">
        <v>15154</v>
      </c>
      <c r="C223" s="2055" t="s">
        <v>869</v>
      </c>
      <c r="D223" s="2061">
        <v>3.39699074074074E-2</v>
      </c>
      <c r="E223" s="2055" t="s">
        <v>17299</v>
      </c>
      <c r="F223" s="2055"/>
      <c r="G223" s="2063">
        <v>0.55779999999999996</v>
      </c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</row>
    <row r="224" spans="1:23" s="1708" customFormat="1" x14ac:dyDescent="0.2">
      <c r="A224" s="1526">
        <v>43876</v>
      </c>
      <c r="B224" s="2055" t="s">
        <v>15154</v>
      </c>
      <c r="C224" s="1489" t="s">
        <v>869</v>
      </c>
      <c r="D224" s="1686">
        <v>3.473379629629629E-2</v>
      </c>
      <c r="E224" s="1489" t="s">
        <v>17009</v>
      </c>
      <c r="F224" s="1489"/>
      <c r="G224" s="1578">
        <v>0.54549999999999998</v>
      </c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</row>
    <row r="225" spans="1:23" s="1708" customFormat="1" x14ac:dyDescent="0.2">
      <c r="A225" s="1729">
        <v>43831</v>
      </c>
      <c r="B225" s="2055" t="s">
        <v>15154</v>
      </c>
      <c r="C225" s="1370" t="s">
        <v>869</v>
      </c>
      <c r="D225" s="1730">
        <v>3.3726851851851855E-2</v>
      </c>
      <c r="E225" s="80" t="s">
        <v>16521</v>
      </c>
      <c r="F225" s="80"/>
      <c r="G225" s="72">
        <v>0.56179999999999997</v>
      </c>
      <c r="H225" s="80"/>
    </row>
    <row r="226" spans="1:23" s="1708" customFormat="1" ht="13.5" customHeight="1" x14ac:dyDescent="0.2">
      <c r="A226" s="523">
        <v>43862</v>
      </c>
      <c r="B226" s="2055" t="s">
        <v>15154</v>
      </c>
      <c r="C226" s="1489" t="s">
        <v>869</v>
      </c>
      <c r="D226" s="1686">
        <v>3.6203703703703703E-2</v>
      </c>
      <c r="E226" s="1489" t="s">
        <v>16844</v>
      </c>
      <c r="F226" s="1489" t="s">
        <v>15382</v>
      </c>
      <c r="G226" s="1578">
        <v>0.52329999999999999</v>
      </c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</row>
    <row r="227" spans="1:23" s="1708" customFormat="1" x14ac:dyDescent="0.2">
      <c r="A227" s="523">
        <v>43855</v>
      </c>
      <c r="B227" s="1384" t="s">
        <v>7908</v>
      </c>
      <c r="C227" s="1384" t="s">
        <v>869</v>
      </c>
      <c r="D227" s="1686">
        <v>3.5104166666666665E-2</v>
      </c>
      <c r="E227" s="1489" t="s">
        <v>16755</v>
      </c>
      <c r="F227" s="1489"/>
      <c r="G227" s="1578">
        <v>0.53969999999999996</v>
      </c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</row>
    <row r="228" spans="1:23" s="1708" customFormat="1" x14ac:dyDescent="0.2">
      <c r="A228" s="1526">
        <v>43876</v>
      </c>
      <c r="B228" s="1489" t="s">
        <v>16867</v>
      </c>
      <c r="C228" s="1489" t="s">
        <v>10861</v>
      </c>
      <c r="D228" s="1686">
        <v>1.8530092592592591E-2</v>
      </c>
      <c r="E228" s="1489" t="s">
        <v>17015</v>
      </c>
      <c r="F228" s="1489" t="s">
        <v>17063</v>
      </c>
      <c r="G228" s="1578">
        <v>0.59089999999999998</v>
      </c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</row>
    <row r="229" spans="1:23" s="1708" customFormat="1" x14ac:dyDescent="0.2">
      <c r="A229" s="523">
        <v>43862</v>
      </c>
      <c r="B229" s="1489" t="s">
        <v>16867</v>
      </c>
      <c r="C229" s="1489" t="s">
        <v>10861</v>
      </c>
      <c r="D229" s="1686">
        <v>1.9780092592592596E-2</v>
      </c>
      <c r="E229" s="1489" t="s">
        <v>16853</v>
      </c>
      <c r="F229" s="1489"/>
      <c r="G229" s="1578">
        <v>0.55349999999999999</v>
      </c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</row>
    <row r="230" spans="1:23" s="1708" customFormat="1" x14ac:dyDescent="0.2">
      <c r="A230" s="2029">
        <v>43897</v>
      </c>
      <c r="B230" s="1489" t="s">
        <v>3251</v>
      </c>
      <c r="C230" s="1489" t="s">
        <v>3252</v>
      </c>
      <c r="D230" s="2030">
        <v>1.9039351851851852E-2</v>
      </c>
      <c r="E230" s="2031" t="s">
        <v>17232</v>
      </c>
      <c r="F230" s="2035" t="s">
        <v>17249</v>
      </c>
      <c r="G230" s="2033">
        <v>0.72829999999999995</v>
      </c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</row>
    <row r="231" spans="1:23" s="1708" customFormat="1" x14ac:dyDescent="0.2">
      <c r="A231" s="523">
        <v>43890</v>
      </c>
      <c r="B231" s="1489" t="s">
        <v>3251</v>
      </c>
      <c r="C231" s="1489" t="s">
        <v>3252</v>
      </c>
      <c r="D231" s="1686">
        <v>2.1944444444444444E-2</v>
      </c>
      <c r="E231" s="1489" t="s">
        <v>17161</v>
      </c>
      <c r="F231" s="1489" t="s">
        <v>17189</v>
      </c>
      <c r="G231" s="1578">
        <v>0.63190000000000002</v>
      </c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</row>
    <row r="232" spans="1:23" s="1708" customFormat="1" x14ac:dyDescent="0.2">
      <c r="A232" s="2057">
        <v>43869</v>
      </c>
      <c r="B232" s="1489" t="s">
        <v>3251</v>
      </c>
      <c r="C232" s="1489" t="s">
        <v>3252</v>
      </c>
      <c r="D232" s="1737">
        <v>1.8935185185185183E-2</v>
      </c>
      <c r="E232" s="1489" t="s">
        <v>16912</v>
      </c>
      <c r="F232" s="1489" t="s">
        <v>16956</v>
      </c>
      <c r="G232" s="1578">
        <v>0.73229999999999995</v>
      </c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</row>
    <row r="233" spans="1:23" s="1708" customFormat="1" x14ac:dyDescent="0.2">
      <c r="A233" s="523">
        <v>43862</v>
      </c>
      <c r="B233" s="1489" t="s">
        <v>3251</v>
      </c>
      <c r="C233" s="1489" t="s">
        <v>3252</v>
      </c>
      <c r="D233" s="1686">
        <v>1.8969907407407408E-2</v>
      </c>
      <c r="E233" s="1489" t="s">
        <v>16839</v>
      </c>
      <c r="F233" s="1489" t="s">
        <v>16874</v>
      </c>
      <c r="G233" s="1578">
        <v>0.73089999999999999</v>
      </c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</row>
    <row r="234" spans="1:23" s="1708" customFormat="1" x14ac:dyDescent="0.2">
      <c r="A234" s="523">
        <v>43855</v>
      </c>
      <c r="B234" s="1489" t="s">
        <v>3251</v>
      </c>
      <c r="C234" s="1489" t="s">
        <v>3252</v>
      </c>
      <c r="D234" s="1686">
        <v>1.9525462962962963E-2</v>
      </c>
      <c r="E234" s="1489" t="s">
        <v>16746</v>
      </c>
      <c r="F234" s="1489" t="s">
        <v>16764</v>
      </c>
      <c r="G234" s="1578">
        <v>0.71009999999999995</v>
      </c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</row>
    <row r="235" spans="1:23" s="1708" customFormat="1" x14ac:dyDescent="0.2">
      <c r="A235" s="2057">
        <v>43848</v>
      </c>
      <c r="B235" s="1489" t="s">
        <v>3251</v>
      </c>
      <c r="C235" s="1489" t="s">
        <v>3252</v>
      </c>
      <c r="D235" s="1686">
        <v>2.0543981481481479E-2</v>
      </c>
      <c r="E235" s="1489" t="s">
        <v>16675</v>
      </c>
      <c r="F235" s="1489"/>
      <c r="G235" s="1578">
        <v>0.67490000000000006</v>
      </c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</row>
    <row r="236" spans="1:23" s="1708" customFormat="1" x14ac:dyDescent="0.2">
      <c r="A236" s="2057">
        <v>43841</v>
      </c>
      <c r="B236" s="1489" t="s">
        <v>3251</v>
      </c>
      <c r="C236" s="1489" t="s">
        <v>3252</v>
      </c>
      <c r="D236" s="1727">
        <v>1.9467592592592595E-2</v>
      </c>
      <c r="E236" s="1728" t="s">
        <v>16800</v>
      </c>
      <c r="F236" s="1568"/>
      <c r="G236" s="1897">
        <v>0.71220000000000006</v>
      </c>
      <c r="H236" s="1370"/>
      <c r="I236" s="1370"/>
      <c r="J236" s="1370"/>
      <c r="K236" s="1370"/>
      <c r="L236" s="1370"/>
      <c r="M236" s="1370"/>
      <c r="N236" s="1370"/>
      <c r="O236" s="1370"/>
      <c r="P236" s="1370"/>
      <c r="Q236" s="1370"/>
      <c r="R236" s="1370"/>
      <c r="S236" s="1370"/>
      <c r="T236" s="1370"/>
      <c r="U236" s="1370"/>
      <c r="V236" s="1370"/>
      <c r="W236" s="1370"/>
    </row>
    <row r="237" spans="1:23" s="1708" customFormat="1" x14ac:dyDescent="0.2">
      <c r="A237" s="1886">
        <v>43834</v>
      </c>
      <c r="B237" s="1489" t="s">
        <v>3251</v>
      </c>
      <c r="C237" s="1489" t="s">
        <v>3252</v>
      </c>
      <c r="D237" s="1834">
        <v>2.0358796296296295E-2</v>
      </c>
      <c r="E237" s="1370" t="s">
        <v>16611</v>
      </c>
      <c r="F237" s="1370" t="s">
        <v>16612</v>
      </c>
      <c r="G237" s="1885">
        <v>0.68110000000000004</v>
      </c>
      <c r="H237" s="1370"/>
      <c r="I237" s="1370"/>
      <c r="J237" s="2056"/>
      <c r="K237" s="2056"/>
      <c r="L237" s="2056"/>
      <c r="M237" s="2056"/>
      <c r="N237" s="2056"/>
      <c r="O237" s="2056"/>
      <c r="P237" s="2056"/>
      <c r="Q237" s="2056"/>
      <c r="R237" s="2056"/>
      <c r="S237" s="2056"/>
      <c r="T237" s="2056"/>
      <c r="U237" s="2056"/>
      <c r="V237" s="2056"/>
      <c r="W237" s="2056"/>
    </row>
    <row r="238" spans="1:23" s="1708" customFormat="1" ht="12.75" customHeight="1" x14ac:dyDescent="0.2">
      <c r="A238" s="2029">
        <v>43904</v>
      </c>
      <c r="B238" s="2049" t="s">
        <v>17167</v>
      </c>
      <c r="C238" s="2049" t="s">
        <v>3252</v>
      </c>
      <c r="D238" s="2061">
        <v>1.9583333333333335E-2</v>
      </c>
      <c r="E238" s="2055" t="s">
        <v>17303</v>
      </c>
      <c r="F238" s="2049" t="s">
        <v>17316</v>
      </c>
      <c r="G238" s="2062">
        <v>0.70799999999999996</v>
      </c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</row>
    <row r="239" spans="1:23" s="1708" customFormat="1" x14ac:dyDescent="0.2">
      <c r="A239" s="1526">
        <v>43883</v>
      </c>
      <c r="B239" s="1384" t="s">
        <v>7908</v>
      </c>
      <c r="C239" s="1384" t="s">
        <v>7907</v>
      </c>
      <c r="D239" s="1730">
        <v>1.9432870370370371E-2</v>
      </c>
      <c r="E239" s="80" t="s">
        <v>17105</v>
      </c>
      <c r="F239" s="80" t="s">
        <v>17080</v>
      </c>
      <c r="G239" s="72">
        <v>0.71350000000000002</v>
      </c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</row>
    <row r="240" spans="1:23" s="1708" customFormat="1" x14ac:dyDescent="0.2">
      <c r="A240" s="1526">
        <v>43876</v>
      </c>
      <c r="B240" s="1384" t="s">
        <v>7908</v>
      </c>
      <c r="C240" s="1384" t="s">
        <v>7907</v>
      </c>
      <c r="D240" s="1686" t="s">
        <v>787</v>
      </c>
      <c r="E240" s="1489" t="s">
        <v>16989</v>
      </c>
      <c r="F240" s="1489" t="s">
        <v>16204</v>
      </c>
      <c r="G240" s="1578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</row>
    <row r="241" spans="1:23" s="1708" customFormat="1" x14ac:dyDescent="0.2">
      <c r="A241" s="2057">
        <v>43869</v>
      </c>
      <c r="B241" s="1384" t="s">
        <v>7908</v>
      </c>
      <c r="C241" s="1384" t="s">
        <v>7907</v>
      </c>
      <c r="D241" s="1737">
        <v>2.1435185185185186E-2</v>
      </c>
      <c r="E241" s="1489" t="s">
        <v>16898</v>
      </c>
      <c r="F241" s="1489" t="s">
        <v>16937</v>
      </c>
      <c r="G241" s="1578">
        <v>0.64690000000000003</v>
      </c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</row>
    <row r="242" spans="1:23" s="1708" customFormat="1" x14ac:dyDescent="0.2">
      <c r="A242" s="523">
        <v>43862</v>
      </c>
      <c r="B242" s="1384" t="s">
        <v>7908</v>
      </c>
      <c r="C242" s="1384" t="s">
        <v>7907</v>
      </c>
      <c r="D242" s="1686">
        <v>1.9988425925925927E-2</v>
      </c>
      <c r="E242" s="1489" t="s">
        <v>16844</v>
      </c>
      <c r="F242" s="1489"/>
      <c r="G242" s="1578">
        <v>0.69369999999999998</v>
      </c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</row>
    <row r="243" spans="1:23" s="1708" customFormat="1" x14ac:dyDescent="0.2">
      <c r="A243" s="523">
        <v>43855</v>
      </c>
      <c r="B243" s="1384" t="s">
        <v>7908</v>
      </c>
      <c r="C243" s="1384" t="s">
        <v>7907</v>
      </c>
      <c r="D243" s="1686">
        <v>2.1157407407407406E-2</v>
      </c>
      <c r="E243" s="1489" t="s">
        <v>16740</v>
      </c>
      <c r="F243" s="1489"/>
      <c r="G243" s="1578">
        <v>0.65539999999999998</v>
      </c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</row>
    <row r="244" spans="1:23" s="1708" customFormat="1" x14ac:dyDescent="0.2">
      <c r="A244" s="2057">
        <v>43841</v>
      </c>
      <c r="B244" s="1384" t="s">
        <v>7908</v>
      </c>
      <c r="C244" s="1384" t="s">
        <v>7907</v>
      </c>
      <c r="D244" s="1727">
        <v>2.1446759259259259E-2</v>
      </c>
      <c r="E244" s="1728" t="s">
        <v>15910</v>
      </c>
      <c r="F244" s="1568"/>
      <c r="G244" s="1897">
        <v>0.63729999999999998</v>
      </c>
      <c r="H244" s="1370"/>
      <c r="I244" s="1370"/>
      <c r="J244" s="1370"/>
      <c r="K244" s="1370"/>
      <c r="L244" s="1370"/>
      <c r="M244" s="1370"/>
      <c r="N244" s="1370"/>
      <c r="O244" s="1370"/>
      <c r="P244" s="1370"/>
      <c r="Q244" s="1370"/>
      <c r="R244" s="1370"/>
      <c r="S244" s="1370"/>
      <c r="T244" s="1370"/>
      <c r="U244" s="1370"/>
      <c r="V244" s="1370"/>
      <c r="W244" s="1370"/>
    </row>
    <row r="245" spans="1:23" s="1708" customFormat="1" x14ac:dyDescent="0.2">
      <c r="A245" s="1729">
        <v>43831</v>
      </c>
      <c r="B245" s="1384" t="s">
        <v>7908</v>
      </c>
      <c r="C245" s="1384" t="s">
        <v>7907</v>
      </c>
      <c r="D245" s="1730">
        <v>1.9525462962962963E-2</v>
      </c>
      <c r="E245" s="80" t="s">
        <v>16510</v>
      </c>
      <c r="F245" s="80" t="s">
        <v>16580</v>
      </c>
      <c r="G245" s="72">
        <v>0.70009999999999994</v>
      </c>
      <c r="H245" s="80" t="s">
        <v>16489</v>
      </c>
    </row>
    <row r="246" spans="1:23" s="1708" customFormat="1" x14ac:dyDescent="0.2">
      <c r="A246" s="1729">
        <v>43831</v>
      </c>
      <c r="B246" s="1384" t="s">
        <v>7908</v>
      </c>
      <c r="C246" s="1384" t="s">
        <v>7907</v>
      </c>
      <c r="D246" s="1730">
        <v>2.1319444444444443E-2</v>
      </c>
      <c r="E246" s="80" t="s">
        <v>16521</v>
      </c>
      <c r="F246" s="80" t="s">
        <v>16578</v>
      </c>
      <c r="G246" s="72">
        <v>0.64119999999999999</v>
      </c>
      <c r="H246" s="80"/>
    </row>
    <row r="247" spans="1:23" s="1708" customFormat="1" x14ac:dyDescent="0.2">
      <c r="A247" s="2029">
        <v>43897</v>
      </c>
      <c r="B247" s="2031" t="s">
        <v>13370</v>
      </c>
      <c r="C247" s="2034" t="s">
        <v>7907</v>
      </c>
      <c r="D247" s="2030">
        <v>2.2395833333333334E-2</v>
      </c>
      <c r="E247" s="2031" t="s">
        <v>17229</v>
      </c>
      <c r="F247" s="2048"/>
      <c r="G247" s="2032">
        <v>0.61909999999999998</v>
      </c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</row>
    <row r="248" spans="1:23" s="1708" customFormat="1" x14ac:dyDescent="0.2">
      <c r="A248" s="1526">
        <v>43883</v>
      </c>
      <c r="B248" s="1895" t="s">
        <v>260</v>
      </c>
      <c r="C248" s="1895" t="s">
        <v>7907</v>
      </c>
      <c r="D248" s="1730">
        <v>1.6284722222222221E-2</v>
      </c>
      <c r="E248" s="80" t="s">
        <v>17105</v>
      </c>
      <c r="F248" s="80" t="s">
        <v>17120</v>
      </c>
      <c r="G248" s="72">
        <v>0.70220000000000005</v>
      </c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</row>
    <row r="249" spans="1:23" s="1708" customFormat="1" x14ac:dyDescent="0.2">
      <c r="A249" s="1526">
        <v>43876</v>
      </c>
      <c r="B249" s="1895" t="s">
        <v>260</v>
      </c>
      <c r="C249" s="1895" t="s">
        <v>7907</v>
      </c>
      <c r="D249" s="1686" t="s">
        <v>787</v>
      </c>
      <c r="E249" s="1489" t="s">
        <v>16989</v>
      </c>
      <c r="F249" s="1489" t="s">
        <v>5604</v>
      </c>
      <c r="G249" s="1578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</row>
    <row r="250" spans="1:23" s="1708" customFormat="1" x14ac:dyDescent="0.2">
      <c r="A250" s="2057">
        <v>43869</v>
      </c>
      <c r="B250" s="1895" t="s">
        <v>260</v>
      </c>
      <c r="C250" s="1895" t="s">
        <v>7907</v>
      </c>
      <c r="D250" s="1737">
        <v>1.6608796296296295E-2</v>
      </c>
      <c r="E250" s="1489" t="s">
        <v>16898</v>
      </c>
      <c r="F250" s="1489" t="s">
        <v>16936</v>
      </c>
      <c r="G250" s="1578">
        <v>0.6885</v>
      </c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</row>
    <row r="251" spans="1:23" s="1708" customFormat="1" x14ac:dyDescent="0.2">
      <c r="A251" s="523">
        <v>43862</v>
      </c>
      <c r="B251" s="1895" t="s">
        <v>260</v>
      </c>
      <c r="C251" s="1895" t="s">
        <v>7907</v>
      </c>
      <c r="D251" s="1686">
        <v>1.5682870370370371E-2</v>
      </c>
      <c r="E251" s="1489" t="s">
        <v>16844</v>
      </c>
      <c r="F251" s="1489" t="s">
        <v>16855</v>
      </c>
      <c r="G251" s="1578">
        <v>0.72919999999999996</v>
      </c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</row>
    <row r="252" spans="1:23" s="1708" customFormat="1" x14ac:dyDescent="0.2">
      <c r="A252" s="2057">
        <v>43848</v>
      </c>
      <c r="B252" s="1895" t="s">
        <v>260</v>
      </c>
      <c r="C252" s="1895" t="s">
        <v>7907</v>
      </c>
      <c r="D252" s="1686">
        <v>1.6006944444444445E-2</v>
      </c>
      <c r="E252" s="1489" t="s">
        <v>16670</v>
      </c>
      <c r="F252" s="1489" t="s">
        <v>16690</v>
      </c>
      <c r="G252" s="1578">
        <v>0.71440000000000003</v>
      </c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</row>
    <row r="253" spans="1:23" s="1708" customFormat="1" x14ac:dyDescent="0.2">
      <c r="A253" s="2057">
        <v>43841</v>
      </c>
      <c r="B253" s="1895" t="s">
        <v>260</v>
      </c>
      <c r="C253" s="1895" t="s">
        <v>7907</v>
      </c>
      <c r="D253" s="1727">
        <v>1.6863425925925928E-2</v>
      </c>
      <c r="E253" s="1728" t="s">
        <v>16812</v>
      </c>
      <c r="F253" s="1568"/>
      <c r="G253" s="1897">
        <v>0.67810000000000004</v>
      </c>
      <c r="H253" s="1370"/>
      <c r="I253" s="1370"/>
      <c r="J253" s="1370"/>
      <c r="K253" s="1370"/>
      <c r="L253" s="1370"/>
      <c r="M253" s="1370"/>
      <c r="N253" s="1370"/>
      <c r="O253" s="1370"/>
      <c r="P253" s="1370"/>
      <c r="Q253" s="1370"/>
      <c r="R253" s="1370"/>
      <c r="S253" s="1370"/>
      <c r="T253" s="1370"/>
      <c r="U253" s="1370"/>
      <c r="V253" s="1370"/>
      <c r="W253" s="1370"/>
    </row>
    <row r="254" spans="1:23" s="1708" customFormat="1" x14ac:dyDescent="0.2">
      <c r="A254" s="1886">
        <v>43834</v>
      </c>
      <c r="B254" s="1895" t="s">
        <v>260</v>
      </c>
      <c r="C254" s="1895" t="s">
        <v>7907</v>
      </c>
      <c r="D254" s="1834">
        <v>1.6631944444444446E-2</v>
      </c>
      <c r="E254" s="1370" t="s">
        <v>16623</v>
      </c>
      <c r="F254" s="1370" t="s">
        <v>16625</v>
      </c>
      <c r="G254" s="1885">
        <v>0.6875</v>
      </c>
      <c r="H254" s="1370"/>
      <c r="I254" s="1370"/>
      <c r="J254" s="2056"/>
      <c r="K254" s="2056"/>
      <c r="L254" s="2056"/>
      <c r="M254" s="2056"/>
      <c r="N254" s="2056"/>
      <c r="O254" s="2056"/>
      <c r="P254" s="2056"/>
      <c r="Q254" s="2056"/>
      <c r="R254" s="2056"/>
      <c r="S254" s="2056"/>
      <c r="T254" s="2056"/>
      <c r="U254" s="2056"/>
      <c r="V254" s="2056"/>
      <c r="W254" s="2056"/>
    </row>
    <row r="255" spans="1:23" s="1708" customFormat="1" x14ac:dyDescent="0.2">
      <c r="A255" s="1729">
        <v>43831</v>
      </c>
      <c r="B255" s="1895" t="s">
        <v>260</v>
      </c>
      <c r="C255" s="1895" t="s">
        <v>7907</v>
      </c>
      <c r="D255" s="1730">
        <v>1.7025462962962964E-2</v>
      </c>
      <c r="E255" s="80" t="s">
        <v>16510</v>
      </c>
      <c r="F255" s="80"/>
      <c r="G255" s="72">
        <v>0.67169999999999996</v>
      </c>
      <c r="H255" s="80"/>
    </row>
    <row r="256" spans="1:23" s="1708" customFormat="1" x14ac:dyDescent="0.2">
      <c r="A256" s="1729">
        <v>43831</v>
      </c>
      <c r="B256" s="1895" t="s">
        <v>260</v>
      </c>
      <c r="C256" s="1895" t="s">
        <v>7907</v>
      </c>
      <c r="D256" s="1730">
        <v>1.6400462962962964E-2</v>
      </c>
      <c r="E256" s="80" t="s">
        <v>16521</v>
      </c>
      <c r="F256" s="80" t="s">
        <v>16577</v>
      </c>
      <c r="G256" s="72">
        <v>0.69720000000000004</v>
      </c>
      <c r="H256" s="80"/>
    </row>
    <row r="257" spans="1:23" s="1708" customFormat="1" x14ac:dyDescent="0.2">
      <c r="A257" s="2029">
        <v>43897</v>
      </c>
      <c r="B257" s="2031" t="s">
        <v>17243</v>
      </c>
      <c r="C257" s="2034" t="s">
        <v>7907</v>
      </c>
      <c r="D257" s="2030">
        <v>1.7187500000000001E-2</v>
      </c>
      <c r="E257" s="2031" t="s">
        <v>17229</v>
      </c>
      <c r="F257" s="2048"/>
      <c r="G257" s="2032">
        <v>0.6653</v>
      </c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</row>
    <row r="258" spans="1:23" s="1708" customFormat="1" x14ac:dyDescent="0.2">
      <c r="A258" s="2029">
        <v>43897</v>
      </c>
      <c r="B258" s="1384" t="s">
        <v>4264</v>
      </c>
      <c r="C258" s="1384" t="s">
        <v>5239</v>
      </c>
      <c r="D258" s="2030">
        <v>1.5092592592592593E-2</v>
      </c>
      <c r="E258" s="2031" t="s">
        <v>17228</v>
      </c>
      <c r="F258" s="2048" t="s">
        <v>17235</v>
      </c>
      <c r="G258" s="2032">
        <v>0.83279999999999998</v>
      </c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</row>
    <row r="259" spans="1:23" s="1708" customFormat="1" ht="12.75" customHeight="1" x14ac:dyDescent="0.2">
      <c r="A259" s="523">
        <v>43890</v>
      </c>
      <c r="B259" s="1384" t="s">
        <v>4264</v>
      </c>
      <c r="C259" s="1384" t="s">
        <v>5239</v>
      </c>
      <c r="D259" s="1686">
        <v>1.6319444444444445E-2</v>
      </c>
      <c r="E259" s="1489" t="s">
        <v>17147</v>
      </c>
      <c r="F259" s="2058" t="s">
        <v>17186</v>
      </c>
      <c r="G259" s="1578">
        <v>0.7702</v>
      </c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</row>
    <row r="260" spans="1:23" s="1708" customFormat="1" x14ac:dyDescent="0.2">
      <c r="A260" s="1526">
        <v>43883</v>
      </c>
      <c r="B260" s="1384" t="s">
        <v>4264</v>
      </c>
      <c r="C260" s="1384" t="s">
        <v>5239</v>
      </c>
      <c r="D260" s="1730">
        <v>1.650462962962963E-2</v>
      </c>
      <c r="E260" s="80" t="s">
        <v>17111</v>
      </c>
      <c r="F260" s="80" t="s">
        <v>17127</v>
      </c>
      <c r="G260" s="72">
        <v>0.76160000000000005</v>
      </c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</row>
    <row r="261" spans="1:23" s="1708" customFormat="1" x14ac:dyDescent="0.2">
      <c r="A261" s="1526">
        <v>43876</v>
      </c>
      <c r="B261" s="1384" t="s">
        <v>4264</v>
      </c>
      <c r="C261" s="1384" t="s">
        <v>5239</v>
      </c>
      <c r="D261" s="1686">
        <v>1.59375E-2</v>
      </c>
      <c r="E261" s="1489" t="s">
        <v>16997</v>
      </c>
      <c r="F261" s="1489" t="s">
        <v>17046</v>
      </c>
      <c r="G261" s="1578">
        <v>0.78869999999999996</v>
      </c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</row>
    <row r="262" spans="1:23" s="1708" customFormat="1" x14ac:dyDescent="0.2">
      <c r="A262" s="2057">
        <v>43869</v>
      </c>
      <c r="B262" s="1384" t="s">
        <v>4264</v>
      </c>
      <c r="C262" s="1384" t="s">
        <v>5239</v>
      </c>
      <c r="D262" s="1737">
        <v>1.5925925925925927E-2</v>
      </c>
      <c r="E262" s="1489" t="s">
        <v>16911</v>
      </c>
      <c r="F262" s="1489"/>
      <c r="G262" s="1578">
        <v>0.78920000000000001</v>
      </c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</row>
    <row r="263" spans="1:23" s="1708" customFormat="1" ht="12.75" customHeight="1" x14ac:dyDescent="0.2">
      <c r="A263" s="523">
        <v>43862</v>
      </c>
      <c r="B263" s="1384" t="s">
        <v>4264</v>
      </c>
      <c r="C263" s="1384" t="s">
        <v>5239</v>
      </c>
      <c r="D263" s="1686">
        <v>1.5891203703703703E-2</v>
      </c>
      <c r="E263" s="1489" t="s">
        <v>16847</v>
      </c>
      <c r="F263" s="1489" t="s">
        <v>16870</v>
      </c>
      <c r="G263" s="1578">
        <v>0.79100000000000004</v>
      </c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</row>
    <row r="264" spans="1:23" s="1708" customFormat="1" x14ac:dyDescent="0.2">
      <c r="A264" s="523">
        <v>43855</v>
      </c>
      <c r="B264" s="1384" t="s">
        <v>4264</v>
      </c>
      <c r="C264" s="1384" t="s">
        <v>5239</v>
      </c>
      <c r="D264" s="1686">
        <v>1.5636574074074074E-2</v>
      </c>
      <c r="E264" s="1489" t="s">
        <v>16763</v>
      </c>
      <c r="F264" s="1489" t="s">
        <v>16784</v>
      </c>
      <c r="G264" s="1578">
        <v>0.80379999999999996</v>
      </c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</row>
    <row r="265" spans="1:23" s="1708" customFormat="1" ht="12.75" customHeight="1" x14ac:dyDescent="0.2">
      <c r="A265" s="2057">
        <v>43848</v>
      </c>
      <c r="B265" s="1384" t="s">
        <v>4264</v>
      </c>
      <c r="C265" s="1384" t="s">
        <v>5239</v>
      </c>
      <c r="D265" s="1686">
        <v>1.5428240740740739E-2</v>
      </c>
      <c r="E265" s="1489" t="s">
        <v>16671</v>
      </c>
      <c r="F265" s="1489" t="s">
        <v>16775</v>
      </c>
      <c r="G265" s="1578">
        <v>0.81469999999999998</v>
      </c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</row>
    <row r="266" spans="1:23" s="1708" customFormat="1" ht="12.75" customHeight="1" x14ac:dyDescent="0.2">
      <c r="A266" s="1886">
        <v>43834</v>
      </c>
      <c r="B266" s="1384" t="s">
        <v>4264</v>
      </c>
      <c r="C266" s="1384" t="s">
        <v>5239</v>
      </c>
      <c r="D266" s="1834">
        <v>1.5266203703703705E-2</v>
      </c>
      <c r="E266" s="1370" t="s">
        <v>16603</v>
      </c>
      <c r="F266" s="1370" t="s">
        <v>16604</v>
      </c>
      <c r="G266" s="1885">
        <v>0.82340000000000002</v>
      </c>
      <c r="H266" s="1370"/>
      <c r="I266" s="1370"/>
      <c r="J266" s="2056"/>
      <c r="K266" s="2056"/>
      <c r="L266" s="2056"/>
      <c r="M266" s="2056"/>
      <c r="N266" s="2056"/>
      <c r="O266" s="2056"/>
      <c r="P266" s="2056"/>
      <c r="Q266" s="2056"/>
      <c r="R266" s="2056"/>
      <c r="S266" s="2056"/>
      <c r="T266" s="2056"/>
      <c r="U266" s="2056"/>
      <c r="V266" s="2056"/>
      <c r="W266" s="2056"/>
    </row>
    <row r="267" spans="1:23" s="1708" customFormat="1" x14ac:dyDescent="0.2">
      <c r="A267" s="1729">
        <v>43831</v>
      </c>
      <c r="B267" s="1384" t="s">
        <v>4264</v>
      </c>
      <c r="C267" s="1384" t="s">
        <v>5239</v>
      </c>
      <c r="D267" s="1730">
        <v>1.5104166666666667E-2</v>
      </c>
      <c r="E267" s="80" t="s">
        <v>16522</v>
      </c>
      <c r="F267" s="80" t="s">
        <v>16587</v>
      </c>
      <c r="G267" s="72">
        <v>0.83220000000000005</v>
      </c>
      <c r="H267" s="80" t="s">
        <v>16494</v>
      </c>
    </row>
    <row r="268" spans="1:23" s="1708" customFormat="1" ht="12.75" customHeight="1" x14ac:dyDescent="0.2">
      <c r="A268" s="2029">
        <v>43904</v>
      </c>
      <c r="B268" s="2055" t="s">
        <v>13279</v>
      </c>
      <c r="C268" s="2055" t="s">
        <v>5239</v>
      </c>
      <c r="D268" s="2061">
        <v>1.5335648148148147E-2</v>
      </c>
      <c r="E268" s="2055" t="s">
        <v>17294</v>
      </c>
      <c r="F268" s="2048" t="s">
        <v>17309</v>
      </c>
      <c r="G268" s="2063">
        <v>0.8196</v>
      </c>
      <c r="H268" s="80" t="s">
        <v>17322</v>
      </c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</row>
    <row r="269" spans="1:23" s="1708" customFormat="1" x14ac:dyDescent="0.2">
      <c r="A269" s="2029">
        <v>43897</v>
      </c>
      <c r="B269" s="1384" t="s">
        <v>435</v>
      </c>
      <c r="C269" s="1384" t="s">
        <v>436</v>
      </c>
      <c r="D269" s="2030">
        <v>3.3252314814814811E-2</v>
      </c>
      <c r="E269" s="2031" t="s">
        <v>17234</v>
      </c>
      <c r="F269" s="2048" t="s">
        <v>17259</v>
      </c>
      <c r="G269" s="2033">
        <v>0.41070000000000001</v>
      </c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</row>
    <row r="270" spans="1:23" s="1708" customFormat="1" x14ac:dyDescent="0.2">
      <c r="A270" s="1526">
        <v>43883</v>
      </c>
      <c r="B270" s="1384" t="s">
        <v>435</v>
      </c>
      <c r="C270" s="1384" t="s">
        <v>436</v>
      </c>
      <c r="D270" s="1730">
        <v>3.2118055555555552E-2</v>
      </c>
      <c r="E270" s="80" t="s">
        <v>17112</v>
      </c>
      <c r="F270" s="80"/>
      <c r="G270" s="72">
        <v>0.42520000000000002</v>
      </c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</row>
    <row r="271" spans="1:23" s="1708" customFormat="1" ht="12.75" customHeight="1" x14ac:dyDescent="0.2">
      <c r="A271" s="2057">
        <v>43869</v>
      </c>
      <c r="B271" s="1384" t="s">
        <v>435</v>
      </c>
      <c r="C271" s="1384" t="s">
        <v>436</v>
      </c>
      <c r="D271" s="1737">
        <v>3.2407407407407406E-2</v>
      </c>
      <c r="E271" s="1489" t="s">
        <v>16928</v>
      </c>
      <c r="F271" s="1489" t="s">
        <v>16952</v>
      </c>
      <c r="G271" s="1578">
        <v>0.4214</v>
      </c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</row>
    <row r="272" spans="1:23" s="1708" customFormat="1" x14ac:dyDescent="0.2">
      <c r="A272" s="523">
        <v>43855</v>
      </c>
      <c r="B272" s="1384" t="s">
        <v>435</v>
      </c>
      <c r="C272" s="1384" t="s">
        <v>436</v>
      </c>
      <c r="D272" s="1686">
        <v>3.1608796296296295E-2</v>
      </c>
      <c r="E272" s="1489" t="s">
        <v>16762</v>
      </c>
      <c r="F272" s="1489" t="s">
        <v>16791</v>
      </c>
      <c r="G272" s="1578">
        <v>0.43209999999999998</v>
      </c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</row>
    <row r="273" spans="1:23" s="1708" customFormat="1" x14ac:dyDescent="0.2">
      <c r="A273" s="1886">
        <v>43834</v>
      </c>
      <c r="B273" s="1384" t="s">
        <v>435</v>
      </c>
      <c r="C273" s="1384" t="s">
        <v>436</v>
      </c>
      <c r="D273" s="1834">
        <v>3.4166666666666672E-2</v>
      </c>
      <c r="E273" s="1370" t="s">
        <v>16610</v>
      </c>
      <c r="F273" s="1370" t="s">
        <v>16609</v>
      </c>
      <c r="G273" s="1885">
        <v>0.3997</v>
      </c>
      <c r="H273" s="1370"/>
      <c r="I273" s="1370"/>
      <c r="J273" s="2056"/>
      <c r="K273" s="2056"/>
      <c r="L273" s="2056"/>
      <c r="M273" s="2056"/>
      <c r="N273" s="2056"/>
      <c r="O273" s="2056"/>
      <c r="P273" s="2056"/>
      <c r="Q273" s="2056"/>
      <c r="R273" s="2056"/>
      <c r="S273" s="2056"/>
      <c r="T273" s="2056"/>
      <c r="U273" s="2056"/>
      <c r="V273" s="2056"/>
      <c r="W273" s="2056"/>
    </row>
    <row r="274" spans="1:23" s="1708" customFormat="1" ht="12.75" customHeight="1" x14ac:dyDescent="0.2">
      <c r="A274" s="523">
        <v>43862</v>
      </c>
      <c r="B274" s="1983" t="s">
        <v>9393</v>
      </c>
      <c r="C274" s="1983" t="s">
        <v>9394</v>
      </c>
      <c r="D274" s="1686">
        <v>2.2210648148148149E-2</v>
      </c>
      <c r="E274" s="1489" t="s">
        <v>16844</v>
      </c>
      <c r="F274" s="1489" t="s">
        <v>9737</v>
      </c>
      <c r="G274" s="1578">
        <v>0.59819999999999995</v>
      </c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</row>
    <row r="275" spans="1:23" s="1708" customFormat="1" x14ac:dyDescent="0.2">
      <c r="A275" s="2029">
        <v>43897</v>
      </c>
      <c r="B275" s="1384" t="s">
        <v>4269</v>
      </c>
      <c r="C275" s="1384" t="s">
        <v>4270</v>
      </c>
      <c r="D275" s="2030">
        <v>1.8090277777777778E-2</v>
      </c>
      <c r="E275" s="2031" t="s">
        <v>17216</v>
      </c>
      <c r="F275" s="2048"/>
      <c r="G275" s="2032">
        <v>0.53610000000000002</v>
      </c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</row>
    <row r="276" spans="1:23" s="1708" customFormat="1" x14ac:dyDescent="0.2">
      <c r="A276" s="523">
        <v>43890</v>
      </c>
      <c r="B276" s="1384" t="s">
        <v>4269</v>
      </c>
      <c r="C276" s="1384" t="s">
        <v>4270</v>
      </c>
      <c r="D276" s="1686">
        <v>3.5023148148148144E-2</v>
      </c>
      <c r="E276" s="1489" t="s">
        <v>17149</v>
      </c>
      <c r="F276" s="2058"/>
      <c r="G276" s="1578">
        <v>0.27689999999999998</v>
      </c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</row>
    <row r="277" spans="1:23" s="1708" customFormat="1" x14ac:dyDescent="0.2">
      <c r="A277" s="1526">
        <v>43883</v>
      </c>
      <c r="B277" s="1384" t="s">
        <v>4269</v>
      </c>
      <c r="C277" s="1384" t="s">
        <v>4270</v>
      </c>
      <c r="D277" s="1730">
        <v>2.0347222222222225E-2</v>
      </c>
      <c r="E277" s="80" t="s">
        <v>17094</v>
      </c>
      <c r="F277" s="80" t="s">
        <v>17135</v>
      </c>
      <c r="G277" s="72">
        <v>0.47670000000000001</v>
      </c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</row>
    <row r="278" spans="1:23" s="1708" customFormat="1" ht="12.75" customHeight="1" x14ac:dyDescent="0.2">
      <c r="A278" s="1526">
        <v>43876</v>
      </c>
      <c r="B278" s="1384" t="s">
        <v>4269</v>
      </c>
      <c r="C278" s="1384" t="s">
        <v>4270</v>
      </c>
      <c r="D278" s="1733">
        <v>1.5219907407407409E-2</v>
      </c>
      <c r="E278" s="1489" t="s">
        <v>9500</v>
      </c>
      <c r="F278" s="2064" t="s">
        <v>17023</v>
      </c>
      <c r="G278" s="1578">
        <v>0.63729999999999998</v>
      </c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</row>
    <row r="279" spans="1:23" s="1708" customFormat="1" x14ac:dyDescent="0.2">
      <c r="A279" s="2057">
        <v>43869</v>
      </c>
      <c r="B279" s="1384" t="s">
        <v>4269</v>
      </c>
      <c r="C279" s="1384" t="s">
        <v>4270</v>
      </c>
      <c r="D279" s="1737">
        <v>1.8344907407407407E-2</v>
      </c>
      <c r="E279" s="1489" t="s">
        <v>16915</v>
      </c>
      <c r="F279" s="1489" t="s">
        <v>16944</v>
      </c>
      <c r="G279" s="1578">
        <v>0.52869999999999995</v>
      </c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</row>
    <row r="280" spans="1:23" s="2056" customFormat="1" x14ac:dyDescent="0.2">
      <c r="A280" s="523">
        <v>43862</v>
      </c>
      <c r="B280" s="1384" t="s">
        <v>4269</v>
      </c>
      <c r="C280" s="1384" t="s">
        <v>4270</v>
      </c>
      <c r="D280" s="1686">
        <v>1.4907407407407406E-2</v>
      </c>
      <c r="E280" s="1489" t="s">
        <v>16832</v>
      </c>
      <c r="F280" s="1489"/>
      <c r="G280" s="1578">
        <v>0.65059999999999996</v>
      </c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</row>
    <row r="281" spans="1:23" s="2056" customFormat="1" x14ac:dyDescent="0.2">
      <c r="A281" s="523">
        <v>43855</v>
      </c>
      <c r="B281" s="1384" t="s">
        <v>4269</v>
      </c>
      <c r="C281" s="1384" t="s">
        <v>4270</v>
      </c>
      <c r="D281" s="1686">
        <v>1.4976851851851852E-2</v>
      </c>
      <c r="E281" s="1489" t="s">
        <v>16745</v>
      </c>
      <c r="F281" s="1489"/>
      <c r="G281" s="1578">
        <v>0.64759999999999995</v>
      </c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</row>
    <row r="282" spans="1:23" s="2056" customFormat="1" x14ac:dyDescent="0.2">
      <c r="A282" s="2057">
        <v>43848</v>
      </c>
      <c r="B282" s="1384" t="s">
        <v>4269</v>
      </c>
      <c r="C282" s="1384" t="s">
        <v>4270</v>
      </c>
      <c r="D282" s="1686">
        <v>1.4814814814814814E-2</v>
      </c>
      <c r="E282" s="1489" t="s">
        <v>16664</v>
      </c>
      <c r="F282" s="1489"/>
      <c r="G282" s="1578">
        <v>0.65469999999999995</v>
      </c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</row>
    <row r="283" spans="1:23" s="2056" customFormat="1" x14ac:dyDescent="0.2">
      <c r="A283" s="1886">
        <v>43834</v>
      </c>
      <c r="B283" s="1384" t="s">
        <v>4269</v>
      </c>
      <c r="C283" s="1384" t="s">
        <v>4270</v>
      </c>
      <c r="D283" s="1834">
        <v>1.4849537037037036E-2</v>
      </c>
      <c r="E283" s="1370" t="s">
        <v>16600</v>
      </c>
      <c r="F283" s="1370" t="s">
        <v>16601</v>
      </c>
      <c r="G283" s="1885">
        <v>0.6532</v>
      </c>
      <c r="H283" s="1370"/>
      <c r="I283" s="1370"/>
    </row>
    <row r="284" spans="1:23" s="2056" customFormat="1" x14ac:dyDescent="0.2">
      <c r="A284" s="1729">
        <v>43831</v>
      </c>
      <c r="B284" s="1384" t="s">
        <v>4269</v>
      </c>
      <c r="C284" s="1384" t="s">
        <v>4270</v>
      </c>
      <c r="D284" s="1730">
        <v>1.7303240740740741E-2</v>
      </c>
      <c r="E284" s="80" t="s">
        <v>16510</v>
      </c>
      <c r="F284" s="80"/>
      <c r="G284" s="72">
        <v>0.5605</v>
      </c>
      <c r="H284" s="80"/>
      <c r="I284" s="1708"/>
      <c r="J284" s="1708"/>
      <c r="K284" s="1708"/>
      <c r="L284" s="1708"/>
      <c r="M284" s="1708"/>
      <c r="N284" s="1708"/>
      <c r="O284" s="1708"/>
      <c r="P284" s="1708"/>
      <c r="Q284" s="1708"/>
      <c r="R284" s="1708"/>
      <c r="S284" s="1708"/>
      <c r="T284" s="1708"/>
      <c r="U284" s="1708"/>
      <c r="V284" s="1708"/>
      <c r="W284" s="1708"/>
    </row>
    <row r="285" spans="1:23" s="2056" customFormat="1" x14ac:dyDescent="0.2">
      <c r="A285" s="1729">
        <v>43831</v>
      </c>
      <c r="B285" s="1384" t="s">
        <v>4269</v>
      </c>
      <c r="C285" s="1384" t="s">
        <v>4270</v>
      </c>
      <c r="D285" s="1730">
        <v>1.5520833333333334E-2</v>
      </c>
      <c r="E285" s="80" t="s">
        <v>16521</v>
      </c>
      <c r="F285" s="80" t="s">
        <v>16540</v>
      </c>
      <c r="G285" s="72">
        <v>0.62490000000000001</v>
      </c>
      <c r="H285" s="80"/>
      <c r="I285" s="1708"/>
      <c r="J285" s="1708"/>
      <c r="K285" s="1708"/>
      <c r="L285" s="1708"/>
      <c r="M285" s="1708"/>
      <c r="N285" s="1708"/>
      <c r="O285" s="1708"/>
      <c r="P285" s="1708"/>
      <c r="Q285" s="1708"/>
      <c r="R285" s="1708"/>
      <c r="S285" s="1708"/>
      <c r="T285" s="1708"/>
      <c r="U285" s="1708"/>
      <c r="V285" s="1708"/>
      <c r="W285" s="1708"/>
    </row>
    <row r="286" spans="1:23" s="2056" customFormat="1" x14ac:dyDescent="0.2">
      <c r="A286" s="1526">
        <v>43876</v>
      </c>
      <c r="B286" s="1384" t="s">
        <v>726</v>
      </c>
      <c r="C286" s="1384" t="s">
        <v>1295</v>
      </c>
      <c r="D286" s="1686">
        <v>2.011574074074074E-2</v>
      </c>
      <c r="E286" s="1489" t="s">
        <v>17002</v>
      </c>
      <c r="F286" s="1489" t="s">
        <v>17051</v>
      </c>
      <c r="G286" s="1578">
        <v>0.57879999999999998</v>
      </c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</row>
    <row r="287" spans="1:23" s="2056" customFormat="1" x14ac:dyDescent="0.2">
      <c r="A287" s="2057">
        <v>43869</v>
      </c>
      <c r="B287" s="1384" t="s">
        <v>726</v>
      </c>
      <c r="C287" s="1384" t="s">
        <v>1295</v>
      </c>
      <c r="D287" s="1737">
        <v>2.0520833333333332E-2</v>
      </c>
      <c r="E287" s="1489" t="s">
        <v>16899</v>
      </c>
      <c r="F287" s="1489" t="s">
        <v>16934</v>
      </c>
      <c r="G287" s="1578">
        <v>0.56740000000000002</v>
      </c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</row>
    <row r="288" spans="1:23" s="2056" customFormat="1" x14ac:dyDescent="0.2">
      <c r="A288" s="523">
        <v>43862</v>
      </c>
      <c r="B288" s="1384" t="s">
        <v>726</v>
      </c>
      <c r="C288" s="1384" t="s">
        <v>1295</v>
      </c>
      <c r="D288" s="1686">
        <v>2.0254629629629633E-2</v>
      </c>
      <c r="E288" s="1489" t="s">
        <v>16843</v>
      </c>
      <c r="F288" s="1489"/>
      <c r="G288" s="1578">
        <v>0.57489999999999997</v>
      </c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</row>
    <row r="289" spans="1:23" s="2056" customFormat="1" x14ac:dyDescent="0.2">
      <c r="A289" s="523">
        <v>43855</v>
      </c>
      <c r="B289" s="1384" t="s">
        <v>726</v>
      </c>
      <c r="C289" s="1384" t="s">
        <v>1295</v>
      </c>
      <c r="D289" s="1686">
        <v>1.9409722222222221E-2</v>
      </c>
      <c r="E289" s="1489" t="s">
        <v>16760</v>
      </c>
      <c r="F289" s="1489" t="s">
        <v>16788</v>
      </c>
      <c r="G289" s="1578">
        <v>0.59989999999999999</v>
      </c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</row>
    <row r="290" spans="1:23" s="2056" customFormat="1" x14ac:dyDescent="0.2">
      <c r="A290" s="2057">
        <v>43848</v>
      </c>
      <c r="B290" s="1384" t="s">
        <v>726</v>
      </c>
      <c r="C290" s="1384" t="s">
        <v>1295</v>
      </c>
      <c r="D290" s="1686" t="s">
        <v>787</v>
      </c>
      <c r="E290" s="1489" t="s">
        <v>16765</v>
      </c>
      <c r="F290" s="1489" t="s">
        <v>94</v>
      </c>
      <c r="G290" s="1578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</row>
    <row r="291" spans="1:23" s="2056" customFormat="1" x14ac:dyDescent="0.2">
      <c r="A291" s="2057">
        <v>43841</v>
      </c>
      <c r="B291" s="1384" t="s">
        <v>726</v>
      </c>
      <c r="C291" s="1384" t="s">
        <v>1295</v>
      </c>
      <c r="D291" s="1727">
        <v>2.0497685185185185E-2</v>
      </c>
      <c r="E291" s="1728" t="s">
        <v>16695</v>
      </c>
      <c r="F291" s="1568"/>
      <c r="G291" s="1897">
        <v>0.56799999999999995</v>
      </c>
      <c r="H291" s="1370"/>
      <c r="I291" s="1370"/>
      <c r="J291" s="1370"/>
      <c r="K291" s="1370"/>
      <c r="L291" s="1370"/>
      <c r="M291" s="1370"/>
      <c r="N291" s="1370"/>
      <c r="O291" s="1370"/>
      <c r="P291" s="1370"/>
      <c r="Q291" s="1370"/>
      <c r="R291" s="1370"/>
      <c r="S291" s="1370"/>
      <c r="T291" s="1370"/>
      <c r="U291" s="1370"/>
      <c r="V291" s="1370"/>
      <c r="W291" s="1370"/>
    </row>
    <row r="292" spans="1:23" s="2056" customFormat="1" x14ac:dyDescent="0.2">
      <c r="A292" s="1886">
        <v>43834</v>
      </c>
      <c r="B292" s="1384" t="s">
        <v>726</v>
      </c>
      <c r="C292" s="1384" t="s">
        <v>1295</v>
      </c>
      <c r="D292" s="1834">
        <v>1.7638888888888888E-2</v>
      </c>
      <c r="E292" s="1370" t="s">
        <v>16621</v>
      </c>
      <c r="F292" s="1370" t="s">
        <v>16622</v>
      </c>
      <c r="G292" s="1885">
        <v>0.66010000000000002</v>
      </c>
      <c r="H292" s="1370"/>
      <c r="I292" s="1370"/>
    </row>
    <row r="293" spans="1:23" s="2056" customFormat="1" x14ac:dyDescent="0.2">
      <c r="A293" s="1729">
        <v>43831</v>
      </c>
      <c r="B293" s="1384" t="s">
        <v>726</v>
      </c>
      <c r="C293" s="1384" t="s">
        <v>1295</v>
      </c>
      <c r="D293" s="1730">
        <v>1.7303240740740741E-2</v>
      </c>
      <c r="E293" s="80" t="s">
        <v>16519</v>
      </c>
      <c r="F293" s="80" t="s">
        <v>16556</v>
      </c>
      <c r="G293" s="72">
        <v>0.67290000000000005</v>
      </c>
      <c r="H293" s="80" t="s">
        <v>12776</v>
      </c>
      <c r="I293" s="1708"/>
      <c r="J293" s="1708"/>
      <c r="K293" s="1708"/>
      <c r="L293" s="1708"/>
      <c r="M293" s="1708"/>
      <c r="N293" s="1708"/>
      <c r="O293" s="1708"/>
      <c r="P293" s="1708"/>
      <c r="Q293" s="1708"/>
      <c r="R293" s="1708"/>
      <c r="S293" s="1708"/>
      <c r="T293" s="1708"/>
      <c r="U293" s="1708"/>
      <c r="V293" s="1708"/>
      <c r="W293" s="1708"/>
    </row>
    <row r="294" spans="1:23" s="2056" customFormat="1" x14ac:dyDescent="0.2">
      <c r="A294" s="1729">
        <v>43831</v>
      </c>
      <c r="B294" s="1384" t="s">
        <v>726</v>
      </c>
      <c r="C294" s="1384" t="s">
        <v>1295</v>
      </c>
      <c r="D294" s="1730">
        <v>1.8206018518518517E-2</v>
      </c>
      <c r="E294" s="80" t="s">
        <v>16505</v>
      </c>
      <c r="F294" s="80" t="s">
        <v>16554</v>
      </c>
      <c r="G294" s="72">
        <v>0.63949999999999996</v>
      </c>
      <c r="H294" s="80"/>
      <c r="I294" s="1708"/>
      <c r="J294" s="1708"/>
      <c r="K294" s="1708"/>
      <c r="L294" s="1708"/>
      <c r="M294" s="1708"/>
      <c r="N294" s="1708"/>
      <c r="O294" s="1708"/>
      <c r="P294" s="1708"/>
      <c r="Q294" s="1708"/>
      <c r="R294" s="1708"/>
      <c r="S294" s="1708"/>
      <c r="T294" s="1708"/>
      <c r="U294" s="1708"/>
      <c r="V294" s="1708"/>
      <c r="W294" s="1708"/>
    </row>
    <row r="295" spans="1:23" s="2056" customFormat="1" x14ac:dyDescent="0.2">
      <c r="A295" s="1526">
        <v>43883</v>
      </c>
      <c r="B295" s="1370" t="s">
        <v>2754</v>
      </c>
      <c r="C295" s="1370" t="s">
        <v>1295</v>
      </c>
      <c r="D295" s="1730">
        <v>1.8749999999999999E-2</v>
      </c>
      <c r="E295" s="80" t="s">
        <v>17113</v>
      </c>
      <c r="F295" s="80" t="s">
        <v>17134</v>
      </c>
      <c r="G295" s="72">
        <v>0.621</v>
      </c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</row>
    <row r="296" spans="1:23" s="2056" customFormat="1" ht="12.75" customHeight="1" x14ac:dyDescent="0.2">
      <c r="A296" s="2029">
        <v>43904</v>
      </c>
      <c r="B296" s="2055" t="s">
        <v>8318</v>
      </c>
      <c r="C296" s="2055" t="s">
        <v>1295</v>
      </c>
      <c r="D296" s="2061" t="s">
        <v>787</v>
      </c>
      <c r="E296" s="2055" t="s">
        <v>17282</v>
      </c>
      <c r="F296" s="2048" t="s">
        <v>16733</v>
      </c>
      <c r="G296" s="2063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</row>
    <row r="297" spans="1:23" s="2056" customFormat="1" ht="12.75" customHeight="1" x14ac:dyDescent="0.2">
      <c r="A297" s="2029">
        <v>43897</v>
      </c>
      <c r="B297" s="2031" t="s">
        <v>8318</v>
      </c>
      <c r="C297" s="2034" t="s">
        <v>1295</v>
      </c>
      <c r="D297" s="2030" t="s">
        <v>787</v>
      </c>
      <c r="E297" s="2031" t="s">
        <v>17212</v>
      </c>
      <c r="F297" s="2048" t="s">
        <v>94</v>
      </c>
      <c r="G297" s="2032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</row>
    <row r="298" spans="1:23" s="2056" customFormat="1" x14ac:dyDescent="0.2">
      <c r="A298" s="523">
        <v>43855</v>
      </c>
      <c r="B298" s="1384" t="s">
        <v>3508</v>
      </c>
      <c r="C298" s="1384" t="s">
        <v>1295</v>
      </c>
      <c r="D298" s="1686">
        <v>1.6469907407407405E-2</v>
      </c>
      <c r="E298" s="1489" t="s">
        <v>16740</v>
      </c>
      <c r="F298" s="1489" t="s">
        <v>16786</v>
      </c>
      <c r="G298" s="1578">
        <v>0.63180000000000003</v>
      </c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</row>
    <row r="299" spans="1:23" s="2056" customFormat="1" x14ac:dyDescent="0.2">
      <c r="A299" s="2057">
        <v>43841</v>
      </c>
      <c r="B299" s="1895" t="s">
        <v>3508</v>
      </c>
      <c r="C299" s="1895" t="s">
        <v>1295</v>
      </c>
      <c r="D299" s="1727">
        <v>1.8333333333333333E-2</v>
      </c>
      <c r="E299" s="1728" t="s">
        <v>16695</v>
      </c>
      <c r="F299" s="1728" t="s">
        <v>2629</v>
      </c>
      <c r="G299" s="1897">
        <v>0.56759999999999999</v>
      </c>
      <c r="H299" s="1370"/>
      <c r="I299" s="1370"/>
      <c r="J299" s="1370"/>
      <c r="K299" s="1370"/>
      <c r="L299" s="1370"/>
      <c r="M299" s="1370"/>
      <c r="N299" s="1370"/>
      <c r="O299" s="1370"/>
      <c r="P299" s="1370"/>
      <c r="Q299" s="1370"/>
      <c r="R299" s="1370"/>
      <c r="S299" s="1370"/>
      <c r="T299" s="1370"/>
      <c r="U299" s="1370"/>
      <c r="V299" s="1370"/>
      <c r="W299" s="1370"/>
    </row>
    <row r="300" spans="1:23" s="2056" customFormat="1" x14ac:dyDescent="0.2">
      <c r="A300" s="523">
        <v>43862</v>
      </c>
      <c r="B300" s="1489" t="s">
        <v>3999</v>
      </c>
      <c r="C300" s="1489" t="s">
        <v>1295</v>
      </c>
      <c r="D300" s="1686" t="s">
        <v>787</v>
      </c>
      <c r="E300" s="1489" t="s">
        <v>16829</v>
      </c>
      <c r="F300" s="1489" t="s">
        <v>4185</v>
      </c>
      <c r="G300" s="1578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</row>
    <row r="301" spans="1:23" s="2056" customFormat="1" x14ac:dyDescent="0.2">
      <c r="A301" s="1886">
        <v>43834</v>
      </c>
      <c r="B301" s="1886" t="s">
        <v>3999</v>
      </c>
      <c r="C301" s="1370" t="s">
        <v>1295</v>
      </c>
      <c r="D301" s="1834">
        <v>1.6701388888888887E-2</v>
      </c>
      <c r="E301" s="1370" t="s">
        <v>16621</v>
      </c>
      <c r="F301" s="1370" t="s">
        <v>16622</v>
      </c>
      <c r="G301" s="1885">
        <v>0.623</v>
      </c>
      <c r="H301" s="1370"/>
      <c r="I301" s="1370"/>
    </row>
    <row r="302" spans="1:23" s="2056" customFormat="1" x14ac:dyDescent="0.2">
      <c r="A302" s="1729">
        <v>43831</v>
      </c>
      <c r="B302" s="1370" t="s">
        <v>3999</v>
      </c>
      <c r="C302" s="1370" t="s">
        <v>1295</v>
      </c>
      <c r="D302" s="1730">
        <v>1.6666666666666666E-2</v>
      </c>
      <c r="E302" s="80" t="s">
        <v>16519</v>
      </c>
      <c r="F302" s="80" t="s">
        <v>16555</v>
      </c>
      <c r="G302" s="72">
        <v>0.62429999999999997</v>
      </c>
      <c r="H302" s="80"/>
      <c r="I302" s="1708"/>
      <c r="J302" s="1708"/>
      <c r="K302" s="1708"/>
      <c r="L302" s="1708"/>
      <c r="M302" s="1708"/>
      <c r="N302" s="1708"/>
      <c r="O302" s="1708"/>
      <c r="P302" s="1708"/>
      <c r="Q302" s="1708"/>
      <c r="R302" s="1708"/>
      <c r="S302" s="1708"/>
      <c r="T302" s="1708"/>
      <c r="U302" s="1708"/>
      <c r="V302" s="1708"/>
      <c r="W302" s="1708"/>
    </row>
    <row r="303" spans="1:23" s="2056" customFormat="1" ht="12.75" customHeight="1" x14ac:dyDescent="0.2">
      <c r="A303" s="2029">
        <v>43904</v>
      </c>
      <c r="B303" s="2049" t="s">
        <v>13280</v>
      </c>
      <c r="C303" s="2049" t="s">
        <v>1295</v>
      </c>
      <c r="D303" s="2061" t="s">
        <v>787</v>
      </c>
      <c r="E303" s="2055" t="s">
        <v>17282</v>
      </c>
      <c r="F303" s="2047" t="s">
        <v>94</v>
      </c>
      <c r="G303" s="2062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</row>
    <row r="304" spans="1:23" s="2056" customFormat="1" x14ac:dyDescent="0.2">
      <c r="A304" s="2029">
        <v>43897</v>
      </c>
      <c r="B304" s="2035" t="s">
        <v>13280</v>
      </c>
      <c r="C304" s="2037" t="s">
        <v>1295</v>
      </c>
      <c r="D304" s="2030">
        <v>1.6412037037037037E-2</v>
      </c>
      <c r="E304" s="2031" t="s">
        <v>17212</v>
      </c>
      <c r="F304" s="2024" t="s">
        <v>17202</v>
      </c>
      <c r="G304" s="2033">
        <v>0.63400000000000001</v>
      </c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</row>
    <row r="305" spans="1:23" s="2056" customFormat="1" x14ac:dyDescent="0.2">
      <c r="A305" s="523">
        <v>43890</v>
      </c>
      <c r="B305" s="1489" t="s">
        <v>13280</v>
      </c>
      <c r="C305" s="1489" t="s">
        <v>1295</v>
      </c>
      <c r="D305" s="1686">
        <v>1.6550925925925924E-2</v>
      </c>
      <c r="E305" s="1489" t="s">
        <v>16982</v>
      </c>
      <c r="F305" s="1489"/>
      <c r="G305" s="1578">
        <v>0.62870000000000004</v>
      </c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</row>
    <row r="306" spans="1:23" s="2056" customFormat="1" x14ac:dyDescent="0.2">
      <c r="A306" s="1526">
        <v>43883</v>
      </c>
      <c r="B306" s="1370" t="s">
        <v>13280</v>
      </c>
      <c r="C306" s="1370" t="s">
        <v>1295</v>
      </c>
      <c r="D306" s="1730">
        <v>1.7673611111111109E-2</v>
      </c>
      <c r="E306" s="80" t="s">
        <v>17113</v>
      </c>
      <c r="F306" s="80"/>
      <c r="G306" s="72">
        <v>0.5887</v>
      </c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</row>
    <row r="307" spans="1:23" s="2056" customFormat="1" x14ac:dyDescent="0.2">
      <c r="A307" s="1526">
        <v>43876</v>
      </c>
      <c r="B307" s="1489" t="s">
        <v>13280</v>
      </c>
      <c r="C307" s="1489" t="s">
        <v>1295</v>
      </c>
      <c r="D307" s="1686">
        <v>1.8506944444444444E-2</v>
      </c>
      <c r="E307" s="1489" t="s">
        <v>17002</v>
      </c>
      <c r="F307" s="1489" t="s">
        <v>17051</v>
      </c>
      <c r="G307" s="1578">
        <v>0.56220000000000003</v>
      </c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</row>
    <row r="308" spans="1:23" s="2056" customFormat="1" x14ac:dyDescent="0.2">
      <c r="A308" s="2057">
        <v>43869</v>
      </c>
      <c r="B308" s="1489" t="s">
        <v>13280</v>
      </c>
      <c r="C308" s="1489" t="s">
        <v>1295</v>
      </c>
      <c r="D308" s="1737">
        <v>1.8078703703703704E-2</v>
      </c>
      <c r="E308" s="1489" t="s">
        <v>16899</v>
      </c>
      <c r="F308" s="1489" t="s">
        <v>16933</v>
      </c>
      <c r="G308" s="1578">
        <v>0.57550000000000001</v>
      </c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</row>
    <row r="309" spans="1:23" s="2056" customFormat="1" x14ac:dyDescent="0.2">
      <c r="A309" s="2057">
        <v>43848</v>
      </c>
      <c r="B309" s="1489" t="s">
        <v>13280</v>
      </c>
      <c r="C309" s="1489" t="s">
        <v>1295</v>
      </c>
      <c r="D309" s="1686">
        <v>1.6377314814814813E-2</v>
      </c>
      <c r="E309" s="1489" t="s">
        <v>16765</v>
      </c>
      <c r="F309" s="1489" t="s">
        <v>16687</v>
      </c>
      <c r="G309" s="1578">
        <v>0.63529999999999998</v>
      </c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</row>
    <row r="310" spans="1:23" s="2056" customFormat="1" x14ac:dyDescent="0.2">
      <c r="A310" s="1729">
        <v>43831</v>
      </c>
      <c r="B310" s="1370" t="s">
        <v>13280</v>
      </c>
      <c r="C310" s="1370" t="s">
        <v>1295</v>
      </c>
      <c r="D310" s="1730">
        <v>1.7812499999999998E-2</v>
      </c>
      <c r="E310" s="80" t="s">
        <v>16505</v>
      </c>
      <c r="F310" s="80" t="s">
        <v>16553</v>
      </c>
      <c r="G310" s="72">
        <v>0.58409999999999995</v>
      </c>
      <c r="H310" s="80"/>
      <c r="I310" s="1708"/>
      <c r="J310" s="1708"/>
      <c r="K310" s="1708"/>
      <c r="L310" s="1708"/>
      <c r="M310" s="1708"/>
      <c r="N310" s="1708"/>
      <c r="O310" s="1708"/>
      <c r="P310" s="1708"/>
      <c r="Q310" s="1708"/>
      <c r="R310" s="1708"/>
      <c r="S310" s="1708"/>
      <c r="T310" s="1708"/>
      <c r="U310" s="1708"/>
      <c r="V310" s="1708"/>
      <c r="W310" s="1708"/>
    </row>
    <row r="311" spans="1:23" s="2056" customFormat="1" x14ac:dyDescent="0.2">
      <c r="A311" s="523">
        <v>43855</v>
      </c>
      <c r="B311" s="1384" t="s">
        <v>866</v>
      </c>
      <c r="C311" s="1384" t="s">
        <v>867</v>
      </c>
      <c r="D311" s="1686">
        <v>2.2442129629629635E-2</v>
      </c>
      <c r="E311" s="1489" t="s">
        <v>16750</v>
      </c>
      <c r="F311" s="1489"/>
      <c r="G311" s="1578">
        <v>0.60860000000000003</v>
      </c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</row>
    <row r="312" spans="1:23" s="2056" customFormat="1" x14ac:dyDescent="0.2">
      <c r="A312" s="2057">
        <v>43841</v>
      </c>
      <c r="B312" s="1895" t="s">
        <v>866</v>
      </c>
      <c r="C312" s="1895" t="s">
        <v>867</v>
      </c>
      <c r="D312" s="1727">
        <v>2.1666666666666667E-2</v>
      </c>
      <c r="E312" s="1728" t="s">
        <v>13177</v>
      </c>
      <c r="F312" s="1568"/>
      <c r="G312" s="1897">
        <v>0.63029999999999997</v>
      </c>
      <c r="H312" s="1370"/>
      <c r="I312" s="1370"/>
      <c r="J312" s="1370"/>
      <c r="K312" s="1370"/>
      <c r="L312" s="1370"/>
      <c r="M312" s="1370"/>
      <c r="N312" s="1370"/>
      <c r="O312" s="1370"/>
      <c r="P312" s="1370"/>
      <c r="Q312" s="1370"/>
      <c r="R312" s="1370"/>
      <c r="S312" s="1370"/>
      <c r="T312" s="1370"/>
      <c r="U312" s="1370"/>
      <c r="V312" s="1370"/>
      <c r="W312" s="1370"/>
    </row>
    <row r="313" spans="1:23" s="2056" customFormat="1" x14ac:dyDescent="0.2">
      <c r="A313" s="2057">
        <v>43869</v>
      </c>
      <c r="B313" s="1489" t="s">
        <v>1296</v>
      </c>
      <c r="C313" s="1489" t="s">
        <v>867</v>
      </c>
      <c r="D313" s="1737">
        <v>2.1250000000000002E-2</v>
      </c>
      <c r="E313" s="1489" t="s">
        <v>16911</v>
      </c>
      <c r="F313" s="1489"/>
      <c r="G313" s="1578">
        <v>0.65629999999999999</v>
      </c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</row>
    <row r="314" spans="1:23" s="2056" customFormat="1" x14ac:dyDescent="0.2">
      <c r="A314" s="523">
        <v>43862</v>
      </c>
      <c r="B314" s="1489" t="s">
        <v>1296</v>
      </c>
      <c r="C314" s="1489" t="s">
        <v>867</v>
      </c>
      <c r="D314" s="1686">
        <v>2.222222222222222E-2</v>
      </c>
      <c r="E314" s="1489" t="s">
        <v>16838</v>
      </c>
      <c r="F314" s="1489"/>
      <c r="G314" s="1578">
        <v>0.61460000000000004</v>
      </c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</row>
    <row r="315" spans="1:23" s="2056" customFormat="1" x14ac:dyDescent="0.2">
      <c r="A315" s="1886">
        <v>43834</v>
      </c>
      <c r="B315" s="1886" t="s">
        <v>1296</v>
      </c>
      <c r="C315" s="1370" t="s">
        <v>867</v>
      </c>
      <c r="D315" s="1834">
        <v>2.0682870370370372E-2</v>
      </c>
      <c r="E315" s="1370" t="s">
        <v>16590</v>
      </c>
      <c r="F315" s="1370" t="s">
        <v>16642</v>
      </c>
      <c r="G315" s="1885">
        <v>0.6603</v>
      </c>
      <c r="H315" s="1370"/>
      <c r="I315" s="1370"/>
    </row>
    <row r="316" spans="1:23" s="2056" customFormat="1" x14ac:dyDescent="0.2">
      <c r="A316" s="1526">
        <v>43876</v>
      </c>
      <c r="B316" s="1489" t="s">
        <v>13275</v>
      </c>
      <c r="C316" s="1489" t="s">
        <v>867</v>
      </c>
      <c r="D316" s="1686">
        <v>2.2847222222222224E-2</v>
      </c>
      <c r="E316" s="1489" t="s">
        <v>17004</v>
      </c>
      <c r="F316" s="1489" t="s">
        <v>17066</v>
      </c>
      <c r="G316" s="1578">
        <v>0.61040000000000005</v>
      </c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</row>
    <row r="317" spans="1:23" s="2056" customFormat="1" x14ac:dyDescent="0.2">
      <c r="A317" s="2057">
        <v>43848</v>
      </c>
      <c r="B317" s="1489" t="s">
        <v>13275</v>
      </c>
      <c r="C317" s="1489" t="s">
        <v>867</v>
      </c>
      <c r="D317" s="1686">
        <v>2.1539351851851851E-2</v>
      </c>
      <c r="E317" s="1489" t="s">
        <v>16667</v>
      </c>
      <c r="F317" s="1489"/>
      <c r="G317" s="1578">
        <v>0.6341</v>
      </c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</row>
    <row r="318" spans="1:23" s="2056" customFormat="1" x14ac:dyDescent="0.2">
      <c r="A318" s="523">
        <v>43855</v>
      </c>
      <c r="B318" s="1384" t="s">
        <v>3508</v>
      </c>
      <c r="C318" s="1384" t="s">
        <v>3632</v>
      </c>
      <c r="D318" s="1686">
        <v>1.8217592592592594E-2</v>
      </c>
      <c r="E318" s="1489" t="s">
        <v>16740</v>
      </c>
      <c r="F318" s="1489" t="s">
        <v>16729</v>
      </c>
      <c r="G318" s="1578">
        <v>0.59589999999999999</v>
      </c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</row>
    <row r="319" spans="1:23" s="2056" customFormat="1" x14ac:dyDescent="0.2">
      <c r="A319" s="2057">
        <v>43841</v>
      </c>
      <c r="B319" s="1895" t="s">
        <v>3508</v>
      </c>
      <c r="C319" s="1895" t="s">
        <v>3632</v>
      </c>
      <c r="D319" s="1727">
        <v>1.8055555555555557E-2</v>
      </c>
      <c r="E319" s="1728" t="s">
        <v>9497</v>
      </c>
      <c r="F319" s="1728" t="s">
        <v>16692</v>
      </c>
      <c r="G319" s="1897">
        <v>0.60129999999999995</v>
      </c>
      <c r="H319" s="1370"/>
      <c r="I319" s="1370"/>
      <c r="J319" s="1370"/>
      <c r="K319" s="1370"/>
      <c r="L319" s="1370"/>
      <c r="M319" s="1370"/>
      <c r="N319" s="1370"/>
      <c r="O319" s="1370"/>
      <c r="P319" s="1370"/>
      <c r="Q319" s="1370"/>
      <c r="R319" s="1370"/>
      <c r="S319" s="1370"/>
      <c r="T319" s="1370"/>
      <c r="U319" s="1370"/>
      <c r="V319" s="1370"/>
      <c r="W319" s="1370"/>
    </row>
    <row r="320" spans="1:23" s="1370" customFormat="1" ht="12.75" customHeight="1" x14ac:dyDescent="0.2">
      <c r="A320" s="1886">
        <v>43834</v>
      </c>
      <c r="B320" s="1886" t="s">
        <v>3999</v>
      </c>
      <c r="C320" s="1370" t="s">
        <v>3632</v>
      </c>
      <c r="D320" s="1834">
        <v>1.8275462962962962E-2</v>
      </c>
      <c r="E320" s="1370" t="s">
        <v>16590</v>
      </c>
      <c r="F320" s="1370" t="s">
        <v>16641</v>
      </c>
      <c r="G320" s="1885">
        <v>0.59399999999999997</v>
      </c>
      <c r="J320" s="2056"/>
      <c r="K320" s="2056"/>
      <c r="L320" s="2056"/>
      <c r="M320" s="2056"/>
      <c r="N320" s="2056"/>
      <c r="O320" s="2056"/>
      <c r="P320" s="2056"/>
      <c r="Q320" s="2056"/>
      <c r="R320" s="2056"/>
      <c r="S320" s="2056"/>
      <c r="T320" s="2056"/>
      <c r="U320" s="2056"/>
      <c r="V320" s="2056"/>
      <c r="W320" s="2056"/>
    </row>
    <row r="321" spans="1:23" s="1370" customFormat="1" ht="12.75" customHeight="1" x14ac:dyDescent="0.2">
      <c r="A321" s="1729">
        <v>43831</v>
      </c>
      <c r="B321" s="1370" t="s">
        <v>3999</v>
      </c>
      <c r="C321" s="1370" t="s">
        <v>3632</v>
      </c>
      <c r="D321" s="1730">
        <v>1.7175925925925928E-2</v>
      </c>
      <c r="E321" s="80" t="s">
        <v>16514</v>
      </c>
      <c r="F321" s="80" t="s">
        <v>16559</v>
      </c>
      <c r="G321" s="72">
        <v>0.6321</v>
      </c>
      <c r="H321" s="80"/>
      <c r="I321" s="1708"/>
      <c r="J321" s="1708"/>
      <c r="K321" s="1708"/>
      <c r="L321" s="1708"/>
      <c r="M321" s="1708"/>
      <c r="N321" s="1708"/>
      <c r="O321" s="1708"/>
      <c r="P321" s="1708"/>
      <c r="Q321" s="1708"/>
      <c r="R321" s="1708"/>
      <c r="S321" s="1708"/>
      <c r="T321" s="1708"/>
      <c r="U321" s="1708"/>
      <c r="V321" s="1708"/>
      <c r="W321" s="1708"/>
    </row>
    <row r="322" spans="1:23" s="1370" customFormat="1" ht="12.75" customHeight="1" x14ac:dyDescent="0.2">
      <c r="A322" s="2029">
        <v>43904</v>
      </c>
      <c r="B322" s="2055" t="s">
        <v>13280</v>
      </c>
      <c r="C322" s="2055" t="s">
        <v>3632</v>
      </c>
      <c r="D322" s="2061">
        <v>1.8483796296296297E-2</v>
      </c>
      <c r="E322" s="2055" t="s">
        <v>17285</v>
      </c>
      <c r="F322" s="2047"/>
      <c r="G322" s="2063">
        <v>0.58740000000000003</v>
      </c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</row>
    <row r="323" spans="1:23" s="1370" customFormat="1" ht="12.75" customHeight="1" x14ac:dyDescent="0.2">
      <c r="A323" s="2029">
        <v>43897</v>
      </c>
      <c r="B323" s="2031" t="s">
        <v>13280</v>
      </c>
      <c r="C323" s="2034" t="s">
        <v>3632</v>
      </c>
      <c r="D323" s="2030">
        <v>2.1064814814814814E-2</v>
      </c>
      <c r="E323" s="2031" t="s">
        <v>17215</v>
      </c>
      <c r="F323" s="2024"/>
      <c r="G323" s="2032">
        <v>0.51539999999999997</v>
      </c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</row>
    <row r="324" spans="1:23" s="1370" customFormat="1" ht="12.75" customHeight="1" x14ac:dyDescent="0.2">
      <c r="A324" s="523">
        <v>43890</v>
      </c>
      <c r="B324" s="1489" t="s">
        <v>13280</v>
      </c>
      <c r="C324" s="1489" t="s">
        <v>3632</v>
      </c>
      <c r="D324" s="1686">
        <v>3.6562500000000005E-2</v>
      </c>
      <c r="E324" s="1489" t="s">
        <v>17146</v>
      </c>
      <c r="F324" s="1489" t="s">
        <v>17141</v>
      </c>
      <c r="G324" s="1578">
        <v>0.2969</v>
      </c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</row>
    <row r="325" spans="1:23" s="1370" customFormat="1" ht="12.75" customHeight="1" x14ac:dyDescent="0.2">
      <c r="A325" s="1526">
        <v>43876</v>
      </c>
      <c r="B325" s="1489" t="s">
        <v>13280</v>
      </c>
      <c r="C325" s="1489" t="s">
        <v>3632</v>
      </c>
      <c r="D325" s="1686">
        <v>1.8912037037037036E-2</v>
      </c>
      <c r="E325" s="1489" t="s">
        <v>16997</v>
      </c>
      <c r="F325" s="1489" t="s">
        <v>17047</v>
      </c>
      <c r="G325" s="1578">
        <v>0.57410000000000005</v>
      </c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</row>
    <row r="326" spans="1:23" s="1370" customFormat="1" ht="12.75" customHeight="1" x14ac:dyDescent="0.2">
      <c r="A326" s="2057">
        <v>43869</v>
      </c>
      <c r="B326" s="1489" t="s">
        <v>13280</v>
      </c>
      <c r="C326" s="1489" t="s">
        <v>3632</v>
      </c>
      <c r="D326" s="1737">
        <v>1.9374999999999996E-2</v>
      </c>
      <c r="E326" s="1489" t="s">
        <v>16902</v>
      </c>
      <c r="F326" s="1489"/>
      <c r="G326" s="1578">
        <v>0.56030000000000002</v>
      </c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</row>
    <row r="327" spans="1:23" s="1370" customFormat="1" ht="12.75" customHeight="1" x14ac:dyDescent="0.2">
      <c r="A327" s="2057">
        <v>43848</v>
      </c>
      <c r="B327" s="1489" t="s">
        <v>13280</v>
      </c>
      <c r="C327" s="1489" t="s">
        <v>3632</v>
      </c>
      <c r="D327" s="1686">
        <v>1.8090277777777778E-2</v>
      </c>
      <c r="E327" s="1489" t="s">
        <v>16662</v>
      </c>
      <c r="F327" s="1489"/>
      <c r="G327" s="1578">
        <v>0.60009999999999997</v>
      </c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</row>
    <row r="328" spans="1:23" s="1370" customFormat="1" ht="12.75" customHeight="1" x14ac:dyDescent="0.2">
      <c r="A328" s="1729">
        <v>43831</v>
      </c>
      <c r="B328" s="1370" t="s">
        <v>13280</v>
      </c>
      <c r="C328" s="1370" t="s">
        <v>3632</v>
      </c>
      <c r="D328" s="1730">
        <v>1.6944444444444443E-2</v>
      </c>
      <c r="E328" s="80" t="s">
        <v>16503</v>
      </c>
      <c r="F328" s="80" t="s">
        <v>16558</v>
      </c>
      <c r="G328" s="72">
        <v>0.64070000000000005</v>
      </c>
      <c r="H328" s="80"/>
      <c r="I328" s="1708"/>
      <c r="J328" s="1708"/>
      <c r="K328" s="1708"/>
      <c r="L328" s="1708"/>
      <c r="M328" s="1708"/>
      <c r="N328" s="1708"/>
      <c r="O328" s="1708"/>
      <c r="P328" s="1708"/>
      <c r="Q328" s="1708"/>
      <c r="R328" s="1708"/>
      <c r="S328" s="1708"/>
      <c r="T328" s="1708"/>
      <c r="U328" s="1708"/>
      <c r="V328" s="1708"/>
      <c r="W328" s="1708"/>
    </row>
    <row r="329" spans="1:23" s="1370" customFormat="1" ht="12.75" customHeight="1" x14ac:dyDescent="0.2">
      <c r="A329" s="1526">
        <v>43883</v>
      </c>
      <c r="B329" s="1370" t="s">
        <v>17084</v>
      </c>
      <c r="C329" s="1370" t="s">
        <v>11025</v>
      </c>
      <c r="D329" s="1730">
        <v>2.6782407407407408E-2</v>
      </c>
      <c r="E329" s="80" t="s">
        <v>17104</v>
      </c>
      <c r="F329" s="80" t="s">
        <v>17123</v>
      </c>
      <c r="G329" s="72">
        <v>0.39019999999999999</v>
      </c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</row>
    <row r="330" spans="1:23" s="1370" customFormat="1" ht="12.75" customHeight="1" x14ac:dyDescent="0.2">
      <c r="A330" s="1886">
        <v>43834</v>
      </c>
      <c r="B330" s="1886" t="s">
        <v>3535</v>
      </c>
      <c r="C330" s="1370" t="s">
        <v>11025</v>
      </c>
      <c r="D330" s="1834">
        <v>1.5127314814814816E-2</v>
      </c>
      <c r="E330" s="1370" t="s">
        <v>16623</v>
      </c>
      <c r="F330" s="1370" t="s">
        <v>16624</v>
      </c>
      <c r="G330" s="1885">
        <v>0.62660000000000005</v>
      </c>
      <c r="J330" s="2056"/>
      <c r="K330" s="2056"/>
      <c r="L330" s="2056"/>
      <c r="M330" s="2056"/>
      <c r="N330" s="2056"/>
      <c r="O330" s="2056"/>
      <c r="P330" s="2056"/>
      <c r="Q330" s="2056"/>
      <c r="R330" s="2056"/>
      <c r="S330" s="2056"/>
      <c r="T330" s="2056"/>
      <c r="U330" s="2056"/>
      <c r="V330" s="2056"/>
      <c r="W330" s="2056"/>
    </row>
    <row r="331" spans="1:23" s="1370" customFormat="1" ht="12.75" customHeight="1" x14ac:dyDescent="0.2">
      <c r="A331" s="523">
        <v>43862</v>
      </c>
      <c r="B331" s="1489" t="s">
        <v>16861</v>
      </c>
      <c r="C331" s="1489" t="s">
        <v>11025</v>
      </c>
      <c r="D331" s="1686">
        <v>1.6192129629629629E-2</v>
      </c>
      <c r="E331" s="1489" t="s">
        <v>16829</v>
      </c>
      <c r="F331" s="1489"/>
      <c r="G331" s="1578">
        <v>0.58540000000000003</v>
      </c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</row>
    <row r="332" spans="1:23" s="1370" customFormat="1" ht="12.75" customHeight="1" x14ac:dyDescent="0.2">
      <c r="A332" s="1729">
        <v>43831</v>
      </c>
      <c r="B332" s="1370" t="s">
        <v>13270</v>
      </c>
      <c r="C332" s="1370" t="s">
        <v>11025</v>
      </c>
      <c r="D332" s="1730">
        <v>1.6145833333333335E-2</v>
      </c>
      <c r="E332" s="80" t="s">
        <v>16518</v>
      </c>
      <c r="F332" s="80" t="s">
        <v>16552</v>
      </c>
      <c r="G332" s="72">
        <v>0.58279999999999998</v>
      </c>
      <c r="H332" s="80"/>
      <c r="I332" s="1708"/>
      <c r="J332" s="1708"/>
      <c r="K332" s="1708"/>
      <c r="L332" s="1708"/>
      <c r="M332" s="1708"/>
      <c r="N332" s="1708"/>
      <c r="O332" s="1708"/>
      <c r="P332" s="1708"/>
      <c r="Q332" s="1708"/>
      <c r="R332" s="1708"/>
      <c r="S332" s="1708"/>
      <c r="T332" s="1708"/>
      <c r="U332" s="1708"/>
      <c r="V332" s="1708"/>
      <c r="W332" s="1708"/>
    </row>
    <row r="333" spans="1:23" s="1370" customFormat="1" ht="12.75" customHeight="1" x14ac:dyDescent="0.2">
      <c r="A333" s="2029">
        <v>43904</v>
      </c>
      <c r="B333" s="2049" t="s">
        <v>13270</v>
      </c>
      <c r="C333" s="2049" t="s">
        <v>17311</v>
      </c>
      <c r="D333" s="2061">
        <v>1.4444444444444446E-2</v>
      </c>
      <c r="E333" s="2055" t="s">
        <v>17291</v>
      </c>
      <c r="F333" s="2049" t="s">
        <v>17310</v>
      </c>
      <c r="G333" s="2062">
        <v>0.65629999999999999</v>
      </c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</row>
    <row r="334" spans="1:23" s="1370" customFormat="1" ht="12.75" customHeight="1" x14ac:dyDescent="0.2">
      <c r="A334" s="523">
        <v>43890</v>
      </c>
      <c r="B334" s="1489" t="s">
        <v>13270</v>
      </c>
      <c r="C334" s="1489" t="s">
        <v>11355</v>
      </c>
      <c r="D334" s="1686">
        <v>1.4756944444444444E-2</v>
      </c>
      <c r="E334" s="1489" t="s">
        <v>17151</v>
      </c>
      <c r="F334" s="1489" t="s">
        <v>17143</v>
      </c>
      <c r="G334" s="1578">
        <v>0.64239999999999997</v>
      </c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</row>
    <row r="335" spans="1:23" s="1370" customFormat="1" ht="12.75" customHeight="1" x14ac:dyDescent="0.2">
      <c r="A335" s="1729">
        <v>43831</v>
      </c>
      <c r="B335" s="1370" t="s">
        <v>13270</v>
      </c>
      <c r="C335" s="1370" t="s">
        <v>16501</v>
      </c>
      <c r="D335" s="1730">
        <v>1.4849537037037036E-2</v>
      </c>
      <c r="E335" s="80" t="s">
        <v>16531</v>
      </c>
      <c r="F335" s="80" t="s">
        <v>16541</v>
      </c>
      <c r="G335" s="72">
        <v>0.63370000000000004</v>
      </c>
      <c r="H335" s="80"/>
      <c r="I335" s="1708"/>
      <c r="J335" s="1708"/>
      <c r="K335" s="1708"/>
      <c r="L335" s="1708"/>
      <c r="M335" s="80"/>
      <c r="N335" s="80"/>
      <c r="O335" s="1708"/>
      <c r="P335" s="1708"/>
      <c r="Q335" s="1708"/>
      <c r="R335" s="1708"/>
      <c r="S335" s="1708"/>
      <c r="T335" s="1708"/>
      <c r="U335" s="1708"/>
      <c r="V335" s="1708"/>
      <c r="W335" s="1708"/>
    </row>
    <row r="336" spans="1:23" s="1370" customFormat="1" ht="12.75" customHeight="1" x14ac:dyDescent="0.2">
      <c r="A336" s="523">
        <v>43855</v>
      </c>
      <c r="B336" s="1384" t="s">
        <v>16738</v>
      </c>
      <c r="C336" s="1384" t="s">
        <v>4577</v>
      </c>
      <c r="D336" s="1686">
        <v>1.6689814814814814E-2</v>
      </c>
      <c r="E336" s="1489" t="s">
        <v>16745</v>
      </c>
      <c r="F336" s="1526" t="s">
        <v>16787</v>
      </c>
      <c r="G336" s="1578">
        <v>0.60399999999999998</v>
      </c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</row>
    <row r="337" spans="1:23" s="1370" customFormat="1" ht="12.75" customHeight="1" x14ac:dyDescent="0.2">
      <c r="A337" s="523">
        <v>43862</v>
      </c>
      <c r="B337" s="1489" t="s">
        <v>4576</v>
      </c>
      <c r="C337" s="1489" t="s">
        <v>4577</v>
      </c>
      <c r="D337" s="1686">
        <v>1.6770833333333332E-2</v>
      </c>
      <c r="E337" s="1489" t="s">
        <v>16829</v>
      </c>
      <c r="F337" s="1489"/>
      <c r="G337" s="1578">
        <v>0.60109999999999997</v>
      </c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</row>
    <row r="338" spans="1:23" s="1370" customFormat="1" ht="12.75" customHeight="1" x14ac:dyDescent="0.2">
      <c r="A338" s="2057">
        <v>43841</v>
      </c>
      <c r="B338" s="1895" t="s">
        <v>4576</v>
      </c>
      <c r="C338" s="1895" t="s">
        <v>4577</v>
      </c>
      <c r="D338" s="1727">
        <v>1.6782407407407409E-2</v>
      </c>
      <c r="E338" s="1728" t="s">
        <v>4822</v>
      </c>
      <c r="F338" s="1568"/>
      <c r="G338" s="1897">
        <v>0.60070000000000001</v>
      </c>
    </row>
    <row r="339" spans="1:23" s="1370" customFormat="1" ht="12.75" customHeight="1" x14ac:dyDescent="0.2">
      <c r="A339" s="1886">
        <v>43834</v>
      </c>
      <c r="B339" s="1886" t="s">
        <v>4576</v>
      </c>
      <c r="C339" s="1370" t="s">
        <v>4577</v>
      </c>
      <c r="D339" s="1834">
        <v>1.6944444444444443E-2</v>
      </c>
      <c r="E339" s="1370" t="s">
        <v>16623</v>
      </c>
      <c r="F339" s="1370" t="s">
        <v>16626</v>
      </c>
      <c r="G339" s="1885">
        <v>0.59489999999999998</v>
      </c>
      <c r="J339" s="2056"/>
      <c r="K339" s="2056"/>
      <c r="L339" s="2056"/>
      <c r="M339" s="2056"/>
      <c r="N339" s="2056"/>
      <c r="O339" s="2056"/>
      <c r="P339" s="2056"/>
      <c r="Q339" s="2056"/>
      <c r="R339" s="2056"/>
      <c r="S339" s="2056"/>
      <c r="T339" s="2056"/>
      <c r="U339" s="2056"/>
      <c r="V339" s="2056"/>
      <c r="W339" s="2056"/>
    </row>
    <row r="340" spans="1:23" s="1370" customFormat="1" ht="12.75" customHeight="1" x14ac:dyDescent="0.2">
      <c r="A340" s="523">
        <v>43890</v>
      </c>
      <c r="B340" s="1489" t="s">
        <v>4183</v>
      </c>
      <c r="C340" s="1489" t="s">
        <v>4577</v>
      </c>
      <c r="D340" s="1686">
        <v>1.6921296296296295E-2</v>
      </c>
      <c r="E340" s="1489" t="s">
        <v>17149</v>
      </c>
      <c r="F340" s="1489"/>
      <c r="G340" s="1578">
        <v>0.5958</v>
      </c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</row>
    <row r="341" spans="1:23" s="1370" customFormat="1" ht="12.75" customHeight="1" x14ac:dyDescent="0.2">
      <c r="A341" s="1526">
        <v>43876</v>
      </c>
      <c r="B341" s="1489" t="s">
        <v>4183</v>
      </c>
      <c r="C341" s="1489" t="s">
        <v>4577</v>
      </c>
      <c r="D341" s="1686">
        <v>1.6550925925925924E-2</v>
      </c>
      <c r="E341" s="1489" t="s">
        <v>17009</v>
      </c>
      <c r="F341" s="1489" t="s">
        <v>17029</v>
      </c>
      <c r="G341" s="1578">
        <v>0.60909999999999997</v>
      </c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</row>
    <row r="342" spans="1:23" s="1370" customFormat="1" ht="12.75" customHeight="1" x14ac:dyDescent="0.2">
      <c r="A342" s="2057">
        <v>43848</v>
      </c>
      <c r="B342" s="1489" t="s">
        <v>4183</v>
      </c>
      <c r="C342" s="1489" t="s">
        <v>4577</v>
      </c>
      <c r="D342" s="1686">
        <v>1.6585648148148148E-2</v>
      </c>
      <c r="E342" s="1489" t="s">
        <v>16765</v>
      </c>
      <c r="F342" s="1489"/>
      <c r="G342" s="1578">
        <v>0.60780000000000001</v>
      </c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</row>
    <row r="343" spans="1:23" s="1370" customFormat="1" ht="12.75" customHeight="1" x14ac:dyDescent="0.2">
      <c r="A343" s="2029">
        <v>43904</v>
      </c>
      <c r="B343" s="2055" t="s">
        <v>13271</v>
      </c>
      <c r="C343" s="2055" t="s">
        <v>4577</v>
      </c>
      <c r="D343" s="2061">
        <v>1.7013888888888887E-2</v>
      </c>
      <c r="E343" s="2055" t="s">
        <v>17288</v>
      </c>
      <c r="F343" s="2055"/>
      <c r="G343" s="2063">
        <v>0.59250000000000003</v>
      </c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</row>
    <row r="344" spans="1:23" s="1370" customFormat="1" ht="12.75" customHeight="1" x14ac:dyDescent="0.2">
      <c r="A344" s="2029">
        <v>43897</v>
      </c>
      <c r="B344" s="2031" t="s">
        <v>13271</v>
      </c>
      <c r="C344" s="2034" t="s">
        <v>4577</v>
      </c>
      <c r="D344" s="2030">
        <v>1.6574074074074074E-2</v>
      </c>
      <c r="E344" s="2031" t="s">
        <v>17216</v>
      </c>
      <c r="F344" s="2031"/>
      <c r="G344" s="2032">
        <v>0.60819999999999996</v>
      </c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</row>
    <row r="345" spans="1:23" s="1370" customFormat="1" ht="12.75" customHeight="1" x14ac:dyDescent="0.2">
      <c r="A345" s="2057">
        <v>43869</v>
      </c>
      <c r="B345" s="1489" t="s">
        <v>13271</v>
      </c>
      <c r="C345" s="1489" t="s">
        <v>4577</v>
      </c>
      <c r="D345" s="1737">
        <v>1.5925925925925927E-2</v>
      </c>
      <c r="E345" s="1489" t="s">
        <v>16903</v>
      </c>
      <c r="F345" s="1489"/>
      <c r="G345" s="1578">
        <v>0.63300000000000001</v>
      </c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</row>
    <row r="346" spans="1:23" s="1370" customFormat="1" ht="12.75" customHeight="1" x14ac:dyDescent="0.2">
      <c r="A346" s="1729">
        <v>43831</v>
      </c>
      <c r="B346" s="1370" t="s">
        <v>13271</v>
      </c>
      <c r="C346" s="1370" t="s">
        <v>4577</v>
      </c>
      <c r="D346" s="1730">
        <v>1.740740740740741E-2</v>
      </c>
      <c r="E346" s="80" t="s">
        <v>16510</v>
      </c>
      <c r="F346" s="80" t="s">
        <v>16557</v>
      </c>
      <c r="G346" s="72">
        <v>0.57909999999999995</v>
      </c>
      <c r="H346" s="80"/>
      <c r="I346" s="1708"/>
      <c r="J346" s="1708"/>
      <c r="K346" s="1708"/>
      <c r="L346" s="1708"/>
      <c r="M346" s="1708"/>
      <c r="N346" s="1708"/>
      <c r="O346" s="1708"/>
      <c r="P346" s="1708"/>
      <c r="Q346" s="1708"/>
      <c r="R346" s="1708"/>
      <c r="S346" s="1708"/>
      <c r="T346" s="1708"/>
      <c r="U346" s="1708"/>
      <c r="V346" s="1708"/>
      <c r="W346" s="1708"/>
    </row>
    <row r="347" spans="1:23" s="1370" customFormat="1" ht="12.75" customHeight="1" x14ac:dyDescent="0.2">
      <c r="A347" s="523">
        <v>43855</v>
      </c>
      <c r="B347" s="1384" t="s">
        <v>3230</v>
      </c>
      <c r="C347" s="1384" t="s">
        <v>11625</v>
      </c>
      <c r="D347" s="1686">
        <v>1.4374999999999999E-2</v>
      </c>
      <c r="E347" s="1489" t="s">
        <v>16754</v>
      </c>
      <c r="F347" s="1489" t="s">
        <v>16778</v>
      </c>
      <c r="G347" s="1578">
        <v>0.78180000000000005</v>
      </c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</row>
    <row r="348" spans="1:23" s="1370" customFormat="1" ht="12.75" customHeight="1" x14ac:dyDescent="0.2">
      <c r="A348" s="1886">
        <v>43834</v>
      </c>
      <c r="B348" s="1886" t="s">
        <v>3230</v>
      </c>
      <c r="C348" s="1370" t="s">
        <v>11625</v>
      </c>
      <c r="D348" s="1834">
        <v>1.4085648148148151E-2</v>
      </c>
      <c r="E348" s="1370" t="s">
        <v>16617</v>
      </c>
      <c r="F348" s="1370" t="s">
        <v>16618</v>
      </c>
      <c r="G348" s="1885">
        <v>0.79969999999999997</v>
      </c>
      <c r="J348" s="2056"/>
      <c r="K348" s="2056"/>
      <c r="L348" s="2056"/>
      <c r="M348" s="2056"/>
      <c r="N348" s="2056"/>
      <c r="O348" s="2056"/>
      <c r="P348" s="2056"/>
      <c r="Q348" s="2056"/>
      <c r="R348" s="2056"/>
      <c r="S348" s="2056"/>
      <c r="T348" s="2056"/>
      <c r="U348" s="2056"/>
      <c r="V348" s="2056"/>
      <c r="W348" s="2056"/>
    </row>
    <row r="349" spans="1:23" s="1370" customFormat="1" ht="12.75" customHeight="1" x14ac:dyDescent="0.2">
      <c r="A349" s="2029">
        <v>43897</v>
      </c>
      <c r="B349" s="2031" t="s">
        <v>8230</v>
      </c>
      <c r="C349" s="2034" t="s">
        <v>11625</v>
      </c>
      <c r="D349" s="2030">
        <v>1.3784722222222223E-2</v>
      </c>
      <c r="E349" s="2031" t="s">
        <v>17215</v>
      </c>
      <c r="F349" s="2048" t="s">
        <v>17204</v>
      </c>
      <c r="G349" s="2032">
        <v>0.82199999999999995</v>
      </c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</row>
    <row r="350" spans="1:23" s="1370" customFormat="1" ht="12.75" customHeight="1" x14ac:dyDescent="0.2">
      <c r="A350" s="1526">
        <v>43876</v>
      </c>
      <c r="B350" s="1489" t="s">
        <v>8230</v>
      </c>
      <c r="C350" s="1489" t="s">
        <v>11625</v>
      </c>
      <c r="D350" s="1686">
        <v>1.3877314814814816E-2</v>
      </c>
      <c r="E350" s="1489" t="s">
        <v>16999</v>
      </c>
      <c r="F350" s="1489" t="s">
        <v>17048</v>
      </c>
      <c r="G350" s="1578">
        <v>0.80979999999999996</v>
      </c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</row>
    <row r="351" spans="1:23" s="1370" customFormat="1" ht="12.75" customHeight="1" x14ac:dyDescent="0.2">
      <c r="A351" s="523">
        <v>43862</v>
      </c>
      <c r="B351" s="1489" t="s">
        <v>8230</v>
      </c>
      <c r="C351" s="1489" t="s">
        <v>11625</v>
      </c>
      <c r="D351" s="1686">
        <v>1.4085648148148149E-2</v>
      </c>
      <c r="E351" s="1489" t="s">
        <v>16833</v>
      </c>
      <c r="F351" s="1489" t="s">
        <v>3826</v>
      </c>
      <c r="G351" s="1578">
        <v>0.79790000000000005</v>
      </c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</row>
    <row r="352" spans="1:23" s="1370" customFormat="1" ht="12.75" customHeight="1" x14ac:dyDescent="0.2">
      <c r="A352" s="2057">
        <v>43848</v>
      </c>
      <c r="B352" s="1489" t="s">
        <v>8230</v>
      </c>
      <c r="C352" s="1489" t="s">
        <v>11625</v>
      </c>
      <c r="D352" s="1686">
        <v>1.3842592592592594E-2</v>
      </c>
      <c r="E352" s="1489" t="s">
        <v>16662</v>
      </c>
      <c r="F352" s="1489"/>
      <c r="G352" s="1578">
        <v>0.81189999999999996</v>
      </c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</row>
    <row r="353" spans="1:23" s="1370" customFormat="1" ht="12.75" customHeight="1" x14ac:dyDescent="0.2">
      <c r="A353" s="2057">
        <v>43841</v>
      </c>
      <c r="B353" s="1895" t="s">
        <v>8230</v>
      </c>
      <c r="C353" s="1895" t="s">
        <v>11625</v>
      </c>
      <c r="D353" s="1727">
        <v>1.40625E-2</v>
      </c>
      <c r="E353" s="1728" t="s">
        <v>16694</v>
      </c>
      <c r="F353" s="1728" t="s">
        <v>16718</v>
      </c>
      <c r="G353" s="1897">
        <v>0.79920000000000002</v>
      </c>
    </row>
    <row r="354" spans="1:23" s="1370" customFormat="1" ht="12.75" customHeight="1" x14ac:dyDescent="0.2">
      <c r="A354" s="2029">
        <v>43904</v>
      </c>
      <c r="B354" s="2055" t="s">
        <v>13269</v>
      </c>
      <c r="C354" s="2055" t="s">
        <v>11625</v>
      </c>
      <c r="D354" s="2061">
        <v>1.4074074074074074E-2</v>
      </c>
      <c r="E354" s="2055" t="s">
        <v>17301</v>
      </c>
      <c r="F354" s="2048" t="s">
        <v>17314</v>
      </c>
      <c r="G354" s="2063">
        <v>0.80510000000000004</v>
      </c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</row>
    <row r="355" spans="1:23" s="1370" customFormat="1" ht="12.75" customHeight="1" x14ac:dyDescent="0.2">
      <c r="A355" s="523">
        <v>43890</v>
      </c>
      <c r="B355" s="1489" t="s">
        <v>13269</v>
      </c>
      <c r="C355" s="1489" t="s">
        <v>11625</v>
      </c>
      <c r="D355" s="1686">
        <v>1.4074074074074074E-2</v>
      </c>
      <c r="E355" s="1489" t="s">
        <v>17146</v>
      </c>
      <c r="F355" s="2058" t="s">
        <v>17179</v>
      </c>
      <c r="G355" s="1578">
        <v>0.80510000000000004</v>
      </c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</row>
    <row r="356" spans="1:23" s="1370" customFormat="1" ht="12.75" customHeight="1" x14ac:dyDescent="0.2">
      <c r="A356" s="1526">
        <v>43883</v>
      </c>
      <c r="B356" s="1370" t="s">
        <v>13269</v>
      </c>
      <c r="C356" s="1370" t="s">
        <v>11625</v>
      </c>
      <c r="D356" s="1730">
        <v>1.3842592592592594E-2</v>
      </c>
      <c r="E356" s="80" t="s">
        <v>17105</v>
      </c>
      <c r="F356" s="80" t="s">
        <v>17118</v>
      </c>
      <c r="G356" s="72">
        <v>0.81859999999999999</v>
      </c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</row>
    <row r="357" spans="1:23" s="1370" customFormat="1" ht="12.75" customHeight="1" x14ac:dyDescent="0.2">
      <c r="A357" s="2057">
        <v>43869</v>
      </c>
      <c r="B357" s="1489" t="s">
        <v>13269</v>
      </c>
      <c r="C357" s="1489" t="s">
        <v>11625</v>
      </c>
      <c r="D357" s="1737">
        <v>1.5277777777777777E-2</v>
      </c>
      <c r="E357" s="1489" t="s">
        <v>16916</v>
      </c>
      <c r="F357" s="1489" t="s">
        <v>16957</v>
      </c>
      <c r="G357" s="1578">
        <v>0.73560000000000003</v>
      </c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</row>
    <row r="358" spans="1:23" s="1370" customFormat="1" ht="12.75" customHeight="1" x14ac:dyDescent="0.2">
      <c r="A358" s="1729">
        <v>43831</v>
      </c>
      <c r="B358" s="1370" t="s">
        <v>13269</v>
      </c>
      <c r="C358" s="1370" t="s">
        <v>11625</v>
      </c>
      <c r="D358" s="1730">
        <v>1.3946759259259258E-2</v>
      </c>
      <c r="E358" s="80" t="s">
        <v>16510</v>
      </c>
      <c r="F358" s="80" t="s">
        <v>11297</v>
      </c>
      <c r="G358" s="72">
        <v>0.80579999999999996</v>
      </c>
      <c r="H358" s="80"/>
      <c r="I358" s="1708"/>
      <c r="J358" s="1708"/>
      <c r="K358" s="1708"/>
      <c r="L358" s="1708"/>
      <c r="M358" s="1708"/>
      <c r="N358" s="1708"/>
      <c r="O358" s="1708"/>
      <c r="P358" s="1708"/>
      <c r="Q358" s="1708"/>
      <c r="R358" s="1708"/>
      <c r="S358" s="1708"/>
      <c r="T358" s="1708"/>
      <c r="U358" s="1708"/>
      <c r="V358" s="1708"/>
      <c r="W358" s="1708"/>
    </row>
    <row r="359" spans="1:23" s="80" customFormat="1" ht="12.75" customHeight="1" x14ac:dyDescent="0.2">
      <c r="A359" s="1729">
        <v>43831</v>
      </c>
      <c r="B359" s="1370" t="s">
        <v>13269</v>
      </c>
      <c r="C359" s="1370" t="s">
        <v>11625</v>
      </c>
      <c r="D359" s="1730">
        <v>1.3877314814814816E-2</v>
      </c>
      <c r="E359" s="80" t="s">
        <v>16521</v>
      </c>
      <c r="F359" s="80" t="s">
        <v>16548</v>
      </c>
      <c r="G359" s="72">
        <v>0.80979999999999996</v>
      </c>
      <c r="I359" s="1708"/>
      <c r="J359" s="1708"/>
      <c r="K359" s="1708"/>
      <c r="L359" s="1708"/>
      <c r="O359" s="1708"/>
      <c r="P359" s="1708"/>
      <c r="Q359" s="1708"/>
      <c r="R359" s="1708"/>
      <c r="S359" s="1708"/>
      <c r="T359" s="1708"/>
      <c r="U359" s="1708"/>
      <c r="V359" s="1708"/>
      <c r="W359" s="1708"/>
    </row>
    <row r="360" spans="1:23" s="80" customFormat="1" ht="12.75" customHeight="1" x14ac:dyDescent="0.2">
      <c r="A360" s="2029">
        <v>43897</v>
      </c>
      <c r="B360" s="1384" t="s">
        <v>922</v>
      </c>
      <c r="C360" s="1384" t="s">
        <v>1530</v>
      </c>
      <c r="D360" s="2030">
        <v>2.072916666666667E-2</v>
      </c>
      <c r="E360" s="2031" t="s">
        <v>17220</v>
      </c>
      <c r="F360" s="2054"/>
      <c r="G360" s="2032">
        <v>0.53710000000000002</v>
      </c>
    </row>
    <row r="361" spans="1:23" s="80" customFormat="1" ht="12.75" customHeight="1" x14ac:dyDescent="0.2">
      <c r="A361" s="523">
        <v>43890</v>
      </c>
      <c r="B361" s="1384" t="s">
        <v>922</v>
      </c>
      <c r="C361" s="1384" t="s">
        <v>1530</v>
      </c>
      <c r="D361" s="1686">
        <v>2.4456018518518519E-2</v>
      </c>
      <c r="E361" s="1489" t="s">
        <v>17159</v>
      </c>
      <c r="F361" s="1489" t="s">
        <v>17182</v>
      </c>
      <c r="G361" s="1578">
        <v>0.45529999999999998</v>
      </c>
      <c r="I361" s="80">
        <v>7</v>
      </c>
    </row>
    <row r="362" spans="1:23" s="80" customFormat="1" ht="12.75" customHeight="1" x14ac:dyDescent="0.2">
      <c r="A362" s="1526">
        <v>43883</v>
      </c>
      <c r="B362" s="1384" t="s">
        <v>922</v>
      </c>
      <c r="C362" s="1384" t="s">
        <v>1530</v>
      </c>
      <c r="D362" s="1730">
        <v>2.1944444444444444E-2</v>
      </c>
      <c r="E362" s="80" t="s">
        <v>17114</v>
      </c>
      <c r="F362" s="1235" t="s">
        <v>17262</v>
      </c>
      <c r="G362" s="72">
        <v>0.50739999999999996</v>
      </c>
      <c r="I362" s="80">
        <v>6</v>
      </c>
    </row>
    <row r="363" spans="1:23" s="80" customFormat="1" ht="12.75" customHeight="1" x14ac:dyDescent="0.2">
      <c r="A363" s="1526">
        <v>43876</v>
      </c>
      <c r="B363" s="1384" t="s">
        <v>922</v>
      </c>
      <c r="C363" s="1384" t="s">
        <v>1530</v>
      </c>
      <c r="D363" s="1686">
        <v>2.1134259259259259E-2</v>
      </c>
      <c r="E363" s="1489" t="s">
        <v>17012</v>
      </c>
      <c r="F363" s="1901" t="s">
        <v>17060</v>
      </c>
      <c r="G363" s="1578">
        <v>0.52680000000000005</v>
      </c>
      <c r="I363" s="80">
        <v>5</v>
      </c>
    </row>
    <row r="364" spans="1:23" s="80" customFormat="1" ht="12.75" customHeight="1" x14ac:dyDescent="0.2">
      <c r="A364" s="2057">
        <v>43869</v>
      </c>
      <c r="B364" s="1384" t="s">
        <v>922</v>
      </c>
      <c r="C364" s="1384" t="s">
        <v>1530</v>
      </c>
      <c r="D364" s="1737">
        <v>2.0613425925925924E-2</v>
      </c>
      <c r="E364" s="1489" t="s">
        <v>16907</v>
      </c>
      <c r="F364" s="1901" t="s">
        <v>17263</v>
      </c>
      <c r="G364" s="1578">
        <v>0.54010000000000002</v>
      </c>
      <c r="I364" s="80">
        <v>4</v>
      </c>
    </row>
    <row r="365" spans="1:23" s="80" customFormat="1" ht="12.75" customHeight="1" x14ac:dyDescent="0.2">
      <c r="A365" s="523">
        <v>43862</v>
      </c>
      <c r="B365" s="1384" t="s">
        <v>922</v>
      </c>
      <c r="C365" s="1384" t="s">
        <v>1530</v>
      </c>
      <c r="D365" s="1686">
        <v>2.1099537037037038E-2</v>
      </c>
      <c r="E365" s="1489" t="s">
        <v>16844</v>
      </c>
      <c r="F365" s="1489"/>
      <c r="G365" s="1578">
        <v>0.52769999999999995</v>
      </c>
    </row>
    <row r="366" spans="1:23" s="80" customFormat="1" ht="12.75" customHeight="1" x14ac:dyDescent="0.2">
      <c r="A366" s="523">
        <v>43855</v>
      </c>
      <c r="B366" s="1384" t="s">
        <v>922</v>
      </c>
      <c r="C366" s="1384" t="s">
        <v>1530</v>
      </c>
      <c r="D366" s="1686">
        <v>2.1516203703703704E-2</v>
      </c>
      <c r="E366" s="1489" t="s">
        <v>16740</v>
      </c>
      <c r="F366" s="1901" t="s">
        <v>16798</v>
      </c>
      <c r="G366" s="1578">
        <v>0.51319999999999999</v>
      </c>
    </row>
    <row r="367" spans="1:23" s="80" customFormat="1" ht="12.75" customHeight="1" x14ac:dyDescent="0.2">
      <c r="A367" s="2057">
        <v>43848</v>
      </c>
      <c r="B367" s="1384" t="s">
        <v>922</v>
      </c>
      <c r="C367" s="1384" t="s">
        <v>1530</v>
      </c>
      <c r="D367" s="1686">
        <v>2.0960648148148148E-2</v>
      </c>
      <c r="E367" s="1489" t="s">
        <v>16765</v>
      </c>
      <c r="F367" s="1489"/>
      <c r="G367" s="1578">
        <v>0.52680000000000005</v>
      </c>
    </row>
    <row r="368" spans="1:23" s="80" customFormat="1" ht="12.75" customHeight="1" x14ac:dyDescent="0.2">
      <c r="A368" s="2057">
        <v>43841</v>
      </c>
      <c r="B368" s="1384" t="s">
        <v>922</v>
      </c>
      <c r="C368" s="1384" t="s">
        <v>1530</v>
      </c>
      <c r="D368" s="1727">
        <v>2.2129629629629628E-2</v>
      </c>
      <c r="E368" s="1728" t="s">
        <v>16799</v>
      </c>
      <c r="F368" s="1568" t="s">
        <v>16716</v>
      </c>
      <c r="G368" s="1897">
        <v>0.499</v>
      </c>
      <c r="H368" s="1370"/>
      <c r="I368" s="1370">
        <v>3</v>
      </c>
      <c r="J368" s="1370"/>
      <c r="K368" s="1370"/>
      <c r="L368" s="1370"/>
      <c r="M368" s="1370"/>
      <c r="N368" s="1370"/>
      <c r="O368" s="1370"/>
      <c r="P368" s="1370"/>
      <c r="Q368" s="1370"/>
      <c r="R368" s="1370"/>
      <c r="S368" s="1370"/>
      <c r="T368" s="1370"/>
      <c r="U368" s="1370"/>
      <c r="V368" s="1370"/>
      <c r="W368" s="1370"/>
    </row>
    <row r="369" spans="1:23" s="80" customFormat="1" ht="12.75" customHeight="1" x14ac:dyDescent="0.2">
      <c r="A369" s="1886">
        <v>43834</v>
      </c>
      <c r="B369" s="1384" t="s">
        <v>922</v>
      </c>
      <c r="C369" s="1384" t="s">
        <v>1530</v>
      </c>
      <c r="D369" s="1834">
        <v>2.179398148148148E-2</v>
      </c>
      <c r="E369" s="1370" t="s">
        <v>16617</v>
      </c>
      <c r="F369" s="1370" t="s">
        <v>16620</v>
      </c>
      <c r="G369" s="1885">
        <v>0.50660000000000005</v>
      </c>
      <c r="H369" s="1370"/>
      <c r="I369" s="1370"/>
      <c r="J369" s="2056"/>
      <c r="K369" s="2056"/>
      <c r="L369" s="2056"/>
      <c r="M369" s="2056"/>
      <c r="N369" s="2056"/>
      <c r="O369" s="2056"/>
      <c r="P369" s="2056"/>
      <c r="Q369" s="2056"/>
      <c r="R369" s="2056"/>
      <c r="S369" s="2056"/>
      <c r="T369" s="2056"/>
      <c r="U369" s="2056"/>
      <c r="V369" s="2056"/>
      <c r="W369" s="2056"/>
    </row>
    <row r="370" spans="1:23" s="80" customFormat="1" ht="12.75" customHeight="1" x14ac:dyDescent="0.2">
      <c r="A370" s="1729">
        <v>43831</v>
      </c>
      <c r="B370" s="1384" t="s">
        <v>922</v>
      </c>
      <c r="C370" s="1384" t="s">
        <v>1530</v>
      </c>
      <c r="D370" s="1730">
        <v>1.9861111111111111E-2</v>
      </c>
      <c r="E370" s="80" t="s">
        <v>16517</v>
      </c>
      <c r="F370" s="80" t="s">
        <v>16565</v>
      </c>
      <c r="G370" s="72">
        <v>0.55589999999999995</v>
      </c>
      <c r="H370" s="80" t="s">
        <v>12776</v>
      </c>
      <c r="I370" s="1708">
        <v>2</v>
      </c>
      <c r="J370" s="1708"/>
      <c r="K370" s="1708"/>
      <c r="L370" s="1708"/>
      <c r="M370" s="1708"/>
      <c r="N370" s="1708"/>
      <c r="O370" s="1708"/>
      <c r="P370" s="1708"/>
      <c r="Q370" s="1708"/>
      <c r="R370" s="1708"/>
      <c r="S370" s="1708"/>
      <c r="T370" s="1708"/>
      <c r="U370" s="1708"/>
      <c r="V370" s="1708"/>
      <c r="W370" s="1708"/>
    </row>
    <row r="371" spans="1:23" s="80" customFormat="1" ht="12.75" customHeight="1" x14ac:dyDescent="0.2">
      <c r="A371" s="1729">
        <v>43831</v>
      </c>
      <c r="B371" s="1384" t="s">
        <v>922</v>
      </c>
      <c r="C371" s="1384" t="s">
        <v>1530</v>
      </c>
      <c r="D371" s="1730">
        <v>2.0706018518518516E-2</v>
      </c>
      <c r="E371" s="80" t="s">
        <v>16509</v>
      </c>
      <c r="F371" s="80" t="s">
        <v>16564</v>
      </c>
      <c r="G371" s="72">
        <v>0.5333</v>
      </c>
      <c r="H371" s="80" t="s">
        <v>12776</v>
      </c>
      <c r="I371" s="1708">
        <v>1</v>
      </c>
      <c r="J371" s="1708"/>
      <c r="K371" s="1708"/>
      <c r="L371" s="1708"/>
      <c r="M371" s="1708"/>
      <c r="N371" s="1708"/>
      <c r="O371" s="1708"/>
      <c r="P371" s="1708"/>
      <c r="Q371" s="1708"/>
      <c r="R371" s="1708"/>
      <c r="S371" s="1708"/>
      <c r="T371" s="1708"/>
      <c r="U371" s="1708"/>
      <c r="V371" s="1708"/>
      <c r="W371" s="1708"/>
    </row>
    <row r="372" spans="1:23" s="80" customFormat="1" ht="12.75" customHeight="1" x14ac:dyDescent="0.2">
      <c r="A372" s="2029">
        <v>43904</v>
      </c>
      <c r="B372" s="2055" t="s">
        <v>13272</v>
      </c>
      <c r="C372" s="2055" t="s">
        <v>1530</v>
      </c>
      <c r="D372" s="2061">
        <v>2.1608796296296296E-2</v>
      </c>
      <c r="E372" s="2055" t="s">
        <v>17282</v>
      </c>
      <c r="F372" s="2054" t="s">
        <v>17324</v>
      </c>
      <c r="G372" s="2063">
        <v>0.51529999999999998</v>
      </c>
    </row>
    <row r="373" spans="1:23" s="80" customFormat="1" ht="12.75" customHeight="1" x14ac:dyDescent="0.2">
      <c r="A373" s="523">
        <v>43855</v>
      </c>
      <c r="B373" s="1384" t="s">
        <v>1589</v>
      </c>
      <c r="C373" s="1384" t="s">
        <v>1590</v>
      </c>
      <c r="D373" s="1686" t="s">
        <v>787</v>
      </c>
      <c r="E373" s="1489" t="s">
        <v>16749</v>
      </c>
      <c r="F373" s="1489" t="s">
        <v>94</v>
      </c>
      <c r="G373" s="1578"/>
    </row>
    <row r="374" spans="1:23" s="80" customFormat="1" ht="12.75" customHeight="1" x14ac:dyDescent="0.2">
      <c r="A374" s="2057">
        <v>43841</v>
      </c>
      <c r="B374" s="1895" t="s">
        <v>1589</v>
      </c>
      <c r="C374" s="1895" t="s">
        <v>1590</v>
      </c>
      <c r="D374" s="1727">
        <v>1.9432870370370371E-2</v>
      </c>
      <c r="E374" s="1489" t="s">
        <v>16806</v>
      </c>
      <c r="F374" s="1568"/>
      <c r="G374" s="1897">
        <v>0.63009999999999999</v>
      </c>
      <c r="H374" s="1370"/>
      <c r="I374" s="1370"/>
      <c r="J374" s="1370"/>
      <c r="K374" s="1370"/>
      <c r="L374" s="1370"/>
      <c r="M374" s="1370"/>
      <c r="N374" s="1370"/>
      <c r="O374" s="1370"/>
      <c r="P374" s="1370"/>
      <c r="Q374" s="1370"/>
      <c r="R374" s="1370"/>
      <c r="S374" s="1370"/>
      <c r="T374" s="1370"/>
      <c r="U374" s="1370"/>
      <c r="V374" s="1370"/>
      <c r="W374" s="1370"/>
    </row>
    <row r="375" spans="1:23" s="80" customFormat="1" ht="12.75" customHeight="1" x14ac:dyDescent="0.2">
      <c r="A375" s="1886">
        <v>43834</v>
      </c>
      <c r="B375" s="1886" t="s">
        <v>1589</v>
      </c>
      <c r="C375" s="1370" t="s">
        <v>1590</v>
      </c>
      <c r="D375" s="1834">
        <v>1.9918981481481482E-2</v>
      </c>
      <c r="E375" s="1370" t="s">
        <v>16589</v>
      </c>
      <c r="F375" s="1370" t="s">
        <v>15807</v>
      </c>
      <c r="G375" s="1885">
        <v>0.61480000000000001</v>
      </c>
      <c r="H375" s="1370"/>
      <c r="I375" s="1370"/>
      <c r="J375" s="2056"/>
      <c r="K375" s="2056"/>
      <c r="L375" s="2056"/>
      <c r="M375" s="2056"/>
      <c r="N375" s="2056"/>
      <c r="O375" s="2056"/>
      <c r="P375" s="2056"/>
      <c r="Q375" s="2056"/>
      <c r="R375" s="2056"/>
      <c r="S375" s="2056"/>
      <c r="T375" s="2056"/>
      <c r="U375" s="2056"/>
      <c r="V375" s="2056"/>
      <c r="W375" s="2056"/>
    </row>
    <row r="376" spans="1:23" s="80" customFormat="1" ht="12.75" customHeight="1" x14ac:dyDescent="0.2">
      <c r="A376" s="2029">
        <v>43897</v>
      </c>
      <c r="B376" s="2031" t="s">
        <v>17241</v>
      </c>
      <c r="C376" s="2034" t="s">
        <v>1590</v>
      </c>
      <c r="D376" s="2030" t="s">
        <v>787</v>
      </c>
      <c r="E376" s="2031" t="s">
        <v>17223</v>
      </c>
      <c r="F376" s="2048" t="s">
        <v>5604</v>
      </c>
      <c r="G376" s="2032"/>
    </row>
    <row r="377" spans="1:23" s="80" customFormat="1" ht="12.75" customHeight="1" x14ac:dyDescent="0.2">
      <c r="A377" s="523">
        <v>43890</v>
      </c>
      <c r="B377" s="1489" t="s">
        <v>13276</v>
      </c>
      <c r="C377" s="1489" t="s">
        <v>1590</v>
      </c>
      <c r="D377" s="1686">
        <v>2.0706018518518516E-2</v>
      </c>
      <c r="E377" s="1489" t="s">
        <v>17152</v>
      </c>
      <c r="F377" s="1489" t="s">
        <v>17200</v>
      </c>
      <c r="G377" s="1578">
        <v>0.59140000000000004</v>
      </c>
    </row>
    <row r="378" spans="1:23" s="80" customFormat="1" ht="12.75" customHeight="1" x14ac:dyDescent="0.2">
      <c r="A378" s="1526">
        <v>43883</v>
      </c>
      <c r="B378" s="1370" t="s">
        <v>13276</v>
      </c>
      <c r="C378" s="1370" t="s">
        <v>1590</v>
      </c>
      <c r="D378" s="1730">
        <v>1.9849537037037034E-2</v>
      </c>
      <c r="E378" s="80" t="s">
        <v>17100</v>
      </c>
      <c r="F378" s="80" t="s">
        <v>17079</v>
      </c>
      <c r="G378" s="72">
        <v>0.6169</v>
      </c>
    </row>
    <row r="379" spans="1:23" s="80" customFormat="1" ht="12.75" customHeight="1" x14ac:dyDescent="0.2">
      <c r="A379" s="1526">
        <v>43876</v>
      </c>
      <c r="B379" s="1489" t="s">
        <v>13276</v>
      </c>
      <c r="C379" s="1489" t="s">
        <v>1590</v>
      </c>
      <c r="D379" s="1686">
        <v>1.9861111111111111E-2</v>
      </c>
      <c r="E379" s="1489" t="s">
        <v>17003</v>
      </c>
      <c r="F379" s="1489" t="s">
        <v>16993</v>
      </c>
      <c r="G379" s="1578">
        <v>0.61660000000000004</v>
      </c>
    </row>
    <row r="380" spans="1:23" s="80" customFormat="1" ht="12.75" customHeight="1" x14ac:dyDescent="0.2">
      <c r="A380" s="2057">
        <v>43869</v>
      </c>
      <c r="B380" s="1489" t="s">
        <v>13276</v>
      </c>
      <c r="C380" s="1489" t="s">
        <v>1590</v>
      </c>
      <c r="D380" s="1623" t="s">
        <v>787</v>
      </c>
      <c r="E380" s="1489" t="s">
        <v>16910</v>
      </c>
      <c r="F380" s="1489" t="s">
        <v>16893</v>
      </c>
      <c r="G380" s="1578"/>
    </row>
    <row r="381" spans="1:23" s="80" customFormat="1" ht="12.75" customHeight="1" x14ac:dyDescent="0.2">
      <c r="A381" s="523">
        <v>43862</v>
      </c>
      <c r="B381" s="1489" t="s">
        <v>13276</v>
      </c>
      <c r="C381" s="1489" t="s">
        <v>1590</v>
      </c>
      <c r="D381" s="1686">
        <v>2.011574074074074E-2</v>
      </c>
      <c r="E381" s="1489" t="s">
        <v>16837</v>
      </c>
      <c r="F381" s="1489"/>
      <c r="G381" s="1578">
        <v>0.60870000000000002</v>
      </c>
    </row>
    <row r="382" spans="1:23" s="80" customFormat="1" ht="12.75" customHeight="1" x14ac:dyDescent="0.2">
      <c r="A382" s="2057">
        <v>43848</v>
      </c>
      <c r="B382" s="1489" t="s">
        <v>13276</v>
      </c>
      <c r="C382" s="1489" t="s">
        <v>1590</v>
      </c>
      <c r="D382" s="1686" t="s">
        <v>787</v>
      </c>
      <c r="E382" s="1489" t="s">
        <v>16807</v>
      </c>
      <c r="F382" s="1489" t="s">
        <v>5604</v>
      </c>
      <c r="G382" s="1578"/>
    </row>
    <row r="383" spans="1:23" s="80" customFormat="1" ht="12.75" customHeight="1" x14ac:dyDescent="0.2">
      <c r="A383" s="1729">
        <v>43831</v>
      </c>
      <c r="B383" s="1370" t="s">
        <v>13276</v>
      </c>
      <c r="C383" s="1370" t="s">
        <v>1590</v>
      </c>
      <c r="D383" s="1730">
        <v>1.9884259259259258E-2</v>
      </c>
      <c r="E383" s="80" t="s">
        <v>16507</v>
      </c>
      <c r="F383" s="80" t="s">
        <v>16535</v>
      </c>
      <c r="G383" s="72">
        <v>0.61580000000000001</v>
      </c>
      <c r="H383" s="80" t="s">
        <v>1212</v>
      </c>
      <c r="I383" s="1708"/>
      <c r="J383" s="1708"/>
      <c r="K383" s="1708"/>
      <c r="L383" s="1708"/>
      <c r="M383" s="1708"/>
      <c r="N383" s="1708"/>
      <c r="O383" s="1708"/>
      <c r="P383" s="1708"/>
      <c r="Q383" s="1708"/>
      <c r="R383" s="1708"/>
      <c r="S383" s="1708"/>
      <c r="T383" s="1708"/>
      <c r="U383" s="1708"/>
      <c r="V383" s="1708"/>
      <c r="W383" s="1708"/>
    </row>
    <row r="384" spans="1:23" s="80" customFormat="1" ht="12.75" customHeight="1" x14ac:dyDescent="0.2">
      <c r="A384" s="1729">
        <v>43831</v>
      </c>
      <c r="B384" s="1370" t="s">
        <v>13276</v>
      </c>
      <c r="C384" s="1370" t="s">
        <v>1590</v>
      </c>
      <c r="D384" s="1730" t="s">
        <v>787</v>
      </c>
      <c r="E384" s="80" t="s">
        <v>16516</v>
      </c>
      <c r="F384" s="80" t="s">
        <v>4185</v>
      </c>
      <c r="G384" s="72"/>
      <c r="I384" s="1708"/>
      <c r="J384" s="1708"/>
      <c r="K384" s="1708"/>
      <c r="L384" s="1708"/>
      <c r="O384" s="1708"/>
      <c r="P384" s="1708"/>
      <c r="Q384" s="1708"/>
      <c r="R384" s="1708"/>
      <c r="S384" s="1708"/>
      <c r="T384" s="1708"/>
      <c r="U384" s="1708"/>
      <c r="V384" s="1708"/>
      <c r="W384" s="1708"/>
    </row>
    <row r="385" spans="1:23" s="80" customFormat="1" ht="12.75" customHeight="1" x14ac:dyDescent="0.2">
      <c r="A385" s="523">
        <v>43855</v>
      </c>
      <c r="B385" s="1384" t="s">
        <v>3542</v>
      </c>
      <c r="C385" s="1384" t="s">
        <v>1590</v>
      </c>
      <c r="D385" s="1686">
        <v>3.3449074074074069E-2</v>
      </c>
      <c r="E385" s="1489" t="s">
        <v>16749</v>
      </c>
      <c r="F385" s="1526" t="s">
        <v>8160</v>
      </c>
      <c r="G385" s="1578">
        <v>0.46989999999999998</v>
      </c>
    </row>
    <row r="386" spans="1:23" s="80" customFormat="1" ht="12.75" customHeight="1" x14ac:dyDescent="0.2">
      <c r="A386" s="1886">
        <v>43834</v>
      </c>
      <c r="B386" s="1886" t="s">
        <v>3542</v>
      </c>
      <c r="C386" s="1370" t="s">
        <v>1590</v>
      </c>
      <c r="D386" s="1834">
        <v>2.6840277777777779E-2</v>
      </c>
      <c r="E386" s="1370" t="s">
        <v>16589</v>
      </c>
      <c r="F386" s="1370"/>
      <c r="G386" s="1885">
        <v>0.58560000000000001</v>
      </c>
      <c r="H386" s="1370"/>
      <c r="I386" s="1370"/>
      <c r="J386" s="2056"/>
      <c r="K386" s="2056"/>
      <c r="L386" s="2056"/>
      <c r="M386" s="2056"/>
      <c r="N386" s="2056"/>
      <c r="O386" s="2056"/>
      <c r="P386" s="2056"/>
      <c r="Q386" s="2056"/>
      <c r="R386" s="2056"/>
      <c r="S386" s="2056"/>
      <c r="T386" s="2056"/>
      <c r="U386" s="2056"/>
      <c r="V386" s="2056"/>
      <c r="W386" s="2056"/>
    </row>
    <row r="387" spans="1:23" s="80" customFormat="1" ht="12.75" customHeight="1" x14ac:dyDescent="0.2">
      <c r="A387" s="1526">
        <v>43883</v>
      </c>
      <c r="B387" s="1370" t="s">
        <v>5522</v>
      </c>
      <c r="C387" s="1370" t="s">
        <v>1590</v>
      </c>
      <c r="D387" s="1730">
        <v>3.1192129629629629E-2</v>
      </c>
      <c r="E387" s="80" t="s">
        <v>17100</v>
      </c>
      <c r="G387" s="72">
        <v>0.50390000000000001</v>
      </c>
    </row>
    <row r="388" spans="1:23" s="80" customFormat="1" ht="12.75" customHeight="1" x14ac:dyDescent="0.2">
      <c r="A388" s="2057">
        <v>43869</v>
      </c>
      <c r="B388" s="1489" t="s">
        <v>5522</v>
      </c>
      <c r="C388" s="1489" t="s">
        <v>1590</v>
      </c>
      <c r="D388" s="1623" t="s">
        <v>787</v>
      </c>
      <c r="E388" s="1489" t="s">
        <v>16910</v>
      </c>
      <c r="F388" s="1489" t="s">
        <v>5604</v>
      </c>
      <c r="G388" s="1578"/>
    </row>
    <row r="389" spans="1:23" s="80" customFormat="1" ht="12.75" customHeight="1" x14ac:dyDescent="0.2">
      <c r="A389" s="2029">
        <v>43904</v>
      </c>
      <c r="B389" s="2055" t="s">
        <v>13277</v>
      </c>
      <c r="C389" s="2055" t="s">
        <v>1590</v>
      </c>
      <c r="D389" s="2061" t="s">
        <v>787</v>
      </c>
      <c r="E389" s="2055" t="s">
        <v>17292</v>
      </c>
      <c r="F389" s="2048" t="s">
        <v>17278</v>
      </c>
      <c r="G389" s="2063"/>
    </row>
    <row r="390" spans="1:23" s="80" customFormat="1" ht="12.75" customHeight="1" x14ac:dyDescent="0.2">
      <c r="A390" s="2029">
        <v>43897</v>
      </c>
      <c r="B390" s="2031" t="s">
        <v>13277</v>
      </c>
      <c r="C390" s="2034" t="s">
        <v>1590</v>
      </c>
      <c r="D390" s="2030">
        <v>2.7638888888888886E-2</v>
      </c>
      <c r="E390" s="2031" t="s">
        <v>17223</v>
      </c>
      <c r="F390" s="2048"/>
      <c r="G390" s="2032">
        <v>0.56869999999999998</v>
      </c>
    </row>
    <row r="391" spans="1:23" s="80" customFormat="1" ht="12.75" customHeight="1" x14ac:dyDescent="0.2">
      <c r="A391" s="523">
        <v>43890</v>
      </c>
      <c r="B391" s="1489" t="s">
        <v>13277</v>
      </c>
      <c r="C391" s="1489" t="s">
        <v>1590</v>
      </c>
      <c r="D391" s="1686">
        <v>2.7858796296296295E-2</v>
      </c>
      <c r="E391" s="1489" t="s">
        <v>17152</v>
      </c>
      <c r="F391" s="1489"/>
      <c r="G391" s="1578">
        <v>0.56420000000000003</v>
      </c>
    </row>
    <row r="392" spans="1:23" s="80" customFormat="1" ht="12.75" customHeight="1" x14ac:dyDescent="0.2">
      <c r="A392" s="1526">
        <v>43876</v>
      </c>
      <c r="B392" s="1489" t="s">
        <v>13277</v>
      </c>
      <c r="C392" s="1489" t="s">
        <v>1590</v>
      </c>
      <c r="D392" s="1686">
        <v>2.6932870370370367E-2</v>
      </c>
      <c r="E392" s="1489" t="s">
        <v>17003</v>
      </c>
      <c r="F392" s="1489"/>
      <c r="G392" s="1578">
        <v>0.58360000000000001</v>
      </c>
    </row>
    <row r="393" spans="1:23" s="80" customFormat="1" ht="12.75" customHeight="1" x14ac:dyDescent="0.2">
      <c r="A393" s="523">
        <v>43862</v>
      </c>
      <c r="B393" s="1489" t="s">
        <v>13277</v>
      </c>
      <c r="C393" s="1489" t="s">
        <v>1590</v>
      </c>
      <c r="D393" s="1686">
        <v>2.7048611111111114E-2</v>
      </c>
      <c r="E393" s="1489" t="s">
        <v>16837</v>
      </c>
      <c r="F393" s="1489"/>
      <c r="G393" s="1578">
        <v>0.58109999999999995</v>
      </c>
    </row>
    <row r="394" spans="1:23" s="80" customFormat="1" ht="12.75" customHeight="1" x14ac:dyDescent="0.2">
      <c r="A394" s="2057">
        <v>43848</v>
      </c>
      <c r="B394" s="1489" t="s">
        <v>13277</v>
      </c>
      <c r="C394" s="1489" t="s">
        <v>1590</v>
      </c>
      <c r="D394" s="1686" t="s">
        <v>787</v>
      </c>
      <c r="E394" s="1489" t="s">
        <v>16807</v>
      </c>
      <c r="F394" s="1489" t="s">
        <v>5604</v>
      </c>
      <c r="G394" s="1578"/>
    </row>
    <row r="395" spans="1:23" s="80" customFormat="1" ht="12.75" customHeight="1" x14ac:dyDescent="0.2">
      <c r="A395" s="1729">
        <v>43831</v>
      </c>
      <c r="B395" s="1370" t="s">
        <v>13277</v>
      </c>
      <c r="C395" s="1370" t="s">
        <v>1590</v>
      </c>
      <c r="D395" s="1730">
        <v>2.7025462962962963E-2</v>
      </c>
      <c r="E395" s="80" t="s">
        <v>16586</v>
      </c>
      <c r="G395" s="72">
        <v>0.58160000000000001</v>
      </c>
      <c r="I395" s="1708"/>
      <c r="J395" s="1708"/>
      <c r="K395" s="1708"/>
      <c r="L395" s="1708"/>
      <c r="M395" s="1708"/>
      <c r="N395" s="1708"/>
      <c r="O395" s="1708"/>
      <c r="P395" s="1708"/>
      <c r="Q395" s="1708"/>
      <c r="R395" s="1708"/>
      <c r="S395" s="1708"/>
      <c r="T395" s="1708"/>
      <c r="U395" s="1708"/>
      <c r="V395" s="1708"/>
      <c r="W395" s="1708"/>
    </row>
    <row r="396" spans="1:23" s="80" customFormat="1" ht="12.75" customHeight="1" x14ac:dyDescent="0.2">
      <c r="A396" s="1729">
        <v>43831</v>
      </c>
      <c r="B396" s="1370" t="s">
        <v>13277</v>
      </c>
      <c r="C396" s="1370" t="s">
        <v>1590</v>
      </c>
      <c r="D396" s="1730">
        <v>2.7002314814814812E-2</v>
      </c>
      <c r="E396" s="80" t="s">
        <v>16516</v>
      </c>
      <c r="G396" s="72">
        <v>0.58209999999999995</v>
      </c>
      <c r="I396" s="1708"/>
      <c r="J396" s="1708"/>
      <c r="K396" s="1708"/>
      <c r="L396" s="1708"/>
      <c r="M396" s="1708"/>
      <c r="N396" s="1708"/>
      <c r="O396" s="1708"/>
      <c r="P396" s="1708"/>
      <c r="Q396" s="1708"/>
      <c r="R396" s="1708"/>
      <c r="S396" s="1708"/>
      <c r="T396" s="1708"/>
      <c r="U396" s="1708"/>
      <c r="V396" s="1708"/>
      <c r="W396" s="1708"/>
    </row>
    <row r="397" spans="1:23" s="80" customFormat="1" ht="12.75" customHeight="1" x14ac:dyDescent="0.2">
      <c r="A397" s="523">
        <v>43855</v>
      </c>
      <c r="B397" s="1384" t="s">
        <v>1796</v>
      </c>
      <c r="C397" s="1384" t="s">
        <v>1797</v>
      </c>
      <c r="D397" s="1686">
        <v>2.2708333333333334E-2</v>
      </c>
      <c r="E397" s="1489" t="s">
        <v>16740</v>
      </c>
      <c r="F397" s="1489" t="s">
        <v>16774</v>
      </c>
      <c r="G397" s="1578">
        <v>0.499</v>
      </c>
    </row>
    <row r="398" spans="1:23" s="80" customFormat="1" ht="12.75" customHeight="1" x14ac:dyDescent="0.2">
      <c r="A398" s="2057">
        <v>43848</v>
      </c>
      <c r="B398" s="1489" t="s">
        <v>1796</v>
      </c>
      <c r="C398" s="1489" t="s">
        <v>1797</v>
      </c>
      <c r="D398" s="1686">
        <v>2.0300925925925927E-2</v>
      </c>
      <c r="E398" s="1489" t="s">
        <v>16679</v>
      </c>
      <c r="F398" s="1489" t="s">
        <v>16773</v>
      </c>
      <c r="G398" s="1578">
        <v>0.55820000000000003</v>
      </c>
    </row>
    <row r="399" spans="1:23" s="80" customFormat="1" ht="12.75" customHeight="1" x14ac:dyDescent="0.2">
      <c r="A399" s="1886">
        <v>43834</v>
      </c>
      <c r="B399" s="1886" t="s">
        <v>1796</v>
      </c>
      <c r="C399" s="1370" t="s">
        <v>1797</v>
      </c>
      <c r="D399" s="1834">
        <v>2.0254629629629629E-2</v>
      </c>
      <c r="E399" s="1370" t="s">
        <v>16623</v>
      </c>
      <c r="F399" s="1370" t="s">
        <v>16627</v>
      </c>
      <c r="G399" s="1885">
        <v>0.55940000000000001</v>
      </c>
      <c r="H399" s="1370"/>
      <c r="I399" s="1370"/>
      <c r="J399" s="2056"/>
      <c r="K399" s="2056"/>
      <c r="L399" s="2056"/>
      <c r="M399" s="2056"/>
      <c r="N399" s="2056"/>
      <c r="O399" s="2056"/>
      <c r="P399" s="2056"/>
      <c r="Q399" s="2056"/>
      <c r="R399" s="2056"/>
      <c r="S399" s="2056"/>
      <c r="T399" s="2056"/>
      <c r="U399" s="2056"/>
      <c r="V399" s="2056"/>
      <c r="W399" s="2056"/>
    </row>
    <row r="400" spans="1:23" s="80" customFormat="1" ht="12.75" customHeight="1" x14ac:dyDescent="0.2">
      <c r="A400" s="2029">
        <v>43904</v>
      </c>
      <c r="B400" s="2055" t="s">
        <v>16104</v>
      </c>
      <c r="C400" s="2055" t="s">
        <v>1797</v>
      </c>
      <c r="D400" s="2061" t="s">
        <v>787</v>
      </c>
      <c r="E400" s="2055" t="s">
        <v>17282</v>
      </c>
      <c r="F400" s="2047" t="s">
        <v>16893</v>
      </c>
      <c r="G400" s="2063"/>
    </row>
    <row r="401" spans="1:23" s="80" customFormat="1" ht="12.75" customHeight="1" x14ac:dyDescent="0.2">
      <c r="A401" s="2029">
        <v>43897</v>
      </c>
      <c r="B401" s="2031" t="s">
        <v>16104</v>
      </c>
      <c r="C401" s="2034" t="s">
        <v>1797</v>
      </c>
      <c r="D401" s="2030"/>
      <c r="E401" s="2031"/>
      <c r="F401" s="2024" t="s">
        <v>17213</v>
      </c>
      <c r="G401" s="2032"/>
    </row>
    <row r="402" spans="1:23" s="80" customFormat="1" ht="12.75" customHeight="1" x14ac:dyDescent="0.2">
      <c r="A402" s="523">
        <v>43890</v>
      </c>
      <c r="B402" s="1489" t="s">
        <v>16104</v>
      </c>
      <c r="C402" s="1489" t="s">
        <v>1797</v>
      </c>
      <c r="D402" s="1686">
        <v>2.2789351851851856E-2</v>
      </c>
      <c r="E402" s="1489" t="s">
        <v>16982</v>
      </c>
      <c r="F402" s="1489" t="s">
        <v>17139</v>
      </c>
      <c r="G402" s="1578">
        <v>0.50180000000000002</v>
      </c>
    </row>
    <row r="403" spans="1:23" s="80" customFormat="1" ht="12.75" customHeight="1" x14ac:dyDescent="0.2">
      <c r="A403" s="1526">
        <v>43876</v>
      </c>
      <c r="B403" s="1489" t="s">
        <v>16104</v>
      </c>
      <c r="C403" s="1489" t="s">
        <v>1797</v>
      </c>
      <c r="D403" s="1686" t="s">
        <v>787</v>
      </c>
      <c r="E403" s="1489" t="s">
        <v>16989</v>
      </c>
      <c r="F403" s="1489" t="s">
        <v>16733</v>
      </c>
      <c r="G403" s="1578"/>
    </row>
    <row r="404" spans="1:23" s="80" customFormat="1" ht="12.75" customHeight="1" x14ac:dyDescent="0.2">
      <c r="A404" s="1729">
        <v>43831</v>
      </c>
      <c r="B404" s="1370" t="s">
        <v>16104</v>
      </c>
      <c r="C404" s="1370" t="s">
        <v>1797</v>
      </c>
      <c r="D404" s="1730">
        <v>2.1122685185185185E-2</v>
      </c>
      <c r="E404" s="80" t="s">
        <v>16524</v>
      </c>
      <c r="F404" s="80" t="s">
        <v>16568</v>
      </c>
      <c r="G404" s="72">
        <v>0.53639999999999999</v>
      </c>
      <c r="I404" s="1708"/>
      <c r="J404" s="1708"/>
      <c r="K404" s="1708"/>
      <c r="L404" s="1708"/>
      <c r="M404" s="1708"/>
      <c r="N404" s="1708"/>
      <c r="O404" s="1708"/>
      <c r="P404" s="1708"/>
      <c r="Q404" s="1708"/>
      <c r="R404" s="1708"/>
      <c r="S404" s="1708"/>
      <c r="T404" s="1708"/>
      <c r="U404" s="1708"/>
      <c r="V404" s="1708"/>
      <c r="W404" s="1708"/>
    </row>
    <row r="405" spans="1:23" s="80" customFormat="1" ht="12.75" customHeight="1" x14ac:dyDescent="0.2">
      <c r="A405" s="1729">
        <v>43831</v>
      </c>
      <c r="B405" s="1370" t="s">
        <v>16104</v>
      </c>
      <c r="C405" s="1370" t="s">
        <v>1797</v>
      </c>
      <c r="D405" s="1730">
        <v>2.2800925925925926E-2</v>
      </c>
      <c r="E405" s="80" t="s">
        <v>16513</v>
      </c>
      <c r="F405" s="80" t="s">
        <v>16569</v>
      </c>
      <c r="G405" s="72">
        <v>0.497</v>
      </c>
      <c r="I405" s="1708"/>
      <c r="J405" s="1708"/>
      <c r="K405" s="1708"/>
      <c r="L405" s="1708"/>
      <c r="O405" s="1708"/>
      <c r="P405" s="1708"/>
      <c r="Q405" s="1708"/>
      <c r="R405" s="1708"/>
      <c r="S405" s="1708"/>
      <c r="T405" s="1708"/>
      <c r="U405" s="1708"/>
      <c r="V405" s="1708"/>
      <c r="W405" s="1708"/>
    </row>
    <row r="406" spans="1:23" s="80" customFormat="1" ht="12.75" customHeight="1" x14ac:dyDescent="0.2">
      <c r="A406" s="523">
        <v>43855</v>
      </c>
      <c r="B406" s="1384" t="s">
        <v>868</v>
      </c>
      <c r="C406" s="1384" t="s">
        <v>2480</v>
      </c>
      <c r="D406" s="1686">
        <v>2.3831018518518522E-2</v>
      </c>
      <c r="E406" s="1489" t="s">
        <v>16761</v>
      </c>
      <c r="F406" s="1489"/>
      <c r="G406" s="1578">
        <v>0.55220000000000002</v>
      </c>
    </row>
    <row r="407" spans="1:23" s="80" customFormat="1" ht="12.75" customHeight="1" x14ac:dyDescent="0.2">
      <c r="A407" s="2057">
        <v>43841</v>
      </c>
      <c r="B407" s="1895" t="s">
        <v>868</v>
      </c>
      <c r="C407" s="1895" t="s">
        <v>2480</v>
      </c>
      <c r="D407" s="1727">
        <v>2.6053240740740738E-2</v>
      </c>
      <c r="E407" s="1728" t="s">
        <v>16813</v>
      </c>
      <c r="F407" s="1728" t="s">
        <v>16701</v>
      </c>
      <c r="G407" s="1897">
        <v>0.50509999999999999</v>
      </c>
      <c r="H407" s="1370"/>
      <c r="I407" s="1370"/>
      <c r="J407" s="1370"/>
      <c r="K407" s="1370"/>
      <c r="L407" s="1370"/>
      <c r="M407" s="1370"/>
      <c r="N407" s="1370"/>
      <c r="O407" s="1370"/>
      <c r="P407" s="1370"/>
      <c r="Q407" s="1370"/>
      <c r="R407" s="1370"/>
      <c r="S407" s="1370"/>
      <c r="T407" s="1370"/>
      <c r="U407" s="1370"/>
      <c r="V407" s="1370"/>
      <c r="W407" s="1370"/>
    </row>
    <row r="408" spans="1:23" s="80" customFormat="1" ht="12.75" customHeight="1" x14ac:dyDescent="0.2">
      <c r="A408" s="2057">
        <v>43869</v>
      </c>
      <c r="B408" s="1489" t="s">
        <v>1938</v>
      </c>
      <c r="C408" s="1489" t="s">
        <v>2480</v>
      </c>
      <c r="D408" s="1737">
        <v>2.2581018518518518E-2</v>
      </c>
      <c r="E408" s="1489" t="s">
        <v>16927</v>
      </c>
      <c r="F408" s="1489" t="s">
        <v>16959</v>
      </c>
      <c r="G408" s="1578">
        <v>0.58279999999999998</v>
      </c>
    </row>
    <row r="409" spans="1:23" s="80" customFormat="1" ht="12.75" customHeight="1" x14ac:dyDescent="0.2">
      <c r="A409" s="1526">
        <v>43876</v>
      </c>
      <c r="B409" s="1489" t="s">
        <v>16864</v>
      </c>
      <c r="C409" s="1489" t="s">
        <v>2480</v>
      </c>
      <c r="D409" s="1686">
        <v>2.3796296296296298E-2</v>
      </c>
      <c r="E409" s="1489" t="s">
        <v>17016</v>
      </c>
      <c r="F409" s="1489" t="s">
        <v>17064</v>
      </c>
      <c r="G409" s="1578">
        <v>0.55300000000000005</v>
      </c>
    </row>
    <row r="410" spans="1:23" s="80" customFormat="1" ht="12.75" customHeight="1" x14ac:dyDescent="0.2">
      <c r="A410" s="523">
        <v>43862</v>
      </c>
      <c r="B410" s="1489" t="s">
        <v>16864</v>
      </c>
      <c r="C410" s="1489" t="s">
        <v>2480</v>
      </c>
      <c r="D410" s="1686">
        <v>2.3217592592592592E-2</v>
      </c>
      <c r="E410" s="1489" t="s">
        <v>16854</v>
      </c>
      <c r="F410" s="1489" t="s">
        <v>16828</v>
      </c>
      <c r="G410" s="1578">
        <v>0.56679999999999997</v>
      </c>
    </row>
    <row r="411" spans="1:23" s="80" customFormat="1" ht="12.75" customHeight="1" x14ac:dyDescent="0.2">
      <c r="A411" s="1526">
        <v>43876</v>
      </c>
      <c r="B411" s="1804" t="s">
        <v>583</v>
      </c>
      <c r="C411" s="1804" t="s">
        <v>4525</v>
      </c>
      <c r="D411" s="1686">
        <v>2.4050925925925924E-2</v>
      </c>
      <c r="E411" s="1489" t="s">
        <v>17000</v>
      </c>
      <c r="F411" s="1489" t="s">
        <v>17054</v>
      </c>
      <c r="G411" s="1578">
        <v>0.61260000000000003</v>
      </c>
    </row>
    <row r="412" spans="1:23" s="80" customFormat="1" ht="12.75" customHeight="1" x14ac:dyDescent="0.2">
      <c r="A412" s="2057">
        <v>43841</v>
      </c>
      <c r="B412" s="1895" t="s">
        <v>5540</v>
      </c>
      <c r="C412" s="1895" t="s">
        <v>5541</v>
      </c>
      <c r="D412" s="1727">
        <v>1.9745370370370371E-2</v>
      </c>
      <c r="E412" s="1728" t="s">
        <v>16815</v>
      </c>
      <c r="F412" s="1568" t="s">
        <v>16816</v>
      </c>
      <c r="G412" s="1897">
        <v>0.62780000000000002</v>
      </c>
      <c r="H412" s="1370"/>
      <c r="I412" s="1370"/>
      <c r="J412" s="1370"/>
      <c r="K412" s="1370"/>
      <c r="L412" s="1370"/>
      <c r="M412" s="1370"/>
      <c r="N412" s="1370"/>
      <c r="O412" s="1370"/>
      <c r="P412" s="1370"/>
      <c r="Q412" s="1370"/>
      <c r="R412" s="1370"/>
      <c r="S412" s="1370"/>
      <c r="T412" s="1370"/>
      <c r="U412" s="1370"/>
      <c r="V412" s="1370"/>
      <c r="W412" s="1370"/>
    </row>
    <row r="413" spans="1:23" s="80" customFormat="1" ht="12.75" customHeight="1" x14ac:dyDescent="0.2">
      <c r="A413" s="523">
        <v>43890</v>
      </c>
      <c r="B413" s="1489" t="s">
        <v>16497</v>
      </c>
      <c r="C413" s="1489" t="s">
        <v>5541</v>
      </c>
      <c r="D413" s="1686">
        <v>1.9467592592592595E-2</v>
      </c>
      <c r="E413" s="1489" t="s">
        <v>17158</v>
      </c>
      <c r="F413" s="1489" t="s">
        <v>17190</v>
      </c>
      <c r="G413" s="1578">
        <v>0.63670000000000004</v>
      </c>
    </row>
    <row r="414" spans="1:23" s="80" customFormat="1" ht="12.75" customHeight="1" x14ac:dyDescent="0.2">
      <c r="A414" s="1729">
        <v>43831</v>
      </c>
      <c r="B414" s="1370" t="s">
        <v>16497</v>
      </c>
      <c r="C414" s="1370" t="s">
        <v>5541</v>
      </c>
      <c r="D414" s="1730">
        <v>1.8923611111111113E-2</v>
      </c>
      <c r="E414" s="80" t="s">
        <v>16506</v>
      </c>
      <c r="F414" s="80" t="s">
        <v>16567</v>
      </c>
      <c r="G414" s="72">
        <v>0.65500000000000003</v>
      </c>
      <c r="I414" s="1708"/>
      <c r="J414" s="1708"/>
      <c r="K414" s="1708"/>
      <c r="L414" s="1708"/>
      <c r="O414" s="1708"/>
      <c r="P414" s="1708"/>
      <c r="Q414" s="1708"/>
      <c r="R414" s="1708"/>
      <c r="S414" s="1708"/>
      <c r="T414" s="1708"/>
      <c r="U414" s="1708"/>
      <c r="V414" s="1708"/>
      <c r="W414" s="1708"/>
    </row>
    <row r="415" spans="1:23" s="80" customFormat="1" ht="12.75" customHeight="1" x14ac:dyDescent="0.2">
      <c r="A415" s="523">
        <v>43855</v>
      </c>
      <c r="B415" s="1384" t="s">
        <v>3543</v>
      </c>
      <c r="C415" s="1384" t="s">
        <v>3100</v>
      </c>
      <c r="D415" s="1686">
        <v>1.7465277777777777E-2</v>
      </c>
      <c r="E415" s="1489" t="s">
        <v>16089</v>
      </c>
      <c r="F415" s="1489" t="s">
        <v>16801</v>
      </c>
      <c r="G415" s="1578">
        <v>0.60570000000000002</v>
      </c>
    </row>
    <row r="416" spans="1:23" s="80" customFormat="1" ht="12.75" customHeight="1" x14ac:dyDescent="0.2">
      <c r="A416" s="2057">
        <v>43841</v>
      </c>
      <c r="B416" s="1895" t="s">
        <v>5980</v>
      </c>
      <c r="C416" s="1895" t="s">
        <v>4818</v>
      </c>
      <c r="D416" s="1727">
        <v>2.6238425925925925E-2</v>
      </c>
      <c r="E416" s="1728" t="s">
        <v>16707</v>
      </c>
      <c r="F416" s="1728" t="s">
        <v>16715</v>
      </c>
      <c r="G416" s="1897">
        <v>0.52100000000000002</v>
      </c>
      <c r="H416" s="1370"/>
      <c r="I416" s="1370"/>
      <c r="J416" s="1370"/>
      <c r="K416" s="1370"/>
      <c r="L416" s="1370"/>
      <c r="M416" s="1370"/>
      <c r="N416" s="1370"/>
      <c r="O416" s="1370"/>
      <c r="P416" s="1370"/>
      <c r="Q416" s="1370"/>
      <c r="R416" s="1370"/>
      <c r="S416" s="1370"/>
      <c r="T416" s="1370"/>
      <c r="U416" s="1370"/>
      <c r="V416" s="1370"/>
      <c r="W416" s="1370"/>
    </row>
    <row r="417" spans="1:23" s="80" customFormat="1" ht="12.75" customHeight="1" x14ac:dyDescent="0.2">
      <c r="A417" s="1886">
        <v>43834</v>
      </c>
      <c r="B417" s="1886" t="s">
        <v>5980</v>
      </c>
      <c r="C417" s="1370" t="s">
        <v>4818</v>
      </c>
      <c r="D417" s="1834">
        <v>2.3796296296296298E-2</v>
      </c>
      <c r="E417" s="1370" t="s">
        <v>16638</v>
      </c>
      <c r="F417" s="1370" t="s">
        <v>16637</v>
      </c>
      <c r="G417" s="1885">
        <v>0.57440000000000002</v>
      </c>
      <c r="H417" s="1370"/>
      <c r="I417" s="1370"/>
      <c r="J417" s="2056"/>
      <c r="K417" s="2056"/>
      <c r="L417" s="2056"/>
      <c r="M417" s="2056"/>
      <c r="N417" s="1370"/>
      <c r="O417" s="1370"/>
      <c r="P417" s="2056"/>
      <c r="Q417" s="2056"/>
      <c r="R417" s="2056"/>
      <c r="S417" s="2056"/>
      <c r="T417" s="2056"/>
      <c r="U417" s="2056"/>
      <c r="V417" s="2056"/>
      <c r="W417" s="2056"/>
    </row>
    <row r="418" spans="1:23" s="80" customFormat="1" ht="12.75" customHeight="1" x14ac:dyDescent="0.2">
      <c r="A418" s="2029">
        <v>43904</v>
      </c>
      <c r="B418" s="2055" t="s">
        <v>73</v>
      </c>
      <c r="C418" s="2055" t="s">
        <v>4818</v>
      </c>
      <c r="D418" s="2061">
        <v>2.3159722222222224E-2</v>
      </c>
      <c r="E418" s="2055" t="s">
        <v>17284</v>
      </c>
      <c r="F418" s="2048" t="s">
        <v>17275</v>
      </c>
      <c r="G418" s="2063">
        <v>0.59870000000000001</v>
      </c>
    </row>
    <row r="419" spans="1:23" s="80" customFormat="1" ht="12.75" customHeight="1" x14ac:dyDescent="0.2">
      <c r="A419" s="2029">
        <v>43897</v>
      </c>
      <c r="B419" s="2031" t="s">
        <v>15153</v>
      </c>
      <c r="C419" s="2034" t="s">
        <v>4818</v>
      </c>
      <c r="D419" s="2030">
        <v>2.4108796296296298E-2</v>
      </c>
      <c r="E419" s="2031" t="s">
        <v>17226</v>
      </c>
      <c r="F419" s="2048" t="s">
        <v>17207</v>
      </c>
      <c r="G419" s="2032">
        <v>0.57509999999999994</v>
      </c>
    </row>
    <row r="420" spans="1:23" s="80" customFormat="1" ht="12.75" customHeight="1" x14ac:dyDescent="0.2">
      <c r="A420" s="523">
        <v>43890</v>
      </c>
      <c r="B420" s="1489" t="s">
        <v>15153</v>
      </c>
      <c r="C420" s="1489" t="s">
        <v>4818</v>
      </c>
      <c r="D420" s="1686" t="s">
        <v>787</v>
      </c>
      <c r="E420" s="1489" t="s">
        <v>17145</v>
      </c>
      <c r="F420" s="2058" t="s">
        <v>17140</v>
      </c>
      <c r="G420" s="1578"/>
    </row>
    <row r="421" spans="1:23" s="80" customFormat="1" ht="12.75" customHeight="1" x14ac:dyDescent="0.2">
      <c r="A421" s="1526">
        <v>43883</v>
      </c>
      <c r="B421" s="1370" t="s">
        <v>15153</v>
      </c>
      <c r="C421" s="1370" t="s">
        <v>4818</v>
      </c>
      <c r="D421" s="1730">
        <v>2.3993055555555552E-2</v>
      </c>
      <c r="E421" s="80" t="s">
        <v>17109</v>
      </c>
      <c r="G421" s="72">
        <v>0.57789999999999997</v>
      </c>
    </row>
    <row r="422" spans="1:23" s="80" customFormat="1" ht="12.75" customHeight="1" x14ac:dyDescent="0.2">
      <c r="A422" s="1526">
        <v>43876</v>
      </c>
      <c r="B422" s="1489" t="s">
        <v>15153</v>
      </c>
      <c r="C422" s="1489" t="s">
        <v>4818</v>
      </c>
      <c r="D422" s="1686">
        <v>2.4166666666666666E-2</v>
      </c>
      <c r="E422" s="1489" t="s">
        <v>16995</v>
      </c>
      <c r="F422" s="1489" t="s">
        <v>17067</v>
      </c>
      <c r="G422" s="1578">
        <v>0.57379999999999998</v>
      </c>
    </row>
    <row r="423" spans="1:23" s="80" customFormat="1" ht="12.75" customHeight="1" x14ac:dyDescent="0.2">
      <c r="A423" s="2057">
        <v>43869</v>
      </c>
      <c r="B423" s="1489" t="s">
        <v>15153</v>
      </c>
      <c r="C423" s="1489" t="s">
        <v>4818</v>
      </c>
      <c r="D423" s="1737">
        <v>2.3738425925925923E-2</v>
      </c>
      <c r="E423" s="1489" t="s">
        <v>16905</v>
      </c>
      <c r="F423" s="1489" t="s">
        <v>16938</v>
      </c>
      <c r="G423" s="1578">
        <v>0.58409999999999995</v>
      </c>
    </row>
    <row r="424" spans="1:23" s="80" customFormat="1" ht="12.75" customHeight="1" x14ac:dyDescent="0.2">
      <c r="A424" s="523">
        <v>43862</v>
      </c>
      <c r="B424" s="1489" t="s">
        <v>15153</v>
      </c>
      <c r="C424" s="1489" t="s">
        <v>4818</v>
      </c>
      <c r="D424" s="1686">
        <v>2.3692129629629629E-2</v>
      </c>
      <c r="E424" s="1489" t="s">
        <v>16848</v>
      </c>
      <c r="F424" s="1489" t="s">
        <v>16859</v>
      </c>
      <c r="G424" s="1578">
        <v>0.58520000000000005</v>
      </c>
    </row>
    <row r="425" spans="1:23" s="80" customFormat="1" ht="12.75" customHeight="1" x14ac:dyDescent="0.2">
      <c r="A425" s="1729">
        <v>43831</v>
      </c>
      <c r="B425" s="1370" t="s">
        <v>15153</v>
      </c>
      <c r="C425" s="1370" t="s">
        <v>4818</v>
      </c>
      <c r="D425" s="1730">
        <v>2.4733796296296295E-2</v>
      </c>
      <c r="E425" s="80" t="s">
        <v>16515</v>
      </c>
      <c r="F425" s="80" t="s">
        <v>16579</v>
      </c>
      <c r="G425" s="72">
        <v>0.55259999999999998</v>
      </c>
      <c r="H425" s="80" t="s">
        <v>16493</v>
      </c>
      <c r="I425" s="1708"/>
      <c r="J425" s="1708"/>
      <c r="K425" s="1708"/>
      <c r="L425" s="1708"/>
      <c r="M425" s="1708"/>
      <c r="N425" s="1708"/>
      <c r="O425" s="1708"/>
      <c r="P425" s="1708"/>
      <c r="Q425" s="1708"/>
      <c r="R425" s="1708"/>
      <c r="S425" s="1708"/>
      <c r="T425" s="1708"/>
      <c r="U425" s="1708"/>
      <c r="V425" s="1708"/>
      <c r="W425" s="1708"/>
    </row>
    <row r="426" spans="1:23" s="80" customFormat="1" ht="12.75" customHeight="1" x14ac:dyDescent="0.2">
      <c r="A426" s="1729">
        <v>43831</v>
      </c>
      <c r="B426" s="1370" t="s">
        <v>15153</v>
      </c>
      <c r="C426" s="1370" t="s">
        <v>4818</v>
      </c>
      <c r="D426" s="1730">
        <v>2.841435185185185E-2</v>
      </c>
      <c r="E426" s="80" t="s">
        <v>16529</v>
      </c>
      <c r="F426" s="80" t="s">
        <v>16581</v>
      </c>
      <c r="G426" s="72">
        <v>0.48110000000000003</v>
      </c>
      <c r="H426" s="80" t="s">
        <v>12776</v>
      </c>
      <c r="I426" s="1708"/>
      <c r="J426" s="1708"/>
      <c r="K426" s="1708"/>
      <c r="L426" s="1708"/>
      <c r="M426" s="1708"/>
      <c r="N426" s="1708"/>
      <c r="O426" s="1708"/>
      <c r="P426" s="1708"/>
      <c r="Q426" s="1708"/>
      <c r="R426" s="1708"/>
      <c r="S426" s="1708"/>
      <c r="T426" s="1708"/>
      <c r="U426" s="1708"/>
      <c r="V426" s="1708"/>
      <c r="W426" s="1708"/>
    </row>
    <row r="427" spans="1:23" s="80" customFormat="1" ht="12.75" customHeight="1" x14ac:dyDescent="0.2">
      <c r="A427" s="1526">
        <v>43876</v>
      </c>
      <c r="B427" s="1804" t="s">
        <v>8230</v>
      </c>
      <c r="C427" s="1804" t="s">
        <v>17030</v>
      </c>
      <c r="D427" s="1686">
        <v>1.7766203703703704E-2</v>
      </c>
      <c r="E427" s="1489" t="s">
        <v>17000</v>
      </c>
      <c r="F427" s="1489" t="s">
        <v>17031</v>
      </c>
      <c r="G427" s="1578">
        <v>0.65539999999999998</v>
      </c>
    </row>
    <row r="428" spans="1:23" s="80" customFormat="1" ht="12.75" customHeight="1" x14ac:dyDescent="0.2">
      <c r="A428" s="1729">
        <v>43831</v>
      </c>
      <c r="B428" s="1370" t="s">
        <v>15565</v>
      </c>
      <c r="C428" s="1370" t="s">
        <v>1691</v>
      </c>
      <c r="D428" s="1730">
        <v>2.8171296296296298E-2</v>
      </c>
      <c r="E428" s="80" t="s">
        <v>16538</v>
      </c>
      <c r="G428" s="72">
        <v>0.44040000000000001</v>
      </c>
      <c r="H428" s="80" t="s">
        <v>16491</v>
      </c>
      <c r="I428" s="1708"/>
      <c r="J428" s="1708"/>
      <c r="K428" s="1708"/>
      <c r="L428" s="1708"/>
      <c r="M428" s="1708"/>
      <c r="N428" s="1708"/>
      <c r="O428" s="1708"/>
      <c r="P428" s="1708"/>
      <c r="Q428" s="1708"/>
      <c r="R428" s="1708"/>
      <c r="S428" s="1708"/>
      <c r="T428" s="1708"/>
      <c r="U428" s="1708"/>
      <c r="V428" s="1708"/>
      <c r="W428" s="1708"/>
    </row>
    <row r="429" spans="1:23" s="80" customFormat="1" ht="12.75" customHeight="1" x14ac:dyDescent="0.2">
      <c r="A429" s="523">
        <v>43855</v>
      </c>
      <c r="B429" s="1384" t="s">
        <v>3011</v>
      </c>
      <c r="C429" s="1384" t="s">
        <v>3012</v>
      </c>
      <c r="D429" s="1686">
        <v>1.4236111111111111E-2</v>
      </c>
      <c r="E429" s="1489" t="s">
        <v>16781</v>
      </c>
      <c r="F429" s="1489" t="s">
        <v>16783</v>
      </c>
      <c r="G429" s="1578">
        <v>0.73089999999999999</v>
      </c>
    </row>
    <row r="430" spans="1:23" s="80" customFormat="1" ht="12.75" customHeight="1" x14ac:dyDescent="0.2">
      <c r="A430" s="2057">
        <v>43869</v>
      </c>
      <c r="B430" s="1489" t="s">
        <v>3209</v>
      </c>
      <c r="C430" s="1489" t="s">
        <v>3012</v>
      </c>
      <c r="D430" s="1737">
        <v>1.3425925925925924E-2</v>
      </c>
      <c r="E430" s="1489" t="s">
        <v>16914</v>
      </c>
      <c r="F430" s="1489" t="s">
        <v>16948</v>
      </c>
      <c r="G430" s="1578">
        <v>0.77500000000000002</v>
      </c>
    </row>
    <row r="431" spans="1:23" s="80" customFormat="1" ht="12.75" customHeight="1" x14ac:dyDescent="0.2">
      <c r="A431" s="2057">
        <v>43841</v>
      </c>
      <c r="B431" s="1895" t="s">
        <v>3209</v>
      </c>
      <c r="C431" s="1895" t="s">
        <v>3012</v>
      </c>
      <c r="D431" s="1727">
        <v>1.34375E-2</v>
      </c>
      <c r="E431" s="1728" t="s">
        <v>16814</v>
      </c>
      <c r="F431" s="1728" t="s">
        <v>16692</v>
      </c>
      <c r="G431" s="1897">
        <v>0.77429999999999999</v>
      </c>
      <c r="H431" s="1370"/>
      <c r="I431" s="1370"/>
      <c r="J431" s="1370"/>
      <c r="K431" s="1370"/>
      <c r="L431" s="1370"/>
      <c r="M431" s="1370"/>
      <c r="N431" s="1370"/>
      <c r="O431" s="1370"/>
      <c r="P431" s="1370"/>
      <c r="Q431" s="1370"/>
      <c r="R431" s="1370"/>
      <c r="S431" s="1370"/>
      <c r="T431" s="1370"/>
      <c r="U431" s="1370"/>
      <c r="V431" s="1370"/>
      <c r="W431" s="1370"/>
    </row>
    <row r="432" spans="1:23" s="80" customFormat="1" ht="12.75" customHeight="1" x14ac:dyDescent="0.2">
      <c r="A432" s="1526">
        <v>43883</v>
      </c>
      <c r="B432" s="1370" t="s">
        <v>15490</v>
      </c>
      <c r="C432" s="1370" t="s">
        <v>3012</v>
      </c>
      <c r="D432" s="1730">
        <v>1.3020833333333334E-2</v>
      </c>
      <c r="E432" s="80" t="s">
        <v>17101</v>
      </c>
      <c r="F432" s="80" t="s">
        <v>17089</v>
      </c>
      <c r="G432" s="72">
        <v>0.79910000000000003</v>
      </c>
    </row>
    <row r="433" spans="1:23" s="80" customFormat="1" ht="12.75" customHeight="1" x14ac:dyDescent="0.2">
      <c r="A433" s="1526">
        <v>43876</v>
      </c>
      <c r="B433" s="1489" t="s">
        <v>15490</v>
      </c>
      <c r="C433" s="1489" t="s">
        <v>3012</v>
      </c>
      <c r="D433" s="1686">
        <v>1.2951388888888887E-2</v>
      </c>
      <c r="E433" s="1489" t="s">
        <v>17005</v>
      </c>
      <c r="F433" s="1489" t="s">
        <v>17056</v>
      </c>
      <c r="G433" s="1578">
        <v>0.8034</v>
      </c>
    </row>
    <row r="434" spans="1:23" s="80" customFormat="1" ht="12.75" customHeight="1" x14ac:dyDescent="0.2">
      <c r="A434" s="523">
        <v>43855</v>
      </c>
      <c r="B434" s="1384" t="s">
        <v>4640</v>
      </c>
      <c r="C434" s="1384" t="s">
        <v>4641</v>
      </c>
      <c r="D434" s="1733" t="s">
        <v>787</v>
      </c>
      <c r="E434" s="1489" t="s">
        <v>16089</v>
      </c>
      <c r="F434" s="1489" t="s">
        <v>16733</v>
      </c>
      <c r="G434" s="1578"/>
    </row>
    <row r="435" spans="1:23" s="80" customFormat="1" ht="12.75" customHeight="1" x14ac:dyDescent="0.2">
      <c r="A435" s="2029">
        <v>43904</v>
      </c>
      <c r="B435" s="2049" t="s">
        <v>10595</v>
      </c>
      <c r="C435" s="2049" t="s">
        <v>4641</v>
      </c>
      <c r="D435" s="2065" t="s">
        <v>787</v>
      </c>
      <c r="E435" s="2055" t="s">
        <v>17290</v>
      </c>
      <c r="F435" s="2049" t="s">
        <v>16893</v>
      </c>
      <c r="G435" s="2062"/>
    </row>
    <row r="436" spans="1:23" s="80" customFormat="1" ht="12.75" customHeight="1" x14ac:dyDescent="0.2">
      <c r="A436" s="2057">
        <v>43869</v>
      </c>
      <c r="B436" s="1489" t="s">
        <v>16930</v>
      </c>
      <c r="C436" s="1489" t="s">
        <v>4641</v>
      </c>
      <c r="D436" s="1623" t="s">
        <v>787</v>
      </c>
      <c r="E436" s="1489" t="s">
        <v>16909</v>
      </c>
      <c r="F436" s="1489" t="s">
        <v>16893</v>
      </c>
      <c r="G436" s="1578"/>
    </row>
    <row r="437" spans="1:23" s="80" customFormat="1" ht="12.75" customHeight="1" x14ac:dyDescent="0.2">
      <c r="A437" s="1886">
        <v>43834</v>
      </c>
      <c r="B437" s="1886" t="s">
        <v>11839</v>
      </c>
      <c r="C437" s="1370" t="s">
        <v>4641</v>
      </c>
      <c r="D437" s="1834" t="s">
        <v>787</v>
      </c>
      <c r="E437" s="1370" t="s">
        <v>16594</v>
      </c>
      <c r="F437" s="1370" t="s">
        <v>16596</v>
      </c>
      <c r="G437" s="1885"/>
      <c r="H437" s="1370"/>
      <c r="I437" s="1370"/>
      <c r="J437" s="2056"/>
      <c r="K437" s="2056"/>
      <c r="L437" s="2056"/>
      <c r="M437" s="2056"/>
      <c r="N437" s="2056"/>
      <c r="O437" s="2056"/>
      <c r="P437" s="2056"/>
      <c r="Q437" s="2056"/>
      <c r="R437" s="2056"/>
      <c r="S437" s="2056"/>
      <c r="T437" s="2056"/>
      <c r="U437" s="2056"/>
      <c r="V437" s="2056"/>
      <c r="W437" s="2056"/>
    </row>
    <row r="438" spans="1:23" s="80" customFormat="1" ht="12.75" customHeight="1" x14ac:dyDescent="0.2">
      <c r="A438" s="2057">
        <v>43841</v>
      </c>
      <c r="B438" s="1489" t="s">
        <v>665</v>
      </c>
      <c r="C438" s="1489" t="s">
        <v>666</v>
      </c>
      <c r="D438" s="1737">
        <v>2.0034722222222221E-2</v>
      </c>
      <c r="E438" s="1489" t="s">
        <v>16656</v>
      </c>
      <c r="F438" s="1489" t="s">
        <v>16659</v>
      </c>
      <c r="G438" s="1578">
        <v>0.55110000000000003</v>
      </c>
      <c r="H438" s="1370"/>
      <c r="I438" s="1370"/>
      <c r="J438" s="1370"/>
      <c r="K438" s="1370"/>
      <c r="L438" s="1370"/>
      <c r="M438" s="1370"/>
      <c r="N438" s="1370"/>
      <c r="O438" s="1370"/>
      <c r="P438" s="1370"/>
      <c r="Q438" s="1370"/>
      <c r="R438" s="1370"/>
      <c r="S438" s="1370"/>
      <c r="T438" s="1370"/>
      <c r="U438" s="1370"/>
      <c r="V438" s="1370"/>
      <c r="W438" s="1370"/>
    </row>
    <row r="439" spans="1:23" s="80" customFormat="1" ht="12.75" customHeight="1" x14ac:dyDescent="0.2">
      <c r="A439" s="1886">
        <v>43834</v>
      </c>
      <c r="B439" s="1886" t="s">
        <v>665</v>
      </c>
      <c r="C439" s="1370" t="s">
        <v>666</v>
      </c>
      <c r="D439" s="1834">
        <v>2.119212962962963E-2</v>
      </c>
      <c r="E439" s="1886" t="s">
        <v>16615</v>
      </c>
      <c r="F439" s="1886" t="s">
        <v>16616</v>
      </c>
      <c r="G439" s="1885">
        <v>0.52100000000000002</v>
      </c>
      <c r="H439" s="1370"/>
      <c r="I439" s="1370"/>
      <c r="J439" s="2056"/>
      <c r="K439" s="2056"/>
      <c r="L439" s="2056"/>
      <c r="M439" s="2056"/>
      <c r="N439" s="2056"/>
      <c r="O439" s="2056"/>
      <c r="P439" s="2056"/>
      <c r="Q439" s="2056"/>
      <c r="R439" s="2056"/>
      <c r="S439" s="2056"/>
      <c r="T439" s="2056"/>
      <c r="U439" s="2056"/>
      <c r="V439" s="2056"/>
      <c r="W439" s="2056"/>
    </row>
    <row r="440" spans="1:23" s="80" customFormat="1" ht="12.75" customHeight="1" x14ac:dyDescent="0.2">
      <c r="A440" s="523">
        <v>43862</v>
      </c>
      <c r="B440" s="1489" t="s">
        <v>1264</v>
      </c>
      <c r="C440" s="1489" t="s">
        <v>666</v>
      </c>
      <c r="D440" s="1686">
        <v>2.1423611111111112E-2</v>
      </c>
      <c r="E440" s="1489" t="s">
        <v>16850</v>
      </c>
      <c r="F440" s="1489" t="s">
        <v>16860</v>
      </c>
      <c r="G440" s="1578">
        <v>0.51539999999999997</v>
      </c>
    </row>
    <row r="441" spans="1:23" s="80" customFormat="1" ht="12.75" customHeight="1" x14ac:dyDescent="0.2">
      <c r="A441" s="2057">
        <v>43848</v>
      </c>
      <c r="B441" s="1489" t="s">
        <v>1264</v>
      </c>
      <c r="C441" s="1489" t="s">
        <v>666</v>
      </c>
      <c r="D441" s="1686">
        <v>2.0717592592592593E-2</v>
      </c>
      <c r="E441" s="1489" t="s">
        <v>16672</v>
      </c>
      <c r="F441" s="1489" t="s">
        <v>16768</v>
      </c>
      <c r="G441" s="1578">
        <v>0.53300000000000003</v>
      </c>
    </row>
    <row r="442" spans="1:23" s="80" customFormat="1" ht="12.75" customHeight="1" x14ac:dyDescent="0.2">
      <c r="A442" s="2029">
        <v>43904</v>
      </c>
      <c r="B442" s="2055" t="s">
        <v>16367</v>
      </c>
      <c r="C442" s="2055" t="s">
        <v>666</v>
      </c>
      <c r="D442" s="2061">
        <v>2.0868055555555556E-2</v>
      </c>
      <c r="E442" s="2055" t="s">
        <v>17287</v>
      </c>
      <c r="F442" s="2048" t="s">
        <v>17320</v>
      </c>
      <c r="G442" s="2063">
        <v>0.52910000000000001</v>
      </c>
    </row>
    <row r="443" spans="1:23" s="80" customFormat="1" ht="12.75" customHeight="1" x14ac:dyDescent="0.2">
      <c r="A443" s="2029">
        <v>43897</v>
      </c>
      <c r="B443" s="2031" t="s">
        <v>16367</v>
      </c>
      <c r="C443" s="2034" t="s">
        <v>666</v>
      </c>
      <c r="D443" s="2030">
        <v>1.9733796296296298E-2</v>
      </c>
      <c r="E443" s="2031" t="s">
        <v>17228</v>
      </c>
      <c r="F443" s="2048" t="s">
        <v>17208</v>
      </c>
      <c r="G443" s="2032">
        <v>0.5595</v>
      </c>
    </row>
    <row r="444" spans="1:23" s="80" customFormat="1" ht="12.75" customHeight="1" x14ac:dyDescent="0.2">
      <c r="A444" s="523">
        <v>43890</v>
      </c>
      <c r="B444" s="1489" t="s">
        <v>16367</v>
      </c>
      <c r="C444" s="1489" t="s">
        <v>666</v>
      </c>
      <c r="D444" s="1686">
        <v>2.1562499999999998E-2</v>
      </c>
      <c r="E444" s="1489" t="s">
        <v>17150</v>
      </c>
      <c r="F444" s="2058" t="s">
        <v>17173</v>
      </c>
      <c r="G444" s="1578">
        <v>0.5121</v>
      </c>
    </row>
    <row r="445" spans="1:23" s="80" customFormat="1" ht="12.75" customHeight="1" x14ac:dyDescent="0.2">
      <c r="A445" s="1526">
        <v>43883</v>
      </c>
      <c r="B445" s="1370" t="s">
        <v>16367</v>
      </c>
      <c r="C445" s="1370" t="s">
        <v>666</v>
      </c>
      <c r="D445" s="1730">
        <v>2.2361111111111113E-2</v>
      </c>
      <c r="E445" s="80" t="s">
        <v>17106</v>
      </c>
      <c r="F445" s="80" t="s">
        <v>17125</v>
      </c>
      <c r="G445" s="72">
        <v>0.49380000000000002</v>
      </c>
    </row>
    <row r="446" spans="1:23" s="80" customFormat="1" ht="12.75" customHeight="1" x14ac:dyDescent="0.2">
      <c r="A446" s="1526">
        <v>43876</v>
      </c>
      <c r="B446" s="1489" t="s">
        <v>16367</v>
      </c>
      <c r="C446" s="1489" t="s">
        <v>666</v>
      </c>
      <c r="D446" s="1686">
        <v>2.1226851851851851E-2</v>
      </c>
      <c r="E446" s="1489" t="s">
        <v>16995</v>
      </c>
      <c r="F446" s="1489" t="s">
        <v>17045</v>
      </c>
      <c r="G446" s="1578">
        <v>0.5202</v>
      </c>
    </row>
    <row r="447" spans="1:23" s="80" customFormat="1" ht="12.75" customHeight="1" x14ac:dyDescent="0.2">
      <c r="A447" s="2057">
        <v>43869</v>
      </c>
      <c r="B447" s="1489" t="s">
        <v>16367</v>
      </c>
      <c r="C447" s="1489" t="s">
        <v>666</v>
      </c>
      <c r="D447" s="1737">
        <v>1.9849537037037034E-2</v>
      </c>
      <c r="E447" s="1489" t="s">
        <v>16921</v>
      </c>
      <c r="F447" s="1489" t="s">
        <v>16895</v>
      </c>
      <c r="G447" s="1578">
        <v>0.55630000000000002</v>
      </c>
    </row>
    <row r="448" spans="1:23" s="80" customFormat="1" ht="12.75" customHeight="1" x14ac:dyDescent="0.2">
      <c r="A448" s="1729">
        <v>43831</v>
      </c>
      <c r="B448" s="1370" t="s">
        <v>16367</v>
      </c>
      <c r="C448" s="1370" t="s">
        <v>666</v>
      </c>
      <c r="D448" s="1730">
        <v>2.0821759259259262E-2</v>
      </c>
      <c r="E448" s="80" t="s">
        <v>16537</v>
      </c>
      <c r="F448" s="80" t="s">
        <v>16546</v>
      </c>
      <c r="G448" s="72">
        <v>0.53029999999999999</v>
      </c>
      <c r="H448" s="80" t="s">
        <v>16488</v>
      </c>
      <c r="I448" s="1708"/>
      <c r="J448" s="1708"/>
      <c r="K448" s="1708"/>
      <c r="L448" s="1708"/>
      <c r="M448" s="1708"/>
      <c r="N448" s="1708"/>
      <c r="O448" s="1708"/>
      <c r="P448" s="1708"/>
      <c r="Q448" s="1708"/>
      <c r="R448" s="1708"/>
      <c r="S448" s="1708"/>
      <c r="T448" s="1708"/>
      <c r="U448" s="1708"/>
      <c r="V448" s="1708"/>
      <c r="W448" s="1708"/>
    </row>
    <row r="449" spans="1:23" s="80" customFormat="1" ht="12.75" customHeight="1" x14ac:dyDescent="0.2">
      <c r="A449" s="1729">
        <v>43831</v>
      </c>
      <c r="B449" s="1370" t="s">
        <v>16367</v>
      </c>
      <c r="C449" s="1370" t="s">
        <v>666</v>
      </c>
      <c r="D449" s="1730">
        <v>2.3773148148148147E-2</v>
      </c>
      <c r="E449" s="80" t="s">
        <v>16538</v>
      </c>
      <c r="F449" s="80" t="s">
        <v>16547</v>
      </c>
      <c r="G449" s="72">
        <v>0.46450000000000002</v>
      </c>
      <c r="H449" s="80" t="s">
        <v>16488</v>
      </c>
      <c r="I449" s="1708"/>
      <c r="J449" s="1708"/>
      <c r="K449" s="1708"/>
      <c r="L449" s="1708"/>
      <c r="M449" s="1708"/>
      <c r="N449" s="1708"/>
      <c r="O449" s="1708"/>
      <c r="P449" s="1708"/>
      <c r="Q449" s="1708"/>
      <c r="R449" s="1708"/>
      <c r="S449" s="1708"/>
      <c r="T449" s="1708"/>
      <c r="U449" s="1708"/>
      <c r="V449" s="1708"/>
      <c r="W449" s="1708"/>
    </row>
    <row r="450" spans="1:23" s="80" customFormat="1" ht="12.75" customHeight="1" x14ac:dyDescent="0.2">
      <c r="A450" s="523">
        <v>43855</v>
      </c>
      <c r="B450" s="1384" t="s">
        <v>16739</v>
      </c>
      <c r="C450" s="1384" t="s">
        <v>666</v>
      </c>
      <c r="D450" s="1686">
        <v>2.1238425925925928E-2</v>
      </c>
      <c r="E450" s="1489" t="s">
        <v>16759</v>
      </c>
      <c r="F450" s="1489" t="s">
        <v>16736</v>
      </c>
      <c r="G450" s="1578">
        <v>0.51990000000000003</v>
      </c>
    </row>
    <row r="451" spans="1:23" s="80" customFormat="1" ht="12.75" customHeight="1" x14ac:dyDescent="0.2">
      <c r="A451" s="523">
        <v>43855</v>
      </c>
      <c r="B451" s="1384" t="s">
        <v>12797</v>
      </c>
      <c r="C451" s="1384" t="s">
        <v>12718</v>
      </c>
      <c r="D451" s="1686">
        <v>1.5706018518518518E-2</v>
      </c>
      <c r="E451" s="1489" t="s">
        <v>16744</v>
      </c>
      <c r="F451" s="1489"/>
      <c r="G451" s="1578">
        <v>0.65439999999999998</v>
      </c>
    </row>
    <row r="452" spans="1:23" s="80" customFormat="1" ht="12.75" customHeight="1" x14ac:dyDescent="0.2">
      <c r="A452" s="2057">
        <v>43841</v>
      </c>
      <c r="B452" s="1895" t="s">
        <v>12797</v>
      </c>
      <c r="C452" s="1895" t="s">
        <v>12718</v>
      </c>
      <c r="D452" s="1727">
        <v>1.6886574074074075E-2</v>
      </c>
      <c r="E452" s="1728" t="s">
        <v>16810</v>
      </c>
      <c r="F452" s="1568"/>
      <c r="G452" s="1897">
        <v>0.60860000000000003</v>
      </c>
      <c r="H452" s="1370"/>
      <c r="I452" s="1370"/>
      <c r="J452" s="1370"/>
      <c r="K452" s="1370"/>
      <c r="L452" s="1370"/>
      <c r="M452" s="1370"/>
      <c r="N452" s="1370"/>
      <c r="O452" s="1370"/>
      <c r="P452" s="1370"/>
      <c r="Q452" s="1370"/>
      <c r="R452" s="1370"/>
      <c r="S452" s="1370"/>
      <c r="T452" s="1370"/>
      <c r="U452" s="1370"/>
      <c r="V452" s="1370"/>
      <c r="W452" s="1370"/>
    </row>
    <row r="453" spans="1:23" s="80" customFormat="1" ht="12.75" customHeight="1" x14ac:dyDescent="0.2">
      <c r="A453" s="1526">
        <v>43883</v>
      </c>
      <c r="B453" s="1370" t="s">
        <v>16498</v>
      </c>
      <c r="C453" s="1370" t="s">
        <v>12718</v>
      </c>
      <c r="D453" s="1730">
        <v>1.6874999999999998E-2</v>
      </c>
      <c r="E453" s="80" t="s">
        <v>17095</v>
      </c>
      <c r="F453" s="80" t="s">
        <v>17116</v>
      </c>
      <c r="G453" s="72">
        <v>0.60909999999999997</v>
      </c>
    </row>
    <row r="454" spans="1:23" s="80" customFormat="1" ht="12.75" customHeight="1" x14ac:dyDescent="0.2">
      <c r="A454" s="1729">
        <v>43831</v>
      </c>
      <c r="B454" s="1370" t="s">
        <v>16498</v>
      </c>
      <c r="C454" s="1370" t="s">
        <v>12718</v>
      </c>
      <c r="D454" s="1730">
        <v>1.5416666666666665E-2</v>
      </c>
      <c r="E454" s="80" t="s">
        <v>16508</v>
      </c>
      <c r="F454" s="80" t="s">
        <v>4762</v>
      </c>
      <c r="G454" s="72">
        <v>0.66669999999999996</v>
      </c>
      <c r="I454" s="1708"/>
      <c r="J454" s="1708"/>
      <c r="K454" s="1708"/>
      <c r="L454" s="1708"/>
      <c r="M454" s="1708"/>
      <c r="N454" s="1708"/>
      <c r="O454" s="1708"/>
      <c r="P454" s="1708"/>
      <c r="Q454" s="1708"/>
      <c r="R454" s="1708"/>
      <c r="S454" s="1708"/>
      <c r="T454" s="1708"/>
      <c r="U454" s="1708"/>
      <c r="V454" s="1708"/>
      <c r="W454" s="1708"/>
    </row>
    <row r="455" spans="1:23" s="80" customFormat="1" ht="12.75" customHeight="1" x14ac:dyDescent="0.2">
      <c r="A455" s="523">
        <v>43890</v>
      </c>
      <c r="B455" s="1489" t="s">
        <v>16683</v>
      </c>
      <c r="C455" s="1489" t="s">
        <v>12718</v>
      </c>
      <c r="D455" s="1686">
        <v>1.5659722222222221E-2</v>
      </c>
      <c r="E455" s="1489" t="s">
        <v>17147</v>
      </c>
      <c r="F455" s="2058"/>
      <c r="G455" s="1578">
        <v>0.65629999999999999</v>
      </c>
    </row>
    <row r="456" spans="1:23" s="80" customFormat="1" ht="12.75" customHeight="1" x14ac:dyDescent="0.2">
      <c r="A456" s="523">
        <v>43862</v>
      </c>
      <c r="B456" s="1489" t="s">
        <v>16683</v>
      </c>
      <c r="C456" s="1489" t="s">
        <v>12718</v>
      </c>
      <c r="D456" s="1686">
        <v>1.6967592592592593E-2</v>
      </c>
      <c r="E456" s="1489" t="s">
        <v>16841</v>
      </c>
      <c r="F456" s="1489"/>
      <c r="G456" s="1578">
        <v>0.60570000000000002</v>
      </c>
    </row>
    <row r="457" spans="1:23" s="80" customFormat="1" ht="12.75" customHeight="1" x14ac:dyDescent="0.2">
      <c r="A457" s="2057">
        <v>43848</v>
      </c>
      <c r="B457" s="1489" t="s">
        <v>16683</v>
      </c>
      <c r="C457" s="1489" t="s">
        <v>12718</v>
      </c>
      <c r="D457" s="1686">
        <v>1.6527777777777777E-2</v>
      </c>
      <c r="E457" s="1489" t="s">
        <v>16669</v>
      </c>
      <c r="F457" s="1489"/>
      <c r="G457" s="1578">
        <v>0.62180000000000002</v>
      </c>
    </row>
    <row r="458" spans="1:23" s="80" customFormat="1" ht="12.75" customHeight="1" x14ac:dyDescent="0.2">
      <c r="A458" s="523">
        <v>43855</v>
      </c>
      <c r="B458" s="1384" t="s">
        <v>12758</v>
      </c>
      <c r="C458" s="1384" t="s">
        <v>12718</v>
      </c>
      <c r="D458" s="1686">
        <v>1.5717592592592592E-2</v>
      </c>
      <c r="E458" s="1489" t="s">
        <v>16744</v>
      </c>
      <c r="F458" s="1489"/>
      <c r="G458" s="1578">
        <v>0.70250000000000001</v>
      </c>
    </row>
    <row r="459" spans="1:23" s="80" customFormat="1" ht="12.75" customHeight="1" x14ac:dyDescent="0.2">
      <c r="A459" s="2057">
        <v>43841</v>
      </c>
      <c r="B459" s="1895" t="s">
        <v>12758</v>
      </c>
      <c r="C459" s="1895" t="s">
        <v>12718</v>
      </c>
      <c r="D459" s="1727">
        <v>1.6886574074074075E-2</v>
      </c>
      <c r="E459" s="1728" t="s">
        <v>16810</v>
      </c>
      <c r="F459" s="1568"/>
      <c r="G459" s="1897">
        <v>0.65390000000000004</v>
      </c>
      <c r="H459" s="1370"/>
      <c r="I459" s="1370"/>
      <c r="J459" s="1370"/>
      <c r="K459" s="1370"/>
      <c r="L459" s="1370"/>
      <c r="M459" s="1370"/>
      <c r="N459" s="1370"/>
      <c r="O459" s="1370"/>
      <c r="P459" s="1370"/>
      <c r="Q459" s="1370"/>
      <c r="R459" s="1370"/>
      <c r="S459" s="1370"/>
      <c r="T459" s="1370"/>
      <c r="U459" s="1370"/>
      <c r="V459" s="1370"/>
      <c r="W459" s="1370"/>
    </row>
    <row r="460" spans="1:23" s="80" customFormat="1" ht="12.75" customHeight="1" x14ac:dyDescent="0.2">
      <c r="A460" s="2029">
        <v>43904</v>
      </c>
      <c r="B460" s="2055" t="s">
        <v>12756</v>
      </c>
      <c r="C460" s="2055" t="s">
        <v>12718</v>
      </c>
      <c r="D460" s="2061">
        <v>1.4918981481481483E-2</v>
      </c>
      <c r="E460" s="2055" t="s">
        <v>17297</v>
      </c>
      <c r="F460" s="2048" t="s">
        <v>17280</v>
      </c>
      <c r="G460" s="2063">
        <v>0.74009999999999998</v>
      </c>
    </row>
    <row r="461" spans="1:23" s="80" customFormat="1" ht="12.75" customHeight="1" x14ac:dyDescent="0.2">
      <c r="A461" s="523">
        <v>43890</v>
      </c>
      <c r="B461" s="1489" t="s">
        <v>12756</v>
      </c>
      <c r="C461" s="1489" t="s">
        <v>12718</v>
      </c>
      <c r="D461" s="1686">
        <v>1.5659722222222221E-2</v>
      </c>
      <c r="E461" s="1489" t="s">
        <v>17147</v>
      </c>
      <c r="F461" s="2058"/>
      <c r="G461" s="1578">
        <v>0.70509999999999995</v>
      </c>
    </row>
    <row r="462" spans="1:23" s="80" customFormat="1" ht="12.75" customHeight="1" x14ac:dyDescent="0.2">
      <c r="A462" s="1526">
        <v>43883</v>
      </c>
      <c r="B462" s="1370" t="s">
        <v>12756</v>
      </c>
      <c r="C462" s="1370" t="s">
        <v>12718</v>
      </c>
      <c r="D462" s="1730">
        <v>1.556712962962963E-2</v>
      </c>
      <c r="E462" s="80" t="s">
        <v>17095</v>
      </c>
      <c r="F462" s="80" t="s">
        <v>17087</v>
      </c>
      <c r="G462" s="72">
        <v>0.70930000000000004</v>
      </c>
    </row>
    <row r="463" spans="1:23" s="80" customFormat="1" ht="12.75" customHeight="1" x14ac:dyDescent="0.2">
      <c r="A463" s="523">
        <v>43862</v>
      </c>
      <c r="B463" s="1489" t="s">
        <v>13372</v>
      </c>
      <c r="C463" s="1489" t="s">
        <v>12718</v>
      </c>
      <c r="D463" s="1686">
        <v>1.5069444444444444E-2</v>
      </c>
      <c r="E463" s="1489" t="s">
        <v>16841</v>
      </c>
      <c r="F463" s="1489" t="s">
        <v>16880</v>
      </c>
      <c r="G463" s="1578">
        <v>0.73270000000000002</v>
      </c>
    </row>
    <row r="464" spans="1:23" s="80" customFormat="1" ht="12.75" customHeight="1" x14ac:dyDescent="0.2">
      <c r="A464" s="2057">
        <v>43848</v>
      </c>
      <c r="B464" s="1489" t="s">
        <v>13372</v>
      </c>
      <c r="C464" s="1489" t="s">
        <v>12718</v>
      </c>
      <c r="D464" s="1686">
        <v>1.6539351851851854E-2</v>
      </c>
      <c r="E464" s="1489" t="s">
        <v>16669</v>
      </c>
      <c r="F464" s="1489" t="s">
        <v>16688</v>
      </c>
      <c r="G464" s="1578">
        <v>0.66759999999999997</v>
      </c>
    </row>
    <row r="465" spans="1:23" s="80" customFormat="1" ht="12.75" customHeight="1" x14ac:dyDescent="0.2">
      <c r="A465" s="1729">
        <v>43831</v>
      </c>
      <c r="B465" s="1370" t="s">
        <v>13372</v>
      </c>
      <c r="C465" s="1370" t="s">
        <v>12718</v>
      </c>
      <c r="D465" s="1730">
        <v>1.5428240740740739E-2</v>
      </c>
      <c r="E465" s="80" t="s">
        <v>16508</v>
      </c>
      <c r="F465" s="80" t="s">
        <v>16566</v>
      </c>
      <c r="G465" s="72">
        <v>0.7157</v>
      </c>
      <c r="I465" s="1708"/>
      <c r="J465" s="1708"/>
      <c r="K465" s="1708"/>
      <c r="L465" s="1708"/>
      <c r="M465" s="1708"/>
      <c r="N465" s="1708"/>
      <c r="O465" s="1708"/>
      <c r="P465" s="1708"/>
      <c r="Q465" s="1708"/>
      <c r="R465" s="1708"/>
      <c r="S465" s="1708"/>
      <c r="T465" s="1708"/>
      <c r="U465" s="1708"/>
      <c r="V465" s="1708"/>
      <c r="W465" s="1708"/>
    </row>
    <row r="466" spans="1:23" s="80" customFormat="1" ht="12.75" customHeight="1" x14ac:dyDescent="0.2">
      <c r="A466" s="2029">
        <v>43904</v>
      </c>
      <c r="B466" s="1384" t="s">
        <v>16702</v>
      </c>
      <c r="C466" s="1384" t="s">
        <v>16703</v>
      </c>
      <c r="D466" s="2061">
        <v>2.1550925925925928E-2</v>
      </c>
      <c r="E466" s="2055" t="s">
        <v>17293</v>
      </c>
      <c r="F466" s="2048" t="s">
        <v>17318</v>
      </c>
      <c r="G466" s="2063">
        <v>0.55369999999999997</v>
      </c>
    </row>
    <row r="467" spans="1:23" s="80" customFormat="1" ht="12.75" customHeight="1" x14ac:dyDescent="0.2">
      <c r="A467" s="2029">
        <v>43897</v>
      </c>
      <c r="B467" s="1384" t="s">
        <v>16702</v>
      </c>
      <c r="C467" s="1384" t="s">
        <v>16703</v>
      </c>
      <c r="D467" s="2030">
        <v>2.1435185185185186E-2</v>
      </c>
      <c r="E467" s="2031" t="s">
        <v>17222</v>
      </c>
      <c r="F467" s="2048"/>
      <c r="G467" s="2032">
        <v>0.55669999999999997</v>
      </c>
    </row>
    <row r="468" spans="1:23" s="80" customFormat="1" ht="12.75" customHeight="1" x14ac:dyDescent="0.2">
      <c r="A468" s="1526">
        <v>43883</v>
      </c>
      <c r="B468" s="1384" t="s">
        <v>16702</v>
      </c>
      <c r="C468" s="1384" t="s">
        <v>16703</v>
      </c>
      <c r="D468" s="1730">
        <v>2.2453703703703705E-2</v>
      </c>
      <c r="E468" s="80" t="s">
        <v>17095</v>
      </c>
      <c r="F468" s="80" t="s">
        <v>17115</v>
      </c>
      <c r="G468" s="72">
        <v>0.53139999999999998</v>
      </c>
    </row>
    <row r="469" spans="1:23" s="80" customFormat="1" ht="12.75" customHeight="1" x14ac:dyDescent="0.2">
      <c r="A469" s="2057">
        <v>43869</v>
      </c>
      <c r="B469" s="1384" t="s">
        <v>16702</v>
      </c>
      <c r="C469" s="1384" t="s">
        <v>16703</v>
      </c>
      <c r="D469" s="1737">
        <v>2.2766203703703702E-2</v>
      </c>
      <c r="E469" s="1489" t="s">
        <v>16926</v>
      </c>
      <c r="F469" s="1489" t="s">
        <v>16947</v>
      </c>
      <c r="G469" s="1578">
        <v>0.52410000000000001</v>
      </c>
    </row>
    <row r="470" spans="1:23" s="80" customFormat="1" ht="12.75" customHeight="1" x14ac:dyDescent="0.2">
      <c r="A470" s="523">
        <v>43862</v>
      </c>
      <c r="B470" s="1384" t="s">
        <v>16702</v>
      </c>
      <c r="C470" s="1384" t="s">
        <v>16703</v>
      </c>
      <c r="D470" s="1686">
        <v>2.1608796296296296E-2</v>
      </c>
      <c r="E470" s="1489" t="s">
        <v>16849</v>
      </c>
      <c r="F470" s="1489"/>
      <c r="G470" s="1578">
        <v>0.55220000000000002</v>
      </c>
    </row>
    <row r="471" spans="1:23" s="80" customFormat="1" ht="12.75" customHeight="1" x14ac:dyDescent="0.2">
      <c r="A471" s="523">
        <v>43855</v>
      </c>
      <c r="B471" s="1384" t="s">
        <v>16702</v>
      </c>
      <c r="C471" s="1384" t="s">
        <v>16703</v>
      </c>
      <c r="D471" s="1686">
        <v>2.1250000000000002E-2</v>
      </c>
      <c r="E471" s="1489" t="s">
        <v>16747</v>
      </c>
      <c r="F471" s="1489" t="s">
        <v>16732</v>
      </c>
      <c r="G471" s="1578">
        <v>0.5615</v>
      </c>
    </row>
    <row r="472" spans="1:23" s="80" customFormat="1" ht="12.75" customHeight="1" x14ac:dyDescent="0.2">
      <c r="A472" s="2029">
        <v>43897</v>
      </c>
      <c r="B472" s="1895" t="s">
        <v>13403</v>
      </c>
      <c r="C472" s="1895" t="s">
        <v>13368</v>
      </c>
      <c r="D472" s="2030">
        <v>1.7581018518518517E-2</v>
      </c>
      <c r="E472" s="2031" t="s">
        <v>17233</v>
      </c>
      <c r="F472" s="2048"/>
      <c r="G472" s="2032">
        <v>0.58260000000000001</v>
      </c>
    </row>
    <row r="473" spans="1:23" s="80" customFormat="1" ht="12.75" customHeight="1" x14ac:dyDescent="0.2">
      <c r="A473" s="523">
        <v>43890</v>
      </c>
      <c r="B473" s="1895" t="s">
        <v>13403</v>
      </c>
      <c r="C473" s="1895" t="s">
        <v>13368</v>
      </c>
      <c r="D473" s="1686">
        <v>1.7824074074074072E-2</v>
      </c>
      <c r="E473" s="1489" t="s">
        <v>17160</v>
      </c>
      <c r="F473" s="1489" t="s">
        <v>17191</v>
      </c>
      <c r="G473" s="1578">
        <v>0.57469999999999999</v>
      </c>
    </row>
    <row r="474" spans="1:23" s="80" customFormat="1" ht="12.75" customHeight="1" x14ac:dyDescent="0.2">
      <c r="A474" s="1526">
        <v>43883</v>
      </c>
      <c r="B474" s="1895" t="s">
        <v>13403</v>
      </c>
      <c r="C474" s="1895" t="s">
        <v>13368</v>
      </c>
      <c r="D474" s="1730">
        <v>1.7037037037037038E-2</v>
      </c>
      <c r="E474" s="80" t="s">
        <v>17110</v>
      </c>
      <c r="F474" s="80" t="s">
        <v>17088</v>
      </c>
      <c r="G474" s="72">
        <v>0.60119999999999996</v>
      </c>
    </row>
    <row r="475" spans="1:23" s="80" customFormat="1" ht="12.75" customHeight="1" x14ac:dyDescent="0.2">
      <c r="A475" s="1526">
        <v>43876</v>
      </c>
      <c r="B475" s="1895" t="s">
        <v>13403</v>
      </c>
      <c r="C475" s="1895" t="s">
        <v>13368</v>
      </c>
      <c r="D475" s="1686">
        <v>1.7118055555555556E-2</v>
      </c>
      <c r="E475" s="1489" t="s">
        <v>17014</v>
      </c>
      <c r="F475" s="1489" t="s">
        <v>17026</v>
      </c>
      <c r="G475" s="1578">
        <v>0.59840000000000004</v>
      </c>
    </row>
    <row r="476" spans="1:23" s="80" customFormat="1" ht="12.75" customHeight="1" x14ac:dyDescent="0.2">
      <c r="A476" s="2057">
        <v>43869</v>
      </c>
      <c r="B476" s="1895" t="s">
        <v>13403</v>
      </c>
      <c r="C476" s="1895" t="s">
        <v>13368</v>
      </c>
      <c r="D476" s="1737">
        <v>1.7673611111111109E-2</v>
      </c>
      <c r="E476" s="1489" t="s">
        <v>16924</v>
      </c>
      <c r="F476" s="1489" t="s">
        <v>16955</v>
      </c>
      <c r="G476" s="1578">
        <v>0.5796</v>
      </c>
    </row>
    <row r="477" spans="1:23" s="80" customFormat="1" ht="12.75" customHeight="1" x14ac:dyDescent="0.2">
      <c r="A477" s="523">
        <v>43862</v>
      </c>
      <c r="B477" s="1895" t="s">
        <v>13403</v>
      </c>
      <c r="C477" s="1895" t="s">
        <v>13368</v>
      </c>
      <c r="D477" s="1686">
        <v>1.6874999999999998E-2</v>
      </c>
      <c r="E477" s="1489" t="s">
        <v>16851</v>
      </c>
      <c r="F477" s="1489" t="s">
        <v>16887</v>
      </c>
      <c r="G477" s="1578">
        <v>0.60699999999999998</v>
      </c>
    </row>
    <row r="478" spans="1:23" s="80" customFormat="1" ht="12.75" customHeight="1" x14ac:dyDescent="0.2">
      <c r="A478" s="2057">
        <v>43848</v>
      </c>
      <c r="B478" s="1895" t="s">
        <v>13403</v>
      </c>
      <c r="C478" s="1895" t="s">
        <v>13368</v>
      </c>
      <c r="D478" s="1686">
        <v>1.8831018518518521E-2</v>
      </c>
      <c r="E478" s="1489" t="s">
        <v>16677</v>
      </c>
      <c r="F478" s="1489"/>
      <c r="G478" s="1578">
        <v>0.53959999999999997</v>
      </c>
    </row>
    <row r="479" spans="1:23" s="80" customFormat="1" ht="12.75" customHeight="1" x14ac:dyDescent="0.2">
      <c r="A479" s="2057">
        <v>43841</v>
      </c>
      <c r="B479" s="1895" t="s">
        <v>13403</v>
      </c>
      <c r="C479" s="1895" t="s">
        <v>13368</v>
      </c>
      <c r="D479" s="1727">
        <v>1.7476851851851851E-2</v>
      </c>
      <c r="E479" s="1728" t="s">
        <v>145</v>
      </c>
      <c r="F479" s="1568"/>
      <c r="G479" s="1897">
        <v>0.58150000000000002</v>
      </c>
      <c r="H479" s="1370"/>
      <c r="I479" s="1370"/>
      <c r="J479" s="1370"/>
      <c r="K479" s="1370"/>
      <c r="L479" s="1370"/>
      <c r="M479" s="1370"/>
      <c r="N479" s="1370"/>
      <c r="O479" s="1370"/>
      <c r="P479" s="1370"/>
      <c r="Q479" s="1370"/>
      <c r="R479" s="1370"/>
      <c r="S479" s="1370"/>
      <c r="T479" s="1370"/>
      <c r="U479" s="1370"/>
      <c r="V479" s="1370"/>
      <c r="W479" s="1370"/>
    </row>
    <row r="480" spans="1:23" s="80" customFormat="1" ht="12.75" customHeight="1" x14ac:dyDescent="0.2">
      <c r="A480" s="1886">
        <v>43834</v>
      </c>
      <c r="B480" s="1895" t="s">
        <v>13403</v>
      </c>
      <c r="C480" s="1895" t="s">
        <v>13368</v>
      </c>
      <c r="D480" s="1834">
        <v>1.8472222222222223E-2</v>
      </c>
      <c r="E480" s="1370" t="s">
        <v>16597</v>
      </c>
      <c r="F480" s="1370" t="s">
        <v>16598</v>
      </c>
      <c r="G480" s="1885">
        <v>0.55010000000000003</v>
      </c>
      <c r="H480" s="1370"/>
      <c r="I480" s="1370"/>
      <c r="J480" s="2056"/>
      <c r="K480" s="2056"/>
      <c r="L480" s="2056"/>
      <c r="M480" s="2056"/>
      <c r="N480" s="2056"/>
      <c r="O480" s="2056"/>
      <c r="P480" s="2056"/>
      <c r="Q480" s="2056"/>
      <c r="R480" s="2056"/>
      <c r="S480" s="2056"/>
      <c r="T480" s="2056"/>
      <c r="U480" s="2056"/>
      <c r="V480" s="2056"/>
      <c r="W480" s="2056"/>
    </row>
    <row r="481" spans="1:23" s="80" customFormat="1" ht="12.75" customHeight="1" x14ac:dyDescent="0.2">
      <c r="A481" s="1729">
        <v>43831</v>
      </c>
      <c r="B481" s="1895" t="s">
        <v>13403</v>
      </c>
      <c r="C481" s="1895" t="s">
        <v>13368</v>
      </c>
      <c r="D481" s="1730">
        <v>1.8530092592592591E-2</v>
      </c>
      <c r="E481" s="80" t="s">
        <v>16527</v>
      </c>
      <c r="F481" s="80" t="s">
        <v>16576</v>
      </c>
      <c r="G481" s="72">
        <v>0.5484</v>
      </c>
      <c r="I481" s="1708"/>
      <c r="J481" s="1708"/>
      <c r="K481" s="1708"/>
      <c r="L481" s="1708"/>
      <c r="M481" s="1708"/>
      <c r="N481" s="1708"/>
      <c r="O481" s="1708"/>
      <c r="P481" s="1708"/>
      <c r="Q481" s="1708"/>
      <c r="R481" s="1708"/>
      <c r="S481" s="1708"/>
      <c r="T481" s="1708"/>
      <c r="U481" s="1708"/>
      <c r="V481" s="1708"/>
      <c r="W481" s="1708"/>
    </row>
    <row r="482" spans="1:23" s="80" customFormat="1" ht="12.75" customHeight="1" x14ac:dyDescent="0.2">
      <c r="A482" s="2057">
        <v>43841</v>
      </c>
      <c r="B482" s="1895" t="s">
        <v>3014</v>
      </c>
      <c r="C482" s="1895" t="s">
        <v>3015</v>
      </c>
      <c r="D482" s="1727">
        <v>2.3217592592592592E-2</v>
      </c>
      <c r="E482" s="1728" t="s">
        <v>17332</v>
      </c>
      <c r="F482" s="1728" t="s">
        <v>471</v>
      </c>
      <c r="G482" s="1897">
        <v>0.52090000000000003</v>
      </c>
      <c r="H482" s="1370"/>
      <c r="I482" s="1370"/>
      <c r="J482" s="1370"/>
      <c r="K482" s="1370"/>
      <c r="L482" s="1370"/>
      <c r="M482" s="1370"/>
      <c r="N482" s="1370"/>
      <c r="O482" s="1370"/>
      <c r="P482" s="1370"/>
      <c r="Q482" s="1370"/>
      <c r="R482" s="1370"/>
      <c r="S482" s="1370"/>
      <c r="T482" s="1370"/>
      <c r="U482" s="1370"/>
      <c r="V482" s="1370"/>
      <c r="W482" s="1370"/>
    </row>
    <row r="483" spans="1:23" s="80" customFormat="1" ht="12.75" customHeight="1" x14ac:dyDescent="0.2">
      <c r="A483" s="2029">
        <v>43904</v>
      </c>
      <c r="B483" s="2049" t="s">
        <v>17166</v>
      </c>
      <c r="C483" s="2049" t="s">
        <v>3015</v>
      </c>
      <c r="D483" s="2061">
        <v>2.2152777777777778E-2</v>
      </c>
      <c r="E483" s="2055" t="s">
        <v>17298</v>
      </c>
      <c r="F483" s="2049" t="s">
        <v>17330</v>
      </c>
      <c r="G483" s="2062">
        <v>0.54600000000000004</v>
      </c>
    </row>
    <row r="484" spans="1:23" s="80" customFormat="1" x14ac:dyDescent="0.2">
      <c r="A484" s="523">
        <v>43890</v>
      </c>
      <c r="B484" s="1489" t="s">
        <v>17166</v>
      </c>
      <c r="C484" s="1489" t="s">
        <v>3015</v>
      </c>
      <c r="D484" s="1686">
        <v>2.2037037037037036E-2</v>
      </c>
      <c r="E484" s="1489" t="s">
        <v>17156</v>
      </c>
      <c r="F484" s="1489" t="s">
        <v>17188</v>
      </c>
      <c r="G484" s="1578">
        <v>0.54879999999999995</v>
      </c>
    </row>
    <row r="485" spans="1:23" s="80" customFormat="1" x14ac:dyDescent="0.2">
      <c r="A485" s="2057">
        <v>43869</v>
      </c>
      <c r="B485" s="1489" t="s">
        <v>16932</v>
      </c>
      <c r="C485" s="1489" t="s">
        <v>3015</v>
      </c>
      <c r="D485" s="1737">
        <v>2.1284722222222222E-2</v>
      </c>
      <c r="E485" s="1489" t="s">
        <v>16925</v>
      </c>
      <c r="F485" s="1489" t="s">
        <v>16897</v>
      </c>
      <c r="G485" s="1578">
        <v>0.56820000000000004</v>
      </c>
    </row>
    <row r="486" spans="1:23" s="80" customFormat="1" x14ac:dyDescent="0.2">
      <c r="A486" s="523">
        <v>43855</v>
      </c>
      <c r="B486" s="1384" t="s">
        <v>5649</v>
      </c>
      <c r="C486" s="1384" t="s">
        <v>1047</v>
      </c>
      <c r="D486" s="1686">
        <v>1.5543981481481482E-2</v>
      </c>
      <c r="E486" s="1489" t="s">
        <v>16743</v>
      </c>
      <c r="F486" s="1489" t="s">
        <v>16731</v>
      </c>
      <c r="G486" s="1578">
        <v>0.68059999999999998</v>
      </c>
    </row>
    <row r="487" spans="1:23" s="80" customFormat="1" x14ac:dyDescent="0.2">
      <c r="A487" s="2057">
        <v>43841</v>
      </c>
      <c r="B487" s="1895" t="s">
        <v>5649</v>
      </c>
      <c r="C487" s="1895" t="s">
        <v>1047</v>
      </c>
      <c r="D487" s="1727">
        <v>1.5810185185185184E-2</v>
      </c>
      <c r="E487" s="1728" t="s">
        <v>9497</v>
      </c>
      <c r="F487" s="1568"/>
      <c r="G487" s="1897">
        <v>0.66910000000000003</v>
      </c>
      <c r="H487" s="1370"/>
      <c r="I487" s="1370"/>
      <c r="J487" s="1370"/>
      <c r="K487" s="1370"/>
      <c r="L487" s="1370"/>
      <c r="M487" s="1370"/>
      <c r="N487" s="1370"/>
      <c r="O487" s="1370"/>
      <c r="P487" s="1370"/>
      <c r="Q487" s="1370"/>
      <c r="R487" s="1370"/>
      <c r="S487" s="1370"/>
      <c r="T487" s="1370"/>
      <c r="U487" s="1370"/>
      <c r="V487" s="1370"/>
      <c r="W487" s="1370"/>
    </row>
    <row r="488" spans="1:23" s="80" customFormat="1" x14ac:dyDescent="0.2">
      <c r="A488" s="1886">
        <v>43834</v>
      </c>
      <c r="B488" s="1886" t="s">
        <v>5649</v>
      </c>
      <c r="C488" s="1370" t="s">
        <v>1047</v>
      </c>
      <c r="D488" s="1834">
        <v>1.5949074074074074E-2</v>
      </c>
      <c r="E488" s="1370" t="s">
        <v>16590</v>
      </c>
      <c r="F488" s="1370" t="s">
        <v>16640</v>
      </c>
      <c r="G488" s="1885">
        <v>0.6633</v>
      </c>
      <c r="H488" s="1370"/>
      <c r="I488" s="1370"/>
      <c r="J488" s="2056"/>
      <c r="K488" s="2056"/>
      <c r="L488" s="2056"/>
      <c r="M488" s="2056"/>
      <c r="N488" s="2056"/>
      <c r="O488" s="2056"/>
      <c r="P488" s="2056"/>
      <c r="Q488" s="2056"/>
      <c r="R488" s="2056"/>
      <c r="S488" s="2056"/>
      <c r="T488" s="2056"/>
      <c r="U488" s="2056"/>
      <c r="V488" s="2056"/>
      <c r="W488" s="2056"/>
    </row>
    <row r="489" spans="1:23" s="80" customFormat="1" x14ac:dyDescent="0.2">
      <c r="A489" s="2057">
        <v>43869</v>
      </c>
      <c r="B489" s="1489" t="s">
        <v>16929</v>
      </c>
      <c r="C489" s="1489" t="s">
        <v>1047</v>
      </c>
      <c r="D489" s="1737">
        <v>1.6342592592592593E-2</v>
      </c>
      <c r="E489" s="1489" t="s">
        <v>16902</v>
      </c>
      <c r="F489" s="1489" t="s">
        <v>16954</v>
      </c>
      <c r="G489" s="1578">
        <v>0.64729999999999999</v>
      </c>
    </row>
    <row r="490" spans="1:23" s="80" customFormat="1" x14ac:dyDescent="0.2">
      <c r="A490" s="2029">
        <v>43897</v>
      </c>
      <c r="B490" s="2035" t="s">
        <v>16929</v>
      </c>
      <c r="C490" s="2037" t="s">
        <v>17237</v>
      </c>
      <c r="D490" s="2030">
        <v>1.5266203703703705E-2</v>
      </c>
      <c r="E490" s="2031" t="s">
        <v>17215</v>
      </c>
      <c r="F490" s="2024"/>
      <c r="G490" s="2033">
        <v>0.69289999999999996</v>
      </c>
    </row>
    <row r="491" spans="1:23" s="80" customFormat="1" x14ac:dyDescent="0.2">
      <c r="A491" s="2029">
        <v>43904</v>
      </c>
      <c r="B491" s="1384" t="s">
        <v>2342</v>
      </c>
      <c r="C491" s="1384" t="s">
        <v>2343</v>
      </c>
      <c r="D491" s="2061">
        <v>1.4826388888888891E-2</v>
      </c>
      <c r="E491" s="2055" t="s">
        <v>17301</v>
      </c>
      <c r="F491" s="2048" t="s">
        <v>17281</v>
      </c>
      <c r="G491" s="2063">
        <v>0.7369</v>
      </c>
    </row>
    <row r="492" spans="1:23" s="80" customFormat="1" x14ac:dyDescent="0.2">
      <c r="A492" s="2029">
        <v>43897</v>
      </c>
      <c r="B492" s="1384" t="s">
        <v>2342</v>
      </c>
      <c r="C492" s="1384" t="s">
        <v>2343</v>
      </c>
      <c r="D492" s="2030">
        <v>1.4421296296296295E-2</v>
      </c>
      <c r="E492" s="2031" t="s">
        <v>17215</v>
      </c>
      <c r="F492" s="2048" t="s">
        <v>17205</v>
      </c>
      <c r="G492" s="2032">
        <v>0.75760000000000005</v>
      </c>
    </row>
    <row r="493" spans="1:23" s="80" customFormat="1" x14ac:dyDescent="0.2">
      <c r="A493" s="523">
        <v>43890</v>
      </c>
      <c r="B493" s="1384" t="s">
        <v>2342</v>
      </c>
      <c r="C493" s="1384" t="s">
        <v>2343</v>
      </c>
      <c r="D493" s="1686">
        <v>1.6712962962962964E-2</v>
      </c>
      <c r="E493" s="1489" t="s">
        <v>16982</v>
      </c>
      <c r="F493" s="1489"/>
      <c r="G493" s="1578">
        <v>0.65369999999999995</v>
      </c>
    </row>
    <row r="494" spans="1:23" s="80" customFormat="1" x14ac:dyDescent="0.2">
      <c r="A494" s="1526">
        <v>43883</v>
      </c>
      <c r="B494" s="1384" t="s">
        <v>2342</v>
      </c>
      <c r="C494" s="1384" t="s">
        <v>2343</v>
      </c>
      <c r="D494" s="1730">
        <v>1.4756944444444444E-2</v>
      </c>
      <c r="E494" s="80" t="s">
        <v>17105</v>
      </c>
      <c r="F494" s="80" t="s">
        <v>17119</v>
      </c>
      <c r="G494" s="72">
        <v>0.74039999999999995</v>
      </c>
    </row>
    <row r="495" spans="1:23" s="80" customFormat="1" x14ac:dyDescent="0.2">
      <c r="A495" s="1526">
        <v>43876</v>
      </c>
      <c r="B495" s="1384" t="s">
        <v>2342</v>
      </c>
      <c r="C495" s="1384" t="s">
        <v>2343</v>
      </c>
      <c r="D495" s="1686">
        <v>1.6539351851851854E-2</v>
      </c>
      <c r="E495" s="1489" t="s">
        <v>16999</v>
      </c>
      <c r="F495" s="1489" t="s">
        <v>17049</v>
      </c>
      <c r="G495" s="1578">
        <v>0.66059999999999997</v>
      </c>
    </row>
    <row r="496" spans="1:23" s="80" customFormat="1" x14ac:dyDescent="0.2">
      <c r="A496" s="2057">
        <v>43869</v>
      </c>
      <c r="B496" s="1384" t="s">
        <v>2342</v>
      </c>
      <c r="C496" s="1384" t="s">
        <v>2343</v>
      </c>
      <c r="D496" s="1737">
        <v>1.8587962962962962E-2</v>
      </c>
      <c r="E496" s="1489" t="s">
        <v>16919</v>
      </c>
      <c r="F496" s="1489" t="s">
        <v>16945</v>
      </c>
      <c r="G496" s="1578">
        <v>0.58779999999999999</v>
      </c>
    </row>
    <row r="497" spans="1:23" s="80" customFormat="1" x14ac:dyDescent="0.2">
      <c r="A497" s="523">
        <v>43862</v>
      </c>
      <c r="B497" s="1384" t="s">
        <v>2342</v>
      </c>
      <c r="C497" s="1384" t="s">
        <v>2343</v>
      </c>
      <c r="D497" s="1686">
        <v>1.4131944444444445E-2</v>
      </c>
      <c r="E497" s="1489" t="s">
        <v>16844</v>
      </c>
      <c r="F497" s="1489" t="s">
        <v>16881</v>
      </c>
      <c r="G497" s="1578">
        <v>0.77310000000000001</v>
      </c>
    </row>
    <row r="498" spans="1:23" s="80" customFormat="1" x14ac:dyDescent="0.2">
      <c r="A498" s="523">
        <v>43855</v>
      </c>
      <c r="B498" s="1384" t="s">
        <v>2342</v>
      </c>
      <c r="C498" s="1384" t="s">
        <v>2343</v>
      </c>
      <c r="D498" s="1686">
        <v>1.5914351851851853E-2</v>
      </c>
      <c r="E498" s="1489" t="s">
        <v>16740</v>
      </c>
      <c r="F498" s="1489" t="s">
        <v>16728</v>
      </c>
      <c r="G498" s="1578">
        <v>0.6865</v>
      </c>
    </row>
    <row r="499" spans="1:23" s="80" customFormat="1" ht="12.75" customHeight="1" x14ac:dyDescent="0.2">
      <c r="A499" s="2057">
        <v>43848</v>
      </c>
      <c r="B499" s="1384" t="s">
        <v>2342</v>
      </c>
      <c r="C499" s="1384" t="s">
        <v>2343</v>
      </c>
      <c r="D499" s="1686">
        <v>1.5833333333333335E-2</v>
      </c>
      <c r="E499" s="1489" t="s">
        <v>16662</v>
      </c>
      <c r="F499" s="1489"/>
      <c r="G499" s="1578">
        <v>0.69010000000000005</v>
      </c>
    </row>
    <row r="500" spans="1:23" s="80" customFormat="1" x14ac:dyDescent="0.2">
      <c r="A500" s="2057">
        <v>43841</v>
      </c>
      <c r="B500" s="1384" t="s">
        <v>2342</v>
      </c>
      <c r="C500" s="1384" t="s">
        <v>2343</v>
      </c>
      <c r="D500" s="1727">
        <v>1.4467592592592593E-2</v>
      </c>
      <c r="E500" s="1728" t="s">
        <v>16694</v>
      </c>
      <c r="F500" s="1728" t="s">
        <v>16717</v>
      </c>
      <c r="G500" s="1897">
        <v>0.75519999999999998</v>
      </c>
      <c r="H500" s="1370"/>
      <c r="I500" s="1370"/>
      <c r="J500" s="1370"/>
      <c r="K500" s="1370"/>
      <c r="L500" s="1370"/>
      <c r="M500" s="1370"/>
      <c r="N500" s="1370"/>
      <c r="O500" s="1370"/>
      <c r="P500" s="1370"/>
      <c r="Q500" s="1370"/>
      <c r="R500" s="1370"/>
      <c r="S500" s="1370"/>
      <c r="T500" s="1370"/>
      <c r="U500" s="1370"/>
      <c r="V500" s="1370"/>
      <c r="W500" s="1370"/>
    </row>
    <row r="501" spans="1:23" s="80" customFormat="1" x14ac:dyDescent="0.2">
      <c r="A501" s="1886">
        <v>43834</v>
      </c>
      <c r="B501" s="1384" t="s">
        <v>2342</v>
      </c>
      <c r="C501" s="1384" t="s">
        <v>2343</v>
      </c>
      <c r="D501" s="1834">
        <v>1.5277777777777777E-2</v>
      </c>
      <c r="E501" s="1370" t="s">
        <v>16617</v>
      </c>
      <c r="F501" s="1370" t="s">
        <v>16619</v>
      </c>
      <c r="G501" s="1885">
        <v>0.71519999999999995</v>
      </c>
      <c r="H501" s="1370"/>
      <c r="I501" s="1370"/>
      <c r="J501" s="2056"/>
      <c r="K501" s="2059"/>
      <c r="L501" s="2056"/>
      <c r="M501" s="2056"/>
      <c r="N501" s="2056"/>
      <c r="O501" s="2056"/>
      <c r="P501" s="2056"/>
      <c r="Q501" s="2056"/>
      <c r="R501" s="2056"/>
      <c r="S501" s="2056"/>
      <c r="T501" s="2056"/>
      <c r="U501" s="2056"/>
      <c r="V501" s="2056"/>
      <c r="W501" s="2056"/>
    </row>
    <row r="502" spans="1:23" s="80" customFormat="1" x14ac:dyDescent="0.2">
      <c r="A502" s="1729">
        <v>43831</v>
      </c>
      <c r="B502" s="1384" t="s">
        <v>2342</v>
      </c>
      <c r="C502" s="1384" t="s">
        <v>2343</v>
      </c>
      <c r="D502" s="1730">
        <v>1.6747685185185188E-2</v>
      </c>
      <c r="E502" s="80" t="s">
        <v>16510</v>
      </c>
      <c r="F502" s="80" t="s">
        <v>1012</v>
      </c>
      <c r="G502" s="72">
        <v>0.64749999999999996</v>
      </c>
      <c r="I502" s="1708"/>
      <c r="J502" s="1708"/>
      <c r="K502" s="1708"/>
      <c r="L502" s="1708"/>
      <c r="M502" s="1708"/>
      <c r="N502" s="1708"/>
      <c r="O502" s="1708"/>
      <c r="P502" s="1708"/>
      <c r="Q502" s="1708"/>
      <c r="R502" s="1708"/>
      <c r="S502" s="1708"/>
      <c r="T502" s="1708"/>
      <c r="U502" s="1708"/>
      <c r="V502" s="1708"/>
      <c r="W502" s="1708"/>
    </row>
    <row r="503" spans="1:23" s="80" customFormat="1" x14ac:dyDescent="0.2">
      <c r="A503" s="1729">
        <v>43831</v>
      </c>
      <c r="B503" s="1384" t="s">
        <v>2342</v>
      </c>
      <c r="C503" s="1384" t="s">
        <v>2343</v>
      </c>
      <c r="D503" s="1730">
        <v>1.6412037037037037E-2</v>
      </c>
      <c r="E503" s="80" t="s">
        <v>16521</v>
      </c>
      <c r="F503" s="80" t="s">
        <v>8470</v>
      </c>
      <c r="G503" s="72">
        <v>0.66080000000000005</v>
      </c>
      <c r="I503" s="1708"/>
      <c r="J503" s="1708"/>
      <c r="K503" s="1708"/>
      <c r="L503" s="1708"/>
      <c r="M503" s="1708"/>
      <c r="N503" s="1708"/>
      <c r="O503" s="1708"/>
      <c r="P503" s="1708"/>
      <c r="Q503" s="1708"/>
      <c r="R503" s="1708"/>
      <c r="S503" s="1708"/>
      <c r="T503" s="1708"/>
      <c r="U503" s="1708"/>
      <c r="V503" s="1708"/>
      <c r="W503" s="1708"/>
    </row>
    <row r="504" spans="1:23" s="80" customFormat="1" x14ac:dyDescent="0.2">
      <c r="A504" s="1886">
        <v>43834</v>
      </c>
      <c r="B504" s="1886" t="s">
        <v>398</v>
      </c>
      <c r="C504" s="1370" t="s">
        <v>4943</v>
      </c>
      <c r="D504" s="1834" t="s">
        <v>787</v>
      </c>
      <c r="E504" s="1370" t="s">
        <v>16588</v>
      </c>
      <c r="F504" s="1370" t="s">
        <v>8160</v>
      </c>
      <c r="G504" s="1885"/>
      <c r="H504" s="1370"/>
      <c r="I504" s="1370"/>
      <c r="J504" s="2056"/>
      <c r="K504" s="2056"/>
      <c r="L504" s="2056"/>
      <c r="M504" s="2056"/>
      <c r="N504" s="2056"/>
      <c r="O504" s="2056"/>
      <c r="P504" s="2056"/>
      <c r="Q504" s="2056"/>
      <c r="R504" s="2056"/>
      <c r="S504" s="2056"/>
      <c r="T504" s="2056"/>
      <c r="U504" s="2056"/>
      <c r="V504" s="2056"/>
      <c r="W504" s="2056"/>
    </row>
    <row r="505" spans="1:23" s="80" customFormat="1" x14ac:dyDescent="0.2">
      <c r="A505" s="2029">
        <v>43897</v>
      </c>
      <c r="B505" s="1886" t="s">
        <v>2137</v>
      </c>
      <c r="C505" s="1370" t="s">
        <v>4943</v>
      </c>
      <c r="D505" s="2030">
        <v>1.9120370370370374E-2</v>
      </c>
      <c r="E505" s="2031" t="s">
        <v>17220</v>
      </c>
      <c r="F505" s="2048"/>
      <c r="G505" s="2033">
        <v>0.59260000000000002</v>
      </c>
    </row>
    <row r="506" spans="1:23" s="80" customFormat="1" x14ac:dyDescent="0.2">
      <c r="A506" s="1526">
        <v>43883</v>
      </c>
      <c r="B506" s="1886" t="s">
        <v>2137</v>
      </c>
      <c r="C506" s="1370" t="s">
        <v>4943</v>
      </c>
      <c r="D506" s="1730">
        <v>2.2314814814814812E-2</v>
      </c>
      <c r="E506" s="80" t="s">
        <v>17096</v>
      </c>
      <c r="G506" s="72">
        <v>0.50780000000000003</v>
      </c>
    </row>
    <row r="507" spans="1:23" s="80" customFormat="1" x14ac:dyDescent="0.2">
      <c r="A507" s="1526">
        <v>43876</v>
      </c>
      <c r="B507" s="1886" t="s">
        <v>2137</v>
      </c>
      <c r="C507" s="1370" t="s">
        <v>4943</v>
      </c>
      <c r="D507" s="1686">
        <v>2.0150462962962964E-2</v>
      </c>
      <c r="E507" s="1489" t="s">
        <v>17001</v>
      </c>
      <c r="F507" s="1489" t="s">
        <v>17055</v>
      </c>
      <c r="G507" s="1578">
        <v>0.56230000000000002</v>
      </c>
    </row>
    <row r="508" spans="1:23" s="80" customFormat="1" x14ac:dyDescent="0.2">
      <c r="A508" s="2057">
        <v>43869</v>
      </c>
      <c r="B508" s="1886" t="s">
        <v>2137</v>
      </c>
      <c r="C508" s="1370" t="s">
        <v>4943</v>
      </c>
      <c r="D508" s="1686">
        <v>2.0729166666666667E-2</v>
      </c>
      <c r="E508" s="1489" t="s">
        <v>11405</v>
      </c>
      <c r="F508" s="1489" t="s">
        <v>16960</v>
      </c>
      <c r="G508" s="1578">
        <v>0.54659999999999997</v>
      </c>
      <c r="H508" s="80" t="s">
        <v>16961</v>
      </c>
    </row>
    <row r="509" spans="1:23" s="80" customFormat="1" x14ac:dyDescent="0.2">
      <c r="A509" s="523">
        <v>43862</v>
      </c>
      <c r="B509" s="1886" t="s">
        <v>2137</v>
      </c>
      <c r="C509" s="1370" t="s">
        <v>4943</v>
      </c>
      <c r="D509" s="1686">
        <v>1.9039351851851852E-2</v>
      </c>
      <c r="E509" s="1489" t="s">
        <v>16836</v>
      </c>
      <c r="F509" s="1489"/>
      <c r="G509" s="1578">
        <v>0.59509999999999996</v>
      </c>
    </row>
    <row r="510" spans="1:23" s="80" customFormat="1" x14ac:dyDescent="0.2">
      <c r="A510" s="2057">
        <v>43848</v>
      </c>
      <c r="B510" s="1886" t="s">
        <v>2137</v>
      </c>
      <c r="C510" s="1370" t="s">
        <v>4943</v>
      </c>
      <c r="D510" s="1686">
        <v>1.9421296296296294E-2</v>
      </c>
      <c r="E510" s="1489" t="s">
        <v>16666</v>
      </c>
      <c r="F510" s="1489"/>
      <c r="G510" s="1578">
        <v>0.58340000000000003</v>
      </c>
    </row>
    <row r="511" spans="1:23" s="80" customFormat="1" x14ac:dyDescent="0.2">
      <c r="A511" s="1886">
        <v>43834</v>
      </c>
      <c r="B511" s="1886" t="s">
        <v>2137</v>
      </c>
      <c r="C511" s="1370" t="s">
        <v>4943</v>
      </c>
      <c r="D511" s="1834">
        <v>2.0023148148148148E-2</v>
      </c>
      <c r="E511" s="1370" t="s">
        <v>16634</v>
      </c>
      <c r="F511" s="1370" t="s">
        <v>16633</v>
      </c>
      <c r="G511" s="1885">
        <v>0.56589999999999996</v>
      </c>
      <c r="H511" s="1370"/>
      <c r="I511" s="1370"/>
      <c r="J511" s="2056"/>
      <c r="K511" s="2056"/>
      <c r="L511" s="2056"/>
      <c r="M511" s="2056"/>
      <c r="N511" s="1370"/>
      <c r="O511" s="1370"/>
      <c r="P511" s="2056"/>
      <c r="Q511" s="2056"/>
      <c r="R511" s="2056"/>
      <c r="S511" s="2056"/>
      <c r="T511" s="2056"/>
      <c r="U511" s="2056"/>
      <c r="V511" s="2056"/>
      <c r="W511" s="2056"/>
    </row>
    <row r="512" spans="1:23" s="80" customFormat="1" x14ac:dyDescent="0.2">
      <c r="A512" s="1729">
        <v>43831</v>
      </c>
      <c r="B512" s="1886" t="s">
        <v>2137</v>
      </c>
      <c r="C512" s="1370" t="s">
        <v>4943</v>
      </c>
      <c r="D512" s="1730">
        <v>2.6759259259259257E-2</v>
      </c>
      <c r="E512" s="80" t="s">
        <v>16571</v>
      </c>
      <c r="F512" s="80" t="s">
        <v>16572</v>
      </c>
      <c r="G512" s="72">
        <v>0.4234</v>
      </c>
      <c r="I512" s="1708"/>
      <c r="J512" s="1708"/>
      <c r="K512" s="1708"/>
      <c r="L512" s="1708"/>
      <c r="M512" s="1708"/>
      <c r="N512" s="1708"/>
      <c r="O512" s="1708"/>
      <c r="P512" s="1708"/>
      <c r="Q512" s="1708"/>
      <c r="R512" s="1708"/>
      <c r="S512" s="1708"/>
      <c r="T512" s="1708"/>
      <c r="U512" s="1708"/>
      <c r="V512" s="1708"/>
      <c r="W512" s="1708"/>
    </row>
    <row r="513" spans="1:23" s="80" customFormat="1" x14ac:dyDescent="0.2">
      <c r="A513" s="523">
        <v>43862</v>
      </c>
      <c r="B513" s="1489" t="s">
        <v>2478</v>
      </c>
      <c r="C513" s="1489" t="s">
        <v>2479</v>
      </c>
      <c r="D513" s="1686">
        <v>2.7453703703703702E-2</v>
      </c>
      <c r="E513" s="1489" t="s">
        <v>16830</v>
      </c>
      <c r="F513" s="1489"/>
      <c r="G513" s="1578">
        <v>0.38529999999999998</v>
      </c>
    </row>
    <row r="514" spans="1:23" s="80" customFormat="1" x14ac:dyDescent="0.2">
      <c r="A514" s="523">
        <v>43855</v>
      </c>
      <c r="B514" s="1384" t="s">
        <v>2478</v>
      </c>
      <c r="C514" s="1384" t="s">
        <v>2479</v>
      </c>
      <c r="D514" s="1686">
        <v>2.8298611111111111E-2</v>
      </c>
      <c r="E514" s="1489" t="s">
        <v>16751</v>
      </c>
      <c r="F514" s="1489"/>
      <c r="G514" s="1578">
        <v>0.37380000000000002</v>
      </c>
    </row>
    <row r="515" spans="1:23" s="80" customFormat="1" x14ac:dyDescent="0.2">
      <c r="A515" s="2057">
        <v>43841</v>
      </c>
      <c r="B515" s="1895" t="s">
        <v>2478</v>
      </c>
      <c r="C515" s="1895" t="s">
        <v>2479</v>
      </c>
      <c r="D515" s="1727">
        <v>2.7962962962962964E-2</v>
      </c>
      <c r="E515" s="1728" t="s">
        <v>17331</v>
      </c>
      <c r="F515" s="1728" t="s">
        <v>16692</v>
      </c>
      <c r="G515" s="1897">
        <v>0.37830000000000003</v>
      </c>
      <c r="H515" s="1370"/>
      <c r="I515" s="1370"/>
      <c r="J515" s="1370"/>
      <c r="K515" s="1370"/>
      <c r="L515" s="1370"/>
      <c r="M515" s="1370"/>
      <c r="N515" s="1370"/>
      <c r="O515" s="1370"/>
      <c r="P515" s="1370"/>
      <c r="Q515" s="1370"/>
      <c r="R515" s="1370"/>
      <c r="S515" s="1370"/>
      <c r="T515" s="1370"/>
      <c r="U515" s="1370"/>
      <c r="V515" s="1370"/>
      <c r="W515" s="1370"/>
    </row>
    <row r="516" spans="1:23" s="80" customFormat="1" x14ac:dyDescent="0.2">
      <c r="A516" s="1886">
        <v>43834</v>
      </c>
      <c r="B516" s="1886" t="s">
        <v>2478</v>
      </c>
      <c r="C516" s="1370" t="s">
        <v>2479</v>
      </c>
      <c r="D516" s="1834">
        <v>2.8599537037037034E-2</v>
      </c>
      <c r="E516" s="1370" t="s">
        <v>16605</v>
      </c>
      <c r="F516" s="1370" t="s">
        <v>16606</v>
      </c>
      <c r="G516" s="1885">
        <v>0.36990000000000001</v>
      </c>
      <c r="H516" s="1370"/>
      <c r="I516" s="1370"/>
      <c r="J516" s="2056"/>
      <c r="K516" s="2056"/>
      <c r="L516" s="2056"/>
      <c r="M516" s="2056"/>
      <c r="N516" s="2056"/>
      <c r="O516" s="2056"/>
      <c r="P516" s="2056"/>
      <c r="Q516" s="2056"/>
      <c r="R516" s="2056"/>
      <c r="S516" s="2056"/>
      <c r="T516" s="2056"/>
      <c r="U516" s="2056"/>
      <c r="V516" s="2056"/>
      <c r="W516" s="2056"/>
    </row>
    <row r="517" spans="1:23" s="80" customFormat="1" ht="12.75" customHeight="1" x14ac:dyDescent="0.2">
      <c r="A517" s="2029">
        <v>43904</v>
      </c>
      <c r="B517" s="2055" t="s">
        <v>2641</v>
      </c>
      <c r="C517" s="2055" t="s">
        <v>2479</v>
      </c>
      <c r="D517" s="2061">
        <v>2.6296296296296297E-2</v>
      </c>
      <c r="E517" s="2055" t="s">
        <v>17286</v>
      </c>
      <c r="F517" s="2055" t="s">
        <v>17276</v>
      </c>
      <c r="G517" s="2063">
        <v>0.40229999999999999</v>
      </c>
    </row>
    <row r="518" spans="1:23" s="80" customFormat="1" x14ac:dyDescent="0.2">
      <c r="A518" s="2029">
        <v>43897</v>
      </c>
      <c r="B518" s="2031" t="s">
        <v>2641</v>
      </c>
      <c r="C518" s="2034" t="s">
        <v>2479</v>
      </c>
      <c r="D518" s="2030">
        <v>2.914351851851852E-2</v>
      </c>
      <c r="E518" s="2031" t="s">
        <v>17230</v>
      </c>
      <c r="F518" s="2031" t="s">
        <v>17210</v>
      </c>
      <c r="G518" s="2032">
        <v>0.36299999999999999</v>
      </c>
    </row>
    <row r="519" spans="1:23" s="80" customFormat="1" x14ac:dyDescent="0.2">
      <c r="A519" s="523">
        <v>43890</v>
      </c>
      <c r="B519" s="1489" t="s">
        <v>2641</v>
      </c>
      <c r="C519" s="1489" t="s">
        <v>2479</v>
      </c>
      <c r="D519" s="1686">
        <v>2.7280092592592588E-2</v>
      </c>
      <c r="E519" s="1489" t="s">
        <v>17147</v>
      </c>
      <c r="F519" s="1489"/>
      <c r="G519" s="1578">
        <v>0.38779999999999998</v>
      </c>
    </row>
    <row r="520" spans="1:23" s="80" customFormat="1" x14ac:dyDescent="0.2">
      <c r="A520" s="1526">
        <v>43876</v>
      </c>
      <c r="B520" s="1489" t="s">
        <v>2641</v>
      </c>
      <c r="C520" s="1489" t="s">
        <v>2479</v>
      </c>
      <c r="D520" s="1686">
        <v>2.5879629629629631E-2</v>
      </c>
      <c r="E520" s="1489" t="s">
        <v>17006</v>
      </c>
      <c r="F520" s="1489" t="s">
        <v>17024</v>
      </c>
      <c r="G520" s="1578">
        <v>0.4088</v>
      </c>
      <c r="H520" s="1489" t="s">
        <v>17065</v>
      </c>
    </row>
    <row r="521" spans="1:23" s="80" customFormat="1" x14ac:dyDescent="0.2">
      <c r="A521" s="2057">
        <v>43869</v>
      </c>
      <c r="B521" s="1489" t="s">
        <v>2641</v>
      </c>
      <c r="C521" s="1489" t="s">
        <v>2479</v>
      </c>
      <c r="D521" s="1737">
        <v>2.7708333333333331E-2</v>
      </c>
      <c r="E521" s="1489" t="s">
        <v>16906</v>
      </c>
      <c r="F521" s="1489" t="s">
        <v>16946</v>
      </c>
      <c r="G521" s="1578">
        <v>0.38179999999999997</v>
      </c>
    </row>
    <row r="522" spans="1:23" s="80" customFormat="1" x14ac:dyDescent="0.2">
      <c r="A522" s="2057">
        <v>43848</v>
      </c>
      <c r="B522" s="1489" t="s">
        <v>2641</v>
      </c>
      <c r="C522" s="1489" t="s">
        <v>2479</v>
      </c>
      <c r="D522" s="1686">
        <v>2.7256944444444445E-2</v>
      </c>
      <c r="E522" s="1489" t="s">
        <v>16663</v>
      </c>
      <c r="F522" s="1489" t="s">
        <v>16691</v>
      </c>
      <c r="G522" s="1578">
        <v>0.3881</v>
      </c>
    </row>
    <row r="523" spans="1:23" s="80" customFormat="1" x14ac:dyDescent="0.2">
      <c r="A523" s="1729">
        <v>43831</v>
      </c>
      <c r="B523" s="1370" t="s">
        <v>2641</v>
      </c>
      <c r="C523" s="1370" t="s">
        <v>2479</v>
      </c>
      <c r="D523" s="1730">
        <v>3.047453703703704E-2</v>
      </c>
      <c r="E523" s="80" t="s">
        <v>16530</v>
      </c>
      <c r="F523" s="80" t="s">
        <v>16570</v>
      </c>
      <c r="G523" s="72">
        <v>0.34710000000000002</v>
      </c>
      <c r="I523" s="1708"/>
      <c r="J523" s="1708"/>
      <c r="K523" s="1708"/>
      <c r="L523" s="1708"/>
      <c r="M523" s="1708"/>
      <c r="N523" s="1708"/>
      <c r="O523" s="1708"/>
      <c r="P523" s="1708"/>
      <c r="Q523" s="1708"/>
      <c r="R523" s="1708"/>
      <c r="S523" s="1708"/>
      <c r="T523" s="1708"/>
      <c r="U523" s="1708"/>
      <c r="V523" s="1708"/>
      <c r="W523" s="1708"/>
    </row>
    <row r="524" spans="1:23" s="80" customFormat="1" x14ac:dyDescent="0.2">
      <c r="A524" s="1729">
        <v>43831</v>
      </c>
      <c r="B524" s="1370" t="s">
        <v>2641</v>
      </c>
      <c r="C524" s="1370" t="s">
        <v>2479</v>
      </c>
      <c r="D524" s="1730">
        <v>3.2662037037037038E-2</v>
      </c>
      <c r="E524" s="80" t="s">
        <v>16532</v>
      </c>
      <c r="F524" s="80" t="s">
        <v>4654</v>
      </c>
      <c r="G524" s="72">
        <v>0.32390000000000002</v>
      </c>
      <c r="I524" s="1708"/>
      <c r="J524" s="1708"/>
      <c r="K524" s="1708"/>
      <c r="L524" s="1708"/>
      <c r="M524" s="1708"/>
      <c r="N524" s="1708"/>
      <c r="O524" s="1708"/>
      <c r="P524" s="1708"/>
      <c r="Q524" s="1708"/>
      <c r="R524" s="1708"/>
      <c r="S524" s="1708"/>
      <c r="T524" s="1708"/>
      <c r="U524" s="1708"/>
      <c r="V524" s="1708"/>
      <c r="W524" s="1708"/>
    </row>
    <row r="525" spans="1:23" s="80" customFormat="1" x14ac:dyDescent="0.2">
      <c r="A525" s="1886">
        <v>43834</v>
      </c>
      <c r="B525" s="1886" t="s">
        <v>5980</v>
      </c>
      <c r="C525" s="1370" t="s">
        <v>2479</v>
      </c>
      <c r="D525" s="1834">
        <v>2.8599537037037034E-2</v>
      </c>
      <c r="E525" s="1370" t="s">
        <v>16605</v>
      </c>
      <c r="F525" s="1370"/>
      <c r="G525" s="1885">
        <v>0.47110000000000002</v>
      </c>
      <c r="H525" s="1370"/>
      <c r="I525" s="1370"/>
      <c r="J525" s="2056"/>
      <c r="K525" s="2056"/>
      <c r="L525" s="2056"/>
      <c r="M525" s="2056"/>
      <c r="N525" s="2056"/>
      <c r="O525" s="2056"/>
      <c r="P525" s="2056"/>
      <c r="Q525" s="2056"/>
      <c r="R525" s="2056"/>
      <c r="S525" s="2056"/>
      <c r="T525" s="2056"/>
      <c r="U525" s="2056"/>
      <c r="V525" s="2056"/>
      <c r="W525" s="2056"/>
    </row>
    <row r="526" spans="1:23" s="80" customFormat="1" x14ac:dyDescent="0.2">
      <c r="A526" s="1729">
        <v>43831</v>
      </c>
      <c r="B526" s="1370" t="s">
        <v>15153</v>
      </c>
      <c r="C526" s="1370" t="s">
        <v>2479</v>
      </c>
      <c r="D526" s="1730">
        <v>3.0462962962962963E-2</v>
      </c>
      <c r="E526" s="80" t="s">
        <v>16530</v>
      </c>
      <c r="G526" s="72">
        <v>0.44219999999999998</v>
      </c>
      <c r="I526" s="1708"/>
      <c r="J526" s="1708"/>
      <c r="K526" s="1708"/>
      <c r="L526" s="1708"/>
      <c r="M526" s="1708"/>
      <c r="N526" s="1708"/>
      <c r="O526" s="1708"/>
      <c r="P526" s="1708"/>
      <c r="Q526" s="1708"/>
      <c r="R526" s="1708"/>
      <c r="S526" s="1708"/>
      <c r="T526" s="1708"/>
      <c r="U526" s="1708"/>
      <c r="V526" s="1708"/>
      <c r="W526" s="1708"/>
    </row>
    <row r="527" spans="1:23" s="80" customFormat="1" x14ac:dyDescent="0.2">
      <c r="A527" s="1729">
        <v>43831</v>
      </c>
      <c r="B527" s="1370" t="s">
        <v>15153</v>
      </c>
      <c r="C527" s="1370" t="s">
        <v>2479</v>
      </c>
      <c r="D527" s="1730">
        <v>3.2662037037037038E-2</v>
      </c>
      <c r="E527" s="80" t="s">
        <v>16532</v>
      </c>
      <c r="G527" s="72">
        <v>0.41249999999999998</v>
      </c>
      <c r="I527" s="1708"/>
      <c r="J527" s="1708"/>
      <c r="K527" s="1708"/>
      <c r="L527" s="1708"/>
      <c r="M527" s="1708"/>
      <c r="N527" s="1708"/>
      <c r="O527" s="1708"/>
      <c r="P527" s="1708"/>
      <c r="Q527" s="1708"/>
      <c r="R527" s="1708"/>
      <c r="S527" s="1708"/>
      <c r="T527" s="1708"/>
      <c r="U527" s="1708"/>
      <c r="V527" s="1708"/>
      <c r="W527" s="1708"/>
    </row>
    <row r="528" spans="1:23" s="80" customFormat="1" x14ac:dyDescent="0.2">
      <c r="A528" s="1526">
        <v>43883</v>
      </c>
      <c r="B528" s="1489" t="s">
        <v>5540</v>
      </c>
      <c r="C528" s="1489" t="s">
        <v>7672</v>
      </c>
      <c r="D528" s="1733" t="s">
        <v>787</v>
      </c>
      <c r="E528" s="1489" t="s">
        <v>17090</v>
      </c>
      <c r="F528" s="1489" t="s">
        <v>12693</v>
      </c>
      <c r="G528" s="1578"/>
    </row>
    <row r="529" spans="1:23" s="80" customFormat="1" x14ac:dyDescent="0.2">
      <c r="A529" s="2057">
        <v>43841</v>
      </c>
      <c r="B529" s="1895" t="s">
        <v>5540</v>
      </c>
      <c r="C529" s="1895" t="s">
        <v>7672</v>
      </c>
      <c r="D529" s="1727">
        <v>2.8321759259259258E-2</v>
      </c>
      <c r="E529" s="1728" t="s">
        <v>15910</v>
      </c>
      <c r="F529" s="1568"/>
      <c r="G529" s="1897">
        <v>0.40379999999999999</v>
      </c>
      <c r="H529" s="1370"/>
      <c r="I529" s="1370"/>
      <c r="J529" s="1370"/>
      <c r="K529" s="1370"/>
      <c r="L529" s="1370"/>
      <c r="M529" s="1370"/>
      <c r="N529" s="1370"/>
      <c r="O529" s="1370"/>
      <c r="P529" s="1370"/>
      <c r="Q529" s="1370"/>
      <c r="R529" s="1370"/>
      <c r="S529" s="1370"/>
      <c r="T529" s="1370"/>
      <c r="U529" s="1370"/>
      <c r="V529" s="1370"/>
      <c r="W529" s="1370"/>
    </row>
    <row r="530" spans="1:23" s="80" customFormat="1" x14ac:dyDescent="0.2">
      <c r="A530" s="1886">
        <v>43834</v>
      </c>
      <c r="B530" s="1886" t="s">
        <v>5540</v>
      </c>
      <c r="C530" s="1370" t="s">
        <v>7672</v>
      </c>
      <c r="D530" s="1834">
        <v>2.8159722222222221E-2</v>
      </c>
      <c r="E530" s="1370" t="s">
        <v>16623</v>
      </c>
      <c r="F530" s="1370" t="s">
        <v>876</v>
      </c>
      <c r="G530" s="1885">
        <v>0.40610000000000002</v>
      </c>
      <c r="H530" s="1370"/>
      <c r="I530" s="1370"/>
      <c r="J530" s="2056"/>
      <c r="K530" s="2056"/>
      <c r="L530" s="2056"/>
      <c r="M530" s="2056"/>
      <c r="N530" s="1370"/>
      <c r="O530" s="1370"/>
      <c r="P530" s="2056"/>
      <c r="Q530" s="2056"/>
      <c r="R530" s="2056"/>
      <c r="S530" s="2056"/>
      <c r="T530" s="2056"/>
      <c r="U530" s="2056"/>
      <c r="V530" s="2056"/>
      <c r="W530" s="2056"/>
    </row>
    <row r="531" spans="1:23" s="80" customFormat="1" x14ac:dyDescent="0.2">
      <c r="A531" s="2057">
        <v>43848</v>
      </c>
      <c r="B531" s="1489" t="s">
        <v>16680</v>
      </c>
      <c r="C531" s="1489" t="s">
        <v>7672</v>
      </c>
      <c r="D531" s="1686" t="s">
        <v>787</v>
      </c>
      <c r="E531" s="1489" t="s">
        <v>16765</v>
      </c>
      <c r="F531" s="1489" t="s">
        <v>16204</v>
      </c>
      <c r="G531" s="1578"/>
    </row>
    <row r="532" spans="1:23" s="80" customFormat="1" x14ac:dyDescent="0.2">
      <c r="A532" s="523">
        <v>43855</v>
      </c>
      <c r="B532" s="1384" t="s">
        <v>866</v>
      </c>
      <c r="C532" s="1384" t="s">
        <v>4635</v>
      </c>
      <c r="D532" s="1686">
        <v>2.4965277777777781E-2</v>
      </c>
      <c r="E532" s="1489" t="s">
        <v>16089</v>
      </c>
      <c r="F532" s="1489"/>
      <c r="G532" s="1578">
        <v>0.43859999999999999</v>
      </c>
    </row>
    <row r="533" spans="1:23" s="80" customFormat="1" x14ac:dyDescent="0.2">
      <c r="A533" s="2057">
        <v>43841</v>
      </c>
      <c r="B533" s="1895" t="s">
        <v>866</v>
      </c>
      <c r="C533" s="1895" t="s">
        <v>4635</v>
      </c>
      <c r="D533" s="1727">
        <v>2.7488425925925927E-2</v>
      </c>
      <c r="E533" s="1728" t="s">
        <v>5517</v>
      </c>
      <c r="F533" s="1568"/>
      <c r="G533" s="1897">
        <v>0.39829999999999999</v>
      </c>
      <c r="H533" s="1370"/>
      <c r="I533" s="1370"/>
      <c r="J533" s="1370"/>
      <c r="K533" s="1370"/>
      <c r="L533" s="1370"/>
      <c r="M533" s="1370"/>
      <c r="N533" s="1370"/>
      <c r="O533" s="1370"/>
      <c r="P533" s="1370"/>
      <c r="Q533" s="1370"/>
      <c r="R533" s="1370"/>
      <c r="S533" s="1370"/>
      <c r="T533" s="1370"/>
      <c r="U533" s="1370"/>
      <c r="V533" s="1370"/>
      <c r="W533" s="1370"/>
    </row>
    <row r="534" spans="1:23" s="80" customFormat="1" x14ac:dyDescent="0.2">
      <c r="A534" s="2057">
        <v>43869</v>
      </c>
      <c r="B534" s="1489" t="s">
        <v>1296</v>
      </c>
      <c r="C534" s="1489" t="s">
        <v>4635</v>
      </c>
      <c r="D534" s="1737">
        <v>2.5578703703703704E-2</v>
      </c>
      <c r="E534" s="1489" t="s">
        <v>16909</v>
      </c>
      <c r="F534" s="1489"/>
      <c r="G534" s="1578">
        <v>0.43169999999999997</v>
      </c>
    </row>
    <row r="535" spans="1:23" s="80" customFormat="1" x14ac:dyDescent="0.2">
      <c r="A535" s="523">
        <v>43862</v>
      </c>
      <c r="B535" s="1489" t="s">
        <v>1296</v>
      </c>
      <c r="C535" s="1489" t="s">
        <v>4635</v>
      </c>
      <c r="D535" s="1686">
        <v>2.3912037037037034E-2</v>
      </c>
      <c r="E535" s="1489" t="s">
        <v>16852</v>
      </c>
      <c r="F535" s="1489" t="s">
        <v>16871</v>
      </c>
      <c r="G535" s="1578">
        <v>0.45789999999999997</v>
      </c>
    </row>
    <row r="536" spans="1:23" s="80" customFormat="1" x14ac:dyDescent="0.2">
      <c r="A536" s="1886">
        <v>43834</v>
      </c>
      <c r="B536" s="1886" t="s">
        <v>1296</v>
      </c>
      <c r="C536" s="1370" t="s">
        <v>4635</v>
      </c>
      <c r="D536" s="1834">
        <v>2.5486111111111112E-2</v>
      </c>
      <c r="E536" s="1370" t="s">
        <v>16594</v>
      </c>
      <c r="F536" s="1370" t="s">
        <v>16595</v>
      </c>
      <c r="G536" s="1885">
        <v>0.42959999999999998</v>
      </c>
      <c r="H536" s="1370"/>
      <c r="I536" s="1370"/>
      <c r="J536" s="2056"/>
      <c r="K536" s="2056"/>
      <c r="L536" s="2056"/>
      <c r="M536" s="2056"/>
      <c r="N536" s="2056"/>
      <c r="O536" s="2056"/>
      <c r="P536" s="2056"/>
      <c r="Q536" s="2056"/>
      <c r="R536" s="2056"/>
      <c r="S536" s="2056"/>
      <c r="T536" s="2056"/>
      <c r="U536" s="2056"/>
      <c r="V536" s="2056"/>
      <c r="W536" s="2056"/>
    </row>
    <row r="537" spans="1:23" s="80" customFormat="1" ht="12.75" customHeight="1" x14ac:dyDescent="0.2">
      <c r="A537" s="2029">
        <v>43904</v>
      </c>
      <c r="B537" s="2055" t="s">
        <v>13275</v>
      </c>
      <c r="C537" s="2055" t="s">
        <v>4635</v>
      </c>
      <c r="D537" s="2061">
        <v>2.6458333333333337E-2</v>
      </c>
      <c r="E537" s="2055" t="s">
        <v>17290</v>
      </c>
      <c r="F537" s="2055" t="s">
        <v>17277</v>
      </c>
      <c r="G537" s="2063">
        <v>0.4173</v>
      </c>
    </row>
    <row r="538" spans="1:23" s="80" customFormat="1" x14ac:dyDescent="0.2">
      <c r="A538" s="2029">
        <v>43897</v>
      </c>
      <c r="B538" s="2031" t="s">
        <v>13275</v>
      </c>
      <c r="C538" s="2034" t="s">
        <v>4635</v>
      </c>
      <c r="D538" s="2030">
        <v>2.7071759259259261E-2</v>
      </c>
      <c r="E538" s="2031" t="s">
        <v>17219</v>
      </c>
      <c r="F538" s="2031"/>
      <c r="G538" s="2032">
        <v>0.40789999999999998</v>
      </c>
    </row>
    <row r="539" spans="1:23" s="80" customFormat="1" x14ac:dyDescent="0.2">
      <c r="A539" s="2029">
        <v>43897</v>
      </c>
      <c r="B539" s="2031" t="s">
        <v>7584</v>
      </c>
      <c r="C539" s="2034" t="s">
        <v>17238</v>
      </c>
      <c r="D539" s="2030">
        <v>2.0439814814814817E-2</v>
      </c>
      <c r="E539" s="2031" t="s">
        <v>17228</v>
      </c>
      <c r="F539" s="2031" t="s">
        <v>17209</v>
      </c>
      <c r="G539" s="2032">
        <v>0.50280000000000002</v>
      </c>
    </row>
    <row r="540" spans="1:23" s="80" customFormat="1" x14ac:dyDescent="0.2">
      <c r="A540" s="1526">
        <v>43883</v>
      </c>
      <c r="B540" s="1370" t="s">
        <v>17083</v>
      </c>
      <c r="C540" s="1370" t="s">
        <v>430</v>
      </c>
      <c r="D540" s="1730">
        <v>1.9143518518518518E-2</v>
      </c>
      <c r="E540" s="80" t="s">
        <v>17098</v>
      </c>
      <c r="F540" s="80" t="s">
        <v>17122</v>
      </c>
      <c r="G540" s="72">
        <v>0.61429999999999996</v>
      </c>
    </row>
    <row r="541" spans="1:23" s="80" customFormat="1" ht="12.75" customHeight="1" x14ac:dyDescent="0.2">
      <c r="A541" s="2029">
        <v>43904</v>
      </c>
      <c r="B541" s="1384" t="s">
        <v>4561</v>
      </c>
      <c r="C541" s="1384" t="s">
        <v>4562</v>
      </c>
      <c r="D541" s="2061">
        <v>1.9988425925925927E-2</v>
      </c>
      <c r="E541" s="2055" t="s">
        <v>17299</v>
      </c>
      <c r="F541" s="2048" t="s">
        <v>17327</v>
      </c>
      <c r="G541" s="2063">
        <v>0.54259999999999997</v>
      </c>
    </row>
    <row r="542" spans="1:23" s="80" customFormat="1" x14ac:dyDescent="0.2">
      <c r="A542" s="2029">
        <v>43897</v>
      </c>
      <c r="B542" s="1384" t="s">
        <v>4561</v>
      </c>
      <c r="C542" s="1384" t="s">
        <v>4562</v>
      </c>
      <c r="D542" s="2030">
        <v>2.1296296296296299E-2</v>
      </c>
      <c r="E542" s="2031" t="s">
        <v>17221</v>
      </c>
      <c r="F542" s="2048" t="s">
        <v>17258</v>
      </c>
      <c r="G542" s="2032">
        <v>0.50919999999999999</v>
      </c>
    </row>
    <row r="543" spans="1:23" s="80" customFormat="1" x14ac:dyDescent="0.2">
      <c r="A543" s="523">
        <v>43890</v>
      </c>
      <c r="B543" s="1384" t="s">
        <v>4561</v>
      </c>
      <c r="C543" s="1384" t="s">
        <v>4562</v>
      </c>
      <c r="D543" s="1686">
        <v>2.0138888888888887E-2</v>
      </c>
      <c r="E543" s="1489" t="s">
        <v>17148</v>
      </c>
      <c r="F543" s="2058" t="s">
        <v>17164</v>
      </c>
      <c r="G543" s="1578">
        <v>0.53849999999999998</v>
      </c>
    </row>
    <row r="544" spans="1:23" s="80" customFormat="1" x14ac:dyDescent="0.2">
      <c r="A544" s="1526">
        <v>43883</v>
      </c>
      <c r="B544" s="1384" t="s">
        <v>4561</v>
      </c>
      <c r="C544" s="1384" t="s">
        <v>4562</v>
      </c>
      <c r="D544" s="1730">
        <v>1.966435185185185E-2</v>
      </c>
      <c r="E544" s="80" t="s">
        <v>17099</v>
      </c>
      <c r="G544" s="72">
        <v>0.55149999999999999</v>
      </c>
    </row>
    <row r="545" spans="1:23" s="80" customFormat="1" x14ac:dyDescent="0.2">
      <c r="A545" s="1526">
        <v>43876</v>
      </c>
      <c r="B545" s="1384" t="s">
        <v>4561</v>
      </c>
      <c r="C545" s="1384" t="s">
        <v>4562</v>
      </c>
      <c r="D545" s="1686">
        <v>2.1064814814814814E-2</v>
      </c>
      <c r="E545" s="1489" t="s">
        <v>16994</v>
      </c>
      <c r="F545" s="1489" t="s">
        <v>17033</v>
      </c>
      <c r="G545" s="1578">
        <v>0.51480000000000004</v>
      </c>
    </row>
    <row r="546" spans="1:23" s="80" customFormat="1" ht="12.75" customHeight="1" x14ac:dyDescent="0.2">
      <c r="A546" s="2057">
        <v>43869</v>
      </c>
      <c r="B546" s="1384" t="s">
        <v>4561</v>
      </c>
      <c r="C546" s="1384" t="s">
        <v>4562</v>
      </c>
      <c r="D546" s="1737">
        <v>1.9930555555555556E-2</v>
      </c>
      <c r="E546" s="1489" t="s">
        <v>16913</v>
      </c>
      <c r="F546" s="1489" t="s">
        <v>16935</v>
      </c>
      <c r="G546" s="1578">
        <v>0.54410000000000003</v>
      </c>
    </row>
    <row r="547" spans="1:23" s="80" customFormat="1" x14ac:dyDescent="0.2">
      <c r="A547" s="523">
        <v>43862</v>
      </c>
      <c r="B547" s="1384" t="s">
        <v>4561</v>
      </c>
      <c r="C547" s="1384" t="s">
        <v>4562</v>
      </c>
      <c r="D547" s="1686">
        <v>2.0347222222222225E-2</v>
      </c>
      <c r="E547" s="1489" t="s">
        <v>16834</v>
      </c>
      <c r="F547" s="1489" t="s">
        <v>16888</v>
      </c>
      <c r="G547" s="1578">
        <v>0.53300000000000003</v>
      </c>
    </row>
    <row r="548" spans="1:23" s="80" customFormat="1" x14ac:dyDescent="0.2">
      <c r="A548" s="523">
        <v>43855</v>
      </c>
      <c r="B548" s="1384" t="s">
        <v>4561</v>
      </c>
      <c r="C548" s="1384" t="s">
        <v>4562</v>
      </c>
      <c r="D548" s="1686">
        <v>2.0787037037037038E-2</v>
      </c>
      <c r="E548" s="1489" t="s">
        <v>16757</v>
      </c>
      <c r="F548" s="1489"/>
      <c r="G548" s="1578">
        <v>0.52170000000000005</v>
      </c>
    </row>
    <row r="549" spans="1:23" s="80" customFormat="1" x14ac:dyDescent="0.2">
      <c r="A549" s="2057">
        <v>43848</v>
      </c>
      <c r="B549" s="1384" t="s">
        <v>4561</v>
      </c>
      <c r="C549" s="1384" t="s">
        <v>4562</v>
      </c>
      <c r="D549" s="1686">
        <v>2.0543981481481479E-2</v>
      </c>
      <c r="E549" s="1489" t="s">
        <v>16676</v>
      </c>
      <c r="F549" s="1489"/>
      <c r="G549" s="1578">
        <v>0.52790000000000004</v>
      </c>
    </row>
    <row r="550" spans="1:23" s="80" customFormat="1" x14ac:dyDescent="0.2">
      <c r="A550" s="2057">
        <v>43841</v>
      </c>
      <c r="B550" s="1384" t="s">
        <v>4561</v>
      </c>
      <c r="C550" s="1384" t="s">
        <v>4562</v>
      </c>
      <c r="D550" s="1727">
        <v>2.0243055555555552E-2</v>
      </c>
      <c r="E550" s="1728" t="s">
        <v>16700</v>
      </c>
      <c r="F550" s="1728" t="s">
        <v>16711</v>
      </c>
      <c r="G550" s="1897">
        <v>0.53169999999999995</v>
      </c>
      <c r="H550" s="1370"/>
      <c r="I550" s="1370"/>
      <c r="J550" s="1370"/>
      <c r="K550" s="1370"/>
      <c r="L550" s="1370"/>
      <c r="M550" s="1370"/>
      <c r="N550" s="1370"/>
      <c r="O550" s="1370"/>
      <c r="P550" s="1370"/>
      <c r="Q550" s="1370"/>
      <c r="R550" s="1370"/>
      <c r="S550" s="1370"/>
      <c r="T550" s="1370"/>
      <c r="U550" s="1370"/>
      <c r="V550" s="1370"/>
      <c r="W550" s="1370"/>
    </row>
    <row r="551" spans="1:23" s="80" customFormat="1" x14ac:dyDescent="0.2">
      <c r="A551" s="1886">
        <v>43834</v>
      </c>
      <c r="B551" s="1384" t="s">
        <v>4561</v>
      </c>
      <c r="C551" s="1384" t="s">
        <v>4562</v>
      </c>
      <c r="D551" s="1834">
        <v>1.954861111111111E-2</v>
      </c>
      <c r="E551" s="1370" t="s">
        <v>16589</v>
      </c>
      <c r="F551" s="1370" t="s">
        <v>16593</v>
      </c>
      <c r="G551" s="1885">
        <v>0.55059999999999998</v>
      </c>
      <c r="H551" s="1370"/>
      <c r="I551" s="1370"/>
      <c r="J551" s="2056"/>
      <c r="K551" s="2056"/>
      <c r="L551" s="2056"/>
      <c r="M551" s="2056"/>
      <c r="N551" s="2056"/>
      <c r="O551" s="2056"/>
      <c r="P551" s="2056"/>
      <c r="Q551" s="2056"/>
      <c r="R551" s="2056"/>
      <c r="S551" s="2056"/>
      <c r="T551" s="2056"/>
      <c r="U551" s="2056"/>
      <c r="V551" s="2056"/>
      <c r="W551" s="2056"/>
    </row>
    <row r="552" spans="1:23" s="80" customFormat="1" x14ac:dyDescent="0.2">
      <c r="A552" s="1729">
        <v>43831</v>
      </c>
      <c r="B552" s="1384" t="s">
        <v>4561</v>
      </c>
      <c r="C552" s="1384" t="s">
        <v>4562</v>
      </c>
      <c r="D552" s="1730">
        <v>2.0243055555555556E-2</v>
      </c>
      <c r="E552" s="80" t="s">
        <v>16511</v>
      </c>
      <c r="F552" s="80" t="s">
        <v>16492</v>
      </c>
      <c r="G552" s="72">
        <v>0.53169999999999995</v>
      </c>
      <c r="H552" s="80" t="s">
        <v>1212</v>
      </c>
      <c r="I552" s="1708"/>
      <c r="J552" s="1708"/>
      <c r="K552" s="1708"/>
      <c r="L552" s="1708"/>
      <c r="O552" s="1708"/>
      <c r="P552" s="1708"/>
      <c r="Q552" s="1708"/>
      <c r="R552" s="1708"/>
      <c r="S552" s="1708"/>
      <c r="T552" s="1708"/>
      <c r="U552" s="1708"/>
      <c r="V552" s="1708"/>
      <c r="W552" s="1708"/>
    </row>
    <row r="553" spans="1:23" s="80" customFormat="1" ht="12.75" customHeight="1" x14ac:dyDescent="0.2">
      <c r="A553" s="2029">
        <v>43904</v>
      </c>
      <c r="B553" s="2055" t="s">
        <v>17305</v>
      </c>
      <c r="C553" s="2055" t="s">
        <v>17201</v>
      </c>
      <c r="D553" s="2061">
        <v>2.4791666666666667E-2</v>
      </c>
      <c r="E553" s="2055" t="s">
        <v>17293</v>
      </c>
      <c r="F553" s="2048" t="s">
        <v>17319</v>
      </c>
      <c r="G553" s="2063">
        <v>0.48130000000000001</v>
      </c>
    </row>
    <row r="554" spans="1:23" s="80" customFormat="1" x14ac:dyDescent="0.2">
      <c r="A554" s="2029">
        <v>43897</v>
      </c>
      <c r="B554" s="2031" t="s">
        <v>17240</v>
      </c>
      <c r="C554" s="2034" t="s">
        <v>17201</v>
      </c>
      <c r="D554" s="2030">
        <v>2.6238425925925922E-2</v>
      </c>
      <c r="E554" s="2031" t="s">
        <v>17222</v>
      </c>
      <c r="F554" s="2031" t="s">
        <v>12747</v>
      </c>
      <c r="G554" s="2032">
        <v>0.45479999999999998</v>
      </c>
    </row>
    <row r="555" spans="1:23" s="80" customFormat="1" ht="12.75" customHeight="1" x14ac:dyDescent="0.2">
      <c r="A555" s="2029">
        <v>43904</v>
      </c>
      <c r="B555" s="2049" t="s">
        <v>17304</v>
      </c>
      <c r="C555" s="2049" t="s">
        <v>10840</v>
      </c>
      <c r="D555" s="2061">
        <v>1.2534722222222221E-2</v>
      </c>
      <c r="E555" s="2055" t="s">
        <v>17289</v>
      </c>
      <c r="F555" s="2049" t="s">
        <v>16778</v>
      </c>
      <c r="G555" s="2063">
        <v>0.72299999999999998</v>
      </c>
    </row>
    <row r="556" spans="1:23" s="80" customFormat="1" x14ac:dyDescent="0.2">
      <c r="A556" s="2029">
        <v>43897</v>
      </c>
      <c r="B556" s="2035" t="s">
        <v>17239</v>
      </c>
      <c r="C556" s="2034" t="s">
        <v>10840</v>
      </c>
      <c r="D556" s="2030">
        <v>1.2314814814814815E-2</v>
      </c>
      <c r="E556" s="2031" t="s">
        <v>17218</v>
      </c>
      <c r="F556" s="2035" t="s">
        <v>17251</v>
      </c>
      <c r="G556" s="2032">
        <v>0.7359</v>
      </c>
    </row>
    <row r="557" spans="1:23" s="80" customFormat="1" x14ac:dyDescent="0.2">
      <c r="A557" s="1526">
        <v>43876</v>
      </c>
      <c r="B557" s="1489" t="s">
        <v>16990</v>
      </c>
      <c r="C557" s="1489" t="s">
        <v>16991</v>
      </c>
      <c r="D557" s="1686">
        <v>2.0983796296296296E-2</v>
      </c>
      <c r="E557" s="1489" t="s">
        <v>16989</v>
      </c>
      <c r="F557" s="1489" t="s">
        <v>17034</v>
      </c>
      <c r="G557" s="1578">
        <v>0.503</v>
      </c>
    </row>
    <row r="558" spans="1:23" s="80" customFormat="1" x14ac:dyDescent="0.2">
      <c r="A558" s="523">
        <v>43890</v>
      </c>
      <c r="B558" s="1489" t="s">
        <v>17037</v>
      </c>
      <c r="C558" s="1489" t="s">
        <v>16991</v>
      </c>
      <c r="D558" s="1686">
        <v>2.2094907407407407E-2</v>
      </c>
      <c r="E558" s="1489" t="s">
        <v>17153</v>
      </c>
      <c r="F558" s="1489" t="s">
        <v>10422</v>
      </c>
      <c r="G558" s="1578">
        <v>0.47770000000000001</v>
      </c>
    </row>
    <row r="559" spans="1:23" s="80" customFormat="1" ht="12.75" customHeight="1" x14ac:dyDescent="0.2">
      <c r="A559" s="2029">
        <v>43904</v>
      </c>
      <c r="B559" s="2066" t="s">
        <v>17082</v>
      </c>
      <c r="C559" s="1489" t="s">
        <v>16991</v>
      </c>
      <c r="D559" s="2067">
        <v>1.7291666666666664E-2</v>
      </c>
      <c r="E559" s="2055" t="s">
        <v>17282</v>
      </c>
      <c r="F559" s="1623" t="s">
        <v>17323</v>
      </c>
      <c r="G559" s="2068">
        <v>0.61040000000000005</v>
      </c>
    </row>
    <row r="560" spans="1:23" s="80" customFormat="1" x14ac:dyDescent="0.2">
      <c r="A560" s="2029">
        <v>43897</v>
      </c>
      <c r="B560" s="2031" t="s">
        <v>17082</v>
      </c>
      <c r="C560" s="2034" t="s">
        <v>16991</v>
      </c>
      <c r="D560" s="2030" t="s">
        <v>787</v>
      </c>
      <c r="E560" s="2031" t="s">
        <v>17212</v>
      </c>
      <c r="F560" s="2048" t="s">
        <v>16733</v>
      </c>
      <c r="G560" s="2032"/>
    </row>
    <row r="561" spans="1:23" s="80" customFormat="1" x14ac:dyDescent="0.2">
      <c r="A561" s="1526">
        <v>43883</v>
      </c>
      <c r="B561" s="1370" t="s">
        <v>17082</v>
      </c>
      <c r="C561" s="1370" t="s">
        <v>16991</v>
      </c>
      <c r="D561" s="1730">
        <v>1.9212962962962966E-2</v>
      </c>
      <c r="E561" s="80" t="s">
        <v>17092</v>
      </c>
      <c r="G561" s="72">
        <v>0.5494</v>
      </c>
    </row>
    <row r="562" spans="1:23" s="80" customFormat="1" x14ac:dyDescent="0.2">
      <c r="A562" s="1526">
        <v>43883</v>
      </c>
      <c r="B562" s="1370" t="s">
        <v>17085</v>
      </c>
      <c r="C562" s="1370" t="s">
        <v>2350</v>
      </c>
      <c r="D562" s="1730">
        <v>1.6724537037037034E-2</v>
      </c>
      <c r="E562" s="80" t="s">
        <v>17108</v>
      </c>
      <c r="F562" s="80" t="s">
        <v>17129</v>
      </c>
      <c r="G562" s="72">
        <v>0.70450000000000002</v>
      </c>
    </row>
    <row r="563" spans="1:23" s="80" customFormat="1" x14ac:dyDescent="0.2">
      <c r="A563" s="523">
        <v>43855</v>
      </c>
      <c r="B563" s="1384" t="s">
        <v>2349</v>
      </c>
      <c r="C563" s="1384" t="s">
        <v>2350</v>
      </c>
      <c r="D563" s="1686">
        <v>1.6134259259259258E-2</v>
      </c>
      <c r="E563" s="1489" t="s">
        <v>16747</v>
      </c>
      <c r="F563" s="1489" t="s">
        <v>16790</v>
      </c>
      <c r="G563" s="1578">
        <v>0.73029999999999995</v>
      </c>
    </row>
    <row r="564" spans="1:23" s="80" customFormat="1" x14ac:dyDescent="0.2">
      <c r="A564" s="2057">
        <v>43841</v>
      </c>
      <c r="B564" s="1895" t="s">
        <v>2349</v>
      </c>
      <c r="C564" s="1895" t="s">
        <v>2350</v>
      </c>
      <c r="D564" s="1727">
        <v>1.6423611111111111E-2</v>
      </c>
      <c r="E564" s="1728" t="s">
        <v>15921</v>
      </c>
      <c r="F564" s="1568" t="s">
        <v>16719</v>
      </c>
      <c r="G564" s="1897">
        <v>0.71740000000000004</v>
      </c>
      <c r="H564" s="1370"/>
      <c r="I564" s="1370"/>
      <c r="J564" s="1370"/>
      <c r="K564" s="1370"/>
      <c r="L564" s="1370"/>
      <c r="M564" s="1370"/>
      <c r="N564" s="1370"/>
      <c r="O564" s="1370"/>
      <c r="P564" s="1370"/>
      <c r="Q564" s="1370"/>
      <c r="R564" s="1370"/>
      <c r="S564" s="1370"/>
      <c r="T564" s="1370"/>
      <c r="U564" s="1370"/>
      <c r="V564" s="1370"/>
      <c r="W564" s="1370"/>
    </row>
    <row r="565" spans="1:23" s="80" customFormat="1" x14ac:dyDescent="0.2">
      <c r="A565" s="1886">
        <v>43834</v>
      </c>
      <c r="B565" s="1886" t="s">
        <v>2349</v>
      </c>
      <c r="C565" s="1370" t="s">
        <v>2350</v>
      </c>
      <c r="D565" s="1834">
        <v>1.6967592592592593E-2</v>
      </c>
      <c r="E565" s="1370" t="s">
        <v>16635</v>
      </c>
      <c r="F565" s="1370" t="s">
        <v>16636</v>
      </c>
      <c r="G565" s="1885">
        <v>0.69440000000000002</v>
      </c>
      <c r="H565" s="1370"/>
      <c r="I565" s="1370"/>
      <c r="J565" s="2056"/>
      <c r="K565" s="2056"/>
      <c r="L565" s="2056"/>
      <c r="M565" s="2056"/>
      <c r="N565" s="1370"/>
      <c r="O565" s="1370"/>
      <c r="P565" s="2056"/>
      <c r="Q565" s="2056"/>
      <c r="R565" s="2056"/>
      <c r="S565" s="2056"/>
      <c r="T565" s="2056"/>
      <c r="U565" s="2056"/>
      <c r="V565" s="2056"/>
      <c r="W565" s="2056"/>
    </row>
    <row r="566" spans="1:23" s="80" customFormat="1" x14ac:dyDescent="0.2">
      <c r="A566" s="1729">
        <v>43831</v>
      </c>
      <c r="B566" s="1370" t="s">
        <v>2349</v>
      </c>
      <c r="C566" s="1370" t="s">
        <v>2350</v>
      </c>
      <c r="D566" s="1730">
        <v>1.6932870370370372E-2</v>
      </c>
      <c r="E566" s="80" t="s">
        <v>16533</v>
      </c>
      <c r="F566" s="80" t="s">
        <v>16560</v>
      </c>
      <c r="G566" s="72">
        <v>0.69579999999999997</v>
      </c>
      <c r="I566" s="1708"/>
      <c r="J566" s="1708"/>
      <c r="K566" s="1708"/>
      <c r="L566" s="1708"/>
      <c r="M566" s="1708"/>
      <c r="N566" s="1708"/>
      <c r="O566" s="1708"/>
      <c r="P566" s="1708"/>
      <c r="Q566" s="1708"/>
      <c r="R566" s="1708"/>
      <c r="S566" s="1708"/>
      <c r="T566" s="1708"/>
      <c r="U566" s="1708"/>
      <c r="V566" s="1708"/>
      <c r="W566" s="1708"/>
    </row>
    <row r="567" spans="1:23" s="80" customFormat="1" x14ac:dyDescent="0.2">
      <c r="A567" s="2057">
        <v>43848</v>
      </c>
      <c r="B567" s="1489" t="s">
        <v>16685</v>
      </c>
      <c r="C567" s="1489" t="s">
        <v>2350</v>
      </c>
      <c r="D567" s="1686">
        <v>1.6585648148148148E-2</v>
      </c>
      <c r="E567" s="1489" t="s">
        <v>16674</v>
      </c>
      <c r="F567" s="1489" t="s">
        <v>854</v>
      </c>
      <c r="G567" s="1578">
        <v>0.71040000000000003</v>
      </c>
    </row>
    <row r="568" spans="1:23" s="80" customFormat="1" ht="12.75" customHeight="1" x14ac:dyDescent="0.2">
      <c r="A568" s="523">
        <v>43855</v>
      </c>
      <c r="B568" s="1384" t="s">
        <v>1794</v>
      </c>
      <c r="C568" s="1384" t="s">
        <v>1795</v>
      </c>
      <c r="D568" s="1686">
        <v>4.0752314814814811E-2</v>
      </c>
      <c r="E568" s="1489" t="s">
        <v>16748</v>
      </c>
      <c r="F568" s="1489" t="s">
        <v>16734</v>
      </c>
      <c r="G568" s="1578">
        <v>0.32290000000000002</v>
      </c>
    </row>
    <row r="569" spans="1:23" s="80" customFormat="1" x14ac:dyDescent="0.2">
      <c r="A569" s="1886">
        <v>43834</v>
      </c>
      <c r="B569" s="1886" t="s">
        <v>1794</v>
      </c>
      <c r="C569" s="1370" t="s">
        <v>1795</v>
      </c>
      <c r="D569" s="1834" t="s">
        <v>787</v>
      </c>
      <c r="E569" s="1370" t="s">
        <v>16588</v>
      </c>
      <c r="F569" s="1370" t="s">
        <v>16654</v>
      </c>
      <c r="G569" s="1885"/>
      <c r="H569" s="1370"/>
      <c r="I569" s="1370"/>
      <c r="J569" s="2056"/>
      <c r="K569" s="2056"/>
      <c r="L569" s="2056"/>
      <c r="M569" s="2056"/>
      <c r="N569" s="2056"/>
      <c r="O569" s="2056"/>
      <c r="P569" s="2056"/>
      <c r="Q569" s="2056"/>
      <c r="R569" s="2056"/>
      <c r="S569" s="2056"/>
      <c r="T569" s="2056"/>
      <c r="U569" s="2056"/>
      <c r="V569" s="2056"/>
      <c r="W569" s="2056"/>
    </row>
    <row r="570" spans="1:23" s="80" customFormat="1" ht="12.75" customHeight="1" x14ac:dyDescent="0.2">
      <c r="A570" s="2029">
        <v>43904</v>
      </c>
      <c r="B570" s="2049" t="s">
        <v>16862</v>
      </c>
      <c r="C570" s="2049" t="s">
        <v>1795</v>
      </c>
      <c r="D570" s="2061">
        <v>3.1030092592592592E-2</v>
      </c>
      <c r="E570" s="2055" t="s">
        <v>17271</v>
      </c>
      <c r="F570" s="2048" t="s">
        <v>17317</v>
      </c>
      <c r="G570" s="2062">
        <v>0.42409999999999998</v>
      </c>
    </row>
    <row r="571" spans="1:23" s="80" customFormat="1" x14ac:dyDescent="0.2">
      <c r="A571" s="2029">
        <v>43897</v>
      </c>
      <c r="B571" s="2035" t="s">
        <v>16862</v>
      </c>
      <c r="C571" s="2036" t="s">
        <v>1795</v>
      </c>
      <c r="D571" s="2030">
        <v>3.2916666666666664E-2</v>
      </c>
      <c r="E571" s="2031" t="s">
        <v>17224</v>
      </c>
      <c r="F571" s="2048"/>
      <c r="G571" s="2033">
        <v>0.39979999999999999</v>
      </c>
    </row>
    <row r="572" spans="1:23" s="80" customFormat="1" x14ac:dyDescent="0.2">
      <c r="A572" s="523">
        <v>43890</v>
      </c>
      <c r="B572" s="1489" t="s">
        <v>16862</v>
      </c>
      <c r="C572" s="1489" t="s">
        <v>1795</v>
      </c>
      <c r="D572" s="1686">
        <v>4.1342592592592591E-2</v>
      </c>
      <c r="E572" s="1489" t="s">
        <v>16982</v>
      </c>
      <c r="F572" s="2058" t="s">
        <v>17172</v>
      </c>
      <c r="G572" s="1578">
        <v>0.31830000000000003</v>
      </c>
    </row>
    <row r="573" spans="1:23" s="80" customFormat="1" x14ac:dyDescent="0.2">
      <c r="A573" s="1526">
        <v>43883</v>
      </c>
      <c r="B573" s="1370" t="s">
        <v>16862</v>
      </c>
      <c r="C573" s="1370" t="s">
        <v>1795</v>
      </c>
      <c r="D573" s="1730">
        <v>3.3252314814814811E-2</v>
      </c>
      <c r="E573" s="80" t="s">
        <v>17078</v>
      </c>
      <c r="F573" s="80" t="s">
        <v>17133</v>
      </c>
      <c r="G573" s="72">
        <v>0.39579999999999999</v>
      </c>
    </row>
    <row r="574" spans="1:23" s="80" customFormat="1" x14ac:dyDescent="0.2">
      <c r="A574" s="1526">
        <v>43876</v>
      </c>
      <c r="B574" s="1489" t="s">
        <v>16862</v>
      </c>
      <c r="C574" s="1489" t="s">
        <v>1795</v>
      </c>
      <c r="D574" s="1686">
        <v>3.2175925925925927E-2</v>
      </c>
      <c r="E574" s="1489" t="s">
        <v>17009</v>
      </c>
      <c r="F574" s="1489" t="s">
        <v>17028</v>
      </c>
      <c r="G574" s="1578">
        <v>0.40899999999999997</v>
      </c>
    </row>
    <row r="575" spans="1:23" s="80" customFormat="1" x14ac:dyDescent="0.2">
      <c r="A575" s="2057">
        <v>43869</v>
      </c>
      <c r="B575" s="1489" t="s">
        <v>16862</v>
      </c>
      <c r="C575" s="1489" t="s">
        <v>1795</v>
      </c>
      <c r="D575" s="1737">
        <v>3.2083333333333332E-2</v>
      </c>
      <c r="E575" s="1489" t="s">
        <v>16920</v>
      </c>
      <c r="F575" s="1489" t="s">
        <v>16958</v>
      </c>
      <c r="G575" s="1578">
        <v>0.41020000000000001</v>
      </c>
    </row>
    <row r="576" spans="1:23" s="80" customFormat="1" x14ac:dyDescent="0.2">
      <c r="A576" s="523">
        <v>43862</v>
      </c>
      <c r="B576" s="1489" t="s">
        <v>16862</v>
      </c>
      <c r="C576" s="1489" t="s">
        <v>1795</v>
      </c>
      <c r="D576" s="1686" t="s">
        <v>787</v>
      </c>
      <c r="E576" s="1489" t="s">
        <v>16836</v>
      </c>
      <c r="F576" s="1489" t="s">
        <v>4061</v>
      </c>
      <c r="G576" s="1578"/>
    </row>
    <row r="577" spans="1:23" s="80" customFormat="1" x14ac:dyDescent="0.2">
      <c r="A577" s="523">
        <v>43862</v>
      </c>
      <c r="B577" s="1489" t="s">
        <v>431</v>
      </c>
      <c r="C577" s="1489" t="s">
        <v>433</v>
      </c>
      <c r="D577" s="1686" t="s">
        <v>787</v>
      </c>
      <c r="E577" s="1489" t="s">
        <v>16872</v>
      </c>
      <c r="F577" s="1489" t="s">
        <v>16873</v>
      </c>
      <c r="G577" s="1578"/>
    </row>
    <row r="578" spans="1:23" s="80" customFormat="1" x14ac:dyDescent="0.2">
      <c r="A578" s="523">
        <v>43855</v>
      </c>
      <c r="B578" s="1384" t="s">
        <v>431</v>
      </c>
      <c r="C578" s="1384" t="s">
        <v>433</v>
      </c>
      <c r="D578" s="1686">
        <v>2.1712962962962965E-2</v>
      </c>
      <c r="E578" s="1489" t="s">
        <v>16741</v>
      </c>
      <c r="F578" s="1489"/>
      <c r="G578" s="1578">
        <v>0.53139999999999998</v>
      </c>
    </row>
    <row r="579" spans="1:23" s="80" customFormat="1" x14ac:dyDescent="0.2">
      <c r="A579" s="2057">
        <v>43841</v>
      </c>
      <c r="B579" s="1895" t="s">
        <v>431</v>
      </c>
      <c r="C579" s="1895" t="s">
        <v>433</v>
      </c>
      <c r="D579" s="1727">
        <v>2.1435185185185186E-2</v>
      </c>
      <c r="E579" s="1728" t="s">
        <v>1670</v>
      </c>
      <c r="F579" s="1568"/>
      <c r="G579" s="1897">
        <v>0.5383</v>
      </c>
      <c r="H579" s="1370"/>
      <c r="I579" s="1370"/>
      <c r="J579" s="1370"/>
      <c r="K579" s="1370"/>
      <c r="L579" s="1370"/>
      <c r="M579" s="1370"/>
      <c r="N579" s="1370"/>
      <c r="O579" s="1370"/>
      <c r="P579" s="1370"/>
      <c r="Q579" s="1370"/>
      <c r="R579" s="1370"/>
      <c r="S579" s="1370"/>
      <c r="T579" s="1370"/>
      <c r="U579" s="1370"/>
      <c r="V579" s="1370"/>
      <c r="W579" s="1370"/>
    </row>
    <row r="580" spans="1:23" s="80" customFormat="1" x14ac:dyDescent="0.2">
      <c r="A580" s="1886">
        <v>43834</v>
      </c>
      <c r="B580" s="1886" t="s">
        <v>431</v>
      </c>
      <c r="C580" s="1370" t="s">
        <v>433</v>
      </c>
      <c r="D580" s="1834">
        <v>2.0682870370370372E-2</v>
      </c>
      <c r="E580" s="1370" t="s">
        <v>16592</v>
      </c>
      <c r="F580" s="1370" t="s">
        <v>16653</v>
      </c>
      <c r="G580" s="1885">
        <v>0.55789999999999995</v>
      </c>
      <c r="H580" s="1370"/>
      <c r="I580" s="1370"/>
      <c r="J580" s="2056"/>
      <c r="K580" s="2056"/>
      <c r="L580" s="2056"/>
      <c r="M580" s="2056"/>
      <c r="N580" s="2056"/>
      <c r="O580" s="2056"/>
      <c r="P580" s="2056"/>
      <c r="Q580" s="2056"/>
      <c r="R580" s="2056"/>
      <c r="S580" s="2056"/>
      <c r="T580" s="2056"/>
      <c r="U580" s="2056"/>
      <c r="V580" s="2056"/>
      <c r="W580" s="2056"/>
    </row>
    <row r="581" spans="1:23" s="80" customFormat="1" x14ac:dyDescent="0.2">
      <c r="A581" s="1526">
        <v>43883</v>
      </c>
      <c r="B581" s="1370" t="s">
        <v>11398</v>
      </c>
      <c r="C581" s="1370" t="s">
        <v>433</v>
      </c>
      <c r="D581" s="1730">
        <v>2.1122685185185185E-2</v>
      </c>
      <c r="E581" s="80" t="s">
        <v>17091</v>
      </c>
      <c r="F581" s="80" t="s">
        <v>17136</v>
      </c>
      <c r="G581" s="72">
        <v>0.54630000000000001</v>
      </c>
    </row>
    <row r="582" spans="1:23" s="80" customFormat="1" x14ac:dyDescent="0.2">
      <c r="A582" s="1729">
        <v>43831</v>
      </c>
      <c r="B582" s="1370" t="s">
        <v>11398</v>
      </c>
      <c r="C582" s="1370" t="s">
        <v>433</v>
      </c>
      <c r="D582" s="1730">
        <v>2.1342592592592594E-2</v>
      </c>
      <c r="E582" s="80" t="s">
        <v>16504</v>
      </c>
      <c r="F582" s="80" t="s">
        <v>16563</v>
      </c>
      <c r="G582" s="72">
        <v>0.54069999999999996</v>
      </c>
      <c r="I582" s="1708"/>
      <c r="J582" s="2060"/>
      <c r="K582" s="1708"/>
      <c r="L582" s="1708"/>
      <c r="M582" s="1708"/>
      <c r="N582" s="1708"/>
      <c r="O582" s="1708"/>
      <c r="P582" s="1708"/>
      <c r="Q582" s="1708"/>
      <c r="R582" s="1708"/>
      <c r="S582" s="1708"/>
      <c r="T582" s="1708"/>
      <c r="U582" s="1708"/>
      <c r="V582" s="1708"/>
      <c r="W582" s="1708"/>
    </row>
    <row r="583" spans="1:23" s="80" customFormat="1" ht="12.75" customHeight="1" x14ac:dyDescent="0.2">
      <c r="A583" s="2029">
        <v>43904</v>
      </c>
      <c r="B583" s="2055" t="s">
        <v>16681</v>
      </c>
      <c r="C583" s="2055" t="s">
        <v>433</v>
      </c>
      <c r="D583" s="2061">
        <v>2.0937499999999998E-2</v>
      </c>
      <c r="E583" s="2055" t="s">
        <v>17283</v>
      </c>
      <c r="F583" s="2048" t="s">
        <v>17315</v>
      </c>
      <c r="G583" s="2063">
        <v>0.55110000000000003</v>
      </c>
    </row>
    <row r="584" spans="1:23" s="80" customFormat="1" x14ac:dyDescent="0.2">
      <c r="A584" s="2029">
        <v>43897</v>
      </c>
      <c r="B584" s="2031" t="s">
        <v>16681</v>
      </c>
      <c r="C584" s="2034" t="s">
        <v>433</v>
      </c>
      <c r="D584" s="2030">
        <v>2.0833333333333332E-2</v>
      </c>
      <c r="E584" s="2031" t="s">
        <v>17214</v>
      </c>
      <c r="F584" s="2048" t="s">
        <v>17203</v>
      </c>
      <c r="G584" s="2032">
        <v>0.55389999999999995</v>
      </c>
    </row>
    <row r="585" spans="1:23" s="80" customFormat="1" x14ac:dyDescent="0.2">
      <c r="A585" s="1526">
        <v>43876</v>
      </c>
      <c r="B585" s="1489" t="s">
        <v>16681</v>
      </c>
      <c r="C585" s="1489" t="s">
        <v>433</v>
      </c>
      <c r="D585" s="1686">
        <v>2.207175925925926E-2</v>
      </c>
      <c r="E585" s="1489" t="s">
        <v>16996</v>
      </c>
      <c r="F585" s="1489" t="s">
        <v>16764</v>
      </c>
      <c r="G585" s="1578">
        <v>0.52280000000000004</v>
      </c>
    </row>
    <row r="586" spans="1:23" s="80" customFormat="1" x14ac:dyDescent="0.2">
      <c r="A586" s="2057">
        <v>43869</v>
      </c>
      <c r="B586" s="1489" t="s">
        <v>16681</v>
      </c>
      <c r="C586" s="1489" t="s">
        <v>433</v>
      </c>
      <c r="D586" s="1737">
        <v>2.0833333333333332E-2</v>
      </c>
      <c r="E586" s="1489" t="s">
        <v>16900</v>
      </c>
      <c r="F586" s="1489" t="s">
        <v>16953</v>
      </c>
      <c r="G586" s="1578">
        <v>0.55389999999999995</v>
      </c>
    </row>
    <row r="587" spans="1:23" s="80" customFormat="1" x14ac:dyDescent="0.2">
      <c r="A587" s="2057">
        <v>43848</v>
      </c>
      <c r="B587" s="1489" t="s">
        <v>16681</v>
      </c>
      <c r="C587" s="1489" t="s">
        <v>433</v>
      </c>
      <c r="D587" s="1686">
        <v>2.0868055555555556E-2</v>
      </c>
      <c r="E587" s="1489" t="s">
        <v>16661</v>
      </c>
      <c r="F587" s="1489"/>
      <c r="G587" s="1578">
        <v>0.55300000000000005</v>
      </c>
    </row>
    <row r="588" spans="1:23" s="80" customFormat="1" x14ac:dyDescent="0.2">
      <c r="A588" s="523">
        <v>43855</v>
      </c>
      <c r="B588" s="1384" t="s">
        <v>9377</v>
      </c>
      <c r="C588" s="1384" t="s">
        <v>9378</v>
      </c>
      <c r="D588" s="1686">
        <v>2.4907407407407409E-2</v>
      </c>
      <c r="E588" s="1489" t="s">
        <v>16743</v>
      </c>
      <c r="F588" s="1489"/>
      <c r="G588" s="1578">
        <v>0.51160000000000005</v>
      </c>
    </row>
    <row r="589" spans="1:23" s="80" customFormat="1" x14ac:dyDescent="0.2">
      <c r="A589" s="1886">
        <v>43834</v>
      </c>
      <c r="B589" s="1886" t="s">
        <v>9377</v>
      </c>
      <c r="C589" s="1370" t="s">
        <v>9378</v>
      </c>
      <c r="D589" s="1834">
        <v>3.650462962962963E-2</v>
      </c>
      <c r="E589" s="1370" t="s">
        <v>16623</v>
      </c>
      <c r="F589" s="1370" t="s">
        <v>16628</v>
      </c>
      <c r="G589" s="1885">
        <v>0.34910000000000002</v>
      </c>
      <c r="H589" s="1370"/>
      <c r="I589" s="1370"/>
      <c r="J589" s="2056"/>
      <c r="K589" s="2056"/>
      <c r="L589" s="2056"/>
      <c r="M589" s="2056"/>
      <c r="N589" s="1370"/>
      <c r="O589" s="1370"/>
      <c r="P589" s="2056"/>
      <c r="Q589" s="2056"/>
      <c r="R589" s="2056"/>
      <c r="S589" s="2056"/>
      <c r="T589" s="2056"/>
      <c r="U589" s="2056"/>
      <c r="V589" s="2056"/>
      <c r="W589" s="2056"/>
    </row>
    <row r="590" spans="1:23" s="80" customFormat="1" x14ac:dyDescent="0.2">
      <c r="A590" s="1526">
        <v>43883</v>
      </c>
      <c r="B590" s="1370" t="s">
        <v>12719</v>
      </c>
      <c r="C590" s="1370" t="s">
        <v>9378</v>
      </c>
      <c r="D590" s="1730">
        <v>2.7291666666666665E-2</v>
      </c>
      <c r="E590" s="80" t="s">
        <v>17105</v>
      </c>
      <c r="F590" s="80" t="s">
        <v>17121</v>
      </c>
      <c r="G590" s="72">
        <v>0.46689999999999998</v>
      </c>
    </row>
    <row r="591" spans="1:23" s="80" customFormat="1" x14ac:dyDescent="0.2">
      <c r="A591" s="2029">
        <v>43897</v>
      </c>
      <c r="B591" s="2031" t="s">
        <v>16682</v>
      </c>
      <c r="C591" s="2034" t="s">
        <v>9378</v>
      </c>
      <c r="D591" s="2030">
        <v>3.3379629629629627E-2</v>
      </c>
      <c r="E591" s="2031" t="s">
        <v>17227</v>
      </c>
      <c r="F591" s="2048" t="s">
        <v>17211</v>
      </c>
      <c r="G591" s="2032">
        <v>0.38700000000000001</v>
      </c>
    </row>
    <row r="592" spans="1:23" s="80" customFormat="1" x14ac:dyDescent="0.2">
      <c r="A592" s="523">
        <v>43890</v>
      </c>
      <c r="B592" s="1489" t="s">
        <v>16682</v>
      </c>
      <c r="C592" s="1489" t="s">
        <v>9378</v>
      </c>
      <c r="D592" s="1686" t="s">
        <v>787</v>
      </c>
      <c r="E592" s="1489" t="s">
        <v>16982</v>
      </c>
      <c r="F592" s="2058" t="s">
        <v>94</v>
      </c>
      <c r="G592" s="1578"/>
    </row>
    <row r="593" spans="1:23" s="80" customFormat="1" x14ac:dyDescent="0.2">
      <c r="A593" s="1526">
        <v>43876</v>
      </c>
      <c r="B593" s="1489" t="s">
        <v>16682</v>
      </c>
      <c r="C593" s="1489" t="s">
        <v>9378</v>
      </c>
      <c r="D593" s="1686">
        <v>2.5520833333333333E-2</v>
      </c>
      <c r="E593" s="1489" t="s">
        <v>16989</v>
      </c>
      <c r="F593" s="1489" t="s">
        <v>17044</v>
      </c>
      <c r="G593" s="1578">
        <v>0.49930000000000002</v>
      </c>
    </row>
    <row r="594" spans="1:23" s="80" customFormat="1" x14ac:dyDescent="0.2">
      <c r="A594" s="2057">
        <v>43869</v>
      </c>
      <c r="B594" s="1489" t="s">
        <v>16682</v>
      </c>
      <c r="C594" s="1489" t="s">
        <v>9378</v>
      </c>
      <c r="D594" s="1737">
        <v>2.4895833333333336E-2</v>
      </c>
      <c r="E594" s="1489" t="s">
        <v>16901</v>
      </c>
      <c r="F594" s="1489" t="s">
        <v>16949</v>
      </c>
      <c r="G594" s="1578">
        <v>0.51190000000000002</v>
      </c>
    </row>
    <row r="595" spans="1:23" s="80" customFormat="1" x14ac:dyDescent="0.2">
      <c r="A595" s="523">
        <v>43862</v>
      </c>
      <c r="B595" s="1489" t="s">
        <v>16682</v>
      </c>
      <c r="C595" s="1489" t="s">
        <v>9378</v>
      </c>
      <c r="D595" s="1686">
        <v>2.5300925925925925E-2</v>
      </c>
      <c r="E595" s="1489" t="s">
        <v>16844</v>
      </c>
      <c r="F595" s="1489" t="s">
        <v>16885</v>
      </c>
      <c r="G595" s="1578">
        <v>0.50370000000000004</v>
      </c>
    </row>
    <row r="596" spans="1:23" s="80" customFormat="1" x14ac:dyDescent="0.2">
      <c r="A596" s="2057">
        <v>43848</v>
      </c>
      <c r="B596" s="1489" t="s">
        <v>16682</v>
      </c>
      <c r="C596" s="1489" t="s">
        <v>9378</v>
      </c>
      <c r="D596" s="1686">
        <v>2.6539351851851852E-2</v>
      </c>
      <c r="E596" s="1489" t="s">
        <v>16664</v>
      </c>
      <c r="F596" s="1489"/>
      <c r="G596" s="1578">
        <v>0.48020000000000002</v>
      </c>
    </row>
    <row r="597" spans="1:23" s="80" customFormat="1" x14ac:dyDescent="0.2">
      <c r="A597" s="523">
        <v>43855</v>
      </c>
      <c r="B597" s="1384" t="s">
        <v>5788</v>
      </c>
      <c r="C597" s="1384" t="s">
        <v>5789</v>
      </c>
      <c r="D597" s="1686">
        <v>2.8622685185185185E-2</v>
      </c>
      <c r="E597" s="1489" t="s">
        <v>16752</v>
      </c>
      <c r="F597" s="1489"/>
      <c r="G597" s="1578">
        <v>0.51480000000000004</v>
      </c>
    </row>
    <row r="598" spans="1:23" s="80" customFormat="1" x14ac:dyDescent="0.2">
      <c r="A598" s="2057">
        <v>43841</v>
      </c>
      <c r="B598" s="1895" t="s">
        <v>5788</v>
      </c>
      <c r="C598" s="1895" t="s">
        <v>5789</v>
      </c>
      <c r="D598" s="1727">
        <v>3.0937499999999996E-2</v>
      </c>
      <c r="E598" s="1728" t="s">
        <v>16697</v>
      </c>
      <c r="F598" s="1568"/>
      <c r="G598" s="1897">
        <v>0.47620000000000001</v>
      </c>
      <c r="H598" s="1370"/>
      <c r="I598" s="1370"/>
      <c r="J598" s="1370"/>
      <c r="K598" s="1370"/>
      <c r="L598" s="1370"/>
      <c r="M598" s="1370"/>
      <c r="N598" s="1370"/>
      <c r="O598" s="1370"/>
      <c r="P598" s="1370"/>
      <c r="Q598" s="1370"/>
      <c r="R598" s="1370"/>
      <c r="S598" s="1370"/>
      <c r="T598" s="1370"/>
      <c r="U598" s="1370"/>
      <c r="V598" s="1370"/>
      <c r="W598" s="1370"/>
    </row>
    <row r="599" spans="1:23" s="80" customFormat="1" ht="12.75" customHeight="1" x14ac:dyDescent="0.2">
      <c r="A599" s="2029">
        <v>43904</v>
      </c>
      <c r="B599" s="2049" t="s">
        <v>9064</v>
      </c>
      <c r="C599" s="2049" t="s">
        <v>5789</v>
      </c>
      <c r="D599" s="2061">
        <v>2.6342592592592591E-2</v>
      </c>
      <c r="E599" s="2055" t="s">
        <v>17296</v>
      </c>
      <c r="F599" s="2048" t="s">
        <v>17326</v>
      </c>
      <c r="G599" s="2062">
        <v>0.55930000000000002</v>
      </c>
    </row>
    <row r="600" spans="1:23" s="80" customFormat="1" x14ac:dyDescent="0.2">
      <c r="A600" s="2057">
        <v>43869</v>
      </c>
      <c r="B600" s="1489" t="s">
        <v>9064</v>
      </c>
      <c r="C600" s="1489" t="s">
        <v>5789</v>
      </c>
      <c r="D600" s="1737">
        <v>2.4571759259259258E-2</v>
      </c>
      <c r="E600" s="1489" t="s">
        <v>16918</v>
      </c>
      <c r="F600" s="1489"/>
      <c r="G600" s="1578">
        <v>0.59960000000000002</v>
      </c>
    </row>
    <row r="601" spans="1:23" s="80" customFormat="1" x14ac:dyDescent="0.2">
      <c r="A601" s="1526">
        <v>43883</v>
      </c>
      <c r="B601" s="1370" t="s">
        <v>16499</v>
      </c>
      <c r="C601" s="1370" t="s">
        <v>5789</v>
      </c>
      <c r="D601" s="1730">
        <v>3.0023148148148149E-2</v>
      </c>
      <c r="E601" s="80" t="s">
        <v>17103</v>
      </c>
      <c r="G601" s="72">
        <v>0.49070000000000003</v>
      </c>
    </row>
    <row r="602" spans="1:23" s="80" customFormat="1" x14ac:dyDescent="0.2">
      <c r="A602" s="1526">
        <v>43876</v>
      </c>
      <c r="B602" s="1489" t="s">
        <v>16499</v>
      </c>
      <c r="C602" s="1489" t="s">
        <v>5789</v>
      </c>
      <c r="D602" s="1686" t="s">
        <v>787</v>
      </c>
      <c r="E602" s="1489" t="s">
        <v>17008</v>
      </c>
      <c r="F602" s="1489" t="s">
        <v>16204</v>
      </c>
      <c r="G602" s="1578"/>
    </row>
    <row r="603" spans="1:23" s="80" customFormat="1" x14ac:dyDescent="0.2">
      <c r="A603" s="523">
        <v>43862</v>
      </c>
      <c r="B603" s="1489" t="s">
        <v>16499</v>
      </c>
      <c r="C603" s="1489" t="s">
        <v>5789</v>
      </c>
      <c r="D603" s="1686">
        <v>2.4525462962962968E-2</v>
      </c>
      <c r="E603" s="1489" t="s">
        <v>16840</v>
      </c>
      <c r="F603" s="1489"/>
      <c r="G603" s="1578">
        <v>0.6008</v>
      </c>
    </row>
    <row r="604" spans="1:23" s="80" customFormat="1" x14ac:dyDescent="0.2">
      <c r="A604" s="1729">
        <v>43831</v>
      </c>
      <c r="B604" s="1370" t="s">
        <v>16499</v>
      </c>
      <c r="C604" s="1370" t="s">
        <v>5789</v>
      </c>
      <c r="D604" s="1730">
        <v>2.5115740740740741E-2</v>
      </c>
      <c r="E604" s="80" t="s">
        <v>16525</v>
      </c>
      <c r="F604" s="80" t="s">
        <v>16575</v>
      </c>
      <c r="G604" s="72">
        <v>0.58660000000000001</v>
      </c>
      <c r="I604" s="1708"/>
      <c r="J604" s="1708"/>
      <c r="K604" s="1708"/>
      <c r="L604" s="1708"/>
      <c r="M604" s="1708"/>
      <c r="N604" s="1708"/>
      <c r="O604" s="1708"/>
      <c r="P604" s="1708"/>
      <c r="Q604" s="1708"/>
      <c r="R604" s="1708"/>
      <c r="S604" s="1708"/>
      <c r="T604" s="1708"/>
      <c r="U604" s="1708"/>
      <c r="V604" s="1708"/>
      <c r="W604" s="1708"/>
    </row>
    <row r="605" spans="1:23" s="80" customFormat="1" x14ac:dyDescent="0.2">
      <c r="A605" s="1729">
        <v>43831</v>
      </c>
      <c r="B605" s="1370" t="s">
        <v>16499</v>
      </c>
      <c r="C605" s="1370" t="s">
        <v>5789</v>
      </c>
      <c r="D605" s="1730">
        <v>2.7928240740740743E-2</v>
      </c>
      <c r="E605" s="80" t="s">
        <v>16520</v>
      </c>
      <c r="F605" s="80" t="s">
        <v>16574</v>
      </c>
      <c r="G605" s="72">
        <v>0.52759999999999996</v>
      </c>
      <c r="I605" s="1708"/>
      <c r="J605" s="1708"/>
      <c r="K605" s="1708"/>
      <c r="L605" s="1708"/>
      <c r="M605" s="1708"/>
      <c r="N605" s="1708"/>
      <c r="O605" s="1708"/>
      <c r="P605" s="1708"/>
      <c r="Q605" s="1708"/>
      <c r="R605" s="1708"/>
      <c r="S605" s="1708"/>
      <c r="T605" s="1708"/>
      <c r="U605" s="1708"/>
      <c r="V605" s="1708"/>
      <c r="W605" s="1708"/>
    </row>
    <row r="606" spans="1:23" s="80" customFormat="1" x14ac:dyDescent="0.2">
      <c r="A606" s="2057">
        <v>43841</v>
      </c>
      <c r="B606" s="1895" t="s">
        <v>3535</v>
      </c>
      <c r="C606" s="1895" t="s">
        <v>12648</v>
      </c>
      <c r="D606" s="1727">
        <v>1.4594907407407405E-2</v>
      </c>
      <c r="E606" s="1728" t="s">
        <v>16698</v>
      </c>
      <c r="F606" s="1728" t="s">
        <v>16709</v>
      </c>
      <c r="G606" s="1897">
        <v>0.61460000000000004</v>
      </c>
      <c r="H606" s="1370"/>
      <c r="I606" s="1370"/>
      <c r="J606" s="1370"/>
      <c r="K606" s="1370"/>
      <c r="L606" s="1370"/>
      <c r="M606" s="1370"/>
      <c r="N606" s="1370"/>
      <c r="O606" s="1370"/>
      <c r="P606" s="1370"/>
      <c r="Q606" s="1370"/>
      <c r="R606" s="1370"/>
      <c r="S606" s="1370"/>
      <c r="T606" s="1370"/>
      <c r="U606" s="1370"/>
      <c r="V606" s="1370"/>
      <c r="W606" s="1370"/>
    </row>
    <row r="607" spans="1:23" s="80" customFormat="1" x14ac:dyDescent="0.2">
      <c r="A607" s="1526">
        <v>43876</v>
      </c>
      <c r="B607" s="1489" t="s">
        <v>16861</v>
      </c>
      <c r="C607" s="1489" t="s">
        <v>12648</v>
      </c>
      <c r="D607" s="1686">
        <v>1.4502314814814815E-2</v>
      </c>
      <c r="E607" s="1489" t="s">
        <v>16989</v>
      </c>
      <c r="F607" s="1489" t="s">
        <v>17035</v>
      </c>
      <c r="G607" s="1578">
        <v>0.61850000000000005</v>
      </c>
    </row>
    <row r="608" spans="1:23" s="80" customFormat="1" ht="12.75" customHeight="1" x14ac:dyDescent="0.2">
      <c r="A608" s="2029">
        <v>43904</v>
      </c>
      <c r="B608" s="2066" t="s">
        <v>13270</v>
      </c>
      <c r="C608" s="1489" t="s">
        <v>12648</v>
      </c>
      <c r="D608" s="2067">
        <v>1.4050925925925927E-2</v>
      </c>
      <c r="E608" s="2055" t="s">
        <v>17282</v>
      </c>
      <c r="F608" s="1623" t="s">
        <v>17325</v>
      </c>
      <c r="G608" s="2068">
        <v>0.63839999999999997</v>
      </c>
    </row>
    <row r="609" spans="1:23" s="80" customFormat="1" x14ac:dyDescent="0.2">
      <c r="A609" s="2029">
        <v>43897</v>
      </c>
      <c r="B609" s="2031" t="s">
        <v>13270</v>
      </c>
      <c r="C609" s="2034" t="s">
        <v>12648</v>
      </c>
      <c r="D609" s="2030">
        <v>1.4004629629629629E-2</v>
      </c>
      <c r="E609" s="2031" t="s">
        <v>17212</v>
      </c>
      <c r="F609" s="2024"/>
      <c r="G609" s="2032">
        <v>0.64049999999999996</v>
      </c>
    </row>
    <row r="610" spans="1:23" s="80" customFormat="1" x14ac:dyDescent="0.2">
      <c r="A610" s="2057">
        <v>43848</v>
      </c>
      <c r="B610" s="1489" t="s">
        <v>13270</v>
      </c>
      <c r="C610" s="1489" t="s">
        <v>12648</v>
      </c>
      <c r="D610" s="1686">
        <v>1.3993055555555554E-2</v>
      </c>
      <c r="E610" s="1489" t="s">
        <v>16664</v>
      </c>
      <c r="F610" s="1489"/>
      <c r="G610" s="1578">
        <v>0.64100000000000001</v>
      </c>
    </row>
    <row r="611" spans="1:23" s="80" customFormat="1" x14ac:dyDescent="0.2">
      <c r="A611" s="523">
        <v>43855</v>
      </c>
      <c r="B611" s="1384" t="s">
        <v>9794</v>
      </c>
      <c r="C611" s="1384" t="s">
        <v>9795</v>
      </c>
      <c r="D611" s="1686">
        <v>1.8900462962962959E-2</v>
      </c>
      <c r="E611" s="1489" t="s">
        <v>16756</v>
      </c>
      <c r="F611" s="1489" t="s">
        <v>16735</v>
      </c>
      <c r="G611" s="1578">
        <v>0.64790000000000003</v>
      </c>
    </row>
    <row r="612" spans="1:23" s="80" customFormat="1" x14ac:dyDescent="0.2">
      <c r="A612" s="2057">
        <v>43841</v>
      </c>
      <c r="B612" s="1895" t="s">
        <v>9794</v>
      </c>
      <c r="C612" s="1895" t="s">
        <v>9795</v>
      </c>
      <c r="D612" s="1727">
        <v>1.9039351851851852E-2</v>
      </c>
      <c r="E612" s="1728" t="s">
        <v>15920</v>
      </c>
      <c r="F612" s="1728" t="s">
        <v>876</v>
      </c>
      <c r="G612" s="1897">
        <v>0.64319999999999999</v>
      </c>
      <c r="H612" s="1370"/>
      <c r="I612" s="1370"/>
      <c r="J612" s="1370"/>
      <c r="K612" s="1370"/>
      <c r="L612" s="1370"/>
      <c r="M612" s="1370"/>
      <c r="N612" s="1370"/>
      <c r="O612" s="1370"/>
      <c r="P612" s="1370"/>
      <c r="Q612" s="1370"/>
      <c r="R612" s="1370"/>
      <c r="S612" s="1370"/>
      <c r="T612" s="1370"/>
      <c r="U612" s="1370"/>
      <c r="V612" s="1370"/>
      <c r="W612" s="1370"/>
    </row>
    <row r="613" spans="1:23" s="80" customFormat="1" x14ac:dyDescent="0.2">
      <c r="A613" s="1886">
        <v>43834</v>
      </c>
      <c r="B613" s="1886" t="s">
        <v>9794</v>
      </c>
      <c r="C613" s="1370" t="s">
        <v>9795</v>
      </c>
      <c r="D613" s="1834">
        <v>1.9432870370370371E-2</v>
      </c>
      <c r="E613" s="1370" t="s">
        <v>16591</v>
      </c>
      <c r="F613" s="1370" t="s">
        <v>16643</v>
      </c>
      <c r="G613" s="1885">
        <v>0.63009999999999999</v>
      </c>
      <c r="H613" s="1370"/>
      <c r="I613" s="1370"/>
      <c r="J613" s="2056"/>
      <c r="K613" s="2056"/>
      <c r="L613" s="2056"/>
      <c r="M613" s="2056"/>
      <c r="N613" s="2056"/>
      <c r="O613" s="2056"/>
      <c r="P613" s="2056"/>
      <c r="Q613" s="2056"/>
      <c r="R613" s="2056"/>
      <c r="S613" s="2056"/>
      <c r="T613" s="2056"/>
      <c r="U613" s="2056"/>
      <c r="V613" s="2056"/>
      <c r="W613" s="2056"/>
    </row>
    <row r="614" spans="1:23" s="80" customFormat="1" x14ac:dyDescent="0.2">
      <c r="A614" s="2057">
        <v>43848</v>
      </c>
      <c r="B614" s="1489" t="s">
        <v>16684</v>
      </c>
      <c r="C614" s="1489" t="s">
        <v>9795</v>
      </c>
      <c r="D614" s="1686">
        <v>1.8969907407407408E-2</v>
      </c>
      <c r="E614" s="1489" t="s">
        <v>16673</v>
      </c>
      <c r="F614" s="1489" t="s">
        <v>876</v>
      </c>
      <c r="G614" s="1578">
        <v>0.64549999999999996</v>
      </c>
    </row>
    <row r="615" spans="1:23" s="80" customFormat="1" ht="12.75" customHeight="1" x14ac:dyDescent="0.2">
      <c r="A615" s="2029">
        <v>43904</v>
      </c>
      <c r="B615" s="2055" t="s">
        <v>13404</v>
      </c>
      <c r="C615" s="2055" t="s">
        <v>9795</v>
      </c>
      <c r="D615" s="2061">
        <v>1.9120370370370374E-2</v>
      </c>
      <c r="E615" s="2055" t="s">
        <v>17300</v>
      </c>
      <c r="F615" s="2048"/>
      <c r="G615" s="2063">
        <v>0.64039999999999997</v>
      </c>
    </row>
    <row r="616" spans="1:23" s="80" customFormat="1" x14ac:dyDescent="0.2">
      <c r="A616" s="2029">
        <v>43897</v>
      </c>
      <c r="B616" s="2031" t="s">
        <v>13404</v>
      </c>
      <c r="C616" s="2034" t="s">
        <v>9795</v>
      </c>
      <c r="D616" s="2030">
        <v>1.8067129629629631E-2</v>
      </c>
      <c r="E616" s="2031" t="s">
        <v>17217</v>
      </c>
      <c r="F616" s="2048" t="s">
        <v>17250</v>
      </c>
      <c r="G616" s="2032">
        <v>0.67779999999999996</v>
      </c>
    </row>
    <row r="617" spans="1:23" s="80" customFormat="1" x14ac:dyDescent="0.2">
      <c r="A617" s="523">
        <v>43890</v>
      </c>
      <c r="B617" s="1489" t="s">
        <v>13404</v>
      </c>
      <c r="C617" s="1489" t="s">
        <v>9795</v>
      </c>
      <c r="D617" s="1686">
        <v>1.9814814814814816E-2</v>
      </c>
      <c r="E617" s="1489" t="s">
        <v>17157</v>
      </c>
      <c r="F617" s="1489"/>
      <c r="G617" s="1578">
        <v>0.61799999999999999</v>
      </c>
    </row>
    <row r="618" spans="1:23" s="80" customFormat="1" x14ac:dyDescent="0.2">
      <c r="A618" s="1526">
        <v>43883</v>
      </c>
      <c r="B618" s="1370" t="s">
        <v>13404</v>
      </c>
      <c r="C618" s="1370" t="s">
        <v>9795</v>
      </c>
      <c r="D618" s="1730">
        <v>1.8749999999999999E-2</v>
      </c>
      <c r="E618" s="80" t="s">
        <v>17107</v>
      </c>
      <c r="F618" s="80" t="s">
        <v>17117</v>
      </c>
      <c r="G618" s="72">
        <v>0.65310000000000001</v>
      </c>
    </row>
    <row r="619" spans="1:23" s="80" customFormat="1" x14ac:dyDescent="0.2">
      <c r="A619" s="1526">
        <v>43876</v>
      </c>
      <c r="B619" s="1489" t="s">
        <v>13404</v>
      </c>
      <c r="C619" s="1489" t="s">
        <v>9795</v>
      </c>
      <c r="D619" s="1686">
        <v>1.8483796296296297E-2</v>
      </c>
      <c r="E619" s="1489" t="s">
        <v>17010</v>
      </c>
      <c r="F619" s="1489" t="s">
        <v>17025</v>
      </c>
      <c r="G619" s="1578">
        <v>0.66249999999999998</v>
      </c>
    </row>
    <row r="620" spans="1:23" s="80" customFormat="1" x14ac:dyDescent="0.2">
      <c r="A620" s="2057">
        <v>43869</v>
      </c>
      <c r="B620" s="1489" t="s">
        <v>13404</v>
      </c>
      <c r="C620" s="1489" t="s">
        <v>9795</v>
      </c>
      <c r="D620" s="1737">
        <v>1.8668981481481481E-2</v>
      </c>
      <c r="E620" s="1489" t="s">
        <v>16922</v>
      </c>
      <c r="F620" s="1489" t="s">
        <v>16896</v>
      </c>
      <c r="G620" s="1578">
        <v>0.65590000000000004</v>
      </c>
    </row>
    <row r="621" spans="1:23" s="80" customFormat="1" x14ac:dyDescent="0.2">
      <c r="A621" s="523">
        <v>43862</v>
      </c>
      <c r="B621" s="1489" t="s">
        <v>13404</v>
      </c>
      <c r="C621" s="1489" t="s">
        <v>9795</v>
      </c>
      <c r="D621" s="1686">
        <v>1.8773148148148146E-2</v>
      </c>
      <c r="E621" s="1489" t="s">
        <v>16845</v>
      </c>
      <c r="F621" s="1489" t="s">
        <v>16856</v>
      </c>
      <c r="G621" s="1578">
        <v>0.65229999999999999</v>
      </c>
    </row>
    <row r="622" spans="1:23" s="80" customFormat="1" x14ac:dyDescent="0.2">
      <c r="A622" s="1729">
        <v>43831</v>
      </c>
      <c r="B622" s="1370" t="s">
        <v>13404</v>
      </c>
      <c r="C622" s="1370" t="s">
        <v>9795</v>
      </c>
      <c r="D622" s="1730">
        <v>2.837962962962963E-2</v>
      </c>
      <c r="E622" s="80" t="s">
        <v>16523</v>
      </c>
      <c r="F622" s="1370" t="s">
        <v>16573</v>
      </c>
      <c r="G622" s="72">
        <v>0.43149999999999999</v>
      </c>
      <c r="I622" s="1708"/>
      <c r="J622" s="1708"/>
      <c r="K622" s="1708"/>
      <c r="L622" s="1708"/>
      <c r="M622" s="1708"/>
      <c r="N622" s="1708"/>
      <c r="O622" s="1708"/>
      <c r="P622" s="1708"/>
      <c r="Q622" s="1708"/>
      <c r="R622" s="1708"/>
      <c r="S622" s="1708"/>
      <c r="T622" s="1708"/>
      <c r="U622" s="1708"/>
      <c r="V622" s="1708"/>
      <c r="W622" s="1708"/>
    </row>
    <row r="623" spans="1:23" s="80" customFormat="1" x14ac:dyDescent="0.2">
      <c r="A623" s="523">
        <v>43890</v>
      </c>
      <c r="B623" s="1526" t="s">
        <v>503</v>
      </c>
      <c r="C623" s="1489" t="s">
        <v>504</v>
      </c>
      <c r="D623" s="1730" t="s">
        <v>787</v>
      </c>
      <c r="E623" s="1489" t="s">
        <v>17162</v>
      </c>
      <c r="F623" s="80" t="s">
        <v>17180</v>
      </c>
      <c r="G623" s="1578"/>
    </row>
    <row r="624" spans="1:23" s="80" customFormat="1" ht="12.75" customHeight="1" x14ac:dyDescent="0.2">
      <c r="A624" s="2029">
        <v>43904</v>
      </c>
      <c r="B624" s="2055" t="s">
        <v>17022</v>
      </c>
      <c r="C624" s="2055" t="s">
        <v>504</v>
      </c>
      <c r="D624" s="2065" t="s">
        <v>787</v>
      </c>
      <c r="E624" s="2055" t="s">
        <v>17302</v>
      </c>
      <c r="F624" s="2048" t="s">
        <v>16204</v>
      </c>
      <c r="G624" s="2063"/>
    </row>
    <row r="625" spans="1:23" s="80" customFormat="1" x14ac:dyDescent="0.2">
      <c r="A625" s="1526">
        <v>43876</v>
      </c>
      <c r="B625" s="1489" t="s">
        <v>17022</v>
      </c>
      <c r="C625" s="1489" t="s">
        <v>504</v>
      </c>
      <c r="D625" s="1733" t="s">
        <v>787</v>
      </c>
      <c r="E625" s="1489" t="s">
        <v>17015</v>
      </c>
      <c r="F625" s="1489" t="s">
        <v>16204</v>
      </c>
      <c r="G625" s="1578"/>
    </row>
    <row r="626" spans="1:23" s="80" customFormat="1" x14ac:dyDescent="0.2">
      <c r="A626" s="2057">
        <v>43841</v>
      </c>
      <c r="B626" s="1895" t="s">
        <v>3960</v>
      </c>
      <c r="C626" s="1895" t="s">
        <v>3961</v>
      </c>
      <c r="D626" s="1727">
        <v>2.2060185185185183E-2</v>
      </c>
      <c r="E626" s="1728" t="s">
        <v>16696</v>
      </c>
      <c r="F626" s="1568" t="s">
        <v>16727</v>
      </c>
      <c r="G626" s="1897">
        <v>0.49630000000000002</v>
      </c>
      <c r="H626" s="1370"/>
      <c r="I626" s="1370"/>
      <c r="J626" s="1370"/>
      <c r="K626" s="1370"/>
      <c r="L626" s="1370"/>
      <c r="M626" s="1370"/>
      <c r="N626" s="1370"/>
      <c r="O626" s="1370"/>
      <c r="P626" s="1370"/>
      <c r="Q626" s="1370"/>
      <c r="R626" s="1370"/>
      <c r="S626" s="1370"/>
      <c r="T626" s="1370"/>
      <c r="U626" s="1370"/>
      <c r="V626" s="1370"/>
      <c r="W626" s="1370"/>
    </row>
    <row r="627" spans="1:23" s="80" customFormat="1" x14ac:dyDescent="0.2">
      <c r="A627" s="2057">
        <v>43848</v>
      </c>
      <c r="B627" s="1489" t="s">
        <v>1847</v>
      </c>
      <c r="C627" s="1489" t="s">
        <v>3961</v>
      </c>
      <c r="D627" s="1686">
        <v>1.7858796296296293E-2</v>
      </c>
      <c r="E627" s="1489" t="s">
        <v>16678</v>
      </c>
      <c r="F627" s="1489"/>
      <c r="G627" s="1578">
        <v>0.61309999999999998</v>
      </c>
    </row>
    <row r="628" spans="1:23" s="80" customFormat="1" x14ac:dyDescent="0.2">
      <c r="A628" s="523">
        <v>43855</v>
      </c>
      <c r="B628" s="1526" t="s">
        <v>2416</v>
      </c>
      <c r="C628" s="1526" t="s">
        <v>2417</v>
      </c>
      <c r="D628" s="1686">
        <v>2.1909722222222223E-2</v>
      </c>
      <c r="E628" s="1489" t="s">
        <v>16802</v>
      </c>
      <c r="F628" s="1489" t="s">
        <v>16803</v>
      </c>
      <c r="G628" s="1578">
        <v>0.64239999999999997</v>
      </c>
    </row>
    <row r="629" spans="1:23" s="80" customFormat="1" x14ac:dyDescent="0.2">
      <c r="A629" s="2057">
        <v>43841</v>
      </c>
      <c r="B629" s="1895" t="s">
        <v>2416</v>
      </c>
      <c r="C629" s="1895" t="s">
        <v>2417</v>
      </c>
      <c r="D629" s="1727">
        <v>2.2060185185185183E-2</v>
      </c>
      <c r="E629" s="1728" t="s">
        <v>16693</v>
      </c>
      <c r="F629" s="1728" t="s">
        <v>9820</v>
      </c>
      <c r="G629" s="1897">
        <v>0.63800000000000001</v>
      </c>
      <c r="H629" s="1370"/>
      <c r="I629" s="1370"/>
      <c r="J629" s="1370"/>
      <c r="K629" s="1370"/>
      <c r="L629" s="1370"/>
      <c r="M629" s="1370"/>
      <c r="N629" s="1370"/>
      <c r="O629" s="1370"/>
      <c r="P629" s="1370"/>
      <c r="Q629" s="1370"/>
      <c r="R629" s="1370"/>
      <c r="S629" s="1370"/>
      <c r="T629" s="1370"/>
      <c r="U629" s="1370"/>
      <c r="V629" s="1370"/>
      <c r="W629" s="1370"/>
    </row>
    <row r="630" spans="1:23" s="80" customFormat="1" x14ac:dyDescent="0.2">
      <c r="A630" s="1886">
        <v>43834</v>
      </c>
      <c r="B630" s="1886" t="s">
        <v>2416</v>
      </c>
      <c r="C630" s="1370" t="s">
        <v>2417</v>
      </c>
      <c r="D630" s="1834">
        <v>2.2812499999999999E-2</v>
      </c>
      <c r="E630" s="1370" t="s">
        <v>16629</v>
      </c>
      <c r="F630" s="1370" t="s">
        <v>16630</v>
      </c>
      <c r="G630" s="1885">
        <v>0.6169</v>
      </c>
      <c r="H630" s="1370"/>
      <c r="I630" s="1370"/>
      <c r="J630" s="2056"/>
      <c r="K630" s="2056"/>
      <c r="L630" s="2056"/>
      <c r="M630" s="2056"/>
      <c r="N630" s="1370"/>
      <c r="O630" s="1370"/>
      <c r="P630" s="2056"/>
      <c r="Q630" s="2056"/>
      <c r="R630" s="2056"/>
      <c r="S630" s="2056"/>
      <c r="T630" s="2056"/>
      <c r="U630" s="2056"/>
      <c r="V630" s="2056"/>
      <c r="W630" s="2056"/>
    </row>
    <row r="631" spans="1:23" s="80" customFormat="1" x14ac:dyDescent="0.2">
      <c r="A631" s="2029">
        <v>43897</v>
      </c>
      <c r="B631" s="2031" t="s">
        <v>3322</v>
      </c>
      <c r="C631" s="2034" t="s">
        <v>2417</v>
      </c>
      <c r="D631" s="2030" t="s">
        <v>787</v>
      </c>
      <c r="E631" s="2031" t="s">
        <v>17225</v>
      </c>
      <c r="F631" s="2048" t="s">
        <v>5604</v>
      </c>
      <c r="G631" s="2032"/>
    </row>
    <row r="632" spans="1:23" s="80" customFormat="1" ht="12.75" customHeight="1" x14ac:dyDescent="0.2">
      <c r="A632" s="2029">
        <v>43904</v>
      </c>
      <c r="B632" s="2055" t="s">
        <v>13274</v>
      </c>
      <c r="C632" s="2055" t="s">
        <v>2417</v>
      </c>
      <c r="D632" s="2061">
        <v>2.2881944444444448E-2</v>
      </c>
      <c r="E632" s="2055" t="s">
        <v>17295</v>
      </c>
      <c r="F632" s="2048" t="s">
        <v>17279</v>
      </c>
      <c r="G632" s="2063">
        <v>0.61509999999999998</v>
      </c>
    </row>
    <row r="633" spans="1:23" s="80" customFormat="1" x14ac:dyDescent="0.2">
      <c r="A633" s="523">
        <v>43890</v>
      </c>
      <c r="B633" s="1489" t="s">
        <v>13274</v>
      </c>
      <c r="C633" s="1489" t="s">
        <v>2417</v>
      </c>
      <c r="D633" s="1686">
        <v>2.3043981481481478E-2</v>
      </c>
      <c r="E633" s="1489" t="s">
        <v>17154</v>
      </c>
      <c r="F633" s="1489" t="s">
        <v>17185</v>
      </c>
      <c r="G633" s="1578">
        <v>0.61070000000000002</v>
      </c>
    </row>
    <row r="634" spans="1:23" s="80" customFormat="1" x14ac:dyDescent="0.2">
      <c r="A634" s="1526">
        <v>43883</v>
      </c>
      <c r="B634" s="1370" t="s">
        <v>13274</v>
      </c>
      <c r="C634" s="1370" t="s">
        <v>2417</v>
      </c>
      <c r="D634" s="1730">
        <v>2.3206018518518515E-2</v>
      </c>
      <c r="E634" s="80" t="s">
        <v>17102</v>
      </c>
      <c r="F634" s="80" t="s">
        <v>17131</v>
      </c>
      <c r="G634" s="72">
        <v>0.60650000000000004</v>
      </c>
    </row>
    <row r="635" spans="1:23" s="80" customFormat="1" x14ac:dyDescent="0.2">
      <c r="A635" s="1526">
        <v>43876</v>
      </c>
      <c r="B635" s="1489" t="s">
        <v>13274</v>
      </c>
      <c r="C635" s="1489" t="s">
        <v>2417</v>
      </c>
      <c r="D635" s="1686">
        <v>2.298611111111111E-2</v>
      </c>
      <c r="E635" s="1489" t="s">
        <v>17007</v>
      </c>
      <c r="F635" s="1489" t="s">
        <v>17057</v>
      </c>
      <c r="G635" s="1578">
        <v>0.61229999999999996</v>
      </c>
    </row>
    <row r="636" spans="1:23" s="80" customFormat="1" x14ac:dyDescent="0.2">
      <c r="A636" s="2057">
        <v>43869</v>
      </c>
      <c r="B636" s="1489" t="s">
        <v>13274</v>
      </c>
      <c r="C636" s="1489" t="s">
        <v>2417</v>
      </c>
      <c r="D636" s="1737">
        <v>2.2881944444444448E-2</v>
      </c>
      <c r="E636" s="1489" t="s">
        <v>16917</v>
      </c>
      <c r="F636" s="1489" t="s">
        <v>16950</v>
      </c>
      <c r="G636" s="1578">
        <v>0.61509999999999998</v>
      </c>
    </row>
    <row r="637" spans="1:23" s="80" customFormat="1" x14ac:dyDescent="0.2">
      <c r="A637" s="523">
        <v>43862</v>
      </c>
      <c r="B637" s="1489" t="s">
        <v>13274</v>
      </c>
      <c r="C637" s="1489" t="s">
        <v>2417</v>
      </c>
      <c r="D637" s="1686">
        <v>2.3136574074074077E-2</v>
      </c>
      <c r="E637" s="1489" t="s">
        <v>16839</v>
      </c>
      <c r="F637" s="1489" t="s">
        <v>16875</v>
      </c>
      <c r="G637" s="1578">
        <v>0.60829999999999995</v>
      </c>
    </row>
    <row r="638" spans="1:23" s="80" customFormat="1" x14ac:dyDescent="0.2">
      <c r="A638" s="2057">
        <v>43848</v>
      </c>
      <c r="B638" s="1489" t="s">
        <v>13274</v>
      </c>
      <c r="C638" s="1489" t="s">
        <v>2417</v>
      </c>
      <c r="D638" s="1686">
        <v>2.3923611111111114E-2</v>
      </c>
      <c r="E638" s="1489" t="s">
        <v>16668</v>
      </c>
      <c r="F638" s="1489"/>
      <c r="G638" s="1578">
        <v>0.58830000000000005</v>
      </c>
    </row>
    <row r="639" spans="1:23" s="80" customFormat="1" x14ac:dyDescent="0.2">
      <c r="A639" s="1729">
        <v>43831</v>
      </c>
      <c r="B639" s="1370" t="s">
        <v>13274</v>
      </c>
      <c r="C639" s="1370" t="s">
        <v>2417</v>
      </c>
      <c r="D639" s="1730">
        <v>2.5902777777777775E-2</v>
      </c>
      <c r="E639" s="80" t="s">
        <v>16512</v>
      </c>
      <c r="F639" s="80" t="s">
        <v>16543</v>
      </c>
      <c r="G639" s="72">
        <v>0.54330000000000001</v>
      </c>
      <c r="I639" s="1708"/>
      <c r="J639" s="1708"/>
      <c r="K639" s="1708"/>
      <c r="L639" s="1708"/>
      <c r="M639" s="1708"/>
      <c r="N639" s="1708"/>
      <c r="O639" s="1708"/>
      <c r="P639" s="1708"/>
      <c r="Q639" s="1708"/>
      <c r="R639" s="1708"/>
      <c r="S639" s="1708"/>
      <c r="T639" s="1708"/>
      <c r="U639" s="1708"/>
      <c r="V639" s="1708"/>
      <c r="W639" s="1708"/>
    </row>
    <row r="640" spans="1:23" s="80" customFormat="1" x14ac:dyDescent="0.2">
      <c r="A640" s="1729">
        <v>43831</v>
      </c>
      <c r="B640" s="1370" t="s">
        <v>13274</v>
      </c>
      <c r="C640" s="1370" t="s">
        <v>2417</v>
      </c>
      <c r="D640" s="1730" t="s">
        <v>787</v>
      </c>
      <c r="E640" s="80" t="s">
        <v>16545</v>
      </c>
      <c r="F640" s="80" t="s">
        <v>5508</v>
      </c>
      <c r="G640" s="72"/>
      <c r="I640" s="1708"/>
      <c r="J640" s="1708"/>
      <c r="K640" s="1708"/>
      <c r="L640" s="1708"/>
      <c r="O640" s="1708"/>
      <c r="P640" s="1708"/>
      <c r="Q640" s="1708"/>
      <c r="R640" s="1708"/>
      <c r="S640" s="1708"/>
      <c r="T640" s="1708"/>
      <c r="U640" s="1708"/>
      <c r="V640" s="1708"/>
      <c r="W640" s="1708"/>
    </row>
    <row r="641" spans="1:23" s="80" customFormat="1" x14ac:dyDescent="0.2">
      <c r="A641" s="523">
        <v>43855</v>
      </c>
      <c r="B641" s="1526" t="s">
        <v>866</v>
      </c>
      <c r="C641" s="1526" t="s">
        <v>2417</v>
      </c>
      <c r="D641" s="1686">
        <v>2.1909722222222223E-2</v>
      </c>
      <c r="E641" s="1489" t="s">
        <v>16802</v>
      </c>
      <c r="F641" s="1489" t="s">
        <v>16804</v>
      </c>
      <c r="G641" s="1578">
        <v>0.53139999999999998</v>
      </c>
    </row>
    <row r="642" spans="1:23" s="80" customFormat="1" x14ac:dyDescent="0.2">
      <c r="A642" s="2057">
        <v>43841</v>
      </c>
      <c r="B642" s="1895" t="s">
        <v>866</v>
      </c>
      <c r="C642" s="1895" t="s">
        <v>2417</v>
      </c>
      <c r="D642" s="1727">
        <v>2.207175925925926E-2</v>
      </c>
      <c r="E642" s="1728" t="s">
        <v>16693</v>
      </c>
      <c r="F642" s="1728" t="s">
        <v>9820</v>
      </c>
      <c r="G642" s="1897">
        <v>0.52749999999999997</v>
      </c>
      <c r="H642" s="1370"/>
      <c r="I642" s="1370"/>
      <c r="J642" s="1370"/>
      <c r="K642" s="1370"/>
      <c r="L642" s="1370"/>
      <c r="M642" s="1370"/>
      <c r="N642" s="1370"/>
      <c r="O642" s="1370"/>
      <c r="P642" s="1370"/>
      <c r="Q642" s="1370"/>
      <c r="R642" s="1370"/>
      <c r="S642" s="1370"/>
      <c r="T642" s="1370"/>
      <c r="U642" s="1370"/>
      <c r="V642" s="1370"/>
      <c r="W642" s="1370"/>
    </row>
    <row r="643" spans="1:23" s="80" customFormat="1" x14ac:dyDescent="0.2">
      <c r="A643" s="523">
        <v>43890</v>
      </c>
      <c r="B643" s="1489" t="s">
        <v>1296</v>
      </c>
      <c r="C643" s="1489" t="s">
        <v>2417</v>
      </c>
      <c r="D643" s="1686">
        <v>2.3055555555555558E-2</v>
      </c>
      <c r="E643" s="1489" t="s">
        <v>17154</v>
      </c>
      <c r="F643" s="1489" t="s">
        <v>17184</v>
      </c>
      <c r="G643" s="1578">
        <v>0.51</v>
      </c>
    </row>
    <row r="644" spans="1:23" s="80" customFormat="1" x14ac:dyDescent="0.2">
      <c r="A644" s="2057">
        <v>43869</v>
      </c>
      <c r="B644" s="1489" t="s">
        <v>1296</v>
      </c>
      <c r="C644" s="1489" t="s">
        <v>2417</v>
      </c>
      <c r="D644" s="1737">
        <v>2.2881944444444448E-2</v>
      </c>
      <c r="E644" s="1489" t="s">
        <v>16917</v>
      </c>
      <c r="F644" s="1489" t="s">
        <v>16951</v>
      </c>
      <c r="G644" s="1578">
        <v>0.50890000000000002</v>
      </c>
    </row>
    <row r="645" spans="1:23" s="80" customFormat="1" x14ac:dyDescent="0.2">
      <c r="A645" s="1886">
        <v>43834</v>
      </c>
      <c r="B645" s="1886" t="s">
        <v>1296</v>
      </c>
      <c r="C645" s="1370" t="s">
        <v>2417</v>
      </c>
      <c r="D645" s="1834">
        <v>2.2824074074074076E-2</v>
      </c>
      <c r="E645" s="1370" t="s">
        <v>16629</v>
      </c>
      <c r="F645" s="1370" t="s">
        <v>16631</v>
      </c>
      <c r="G645" s="1885">
        <v>0.5101</v>
      </c>
      <c r="H645" s="1370"/>
      <c r="I645" s="1370"/>
      <c r="J645" s="2056"/>
      <c r="K645" s="2056"/>
      <c r="L645" s="2056"/>
      <c r="M645" s="2056"/>
      <c r="N645" s="1370"/>
      <c r="O645" s="1370"/>
      <c r="P645" s="2056"/>
      <c r="Q645" s="2056"/>
      <c r="R645" s="2056"/>
      <c r="S645" s="2056"/>
      <c r="T645" s="2056"/>
      <c r="U645" s="2056"/>
      <c r="V645" s="2056"/>
      <c r="W645" s="2056"/>
    </row>
    <row r="646" spans="1:23" s="80" customFormat="1" ht="12.75" customHeight="1" x14ac:dyDescent="0.2">
      <c r="A646" s="2029">
        <v>43904</v>
      </c>
      <c r="B646" s="2055" t="s">
        <v>13275</v>
      </c>
      <c r="C646" s="2055" t="s">
        <v>2417</v>
      </c>
      <c r="D646" s="2061">
        <v>2.2893518518518518E-2</v>
      </c>
      <c r="E646" s="2055" t="s">
        <v>17295</v>
      </c>
      <c r="F646" s="2048" t="s">
        <v>17312</v>
      </c>
      <c r="G646" s="2063">
        <v>0.51370000000000005</v>
      </c>
    </row>
    <row r="647" spans="1:23" s="80" customFormat="1" x14ac:dyDescent="0.2">
      <c r="A647" s="2029">
        <v>43897</v>
      </c>
      <c r="B647" s="2031" t="s">
        <v>13275</v>
      </c>
      <c r="C647" s="2034" t="s">
        <v>2417</v>
      </c>
      <c r="D647" s="2030" t="s">
        <v>787</v>
      </c>
      <c r="E647" s="2031" t="s">
        <v>17225</v>
      </c>
      <c r="F647" s="2048" t="s">
        <v>5604</v>
      </c>
      <c r="G647" s="2032"/>
    </row>
    <row r="648" spans="1:23" s="80" customFormat="1" x14ac:dyDescent="0.2">
      <c r="A648" s="1526">
        <v>43883</v>
      </c>
      <c r="B648" s="1370" t="s">
        <v>13275</v>
      </c>
      <c r="C648" s="1370" t="s">
        <v>2417</v>
      </c>
      <c r="D648" s="1730">
        <v>2.3206018518518515E-2</v>
      </c>
      <c r="E648" s="80" t="s">
        <v>17102</v>
      </c>
      <c r="F648" s="80" t="s">
        <v>17132</v>
      </c>
      <c r="G648" s="72">
        <v>0.50670000000000004</v>
      </c>
    </row>
    <row r="649" spans="1:23" s="80" customFormat="1" x14ac:dyDescent="0.2">
      <c r="A649" s="1526">
        <v>43876</v>
      </c>
      <c r="B649" s="1489" t="s">
        <v>13275</v>
      </c>
      <c r="C649" s="1489" t="s">
        <v>2417</v>
      </c>
      <c r="D649" s="1686">
        <v>2.2997685185185187E-2</v>
      </c>
      <c r="E649" s="1489" t="s">
        <v>17007</v>
      </c>
      <c r="F649" s="1489" t="s">
        <v>17058</v>
      </c>
      <c r="G649" s="1578">
        <v>0.51129999999999998</v>
      </c>
    </row>
    <row r="650" spans="1:23" s="80" customFormat="1" x14ac:dyDescent="0.2">
      <c r="A650" s="523">
        <v>43862</v>
      </c>
      <c r="B650" s="1489" t="s">
        <v>13275</v>
      </c>
      <c r="C650" s="1489" t="s">
        <v>2417</v>
      </c>
      <c r="D650" s="1686">
        <v>2.3159722222222224E-2</v>
      </c>
      <c r="E650" s="1489" t="s">
        <v>16839</v>
      </c>
      <c r="F650" s="1489" t="s">
        <v>16876</v>
      </c>
      <c r="G650" s="1578">
        <v>0.50270000000000004</v>
      </c>
    </row>
    <row r="651" spans="1:23" s="80" customFormat="1" x14ac:dyDescent="0.2">
      <c r="A651" s="2057">
        <v>43848</v>
      </c>
      <c r="B651" s="1489" t="s">
        <v>13275</v>
      </c>
      <c r="C651" s="1489" t="s">
        <v>2417</v>
      </c>
      <c r="D651" s="1686">
        <v>2.3935185185185184E-2</v>
      </c>
      <c r="E651" s="1489" t="s">
        <v>16668</v>
      </c>
      <c r="F651" s="1489"/>
      <c r="G651" s="1578">
        <v>0.48649999999999999</v>
      </c>
    </row>
    <row r="652" spans="1:23" s="80" customFormat="1" x14ac:dyDescent="0.2">
      <c r="A652" s="1729">
        <v>43831</v>
      </c>
      <c r="B652" s="1370" t="s">
        <v>13275</v>
      </c>
      <c r="C652" s="1370" t="s">
        <v>2417</v>
      </c>
      <c r="D652" s="1730">
        <v>2.5856481481481484E-2</v>
      </c>
      <c r="E652" s="80" t="s">
        <v>16512</v>
      </c>
      <c r="F652" s="80" t="s">
        <v>16543</v>
      </c>
      <c r="G652" s="72">
        <v>0.45029999999999998</v>
      </c>
      <c r="I652" s="1708"/>
      <c r="J652" s="1708"/>
      <c r="K652" s="1708"/>
      <c r="L652" s="1708"/>
      <c r="M652" s="1708"/>
      <c r="N652" s="1708"/>
      <c r="O652" s="1708"/>
      <c r="P652" s="1708"/>
      <c r="Q652" s="1708"/>
      <c r="R652" s="1708"/>
      <c r="S652" s="1708"/>
      <c r="T652" s="1708"/>
      <c r="U652" s="1708"/>
      <c r="V652" s="1708"/>
      <c r="W652" s="1708"/>
    </row>
    <row r="653" spans="1:23" s="80" customFormat="1" x14ac:dyDescent="0.2">
      <c r="A653" s="1729">
        <v>43831</v>
      </c>
      <c r="B653" s="1370" t="s">
        <v>13275</v>
      </c>
      <c r="C653" s="1370" t="s">
        <v>2417</v>
      </c>
      <c r="D653" s="1730" t="s">
        <v>787</v>
      </c>
      <c r="E653" s="80" t="s">
        <v>16545</v>
      </c>
      <c r="F653" s="80" t="s">
        <v>5508</v>
      </c>
      <c r="G653" s="72"/>
      <c r="I653" s="1708"/>
      <c r="J653" s="1708"/>
      <c r="K653" s="1708"/>
      <c r="L653" s="1708"/>
      <c r="O653" s="1708"/>
      <c r="P653" s="1708"/>
      <c r="Q653" s="1708"/>
      <c r="R653" s="1708"/>
      <c r="S653" s="1708"/>
      <c r="T653" s="1708"/>
      <c r="U653" s="1708"/>
      <c r="V653" s="1708"/>
      <c r="W653" s="1708"/>
    </row>
    <row r="654" spans="1:23" s="80" customFormat="1" x14ac:dyDescent="0.2">
      <c r="A654" s="523">
        <v>43862</v>
      </c>
      <c r="B654" s="1384" t="s">
        <v>3543</v>
      </c>
      <c r="C654" s="1384" t="s">
        <v>6122</v>
      </c>
      <c r="D654" s="1686">
        <v>1.3263888888888889E-2</v>
      </c>
      <c r="E654" s="1489" t="s">
        <v>16829</v>
      </c>
      <c r="F654" s="1489" t="s">
        <v>16868</v>
      </c>
      <c r="G654" s="1578">
        <v>0.6754</v>
      </c>
    </row>
    <row r="655" spans="1:23" s="80" customFormat="1" x14ac:dyDescent="0.2">
      <c r="A655" s="523">
        <v>43855</v>
      </c>
      <c r="B655" s="1384" t="s">
        <v>3543</v>
      </c>
      <c r="C655" s="1384" t="s">
        <v>6122</v>
      </c>
      <c r="D655" s="1686">
        <v>1.7743055555555557E-2</v>
      </c>
      <c r="E655" s="1489" t="s">
        <v>16758</v>
      </c>
      <c r="F655" s="1489" t="s">
        <v>16789</v>
      </c>
      <c r="G655" s="1578">
        <v>0.50490000000000002</v>
      </c>
    </row>
    <row r="656" spans="1:23" s="80" customFormat="1" x14ac:dyDescent="0.2">
      <c r="A656" s="2057">
        <v>43848</v>
      </c>
      <c r="B656" s="1384" t="s">
        <v>3543</v>
      </c>
      <c r="C656" s="1384" t="s">
        <v>6122</v>
      </c>
      <c r="D656" s="1686">
        <v>1.3321759259259261E-2</v>
      </c>
      <c r="E656" s="1489" t="s">
        <v>16765</v>
      </c>
      <c r="F656" s="1489" t="s">
        <v>16660</v>
      </c>
      <c r="G656" s="1578">
        <v>0.67249999999999999</v>
      </c>
    </row>
    <row r="657" spans="1:23" s="80" customFormat="1" x14ac:dyDescent="0.2">
      <c r="A657" s="2057">
        <v>43841</v>
      </c>
      <c r="B657" s="1384" t="s">
        <v>3543</v>
      </c>
      <c r="C657" s="1384" t="s">
        <v>6122</v>
      </c>
      <c r="D657" s="1727">
        <v>1.3275462962962963E-2</v>
      </c>
      <c r="E657" s="1728" t="s">
        <v>15910</v>
      </c>
      <c r="F657" s="1728" t="s">
        <v>16706</v>
      </c>
      <c r="G657" s="1897">
        <v>0.67479999999999996</v>
      </c>
      <c r="H657" s="1370"/>
      <c r="I657" s="1370"/>
      <c r="J657" s="1370"/>
      <c r="K657" s="1370"/>
      <c r="L657" s="1370"/>
      <c r="M657" s="1370"/>
      <c r="N657" s="1370"/>
      <c r="O657" s="1370"/>
      <c r="P657" s="1370"/>
      <c r="Q657" s="1370"/>
      <c r="R657" s="1370"/>
      <c r="S657" s="1370"/>
      <c r="T657" s="1370"/>
      <c r="U657" s="1370"/>
      <c r="V657" s="1370"/>
      <c r="W657" s="1370"/>
    </row>
    <row r="658" spans="1:23" s="80" customFormat="1" x14ac:dyDescent="0.2">
      <c r="A658" s="1729">
        <v>43831</v>
      </c>
      <c r="B658" s="1384" t="s">
        <v>3543</v>
      </c>
      <c r="C658" s="1384" t="s">
        <v>6122</v>
      </c>
      <c r="D658" s="1730">
        <v>1.3101851851851852E-2</v>
      </c>
      <c r="E658" s="80" t="s">
        <v>16510</v>
      </c>
      <c r="F658" s="80" t="s">
        <v>16536</v>
      </c>
      <c r="G658" s="72">
        <v>0.68369999999999997</v>
      </c>
      <c r="H658" s="80" t="s">
        <v>16490</v>
      </c>
      <c r="I658" s="1708"/>
      <c r="J658" s="1708"/>
      <c r="K658" s="1708"/>
      <c r="L658" s="1708"/>
      <c r="M658" s="1708"/>
      <c r="N658" s="1708"/>
      <c r="O658" s="1708"/>
      <c r="P658" s="1708"/>
      <c r="Q658" s="1708"/>
      <c r="R658" s="1708"/>
      <c r="S658" s="1708"/>
      <c r="T658" s="1708"/>
      <c r="U658" s="1708"/>
      <c r="V658" s="1708"/>
      <c r="W658" s="1708"/>
    </row>
    <row r="659" spans="1:23" s="80" customFormat="1" x14ac:dyDescent="0.2">
      <c r="A659" s="1729">
        <v>43831</v>
      </c>
      <c r="B659" s="1384" t="s">
        <v>3543</v>
      </c>
      <c r="C659" s="1384" t="s">
        <v>6122</v>
      </c>
      <c r="D659" s="1730">
        <v>1.3356481481481481E-2</v>
      </c>
      <c r="E659" s="80" t="s">
        <v>16521</v>
      </c>
      <c r="F659" s="80" t="s">
        <v>16539</v>
      </c>
      <c r="G659" s="72">
        <v>0.67069999999999996</v>
      </c>
      <c r="I659" s="1708"/>
      <c r="J659" s="1708"/>
      <c r="K659" s="1708"/>
      <c r="L659" s="1708"/>
      <c r="O659" s="1708"/>
      <c r="P659" s="1708"/>
      <c r="Q659" s="1708"/>
      <c r="R659" s="1708"/>
      <c r="S659" s="1708"/>
      <c r="T659" s="1708"/>
      <c r="U659" s="1708"/>
      <c r="V659" s="1708"/>
      <c r="W659" s="1708"/>
    </row>
    <row r="660" spans="1:23" s="80" customFormat="1" ht="12.75" customHeight="1" x14ac:dyDescent="0.2">
      <c r="A660" s="2029">
        <v>43904</v>
      </c>
      <c r="B660" s="2055" t="s">
        <v>17086</v>
      </c>
      <c r="C660" s="2055" t="s">
        <v>6122</v>
      </c>
      <c r="D660" s="2061">
        <v>1.3009259259259259E-2</v>
      </c>
      <c r="E660" s="2055" t="s">
        <v>17301</v>
      </c>
      <c r="F660" s="2048" t="s">
        <v>17307</v>
      </c>
      <c r="G660" s="2063">
        <v>0.68859999999999999</v>
      </c>
    </row>
    <row r="661" spans="1:23" s="80" customFormat="1" x14ac:dyDescent="0.2">
      <c r="A661" s="2029">
        <v>43897</v>
      </c>
      <c r="B661" s="2031" t="s">
        <v>17086</v>
      </c>
      <c r="C661" s="2034" t="s">
        <v>6122</v>
      </c>
      <c r="D661" s="2030">
        <v>1.2997685185185183E-2</v>
      </c>
      <c r="E661" s="2031" t="s">
        <v>17231</v>
      </c>
      <c r="F661" s="2048" t="s">
        <v>17257</v>
      </c>
      <c r="G661" s="2032">
        <v>0.68920000000000003</v>
      </c>
    </row>
    <row r="662" spans="1:23" s="80" customFormat="1" x14ac:dyDescent="0.2">
      <c r="A662" s="1526">
        <v>43883</v>
      </c>
      <c r="B662" s="1370" t="s">
        <v>17086</v>
      </c>
      <c r="C662" s="1370" t="s">
        <v>6122</v>
      </c>
      <c r="D662" s="1730">
        <v>1.3043981481481483E-2</v>
      </c>
      <c r="E662" s="80" t="s">
        <v>17108</v>
      </c>
      <c r="F662" s="80" t="s">
        <v>17130</v>
      </c>
      <c r="G662" s="72">
        <v>0.68679999999999997</v>
      </c>
    </row>
    <row r="663" spans="1:23" s="80" customFormat="1" x14ac:dyDescent="0.2">
      <c r="A663" s="523">
        <v>43890</v>
      </c>
      <c r="B663" s="1489" t="s">
        <v>16931</v>
      </c>
      <c r="C663" s="1489" t="s">
        <v>6122</v>
      </c>
      <c r="D663" s="1686">
        <v>2.8472222222222222E-2</v>
      </c>
      <c r="E663" s="1489" t="s">
        <v>17144</v>
      </c>
      <c r="F663" s="1489" t="s">
        <v>17171</v>
      </c>
      <c r="G663" s="1578">
        <v>0.31459999999999999</v>
      </c>
    </row>
    <row r="664" spans="1:23" s="80" customFormat="1" x14ac:dyDescent="0.2">
      <c r="A664" s="1526">
        <v>43876</v>
      </c>
      <c r="B664" s="1489" t="s">
        <v>16931</v>
      </c>
      <c r="C664" s="1489" t="s">
        <v>6122</v>
      </c>
      <c r="D664" s="1686">
        <v>1.3136574074074075E-2</v>
      </c>
      <c r="E664" s="1489" t="s">
        <v>17013</v>
      </c>
      <c r="F664" s="1489" t="s">
        <v>17061</v>
      </c>
      <c r="G664" s="1578">
        <v>0.68189999999999995</v>
      </c>
    </row>
    <row r="665" spans="1:23" s="80" customFormat="1" x14ac:dyDescent="0.2">
      <c r="A665" s="2057">
        <v>43869</v>
      </c>
      <c r="B665" s="1489" t="s">
        <v>16931</v>
      </c>
      <c r="C665" s="1489" t="s">
        <v>6122</v>
      </c>
      <c r="D665" s="1737">
        <v>1.2986111111111111E-2</v>
      </c>
      <c r="E665" s="1489" t="s">
        <v>16923</v>
      </c>
      <c r="F665" s="1489" t="s">
        <v>16939</v>
      </c>
      <c r="G665" s="1578">
        <v>0.68979999999999997</v>
      </c>
    </row>
    <row r="666" spans="1:23" s="80" customFormat="1" x14ac:dyDescent="0.2">
      <c r="A666" s="1886">
        <v>43834</v>
      </c>
      <c r="B666" s="1886" t="s">
        <v>4259</v>
      </c>
      <c r="C666" s="1370" t="s">
        <v>440</v>
      </c>
      <c r="D666" s="1834">
        <v>2.5138888888888891E-2</v>
      </c>
      <c r="E666" s="1370" t="s">
        <v>16639</v>
      </c>
      <c r="F666" s="1370" t="s">
        <v>16632</v>
      </c>
      <c r="G666" s="1885">
        <v>0.49359999999999998</v>
      </c>
      <c r="H666" s="1370"/>
      <c r="I666" s="1370"/>
      <c r="J666" s="2056"/>
      <c r="K666" s="2056"/>
      <c r="L666" s="2056"/>
      <c r="M666" s="2056"/>
      <c r="N666" s="1370"/>
      <c r="O666" s="1370"/>
      <c r="P666" s="2056"/>
      <c r="Q666" s="2056"/>
      <c r="R666" s="2056"/>
      <c r="S666" s="2056"/>
      <c r="T666" s="2056"/>
      <c r="U666" s="2056"/>
      <c r="V666" s="2056"/>
      <c r="W666" s="2056"/>
    </row>
    <row r="667" spans="1:23" s="80" customFormat="1" x14ac:dyDescent="0.2">
      <c r="A667" s="1729">
        <v>43831</v>
      </c>
      <c r="B667" s="1370" t="s">
        <v>4259</v>
      </c>
      <c r="C667" s="1370" t="s">
        <v>440</v>
      </c>
      <c r="D667" s="1730">
        <v>2.5243055555555557E-2</v>
      </c>
      <c r="E667" s="80" t="s">
        <v>16504</v>
      </c>
      <c r="F667" s="80" t="s">
        <v>16562</v>
      </c>
      <c r="G667" s="72">
        <v>0.49149999999999999</v>
      </c>
      <c r="I667" s="1708"/>
      <c r="J667" s="1708"/>
      <c r="K667" s="1708"/>
      <c r="L667" s="1708"/>
      <c r="M667" s="1708"/>
      <c r="N667" s="1708"/>
      <c r="O667" s="1708"/>
      <c r="P667" s="1708"/>
      <c r="Q667" s="1708"/>
      <c r="R667" s="1708"/>
      <c r="S667" s="1708"/>
      <c r="T667" s="1708"/>
      <c r="U667" s="1708"/>
      <c r="V667" s="1708"/>
      <c r="W667" s="1708"/>
    </row>
    <row r="668" spans="1:23" s="80" customFormat="1" x14ac:dyDescent="0.2">
      <c r="A668" s="1729">
        <v>43831</v>
      </c>
      <c r="B668" s="1370" t="s">
        <v>16500</v>
      </c>
      <c r="C668" s="1370" t="s">
        <v>440</v>
      </c>
      <c r="D668" s="1730">
        <v>2.4837962962962964E-2</v>
      </c>
      <c r="E668" s="80" t="s">
        <v>16531</v>
      </c>
      <c r="F668" s="80" t="s">
        <v>16561</v>
      </c>
      <c r="G668" s="72">
        <v>0.4995</v>
      </c>
      <c r="I668" s="1708"/>
      <c r="J668" s="1708"/>
      <c r="K668" s="1708"/>
      <c r="L668" s="1708"/>
      <c r="M668" s="1708"/>
      <c r="N668" s="1708"/>
      <c r="O668" s="1708"/>
      <c r="P668" s="1708"/>
      <c r="Q668" s="1708"/>
      <c r="R668" s="1708"/>
      <c r="S668" s="1708"/>
      <c r="T668" s="1708"/>
      <c r="U668" s="1708"/>
      <c r="V668" s="1708"/>
      <c r="W668" s="1708"/>
    </row>
    <row r="669" spans="1:23" s="80" customFormat="1" x14ac:dyDescent="0.2">
      <c r="A669" s="523">
        <v>43890</v>
      </c>
      <c r="B669" s="1489" t="s">
        <v>17165</v>
      </c>
      <c r="C669" s="1489" t="s">
        <v>440</v>
      </c>
      <c r="D669" s="1686">
        <v>2.4062499999999997E-2</v>
      </c>
      <c r="E669" s="1489" t="s">
        <v>17155</v>
      </c>
      <c r="F669" s="1489" t="s">
        <v>17181</v>
      </c>
      <c r="G669" s="1578">
        <v>0.51559999999999995</v>
      </c>
    </row>
    <row r="670" spans="1:23" s="80" customFormat="1" x14ac:dyDescent="0.2">
      <c r="A670" s="523">
        <v>43855</v>
      </c>
      <c r="B670" s="1384" t="s">
        <v>10900</v>
      </c>
      <c r="C670" s="1384" t="s">
        <v>10860</v>
      </c>
      <c r="D670" s="1686">
        <v>1.9814814814814816E-2</v>
      </c>
      <c r="E670" s="1489" t="s">
        <v>16740</v>
      </c>
      <c r="F670" s="1526" t="s">
        <v>882</v>
      </c>
      <c r="G670" s="1578">
        <v>0.4854</v>
      </c>
    </row>
    <row r="671" spans="1:23" s="80" customFormat="1" x14ac:dyDescent="0.2">
      <c r="A671" s="2029">
        <v>43897</v>
      </c>
      <c r="B671" s="2035" t="s">
        <v>17242</v>
      </c>
      <c r="C671" s="2036" t="s">
        <v>10860</v>
      </c>
      <c r="D671" s="2030">
        <v>1.9305555555555558E-2</v>
      </c>
      <c r="E671" s="2031" t="s">
        <v>17224</v>
      </c>
      <c r="F671" s="2035"/>
      <c r="G671" s="2033">
        <v>0.49819999999999998</v>
      </c>
    </row>
    <row r="672" spans="1:23" s="80" customFormat="1" ht="12.75" customHeight="1" x14ac:dyDescent="0.2">
      <c r="A672" s="2029">
        <v>43904</v>
      </c>
      <c r="B672" s="2069" t="s">
        <v>16863</v>
      </c>
      <c r="C672" s="1489" t="s">
        <v>10860</v>
      </c>
      <c r="D672" s="2067">
        <v>1.8564814814814815E-2</v>
      </c>
      <c r="E672" s="2055" t="s">
        <v>17282</v>
      </c>
      <c r="F672" s="1623" t="s">
        <v>16882</v>
      </c>
      <c r="G672" s="2070">
        <v>0.5181</v>
      </c>
    </row>
    <row r="673" spans="1:23" s="80" customFormat="1" x14ac:dyDescent="0.2">
      <c r="A673" s="523">
        <v>43862</v>
      </c>
      <c r="B673" s="1489" t="s">
        <v>16863</v>
      </c>
      <c r="C673" s="1489" t="s">
        <v>10860</v>
      </c>
      <c r="D673" s="1686">
        <v>1.9502314814814813E-2</v>
      </c>
      <c r="E673" s="1489" t="s">
        <v>16844</v>
      </c>
      <c r="F673" s="1489" t="s">
        <v>16882</v>
      </c>
      <c r="G673" s="1578">
        <v>0.49320000000000003</v>
      </c>
    </row>
    <row r="674" spans="1:23" s="80" customFormat="1" x14ac:dyDescent="0.2">
      <c r="A674" s="1526">
        <v>43876</v>
      </c>
      <c r="B674" s="1489" t="s">
        <v>16865</v>
      </c>
      <c r="C674" s="1489" t="s">
        <v>5543</v>
      </c>
      <c r="D674" s="1686">
        <v>2.1284722222222222E-2</v>
      </c>
      <c r="E674" s="1489" t="s">
        <v>17000</v>
      </c>
      <c r="F674" s="1489" t="s">
        <v>17050</v>
      </c>
      <c r="G674" s="1578">
        <v>0.52310000000000001</v>
      </c>
    </row>
    <row r="675" spans="1:23" s="80" customFormat="1" x14ac:dyDescent="0.2">
      <c r="A675" s="523">
        <v>43862</v>
      </c>
      <c r="B675" s="1489" t="s">
        <v>16865</v>
      </c>
      <c r="C675" s="1489" t="s">
        <v>5543</v>
      </c>
      <c r="D675" s="1686">
        <v>1.9270833333333334E-2</v>
      </c>
      <c r="E675" s="1489" t="s">
        <v>16846</v>
      </c>
      <c r="F675" s="1489" t="s">
        <v>16879</v>
      </c>
      <c r="G675" s="1578">
        <v>0.57779999999999998</v>
      </c>
    </row>
    <row r="676" spans="1:23" s="80" customFormat="1" x14ac:dyDescent="0.2">
      <c r="A676" s="523">
        <v>43862</v>
      </c>
      <c r="B676" s="1489" t="s">
        <v>1296</v>
      </c>
      <c r="C676" s="1489" t="s">
        <v>5543</v>
      </c>
      <c r="D676" s="1686">
        <v>1.4305555555555556E-2</v>
      </c>
      <c r="E676" s="1489" t="s">
        <v>16846</v>
      </c>
      <c r="F676" s="1489" t="s">
        <v>16878</v>
      </c>
      <c r="G676" s="1578">
        <v>0.73950000000000005</v>
      </c>
    </row>
    <row r="677" spans="1:23" s="80" customFormat="1" x14ac:dyDescent="0.2">
      <c r="A677" s="1526">
        <v>43876</v>
      </c>
      <c r="B677" s="1489" t="s">
        <v>13275</v>
      </c>
      <c r="C677" s="1489" t="s">
        <v>5543</v>
      </c>
      <c r="D677" s="1686">
        <v>1.7488425925925925E-2</v>
      </c>
      <c r="E677" s="1489" t="s">
        <v>17000</v>
      </c>
      <c r="F677" s="1489" t="s">
        <v>17053</v>
      </c>
      <c r="G677" s="1578">
        <v>0.60489999999999999</v>
      </c>
    </row>
    <row r="678" spans="1:23" s="80" customFormat="1" x14ac:dyDescent="0.2">
      <c r="A678" s="523">
        <v>43862</v>
      </c>
      <c r="B678" s="1489" t="s">
        <v>3997</v>
      </c>
      <c r="C678" s="1489" t="s">
        <v>5543</v>
      </c>
      <c r="D678" s="1686">
        <v>1.4247685185185184E-2</v>
      </c>
      <c r="E678" s="1489" t="s">
        <v>16846</v>
      </c>
      <c r="F678" s="1489" t="s">
        <v>16877</v>
      </c>
      <c r="G678" s="1578">
        <v>0.78149999999999997</v>
      </c>
    </row>
    <row r="679" spans="1:23" s="80" customFormat="1" x14ac:dyDescent="0.2">
      <c r="A679" s="1526">
        <v>43876</v>
      </c>
      <c r="B679" s="1489" t="s">
        <v>17021</v>
      </c>
      <c r="C679" s="1489" t="s">
        <v>5543</v>
      </c>
      <c r="D679" s="1686">
        <v>1.7754629629629631E-2</v>
      </c>
      <c r="E679" s="1489" t="s">
        <v>17000</v>
      </c>
      <c r="F679" s="1489" t="s">
        <v>17052</v>
      </c>
      <c r="G679" s="1578">
        <v>0.62709999999999999</v>
      </c>
    </row>
    <row r="680" spans="1:23" s="80" customFormat="1" ht="12.75" customHeight="1" x14ac:dyDescent="0.2">
      <c r="A680" s="523">
        <v>43855</v>
      </c>
      <c r="B680" s="1384" t="s">
        <v>1794</v>
      </c>
      <c r="C680" s="1384" t="s">
        <v>5543</v>
      </c>
      <c r="D680" s="1686">
        <v>2.074074074074074E-2</v>
      </c>
      <c r="E680" s="1489" t="s">
        <v>16753</v>
      </c>
      <c r="F680" s="1489"/>
      <c r="G680" s="1578">
        <v>0.51900000000000002</v>
      </c>
    </row>
    <row r="681" spans="1:23" s="80" customFormat="1" ht="12.75" customHeight="1" x14ac:dyDescent="0.2">
      <c r="A681" s="1729">
        <v>43831</v>
      </c>
      <c r="B681" s="1370" t="s">
        <v>1794</v>
      </c>
      <c r="C681" s="1370" t="s">
        <v>5543</v>
      </c>
      <c r="D681" s="1730">
        <v>1.8148148148148146E-2</v>
      </c>
      <c r="E681" s="80" t="s">
        <v>16521</v>
      </c>
      <c r="F681" s="80" t="s">
        <v>16448</v>
      </c>
      <c r="G681" s="72">
        <v>0.59309999999999996</v>
      </c>
      <c r="I681" s="1708"/>
      <c r="J681" s="1708"/>
      <c r="K681" s="1708"/>
      <c r="L681" s="1708"/>
      <c r="M681" s="1708"/>
      <c r="N681" s="1708"/>
      <c r="O681" s="1708"/>
      <c r="P681" s="1708"/>
      <c r="Q681" s="1708"/>
      <c r="R681" s="1708"/>
      <c r="S681" s="1708"/>
      <c r="T681" s="1708"/>
      <c r="U681" s="1708"/>
      <c r="V681" s="1708"/>
      <c r="W681" s="1708"/>
    </row>
    <row r="682" spans="1:23" s="80" customFormat="1" ht="12.75" customHeight="1" x14ac:dyDescent="0.2">
      <c r="A682" s="1886">
        <v>43834</v>
      </c>
      <c r="B682" s="1886" t="s">
        <v>16613</v>
      </c>
      <c r="C682" s="1370" t="s">
        <v>16614</v>
      </c>
      <c r="D682" s="1834">
        <v>2.0370370370370369E-2</v>
      </c>
      <c r="E682" s="1370" t="s">
        <v>16611</v>
      </c>
      <c r="F682" s="1370" t="s">
        <v>16651</v>
      </c>
      <c r="G682" s="1885">
        <v>0.68069999999999997</v>
      </c>
      <c r="H682" s="1370"/>
      <c r="I682" s="1370"/>
      <c r="J682" s="2056"/>
      <c r="K682" s="2056"/>
      <c r="L682" s="2056"/>
      <c r="M682" s="2056"/>
      <c r="N682" s="2056"/>
      <c r="O682" s="2056"/>
      <c r="P682" s="2056"/>
      <c r="Q682" s="2056"/>
      <c r="R682" s="2056"/>
      <c r="S682" s="2056"/>
      <c r="T682" s="2056"/>
      <c r="U682" s="2056"/>
      <c r="V682" s="2056"/>
      <c r="W682" s="2056"/>
    </row>
    <row r="683" spans="1:23" s="80" customFormat="1" ht="12.75" customHeight="1" x14ac:dyDescent="0.2">
      <c r="A683" s="523">
        <v>43862</v>
      </c>
      <c r="B683" s="1489" t="s">
        <v>16861</v>
      </c>
      <c r="C683" s="1489" t="s">
        <v>1026</v>
      </c>
      <c r="D683" s="1686">
        <v>1.8148148148148146E-2</v>
      </c>
      <c r="E683" s="1489" t="s">
        <v>16831</v>
      </c>
      <c r="F683" s="1489"/>
      <c r="G683" s="1578">
        <v>0.59309999999999996</v>
      </c>
    </row>
    <row r="684" spans="1:23" s="80" customFormat="1" ht="12.75" customHeight="1" x14ac:dyDescent="0.2">
      <c r="A684" s="1526">
        <v>43883</v>
      </c>
      <c r="B684" s="1370" t="s">
        <v>13270</v>
      </c>
      <c r="C684" s="1370" t="s">
        <v>1026</v>
      </c>
      <c r="D684" s="1730">
        <v>1.9479166666666665E-2</v>
      </c>
      <c r="E684" s="80" t="s">
        <v>17093</v>
      </c>
      <c r="G684" s="72">
        <v>0.55259999999999998</v>
      </c>
    </row>
    <row r="685" spans="1:23" s="80" customFormat="1" ht="12.75" customHeight="1" x14ac:dyDescent="0.2">
      <c r="A685" s="1526">
        <v>43876</v>
      </c>
      <c r="B685" s="1489" t="s">
        <v>13270</v>
      </c>
      <c r="C685" s="1489" t="s">
        <v>1026</v>
      </c>
      <c r="D685" s="1686">
        <v>1.8703703703703705E-2</v>
      </c>
      <c r="E685" s="1489" t="s">
        <v>16998</v>
      </c>
      <c r="F685" s="1489" t="s">
        <v>17068</v>
      </c>
      <c r="G685" s="1578">
        <v>0.57550000000000001</v>
      </c>
    </row>
    <row r="686" spans="1:23" s="80" customFormat="1" ht="12.75" customHeight="1" x14ac:dyDescent="0.2">
      <c r="A686" s="2057">
        <v>43869</v>
      </c>
      <c r="B686" s="1489" t="s">
        <v>13270</v>
      </c>
      <c r="C686" s="1489" t="s">
        <v>1026</v>
      </c>
      <c r="D686" s="1737">
        <v>1.6192129629629629E-2</v>
      </c>
      <c r="E686" s="1489" t="s">
        <v>16904</v>
      </c>
      <c r="F686" s="1489" t="s">
        <v>16892</v>
      </c>
      <c r="G686" s="1578">
        <v>0.66479999999999995</v>
      </c>
    </row>
    <row r="687" spans="1:23" s="80" customFormat="1" ht="12.75" customHeight="1" x14ac:dyDescent="0.2">
      <c r="A687" s="1729">
        <v>43831</v>
      </c>
      <c r="B687" s="1370" t="s">
        <v>13270</v>
      </c>
      <c r="C687" s="1370" t="s">
        <v>1026</v>
      </c>
      <c r="D687" s="1730">
        <v>1.7951388888888888E-2</v>
      </c>
      <c r="E687" s="80" t="s">
        <v>16528</v>
      </c>
      <c r="F687" s="80" t="s">
        <v>16584</v>
      </c>
      <c r="G687" s="72">
        <v>0.59960000000000002</v>
      </c>
      <c r="H687" s="80" t="s">
        <v>12776</v>
      </c>
      <c r="I687" s="1708"/>
      <c r="J687" s="1708"/>
      <c r="K687" s="1708"/>
      <c r="L687" s="1708"/>
      <c r="M687" s="1708"/>
      <c r="N687" s="1708"/>
      <c r="O687" s="1708"/>
      <c r="P687" s="1708"/>
      <c r="Q687" s="1708"/>
      <c r="R687" s="1708"/>
      <c r="S687" s="1708"/>
      <c r="T687" s="1708"/>
      <c r="U687" s="1708"/>
      <c r="V687" s="1708"/>
      <c r="W687" s="1708"/>
    </row>
    <row r="688" spans="1:23" s="80" customFormat="1" ht="12.75" customHeight="1" x14ac:dyDescent="0.2">
      <c r="A688" s="1729">
        <v>43831</v>
      </c>
      <c r="B688" s="1370" t="s">
        <v>13270</v>
      </c>
      <c r="C688" s="1370" t="s">
        <v>1026</v>
      </c>
      <c r="D688" s="1730">
        <v>1.9282407407407408E-2</v>
      </c>
      <c r="E688" s="80" t="s">
        <v>16534</v>
      </c>
      <c r="F688" s="80" t="s">
        <v>16585</v>
      </c>
      <c r="G688" s="72">
        <v>0.55820000000000003</v>
      </c>
      <c r="H688" s="80" t="s">
        <v>12776</v>
      </c>
      <c r="I688" s="1708"/>
      <c r="J688" s="1708"/>
      <c r="K688" s="1708"/>
      <c r="L688" s="1708"/>
      <c r="M688" s="1708"/>
      <c r="N688" s="1708"/>
      <c r="O688" s="1708"/>
      <c r="P688" s="1708"/>
      <c r="Q688" s="1708"/>
      <c r="R688" s="1708"/>
      <c r="S688" s="1708"/>
      <c r="T688" s="1708"/>
      <c r="U688" s="1708"/>
      <c r="V688" s="1708"/>
      <c r="W688" s="1708"/>
    </row>
    <row r="689" spans="1:23" s="80" customFormat="1" ht="12.75" customHeight="1" x14ac:dyDescent="0.2">
      <c r="A689" s="523">
        <v>43855</v>
      </c>
      <c r="B689" s="1384" t="s">
        <v>9701</v>
      </c>
      <c r="C689" s="1384" t="s">
        <v>9702</v>
      </c>
      <c r="D689" s="1686">
        <v>1.5185185185185185E-2</v>
      </c>
      <c r="E689" s="1489" t="s">
        <v>16742</v>
      </c>
      <c r="F689" s="1489" t="s">
        <v>16730</v>
      </c>
      <c r="G689" s="1578">
        <v>0.80640000000000001</v>
      </c>
    </row>
    <row r="690" spans="1:23" s="80" customFormat="1" ht="12.75" customHeight="1" x14ac:dyDescent="0.2">
      <c r="A690" s="2029">
        <v>43904</v>
      </c>
      <c r="B690" s="2049" t="s">
        <v>9704</v>
      </c>
      <c r="C690" s="2049" t="s">
        <v>9702</v>
      </c>
      <c r="D690" s="2061">
        <v>1.5069444444444444E-2</v>
      </c>
      <c r="E690" s="2055" t="s">
        <v>17302</v>
      </c>
      <c r="F690" s="2048" t="s">
        <v>17321</v>
      </c>
      <c r="G690" s="2062">
        <v>0.81259999999999999</v>
      </c>
    </row>
    <row r="691" spans="1:23" s="80" customFormat="1" ht="12.75" customHeight="1" x14ac:dyDescent="0.2">
      <c r="A691" s="523">
        <v>43890</v>
      </c>
      <c r="B691" s="1489" t="s">
        <v>13273</v>
      </c>
      <c r="C691" s="1489" t="s">
        <v>9702</v>
      </c>
      <c r="D691" s="1686">
        <v>1.4872685185185187E-2</v>
      </c>
      <c r="E691" s="1489" t="s">
        <v>17162</v>
      </c>
      <c r="F691" s="1489" t="s">
        <v>17183</v>
      </c>
      <c r="G691" s="1578">
        <v>0.82330000000000003</v>
      </c>
    </row>
    <row r="692" spans="1:23" s="80" customFormat="1" ht="12.75" customHeight="1" x14ac:dyDescent="0.2">
      <c r="A692" s="1526">
        <v>43883</v>
      </c>
      <c r="B692" s="1370" t="s">
        <v>13273</v>
      </c>
      <c r="C692" s="1370" t="s">
        <v>9702</v>
      </c>
      <c r="D692" s="1730">
        <v>1.4930555555555556E-2</v>
      </c>
      <c r="E692" s="80" t="s">
        <v>17111</v>
      </c>
      <c r="F692" s="80" t="s">
        <v>17126</v>
      </c>
      <c r="G692" s="72">
        <v>0.82020000000000004</v>
      </c>
    </row>
    <row r="693" spans="1:23" s="80" customFormat="1" ht="12.75" customHeight="1" x14ac:dyDescent="0.2">
      <c r="A693" s="1526">
        <v>43876</v>
      </c>
      <c r="B693" s="1489" t="s">
        <v>13273</v>
      </c>
      <c r="C693" s="1489" t="s">
        <v>9702</v>
      </c>
      <c r="D693" s="1686">
        <v>1.486111111111111E-2</v>
      </c>
      <c r="E693" s="1489" t="s">
        <v>17015</v>
      </c>
      <c r="F693" s="1489" t="s">
        <v>17062</v>
      </c>
      <c r="G693" s="1578">
        <v>0.82399999999999995</v>
      </c>
    </row>
    <row r="694" spans="1:23" s="80" customFormat="1" ht="12.75" customHeight="1" x14ac:dyDescent="0.2">
      <c r="A694" s="1526">
        <v>43876</v>
      </c>
      <c r="B694" s="1489" t="s">
        <v>16862</v>
      </c>
      <c r="C694" s="1489" t="s">
        <v>7677</v>
      </c>
      <c r="D694" s="1686">
        <v>2.2627314814814819E-2</v>
      </c>
      <c r="E694" s="1489" t="s">
        <v>17011</v>
      </c>
      <c r="F694" s="1489" t="s">
        <v>17059</v>
      </c>
      <c r="G694" s="1578">
        <v>0.54120000000000001</v>
      </c>
    </row>
    <row r="695" spans="1:23" s="80" customFormat="1" ht="12.75" customHeight="1" x14ac:dyDescent="0.2">
      <c r="A695" s="523">
        <v>43862</v>
      </c>
      <c r="B695" s="1489" t="s">
        <v>13371</v>
      </c>
      <c r="C695" s="1489" t="s">
        <v>865</v>
      </c>
      <c r="D695" s="1686">
        <v>1.5370370370370369E-2</v>
      </c>
      <c r="E695" s="1489" t="s">
        <v>16842</v>
      </c>
      <c r="F695" s="1489" t="s">
        <v>16869</v>
      </c>
      <c r="G695" s="1578">
        <v>0.75080000000000002</v>
      </c>
    </row>
    <row r="696" spans="1:23" s="80" customFormat="1" ht="12.75" customHeight="1" x14ac:dyDescent="0.2">
      <c r="A696" s="1729">
        <v>43831</v>
      </c>
      <c r="B696" s="1370" t="s">
        <v>13371</v>
      </c>
      <c r="C696" s="1370" t="s">
        <v>865</v>
      </c>
      <c r="D696" s="1730">
        <v>1.5543981481481482E-2</v>
      </c>
      <c r="E696" s="80" t="s">
        <v>16502</v>
      </c>
      <c r="F696" s="80" t="s">
        <v>16549</v>
      </c>
      <c r="G696" s="72">
        <v>0.74239999999999995</v>
      </c>
      <c r="H696" s="80" t="s">
        <v>16487</v>
      </c>
      <c r="I696" s="1708"/>
      <c r="J696" s="1708"/>
      <c r="K696" s="1708"/>
      <c r="L696" s="1708"/>
      <c r="M696" s="1708"/>
      <c r="N696" s="1708"/>
      <c r="O696" s="1708"/>
      <c r="P696" s="1708"/>
      <c r="Q696" s="1708"/>
      <c r="R696" s="1708"/>
      <c r="S696" s="1708"/>
      <c r="T696" s="1708"/>
      <c r="U696" s="1708"/>
      <c r="V696" s="1708"/>
      <c r="W696" s="1708"/>
    </row>
    <row r="697" spans="1:23" s="80" customFormat="1" ht="12.75" customHeight="1" x14ac:dyDescent="0.2">
      <c r="A697" s="1729">
        <v>43831</v>
      </c>
      <c r="B697" s="1370" t="s">
        <v>13371</v>
      </c>
      <c r="C697" s="1370" t="s">
        <v>865</v>
      </c>
      <c r="D697" s="1730">
        <v>1.5439814814814816E-2</v>
      </c>
      <c r="E697" s="80" t="s">
        <v>16526</v>
      </c>
      <c r="F697" s="80" t="s">
        <v>16550</v>
      </c>
      <c r="G697" s="72">
        <v>0.74739999999999995</v>
      </c>
      <c r="H697" s="80" t="s">
        <v>16496</v>
      </c>
      <c r="I697" s="1708"/>
      <c r="J697" s="1708"/>
      <c r="K697" s="1708"/>
      <c r="L697" s="1708"/>
      <c r="M697" s="1708"/>
      <c r="N697" s="1708"/>
      <c r="O697" s="1708"/>
      <c r="P697" s="1708"/>
      <c r="Q697" s="1708"/>
      <c r="R697" s="1708"/>
      <c r="S697" s="1708"/>
      <c r="T697" s="1708"/>
      <c r="U697" s="1708"/>
      <c r="V697" s="1708"/>
      <c r="W697" s="1708"/>
    </row>
    <row r="698" spans="1:23" s="80" customFormat="1" ht="12.75" customHeight="1" x14ac:dyDescent="0.2">
      <c r="A698" s="2057">
        <v>43869</v>
      </c>
      <c r="B698" s="1384" t="s">
        <v>3535</v>
      </c>
      <c r="C698" s="1384" t="s">
        <v>4741</v>
      </c>
      <c r="D698" s="1737">
        <v>1.5578703703703704E-2</v>
      </c>
      <c r="E698" s="1489" t="s">
        <v>16911</v>
      </c>
      <c r="F698" s="1489" t="s">
        <v>16894</v>
      </c>
      <c r="G698" s="1578">
        <v>0.67900000000000005</v>
      </c>
    </row>
    <row r="699" spans="1:23" s="80" customFormat="1" ht="12.75" customHeight="1" x14ac:dyDescent="0.2">
      <c r="A699" s="523">
        <v>43862</v>
      </c>
      <c r="B699" s="1384" t="s">
        <v>3535</v>
      </c>
      <c r="C699" s="1384" t="s">
        <v>4741</v>
      </c>
      <c r="D699" s="1686">
        <v>1.5300925925925928E-2</v>
      </c>
      <c r="E699" s="1489" t="s">
        <v>16847</v>
      </c>
      <c r="F699" s="1489"/>
      <c r="G699" s="1578">
        <v>0.69140000000000001</v>
      </c>
    </row>
    <row r="700" spans="1:23" s="80" customFormat="1" ht="12.75" customHeight="1" x14ac:dyDescent="0.2">
      <c r="A700" s="523">
        <v>43855</v>
      </c>
      <c r="B700" s="1384" t="s">
        <v>3535</v>
      </c>
      <c r="C700" s="1384" t="s">
        <v>4741</v>
      </c>
      <c r="D700" s="1686">
        <v>1.5474537037037038E-2</v>
      </c>
      <c r="E700" s="1489" t="s">
        <v>16763</v>
      </c>
      <c r="F700" s="1489" t="s">
        <v>16785</v>
      </c>
      <c r="G700" s="1578">
        <v>0.68359999999999999</v>
      </c>
    </row>
    <row r="701" spans="1:23" s="80" customFormat="1" ht="12.75" customHeight="1" x14ac:dyDescent="0.2">
      <c r="A701" s="2057">
        <v>43848</v>
      </c>
      <c r="B701" s="1384" t="s">
        <v>3535</v>
      </c>
      <c r="C701" s="1384" t="s">
        <v>4741</v>
      </c>
      <c r="D701" s="1686">
        <v>1.5150462962962963E-2</v>
      </c>
      <c r="E701" s="1489" t="s">
        <v>16671</v>
      </c>
      <c r="F701" s="1489" t="s">
        <v>16962</v>
      </c>
      <c r="G701" s="1578">
        <v>0.69820000000000004</v>
      </c>
    </row>
    <row r="702" spans="1:23" s="80" customFormat="1" ht="12.75" customHeight="1" x14ac:dyDescent="0.2">
      <c r="A702" s="2057">
        <v>43841</v>
      </c>
      <c r="B702" s="1384" t="s">
        <v>3535</v>
      </c>
      <c r="C702" s="1384" t="s">
        <v>4741</v>
      </c>
      <c r="D702" s="1727">
        <v>1.5127314814814816E-2</v>
      </c>
      <c r="E702" s="1728" t="s">
        <v>4822</v>
      </c>
      <c r="F702" s="1568"/>
      <c r="G702" s="1897">
        <v>0.69930000000000003</v>
      </c>
      <c r="H702" s="1370"/>
      <c r="I702" s="1370"/>
      <c r="J702" s="1370"/>
      <c r="K702" s="1370"/>
      <c r="L702" s="1370"/>
      <c r="M702" s="1370"/>
      <c r="N702" s="1370"/>
      <c r="O702" s="1370"/>
      <c r="P702" s="1370"/>
      <c r="Q702" s="1370"/>
      <c r="R702" s="1370"/>
      <c r="S702" s="1370"/>
      <c r="T702" s="1370"/>
      <c r="U702" s="1370"/>
      <c r="V702" s="1370"/>
      <c r="W702" s="1370"/>
    </row>
    <row r="703" spans="1:23" s="80" customFormat="1" ht="12.75" customHeight="1" x14ac:dyDescent="0.2">
      <c r="A703" s="1886">
        <v>43834</v>
      </c>
      <c r="B703" s="1384" t="s">
        <v>3535</v>
      </c>
      <c r="C703" s="1384" t="s">
        <v>4741</v>
      </c>
      <c r="D703" s="1834">
        <v>1.4918981481481483E-2</v>
      </c>
      <c r="E703" s="1370" t="s">
        <v>16600</v>
      </c>
      <c r="F703" s="1370" t="s">
        <v>16602</v>
      </c>
      <c r="G703" s="1885">
        <v>0.70909999999999995</v>
      </c>
      <c r="H703" s="1370"/>
      <c r="I703" s="1370"/>
      <c r="J703" s="2056"/>
      <c r="K703" s="2056"/>
      <c r="L703" s="2056"/>
      <c r="M703" s="2056"/>
      <c r="N703" s="2056"/>
      <c r="O703" s="2056"/>
      <c r="P703" s="2056"/>
      <c r="Q703" s="2056"/>
      <c r="R703" s="2056"/>
      <c r="S703" s="2056"/>
      <c r="T703" s="2056"/>
      <c r="U703" s="2056"/>
      <c r="V703" s="2056"/>
      <c r="W703" s="2056"/>
    </row>
    <row r="704" spans="1:23" s="80" customFormat="1" ht="12.75" customHeight="1" x14ac:dyDescent="0.2">
      <c r="A704" s="1729">
        <v>43831</v>
      </c>
      <c r="B704" s="1384" t="s">
        <v>3535</v>
      </c>
      <c r="C704" s="1384" t="s">
        <v>4741</v>
      </c>
      <c r="D704" s="1730">
        <v>1.5057870370370371E-2</v>
      </c>
      <c r="E704" s="80" t="s">
        <v>16522</v>
      </c>
      <c r="F704" s="80" t="s">
        <v>16551</v>
      </c>
      <c r="G704" s="72">
        <v>0.70250000000000001</v>
      </c>
      <c r="H704" s="80" t="s">
        <v>16495</v>
      </c>
      <c r="I704" s="1708"/>
      <c r="J704" s="1708"/>
      <c r="K704" s="1708"/>
      <c r="L704" s="1708"/>
      <c r="M704" s="1708"/>
      <c r="N704" s="1708"/>
      <c r="O704" s="1708"/>
      <c r="P704" s="1708"/>
      <c r="Q704" s="1708"/>
      <c r="R704" s="1708"/>
      <c r="S704" s="1708"/>
      <c r="T704" s="1708"/>
      <c r="U704" s="1708"/>
      <c r="V704" s="1708"/>
      <c r="W704" s="1708"/>
    </row>
    <row r="705" spans="1:23" s="80" customFormat="1" ht="12.75" customHeight="1" x14ac:dyDescent="0.2">
      <c r="A705" s="2029">
        <v>43904</v>
      </c>
      <c r="B705" s="2055" t="s">
        <v>13270</v>
      </c>
      <c r="C705" s="2055" t="s">
        <v>4741</v>
      </c>
      <c r="D705" s="2061">
        <v>1.5057870370370371E-2</v>
      </c>
      <c r="E705" s="2055" t="s">
        <v>17294</v>
      </c>
      <c r="F705" s="2048" t="s">
        <v>17308</v>
      </c>
      <c r="G705" s="2063">
        <v>0.7087</v>
      </c>
    </row>
    <row r="706" spans="1:23" s="80" customFormat="1" ht="12.75" customHeight="1" x14ac:dyDescent="0.2">
      <c r="A706" s="2029">
        <v>43897</v>
      </c>
      <c r="B706" s="2031" t="s">
        <v>13270</v>
      </c>
      <c r="C706" s="2034" t="s">
        <v>4741</v>
      </c>
      <c r="D706" s="2030">
        <v>1.4756944444444444E-2</v>
      </c>
      <c r="E706" s="2031" t="s">
        <v>17228</v>
      </c>
      <c r="F706" s="2048" t="s">
        <v>17236</v>
      </c>
      <c r="G706" s="2032">
        <v>0.72309999999999997</v>
      </c>
    </row>
    <row r="707" spans="1:23" s="80" customFormat="1" ht="12.75" customHeight="1" x14ac:dyDescent="0.2">
      <c r="A707" s="523">
        <v>43890</v>
      </c>
      <c r="B707" s="1489" t="s">
        <v>13270</v>
      </c>
      <c r="C707" s="1489" t="s">
        <v>4741</v>
      </c>
      <c r="D707" s="1686">
        <v>1.6134259259259258E-2</v>
      </c>
      <c r="E707" s="1489" t="s">
        <v>17147</v>
      </c>
      <c r="F707" s="2058" t="s">
        <v>17187</v>
      </c>
      <c r="G707" s="1578">
        <v>0.66139999999999999</v>
      </c>
    </row>
    <row r="708" spans="1:23" s="80" customFormat="1" ht="12.75" customHeight="1" x14ac:dyDescent="0.2">
      <c r="A708" s="1526">
        <v>43883</v>
      </c>
      <c r="B708" s="1370" t="s">
        <v>13270</v>
      </c>
      <c r="C708" s="1370" t="s">
        <v>4741</v>
      </c>
      <c r="D708" s="1730">
        <v>1.5902777777777776E-2</v>
      </c>
      <c r="E708" s="80" t="s">
        <v>17111</v>
      </c>
      <c r="F708" s="80" t="s">
        <v>17081</v>
      </c>
      <c r="G708" s="72">
        <v>0.67100000000000004</v>
      </c>
    </row>
    <row r="709" spans="1:23" s="80" customFormat="1" ht="12.75" customHeight="1" x14ac:dyDescent="0.2">
      <c r="A709" s="1526">
        <v>43876</v>
      </c>
      <c r="B709" s="1489" t="s">
        <v>13270</v>
      </c>
      <c r="C709" s="1489" t="s">
        <v>4741</v>
      </c>
      <c r="D709" s="1686">
        <v>1.5381944444444443E-2</v>
      </c>
      <c r="E709" s="1489" t="s">
        <v>16997</v>
      </c>
      <c r="F709" s="1489" t="s">
        <v>17069</v>
      </c>
      <c r="G709" s="1578">
        <v>0.68769999999999998</v>
      </c>
    </row>
    <row r="710" spans="1:23" s="80" customFormat="1" ht="12.75" customHeight="1" x14ac:dyDescent="0.2">
      <c r="A710" s="523">
        <v>43855</v>
      </c>
      <c r="B710" s="1384" t="s">
        <v>922</v>
      </c>
      <c r="C710" s="1384" t="s">
        <v>3831</v>
      </c>
      <c r="D710" s="1686">
        <v>1.7905092592592594E-2</v>
      </c>
      <c r="E710" s="1489" t="s">
        <v>16747</v>
      </c>
      <c r="F710" s="1489"/>
      <c r="G710" s="1578">
        <v>0.53720000000000001</v>
      </c>
    </row>
    <row r="711" spans="1:23" s="80" customFormat="1" ht="12.75" customHeight="1" x14ac:dyDescent="0.2">
      <c r="A711" s="2057">
        <v>43841</v>
      </c>
      <c r="B711" s="1895" t="s">
        <v>922</v>
      </c>
      <c r="C711" s="1895" t="s">
        <v>3831</v>
      </c>
      <c r="D711" s="1727">
        <v>1.894675925925926E-2</v>
      </c>
      <c r="E711" s="1728" t="s">
        <v>1168</v>
      </c>
      <c r="F711" s="1568"/>
      <c r="G711" s="1897">
        <v>0.50760000000000005</v>
      </c>
      <c r="H711" s="1370"/>
      <c r="I711" s="1370"/>
      <c r="J711" s="1370"/>
      <c r="K711" s="1370"/>
      <c r="L711" s="1370"/>
      <c r="M711" s="1370"/>
      <c r="N711" s="1370"/>
      <c r="O711" s="1370"/>
      <c r="P711" s="1370"/>
      <c r="Q711" s="1370"/>
      <c r="R711" s="1370"/>
      <c r="S711" s="1370"/>
      <c r="T711" s="1370"/>
      <c r="U711" s="1370"/>
      <c r="V711" s="1370"/>
      <c r="W711" s="1370"/>
    </row>
    <row r="712" spans="1:23" s="80" customFormat="1" ht="12.75" customHeight="1" x14ac:dyDescent="0.2">
      <c r="A712" s="1886">
        <v>43834</v>
      </c>
      <c r="B712" s="1886" t="s">
        <v>922</v>
      </c>
      <c r="C712" s="1370" t="s">
        <v>3831</v>
      </c>
      <c r="D712" s="1834">
        <v>1.9027777777777779E-2</v>
      </c>
      <c r="E712" s="1370" t="s">
        <v>16610</v>
      </c>
      <c r="F712" s="1370" t="s">
        <v>16644</v>
      </c>
      <c r="G712" s="1885">
        <v>0.51170000000000004</v>
      </c>
      <c r="H712" s="1370"/>
      <c r="I712" s="1370"/>
      <c r="J712" s="2056"/>
      <c r="K712" s="2056"/>
      <c r="L712" s="2056"/>
      <c r="M712" s="2056"/>
      <c r="N712" s="1370"/>
      <c r="O712" s="1370"/>
      <c r="P712" s="2056"/>
      <c r="Q712" s="2056"/>
      <c r="R712" s="2056"/>
      <c r="S712" s="2056"/>
      <c r="T712" s="2056"/>
      <c r="U712" s="2056"/>
      <c r="V712" s="2056"/>
      <c r="W712" s="2056"/>
    </row>
    <row r="713" spans="1:23" s="80" customFormat="1" ht="12.75" customHeight="1" x14ac:dyDescent="0.2">
      <c r="A713" s="2029">
        <v>43897</v>
      </c>
      <c r="B713" s="2031" t="s">
        <v>13272</v>
      </c>
      <c r="C713" s="2034" t="s">
        <v>3831</v>
      </c>
      <c r="D713" s="2030">
        <v>1.7673611111111109E-2</v>
      </c>
      <c r="E713" s="2031" t="s">
        <v>17218</v>
      </c>
      <c r="F713" s="2048"/>
      <c r="G713" s="2032">
        <v>0.54420000000000002</v>
      </c>
    </row>
    <row r="714" spans="1:23" s="80" customFormat="1" ht="12.75" customHeight="1" x14ac:dyDescent="0.2">
      <c r="A714" s="1526">
        <v>43883</v>
      </c>
      <c r="B714" s="1370" t="s">
        <v>13272</v>
      </c>
      <c r="C714" s="1370" t="s">
        <v>3831</v>
      </c>
      <c r="D714" s="1730">
        <v>1.6932870370370372E-2</v>
      </c>
      <c r="E714" s="80" t="s">
        <v>17097</v>
      </c>
      <c r="F714" s="80" t="s">
        <v>17137</v>
      </c>
      <c r="G714" s="72">
        <v>0.56799999999999995</v>
      </c>
    </row>
    <row r="715" spans="1:23" s="80" customFormat="1" ht="12.75" customHeight="1" x14ac:dyDescent="0.2">
      <c r="A715" s="2057">
        <v>43869</v>
      </c>
      <c r="B715" s="1489" t="s">
        <v>13272</v>
      </c>
      <c r="C715" s="1489" t="s">
        <v>3831</v>
      </c>
      <c r="D715" s="1737">
        <v>1.7187500000000001E-2</v>
      </c>
      <c r="E715" s="1489" t="s">
        <v>16908</v>
      </c>
      <c r="F715" s="1489"/>
      <c r="G715" s="1578">
        <v>0.55959999999999999</v>
      </c>
    </row>
    <row r="716" spans="1:23" s="80" customFormat="1" ht="12.75" customHeight="1" x14ac:dyDescent="0.2">
      <c r="A716" s="523">
        <v>43862</v>
      </c>
      <c r="B716" s="1489" t="s">
        <v>13272</v>
      </c>
      <c r="C716" s="1489" t="s">
        <v>3831</v>
      </c>
      <c r="D716" s="1686">
        <v>1.7314814814814818E-2</v>
      </c>
      <c r="E716" s="1489" t="s">
        <v>16835</v>
      </c>
      <c r="F716" s="1489"/>
      <c r="G716" s="1578">
        <v>0.55549999999999999</v>
      </c>
    </row>
    <row r="717" spans="1:23" s="80" customFormat="1" ht="12.75" customHeight="1" x14ac:dyDescent="0.2">
      <c r="A717" s="2057">
        <v>43848</v>
      </c>
      <c r="B717" s="1489" t="s">
        <v>13272</v>
      </c>
      <c r="C717" s="1489" t="s">
        <v>3831</v>
      </c>
      <c r="D717" s="1686">
        <v>1.7951388888888888E-2</v>
      </c>
      <c r="E717" s="1489" t="s">
        <v>16665</v>
      </c>
      <c r="F717" s="1489"/>
      <c r="G717" s="1578">
        <v>0.53580000000000005</v>
      </c>
    </row>
    <row r="718" spans="1:23" s="80" customFormat="1" ht="12.75" customHeight="1" x14ac:dyDescent="0.2">
      <c r="A718" s="2057">
        <v>43841</v>
      </c>
      <c r="B718" s="1895" t="s">
        <v>2703</v>
      </c>
      <c r="C718" s="1895" t="s">
        <v>2704</v>
      </c>
      <c r="D718" s="1727">
        <v>2.6539351851851852E-2</v>
      </c>
      <c r="E718" s="1728" t="s">
        <v>16699</v>
      </c>
      <c r="F718" s="1568" t="s">
        <v>3987</v>
      </c>
      <c r="G718" s="1897">
        <v>0.47360000000000002</v>
      </c>
      <c r="H718" s="1370"/>
      <c r="I718" s="1370"/>
      <c r="J718" s="1370"/>
      <c r="K718" s="1370"/>
      <c r="L718" s="1370"/>
      <c r="M718" s="1370"/>
      <c r="N718" s="1370"/>
      <c r="O718" s="1370"/>
      <c r="P718" s="1370"/>
      <c r="Q718" s="1370"/>
      <c r="R718" s="1370"/>
      <c r="S718" s="1370"/>
      <c r="T718" s="1370"/>
      <c r="U718" s="1370"/>
      <c r="V718" s="1370"/>
      <c r="W718" s="1370"/>
    </row>
  </sheetData>
  <sortState xmlns:xlrd2="http://schemas.microsoft.com/office/spreadsheetml/2017/richdata2" ref="A505:W512">
    <sortCondition descending="1" ref="A505:A512"/>
  </sortState>
  <conditionalFormatting sqref="D42 D280:D319 D131:D214">
    <cfRule type="cellIs" dxfId="163" priority="213" operator="greaterThan">
      <formula>0.0486111111111111</formula>
    </cfRule>
  </conditionalFormatting>
  <conditionalFormatting sqref="D43">
    <cfRule type="cellIs" dxfId="162" priority="212" operator="greaterThan">
      <formula>0.0486111111111111</formula>
    </cfRule>
  </conditionalFormatting>
  <conditionalFormatting sqref="D44">
    <cfRule type="cellIs" dxfId="161" priority="209" operator="greaterThan">
      <formula>0.0486111111111111</formula>
    </cfRule>
  </conditionalFormatting>
  <conditionalFormatting sqref="D45">
    <cfRule type="cellIs" dxfId="160" priority="206" operator="greaterThan">
      <formula>0.0486111111111111</formula>
    </cfRule>
  </conditionalFormatting>
  <conditionalFormatting sqref="D46 D48">
    <cfRule type="cellIs" dxfId="159" priority="203" operator="greaterThan">
      <formula>0.0486111111111111</formula>
    </cfRule>
  </conditionalFormatting>
  <conditionalFormatting sqref="D47">
    <cfRule type="cellIs" dxfId="158" priority="201" operator="greaterThan">
      <formula>0.0486111111111111</formula>
    </cfRule>
  </conditionalFormatting>
  <conditionalFormatting sqref="D49">
    <cfRule type="cellIs" dxfId="157" priority="191" operator="greaterThan">
      <formula>0.0486111111111111</formula>
    </cfRule>
  </conditionalFormatting>
  <conditionalFormatting sqref="E50">
    <cfRule type="cellIs" dxfId="156" priority="189" operator="greaterThan">
      <formula>0.0451388888888889</formula>
    </cfRule>
  </conditionalFormatting>
  <conditionalFormatting sqref="D51">
    <cfRule type="cellIs" dxfId="155" priority="183" operator="greaterThan">
      <formula>0.0486111111111111</formula>
    </cfRule>
  </conditionalFormatting>
  <conditionalFormatting sqref="D52">
    <cfRule type="cellIs" dxfId="154" priority="179" operator="greaterThan">
      <formula>0.0486111111111111</formula>
    </cfRule>
  </conditionalFormatting>
  <conditionalFormatting sqref="D53">
    <cfRule type="cellIs" dxfId="153" priority="178" operator="greaterThan">
      <formula>0.0486111111111111</formula>
    </cfRule>
  </conditionalFormatting>
  <conditionalFormatting sqref="D54">
    <cfRule type="cellIs" dxfId="152" priority="177" operator="greaterThan">
      <formula>0.0486111111111111</formula>
    </cfRule>
  </conditionalFormatting>
  <conditionalFormatting sqref="D55:D56">
    <cfRule type="cellIs" dxfId="151" priority="170" operator="greaterThan">
      <formula>0.0486111111111111</formula>
    </cfRule>
  </conditionalFormatting>
  <conditionalFormatting sqref="D57">
    <cfRule type="cellIs" dxfId="150" priority="169" operator="greaterThan">
      <formula>0.0486111111111111</formula>
    </cfRule>
  </conditionalFormatting>
  <conditionalFormatting sqref="D58">
    <cfRule type="cellIs" dxfId="149" priority="167" operator="greaterThan">
      <formula>0.0486111111111111</formula>
    </cfRule>
  </conditionalFormatting>
  <conditionalFormatting sqref="D59">
    <cfRule type="cellIs" dxfId="148" priority="161" operator="greaterThan">
      <formula>0.0486111111111111</formula>
    </cfRule>
  </conditionalFormatting>
  <conditionalFormatting sqref="D60">
    <cfRule type="cellIs" dxfId="147" priority="160" operator="greaterThan">
      <formula>0.0486111111111111</formula>
    </cfRule>
  </conditionalFormatting>
  <conditionalFormatting sqref="D62">
    <cfRule type="cellIs" dxfId="146" priority="155" operator="greaterThan">
      <formula>0.0486111111111111</formula>
    </cfRule>
  </conditionalFormatting>
  <conditionalFormatting sqref="D61">
    <cfRule type="cellIs" dxfId="145" priority="156" operator="greaterThan">
      <formula>0.0486111111111111</formula>
    </cfRule>
  </conditionalFormatting>
  <conditionalFormatting sqref="D63">
    <cfRule type="cellIs" dxfId="144" priority="154" operator="greaterThan">
      <formula>0.0486111111111111</formula>
    </cfRule>
  </conditionalFormatting>
  <conditionalFormatting sqref="D64">
    <cfRule type="cellIs" dxfId="143" priority="148" operator="greaterThan">
      <formula>0.0486111111111111</formula>
    </cfRule>
  </conditionalFormatting>
  <conditionalFormatting sqref="D65">
    <cfRule type="cellIs" dxfId="142" priority="140" operator="greaterThan">
      <formula>0.0486111111111111</formula>
    </cfRule>
  </conditionalFormatting>
  <conditionalFormatting sqref="D66">
    <cfRule type="cellIs" dxfId="141" priority="139" operator="greaterThan">
      <formula>0.0486111111111111</formula>
    </cfRule>
  </conditionalFormatting>
  <conditionalFormatting sqref="D69:D70">
    <cfRule type="cellIs" dxfId="140" priority="127" operator="greaterThan">
      <formula>0.0486111111111111</formula>
    </cfRule>
  </conditionalFormatting>
  <conditionalFormatting sqref="D71">
    <cfRule type="cellIs" dxfId="139" priority="121" operator="greaterThan">
      <formula>0.0486111111111111</formula>
    </cfRule>
  </conditionalFormatting>
  <conditionalFormatting sqref="D72:D73 D88">
    <cfRule type="cellIs" dxfId="138" priority="120" operator="greaterThan">
      <formula>0.0486111111111111</formula>
    </cfRule>
  </conditionalFormatting>
  <conditionalFormatting sqref="D74:D75">
    <cfRule type="cellIs" dxfId="137" priority="116" operator="greaterThan">
      <formula>0.0486111111111111</formula>
    </cfRule>
  </conditionalFormatting>
  <conditionalFormatting sqref="D76">
    <cfRule type="cellIs" dxfId="136" priority="110" operator="greaterThan">
      <formula>0.0486111111111111</formula>
    </cfRule>
  </conditionalFormatting>
  <conditionalFormatting sqref="D77">
    <cfRule type="cellIs" dxfId="135" priority="106" operator="greaterThan">
      <formula>0.0486111111111111</formula>
    </cfRule>
  </conditionalFormatting>
  <conditionalFormatting sqref="D78">
    <cfRule type="cellIs" dxfId="134" priority="105" operator="greaterThan">
      <formula>0.0486111111111111</formula>
    </cfRule>
  </conditionalFormatting>
  <conditionalFormatting sqref="D79">
    <cfRule type="cellIs" dxfId="133" priority="104" operator="greaterThan">
      <formula>0.0486111111111111</formula>
    </cfRule>
  </conditionalFormatting>
  <conditionalFormatting sqref="D80">
    <cfRule type="cellIs" dxfId="132" priority="96" operator="greaterThan">
      <formula>0.0486111111111111</formula>
    </cfRule>
  </conditionalFormatting>
  <conditionalFormatting sqref="D81">
    <cfRule type="cellIs" dxfId="131" priority="94" operator="greaterThan">
      <formula>0.0486111111111111</formula>
    </cfRule>
  </conditionalFormatting>
  <conditionalFormatting sqref="D82">
    <cfRule type="cellIs" dxfId="130" priority="93" operator="greaterThan">
      <formula>0.0486111111111111</formula>
    </cfRule>
  </conditionalFormatting>
  <conditionalFormatting sqref="D83">
    <cfRule type="cellIs" dxfId="129" priority="90" operator="greaterThan">
      <formula>0.0486111111111111</formula>
    </cfRule>
  </conditionalFormatting>
  <conditionalFormatting sqref="D84:D87">
    <cfRule type="cellIs" dxfId="128" priority="89" operator="greaterThan">
      <formula>0.0486111111111111</formula>
    </cfRule>
  </conditionalFormatting>
  <conditionalFormatting sqref="D89">
    <cfRule type="cellIs" dxfId="127" priority="85" operator="greaterThan">
      <formula>0.0486111111111111</formula>
    </cfRule>
  </conditionalFormatting>
  <conditionalFormatting sqref="D90">
    <cfRule type="cellIs" dxfId="126" priority="84" operator="greaterThan">
      <formula>0.0486111111111111</formula>
    </cfRule>
  </conditionalFormatting>
  <conditionalFormatting sqref="D253:D279 D217:D251">
    <cfRule type="cellIs" dxfId="125" priority="83" operator="greaterThan">
      <formula>0.0486111111111111</formula>
    </cfRule>
  </conditionalFormatting>
  <conditionalFormatting sqref="D252">
    <cfRule type="cellIs" dxfId="124" priority="82" operator="greaterThan">
      <formula>0.0486111111111111</formula>
    </cfRule>
  </conditionalFormatting>
  <conditionalFormatting sqref="D91">
    <cfRule type="cellIs" dxfId="123" priority="81" operator="greaterThan">
      <formula>0.0486111111111111</formula>
    </cfRule>
  </conditionalFormatting>
  <conditionalFormatting sqref="D92">
    <cfRule type="cellIs" dxfId="122" priority="80" operator="greaterThan">
      <formula>0.0486111111111111</formula>
    </cfRule>
  </conditionalFormatting>
  <conditionalFormatting sqref="D320">
    <cfRule type="cellIs" dxfId="121" priority="76" operator="greaterThan">
      <formula>0.0486111111111111</formula>
    </cfRule>
  </conditionalFormatting>
  <conditionalFormatting sqref="D94">
    <cfRule type="cellIs" dxfId="120" priority="75" operator="greaterThan">
      <formula>0.0486111111111111</formula>
    </cfRule>
  </conditionalFormatting>
  <conditionalFormatting sqref="D95">
    <cfRule type="cellIs" dxfId="119" priority="74" operator="greaterThan">
      <formula>0.0486111111111111</formula>
    </cfRule>
  </conditionalFormatting>
  <conditionalFormatting sqref="D359:D392">
    <cfRule type="cellIs" dxfId="118" priority="73" operator="greaterThan">
      <formula>0.0486111111111111</formula>
    </cfRule>
  </conditionalFormatting>
  <conditionalFormatting sqref="D96 D113:D115">
    <cfRule type="cellIs" dxfId="117" priority="71" operator="greaterThan">
      <formula>0.0486111111111111</formula>
    </cfRule>
  </conditionalFormatting>
  <conditionalFormatting sqref="D97">
    <cfRule type="cellIs" dxfId="116" priority="70" operator="greaterThan">
      <formula>0.0486111111111111</formula>
    </cfRule>
  </conditionalFormatting>
  <conditionalFormatting sqref="D393:D433">
    <cfRule type="cellIs" dxfId="115" priority="69" operator="greaterThan">
      <formula>0.0486111111111111</formula>
    </cfRule>
  </conditionalFormatting>
  <conditionalFormatting sqref="D434">
    <cfRule type="cellIs" dxfId="114" priority="68" operator="greaterThan">
      <formula>0.0486111111111111</formula>
    </cfRule>
  </conditionalFormatting>
  <conditionalFormatting sqref="D435:D436">
    <cfRule type="cellIs" dxfId="113" priority="67" operator="greaterThan">
      <formula>0.0486111111111111</formula>
    </cfRule>
  </conditionalFormatting>
  <conditionalFormatting sqref="D116">
    <cfRule type="cellIs" dxfId="112" priority="66" operator="greaterThan">
      <formula>0.0486111111111111</formula>
    </cfRule>
  </conditionalFormatting>
  <conditionalFormatting sqref="D120">
    <cfRule type="cellIs" dxfId="111" priority="64" operator="greaterThan">
      <formula>0.0486111111111111</formula>
    </cfRule>
  </conditionalFormatting>
  <conditionalFormatting sqref="D437:D482">
    <cfRule type="cellIs" dxfId="110" priority="62" operator="greaterThan">
      <formula>0.0486111111111111</formula>
    </cfRule>
  </conditionalFormatting>
  <conditionalFormatting sqref="D98">
    <cfRule type="cellIs" dxfId="109" priority="61" operator="greaterThan">
      <formula>0.0486111111111111</formula>
    </cfRule>
  </conditionalFormatting>
  <conditionalFormatting sqref="D99">
    <cfRule type="cellIs" dxfId="108" priority="59" operator="greaterThan">
      <formula>0.0486111111111111</formula>
    </cfRule>
  </conditionalFormatting>
  <conditionalFormatting sqref="D483:D521">
    <cfRule type="cellIs" dxfId="107" priority="50" operator="greaterThan">
      <formula>0.0486111111111111</formula>
    </cfRule>
  </conditionalFormatting>
  <conditionalFormatting sqref="D121">
    <cfRule type="cellIs" dxfId="106" priority="49" operator="greaterThan">
      <formula>0.0486111111111111</formula>
    </cfRule>
  </conditionalFormatting>
  <conditionalFormatting sqref="D122">
    <cfRule type="cellIs" dxfId="105" priority="48" operator="greaterThan">
      <formula>0.0486111111111111</formula>
    </cfRule>
  </conditionalFormatting>
  <conditionalFormatting sqref="D522">
    <cfRule type="cellIs" dxfId="104" priority="47" operator="greaterThan">
      <formula>0.0486111111111111</formula>
    </cfRule>
  </conditionalFormatting>
  <conditionalFormatting sqref="D123:D125">
    <cfRule type="cellIs" dxfId="103" priority="42" operator="greaterThan">
      <formula>0.0486111111111111</formula>
    </cfRule>
  </conditionalFormatting>
  <conditionalFormatting sqref="D100">
    <cfRule type="cellIs" dxfId="102" priority="41" operator="greaterThan">
      <formula>0.0486111111111111</formula>
    </cfRule>
  </conditionalFormatting>
  <conditionalFormatting sqref="D101">
    <cfRule type="cellIs" dxfId="101" priority="40" operator="greaterThan">
      <formula>0.0486111111111111</formula>
    </cfRule>
  </conditionalFormatting>
  <conditionalFormatting sqref="D102">
    <cfRule type="cellIs" dxfId="100" priority="39" operator="greaterThan">
      <formula>0.0486111111111111</formula>
    </cfRule>
  </conditionalFormatting>
  <conditionalFormatting sqref="D523:D567">
    <cfRule type="cellIs" dxfId="99" priority="38" operator="greaterThan">
      <formula>0.0486111111111111</formula>
    </cfRule>
  </conditionalFormatting>
  <conditionalFormatting sqref="D568">
    <cfRule type="expression" dxfId="98" priority="37">
      <formula>D568&lt;&gt;TRUE</formula>
    </cfRule>
  </conditionalFormatting>
  <conditionalFormatting sqref="D103">
    <cfRule type="cellIs" dxfId="97" priority="33" operator="greaterThan">
      <formula>0.0486111111111111</formula>
    </cfRule>
  </conditionalFormatting>
  <conditionalFormatting sqref="D104">
    <cfRule type="cellIs" dxfId="96" priority="32" operator="greaterThan">
      <formula>0.0486111111111111</formula>
    </cfRule>
  </conditionalFormatting>
  <conditionalFormatting sqref="D105">
    <cfRule type="cellIs" dxfId="95" priority="31" operator="greaterThan">
      <formula>0.0486111111111111</formula>
    </cfRule>
  </conditionalFormatting>
  <conditionalFormatting sqref="D126">
    <cfRule type="cellIs" dxfId="94" priority="30" operator="greaterThan">
      <formula>0.0486111111111111</formula>
    </cfRule>
  </conditionalFormatting>
  <conditionalFormatting sqref="D570:D606">
    <cfRule type="cellIs" dxfId="93" priority="29" operator="greaterThan">
      <formula>0.0486111111111111</formula>
    </cfRule>
  </conditionalFormatting>
  <conditionalFormatting sqref="D572">
    <cfRule type="cellIs" dxfId="92" priority="28" operator="greaterThan">
      <formula>0.0486111111111111</formula>
    </cfRule>
  </conditionalFormatting>
  <conditionalFormatting sqref="D106">
    <cfRule type="cellIs" dxfId="91" priority="24" operator="greaterThan">
      <formula>0.0486111111111111</formula>
    </cfRule>
  </conditionalFormatting>
  <conditionalFormatting sqref="D107">
    <cfRule type="cellIs" dxfId="90" priority="23" operator="greaterThan">
      <formula>0.0486111111111111</formula>
    </cfRule>
  </conditionalFormatting>
  <conditionalFormatting sqref="D611">
    <cfRule type="cellIs" dxfId="89" priority="20" operator="greaterThan">
      <formula>0.0486111111111111</formula>
    </cfRule>
  </conditionalFormatting>
  <conditionalFormatting sqref="D639">
    <cfRule type="cellIs" dxfId="88" priority="22" operator="greaterThan">
      <formula>0.0486111111111111</formula>
    </cfRule>
  </conditionalFormatting>
  <conditionalFormatting sqref="D607:D638">
    <cfRule type="cellIs" dxfId="87" priority="21" operator="greaterThan">
      <formula>0.0486111111111111</formula>
    </cfRule>
  </conditionalFormatting>
  <conditionalFormatting sqref="D677:D680">
    <cfRule type="cellIs" dxfId="86" priority="14" operator="greaterThan">
      <formula>0.0486111111111111</formula>
    </cfRule>
  </conditionalFormatting>
  <conditionalFormatting sqref="G672:G676">
    <cfRule type="cellIs" dxfId="85" priority="13" operator="greaterThan">
      <formula>0.0486111111111111</formula>
    </cfRule>
  </conditionalFormatting>
  <conditionalFormatting sqref="D672:D676">
    <cfRule type="cellIs" dxfId="84" priority="12" operator="greaterThan">
      <formula>0.0486111111111111</formula>
    </cfRule>
  </conditionalFormatting>
  <conditionalFormatting sqref="D644">
    <cfRule type="cellIs" dxfId="83" priority="10" operator="greaterThan">
      <formula>0.0486111111111111</formula>
    </cfRule>
  </conditionalFormatting>
  <conditionalFormatting sqref="D640:D671">
    <cfRule type="cellIs" dxfId="82" priority="11" operator="greaterThan">
      <formula>0.0486111111111111</formula>
    </cfRule>
  </conditionalFormatting>
  <conditionalFormatting sqref="D108">
    <cfRule type="cellIs" dxfId="81" priority="6" operator="greaterThan">
      <formula>0.0486111111111111</formula>
    </cfRule>
  </conditionalFormatting>
  <conditionalFormatting sqref="D127">
    <cfRule type="cellIs" dxfId="80" priority="8" operator="greaterThan">
      <formula>0.0486111111111111</formula>
    </cfRule>
  </conditionalFormatting>
  <conditionalFormatting sqref="D128">
    <cfRule type="cellIs" dxfId="79" priority="7" operator="greaterThan">
      <formula>0.0486111111111111</formula>
    </cfRule>
  </conditionalFormatting>
  <conditionalFormatting sqref="D129:D130">
    <cfRule type="cellIs" dxfId="78" priority="5" operator="greaterThan">
      <formula>0.0486111111111111</formula>
    </cfRule>
  </conditionalFormatting>
  <conditionalFormatting sqref="D110">
    <cfRule type="cellIs" dxfId="77" priority="4" operator="greaterThan">
      <formula>0.0486111111111111</formula>
    </cfRule>
  </conditionalFormatting>
  <conditionalFormatting sqref="D111">
    <cfRule type="cellIs" dxfId="76" priority="3" operator="greaterThan">
      <formula>0.0486111111111111</formula>
    </cfRule>
  </conditionalFormatting>
  <conditionalFormatting sqref="D112">
    <cfRule type="cellIs" dxfId="75" priority="2" operator="greaterThan">
      <formula>0.0486111111111111</formula>
    </cfRule>
  </conditionalFormatting>
  <conditionalFormatting sqref="D681:D718">
    <cfRule type="cellIs" dxfId="74" priority="1" operator="greaterThan">
      <formula>0.0486111111111111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1416"/>
  <sheetViews>
    <sheetView tabSelected="1" topLeftCell="A877" zoomScaleNormal="100" workbookViewId="0">
      <selection activeCell="E896" sqref="E896"/>
    </sheetView>
  </sheetViews>
  <sheetFormatPr defaultRowHeight="12.75" x14ac:dyDescent="0.2"/>
  <cols>
    <col min="1" max="1" width="10.140625" style="1371" customWidth="1"/>
    <col min="2" max="2" width="15" style="1371" customWidth="1"/>
    <col min="3" max="3" width="12.42578125" style="1" customWidth="1"/>
    <col min="4" max="4" width="8.140625" customWidth="1"/>
    <col min="5" max="5" width="16.140625" style="1371" customWidth="1"/>
    <col min="6" max="6" width="5.28515625" style="41" customWidth="1"/>
    <col min="7" max="7" width="4.85546875" customWidth="1"/>
    <col min="8" max="8" width="4.5703125" customWidth="1"/>
    <col min="9" max="9" width="4.7109375" customWidth="1"/>
    <col min="10" max="10" width="4.5703125" customWidth="1"/>
    <col min="11" max="11" width="4.7109375" customWidth="1"/>
    <col min="12" max="26" width="4.5703125" customWidth="1"/>
    <col min="27" max="27" width="4.7109375" customWidth="1"/>
    <col min="28" max="28" width="10.5703125" customWidth="1"/>
    <col min="29" max="30" width="10.42578125" customWidth="1"/>
    <col min="31" max="31" width="11.140625" customWidth="1"/>
    <col min="32" max="33" width="4.7109375" customWidth="1"/>
    <col min="34" max="56" width="4.42578125" customWidth="1"/>
  </cols>
  <sheetData>
    <row r="1" spans="1:50" ht="14.25" customHeight="1" x14ac:dyDescent="0.2">
      <c r="A1" s="1775" t="s">
        <v>10804</v>
      </c>
      <c r="B1" s="1370"/>
      <c r="C1" s="334"/>
      <c r="D1" s="1"/>
      <c r="E1" s="1370"/>
      <c r="F1" s="69"/>
      <c r="I1" s="2"/>
      <c r="K1" s="82"/>
      <c r="M1" s="80"/>
    </row>
    <row r="2" spans="1:50" ht="14.25" customHeight="1" x14ac:dyDescent="0.2">
      <c r="A2" s="1384" t="s">
        <v>10805</v>
      </c>
      <c r="B2" s="1370" t="s">
        <v>2250</v>
      </c>
      <c r="C2" s="334"/>
      <c r="D2" s="1"/>
      <c r="E2" s="1370"/>
      <c r="F2" s="69"/>
      <c r="I2" s="2"/>
      <c r="K2" s="82"/>
      <c r="M2" s="80"/>
      <c r="W2" t="s">
        <v>12081</v>
      </c>
    </row>
    <row r="3" spans="1:50" x14ac:dyDescent="0.2">
      <c r="A3" s="1384" t="s">
        <v>3535</v>
      </c>
      <c r="B3" s="1370" t="s">
        <v>11025</v>
      </c>
      <c r="C3" s="334"/>
      <c r="D3" s="334" t="s">
        <v>11066</v>
      </c>
      <c r="E3" s="1372"/>
      <c r="F3" s="69"/>
      <c r="G3" t="s">
        <v>12889</v>
      </c>
      <c r="W3" t="s">
        <v>12153</v>
      </c>
      <c r="Y3" s="16"/>
    </row>
    <row r="4" spans="1:50" x14ac:dyDescent="0.2">
      <c r="A4" s="1384" t="s">
        <v>10972</v>
      </c>
      <c r="B4" s="1370" t="s">
        <v>10973</v>
      </c>
      <c r="C4" s="334"/>
      <c r="D4" s="1"/>
      <c r="E4" s="1372"/>
      <c r="F4" s="69"/>
      <c r="Y4" s="16" t="s">
        <v>12082</v>
      </c>
    </row>
    <row r="5" spans="1:50" x14ac:dyDescent="0.2">
      <c r="A5" s="1384" t="s">
        <v>1212</v>
      </c>
      <c r="B5" s="1370" t="s">
        <v>1212</v>
      </c>
      <c r="C5" s="334"/>
      <c r="D5" s="1"/>
      <c r="E5" s="1372"/>
      <c r="F5" s="69"/>
      <c r="N5" s="42"/>
      <c r="Y5" s="16" t="s">
        <v>12082</v>
      </c>
      <c r="AI5" s="2" t="s">
        <v>11753</v>
      </c>
      <c r="AJ5" s="2"/>
      <c r="AK5" s="2"/>
      <c r="AL5" s="2"/>
      <c r="AM5" s="2"/>
      <c r="AN5" s="2"/>
      <c r="AO5" s="2"/>
    </row>
    <row r="6" spans="1:50" x14ac:dyDescent="0.2">
      <c r="D6" s="1"/>
      <c r="G6" s="2" t="s">
        <v>11987</v>
      </c>
      <c r="N6" s="45" t="s">
        <v>11990</v>
      </c>
      <c r="S6" s="2"/>
      <c r="AB6" t="s">
        <v>5814</v>
      </c>
      <c r="AC6" s="10" t="s">
        <v>1229</v>
      </c>
      <c r="AI6" s="80" t="s">
        <v>11712</v>
      </c>
      <c r="AJ6" s="10" t="s">
        <v>8992</v>
      </c>
      <c r="AK6" s="81" t="s">
        <v>16542</v>
      </c>
      <c r="AL6" s="81" t="s">
        <v>8992</v>
      </c>
      <c r="AM6" s="10"/>
      <c r="AN6" s="1857" t="s">
        <v>11712</v>
      </c>
      <c r="AO6" s="81" t="s">
        <v>8992</v>
      </c>
      <c r="AP6" s="1857" t="s">
        <v>11712</v>
      </c>
      <c r="AQ6" s="81" t="s">
        <v>8992</v>
      </c>
    </row>
    <row r="7" spans="1:50" s="5" customFormat="1" ht="12.75" customHeight="1" x14ac:dyDescent="0.2">
      <c r="A7" s="1390" t="s">
        <v>9960</v>
      </c>
      <c r="B7" s="1390"/>
      <c r="C7" s="2" t="s">
        <v>862</v>
      </c>
      <c r="D7" s="456" t="s">
        <v>1571</v>
      </c>
      <c r="E7" s="1390" t="s">
        <v>1570</v>
      </c>
      <c r="F7" s="40"/>
      <c r="G7" s="39" t="s">
        <v>5123</v>
      </c>
      <c r="H7" s="39" t="s">
        <v>1700</v>
      </c>
      <c r="I7" s="39" t="s">
        <v>1448</v>
      </c>
      <c r="J7" s="39" t="s">
        <v>9506</v>
      </c>
      <c r="K7" s="39" t="s">
        <v>1703</v>
      </c>
      <c r="L7" s="39" t="s">
        <v>4007</v>
      </c>
      <c r="M7" s="39" t="s">
        <v>1617</v>
      </c>
      <c r="N7" s="39" t="s">
        <v>1705</v>
      </c>
      <c r="O7" s="39" t="s">
        <v>12528</v>
      </c>
      <c r="P7" s="39" t="s">
        <v>294</v>
      </c>
      <c r="Q7" s="39" t="s">
        <v>1709</v>
      </c>
      <c r="R7" s="39" t="s">
        <v>1404</v>
      </c>
      <c r="S7" s="39" t="s">
        <v>1706</v>
      </c>
      <c r="T7" s="39" t="s">
        <v>2016</v>
      </c>
      <c r="U7" s="39" t="s">
        <v>1708</v>
      </c>
      <c r="V7" s="39" t="s">
        <v>5946</v>
      </c>
      <c r="W7" s="39" t="s">
        <v>5118</v>
      </c>
      <c r="X7" s="39" t="s">
        <v>1612</v>
      </c>
      <c r="Y7" s="39"/>
      <c r="Z7" s="39"/>
      <c r="AA7" s="113" t="s">
        <v>5432</v>
      </c>
      <c r="AB7" s="163" t="s">
        <v>5815</v>
      </c>
      <c r="AC7" s="163" t="s">
        <v>5815</v>
      </c>
      <c r="AD7" s="5" t="s">
        <v>1309</v>
      </c>
      <c r="AI7" s="45">
        <v>2020</v>
      </c>
      <c r="AJ7" s="111">
        <v>2019</v>
      </c>
      <c r="AK7" s="111">
        <v>2020</v>
      </c>
      <c r="AL7" s="111">
        <v>2019</v>
      </c>
      <c r="AM7" s="111"/>
      <c r="AN7" s="1858">
        <v>2019</v>
      </c>
      <c r="AO7" s="111">
        <v>2018</v>
      </c>
      <c r="AP7" s="1858">
        <v>2018</v>
      </c>
      <c r="AQ7" s="111">
        <v>2017</v>
      </c>
      <c r="AR7" s="522"/>
      <c r="AV7"/>
      <c r="AW7"/>
      <c r="AX7"/>
    </row>
    <row r="8" spans="1:50" ht="12.75" customHeight="1" x14ac:dyDescent="0.2">
      <c r="A8" s="1372" t="s">
        <v>4580</v>
      </c>
      <c r="B8" s="1372" t="s">
        <v>4581</v>
      </c>
      <c r="C8" s="1010">
        <f t="shared" ref="C8:C38" si="0">SUM(G8:AA8)</f>
        <v>86</v>
      </c>
      <c r="D8" s="1">
        <v>1.7627314814814814E-2</v>
      </c>
      <c r="E8" s="1371" t="s">
        <v>5947</v>
      </c>
      <c r="F8" s="915">
        <f>COUNT(G8:Y8)+F1325+F156+F227</f>
        <v>13</v>
      </c>
      <c r="G8" s="1377">
        <v>1</v>
      </c>
      <c r="H8" s="1377">
        <v>5</v>
      </c>
      <c r="I8" s="1377"/>
      <c r="J8" s="1377"/>
      <c r="K8" s="1377"/>
      <c r="L8" s="1377"/>
      <c r="M8" s="1377"/>
      <c r="N8" s="1377"/>
      <c r="O8" s="1377"/>
      <c r="P8" s="1377"/>
      <c r="Q8" s="1377">
        <v>2</v>
      </c>
      <c r="R8" s="1377"/>
      <c r="S8" s="1377">
        <v>1</v>
      </c>
      <c r="T8" s="1377"/>
      <c r="U8" s="1377"/>
      <c r="V8" s="1377"/>
      <c r="W8" s="1377"/>
      <c r="X8" s="1377"/>
      <c r="Y8" s="1377"/>
      <c r="Z8" s="1377"/>
      <c r="AA8" s="1378">
        <f>C1325+C156+C227</f>
        <v>77</v>
      </c>
      <c r="AB8" s="1379">
        <v>43617</v>
      </c>
      <c r="AC8" s="34">
        <v>40936</v>
      </c>
      <c r="AD8">
        <v>33518</v>
      </c>
      <c r="AE8" t="str">
        <f t="shared" ref="AE8:AE38" si="1">A8</f>
        <v>Monica</v>
      </c>
      <c r="AF8" t="str">
        <f t="shared" ref="AF8:AF38" si="2">B8</f>
        <v>Alonso</v>
      </c>
      <c r="AI8" s="1856">
        <f>C8-AJ8</f>
        <v>0</v>
      </c>
      <c r="AJ8" s="1855">
        <v>86</v>
      </c>
      <c r="AK8" s="1453">
        <f>F8-AL8</f>
        <v>0</v>
      </c>
      <c r="AL8" s="1879">
        <v>13</v>
      </c>
      <c r="AM8" s="1453"/>
      <c r="AN8" s="1859">
        <f>AJ8-AO8</f>
        <v>3</v>
      </c>
      <c r="AO8" s="9">
        <v>83</v>
      </c>
      <c r="AP8" s="1860">
        <f>AO8-AQ8</f>
        <v>7</v>
      </c>
      <c r="AQ8" s="9">
        <v>76</v>
      </c>
      <c r="AR8" s="9"/>
    </row>
    <row r="9" spans="1:50" ht="12.75" customHeight="1" x14ac:dyDescent="0.2">
      <c r="A9" s="1370" t="s">
        <v>868</v>
      </c>
      <c r="B9" s="1372" t="s">
        <v>869</v>
      </c>
      <c r="C9" s="1011">
        <f t="shared" si="0"/>
        <v>583</v>
      </c>
      <c r="D9" s="32">
        <v>1.5844907407407408E-2</v>
      </c>
      <c r="E9" s="1372" t="s">
        <v>5885</v>
      </c>
      <c r="F9" s="915">
        <f>COUNT(G9:Y9)+F157+F228+F317</f>
        <v>16</v>
      </c>
      <c r="G9" s="1380">
        <v>3</v>
      </c>
      <c r="H9" s="1380">
        <v>211</v>
      </c>
      <c r="I9" s="1380"/>
      <c r="J9" s="1380"/>
      <c r="K9" s="1380">
        <v>1</v>
      </c>
      <c r="L9" s="1380"/>
      <c r="M9" s="1380"/>
      <c r="N9" s="1381">
        <v>304</v>
      </c>
      <c r="O9" s="1381"/>
      <c r="P9" s="1381"/>
      <c r="Q9" s="1380"/>
      <c r="R9" s="1380">
        <v>2</v>
      </c>
      <c r="S9" s="1380"/>
      <c r="T9" s="1380">
        <v>49</v>
      </c>
      <c r="U9" s="1380">
        <v>1</v>
      </c>
      <c r="V9" s="1380"/>
      <c r="W9" s="1380"/>
      <c r="X9" s="1380">
        <v>1</v>
      </c>
      <c r="Y9" s="1380"/>
      <c r="Z9" s="1380"/>
      <c r="AA9" s="1382">
        <f>C157+C228+C317</f>
        <v>11</v>
      </c>
      <c r="AB9" s="1384">
        <v>43904</v>
      </c>
      <c r="AC9" s="34">
        <v>39270</v>
      </c>
      <c r="AD9" s="5">
        <v>5556</v>
      </c>
      <c r="AE9" t="str">
        <f t="shared" si="1"/>
        <v>Alan</v>
      </c>
      <c r="AF9" t="str">
        <f t="shared" si="2"/>
        <v>Anderson</v>
      </c>
      <c r="AI9" s="1856">
        <f t="shared" ref="AI9:AI75" si="3">C9-AJ9</f>
        <v>7</v>
      </c>
      <c r="AJ9" s="1855">
        <v>576</v>
      </c>
      <c r="AK9" s="1453">
        <f t="shared" ref="AK9:AK75" si="4">F9-AL9</f>
        <v>0</v>
      </c>
      <c r="AL9" s="1879">
        <v>16</v>
      </c>
      <c r="AM9" s="1453"/>
      <c r="AN9" s="1859">
        <f t="shared" ref="AN9:AN75" si="5">AJ9-AO9</f>
        <v>37</v>
      </c>
      <c r="AO9" s="9">
        <v>539</v>
      </c>
      <c r="AP9" s="1860">
        <f>AO9-AQ9</f>
        <v>51</v>
      </c>
      <c r="AQ9" s="9">
        <v>488</v>
      </c>
      <c r="AR9" s="9"/>
    </row>
    <row r="10" spans="1:50" x14ac:dyDescent="0.2">
      <c r="A10" s="1372" t="s">
        <v>481</v>
      </c>
      <c r="B10" s="1372" t="s">
        <v>4575</v>
      </c>
      <c r="C10" s="235">
        <f t="shared" si="0"/>
        <v>27</v>
      </c>
      <c r="D10" s="1">
        <v>1.462962962962963E-2</v>
      </c>
      <c r="E10" s="1371" t="s">
        <v>5095</v>
      </c>
      <c r="F10" s="915">
        <f>COUNT(G10:Y10)+F587+F1387+F510+F1123+F821+F318</f>
        <v>9</v>
      </c>
      <c r="G10" s="1377"/>
      <c r="H10" s="1377">
        <v>2</v>
      </c>
      <c r="I10" s="1377"/>
      <c r="J10" s="1377"/>
      <c r="K10" s="1377"/>
      <c r="L10" s="1377"/>
      <c r="M10" s="1377"/>
      <c r="N10" s="1377"/>
      <c r="O10" s="1377"/>
      <c r="P10" s="1377"/>
      <c r="Q10" s="1377"/>
      <c r="R10" s="1377"/>
      <c r="S10" s="1377"/>
      <c r="T10" s="1377"/>
      <c r="U10" s="1377"/>
      <c r="V10" s="1377"/>
      <c r="W10" s="1377"/>
      <c r="X10" s="1377"/>
      <c r="Y10" s="1377"/>
      <c r="Z10" s="1377"/>
      <c r="AA10" s="1378">
        <f>C1387+C587+C510+C1123+C821+C318</f>
        <v>25</v>
      </c>
      <c r="AB10" s="1379">
        <v>43288</v>
      </c>
      <c r="AC10" s="34">
        <v>40172</v>
      </c>
      <c r="AD10">
        <v>13659</v>
      </c>
      <c r="AE10" t="str">
        <f t="shared" si="1"/>
        <v>Simon</v>
      </c>
      <c r="AF10" t="str">
        <f t="shared" si="2"/>
        <v>Ashford</v>
      </c>
      <c r="AI10" s="1856">
        <f t="shared" si="3"/>
        <v>0</v>
      </c>
      <c r="AJ10" s="1855">
        <v>27</v>
      </c>
      <c r="AK10" s="1453">
        <f t="shared" si="4"/>
        <v>0</v>
      </c>
      <c r="AL10" s="1879">
        <v>9</v>
      </c>
      <c r="AM10" s="1453"/>
      <c r="AN10" s="1859">
        <f t="shared" si="5"/>
        <v>0</v>
      </c>
      <c r="AO10" s="9">
        <v>27</v>
      </c>
      <c r="AP10" s="1860">
        <f t="shared" ref="AP10:AP75" si="6">AO10-AQ10</f>
        <v>6</v>
      </c>
      <c r="AQ10" s="9">
        <v>21</v>
      </c>
      <c r="AR10" s="9"/>
    </row>
    <row r="11" spans="1:50" x14ac:dyDescent="0.2">
      <c r="A11" s="1373" t="s">
        <v>15616</v>
      </c>
      <c r="B11" s="1373" t="s">
        <v>10861</v>
      </c>
      <c r="C11" s="578">
        <f t="shared" si="0"/>
        <v>170</v>
      </c>
      <c r="D11" s="840">
        <v>1.6168981481481482E-2</v>
      </c>
      <c r="E11" s="1371" t="s">
        <v>5198</v>
      </c>
      <c r="F11" s="915">
        <f>COUNT(G11:Y11)+F158+F229+F382</f>
        <v>5</v>
      </c>
      <c r="G11" s="1377"/>
      <c r="H11" s="1377"/>
      <c r="I11" s="1377"/>
      <c r="J11" s="1377"/>
      <c r="K11" s="1377"/>
      <c r="L11" s="1377"/>
      <c r="M11" s="1377"/>
      <c r="N11" s="1377"/>
      <c r="O11" s="1377"/>
      <c r="P11" s="1377"/>
      <c r="Q11" s="1377"/>
      <c r="R11" s="1377"/>
      <c r="S11" s="1377"/>
      <c r="T11" s="1377"/>
      <c r="U11" s="1377"/>
      <c r="V11" s="1377"/>
      <c r="W11" s="1377"/>
      <c r="X11" s="1377"/>
      <c r="Y11" s="1377"/>
      <c r="Z11" s="1377"/>
      <c r="AA11" s="1378">
        <f>C158+C229+C382</f>
        <v>170</v>
      </c>
      <c r="AB11" s="1384">
        <v>43876</v>
      </c>
      <c r="AC11" s="34">
        <v>42014</v>
      </c>
      <c r="AD11">
        <v>1366477</v>
      </c>
      <c r="AE11" t="str">
        <f t="shared" si="1"/>
        <v>Micheal</v>
      </c>
      <c r="AF11" t="str">
        <f t="shared" si="2"/>
        <v>Ball</v>
      </c>
      <c r="AI11" s="1856">
        <f t="shared" si="3"/>
        <v>2</v>
      </c>
      <c r="AJ11" s="1855">
        <v>168</v>
      </c>
      <c r="AK11" s="1453">
        <f t="shared" si="4"/>
        <v>0</v>
      </c>
      <c r="AL11" s="1879">
        <v>5</v>
      </c>
      <c r="AM11" s="1453"/>
      <c r="AN11" s="1859">
        <f t="shared" si="5"/>
        <v>27</v>
      </c>
      <c r="AO11" s="9">
        <v>141</v>
      </c>
      <c r="AP11" s="1860">
        <f t="shared" si="6"/>
        <v>141</v>
      </c>
      <c r="AQ11" s="9"/>
      <c r="AR11" s="9"/>
    </row>
    <row r="12" spans="1:50" x14ac:dyDescent="0.2">
      <c r="A12" s="1372" t="s">
        <v>3251</v>
      </c>
      <c r="B12" s="1372" t="s">
        <v>3252</v>
      </c>
      <c r="C12" s="542">
        <f t="shared" si="0"/>
        <v>164</v>
      </c>
      <c r="D12" s="1">
        <v>1.7118055555555556E-2</v>
      </c>
      <c r="E12" s="1370" t="s">
        <v>5095</v>
      </c>
      <c r="F12" s="915">
        <f>COUNT(G12:Y12)+F938+F1030+F1326+F1388+F511+F1096+F638+F721+F159+F230+F753+F319+F1254+F429+F981</f>
        <v>45</v>
      </c>
      <c r="G12" s="1377">
        <v>3</v>
      </c>
      <c r="H12" s="1377">
        <v>2</v>
      </c>
      <c r="I12" s="1377"/>
      <c r="J12" s="1377"/>
      <c r="K12" s="1377"/>
      <c r="L12" s="1377"/>
      <c r="M12" s="1377"/>
      <c r="N12" s="1377">
        <v>1</v>
      </c>
      <c r="O12" s="1377"/>
      <c r="P12" s="1377"/>
      <c r="Q12" s="1377"/>
      <c r="R12" s="1377">
        <v>1</v>
      </c>
      <c r="S12" s="1377"/>
      <c r="T12" s="1377">
        <v>1</v>
      </c>
      <c r="U12" s="1377">
        <v>1</v>
      </c>
      <c r="V12" s="1377"/>
      <c r="W12" s="1377"/>
      <c r="X12" s="1377"/>
      <c r="Y12" s="1377"/>
      <c r="Z12" s="1377"/>
      <c r="AA12" s="1378">
        <f>C938+C1030+C1326+C1388+C511+C1096+C638+C721+C159+C230+C753+C319+C1254+C429+C981</f>
        <v>155</v>
      </c>
      <c r="AB12" s="1384">
        <v>43904</v>
      </c>
      <c r="AC12" s="1084">
        <v>41657</v>
      </c>
      <c r="AD12">
        <v>809924</v>
      </c>
      <c r="AE12" t="str">
        <f t="shared" si="1"/>
        <v>Alice</v>
      </c>
      <c r="AF12" t="str">
        <f t="shared" si="2"/>
        <v>Banks</v>
      </c>
      <c r="AI12" s="1856">
        <f t="shared" si="3"/>
        <v>8</v>
      </c>
      <c r="AJ12" s="1855">
        <v>156</v>
      </c>
      <c r="AK12" s="1453">
        <f t="shared" si="4"/>
        <v>2</v>
      </c>
      <c r="AL12" s="1879">
        <v>43</v>
      </c>
      <c r="AM12" s="1453"/>
      <c r="AN12" s="1859">
        <f t="shared" si="5"/>
        <v>24</v>
      </c>
      <c r="AO12" s="9">
        <v>132</v>
      </c>
      <c r="AP12" s="1860">
        <f t="shared" si="6"/>
        <v>28</v>
      </c>
      <c r="AQ12" s="9">
        <v>104</v>
      </c>
      <c r="AR12" s="9"/>
    </row>
    <row r="13" spans="1:50" x14ac:dyDescent="0.2">
      <c r="A13" s="1374" t="s">
        <v>7908</v>
      </c>
      <c r="B13" s="1374" t="s">
        <v>7907</v>
      </c>
      <c r="C13" s="542">
        <f t="shared" si="0"/>
        <v>223</v>
      </c>
      <c r="D13" s="1">
        <v>1.8148148148148146E-2</v>
      </c>
      <c r="E13" s="1371" t="s">
        <v>5883</v>
      </c>
      <c r="F13" s="915">
        <f>COUNT(G13:Y13)+F639+F160+F231+F320+F383+F588+F1124+F690</f>
        <v>29</v>
      </c>
      <c r="G13" s="1377">
        <v>173</v>
      </c>
      <c r="H13" s="1377">
        <v>5</v>
      </c>
      <c r="I13" s="1377"/>
      <c r="J13" s="1377"/>
      <c r="K13" s="1377">
        <v>6</v>
      </c>
      <c r="L13" s="1377">
        <v>1</v>
      </c>
      <c r="M13" s="1377"/>
      <c r="N13" s="1377"/>
      <c r="O13" s="1377">
        <v>4</v>
      </c>
      <c r="P13" s="1377">
        <v>2</v>
      </c>
      <c r="Q13" s="1377">
        <v>1</v>
      </c>
      <c r="R13" s="1377"/>
      <c r="S13" s="1377"/>
      <c r="T13" s="1377">
        <v>6</v>
      </c>
      <c r="U13" s="1377">
        <v>1</v>
      </c>
      <c r="V13" s="1377"/>
      <c r="W13" s="1377">
        <v>1</v>
      </c>
      <c r="X13" s="1377"/>
      <c r="Y13" s="1377"/>
      <c r="Z13" s="1377"/>
      <c r="AA13" s="1378">
        <f>C639+C160+C231+C320+C383+C588+C1124+C690</f>
        <v>23</v>
      </c>
      <c r="AB13" s="1384">
        <v>43897</v>
      </c>
      <c r="AC13" s="34">
        <v>40859</v>
      </c>
      <c r="AD13">
        <v>193520</v>
      </c>
      <c r="AE13" t="str">
        <f t="shared" si="1"/>
        <v>Anne</v>
      </c>
      <c r="AF13" t="str">
        <f t="shared" si="2"/>
        <v>Bannister</v>
      </c>
      <c r="AI13" s="1856">
        <f t="shared" si="3"/>
        <v>8</v>
      </c>
      <c r="AJ13" s="1855">
        <v>215</v>
      </c>
      <c r="AK13" s="1453">
        <f t="shared" si="4"/>
        <v>0</v>
      </c>
      <c r="AL13" s="1879">
        <v>29</v>
      </c>
      <c r="AM13" s="1453"/>
      <c r="AN13" s="1859">
        <f t="shared" si="5"/>
        <v>31</v>
      </c>
      <c r="AO13" s="9">
        <v>184</v>
      </c>
      <c r="AP13" s="1860">
        <f t="shared" si="6"/>
        <v>23</v>
      </c>
      <c r="AQ13" s="9">
        <v>161</v>
      </c>
      <c r="AR13" s="9"/>
    </row>
    <row r="14" spans="1:50" x14ac:dyDescent="0.2">
      <c r="A14" s="1374" t="s">
        <v>260</v>
      </c>
      <c r="B14" s="1374" t="s">
        <v>7907</v>
      </c>
      <c r="C14" s="559">
        <f t="shared" si="0"/>
        <v>384</v>
      </c>
      <c r="D14" s="1">
        <v>1.5844907407407408E-2</v>
      </c>
      <c r="E14" s="1371" t="s">
        <v>5883</v>
      </c>
      <c r="F14" s="915">
        <f>COUNT(G14:Y14)+F589+F640+F512+F161+F232+F321+F384+F1125+F691</f>
        <v>33</v>
      </c>
      <c r="G14" s="1377">
        <v>306</v>
      </c>
      <c r="H14" s="1377">
        <v>7</v>
      </c>
      <c r="I14" s="1377"/>
      <c r="J14" s="1377"/>
      <c r="K14" s="1377">
        <v>12</v>
      </c>
      <c r="L14" s="1377">
        <v>2</v>
      </c>
      <c r="M14" s="1377"/>
      <c r="N14" s="1377">
        <v>1</v>
      </c>
      <c r="O14" s="1377">
        <v>4</v>
      </c>
      <c r="P14" s="1377">
        <v>2</v>
      </c>
      <c r="Q14" s="1377">
        <v>3</v>
      </c>
      <c r="R14" s="1377">
        <v>1</v>
      </c>
      <c r="S14" s="1377"/>
      <c r="T14" s="1377">
        <v>8</v>
      </c>
      <c r="U14" s="1377">
        <v>1</v>
      </c>
      <c r="V14" s="1377"/>
      <c r="W14" s="1377"/>
      <c r="X14" s="1377"/>
      <c r="Y14" s="1377"/>
      <c r="Z14" s="1377"/>
      <c r="AA14" s="1378">
        <f>C384+C589+C640+C512+C161+C232+C321+C1125+C691</f>
        <v>37</v>
      </c>
      <c r="AB14" s="1384">
        <v>43897</v>
      </c>
      <c r="AC14" s="34">
        <v>40355</v>
      </c>
      <c r="AD14">
        <v>77735</v>
      </c>
      <c r="AE14" t="str">
        <f t="shared" si="1"/>
        <v>Bob</v>
      </c>
      <c r="AF14" t="str">
        <f t="shared" si="2"/>
        <v>Bannister</v>
      </c>
      <c r="AI14" s="1856">
        <f t="shared" si="3"/>
        <v>9</v>
      </c>
      <c r="AJ14" s="1855">
        <v>375</v>
      </c>
      <c r="AK14" s="1453">
        <f t="shared" si="4"/>
        <v>0</v>
      </c>
      <c r="AL14" s="1879">
        <v>33</v>
      </c>
      <c r="AM14" s="1453"/>
      <c r="AN14" s="1859">
        <f t="shared" si="5"/>
        <v>34</v>
      </c>
      <c r="AO14" s="9">
        <v>341</v>
      </c>
      <c r="AP14" s="1860">
        <f t="shared" si="6"/>
        <v>43</v>
      </c>
      <c r="AQ14" s="9">
        <v>298</v>
      </c>
      <c r="AR14" s="9"/>
    </row>
    <row r="15" spans="1:50" x14ac:dyDescent="0.2">
      <c r="A15" s="1375" t="s">
        <v>4264</v>
      </c>
      <c r="B15" s="1375" t="s">
        <v>5239</v>
      </c>
      <c r="C15" s="542">
        <f t="shared" si="0"/>
        <v>195</v>
      </c>
      <c r="D15" s="1">
        <v>1.4618055555555556E-2</v>
      </c>
      <c r="E15" s="1371" t="s">
        <v>2431</v>
      </c>
      <c r="F15" s="915">
        <f>COUNT(G15:Y15)+F1327+F798+F1235+F561+F162+F233+F467+F322+F385+F590+F754+F513+F692+F1389+F665+F839</f>
        <v>47</v>
      </c>
      <c r="G15" s="1377">
        <v>20</v>
      </c>
      <c r="H15" s="1377">
        <v>2</v>
      </c>
      <c r="I15" s="1377"/>
      <c r="J15" s="1377"/>
      <c r="K15" s="1377">
        <v>1</v>
      </c>
      <c r="L15" s="1377"/>
      <c r="M15" s="1377"/>
      <c r="N15" s="1377">
        <v>1</v>
      </c>
      <c r="O15" s="1377"/>
      <c r="P15" s="1377"/>
      <c r="Q15" s="1377">
        <v>1</v>
      </c>
      <c r="R15" s="1377">
        <v>1</v>
      </c>
      <c r="S15" s="1377"/>
      <c r="T15" s="1377">
        <v>3</v>
      </c>
      <c r="U15" s="1377"/>
      <c r="V15" s="1377"/>
      <c r="W15" s="1377"/>
      <c r="X15" s="1377"/>
      <c r="Y15" s="1377"/>
      <c r="Z15" s="1377"/>
      <c r="AA15" s="1378">
        <f>C1327+C798+C1235+C561+C162+C233+C467+C322+C385+C590+C754+C513+C692+C1389+C665+C839</f>
        <v>166</v>
      </c>
      <c r="AB15" s="1384">
        <v>43904</v>
      </c>
      <c r="AC15" s="1089">
        <v>40915</v>
      </c>
      <c r="AD15">
        <v>213875</v>
      </c>
      <c r="AE15" t="str">
        <f t="shared" si="1"/>
        <v>Julie</v>
      </c>
      <c r="AF15" t="str">
        <f t="shared" si="2"/>
        <v>Barclay</v>
      </c>
      <c r="AI15" s="1998">
        <f t="shared" si="3"/>
        <v>11</v>
      </c>
      <c r="AJ15" s="1855">
        <v>184</v>
      </c>
      <c r="AK15" s="1453">
        <f t="shared" si="4"/>
        <v>8</v>
      </c>
      <c r="AL15" s="1879">
        <v>39</v>
      </c>
      <c r="AM15" s="1453"/>
      <c r="AN15" s="1859">
        <f t="shared" si="5"/>
        <v>37</v>
      </c>
      <c r="AO15" s="9">
        <v>147</v>
      </c>
      <c r="AP15" s="1860">
        <f t="shared" si="6"/>
        <v>33</v>
      </c>
      <c r="AQ15" s="9">
        <v>114</v>
      </c>
      <c r="AR15" s="9"/>
    </row>
    <row r="16" spans="1:50" x14ac:dyDescent="0.2">
      <c r="A16" s="1372" t="s">
        <v>922</v>
      </c>
      <c r="B16" s="1372" t="s">
        <v>5956</v>
      </c>
      <c r="C16" s="235">
        <f t="shared" si="0"/>
        <v>3</v>
      </c>
      <c r="D16" s="1">
        <v>2.7384259259259257E-2</v>
      </c>
      <c r="E16" s="1371" t="s">
        <v>5337</v>
      </c>
      <c r="F16" s="915">
        <f>COUNT(G16:Y16)+F514</f>
        <v>1</v>
      </c>
      <c r="G16" s="1377"/>
      <c r="H16" s="1377"/>
      <c r="I16" s="1377"/>
      <c r="J16" s="1377"/>
      <c r="K16" s="1377"/>
      <c r="L16" s="1377"/>
      <c r="M16" s="1377"/>
      <c r="N16" s="1377"/>
      <c r="O16" s="1377"/>
      <c r="P16" s="1377"/>
      <c r="Q16" s="1377"/>
      <c r="R16" s="1377"/>
      <c r="S16" s="1377"/>
      <c r="T16" s="1377"/>
      <c r="U16" s="1377"/>
      <c r="V16" s="1377"/>
      <c r="W16" s="1377"/>
      <c r="X16" s="1377"/>
      <c r="Y16" s="1377"/>
      <c r="Z16" s="1377"/>
      <c r="AA16" s="1378">
        <f>C514</f>
        <v>3</v>
      </c>
      <c r="AB16" s="1379">
        <v>42868</v>
      </c>
      <c r="AC16" s="34">
        <v>41965</v>
      </c>
      <c r="AD16">
        <v>1304896</v>
      </c>
      <c r="AE16" t="str">
        <f t="shared" si="1"/>
        <v>David</v>
      </c>
      <c r="AF16" t="str">
        <f t="shared" si="2"/>
        <v>Barnard</v>
      </c>
      <c r="AI16" s="1856">
        <f t="shared" si="3"/>
        <v>0</v>
      </c>
      <c r="AJ16" s="1855">
        <v>3</v>
      </c>
      <c r="AK16" s="1453">
        <f t="shared" si="4"/>
        <v>0</v>
      </c>
      <c r="AL16" s="1879">
        <v>1</v>
      </c>
      <c r="AM16" s="1453"/>
      <c r="AN16" s="1859">
        <f t="shared" si="5"/>
        <v>0</v>
      </c>
      <c r="AO16" s="9">
        <v>3</v>
      </c>
      <c r="AP16" s="1860">
        <f t="shared" si="6"/>
        <v>0</v>
      </c>
      <c r="AQ16" s="9">
        <v>3</v>
      </c>
      <c r="AR16" s="9"/>
    </row>
    <row r="17" spans="1:45" x14ac:dyDescent="0.2">
      <c r="A17" s="1372" t="s">
        <v>435</v>
      </c>
      <c r="B17" s="1372" t="s">
        <v>436</v>
      </c>
      <c r="C17" s="251">
        <f t="shared" si="0"/>
        <v>201</v>
      </c>
      <c r="D17" s="1">
        <v>1.8020833333333333E-2</v>
      </c>
      <c r="E17" s="1371" t="s">
        <v>5095</v>
      </c>
      <c r="F17" s="915">
        <f>COUNT(G17:Y17)+F1145+F163+F234+F323</f>
        <v>12</v>
      </c>
      <c r="G17" s="1377"/>
      <c r="H17" s="1377">
        <v>1</v>
      </c>
      <c r="I17" s="1377"/>
      <c r="J17" s="1377"/>
      <c r="K17" s="1377"/>
      <c r="L17" s="1377">
        <v>6</v>
      </c>
      <c r="M17" s="1377"/>
      <c r="N17" s="1377">
        <v>1</v>
      </c>
      <c r="O17" s="1377"/>
      <c r="P17" s="1377"/>
      <c r="Q17" s="1377"/>
      <c r="R17" s="1377">
        <v>12</v>
      </c>
      <c r="S17" s="1377"/>
      <c r="T17" s="1377">
        <v>1</v>
      </c>
      <c r="U17" s="1377"/>
      <c r="V17" s="1377"/>
      <c r="W17" s="1377"/>
      <c r="X17" s="1377"/>
      <c r="Y17" s="1377"/>
      <c r="Z17" s="1377"/>
      <c r="AA17" s="1378">
        <f>C1145+C163+C234+C323</f>
        <v>180</v>
      </c>
      <c r="AB17" s="1384">
        <v>43897</v>
      </c>
      <c r="AC17" s="34">
        <v>40761</v>
      </c>
      <c r="AD17">
        <v>155290</v>
      </c>
      <c r="AE17" t="str">
        <f t="shared" si="1"/>
        <v>Tony</v>
      </c>
      <c r="AF17" t="str">
        <f t="shared" si="2"/>
        <v>Barnwell</v>
      </c>
      <c r="AI17" s="1856">
        <f t="shared" si="3"/>
        <v>5</v>
      </c>
      <c r="AJ17" s="1855">
        <v>196</v>
      </c>
      <c r="AK17" s="1453">
        <f t="shared" si="4"/>
        <v>0</v>
      </c>
      <c r="AL17" s="1879">
        <v>12</v>
      </c>
      <c r="AM17" s="1453"/>
      <c r="AN17" s="1859">
        <f t="shared" si="5"/>
        <v>16</v>
      </c>
      <c r="AO17" s="9">
        <v>180</v>
      </c>
      <c r="AP17" s="1860">
        <f t="shared" si="6"/>
        <v>24</v>
      </c>
      <c r="AQ17" s="9">
        <v>156</v>
      </c>
      <c r="AR17" s="9"/>
    </row>
    <row r="18" spans="1:45" x14ac:dyDescent="0.2">
      <c r="A18" s="1370" t="s">
        <v>4963</v>
      </c>
      <c r="B18" s="1370" t="s">
        <v>8339</v>
      </c>
      <c r="C18" s="235">
        <f t="shared" si="0"/>
        <v>15</v>
      </c>
      <c r="D18" s="1">
        <v>1.4965277777777779E-2</v>
      </c>
      <c r="E18" s="1370" t="s">
        <v>8820</v>
      </c>
      <c r="F18" s="915">
        <f>COUNT(G18:Y18)+F641+F164+F591+F1146+F468+F1390+F1255+F235+F755+F1364</f>
        <v>14</v>
      </c>
      <c r="G18" s="1377"/>
      <c r="H18" s="1377"/>
      <c r="I18" s="1377"/>
      <c r="J18" s="1377"/>
      <c r="K18" s="1377"/>
      <c r="L18" s="1377"/>
      <c r="M18" s="1377"/>
      <c r="N18" s="1377"/>
      <c r="O18" s="1377"/>
      <c r="P18" s="1377"/>
      <c r="Q18" s="1377"/>
      <c r="R18" s="1377"/>
      <c r="S18" s="1377"/>
      <c r="T18" s="1377"/>
      <c r="U18" s="1377"/>
      <c r="V18" s="1377"/>
      <c r="W18" s="1377"/>
      <c r="X18" s="1377"/>
      <c r="Y18" s="1377"/>
      <c r="Z18" s="1377"/>
      <c r="AA18" s="1383">
        <f>C164+C235+C468+C591+C641+C1146+C1255+C1390+C755+C1364</f>
        <v>15</v>
      </c>
      <c r="AB18" s="1379">
        <v>43771</v>
      </c>
      <c r="AC18" s="34">
        <v>42959</v>
      </c>
      <c r="AD18">
        <v>3717089</v>
      </c>
      <c r="AE18" t="str">
        <f t="shared" si="1"/>
        <v>Tim</v>
      </c>
      <c r="AF18" t="str">
        <f t="shared" si="2"/>
        <v>Bellars</v>
      </c>
      <c r="AI18" s="1856">
        <f t="shared" si="3"/>
        <v>0</v>
      </c>
      <c r="AJ18" s="1855">
        <v>15</v>
      </c>
      <c r="AK18" s="1453">
        <f t="shared" si="4"/>
        <v>0</v>
      </c>
      <c r="AL18" s="1879">
        <v>14</v>
      </c>
      <c r="AM18" s="1453"/>
      <c r="AN18" s="1859">
        <f t="shared" si="5"/>
        <v>4</v>
      </c>
      <c r="AO18" s="9">
        <v>11</v>
      </c>
      <c r="AP18" s="1860">
        <f t="shared" si="6"/>
        <v>2</v>
      </c>
      <c r="AQ18" s="9">
        <v>9</v>
      </c>
      <c r="AR18" s="9"/>
    </row>
    <row r="19" spans="1:45" x14ac:dyDescent="0.2">
      <c r="A19" s="1389" t="s">
        <v>863</v>
      </c>
      <c r="B19" s="1389" t="s">
        <v>2250</v>
      </c>
      <c r="C19" s="235">
        <f t="shared" si="0"/>
        <v>43</v>
      </c>
      <c r="D19" s="1">
        <v>1.4953703703703705E-2</v>
      </c>
      <c r="E19" s="1371" t="s">
        <v>5885</v>
      </c>
      <c r="F19" s="915">
        <f>COUNT(G19:Y19)+F756+F165+F236+F324</f>
        <v>16</v>
      </c>
      <c r="G19" s="1377">
        <v>4</v>
      </c>
      <c r="H19" s="1377">
        <v>9</v>
      </c>
      <c r="I19" s="1377"/>
      <c r="J19" s="1377"/>
      <c r="K19" s="1377">
        <v>3</v>
      </c>
      <c r="L19" s="1377"/>
      <c r="M19" s="1377"/>
      <c r="N19" s="1377">
        <v>2</v>
      </c>
      <c r="O19" s="1377"/>
      <c r="P19" s="1377"/>
      <c r="Q19" s="1377">
        <v>2</v>
      </c>
      <c r="R19" s="1377"/>
      <c r="S19" s="1377">
        <v>2</v>
      </c>
      <c r="T19" s="1377">
        <v>2</v>
      </c>
      <c r="U19" s="1377">
        <v>2</v>
      </c>
      <c r="V19" s="1377"/>
      <c r="W19" s="1377"/>
      <c r="X19" s="1377">
        <v>1</v>
      </c>
      <c r="Y19" s="1377"/>
      <c r="Z19" s="1377"/>
      <c r="AA19" s="1378">
        <f>C756+C165+C236+C324</f>
        <v>16</v>
      </c>
      <c r="AB19" s="1379">
        <v>42105</v>
      </c>
      <c r="AC19" s="34">
        <v>39648</v>
      </c>
      <c r="AD19">
        <v>18081</v>
      </c>
      <c r="AE19" t="str">
        <f t="shared" si="1"/>
        <v>Brian</v>
      </c>
      <c r="AF19" t="str">
        <f t="shared" si="2"/>
        <v>Bennett</v>
      </c>
      <c r="AI19" s="1856">
        <f t="shared" si="3"/>
        <v>0</v>
      </c>
      <c r="AJ19" s="1855">
        <v>43</v>
      </c>
      <c r="AK19" s="1453">
        <f t="shared" si="4"/>
        <v>0</v>
      </c>
      <c r="AL19" s="1879">
        <v>16</v>
      </c>
      <c r="AM19" s="1453"/>
      <c r="AN19" s="1859">
        <f t="shared" si="5"/>
        <v>0</v>
      </c>
      <c r="AO19" s="9">
        <v>43</v>
      </c>
      <c r="AP19" s="1860">
        <f t="shared" si="6"/>
        <v>0</v>
      </c>
      <c r="AQ19" s="9">
        <v>43</v>
      </c>
      <c r="AR19" s="9"/>
    </row>
    <row r="20" spans="1:45" x14ac:dyDescent="0.2">
      <c r="A20" s="1375" t="s">
        <v>859</v>
      </c>
      <c r="B20" s="1375" t="s">
        <v>2619</v>
      </c>
      <c r="C20" s="252">
        <f t="shared" si="0"/>
        <v>81</v>
      </c>
      <c r="D20" s="1">
        <v>1.3310185185185187E-2</v>
      </c>
      <c r="E20" s="1371" t="s">
        <v>5883</v>
      </c>
      <c r="F20" s="915">
        <f>COUNT(G20:Y20)</f>
        <v>1</v>
      </c>
      <c r="G20" s="1377">
        <v>80</v>
      </c>
      <c r="H20" s="1377"/>
      <c r="I20" s="1377"/>
      <c r="J20" s="1377"/>
      <c r="K20" s="1377"/>
      <c r="L20" s="1377"/>
      <c r="M20" s="1377"/>
      <c r="N20" s="1377"/>
      <c r="O20" s="1377"/>
      <c r="P20" s="1377"/>
      <c r="Q20" s="1377"/>
      <c r="R20" s="1377"/>
      <c r="S20" s="1377"/>
      <c r="T20" s="1377"/>
      <c r="U20" s="1377"/>
      <c r="V20" s="1377"/>
      <c r="W20" s="1377"/>
      <c r="X20" s="1377"/>
      <c r="Y20" s="1377"/>
      <c r="Z20" s="1377"/>
      <c r="AA20" s="1378">
        <f>C1391</f>
        <v>1</v>
      </c>
      <c r="AB20" s="1379">
        <v>42742</v>
      </c>
      <c r="AC20" s="34">
        <v>40201</v>
      </c>
      <c r="AD20">
        <v>53712</v>
      </c>
      <c r="AE20" t="str">
        <f t="shared" si="1"/>
        <v>Dave</v>
      </c>
      <c r="AF20" t="str">
        <f t="shared" si="2"/>
        <v>Bird</v>
      </c>
      <c r="AI20" s="1856">
        <f t="shared" si="3"/>
        <v>0</v>
      </c>
      <c r="AJ20" s="1855">
        <v>81</v>
      </c>
      <c r="AK20" s="1453">
        <f t="shared" si="4"/>
        <v>0</v>
      </c>
      <c r="AL20" s="1879">
        <v>1</v>
      </c>
      <c r="AM20" s="1453"/>
      <c r="AN20" s="1859">
        <f t="shared" si="5"/>
        <v>0</v>
      </c>
      <c r="AO20" s="9">
        <v>81</v>
      </c>
      <c r="AP20" s="1860">
        <f t="shared" si="6"/>
        <v>0</v>
      </c>
      <c r="AQ20" s="9">
        <v>81</v>
      </c>
      <c r="AR20" s="9"/>
    </row>
    <row r="21" spans="1:45" x14ac:dyDescent="0.2">
      <c r="A21" s="1370" t="s">
        <v>15396</v>
      </c>
      <c r="B21" s="1370" t="s">
        <v>15349</v>
      </c>
      <c r="C21" s="1498">
        <f t="shared" si="0"/>
        <v>1</v>
      </c>
      <c r="D21" s="1">
        <v>1.3958333333333335E-2</v>
      </c>
      <c r="E21" s="1370" t="s">
        <v>5948</v>
      </c>
      <c r="F21" s="915">
        <f>COUNT(G21:Y21)+F237</f>
        <v>1</v>
      </c>
      <c r="G21" s="1377"/>
      <c r="H21" s="1377"/>
      <c r="I21" s="1377"/>
      <c r="J21" s="1377"/>
      <c r="K21" s="1377"/>
      <c r="L21" s="1377"/>
      <c r="M21" s="1377"/>
      <c r="N21" s="1377"/>
      <c r="O21" s="1377"/>
      <c r="P21" s="1377"/>
      <c r="Q21" s="1377"/>
      <c r="R21" s="1377"/>
      <c r="S21" s="1377"/>
      <c r="T21" s="1377"/>
      <c r="U21" s="1377"/>
      <c r="V21" s="1377"/>
      <c r="W21" s="1377"/>
      <c r="X21" s="1377"/>
      <c r="Y21" s="1377"/>
      <c r="Z21" s="1377"/>
      <c r="AA21" s="1378">
        <f>C237</f>
        <v>1</v>
      </c>
      <c r="AB21" s="1379">
        <v>43708</v>
      </c>
      <c r="AC21" s="1379">
        <v>43708</v>
      </c>
      <c r="AE21" t="str">
        <f t="shared" si="1"/>
        <v>Fraser</v>
      </c>
      <c r="AF21" t="str">
        <f t="shared" si="2"/>
        <v>Cameron</v>
      </c>
      <c r="AI21" s="1856">
        <f t="shared" si="3"/>
        <v>0</v>
      </c>
      <c r="AJ21" s="1855">
        <v>1</v>
      </c>
      <c r="AK21" s="1453">
        <f t="shared" si="4"/>
        <v>0</v>
      </c>
      <c r="AL21" s="1879">
        <v>1</v>
      </c>
      <c r="AM21" s="1453"/>
      <c r="AN21" s="1859">
        <f t="shared" si="5"/>
        <v>1</v>
      </c>
      <c r="AO21" s="9">
        <v>0</v>
      </c>
      <c r="AP21" s="1860">
        <f t="shared" si="6"/>
        <v>0</v>
      </c>
      <c r="AQ21" s="9"/>
      <c r="AR21" s="9"/>
    </row>
    <row r="22" spans="1:45" x14ac:dyDescent="0.2">
      <c r="A22" s="1389" t="s">
        <v>2984</v>
      </c>
      <c r="B22" s="1389" t="s">
        <v>6326</v>
      </c>
      <c r="C22" s="578">
        <f t="shared" si="0"/>
        <v>188</v>
      </c>
      <c r="D22" s="1">
        <v>1.7060185185185185E-2</v>
      </c>
      <c r="E22" s="1371" t="s">
        <v>5883</v>
      </c>
      <c r="F22" s="915">
        <f>COUNT(G22:Y22)+F757+E757+F166+F238+F325+F1392</f>
        <v>9</v>
      </c>
      <c r="G22" s="1377">
        <v>105</v>
      </c>
      <c r="H22" s="1377">
        <v>56</v>
      </c>
      <c r="I22" s="1377"/>
      <c r="J22" s="1377"/>
      <c r="K22" s="1377">
        <v>3</v>
      </c>
      <c r="L22" s="1377"/>
      <c r="M22" s="1377"/>
      <c r="N22" s="1377"/>
      <c r="O22" s="1377"/>
      <c r="P22" s="1377"/>
      <c r="Q22" s="1377">
        <v>1</v>
      </c>
      <c r="R22" s="1377"/>
      <c r="S22" s="1377"/>
      <c r="T22" s="1377"/>
      <c r="U22" s="1377"/>
      <c r="V22" s="1377"/>
      <c r="W22" s="1377"/>
      <c r="X22" s="1377"/>
      <c r="Y22" s="1377"/>
      <c r="Z22" s="1377"/>
      <c r="AA22" s="1378">
        <f>C757+C166+C238+C325+C1392</f>
        <v>23</v>
      </c>
      <c r="AB22" s="1379">
        <v>43589</v>
      </c>
      <c r="AC22" s="34">
        <v>40257</v>
      </c>
      <c r="AD22">
        <v>48149</v>
      </c>
      <c r="AE22" t="str">
        <f t="shared" si="1"/>
        <v>Lesley</v>
      </c>
      <c r="AF22" t="str">
        <f t="shared" si="2"/>
        <v>Chamberlin</v>
      </c>
      <c r="AI22" s="1856">
        <f t="shared" si="3"/>
        <v>1</v>
      </c>
      <c r="AJ22" s="1855">
        <v>187</v>
      </c>
      <c r="AK22" s="1453">
        <f t="shared" si="4"/>
        <v>0</v>
      </c>
      <c r="AL22" s="1879">
        <v>9</v>
      </c>
      <c r="AM22" s="1453"/>
      <c r="AN22" s="1859">
        <f t="shared" si="5"/>
        <v>5</v>
      </c>
      <c r="AO22" s="9">
        <v>182</v>
      </c>
      <c r="AP22" s="1860">
        <f t="shared" si="6"/>
        <v>16</v>
      </c>
      <c r="AQ22" s="9">
        <v>166</v>
      </c>
      <c r="AR22" s="9"/>
    </row>
    <row r="23" spans="1:45" x14ac:dyDescent="0.2">
      <c r="A23" s="1375" t="s">
        <v>4269</v>
      </c>
      <c r="B23" s="1375" t="s">
        <v>4270</v>
      </c>
      <c r="C23" s="251">
        <f t="shared" si="0"/>
        <v>267</v>
      </c>
      <c r="D23" s="1">
        <v>1.4375000000000001E-2</v>
      </c>
      <c r="E23" s="1371" t="s">
        <v>129</v>
      </c>
      <c r="F23" s="915">
        <f>COUNT(G23:Y23)+F167+F239+F469+F515+F982+F1097+F1209+F1147+F666+F1328</f>
        <v>26</v>
      </c>
      <c r="G23" s="1377"/>
      <c r="H23" s="1377">
        <v>19</v>
      </c>
      <c r="I23" s="1377"/>
      <c r="J23" s="1377"/>
      <c r="K23" s="1377">
        <v>222</v>
      </c>
      <c r="L23" s="1377"/>
      <c r="M23" s="1377"/>
      <c r="N23" s="1377">
        <v>1</v>
      </c>
      <c r="O23" s="1377">
        <v>2</v>
      </c>
      <c r="P23" s="1377"/>
      <c r="Q23" s="1377">
        <v>1</v>
      </c>
      <c r="R23" s="1377">
        <v>1</v>
      </c>
      <c r="S23" s="1377"/>
      <c r="T23" s="1377">
        <v>2</v>
      </c>
      <c r="U23" s="1377">
        <v>1</v>
      </c>
      <c r="V23" s="1377"/>
      <c r="W23" s="1377">
        <v>1</v>
      </c>
      <c r="X23" s="1377"/>
      <c r="Y23" s="1377"/>
      <c r="Z23" s="1377"/>
      <c r="AA23" s="1378">
        <f>C515+C982+C1097+C1209+C167+C239+C469+C1147+C666+C1328</f>
        <v>17</v>
      </c>
      <c r="AB23" s="1384">
        <v>43897</v>
      </c>
      <c r="AC23" s="34">
        <v>41034</v>
      </c>
      <c r="AD23">
        <v>276437</v>
      </c>
      <c r="AE23" t="str">
        <f t="shared" si="1"/>
        <v>Ben</v>
      </c>
      <c r="AF23" t="str">
        <f t="shared" si="2"/>
        <v>Chaytow</v>
      </c>
      <c r="AI23" s="1998">
        <f t="shared" si="3"/>
        <v>11</v>
      </c>
      <c r="AJ23" s="1855">
        <v>256</v>
      </c>
      <c r="AK23" s="1453">
        <f t="shared" si="4"/>
        <v>2</v>
      </c>
      <c r="AL23" s="1879">
        <v>24</v>
      </c>
      <c r="AM23" s="1453"/>
      <c r="AN23" s="1859">
        <f t="shared" si="5"/>
        <v>39</v>
      </c>
      <c r="AO23" s="9">
        <v>217</v>
      </c>
      <c r="AP23" s="1860">
        <f t="shared" si="6"/>
        <v>35</v>
      </c>
      <c r="AQ23" s="9">
        <v>182</v>
      </c>
      <c r="AR23" s="9"/>
    </row>
    <row r="24" spans="1:45" x14ac:dyDescent="0.2">
      <c r="A24" s="1372" t="s">
        <v>866</v>
      </c>
      <c r="B24" s="1372" t="s">
        <v>867</v>
      </c>
      <c r="C24" s="559">
        <f t="shared" si="0"/>
        <v>364</v>
      </c>
      <c r="D24" s="1">
        <v>1.4085648148148151E-2</v>
      </c>
      <c r="E24" s="1371" t="s">
        <v>5885</v>
      </c>
      <c r="F24" s="915">
        <f>COUNT(G24:Y24)+F170+F242+F328+F388+F760+F722</f>
        <v>15</v>
      </c>
      <c r="G24" s="1377">
        <v>2</v>
      </c>
      <c r="H24" s="1377">
        <v>242</v>
      </c>
      <c r="I24" s="1377"/>
      <c r="J24" s="1377"/>
      <c r="K24" s="1377">
        <v>4</v>
      </c>
      <c r="L24" s="1377"/>
      <c r="M24" s="1377"/>
      <c r="N24" s="1377">
        <v>1</v>
      </c>
      <c r="O24" s="1377">
        <v>1</v>
      </c>
      <c r="P24" s="1377"/>
      <c r="Q24" s="1377"/>
      <c r="R24" s="1377"/>
      <c r="S24" s="1377"/>
      <c r="T24" s="1377"/>
      <c r="U24" s="1377"/>
      <c r="V24" s="1377"/>
      <c r="W24" s="1377"/>
      <c r="X24" s="1377"/>
      <c r="Y24" s="1377"/>
      <c r="Z24" s="1377"/>
      <c r="AA24" s="1378">
        <f>C760+C170+C242+C328+F388+C722</f>
        <v>114</v>
      </c>
      <c r="AB24" s="1384">
        <v>43876</v>
      </c>
      <c r="AC24" s="34">
        <v>38710</v>
      </c>
      <c r="AD24">
        <v>1018</v>
      </c>
      <c r="AE24" t="str">
        <f t="shared" si="1"/>
        <v>John</v>
      </c>
      <c r="AF24" t="str">
        <f t="shared" si="2"/>
        <v>Coffey</v>
      </c>
      <c r="AI24" s="1856">
        <f t="shared" si="3"/>
        <v>7</v>
      </c>
      <c r="AJ24" s="1855">
        <v>357</v>
      </c>
      <c r="AK24" s="1453">
        <f t="shared" si="4"/>
        <v>1</v>
      </c>
      <c r="AL24" s="1879">
        <v>14</v>
      </c>
      <c r="AM24" s="1453"/>
      <c r="AN24" s="1859">
        <f t="shared" si="5"/>
        <v>45</v>
      </c>
      <c r="AO24" s="9">
        <v>312</v>
      </c>
      <c r="AP24" s="1860">
        <f t="shared" si="6"/>
        <v>47</v>
      </c>
      <c r="AQ24" s="9">
        <v>265</v>
      </c>
      <c r="AR24" s="9"/>
    </row>
    <row r="25" spans="1:45" x14ac:dyDescent="0.2">
      <c r="A25" s="1375" t="s">
        <v>2754</v>
      </c>
      <c r="B25" s="1375" t="s">
        <v>1295</v>
      </c>
      <c r="C25" s="559">
        <f t="shared" si="0"/>
        <v>391</v>
      </c>
      <c r="D25" s="1">
        <v>1.6076388888888887E-2</v>
      </c>
      <c r="E25" s="1371" t="s">
        <v>2147</v>
      </c>
      <c r="F25" s="1093">
        <f>COUNT(G25:Y25)+F430+F470+F592+F516+F1031+F1329+F1180+F939+F860+E1031+E1055+F1055+F758+F642+F796+F562+F822+F168+F240+F326+F386+F1210+F693+F667+F840</f>
        <v>90</v>
      </c>
      <c r="G25" s="1377">
        <v>215</v>
      </c>
      <c r="H25" s="1377">
        <v>26</v>
      </c>
      <c r="I25" s="1377"/>
      <c r="J25" s="1377">
        <v>2</v>
      </c>
      <c r="K25" s="1377">
        <v>13</v>
      </c>
      <c r="L25" s="1377">
        <v>2</v>
      </c>
      <c r="M25" s="1377">
        <v>1</v>
      </c>
      <c r="N25" s="1377">
        <v>1</v>
      </c>
      <c r="O25" s="1377">
        <v>1</v>
      </c>
      <c r="P25" s="1377">
        <v>2</v>
      </c>
      <c r="Q25" s="1377">
        <v>10</v>
      </c>
      <c r="R25" s="1377">
        <v>2</v>
      </c>
      <c r="S25" s="1377">
        <v>10</v>
      </c>
      <c r="T25" s="1377">
        <v>2</v>
      </c>
      <c r="U25" s="1377">
        <v>1</v>
      </c>
      <c r="V25" s="1377">
        <v>3</v>
      </c>
      <c r="W25" s="1377"/>
      <c r="X25" s="1377"/>
      <c r="Y25" s="1377"/>
      <c r="Z25" s="1377"/>
      <c r="AA25" s="1378">
        <f>C430+C470+C592+C860+C1031+C516+C1329+C1180+C939+C1055+C758+C642+C796+C562+C822+C168+C240+C326+C386+C1210+C693+C667</f>
        <v>100</v>
      </c>
      <c r="AB25" s="1384">
        <v>43883</v>
      </c>
      <c r="AC25" s="34">
        <v>39662</v>
      </c>
      <c r="AD25">
        <v>13422</v>
      </c>
      <c r="AE25" t="str">
        <f t="shared" si="1"/>
        <v xml:space="preserve">Caroline </v>
      </c>
      <c r="AF25" t="str">
        <f t="shared" si="2"/>
        <v>Cockram</v>
      </c>
      <c r="AI25" s="1856">
        <f t="shared" si="3"/>
        <v>6</v>
      </c>
      <c r="AJ25" s="1855">
        <v>385</v>
      </c>
      <c r="AK25" s="1453">
        <f t="shared" si="4"/>
        <v>6</v>
      </c>
      <c r="AL25" s="1879">
        <v>84</v>
      </c>
      <c r="AM25" s="1453"/>
      <c r="AN25" s="1859">
        <f t="shared" si="5"/>
        <v>44</v>
      </c>
      <c r="AO25" s="9">
        <v>341</v>
      </c>
      <c r="AP25" s="1860">
        <f t="shared" si="6"/>
        <v>45</v>
      </c>
      <c r="AQ25" s="9">
        <v>296</v>
      </c>
      <c r="AR25" s="9"/>
    </row>
    <row r="26" spans="1:45" x14ac:dyDescent="0.2">
      <c r="A26" s="1375" t="s">
        <v>3508</v>
      </c>
      <c r="B26" s="1375" t="s">
        <v>1295</v>
      </c>
      <c r="C26" s="1794">
        <f t="shared" si="0"/>
        <v>516</v>
      </c>
      <c r="D26" s="1">
        <v>1.5011574074074075E-2</v>
      </c>
      <c r="E26" s="1371" t="s">
        <v>4004</v>
      </c>
      <c r="F26" s="1093">
        <f>COUNT(G26:Y26)+F431+F471+F593+F643+F759+F517+F861+F940+F1032+F1056+F1181+F1330+E1056+F169+F241+F327+F387+F1211+F823+F694+F668+F841</f>
        <v>89</v>
      </c>
      <c r="G26" s="1377">
        <v>302</v>
      </c>
      <c r="H26" s="1377">
        <v>66</v>
      </c>
      <c r="I26" s="1377"/>
      <c r="J26" s="1377">
        <v>2</v>
      </c>
      <c r="K26" s="1377">
        <v>11</v>
      </c>
      <c r="L26" s="1377">
        <v>4</v>
      </c>
      <c r="M26" s="1377">
        <v>1</v>
      </c>
      <c r="N26" s="1377">
        <v>4</v>
      </c>
      <c r="O26" s="1377">
        <v>1</v>
      </c>
      <c r="P26" s="1377">
        <v>2</v>
      </c>
      <c r="Q26" s="1377">
        <v>7</v>
      </c>
      <c r="R26" s="1377">
        <v>2</v>
      </c>
      <c r="S26" s="1377">
        <v>8</v>
      </c>
      <c r="T26" s="1377">
        <v>1</v>
      </c>
      <c r="U26" s="1377">
        <v>2</v>
      </c>
      <c r="V26" s="1377">
        <v>2</v>
      </c>
      <c r="W26" s="1377">
        <v>1</v>
      </c>
      <c r="X26" s="1377">
        <v>1</v>
      </c>
      <c r="Y26" s="1377"/>
      <c r="Z26" s="1377"/>
      <c r="AA26" s="1378">
        <f>C431+C471+C593+C643+C759+C517+C861+C940+C1032+C1056+C1181+C1330+C169+C241+C327+C387+C1211+C823+C694+C668+C841</f>
        <v>99</v>
      </c>
      <c r="AB26" s="1384">
        <v>43897</v>
      </c>
      <c r="AC26" s="34">
        <v>39529</v>
      </c>
      <c r="AD26">
        <v>13423</v>
      </c>
      <c r="AE26" t="str">
        <f t="shared" si="1"/>
        <v>Ian</v>
      </c>
      <c r="AF26" t="str">
        <f t="shared" si="2"/>
        <v>Cockram</v>
      </c>
      <c r="AI26" s="1856">
        <f t="shared" si="3"/>
        <v>11</v>
      </c>
      <c r="AJ26" s="1855">
        <v>505</v>
      </c>
      <c r="AK26" s="1453">
        <f t="shared" si="4"/>
        <v>5</v>
      </c>
      <c r="AL26" s="1879">
        <v>84</v>
      </c>
      <c r="AM26" s="1453"/>
      <c r="AN26" s="1859">
        <f t="shared" si="5"/>
        <v>45</v>
      </c>
      <c r="AO26" s="9">
        <v>460</v>
      </c>
      <c r="AP26" s="1860">
        <f t="shared" si="6"/>
        <v>46</v>
      </c>
      <c r="AQ26" s="9">
        <v>414</v>
      </c>
      <c r="AR26" s="9"/>
    </row>
    <row r="27" spans="1:45" ht="12.75" customHeight="1" x14ac:dyDescent="0.2">
      <c r="A27" s="1372" t="s">
        <v>3398</v>
      </c>
      <c r="B27" s="1372" t="s">
        <v>3399</v>
      </c>
      <c r="C27" s="235">
        <f t="shared" si="0"/>
        <v>21</v>
      </c>
      <c r="D27" s="1">
        <v>1.3668981481481482E-2</v>
      </c>
      <c r="E27" s="1371" t="s">
        <v>3727</v>
      </c>
      <c r="F27" s="915">
        <f>COUNT(G27:Y27)+F1057</f>
        <v>4</v>
      </c>
      <c r="G27" s="1377"/>
      <c r="H27" s="1377">
        <v>12</v>
      </c>
      <c r="I27" s="1377"/>
      <c r="J27" s="1377"/>
      <c r="K27" s="1377">
        <v>1</v>
      </c>
      <c r="L27" s="1377"/>
      <c r="M27" s="1377"/>
      <c r="N27" s="1377"/>
      <c r="O27" s="1377"/>
      <c r="P27" s="1377"/>
      <c r="Q27" s="1377"/>
      <c r="R27" s="1377"/>
      <c r="S27" s="1377"/>
      <c r="T27" s="1377"/>
      <c r="U27" s="1377">
        <v>3</v>
      </c>
      <c r="V27" s="1377"/>
      <c r="W27" s="1377"/>
      <c r="X27" s="1377"/>
      <c r="Y27" s="1377"/>
      <c r="Z27" s="1377"/>
      <c r="AA27" s="1378">
        <f>C1057</f>
        <v>5</v>
      </c>
      <c r="AB27" s="1384">
        <v>43183</v>
      </c>
      <c r="AC27" s="34">
        <v>40138</v>
      </c>
      <c r="AD27">
        <v>34201</v>
      </c>
      <c r="AE27" t="str">
        <f t="shared" si="1"/>
        <v>Martin</v>
      </c>
      <c r="AF27" t="str">
        <f t="shared" si="2"/>
        <v>Connor</v>
      </c>
      <c r="AI27" s="1856">
        <f t="shared" si="3"/>
        <v>0</v>
      </c>
      <c r="AJ27" s="1855">
        <v>21</v>
      </c>
      <c r="AK27" s="1453">
        <f t="shared" si="4"/>
        <v>0</v>
      </c>
      <c r="AL27" s="1879">
        <v>4</v>
      </c>
      <c r="AM27" s="1453"/>
      <c r="AN27" s="1859">
        <f t="shared" si="5"/>
        <v>0</v>
      </c>
      <c r="AO27" s="9">
        <v>21</v>
      </c>
      <c r="AP27" s="1860">
        <f t="shared" si="6"/>
        <v>1</v>
      </c>
      <c r="AQ27" s="9">
        <v>20</v>
      </c>
      <c r="AR27" s="9"/>
    </row>
    <row r="28" spans="1:45" ht="12.75" customHeight="1" x14ac:dyDescent="0.2">
      <c r="A28" s="1376" t="s">
        <v>11800</v>
      </c>
      <c r="B28" s="1376" t="s">
        <v>11801</v>
      </c>
      <c r="C28" s="235">
        <f t="shared" si="0"/>
        <v>54</v>
      </c>
      <c r="D28" s="1">
        <v>1.7210648148148149E-2</v>
      </c>
      <c r="E28" s="1371" t="s">
        <v>840</v>
      </c>
      <c r="F28" s="915">
        <f>COUNT(G28:Y28)+F644+F1278+F1331+F1295+F1182+F594+F1365+F723</f>
        <v>10</v>
      </c>
      <c r="G28" s="1377"/>
      <c r="H28" s="1377"/>
      <c r="I28" s="1377"/>
      <c r="J28" s="1377"/>
      <c r="K28" s="1377"/>
      <c r="L28" s="1377">
        <v>1</v>
      </c>
      <c r="M28" s="1377"/>
      <c r="N28" s="1377"/>
      <c r="O28" s="1377"/>
      <c r="P28" s="1377"/>
      <c r="Q28" s="1377"/>
      <c r="R28" s="1377"/>
      <c r="S28" s="1377"/>
      <c r="T28" s="1377"/>
      <c r="U28" s="1377"/>
      <c r="V28" s="1377"/>
      <c r="W28" s="1377"/>
      <c r="X28" s="1377"/>
      <c r="Y28" s="1377"/>
      <c r="Z28" s="1377"/>
      <c r="AA28" s="1378">
        <f>C644+C1278+C1331+C1295+C1182+C594+C1365+C723</f>
        <v>53</v>
      </c>
      <c r="AB28" s="1384">
        <v>43407</v>
      </c>
      <c r="AC28" s="34">
        <v>41944</v>
      </c>
      <c r="AD28">
        <v>1117794</v>
      </c>
      <c r="AE28" t="str">
        <f t="shared" si="1"/>
        <v>Finbarr</v>
      </c>
      <c r="AF28" t="str">
        <f t="shared" si="2"/>
        <v>Cotter</v>
      </c>
      <c r="AI28" s="1856">
        <f t="shared" si="3"/>
        <v>0</v>
      </c>
      <c r="AJ28" s="1855">
        <v>54</v>
      </c>
      <c r="AK28" s="1453">
        <f t="shared" si="4"/>
        <v>0</v>
      </c>
      <c r="AL28" s="1879">
        <v>10</v>
      </c>
      <c r="AM28" s="1453"/>
      <c r="AN28" s="1859">
        <f t="shared" si="5"/>
        <v>0</v>
      </c>
      <c r="AO28" s="9">
        <v>54</v>
      </c>
      <c r="AP28" s="1860">
        <f t="shared" si="6"/>
        <v>54</v>
      </c>
      <c r="AQ28" s="9"/>
      <c r="AR28" s="9"/>
    </row>
    <row r="29" spans="1:45" x14ac:dyDescent="0.2">
      <c r="A29" s="1372" t="s">
        <v>3508</v>
      </c>
      <c r="B29" s="1372" t="s">
        <v>3632</v>
      </c>
      <c r="C29" s="559">
        <f t="shared" si="0"/>
        <v>420</v>
      </c>
      <c r="D29" s="1">
        <v>1.4247685185185184E-2</v>
      </c>
      <c r="E29" s="1371" t="s">
        <v>5885</v>
      </c>
      <c r="F29" s="915">
        <f>COUNT(G29:Y29)+F171+F1006+F1393+F941+F761+F1256+F1332+F1236+F797+F1148+F563+F243+F1183+F329+F389+F595+F1212+F1366+F964+F472+F432</f>
        <v>52</v>
      </c>
      <c r="G29" s="1377">
        <v>3</v>
      </c>
      <c r="H29" s="1377">
        <v>332</v>
      </c>
      <c r="I29" s="1377"/>
      <c r="J29" s="1377"/>
      <c r="K29" s="1377">
        <v>3</v>
      </c>
      <c r="L29" s="1377"/>
      <c r="M29" s="1377"/>
      <c r="N29" s="1377">
        <v>3</v>
      </c>
      <c r="O29" s="1377">
        <v>1</v>
      </c>
      <c r="P29" s="1377"/>
      <c r="Q29" s="1377">
        <v>3</v>
      </c>
      <c r="R29" s="1377">
        <v>1</v>
      </c>
      <c r="S29" s="1377">
        <v>2</v>
      </c>
      <c r="T29" s="1377">
        <v>1</v>
      </c>
      <c r="U29" s="1377">
        <v>1</v>
      </c>
      <c r="V29" s="1377"/>
      <c r="W29" s="1377">
        <v>1</v>
      </c>
      <c r="X29" s="1377"/>
      <c r="Y29" s="1377"/>
      <c r="Z29" s="1377"/>
      <c r="AA29" s="1378">
        <f>C563+C171+C761+C797+C941+C1006+C1148+C1236+C1256+C1332+C1393+C243+C1183+C329+C389+C595+C1212+C1366+C964+C472+C432</f>
        <v>69</v>
      </c>
      <c r="AB29" s="1384">
        <v>43904</v>
      </c>
      <c r="AC29" s="34">
        <v>39949</v>
      </c>
      <c r="AD29">
        <v>6872</v>
      </c>
      <c r="AE29" t="str">
        <f t="shared" si="1"/>
        <v>Ian</v>
      </c>
      <c r="AF29" t="str">
        <f t="shared" si="2"/>
        <v>Cunningham</v>
      </c>
      <c r="AI29" s="1856">
        <f t="shared" si="3"/>
        <v>11</v>
      </c>
      <c r="AJ29" s="1855">
        <v>409</v>
      </c>
      <c r="AK29" s="1453">
        <f t="shared" si="4"/>
        <v>2</v>
      </c>
      <c r="AL29" s="1879">
        <v>50</v>
      </c>
      <c r="AM29" s="1453"/>
      <c r="AN29" s="1861">
        <f t="shared" si="5"/>
        <v>51</v>
      </c>
      <c r="AO29" s="9">
        <v>358</v>
      </c>
      <c r="AP29" s="1860">
        <f t="shared" si="6"/>
        <v>48</v>
      </c>
      <c r="AQ29" s="9">
        <v>310</v>
      </c>
      <c r="AR29" s="9"/>
    </row>
    <row r="30" spans="1:45" x14ac:dyDescent="0.2">
      <c r="A30" s="1370" t="s">
        <v>2479</v>
      </c>
      <c r="B30" s="1370" t="s">
        <v>11025</v>
      </c>
      <c r="C30" s="1010">
        <f>SUM(G30:AA30)</f>
        <v>89</v>
      </c>
      <c r="D30" s="840">
        <v>2.0659722222222222E-2</v>
      </c>
      <c r="E30" s="1371" t="s">
        <v>9307</v>
      </c>
      <c r="F30" s="915">
        <f>COUNT(G30:Y30)+F596+F473+F983+F172+F244</f>
        <v>18</v>
      </c>
      <c r="G30" s="1377">
        <v>55</v>
      </c>
      <c r="H30" s="1377">
        <v>4</v>
      </c>
      <c r="I30" s="1377"/>
      <c r="J30" s="1377"/>
      <c r="K30" s="1377">
        <v>2</v>
      </c>
      <c r="L30" s="1377"/>
      <c r="M30" s="1377"/>
      <c r="N30" s="1377"/>
      <c r="O30" s="1377">
        <v>3</v>
      </c>
      <c r="P30" s="1377"/>
      <c r="Q30" s="1377">
        <v>1</v>
      </c>
      <c r="R30" s="1377">
        <v>3</v>
      </c>
      <c r="S30" s="1377">
        <v>1</v>
      </c>
      <c r="T30" s="1377">
        <v>1</v>
      </c>
      <c r="U30" s="1377"/>
      <c r="V30" s="1377"/>
      <c r="W30" s="1377"/>
      <c r="X30" s="1377"/>
      <c r="Y30" s="1377"/>
      <c r="Z30" s="1377"/>
      <c r="AA30" s="1378">
        <f>C596+C473+C983+C172+C244</f>
        <v>19</v>
      </c>
      <c r="AB30" s="1384">
        <v>43883</v>
      </c>
      <c r="AC30" s="34">
        <v>41776</v>
      </c>
      <c r="AD30">
        <v>994637</v>
      </c>
      <c r="AE30" t="str">
        <f t="shared" si="1"/>
        <v>Kelly</v>
      </c>
      <c r="AF30" t="str">
        <f t="shared" si="2"/>
        <v>Davis</v>
      </c>
      <c r="AI30" s="1856">
        <f t="shared" si="3"/>
        <v>1</v>
      </c>
      <c r="AJ30" s="1855">
        <v>88</v>
      </c>
      <c r="AK30" s="1453">
        <f t="shared" si="4"/>
        <v>1</v>
      </c>
      <c r="AL30" s="1879">
        <v>17</v>
      </c>
      <c r="AM30" s="1453"/>
      <c r="AN30" s="1859">
        <f t="shared" si="5"/>
        <v>13</v>
      </c>
      <c r="AO30" s="9">
        <v>75</v>
      </c>
      <c r="AP30" s="1860">
        <f t="shared" si="6"/>
        <v>75</v>
      </c>
      <c r="AQ30" s="9"/>
      <c r="AR30" s="9"/>
    </row>
    <row r="31" spans="1:45" x14ac:dyDescent="0.2">
      <c r="A31" s="1370" t="s">
        <v>3535</v>
      </c>
      <c r="B31" s="1370" t="s">
        <v>11025</v>
      </c>
      <c r="C31" s="542">
        <f t="shared" si="0"/>
        <v>158</v>
      </c>
      <c r="D31" s="840">
        <v>1.4097222222222221E-2</v>
      </c>
      <c r="E31" s="1371" t="s">
        <v>1401</v>
      </c>
      <c r="F31" s="915">
        <f>COUNT(G31:Y31)+F474+F173+F433+F518+F597+F245+F330+F330+F437+F390</f>
        <v>31</v>
      </c>
      <c r="G31" s="1377">
        <v>98</v>
      </c>
      <c r="H31" s="1377">
        <v>3</v>
      </c>
      <c r="I31" s="1377"/>
      <c r="J31" s="1377">
        <v>1</v>
      </c>
      <c r="K31" s="1377"/>
      <c r="L31" s="1377">
        <v>4</v>
      </c>
      <c r="M31" s="1377"/>
      <c r="N31" s="1377"/>
      <c r="O31" s="1377">
        <v>9</v>
      </c>
      <c r="P31" s="1377"/>
      <c r="Q31" s="1377">
        <v>2</v>
      </c>
      <c r="R31" s="1377">
        <v>4</v>
      </c>
      <c r="S31" s="1377">
        <v>1</v>
      </c>
      <c r="T31" s="1377">
        <v>2</v>
      </c>
      <c r="U31" s="1377"/>
      <c r="V31" s="1377"/>
      <c r="W31" s="1377"/>
      <c r="X31" s="1377">
        <v>1</v>
      </c>
      <c r="Y31" s="1377"/>
      <c r="Z31" s="1377"/>
      <c r="AA31" s="1378">
        <f>C474+C173+C433+C518+C597+C245+C330+C390</f>
        <v>33</v>
      </c>
      <c r="AB31" s="1384">
        <v>43904</v>
      </c>
      <c r="AC31" s="34">
        <v>41797</v>
      </c>
      <c r="AD31">
        <v>923786</v>
      </c>
      <c r="AE31" t="str">
        <f t="shared" si="1"/>
        <v>Paul</v>
      </c>
      <c r="AF31" t="str">
        <f t="shared" si="2"/>
        <v>Davis</v>
      </c>
      <c r="AI31" s="1856">
        <f t="shared" si="3"/>
        <v>6</v>
      </c>
      <c r="AJ31" s="1855">
        <v>152</v>
      </c>
      <c r="AK31" s="1453">
        <f t="shared" si="4"/>
        <v>2</v>
      </c>
      <c r="AL31" s="1879">
        <v>29</v>
      </c>
      <c r="AM31" s="1453"/>
      <c r="AN31" s="1859">
        <f t="shared" si="5"/>
        <v>24</v>
      </c>
      <c r="AO31" s="9">
        <v>128</v>
      </c>
      <c r="AP31" s="1860">
        <f t="shared" si="6"/>
        <v>128</v>
      </c>
      <c r="AQ31" s="9"/>
      <c r="AR31" s="9"/>
      <c r="AS31" s="80" t="s">
        <v>12888</v>
      </c>
    </row>
    <row r="32" spans="1:45" x14ac:dyDescent="0.2">
      <c r="A32" s="1372" t="s">
        <v>4576</v>
      </c>
      <c r="B32" s="1372" t="s">
        <v>4577</v>
      </c>
      <c r="C32" s="559">
        <f t="shared" si="0"/>
        <v>343</v>
      </c>
      <c r="D32" s="1">
        <v>1.4837962962962963E-2</v>
      </c>
      <c r="E32" s="1371" t="s">
        <v>5883</v>
      </c>
      <c r="F32" s="915">
        <f>COUNT(G32:Y32)+F598+F762+F174+F246+F724</f>
        <v>20</v>
      </c>
      <c r="G32" s="1377">
        <v>258</v>
      </c>
      <c r="H32" s="1377">
        <v>5</v>
      </c>
      <c r="I32" s="1377"/>
      <c r="J32" s="1377"/>
      <c r="K32" s="1377">
        <v>54</v>
      </c>
      <c r="L32" s="1377">
        <v>1</v>
      </c>
      <c r="M32" s="1377"/>
      <c r="N32" s="1377">
        <v>1</v>
      </c>
      <c r="O32" s="1377">
        <v>3</v>
      </c>
      <c r="P32" s="1377"/>
      <c r="Q32" s="1377">
        <v>1</v>
      </c>
      <c r="R32" s="1377">
        <v>1</v>
      </c>
      <c r="S32" s="1377">
        <v>3</v>
      </c>
      <c r="T32" s="1377">
        <v>5</v>
      </c>
      <c r="U32" s="1377">
        <v>1</v>
      </c>
      <c r="V32" s="1377"/>
      <c r="W32" s="1377">
        <v>1</v>
      </c>
      <c r="X32" s="1377"/>
      <c r="Y32" s="1377"/>
      <c r="Z32" s="1377"/>
      <c r="AA32" s="1378">
        <f>C598+C762+C174+C246+C724</f>
        <v>9</v>
      </c>
      <c r="AB32" s="1384">
        <v>43904</v>
      </c>
      <c r="AC32" s="34">
        <v>39984</v>
      </c>
      <c r="AD32">
        <v>9335</v>
      </c>
      <c r="AE32" t="str">
        <f t="shared" si="1"/>
        <v>Scott</v>
      </c>
      <c r="AF32" t="str">
        <f t="shared" si="2"/>
        <v>Davison</v>
      </c>
      <c r="AI32" s="1998">
        <f t="shared" si="3"/>
        <v>11</v>
      </c>
      <c r="AJ32" s="1855">
        <v>332</v>
      </c>
      <c r="AK32" s="1453">
        <f t="shared" si="4"/>
        <v>0</v>
      </c>
      <c r="AL32" s="1879">
        <v>20</v>
      </c>
      <c r="AM32" s="1453"/>
      <c r="AN32" s="1861">
        <f t="shared" si="5"/>
        <v>51</v>
      </c>
      <c r="AO32" s="9">
        <v>281</v>
      </c>
      <c r="AP32" s="1860">
        <f t="shared" si="6"/>
        <v>48</v>
      </c>
      <c r="AQ32" s="9">
        <v>233</v>
      </c>
      <c r="AR32" s="9"/>
    </row>
    <row r="33" spans="1:44" x14ac:dyDescent="0.2">
      <c r="A33" s="1370" t="s">
        <v>3230</v>
      </c>
      <c r="B33" s="1370" t="s">
        <v>11625</v>
      </c>
      <c r="C33" s="559">
        <f>SUM(G33:AA33)</f>
        <v>410</v>
      </c>
      <c r="D33" s="1">
        <v>1.3483796296296298E-2</v>
      </c>
      <c r="E33" s="1370" t="s">
        <v>5885</v>
      </c>
      <c r="F33" s="1093">
        <f>COUNT(G33:Y33)+F175+F247+F331+F391+F434+F725+F824+F1394+F984+F1098+E1098+E942+F942+F763+F1007+F475+F669</f>
        <v>46</v>
      </c>
      <c r="G33" s="1377">
        <v>13</v>
      </c>
      <c r="H33" s="1377">
        <v>279</v>
      </c>
      <c r="I33" s="1377"/>
      <c r="J33" s="1377">
        <v>1</v>
      </c>
      <c r="K33" s="1377">
        <v>33</v>
      </c>
      <c r="L33" s="1377">
        <v>1</v>
      </c>
      <c r="M33" s="1377">
        <v>1</v>
      </c>
      <c r="N33" s="1377">
        <v>2</v>
      </c>
      <c r="O33" s="1377">
        <v>8</v>
      </c>
      <c r="P33" s="1377">
        <v>1</v>
      </c>
      <c r="Q33" s="1377">
        <v>8</v>
      </c>
      <c r="R33" s="1377">
        <v>2</v>
      </c>
      <c r="S33" s="1377">
        <v>5</v>
      </c>
      <c r="T33" s="1377">
        <v>8</v>
      </c>
      <c r="U33" s="1377">
        <v>3</v>
      </c>
      <c r="V33" s="1377">
        <v>1</v>
      </c>
      <c r="W33" s="1377">
        <v>1</v>
      </c>
      <c r="X33" s="1377">
        <v>1</v>
      </c>
      <c r="Y33" s="1377"/>
      <c r="Z33" s="1377"/>
      <c r="AA33" s="1378">
        <f>C175+C247+C331+C391+C434+C725+C824+C1394+C984+C1098+C942+C763+C1007+C475+C669</f>
        <v>42</v>
      </c>
      <c r="AB33" s="1384">
        <v>43904</v>
      </c>
      <c r="AC33" s="34">
        <v>40621</v>
      </c>
      <c r="AD33">
        <v>128950</v>
      </c>
      <c r="AE33" t="str">
        <f t="shared" si="1"/>
        <v>Mike</v>
      </c>
      <c r="AF33" t="str">
        <f t="shared" si="2"/>
        <v>Dennison</v>
      </c>
      <c r="AI33" s="1998">
        <f t="shared" si="3"/>
        <v>13</v>
      </c>
      <c r="AJ33" s="1855">
        <v>397</v>
      </c>
      <c r="AK33" s="1453">
        <f t="shared" si="4"/>
        <v>4</v>
      </c>
      <c r="AL33" s="1879">
        <v>42</v>
      </c>
      <c r="AM33" s="1453"/>
      <c r="AN33" s="1859"/>
      <c r="AO33" s="9"/>
      <c r="AP33" s="1860">
        <f t="shared" si="6"/>
        <v>0</v>
      </c>
      <c r="AQ33" s="9"/>
      <c r="AR33" s="9"/>
    </row>
    <row r="34" spans="1:44" x14ac:dyDescent="0.2">
      <c r="A34" s="1372" t="s">
        <v>859</v>
      </c>
      <c r="B34" s="1372" t="s">
        <v>860</v>
      </c>
      <c r="C34" s="235">
        <f t="shared" si="0"/>
        <v>24</v>
      </c>
      <c r="D34" s="372">
        <v>1.1921296296296298E-2</v>
      </c>
      <c r="E34" s="1371" t="s">
        <v>248</v>
      </c>
      <c r="F34" s="915">
        <f>COUNT(G34:Y34)+F435+F1149+F1099</f>
        <v>4</v>
      </c>
      <c r="G34" s="1377"/>
      <c r="H34" s="1377"/>
      <c r="I34" s="1377"/>
      <c r="J34" s="1377"/>
      <c r="K34" s="1377"/>
      <c r="L34" s="1377"/>
      <c r="M34" s="1377"/>
      <c r="N34" s="1377"/>
      <c r="O34" s="1377"/>
      <c r="P34" s="1377"/>
      <c r="Q34" s="1377"/>
      <c r="R34" s="1377"/>
      <c r="S34" s="1377"/>
      <c r="T34" s="1377"/>
      <c r="U34" s="1377"/>
      <c r="V34" s="1377"/>
      <c r="W34" s="1377"/>
      <c r="X34" s="1377"/>
      <c r="Y34" s="1377"/>
      <c r="Z34" s="1377"/>
      <c r="AA34" s="1378">
        <f>C435+C1149+C1099</f>
        <v>24</v>
      </c>
      <c r="AB34" s="1384">
        <v>43750</v>
      </c>
      <c r="AC34" s="34">
        <v>40432</v>
      </c>
      <c r="AD34">
        <v>47437</v>
      </c>
      <c r="AE34" t="str">
        <f t="shared" si="1"/>
        <v>Dave</v>
      </c>
      <c r="AF34" t="str">
        <f t="shared" si="2"/>
        <v>Dixon</v>
      </c>
      <c r="AI34" s="1856">
        <f t="shared" si="3"/>
        <v>0</v>
      </c>
      <c r="AJ34" s="1855">
        <v>24</v>
      </c>
      <c r="AK34" s="1453">
        <f t="shared" si="4"/>
        <v>0</v>
      </c>
      <c r="AL34" s="1879">
        <v>4</v>
      </c>
      <c r="AM34" s="1453"/>
      <c r="AN34" s="1859">
        <f t="shared" si="5"/>
        <v>4</v>
      </c>
      <c r="AO34" s="9">
        <v>20</v>
      </c>
      <c r="AP34" s="1860">
        <f t="shared" si="6"/>
        <v>9</v>
      </c>
      <c r="AQ34" s="9">
        <v>11</v>
      </c>
      <c r="AR34" s="9"/>
    </row>
    <row r="35" spans="1:44" x14ac:dyDescent="0.2">
      <c r="A35" s="1374" t="s">
        <v>922</v>
      </c>
      <c r="B35" s="1374" t="s">
        <v>1530</v>
      </c>
      <c r="C35" s="559">
        <f t="shared" si="0"/>
        <v>357</v>
      </c>
      <c r="D35" s="1">
        <v>1.6898148148148148E-2</v>
      </c>
      <c r="E35" s="1371" t="s">
        <v>5883</v>
      </c>
      <c r="F35" s="915">
        <f>COUNT(G35:Y35)+F176+E1333+F436+F863+F1333+F599+F478+F645+F1296+F799+F519+F248+F332+F392+F1213+F1367+F564+F1152+F1184+F547+F1395+F1310</f>
        <v>85</v>
      </c>
      <c r="G35" s="1377">
        <v>218</v>
      </c>
      <c r="H35" s="1377">
        <v>9</v>
      </c>
      <c r="I35" s="1377"/>
      <c r="J35" s="1377">
        <v>1</v>
      </c>
      <c r="K35" s="1377">
        <v>12</v>
      </c>
      <c r="L35" s="1377">
        <v>1</v>
      </c>
      <c r="M35" s="1377">
        <v>1</v>
      </c>
      <c r="N35" s="1377">
        <v>4</v>
      </c>
      <c r="O35" s="1377">
        <v>6</v>
      </c>
      <c r="P35" s="1377">
        <v>2</v>
      </c>
      <c r="Q35" s="1377">
        <v>3</v>
      </c>
      <c r="R35" s="1377">
        <v>4</v>
      </c>
      <c r="S35" s="1377">
        <v>3</v>
      </c>
      <c r="T35" s="1377">
        <v>4</v>
      </c>
      <c r="U35" s="1377">
        <v>1</v>
      </c>
      <c r="V35" s="1377">
        <v>1</v>
      </c>
      <c r="W35" s="1377">
        <v>1</v>
      </c>
      <c r="X35" s="1377"/>
      <c r="Y35" s="1377"/>
      <c r="Z35" s="1377"/>
      <c r="AA35" s="1378">
        <f>C436+C863+C1333+C176+C599+C478+C645+C1296+C799+C519+C248+C332+C392+C1213+C1367+C564+C1152+C1184+C547+C1395+C1310</f>
        <v>86</v>
      </c>
      <c r="AB35" s="1384">
        <v>43904</v>
      </c>
      <c r="AC35" s="34">
        <v>41405</v>
      </c>
      <c r="AD35">
        <v>514847</v>
      </c>
      <c r="AE35" t="str">
        <f t="shared" si="1"/>
        <v>David</v>
      </c>
      <c r="AF35" t="str">
        <f t="shared" si="2"/>
        <v>Duggan</v>
      </c>
      <c r="AI35" s="1998">
        <f t="shared" si="3"/>
        <v>13</v>
      </c>
      <c r="AJ35" s="1855">
        <v>344</v>
      </c>
      <c r="AK35" s="1453">
        <f>F35-AL35</f>
        <v>7</v>
      </c>
      <c r="AL35" s="1879">
        <v>78</v>
      </c>
      <c r="AM35" s="1453"/>
      <c r="AN35" s="1862">
        <f t="shared" si="5"/>
        <v>58</v>
      </c>
      <c r="AO35" s="9">
        <v>286</v>
      </c>
      <c r="AP35" s="1860">
        <f t="shared" si="6"/>
        <v>54</v>
      </c>
      <c r="AQ35" s="9">
        <v>232</v>
      </c>
      <c r="AR35" s="9"/>
    </row>
    <row r="36" spans="1:44" x14ac:dyDescent="0.2">
      <c r="A36" s="1372" t="s">
        <v>1589</v>
      </c>
      <c r="B36" s="1372" t="s">
        <v>1590</v>
      </c>
      <c r="C36" s="542">
        <f t="shared" si="0"/>
        <v>161</v>
      </c>
      <c r="D36" s="1">
        <v>1.6851851851851851E-2</v>
      </c>
      <c r="E36" s="1371" t="s">
        <v>4460</v>
      </c>
      <c r="F36" s="915">
        <f>COUNT(G36:Y36)+F1153+F987+F177+F565+F437+F1060</f>
        <v>10</v>
      </c>
      <c r="G36" s="1377"/>
      <c r="H36" s="1377"/>
      <c r="I36" s="1377">
        <v>2</v>
      </c>
      <c r="J36" s="1377"/>
      <c r="K36" s="1377"/>
      <c r="L36" s="1377"/>
      <c r="M36" s="1377"/>
      <c r="N36" s="1377"/>
      <c r="O36" s="1377"/>
      <c r="P36" s="1377">
        <v>137</v>
      </c>
      <c r="Q36" s="1377"/>
      <c r="R36" s="1377">
        <v>4</v>
      </c>
      <c r="S36" s="1377"/>
      <c r="T36" s="1377"/>
      <c r="U36" s="1377"/>
      <c r="V36" s="1377"/>
      <c r="W36" s="1377"/>
      <c r="X36" s="1377"/>
      <c r="Y36" s="1377"/>
      <c r="Z36" s="1377"/>
      <c r="AA36" s="1378">
        <f>C1153+C987+C177+C565+C437+C1060</f>
        <v>18</v>
      </c>
      <c r="AB36" s="1384">
        <v>43883</v>
      </c>
      <c r="AC36" s="34">
        <v>41916</v>
      </c>
      <c r="AD36">
        <v>1215094</v>
      </c>
      <c r="AE36" t="str">
        <f t="shared" si="1"/>
        <v>Denis</v>
      </c>
      <c r="AF36" t="str">
        <f t="shared" si="2"/>
        <v>Foxley</v>
      </c>
      <c r="AI36" s="1856">
        <f t="shared" si="3"/>
        <v>7</v>
      </c>
      <c r="AJ36" s="1855">
        <v>154</v>
      </c>
      <c r="AK36" s="1453">
        <f t="shared" si="4"/>
        <v>0</v>
      </c>
      <c r="AL36" s="1879">
        <v>10</v>
      </c>
      <c r="AM36" s="1453"/>
      <c r="AN36" s="1859">
        <f t="shared" si="5"/>
        <v>33</v>
      </c>
      <c r="AO36" s="9">
        <v>121</v>
      </c>
      <c r="AP36" s="1860">
        <f t="shared" si="6"/>
        <v>33</v>
      </c>
      <c r="AQ36" s="9">
        <v>88</v>
      </c>
      <c r="AR36" s="9"/>
    </row>
    <row r="37" spans="1:44" x14ac:dyDescent="0.2">
      <c r="A37" s="1372" t="s">
        <v>1796</v>
      </c>
      <c r="B37" s="1372" t="s">
        <v>1797</v>
      </c>
      <c r="C37" s="251">
        <f t="shared" si="0"/>
        <v>249</v>
      </c>
      <c r="D37" s="1">
        <v>1.6087962962962964E-2</v>
      </c>
      <c r="E37" s="1371" t="s">
        <v>5885</v>
      </c>
      <c r="F37" s="915">
        <f>COUNT(G37:Y37)+F438+F1154+F1396+F600+F1035+F1010+F1061+F988+F764+F1100+F479+F1334+F800+F943+F825+F178+F250+F334+F393+F1216+F1368</f>
        <v>56</v>
      </c>
      <c r="G37" s="1377">
        <v>156</v>
      </c>
      <c r="H37" s="1377">
        <v>25</v>
      </c>
      <c r="I37" s="1377"/>
      <c r="J37" s="1377"/>
      <c r="K37" s="1377">
        <v>8</v>
      </c>
      <c r="L37" s="1377"/>
      <c r="M37" s="1377">
        <v>1</v>
      </c>
      <c r="N37" s="1377">
        <v>2</v>
      </c>
      <c r="O37" s="1377">
        <v>1</v>
      </c>
      <c r="P37" s="1377"/>
      <c r="Q37" s="1377">
        <v>2</v>
      </c>
      <c r="R37" s="1377">
        <v>2</v>
      </c>
      <c r="S37" s="1377">
        <v>1</v>
      </c>
      <c r="T37" s="1377">
        <v>1</v>
      </c>
      <c r="U37" s="1377">
        <v>1</v>
      </c>
      <c r="V37" s="1377"/>
      <c r="W37" s="1377"/>
      <c r="X37" s="1377"/>
      <c r="Y37" s="1377"/>
      <c r="Z37" s="1377"/>
      <c r="AA37" s="1378">
        <f>C438+C600+C1396+C1035+C1010+C1061+C988+C764+C1100+C479+C1334+C800+C943+C825+C178+C250+C334+C393+C1154+C1216+C1368</f>
        <v>49</v>
      </c>
      <c r="AB37" s="1384">
        <v>43890</v>
      </c>
      <c r="AC37" s="34">
        <v>39942</v>
      </c>
      <c r="AD37">
        <v>12004</v>
      </c>
      <c r="AE37" t="str">
        <f t="shared" si="1"/>
        <v>Neil</v>
      </c>
      <c r="AF37" t="str">
        <f t="shared" si="2"/>
        <v>Frediani</v>
      </c>
      <c r="AI37" s="1856">
        <f t="shared" si="3"/>
        <v>6</v>
      </c>
      <c r="AJ37" s="1855">
        <v>243</v>
      </c>
      <c r="AK37" s="1453">
        <f t="shared" si="4"/>
        <v>3</v>
      </c>
      <c r="AL37" s="1879">
        <v>53</v>
      </c>
      <c r="AM37" s="1453"/>
      <c r="AN37" s="1859">
        <f t="shared" si="5"/>
        <v>30</v>
      </c>
      <c r="AO37" s="9">
        <v>213</v>
      </c>
      <c r="AP37" s="1860">
        <f t="shared" si="6"/>
        <v>29</v>
      </c>
      <c r="AQ37" s="9">
        <v>184</v>
      </c>
      <c r="AR37" s="9"/>
    </row>
    <row r="38" spans="1:44" x14ac:dyDescent="0.2">
      <c r="A38" s="1372" t="s">
        <v>868</v>
      </c>
      <c r="B38" s="1372" t="s">
        <v>2480</v>
      </c>
      <c r="C38" s="559">
        <f t="shared" si="0"/>
        <v>277</v>
      </c>
      <c r="D38" s="32">
        <v>1.5173611111111112E-2</v>
      </c>
      <c r="E38" s="1372" t="s">
        <v>5885</v>
      </c>
      <c r="F38" s="916">
        <f>COUNT(G38:Y38)+F251+F335</f>
        <v>10</v>
      </c>
      <c r="G38" s="1380">
        <v>1</v>
      </c>
      <c r="H38" s="1380">
        <v>4</v>
      </c>
      <c r="I38" s="1380"/>
      <c r="J38" s="1380"/>
      <c r="K38" s="1380"/>
      <c r="L38" s="1380"/>
      <c r="M38" s="1380"/>
      <c r="N38" s="1380"/>
      <c r="O38" s="1380"/>
      <c r="P38" s="1380"/>
      <c r="Q38" s="1380"/>
      <c r="R38" s="1380"/>
      <c r="S38" s="1380"/>
      <c r="T38" s="1380">
        <v>1</v>
      </c>
      <c r="U38" s="1380"/>
      <c r="V38" s="1380"/>
      <c r="W38" s="1380"/>
      <c r="X38" s="1380">
        <v>1</v>
      </c>
      <c r="Y38" s="1380"/>
      <c r="Z38" s="1380"/>
      <c r="AA38" s="1382">
        <f>C251+C335</f>
        <v>270</v>
      </c>
      <c r="AB38" s="1384">
        <v>43876</v>
      </c>
      <c r="AC38" s="34">
        <v>39501</v>
      </c>
      <c r="AD38">
        <v>12833</v>
      </c>
      <c r="AE38" t="str">
        <f t="shared" si="1"/>
        <v>Alan</v>
      </c>
      <c r="AF38" t="str">
        <f t="shared" si="2"/>
        <v>Friar</v>
      </c>
      <c r="AI38" s="1856">
        <f t="shared" si="3"/>
        <v>5</v>
      </c>
      <c r="AJ38" s="1855">
        <v>272</v>
      </c>
      <c r="AK38" s="1453">
        <f t="shared" si="4"/>
        <v>0</v>
      </c>
      <c r="AL38" s="1879">
        <v>10</v>
      </c>
      <c r="AM38" s="1453"/>
      <c r="AN38" s="1859">
        <f t="shared" si="5"/>
        <v>7</v>
      </c>
      <c r="AO38" s="9">
        <v>265</v>
      </c>
      <c r="AP38" s="1860">
        <f t="shared" si="6"/>
        <v>19</v>
      </c>
      <c r="AQ38" s="9">
        <v>246</v>
      </c>
      <c r="AR38" s="9"/>
    </row>
    <row r="39" spans="1:44" x14ac:dyDescent="0.2">
      <c r="A39" s="1372"/>
      <c r="B39" s="1372"/>
      <c r="C39" s="517"/>
      <c r="D39" s="32"/>
      <c r="E39" s="1372"/>
      <c r="F39" s="295"/>
      <c r="G39" s="1385" t="str">
        <f t="shared" ref="G39:X39" si="7">G7</f>
        <v>BFL</v>
      </c>
      <c r="H39" s="1385" t="str">
        <f t="shared" si="7"/>
        <v>BSH</v>
      </c>
      <c r="I39" s="1385" t="str">
        <f t="shared" si="7"/>
        <v>CAN</v>
      </c>
      <c r="J39" s="1385" t="str">
        <f t="shared" si="7"/>
        <v>CLA</v>
      </c>
      <c r="K39" s="1385" t="str">
        <f t="shared" si="7"/>
        <v>CRN</v>
      </c>
      <c r="L39" s="1385" t="str">
        <f t="shared" si="7"/>
        <v>FHP</v>
      </c>
      <c r="M39" s="1385" t="str">
        <f t="shared" si="7"/>
        <v>GLS</v>
      </c>
      <c r="N39" s="1385" t="str">
        <f t="shared" si="7"/>
        <v>GUN</v>
      </c>
      <c r="O39" s="1385" t="str">
        <f t="shared" si="7"/>
        <v>HAW</v>
      </c>
      <c r="P39" s="1385" t="str">
        <f t="shared" si="7"/>
        <v>HRR</v>
      </c>
      <c r="Q39" s="1385" t="str">
        <f t="shared" si="7"/>
        <v>KNG</v>
      </c>
      <c r="R39" s="1385" t="str">
        <f t="shared" si="7"/>
        <v>NOF</v>
      </c>
      <c r="S39" s="1385" t="str">
        <f t="shared" si="7"/>
        <v>ODP</v>
      </c>
      <c r="T39" s="1385" t="str">
        <f t="shared" si="7"/>
        <v>OST</v>
      </c>
      <c r="U39" s="1385" t="str">
        <f t="shared" si="7"/>
        <v>RCH</v>
      </c>
      <c r="V39" s="1385" t="str">
        <f t="shared" si="7"/>
        <v>TOO</v>
      </c>
      <c r="W39" s="1385" t="str">
        <f t="shared" si="7"/>
        <v>WIM</v>
      </c>
      <c r="X39" s="1385" t="str">
        <f t="shared" si="7"/>
        <v>WSC</v>
      </c>
      <c r="Y39" s="1385"/>
      <c r="Z39" s="1385"/>
      <c r="AA39" s="1386" t="s">
        <v>5432</v>
      </c>
      <c r="AB39" s="1379"/>
      <c r="AI39" s="1453"/>
      <c r="AJ39" s="1453"/>
      <c r="AK39" s="1453"/>
      <c r="AL39" s="1880"/>
      <c r="AM39" s="1453"/>
      <c r="AN39" s="1881"/>
      <c r="AO39" s="1398"/>
      <c r="AP39" s="1882"/>
      <c r="AQ39" s="1398"/>
      <c r="AR39" s="9"/>
    </row>
    <row r="40" spans="1:44" x14ac:dyDescent="0.2">
      <c r="A40" s="1370" t="s">
        <v>10935</v>
      </c>
      <c r="B40" s="1370" t="s">
        <v>10911</v>
      </c>
      <c r="C40" s="542">
        <f t="shared" ref="C40:C78" si="8">SUM(G40:AA40)</f>
        <v>3</v>
      </c>
      <c r="D40" s="32">
        <v>1.8680555555555554E-2</v>
      </c>
      <c r="E40" s="1370" t="s">
        <v>3009</v>
      </c>
      <c r="F40" s="915">
        <f>COUNT(G40:Y40)+F1335+F252+F601</f>
        <v>3</v>
      </c>
      <c r="G40" s="1385"/>
      <c r="H40" s="1385"/>
      <c r="I40" s="1385"/>
      <c r="J40" s="1385"/>
      <c r="K40" s="1385"/>
      <c r="L40" s="1385"/>
      <c r="M40" s="1385"/>
      <c r="N40" s="1385"/>
      <c r="O40" s="1385"/>
      <c r="P40" s="1385"/>
      <c r="Q40" s="1385"/>
      <c r="R40" s="1385"/>
      <c r="S40" s="1385"/>
      <c r="T40" s="1385"/>
      <c r="U40" s="1385"/>
      <c r="V40" s="1385"/>
      <c r="W40" s="1385"/>
      <c r="X40" s="1385"/>
      <c r="Y40" s="1385"/>
      <c r="Z40" s="1385"/>
      <c r="AA40" s="1383">
        <f>C1335+C252+C601</f>
        <v>3</v>
      </c>
      <c r="AB40" s="1379">
        <v>43400</v>
      </c>
      <c r="AC40" s="34">
        <v>43225</v>
      </c>
      <c r="AD40">
        <v>2547999</v>
      </c>
      <c r="AE40" t="str">
        <f t="shared" ref="AE40:AF43" si="9">A40</f>
        <v>Shelly</v>
      </c>
      <c r="AF40" t="str">
        <f t="shared" si="9"/>
        <v>Garratt</v>
      </c>
      <c r="AI40" s="1856">
        <f t="shared" si="3"/>
        <v>0</v>
      </c>
      <c r="AJ40" s="1855">
        <v>3</v>
      </c>
      <c r="AK40" s="1453">
        <f t="shared" si="4"/>
        <v>0</v>
      </c>
      <c r="AL40" s="1879">
        <v>3</v>
      </c>
      <c r="AM40" s="1453"/>
      <c r="AN40" s="1859">
        <f t="shared" si="5"/>
        <v>0</v>
      </c>
      <c r="AO40" s="9">
        <v>3</v>
      </c>
      <c r="AP40" s="1860">
        <f t="shared" si="6"/>
        <v>3</v>
      </c>
      <c r="AQ40" s="9">
        <v>0</v>
      </c>
      <c r="AR40" s="9"/>
    </row>
    <row r="41" spans="1:44" x14ac:dyDescent="0.2">
      <c r="A41" s="1372" t="s">
        <v>5540</v>
      </c>
      <c r="B41" s="1372" t="s">
        <v>5541</v>
      </c>
      <c r="C41" s="542">
        <f t="shared" si="8"/>
        <v>135</v>
      </c>
      <c r="D41" s="1">
        <v>1.539351851851852E-2</v>
      </c>
      <c r="E41" s="1370" t="s">
        <v>3167</v>
      </c>
      <c r="F41" s="915">
        <f>COUNT(G41:Y41)+F647+F726+F965+F253+F336+F765+F945+F670</f>
        <v>21</v>
      </c>
      <c r="G41" s="1377">
        <v>1</v>
      </c>
      <c r="H41" s="1377"/>
      <c r="I41" s="1377"/>
      <c r="J41" s="1377"/>
      <c r="K41" s="1377">
        <v>1</v>
      </c>
      <c r="L41" s="1377"/>
      <c r="M41" s="1377"/>
      <c r="N41" s="1377">
        <v>6</v>
      </c>
      <c r="O41" s="1377"/>
      <c r="P41" s="1377"/>
      <c r="Q41" s="1377">
        <v>1</v>
      </c>
      <c r="R41" s="1377">
        <v>7</v>
      </c>
      <c r="S41" s="1377">
        <v>1</v>
      </c>
      <c r="T41" s="1377"/>
      <c r="U41" s="1377"/>
      <c r="V41" s="1377">
        <v>1</v>
      </c>
      <c r="W41" s="1377"/>
      <c r="X41" s="1377"/>
      <c r="Y41" s="1377"/>
      <c r="Z41" s="1377"/>
      <c r="AA41" s="1378">
        <f>C647+C726+C965+C253+C336+C765+C945+C670</f>
        <v>117</v>
      </c>
      <c r="AB41" s="1384">
        <v>43841</v>
      </c>
      <c r="AC41" s="34">
        <v>40208</v>
      </c>
      <c r="AD41">
        <v>55303</v>
      </c>
      <c r="AE41" t="str">
        <f t="shared" si="9"/>
        <v>Eddie</v>
      </c>
      <c r="AF41" t="str">
        <f t="shared" si="9"/>
        <v>Giles</v>
      </c>
      <c r="AI41" s="1856">
        <f t="shared" si="3"/>
        <v>3</v>
      </c>
      <c r="AJ41" s="1855">
        <v>132</v>
      </c>
      <c r="AK41" s="1453">
        <f t="shared" si="4"/>
        <v>1</v>
      </c>
      <c r="AL41" s="1879">
        <v>20</v>
      </c>
      <c r="AM41" s="1453"/>
      <c r="AN41" s="1859">
        <f t="shared" si="5"/>
        <v>24</v>
      </c>
      <c r="AO41" s="9">
        <v>108</v>
      </c>
      <c r="AP41" s="1860">
        <f t="shared" si="6"/>
        <v>14</v>
      </c>
      <c r="AQ41" s="9">
        <v>94</v>
      </c>
      <c r="AR41" s="9"/>
    </row>
    <row r="42" spans="1:44" x14ac:dyDescent="0.2">
      <c r="A42" s="1372" t="s">
        <v>3543</v>
      </c>
      <c r="B42" s="1372" t="s">
        <v>3100</v>
      </c>
      <c r="C42" s="235">
        <f t="shared" si="8"/>
        <v>33</v>
      </c>
      <c r="D42" s="1">
        <v>1.6377314814814813E-2</v>
      </c>
      <c r="E42" s="1371" t="s">
        <v>5947</v>
      </c>
      <c r="F42" s="915">
        <f>COUNT(G42:Y42)+F254+F394</f>
        <v>2</v>
      </c>
      <c r="G42" s="1377"/>
      <c r="H42" s="1377"/>
      <c r="I42" s="1377"/>
      <c r="J42" s="1377"/>
      <c r="K42" s="1377"/>
      <c r="L42" s="1377"/>
      <c r="M42" s="1377"/>
      <c r="N42" s="1377"/>
      <c r="O42" s="1377"/>
      <c r="P42" s="1377"/>
      <c r="Q42" s="1377"/>
      <c r="R42" s="1377"/>
      <c r="S42" s="1377"/>
      <c r="T42" s="1377"/>
      <c r="U42" s="1377"/>
      <c r="V42" s="1377"/>
      <c r="W42" s="1377"/>
      <c r="X42" s="1377"/>
      <c r="Y42" s="1377"/>
      <c r="Z42" s="1377"/>
      <c r="AA42" s="1378">
        <f>C254+C394</f>
        <v>33</v>
      </c>
      <c r="AB42" s="1379">
        <v>43659</v>
      </c>
      <c r="AC42" s="34">
        <v>42133</v>
      </c>
      <c r="AD42">
        <v>1631990</v>
      </c>
      <c r="AE42" t="str">
        <f t="shared" si="9"/>
        <v>James</v>
      </c>
      <c r="AF42" t="str">
        <f t="shared" si="9"/>
        <v>Glover</v>
      </c>
      <c r="AI42" s="1856">
        <f t="shared" si="3"/>
        <v>1</v>
      </c>
      <c r="AJ42" s="1855">
        <v>32</v>
      </c>
      <c r="AK42" s="1453">
        <f t="shared" si="4"/>
        <v>1</v>
      </c>
      <c r="AL42" s="1879">
        <v>1</v>
      </c>
      <c r="AM42" s="1453"/>
      <c r="AN42" s="1859">
        <f t="shared" si="5"/>
        <v>5</v>
      </c>
      <c r="AO42" s="9">
        <v>27</v>
      </c>
      <c r="AP42" s="1860">
        <f t="shared" si="6"/>
        <v>3</v>
      </c>
      <c r="AQ42" s="9">
        <v>24</v>
      </c>
      <c r="AR42" s="9"/>
    </row>
    <row r="43" spans="1:44" x14ac:dyDescent="0.2">
      <c r="A43" s="1375" t="s">
        <v>5980</v>
      </c>
      <c r="B43" s="1375" t="s">
        <v>4818</v>
      </c>
      <c r="C43" s="559">
        <f>SUM(G43:AA43)</f>
        <v>260</v>
      </c>
      <c r="D43" s="1">
        <v>2.0914351851851851E-2</v>
      </c>
      <c r="E43" s="1371" t="s">
        <v>5656</v>
      </c>
      <c r="F43" s="915">
        <f>COUNT(G43:Y43)+F440+F480+F179+F548+F520+F864+E966+F966+F1101+F1297+F1336+F1185+F946+F1036+F989+F766+F1259+F1062+F1129+F566+F1279+F826+F255+F337+F395+F602+F695+F671+F842</f>
        <v>118</v>
      </c>
      <c r="G43" s="1377">
        <v>1</v>
      </c>
      <c r="H43" s="1377"/>
      <c r="I43" s="1377"/>
      <c r="J43" s="1377"/>
      <c r="K43" s="1377">
        <v>1</v>
      </c>
      <c r="L43" s="1377"/>
      <c r="M43" s="1377"/>
      <c r="N43" s="1377">
        <v>1</v>
      </c>
      <c r="O43" s="1377"/>
      <c r="P43" s="1377"/>
      <c r="Q43" s="1377"/>
      <c r="R43" s="1377"/>
      <c r="S43" s="1377"/>
      <c r="T43" s="1377">
        <v>1</v>
      </c>
      <c r="U43" s="1377"/>
      <c r="V43" s="1377"/>
      <c r="W43" s="1377"/>
      <c r="X43" s="1377"/>
      <c r="Y43" s="1377"/>
      <c r="Z43" s="1377"/>
      <c r="AA43" s="1378">
        <f>C440+C480+C179+C548+C520+C864+C946+C966+C1101+C1185+C1297+C1336+C1036+C989+C766+C1259+C1062+C1129+C566+C1279+C826+C255+C337+C395+C602+C695+C671+C842</f>
        <v>256</v>
      </c>
      <c r="AB43" s="1384">
        <v>43904</v>
      </c>
      <c r="AC43" s="523" t="s">
        <v>10417</v>
      </c>
      <c r="AD43">
        <v>279770</v>
      </c>
      <c r="AE43" t="str">
        <f t="shared" si="9"/>
        <v>Sarah</v>
      </c>
      <c r="AF43" t="str">
        <f t="shared" si="9"/>
        <v>Gordon</v>
      </c>
      <c r="AI43" s="1998">
        <f t="shared" si="3"/>
        <v>10</v>
      </c>
      <c r="AJ43" s="1855">
        <v>250</v>
      </c>
      <c r="AK43" s="1453">
        <f t="shared" si="4"/>
        <v>4</v>
      </c>
      <c r="AL43" s="1879">
        <v>114</v>
      </c>
      <c r="AM43" s="1453"/>
      <c r="AN43" s="1859">
        <f t="shared" si="5"/>
        <v>35</v>
      </c>
      <c r="AO43" s="9">
        <v>215</v>
      </c>
      <c r="AP43" s="1860">
        <f t="shared" si="6"/>
        <v>40</v>
      </c>
      <c r="AQ43" s="9">
        <v>175</v>
      </c>
      <c r="AR43" s="9"/>
    </row>
    <row r="44" spans="1:44" ht="12.75" customHeight="1" x14ac:dyDescent="0.2">
      <c r="A44" s="1375" t="s">
        <v>3011</v>
      </c>
      <c r="B44" s="1375" t="s">
        <v>3012</v>
      </c>
      <c r="C44" s="509">
        <f t="shared" si="8"/>
        <v>59</v>
      </c>
      <c r="D44" s="841">
        <v>1.2118055555555556E-2</v>
      </c>
      <c r="E44" s="1371" t="s">
        <v>4361</v>
      </c>
      <c r="F44" s="915">
        <f>COUNT(G44:Y44)+F603+F1214+F1260+F256+F696+F1397</f>
        <v>12</v>
      </c>
      <c r="G44" s="1387"/>
      <c r="H44" s="1387">
        <v>1</v>
      </c>
      <c r="I44" s="1387"/>
      <c r="J44" s="1387"/>
      <c r="K44" s="1387"/>
      <c r="L44" s="1387"/>
      <c r="M44" s="1387"/>
      <c r="N44" s="1387"/>
      <c r="O44" s="1387"/>
      <c r="P44" s="1387"/>
      <c r="Q44" s="1387"/>
      <c r="R44" s="1387"/>
      <c r="S44" s="1387"/>
      <c r="T44" s="1387"/>
      <c r="U44" s="1387"/>
      <c r="V44" s="1387"/>
      <c r="W44" s="1387"/>
      <c r="X44" s="1387"/>
      <c r="Y44" s="1387"/>
      <c r="Z44" s="1387"/>
      <c r="AA44" s="1997">
        <f>C603+C1214+C1260+C256+C696+C1897</f>
        <v>58</v>
      </c>
      <c r="AB44" s="1384">
        <v>43883</v>
      </c>
      <c r="AC44" s="34">
        <v>40502</v>
      </c>
      <c r="AD44">
        <v>100020</v>
      </c>
      <c r="AE44" t="s">
        <v>3011</v>
      </c>
      <c r="AF44" t="s">
        <v>3012</v>
      </c>
      <c r="AI44" s="1856">
        <f t="shared" si="3"/>
        <v>4</v>
      </c>
      <c r="AJ44" s="1855">
        <v>55</v>
      </c>
      <c r="AK44" s="1453">
        <f t="shared" si="4"/>
        <v>1</v>
      </c>
      <c r="AL44" s="1879">
        <v>11</v>
      </c>
      <c r="AM44" s="1453"/>
      <c r="AN44" s="1859">
        <f t="shared" si="5"/>
        <v>6</v>
      </c>
      <c r="AO44" s="9">
        <v>49</v>
      </c>
      <c r="AP44" s="1860">
        <f t="shared" si="6"/>
        <v>7</v>
      </c>
      <c r="AQ44" s="9">
        <v>42</v>
      </c>
      <c r="AR44" s="9"/>
    </row>
    <row r="45" spans="1:44" x14ac:dyDescent="0.2">
      <c r="A45" s="1372" t="s">
        <v>3007</v>
      </c>
      <c r="B45" s="1372" t="s">
        <v>664</v>
      </c>
      <c r="C45" s="235">
        <f t="shared" si="8"/>
        <v>3</v>
      </c>
      <c r="D45" s="1">
        <v>1.9270833333333334E-2</v>
      </c>
      <c r="E45" s="1371" t="s">
        <v>5948</v>
      </c>
      <c r="F45" s="915">
        <f>COUNT(G45:Y45)+F257</f>
        <v>1</v>
      </c>
      <c r="G45" s="1377"/>
      <c r="H45" s="1377"/>
      <c r="I45" s="1377"/>
      <c r="J45" s="1377"/>
      <c r="K45" s="1377"/>
      <c r="L45" s="1377"/>
      <c r="M45" s="1377"/>
      <c r="N45" s="1377"/>
      <c r="O45" s="1377"/>
      <c r="P45" s="1377"/>
      <c r="Q45" s="1377"/>
      <c r="R45" s="1377"/>
      <c r="S45" s="1377"/>
      <c r="T45" s="1377"/>
      <c r="U45" s="1377"/>
      <c r="V45" s="1377"/>
      <c r="W45" s="1377"/>
      <c r="X45" s="1377"/>
      <c r="Y45" s="1377"/>
      <c r="Z45" s="1377"/>
      <c r="AA45" s="1378">
        <f>C257</f>
        <v>3</v>
      </c>
      <c r="AB45" s="1379">
        <v>40243</v>
      </c>
      <c r="AC45" s="34">
        <v>40222</v>
      </c>
      <c r="AD45">
        <v>11098</v>
      </c>
      <c r="AE45" t="str">
        <f t="shared" ref="AE45:AE78" si="10">A45</f>
        <v>Clara</v>
      </c>
      <c r="AF45" t="str">
        <f t="shared" ref="AF45:AF78" si="11">B45</f>
        <v>Halket</v>
      </c>
      <c r="AI45" s="1856">
        <f t="shared" si="3"/>
        <v>0</v>
      </c>
      <c r="AJ45" s="1855">
        <v>3</v>
      </c>
      <c r="AK45" s="1453">
        <f t="shared" si="4"/>
        <v>0</v>
      </c>
      <c r="AL45" s="1879">
        <v>1</v>
      </c>
      <c r="AM45" s="1453"/>
      <c r="AN45" s="1859">
        <f t="shared" si="5"/>
        <v>0</v>
      </c>
      <c r="AO45" s="9">
        <v>3</v>
      </c>
      <c r="AP45" s="1860">
        <f t="shared" si="6"/>
        <v>0</v>
      </c>
      <c r="AQ45" s="9">
        <v>3</v>
      </c>
      <c r="AR45" s="9"/>
    </row>
    <row r="46" spans="1:44" x14ac:dyDescent="0.2">
      <c r="A46" s="1375" t="s">
        <v>5369</v>
      </c>
      <c r="B46" s="1375" t="s">
        <v>2117</v>
      </c>
      <c r="C46" s="235">
        <f t="shared" si="8"/>
        <v>18</v>
      </c>
      <c r="D46" s="1">
        <v>1.8622685185185183E-2</v>
      </c>
      <c r="E46" s="1371" t="s">
        <v>4260</v>
      </c>
      <c r="F46" s="915">
        <f>COUNT(G46:Y46)+F990+F1011+F767+F1102+F672</f>
        <v>11</v>
      </c>
      <c r="G46" s="1377"/>
      <c r="H46" s="1377"/>
      <c r="I46" s="1377"/>
      <c r="J46" s="1377"/>
      <c r="K46" s="1377"/>
      <c r="L46" s="1377"/>
      <c r="M46" s="1377"/>
      <c r="N46" s="1377"/>
      <c r="O46" s="1377"/>
      <c r="P46" s="1377"/>
      <c r="Q46" s="1377"/>
      <c r="R46" s="1377"/>
      <c r="S46" s="1377"/>
      <c r="T46" s="1377"/>
      <c r="U46" s="1377"/>
      <c r="V46" s="1377"/>
      <c r="W46" s="1377"/>
      <c r="X46" s="1377"/>
      <c r="Y46" s="1377"/>
      <c r="Z46" s="1377"/>
      <c r="AA46" s="1383">
        <f>C767+C990+C1011+C1102+C672</f>
        <v>18</v>
      </c>
      <c r="AB46" s="1379">
        <v>43323</v>
      </c>
      <c r="AC46" s="34">
        <v>41594</v>
      </c>
      <c r="AD46">
        <v>740786</v>
      </c>
      <c r="AE46" t="str">
        <f t="shared" si="10"/>
        <v>Ray</v>
      </c>
      <c r="AF46" t="str">
        <f t="shared" si="11"/>
        <v>Hampton</v>
      </c>
      <c r="AI46" s="1856">
        <f t="shared" si="3"/>
        <v>0</v>
      </c>
      <c r="AJ46" s="1855">
        <v>18</v>
      </c>
      <c r="AK46" s="1453">
        <f t="shared" si="4"/>
        <v>0</v>
      </c>
      <c r="AL46" s="1879">
        <v>11</v>
      </c>
      <c r="AM46" s="1453"/>
      <c r="AN46" s="1859">
        <f t="shared" si="5"/>
        <v>0</v>
      </c>
      <c r="AO46" s="9">
        <v>18</v>
      </c>
      <c r="AP46" s="1860">
        <f t="shared" si="6"/>
        <v>3</v>
      </c>
      <c r="AQ46" s="9">
        <v>15</v>
      </c>
      <c r="AR46" s="9"/>
    </row>
    <row r="47" spans="1:44" x14ac:dyDescent="0.2">
      <c r="A47" s="1375" t="s">
        <v>4062</v>
      </c>
      <c r="B47" s="1375" t="s">
        <v>4920</v>
      </c>
      <c r="C47" s="235">
        <f t="shared" si="8"/>
        <v>1</v>
      </c>
      <c r="D47" s="1">
        <v>1.5717592592592592E-2</v>
      </c>
      <c r="E47" s="1371" t="s">
        <v>5885</v>
      </c>
      <c r="F47" s="915">
        <f>COUNT(G47:Y47)</f>
        <v>1</v>
      </c>
      <c r="G47" s="1377"/>
      <c r="H47" s="1377">
        <v>1</v>
      </c>
      <c r="I47" s="1377"/>
      <c r="J47" s="1377"/>
      <c r="K47" s="1377"/>
      <c r="L47" s="1377"/>
      <c r="M47" s="1377"/>
      <c r="N47" s="1377"/>
      <c r="O47" s="1377"/>
      <c r="P47" s="1377"/>
      <c r="Q47" s="1377"/>
      <c r="R47" s="1377"/>
      <c r="S47" s="1377"/>
      <c r="T47" s="1377"/>
      <c r="U47" s="1377"/>
      <c r="V47" s="1377"/>
      <c r="W47" s="1377"/>
      <c r="X47" s="1377"/>
      <c r="Y47" s="1377"/>
      <c r="Z47" s="1377"/>
      <c r="AA47" s="1378"/>
      <c r="AB47" s="1379">
        <v>42581</v>
      </c>
      <c r="AC47" s="34">
        <v>42581</v>
      </c>
      <c r="AD47">
        <v>212511</v>
      </c>
      <c r="AE47" t="str">
        <f t="shared" si="10"/>
        <v>Debbie</v>
      </c>
      <c r="AF47" t="str">
        <f t="shared" si="11"/>
        <v>Helsdon</v>
      </c>
      <c r="AI47" s="1856">
        <f t="shared" si="3"/>
        <v>0</v>
      </c>
      <c r="AJ47" s="1855">
        <v>1</v>
      </c>
      <c r="AK47" s="1453">
        <f t="shared" si="4"/>
        <v>0</v>
      </c>
      <c r="AL47" s="1879">
        <v>1</v>
      </c>
      <c r="AM47" s="1453"/>
      <c r="AN47" s="1859">
        <f t="shared" si="5"/>
        <v>0</v>
      </c>
      <c r="AO47" s="9">
        <v>1</v>
      </c>
      <c r="AP47" s="1860">
        <f t="shared" si="6"/>
        <v>0</v>
      </c>
      <c r="AQ47" s="9">
        <v>1</v>
      </c>
      <c r="AR47" s="9"/>
    </row>
    <row r="48" spans="1:44" x14ac:dyDescent="0.2">
      <c r="A48" s="1372" t="s">
        <v>1308</v>
      </c>
      <c r="B48" s="1372" t="s">
        <v>428</v>
      </c>
      <c r="C48" s="252">
        <f t="shared" si="8"/>
        <v>72</v>
      </c>
      <c r="D48" s="1">
        <v>1.3252314814814814E-2</v>
      </c>
      <c r="E48" s="1371" t="s">
        <v>5885</v>
      </c>
      <c r="F48" s="915">
        <f>COUNT(G48:Y48)+F1280+F258</f>
        <v>4</v>
      </c>
      <c r="G48" s="1377"/>
      <c r="H48" s="1377">
        <v>69</v>
      </c>
      <c r="I48" s="1377"/>
      <c r="J48" s="1377"/>
      <c r="K48" s="1377">
        <v>1</v>
      </c>
      <c r="L48" s="1377"/>
      <c r="M48" s="1377"/>
      <c r="N48" s="1377"/>
      <c r="O48" s="1377"/>
      <c r="P48" s="1377"/>
      <c r="Q48" s="1377"/>
      <c r="R48" s="1377"/>
      <c r="S48" s="1377"/>
      <c r="T48" s="1377"/>
      <c r="U48" s="1377"/>
      <c r="V48" s="1377"/>
      <c r="W48" s="1377"/>
      <c r="X48" s="1377"/>
      <c r="Y48" s="1377"/>
      <c r="Z48" s="1377"/>
      <c r="AA48" s="1378">
        <f>C1280+C258</f>
        <v>2</v>
      </c>
      <c r="AB48" s="1384">
        <v>43743</v>
      </c>
      <c r="AC48" s="34">
        <v>39753</v>
      </c>
      <c r="AD48">
        <v>22198</v>
      </c>
      <c r="AE48" t="str">
        <f t="shared" si="10"/>
        <v>Colin</v>
      </c>
      <c r="AF48" t="str">
        <f t="shared" si="11"/>
        <v>Haylock</v>
      </c>
      <c r="AI48" s="1856">
        <f t="shared" si="3"/>
        <v>0</v>
      </c>
      <c r="AJ48" s="1855">
        <v>72</v>
      </c>
      <c r="AK48" s="1453">
        <f t="shared" si="4"/>
        <v>0</v>
      </c>
      <c r="AL48" s="1879">
        <v>4</v>
      </c>
      <c r="AM48" s="1453"/>
      <c r="AN48" s="1859">
        <f t="shared" si="5"/>
        <v>3</v>
      </c>
      <c r="AO48" s="9">
        <v>69</v>
      </c>
      <c r="AP48" s="1860">
        <f t="shared" si="6"/>
        <v>1</v>
      </c>
      <c r="AQ48" s="9">
        <v>68</v>
      </c>
      <c r="AR48" s="9"/>
    </row>
    <row r="49" spans="1:45" x14ac:dyDescent="0.2">
      <c r="A49" s="1372" t="s">
        <v>4640</v>
      </c>
      <c r="B49" s="1372" t="s">
        <v>4641</v>
      </c>
      <c r="C49" s="235">
        <f>SUM(G49:AA49)</f>
        <v>8</v>
      </c>
      <c r="D49" s="1">
        <v>2.4305555555555556E-2</v>
      </c>
      <c r="E49" s="1371" t="s">
        <v>9816</v>
      </c>
      <c r="F49" s="915">
        <f>COUNT(G49:Y49)+F1037+F967+F259</f>
        <v>4</v>
      </c>
      <c r="G49" s="1377"/>
      <c r="H49" s="1377"/>
      <c r="I49" s="1377"/>
      <c r="J49" s="1377"/>
      <c r="K49" s="1377"/>
      <c r="L49" s="1377"/>
      <c r="M49" s="1377"/>
      <c r="N49" s="1377"/>
      <c r="O49" s="1377"/>
      <c r="P49" s="1377"/>
      <c r="Q49" s="1377"/>
      <c r="R49" s="1377"/>
      <c r="S49" s="1377"/>
      <c r="T49" s="1377"/>
      <c r="U49" s="1377"/>
      <c r="V49" s="1377"/>
      <c r="W49" s="1377"/>
      <c r="X49" s="1377"/>
      <c r="Y49" s="1377"/>
      <c r="Z49" s="1377"/>
      <c r="AA49" s="1378">
        <f>C259+C967+C1037</f>
        <v>8</v>
      </c>
      <c r="AB49" s="1379">
        <v>43533</v>
      </c>
      <c r="AC49" s="34">
        <v>41706</v>
      </c>
      <c r="AD49">
        <v>757705</v>
      </c>
      <c r="AE49" t="str">
        <f t="shared" si="10"/>
        <v>Alastair</v>
      </c>
      <c r="AF49" t="str">
        <f t="shared" si="11"/>
        <v>Heslop</v>
      </c>
      <c r="AI49" s="1856">
        <f t="shared" si="3"/>
        <v>0</v>
      </c>
      <c r="AJ49" s="1855">
        <v>8</v>
      </c>
      <c r="AK49" s="1453">
        <f t="shared" si="4"/>
        <v>0</v>
      </c>
      <c r="AL49" s="1879">
        <v>4</v>
      </c>
      <c r="AM49" s="1453"/>
      <c r="AN49" s="1859">
        <f>AJ49-AO49</f>
        <v>1</v>
      </c>
      <c r="AO49" s="9">
        <v>7</v>
      </c>
      <c r="AP49" s="1860">
        <f t="shared" si="6"/>
        <v>3</v>
      </c>
      <c r="AQ49" s="9">
        <v>4</v>
      </c>
      <c r="AR49" s="9"/>
      <c r="AS49" s="80"/>
    </row>
    <row r="50" spans="1:45" x14ac:dyDescent="0.2">
      <c r="A50" s="1372" t="s">
        <v>1794</v>
      </c>
      <c r="B50" s="1372" t="s">
        <v>2708</v>
      </c>
      <c r="C50" s="235">
        <f t="shared" si="8"/>
        <v>8</v>
      </c>
      <c r="D50" s="1">
        <v>2.0509259259259258E-2</v>
      </c>
      <c r="E50" s="1371" t="s">
        <v>998</v>
      </c>
      <c r="F50" s="915">
        <f>COUNT(G50:Y50)+C260</f>
        <v>4</v>
      </c>
      <c r="G50" s="1377"/>
      <c r="H50" s="1377"/>
      <c r="I50" s="1377"/>
      <c r="J50" s="1377"/>
      <c r="K50" s="1377"/>
      <c r="L50" s="1377"/>
      <c r="M50" s="1377"/>
      <c r="N50" s="1377">
        <v>2</v>
      </c>
      <c r="O50" s="1377"/>
      <c r="P50" s="1377"/>
      <c r="Q50" s="1377"/>
      <c r="R50" s="1377">
        <v>4</v>
      </c>
      <c r="S50" s="1377">
        <v>1</v>
      </c>
      <c r="T50" s="1377"/>
      <c r="U50" s="1377"/>
      <c r="V50" s="1377"/>
      <c r="W50" s="1377"/>
      <c r="X50" s="1377"/>
      <c r="Y50" s="1377"/>
      <c r="Z50" s="1377"/>
      <c r="AA50" s="1378">
        <f>C260</f>
        <v>1</v>
      </c>
      <c r="AB50" s="1379">
        <v>43666</v>
      </c>
      <c r="AC50" s="34">
        <v>40887</v>
      </c>
      <c r="AD50">
        <v>212317</v>
      </c>
      <c r="AE50" t="str">
        <f t="shared" si="10"/>
        <v>Steve</v>
      </c>
      <c r="AF50" t="str">
        <f t="shared" si="11"/>
        <v>Hillier</v>
      </c>
      <c r="AI50" s="1856">
        <f t="shared" si="3"/>
        <v>0</v>
      </c>
      <c r="AJ50" s="1855">
        <v>8</v>
      </c>
      <c r="AK50" s="1453">
        <f t="shared" si="4"/>
        <v>0</v>
      </c>
      <c r="AL50" s="1879">
        <v>4</v>
      </c>
      <c r="AM50" s="1453"/>
      <c r="AN50" s="1859">
        <f t="shared" si="5"/>
        <v>1</v>
      </c>
      <c r="AO50" s="9">
        <v>7</v>
      </c>
      <c r="AP50" s="1860">
        <f t="shared" si="6"/>
        <v>4</v>
      </c>
      <c r="AQ50" s="9">
        <v>3</v>
      </c>
      <c r="AR50" s="9"/>
    </row>
    <row r="51" spans="1:45" x14ac:dyDescent="0.2">
      <c r="A51" s="1372" t="s">
        <v>665</v>
      </c>
      <c r="B51" s="1372" t="s">
        <v>666</v>
      </c>
      <c r="C51" s="559">
        <f t="shared" ref="C51:C61" si="12">SUM(G51:AA51)</f>
        <v>391</v>
      </c>
      <c r="D51" s="1">
        <v>1.6423611111111111E-2</v>
      </c>
      <c r="E51" s="1371" t="s">
        <v>4004</v>
      </c>
      <c r="F51" s="915">
        <f>COUNT(G51:Y51)+F441+F481+F604+F727+F865+F968+F1187+F1298+F1038+F1081+F549+F522+F1337+F1398+F1103+F947+F180+F646+F1012+F1063+F768+F1281+F1155+F1261+F991+F1237+F801+F1130+F567+F827+F261+F340+F396+F1215+F1369+F1311+F697+F673+F843</f>
        <v>301</v>
      </c>
      <c r="G51" s="1377">
        <v>5</v>
      </c>
      <c r="H51" s="1377">
        <v>4</v>
      </c>
      <c r="I51" s="1377">
        <v>2</v>
      </c>
      <c r="J51" s="1377">
        <v>1</v>
      </c>
      <c r="K51" s="1377">
        <v>6</v>
      </c>
      <c r="L51" s="1377">
        <v>3</v>
      </c>
      <c r="M51" s="1377">
        <v>2</v>
      </c>
      <c r="N51" s="1377">
        <v>5</v>
      </c>
      <c r="O51" s="1377">
        <v>2</v>
      </c>
      <c r="P51" s="1377">
        <v>2</v>
      </c>
      <c r="Q51" s="1377">
        <v>1</v>
      </c>
      <c r="R51" s="1377">
        <v>10</v>
      </c>
      <c r="S51" s="1377">
        <v>1</v>
      </c>
      <c r="T51" s="1377">
        <v>5</v>
      </c>
      <c r="U51" s="1377">
        <v>2</v>
      </c>
      <c r="V51" s="1377">
        <v>1</v>
      </c>
      <c r="W51" s="1377">
        <v>1</v>
      </c>
      <c r="X51" s="1377">
        <v>2</v>
      </c>
      <c r="Y51" s="1377"/>
      <c r="Z51" s="1377"/>
      <c r="AA51" s="1378">
        <f>C441+C481+C180+C604+C727+C549+C522+C865+C947+C968+C1038+C1103+C1187+C1298+C1337+C1398+C1081+C646+C1012+C1063+C768+C1281+C1155+C1261+C991+C1237+C801+C1130+C567+C827+C261+C340+C396+C1215+C1369+C1311+C697+C673+C843</f>
        <v>336</v>
      </c>
      <c r="AB51" s="1384">
        <v>43904</v>
      </c>
      <c r="AC51" s="34">
        <v>40719</v>
      </c>
      <c r="AD51">
        <v>160643</v>
      </c>
      <c r="AE51" t="str">
        <f t="shared" ref="AE51:AE61" si="13">A51</f>
        <v>Roderick</v>
      </c>
      <c r="AF51" t="str">
        <f t="shared" si="11"/>
        <v>Hoffman</v>
      </c>
      <c r="AI51" s="1998">
        <f t="shared" ref="AI51:AI61" si="14">C51-AJ51</f>
        <v>13</v>
      </c>
      <c r="AJ51" s="1855">
        <v>378</v>
      </c>
      <c r="AK51" s="1453">
        <f t="shared" ref="AK51:AK61" si="15">F51-AL51</f>
        <v>9</v>
      </c>
      <c r="AL51" s="1879">
        <v>292</v>
      </c>
      <c r="AM51" s="1453"/>
      <c r="AN51" s="1861">
        <f>AJ51-AO51</f>
        <v>51</v>
      </c>
      <c r="AO51" s="9">
        <v>327</v>
      </c>
      <c r="AP51" s="1860">
        <f>AO51-AQ51</f>
        <v>48</v>
      </c>
      <c r="AQ51" s="9">
        <v>279</v>
      </c>
      <c r="AR51" s="9"/>
    </row>
    <row r="52" spans="1:45" x14ac:dyDescent="0.2">
      <c r="A52" s="1370" t="s">
        <v>12797</v>
      </c>
      <c r="B52" s="1370" t="s">
        <v>12718</v>
      </c>
      <c r="C52" s="1498">
        <f t="shared" si="12"/>
        <v>58</v>
      </c>
      <c r="D52" s="1">
        <v>1.5925925925925927E-2</v>
      </c>
      <c r="E52" s="1370" t="s">
        <v>3167</v>
      </c>
      <c r="F52" s="915">
        <f>COUNT(G52:Y52)+F262+F338+F482</f>
        <v>6</v>
      </c>
      <c r="G52" s="1377"/>
      <c r="H52" s="1377"/>
      <c r="I52" s="1377"/>
      <c r="J52" s="1377"/>
      <c r="K52" s="1377"/>
      <c r="L52" s="1377"/>
      <c r="M52" s="1377"/>
      <c r="N52" s="1377"/>
      <c r="O52" s="1377"/>
      <c r="P52" s="1377"/>
      <c r="Q52" s="1377"/>
      <c r="R52" s="1377"/>
      <c r="S52" s="1377"/>
      <c r="T52" s="1377"/>
      <c r="U52" s="1377"/>
      <c r="V52" s="1377"/>
      <c r="W52" s="1377"/>
      <c r="X52" s="1377"/>
      <c r="Y52" s="1377"/>
      <c r="Z52" s="1377"/>
      <c r="AA52" s="1378">
        <f>C262+C338+C482</f>
        <v>58</v>
      </c>
      <c r="AB52" s="1384">
        <v>43890</v>
      </c>
      <c r="AC52" s="34">
        <v>40600</v>
      </c>
      <c r="AD52">
        <v>122583</v>
      </c>
      <c r="AE52" t="str">
        <f t="shared" si="13"/>
        <v>Frankie</v>
      </c>
      <c r="AF52" t="str">
        <f t="shared" si="11"/>
        <v>Hogge</v>
      </c>
      <c r="AI52" s="1856">
        <f t="shared" si="14"/>
        <v>6</v>
      </c>
      <c r="AJ52" s="1855">
        <v>52</v>
      </c>
      <c r="AK52" s="1453">
        <f t="shared" si="15"/>
        <v>0</v>
      </c>
      <c r="AL52" s="1879">
        <v>6</v>
      </c>
      <c r="AM52" s="1453"/>
      <c r="AN52" s="1859">
        <f>AJ52-AO52</f>
        <v>52</v>
      </c>
      <c r="AO52" s="9"/>
      <c r="AP52" s="1860">
        <f>AO52-AQ52</f>
        <v>0</v>
      </c>
      <c r="AQ52" s="9"/>
      <c r="AR52" s="9"/>
    </row>
    <row r="53" spans="1:45" x14ac:dyDescent="0.2">
      <c r="A53" s="1370" t="s">
        <v>12758</v>
      </c>
      <c r="B53" s="1370" t="s">
        <v>12718</v>
      </c>
      <c r="C53" s="559">
        <f t="shared" si="12"/>
        <v>288</v>
      </c>
      <c r="D53" s="1">
        <v>1.2962962962962963E-2</v>
      </c>
      <c r="E53" s="1370" t="s">
        <v>3167</v>
      </c>
      <c r="F53" s="915">
        <f>COUNT(G53:Y53)+F263+F339+F483</f>
        <v>6</v>
      </c>
      <c r="G53" s="1377"/>
      <c r="H53" s="1377"/>
      <c r="I53" s="1377"/>
      <c r="J53" s="1377"/>
      <c r="K53" s="1377"/>
      <c r="L53" s="1377"/>
      <c r="M53" s="1377"/>
      <c r="N53" s="1377"/>
      <c r="O53" s="1377"/>
      <c r="P53" s="1377"/>
      <c r="Q53" s="1377"/>
      <c r="R53" s="1377"/>
      <c r="S53" s="1377"/>
      <c r="T53" s="1377"/>
      <c r="U53" s="1377"/>
      <c r="V53" s="1377"/>
      <c r="W53" s="1377"/>
      <c r="X53" s="1377"/>
      <c r="Y53" s="1377"/>
      <c r="Z53" s="1377"/>
      <c r="AA53" s="1378">
        <f>C263+C339+C483</f>
        <v>288</v>
      </c>
      <c r="AB53" s="1384">
        <v>43904</v>
      </c>
      <c r="AC53" s="34">
        <v>40117</v>
      </c>
      <c r="AD53">
        <v>47270</v>
      </c>
      <c r="AE53" t="str">
        <f t="shared" si="13"/>
        <v>Murray</v>
      </c>
      <c r="AF53" t="str">
        <f t="shared" si="11"/>
        <v>Hogge</v>
      </c>
      <c r="AI53" s="1856">
        <f t="shared" si="14"/>
        <v>7</v>
      </c>
      <c r="AJ53" s="1855">
        <v>281</v>
      </c>
      <c r="AK53" s="1453">
        <f t="shared" si="15"/>
        <v>1</v>
      </c>
      <c r="AL53" s="1879">
        <v>5</v>
      </c>
      <c r="AM53" s="1453"/>
      <c r="AN53" s="1859"/>
      <c r="AO53" s="9"/>
      <c r="AP53" s="1860">
        <f>AO53-AQ53</f>
        <v>0</v>
      </c>
      <c r="AQ53" s="9"/>
      <c r="AR53" s="9"/>
    </row>
    <row r="54" spans="1:45" x14ac:dyDescent="0.2">
      <c r="A54" s="1370" t="s">
        <v>16702</v>
      </c>
      <c r="B54" s="1370" t="s">
        <v>16703</v>
      </c>
      <c r="C54" s="1010">
        <f t="shared" si="12"/>
        <v>123</v>
      </c>
      <c r="D54" s="840">
        <v>1.9351851851851853E-2</v>
      </c>
      <c r="E54" s="1370" t="s">
        <v>16705</v>
      </c>
      <c r="F54" s="915">
        <f>COUNT(G54:Y54)+F182+F342+F398+F523+F1299+E1188+F268+F605</f>
        <v>23</v>
      </c>
      <c r="G54" s="1377">
        <v>85</v>
      </c>
      <c r="H54" s="1377">
        <v>5</v>
      </c>
      <c r="I54" s="1377"/>
      <c r="J54" s="1377">
        <v>1</v>
      </c>
      <c r="K54" s="1377">
        <v>1</v>
      </c>
      <c r="L54" s="1377">
        <v>1</v>
      </c>
      <c r="M54" s="1377"/>
      <c r="N54" s="1377">
        <v>1</v>
      </c>
      <c r="O54" s="1377">
        <v>7</v>
      </c>
      <c r="P54" s="1377"/>
      <c r="Q54" s="1377">
        <v>1</v>
      </c>
      <c r="R54" s="1377">
        <v>2</v>
      </c>
      <c r="S54" s="1377"/>
      <c r="T54" s="1377">
        <v>6</v>
      </c>
      <c r="U54" s="1377">
        <v>1</v>
      </c>
      <c r="V54" s="1377"/>
      <c r="W54" s="1377">
        <v>1</v>
      </c>
      <c r="X54" s="1377"/>
      <c r="Y54" s="1377"/>
      <c r="Z54" s="1377"/>
      <c r="AA54" s="1378">
        <f>C182+C342+C398+C523+C1299+C1188+C268+C605</f>
        <v>11</v>
      </c>
      <c r="AB54" s="1384">
        <v>43904</v>
      </c>
      <c r="AC54" s="34">
        <v>41160</v>
      </c>
      <c r="AD54">
        <v>344750</v>
      </c>
      <c r="AE54" t="str">
        <f t="shared" si="13"/>
        <v>Harjit</v>
      </c>
      <c r="AF54" t="str">
        <f t="shared" si="11"/>
        <v>Jhooti</v>
      </c>
      <c r="AI54" s="1856">
        <f t="shared" si="14"/>
        <v>7</v>
      </c>
      <c r="AJ54" s="1855">
        <v>116</v>
      </c>
      <c r="AK54" s="1453">
        <f t="shared" si="15"/>
        <v>6</v>
      </c>
      <c r="AL54" s="1879">
        <v>17</v>
      </c>
      <c r="AM54" s="1453"/>
      <c r="AN54" s="1859"/>
      <c r="AO54" s="9"/>
      <c r="AP54" s="1860"/>
      <c r="AQ54" s="9"/>
      <c r="AR54" s="9"/>
    </row>
    <row r="55" spans="1:45" x14ac:dyDescent="0.2">
      <c r="A55" s="1370" t="s">
        <v>13403</v>
      </c>
      <c r="B55" s="1370" t="s">
        <v>13368</v>
      </c>
      <c r="C55" s="1898">
        <f t="shared" si="12"/>
        <v>49</v>
      </c>
      <c r="D55" s="1">
        <v>1.7094907407407409E-2</v>
      </c>
      <c r="E55" s="1370" t="s">
        <v>1696</v>
      </c>
      <c r="F55" s="915">
        <f>COUNT(G55:Y55)+F524+F568+F442+E948+F675</f>
        <v>8</v>
      </c>
      <c r="G55" s="1377"/>
      <c r="H55" s="1377"/>
      <c r="I55" s="1377"/>
      <c r="J55" s="1377"/>
      <c r="K55" s="1377"/>
      <c r="L55" s="1377"/>
      <c r="M55" s="1377"/>
      <c r="N55" s="1377"/>
      <c r="O55" s="1377"/>
      <c r="P55" s="1377"/>
      <c r="Q55" s="1377"/>
      <c r="R55" s="1377"/>
      <c r="S55" s="1377"/>
      <c r="T55" s="1377"/>
      <c r="U55" s="1377"/>
      <c r="V55" s="1377"/>
      <c r="W55" s="1377"/>
      <c r="X55" s="1377"/>
      <c r="Y55" s="1377"/>
      <c r="Z55" s="1377"/>
      <c r="AA55" s="1378">
        <f>C442+C524+C568+C948+C675</f>
        <v>49</v>
      </c>
      <c r="AB55" s="1384">
        <v>43897</v>
      </c>
      <c r="AC55" s="34">
        <v>43505</v>
      </c>
      <c r="AD55">
        <v>2240850</v>
      </c>
      <c r="AE55" t="str">
        <f t="shared" si="13"/>
        <v>Keith</v>
      </c>
      <c r="AF55" t="str">
        <f t="shared" si="11"/>
        <v>Johnson</v>
      </c>
      <c r="AI55" s="1856">
        <f t="shared" si="14"/>
        <v>10</v>
      </c>
      <c r="AJ55" s="1855">
        <v>39</v>
      </c>
      <c r="AK55" s="1453">
        <f t="shared" si="15"/>
        <v>0</v>
      </c>
      <c r="AL55" s="1879">
        <v>8</v>
      </c>
      <c r="AM55" s="1453"/>
      <c r="AN55" s="1859">
        <f t="shared" ref="AN55:AN61" si="16">AJ55-AO55</f>
        <v>39</v>
      </c>
      <c r="AO55" s="9"/>
      <c r="AP55" s="1860">
        <f t="shared" ref="AP55:AP61" si="17">AO55-AQ55</f>
        <v>0</v>
      </c>
      <c r="AQ55" s="9"/>
      <c r="AR55" s="9"/>
    </row>
    <row r="56" spans="1:45" x14ac:dyDescent="0.2">
      <c r="A56" s="1375" t="s">
        <v>4677</v>
      </c>
      <c r="B56" s="1375" t="s">
        <v>4678</v>
      </c>
      <c r="C56" s="542">
        <f t="shared" si="12"/>
        <v>103</v>
      </c>
      <c r="D56" s="1">
        <v>1.9803240740740739E-2</v>
      </c>
      <c r="E56" s="1371" t="s">
        <v>5198</v>
      </c>
      <c r="F56" s="915">
        <f>COUNT(G56:Y56)+F1039+F769+F264+F341+F181+F728</f>
        <v>9</v>
      </c>
      <c r="G56" s="1377"/>
      <c r="H56" s="1377">
        <v>1</v>
      </c>
      <c r="I56" s="1377"/>
      <c r="J56" s="1377"/>
      <c r="K56" s="1377"/>
      <c r="L56" s="1377"/>
      <c r="M56" s="1377"/>
      <c r="N56" s="1377"/>
      <c r="O56" s="1377"/>
      <c r="P56" s="1377"/>
      <c r="Q56" s="1377"/>
      <c r="R56" s="1377"/>
      <c r="S56" s="1377"/>
      <c r="T56" s="1377"/>
      <c r="U56" s="1377">
        <v>1</v>
      </c>
      <c r="V56" s="1377"/>
      <c r="W56" s="1377"/>
      <c r="X56" s="1377"/>
      <c r="Y56" s="1377"/>
      <c r="Z56" s="1377"/>
      <c r="AA56" s="1378">
        <f>C1039+C769+C264+C341+C181+C728</f>
        <v>101</v>
      </c>
      <c r="AB56" s="1384">
        <v>43806</v>
      </c>
      <c r="AC56" s="34">
        <v>42014</v>
      </c>
      <c r="AD56">
        <v>1139453</v>
      </c>
      <c r="AE56" t="str">
        <f t="shared" si="13"/>
        <v>Kevin</v>
      </c>
      <c r="AF56" t="str">
        <f t="shared" si="11"/>
        <v>Holland</v>
      </c>
      <c r="AI56" s="1856">
        <f t="shared" si="14"/>
        <v>0</v>
      </c>
      <c r="AJ56" s="1855">
        <v>103</v>
      </c>
      <c r="AK56" s="1453">
        <f t="shared" si="15"/>
        <v>0</v>
      </c>
      <c r="AL56" s="1879">
        <v>9</v>
      </c>
      <c r="AM56" s="1453"/>
      <c r="AN56" s="1859">
        <f t="shared" si="16"/>
        <v>3</v>
      </c>
      <c r="AO56" s="9">
        <v>100</v>
      </c>
      <c r="AP56" s="1860">
        <f t="shared" si="17"/>
        <v>8</v>
      </c>
      <c r="AQ56" s="9">
        <v>92</v>
      </c>
      <c r="AR56" s="9"/>
    </row>
    <row r="57" spans="1:45" x14ac:dyDescent="0.2">
      <c r="A57" s="1375" t="s">
        <v>1798</v>
      </c>
      <c r="B57" s="1375" t="s">
        <v>3006</v>
      </c>
      <c r="C57" s="235">
        <f t="shared" si="12"/>
        <v>11</v>
      </c>
      <c r="D57" s="1">
        <v>1.7106481481481483E-2</v>
      </c>
      <c r="E57" s="1371" t="s">
        <v>3167</v>
      </c>
      <c r="F57" s="915">
        <f>COUNT(G57:Y57)+F265+F397</f>
        <v>3</v>
      </c>
      <c r="G57" s="1377"/>
      <c r="H57" s="1377"/>
      <c r="I57" s="1377"/>
      <c r="J57" s="1377"/>
      <c r="K57" s="1377"/>
      <c r="L57" s="1377"/>
      <c r="M57" s="1377"/>
      <c r="N57" s="1377"/>
      <c r="O57" s="1377"/>
      <c r="P57" s="1377"/>
      <c r="Q57" s="1377"/>
      <c r="R57" s="1377"/>
      <c r="S57" s="1377"/>
      <c r="T57" s="1377"/>
      <c r="U57" s="1377"/>
      <c r="V57" s="1377"/>
      <c r="W57" s="1377"/>
      <c r="X57" s="1377"/>
      <c r="Y57" s="1377"/>
      <c r="Z57" s="1377"/>
      <c r="AA57" s="1378">
        <f>C265+C397</f>
        <v>11</v>
      </c>
      <c r="AB57" s="1379">
        <v>42007</v>
      </c>
      <c r="AC57" s="34">
        <v>40887</v>
      </c>
      <c r="AD57">
        <v>210909</v>
      </c>
      <c r="AE57" t="str">
        <f t="shared" si="13"/>
        <v>Melanie</v>
      </c>
      <c r="AF57" t="str">
        <f t="shared" si="11"/>
        <v>Holman</v>
      </c>
      <c r="AI57" s="1856">
        <f t="shared" si="14"/>
        <v>0</v>
      </c>
      <c r="AJ57" s="1855">
        <v>11</v>
      </c>
      <c r="AK57" s="1453">
        <f t="shared" si="15"/>
        <v>1</v>
      </c>
      <c r="AL57" s="1879">
        <v>2</v>
      </c>
      <c r="AM57" s="1453"/>
      <c r="AN57" s="1859">
        <f t="shared" si="16"/>
        <v>0</v>
      </c>
      <c r="AO57" s="9">
        <v>11</v>
      </c>
      <c r="AP57" s="1860">
        <f t="shared" si="17"/>
        <v>0</v>
      </c>
      <c r="AQ57" s="9">
        <v>11</v>
      </c>
      <c r="AR57" s="9"/>
      <c r="AS57" s="80"/>
    </row>
    <row r="58" spans="1:45" x14ac:dyDescent="0.2">
      <c r="A58" s="1370" t="s">
        <v>3014</v>
      </c>
      <c r="B58" s="1370" t="s">
        <v>3015</v>
      </c>
      <c r="C58" s="509">
        <f t="shared" si="12"/>
        <v>68</v>
      </c>
      <c r="D58" s="1">
        <v>1.8252314814814815E-2</v>
      </c>
      <c r="E58" s="1371" t="s">
        <v>527</v>
      </c>
      <c r="F58" s="915">
        <f>COUNT(G58:Y58)+F443+F484+F183+F802+F569+F269+F399+F606+F770+F675</f>
        <v>22</v>
      </c>
      <c r="G58" s="1377">
        <v>1</v>
      </c>
      <c r="H58" s="1377">
        <v>1</v>
      </c>
      <c r="I58" s="1377"/>
      <c r="J58" s="1377"/>
      <c r="K58" s="1377"/>
      <c r="L58" s="1377"/>
      <c r="M58" s="1377"/>
      <c r="N58" s="1377"/>
      <c r="O58" s="1377"/>
      <c r="P58" s="1377"/>
      <c r="Q58" s="1377">
        <v>1</v>
      </c>
      <c r="R58" s="1377"/>
      <c r="S58" s="1377"/>
      <c r="T58" s="1377"/>
      <c r="U58" s="1377"/>
      <c r="V58" s="1377"/>
      <c r="W58" s="1377"/>
      <c r="X58" s="1377"/>
      <c r="Y58" s="1377"/>
      <c r="Z58" s="1377"/>
      <c r="AA58" s="1378">
        <f>C183+C269+C443+C484+C569+C802+C399+C606+C770+C674</f>
        <v>65</v>
      </c>
      <c r="AB58" s="1384">
        <v>43904</v>
      </c>
      <c r="AC58" s="34">
        <v>40355</v>
      </c>
      <c r="AD58">
        <v>78971</v>
      </c>
      <c r="AE58" t="str">
        <f t="shared" si="13"/>
        <v>Janice</v>
      </c>
      <c r="AF58" t="str">
        <f t="shared" si="11"/>
        <v>Jones</v>
      </c>
      <c r="AI58" s="1856">
        <f t="shared" si="14"/>
        <v>4</v>
      </c>
      <c r="AJ58" s="1855">
        <v>64</v>
      </c>
      <c r="AK58" s="1453">
        <f t="shared" si="15"/>
        <v>1</v>
      </c>
      <c r="AL58" s="1879">
        <v>21</v>
      </c>
      <c r="AM58" s="1453"/>
      <c r="AN58" s="1859">
        <f t="shared" si="16"/>
        <v>14</v>
      </c>
      <c r="AO58" s="9">
        <v>50</v>
      </c>
      <c r="AP58" s="1860">
        <f t="shared" si="17"/>
        <v>2</v>
      </c>
      <c r="AQ58" s="9">
        <v>48</v>
      </c>
      <c r="AR58" s="9"/>
    </row>
    <row r="59" spans="1:45" x14ac:dyDescent="0.2">
      <c r="A59" s="1375" t="s">
        <v>1046</v>
      </c>
      <c r="B59" s="1375" t="s">
        <v>1047</v>
      </c>
      <c r="C59" s="251">
        <f t="shared" si="12"/>
        <v>145</v>
      </c>
      <c r="D59" s="1">
        <v>1.3877314814814815E-2</v>
      </c>
      <c r="E59" s="1371" t="s">
        <v>5885</v>
      </c>
      <c r="F59" s="915">
        <f>COUNT(G59:Y59)+F866+F1064+F1338+F1013+F992</f>
        <v>7</v>
      </c>
      <c r="G59" s="1377"/>
      <c r="H59" s="1377">
        <v>128</v>
      </c>
      <c r="I59" s="1377"/>
      <c r="J59" s="1377"/>
      <c r="K59" s="1377"/>
      <c r="L59" s="1377"/>
      <c r="M59" s="1377"/>
      <c r="N59" s="1377"/>
      <c r="O59" s="1377"/>
      <c r="P59" s="1377"/>
      <c r="Q59" s="1377"/>
      <c r="R59" s="1377"/>
      <c r="S59" s="1377"/>
      <c r="T59" s="1377"/>
      <c r="U59" s="1377"/>
      <c r="V59" s="1377"/>
      <c r="W59" s="1377"/>
      <c r="X59" s="1377"/>
      <c r="Y59" s="1377"/>
      <c r="Z59" s="1377"/>
      <c r="AA59" s="1378">
        <f>C866+C1338+C1013+C992+C1064</f>
        <v>17</v>
      </c>
      <c r="AB59" s="1384">
        <v>43897</v>
      </c>
      <c r="AC59" s="34">
        <v>40845</v>
      </c>
      <c r="AD59">
        <v>200650</v>
      </c>
      <c r="AE59" t="str">
        <f t="shared" si="13"/>
        <v>Andrew W</v>
      </c>
      <c r="AF59" t="str">
        <f t="shared" si="11"/>
        <v>Jordan</v>
      </c>
      <c r="AI59" s="1856">
        <f t="shared" si="14"/>
        <v>5</v>
      </c>
      <c r="AJ59" s="1855">
        <v>140</v>
      </c>
      <c r="AK59" s="1453">
        <f t="shared" si="15"/>
        <v>0</v>
      </c>
      <c r="AL59" s="1879">
        <v>7</v>
      </c>
      <c r="AM59" s="1453"/>
      <c r="AN59" s="1859">
        <f t="shared" si="16"/>
        <v>3</v>
      </c>
      <c r="AO59" s="9">
        <v>137</v>
      </c>
      <c r="AP59" s="1860">
        <f t="shared" si="17"/>
        <v>1</v>
      </c>
      <c r="AQ59" s="9">
        <v>136</v>
      </c>
      <c r="AR59" s="9"/>
    </row>
    <row r="60" spans="1:45" x14ac:dyDescent="0.2">
      <c r="A60" s="1375" t="s">
        <v>2342</v>
      </c>
      <c r="B60" s="1375" t="s">
        <v>2343</v>
      </c>
      <c r="C60" s="1185">
        <f t="shared" si="12"/>
        <v>310</v>
      </c>
      <c r="D60" s="1054">
        <v>1.3993055555555555E-2</v>
      </c>
      <c r="E60" s="1371" t="s">
        <v>5885</v>
      </c>
      <c r="F60" s="915">
        <f>COUNT(G60:Y60)+F444+F949+F969+F1189+F185+F270+F343+F400+F1217+F648+F485</f>
        <v>45</v>
      </c>
      <c r="G60" s="1377">
        <v>135</v>
      </c>
      <c r="H60" s="1377">
        <v>11</v>
      </c>
      <c r="I60" s="1377"/>
      <c r="J60" s="1377">
        <v>1</v>
      </c>
      <c r="K60" s="1377">
        <v>66</v>
      </c>
      <c r="L60" s="1377">
        <v>1</v>
      </c>
      <c r="M60" s="1377">
        <v>1</v>
      </c>
      <c r="N60" s="1377">
        <v>4</v>
      </c>
      <c r="O60" s="1377">
        <v>5</v>
      </c>
      <c r="P60" s="1377">
        <v>1</v>
      </c>
      <c r="Q60" s="1377">
        <v>4</v>
      </c>
      <c r="R60" s="1377">
        <v>3</v>
      </c>
      <c r="S60" s="1377">
        <v>23</v>
      </c>
      <c r="T60" s="1377">
        <v>11</v>
      </c>
      <c r="U60" s="1377">
        <v>7</v>
      </c>
      <c r="V60" s="1377">
        <v>1</v>
      </c>
      <c r="W60" s="1377">
        <v>1</v>
      </c>
      <c r="X60" s="1377">
        <v>1</v>
      </c>
      <c r="Y60" s="1377"/>
      <c r="Z60" s="1377"/>
      <c r="AA60" s="1378">
        <f>C400+C444+C949+C969+C1189+C185+C270+C343+C1217+C648+C485</f>
        <v>34</v>
      </c>
      <c r="AB60" s="1384">
        <v>43904</v>
      </c>
      <c r="AC60" s="34">
        <v>41342</v>
      </c>
      <c r="AD60">
        <v>462128</v>
      </c>
      <c r="AE60" t="str">
        <f t="shared" si="13"/>
        <v>Maria</v>
      </c>
      <c r="AF60" t="str">
        <f t="shared" si="11"/>
        <v>Jovani</v>
      </c>
      <c r="AI60" s="1998">
        <f t="shared" si="14"/>
        <v>13</v>
      </c>
      <c r="AJ60" s="1855">
        <v>297</v>
      </c>
      <c r="AK60" s="1453">
        <f t="shared" si="15"/>
        <v>1</v>
      </c>
      <c r="AL60" s="1879">
        <v>44</v>
      </c>
      <c r="AM60" s="1453"/>
      <c r="AN60" s="1859">
        <f t="shared" si="16"/>
        <v>43</v>
      </c>
      <c r="AO60" s="9">
        <v>254</v>
      </c>
      <c r="AP60" s="1860">
        <f t="shared" si="17"/>
        <v>44</v>
      </c>
      <c r="AQ60" s="9">
        <v>210</v>
      </c>
      <c r="AR60" s="9"/>
    </row>
    <row r="61" spans="1:45" x14ac:dyDescent="0.2">
      <c r="A61" s="1375" t="s">
        <v>3673</v>
      </c>
      <c r="B61" s="1375" t="s">
        <v>4943</v>
      </c>
      <c r="C61" s="1185">
        <f t="shared" si="12"/>
        <v>265</v>
      </c>
      <c r="D61" s="1">
        <v>1.4027777777777778E-2</v>
      </c>
      <c r="E61" s="1371" t="s">
        <v>5544</v>
      </c>
      <c r="F61" s="915">
        <f>COUNT(G61:Y61)+F1339+F445+F607+F771+F803+F525+F867+F950+F1041+F1104+F1262+F1282+F1300+F1399+F1190+F1065+F344+F1156+F1370+F1218+F1312+F698+F844</f>
        <v>45</v>
      </c>
      <c r="G61" s="1381">
        <v>1</v>
      </c>
      <c r="H61" s="1381">
        <v>3</v>
      </c>
      <c r="I61" s="1381"/>
      <c r="J61" s="1381"/>
      <c r="K61" s="1381">
        <v>1</v>
      </c>
      <c r="L61" s="1381">
        <v>2</v>
      </c>
      <c r="M61" s="1381"/>
      <c r="N61" s="1381">
        <v>173</v>
      </c>
      <c r="O61" s="1381">
        <v>1</v>
      </c>
      <c r="P61" s="1381"/>
      <c r="Q61" s="1381">
        <v>3</v>
      </c>
      <c r="R61" s="1381">
        <v>11</v>
      </c>
      <c r="S61" s="1381">
        <v>3</v>
      </c>
      <c r="T61" s="1381">
        <v>5</v>
      </c>
      <c r="U61" s="1381">
        <v>4</v>
      </c>
      <c r="V61" s="1377"/>
      <c r="W61" s="1377"/>
      <c r="X61" s="1377">
        <v>1</v>
      </c>
      <c r="Y61" s="1377"/>
      <c r="Z61" s="1377"/>
      <c r="AA61" s="1378">
        <f>C344+C445+C525+C607+C771+C803+C867+C950+C1041+C1065+C1104+C1190+C1156+C1218+C1262+C1282+C1300+C1339+C1370+C1399+C1312+C698+C844</f>
        <v>57</v>
      </c>
      <c r="AB61" s="1384">
        <v>43897</v>
      </c>
      <c r="AC61" s="34">
        <v>40887</v>
      </c>
      <c r="AD61">
        <v>212486</v>
      </c>
      <c r="AE61" t="str">
        <f t="shared" si="13"/>
        <v xml:space="preserve">Piers </v>
      </c>
      <c r="AF61" t="str">
        <f t="shared" si="11"/>
        <v>Keenleyside</v>
      </c>
      <c r="AI61" s="1856">
        <f t="shared" si="14"/>
        <v>8</v>
      </c>
      <c r="AJ61" s="1855">
        <v>257</v>
      </c>
      <c r="AK61" s="1453">
        <f t="shared" si="15"/>
        <v>0</v>
      </c>
      <c r="AL61" s="1879">
        <v>45</v>
      </c>
      <c r="AM61" s="1453"/>
      <c r="AN61" s="1859">
        <f t="shared" si="16"/>
        <v>40</v>
      </c>
      <c r="AO61" s="9">
        <v>217</v>
      </c>
      <c r="AP61" s="1860">
        <f t="shared" si="17"/>
        <v>30</v>
      </c>
      <c r="AQ61" s="9">
        <v>187</v>
      </c>
      <c r="AR61" s="9"/>
    </row>
    <row r="62" spans="1:45" x14ac:dyDescent="0.2">
      <c r="A62" s="1372" t="s">
        <v>2478</v>
      </c>
      <c r="B62" s="1372" t="s">
        <v>3235</v>
      </c>
      <c r="C62" s="1185">
        <f t="shared" si="8"/>
        <v>472</v>
      </c>
      <c r="D62" s="1">
        <v>1.2893518518518519E-2</v>
      </c>
      <c r="E62" s="1371" t="s">
        <v>478</v>
      </c>
      <c r="F62" s="915">
        <f>COUNT(G62:Y62)+F868+F993+F970+F1105+F951+F1014+F1400+F772+F1341+F271+F345+F401+F526+F1219+F729</f>
        <v>53</v>
      </c>
      <c r="G62" s="1377">
        <v>2</v>
      </c>
      <c r="H62" s="1377"/>
      <c r="I62" s="1377"/>
      <c r="J62" s="1377"/>
      <c r="K62" s="1377">
        <v>2</v>
      </c>
      <c r="L62" s="1377"/>
      <c r="M62" s="1377"/>
      <c r="N62" s="1377">
        <v>3</v>
      </c>
      <c r="O62" s="1377">
        <v>1</v>
      </c>
      <c r="P62" s="1377"/>
      <c r="Q62" s="1377"/>
      <c r="R62" s="1377"/>
      <c r="S62" s="1377">
        <v>1</v>
      </c>
      <c r="T62" s="1377">
        <v>1</v>
      </c>
      <c r="U62" s="1377">
        <v>1</v>
      </c>
      <c r="V62" s="1377"/>
      <c r="W62" s="1377"/>
      <c r="X62" s="1377">
        <v>1</v>
      </c>
      <c r="Y62" s="1377"/>
      <c r="Z62" s="1377"/>
      <c r="AA62" s="1378">
        <f>C868+C951+C970+C993+C1105+C1014+C1400+C772+C1341+C271+C345+C401+C526+C1219+C729</f>
        <v>460</v>
      </c>
      <c r="AB62" s="1384">
        <v>43904</v>
      </c>
      <c r="AC62" s="34">
        <v>40068</v>
      </c>
      <c r="AD62">
        <v>41573</v>
      </c>
      <c r="AE62" t="str">
        <f t="shared" si="10"/>
        <v>Chris</v>
      </c>
      <c r="AF62" t="str">
        <f t="shared" si="11"/>
        <v xml:space="preserve">Kelly </v>
      </c>
      <c r="AI62" s="1856">
        <f t="shared" si="3"/>
        <v>10</v>
      </c>
      <c r="AJ62" s="1855">
        <v>462</v>
      </c>
      <c r="AK62" s="1453">
        <f t="shared" si="4"/>
        <v>2</v>
      </c>
      <c r="AL62" s="1879">
        <v>51</v>
      </c>
      <c r="AM62" s="1453"/>
      <c r="AN62" s="1859">
        <f t="shared" si="5"/>
        <v>49</v>
      </c>
      <c r="AO62" s="9">
        <v>413</v>
      </c>
      <c r="AP62" s="1860">
        <f t="shared" si="6"/>
        <v>50</v>
      </c>
      <c r="AQ62" s="9">
        <v>363</v>
      </c>
      <c r="AR62" s="9"/>
    </row>
    <row r="63" spans="1:45" x14ac:dyDescent="0.2">
      <c r="A63" s="1370" t="s">
        <v>5540</v>
      </c>
      <c r="B63" s="1370" t="s">
        <v>7672</v>
      </c>
      <c r="C63" s="1498">
        <f t="shared" si="8"/>
        <v>8</v>
      </c>
      <c r="D63" s="1">
        <v>3.2025462962962964E-2</v>
      </c>
      <c r="E63" s="1370" t="s">
        <v>5883</v>
      </c>
      <c r="F63" s="915">
        <f>COUNT(G63:Y63)+F1340</f>
        <v>2</v>
      </c>
      <c r="G63" s="1377">
        <v>7</v>
      </c>
      <c r="H63" s="1377"/>
      <c r="I63" s="1377"/>
      <c r="J63" s="1377"/>
      <c r="K63" s="1377"/>
      <c r="L63" s="1377"/>
      <c r="M63" s="1377"/>
      <c r="N63" s="1377"/>
      <c r="O63" s="1377"/>
      <c r="P63" s="1377"/>
      <c r="Q63" s="1377"/>
      <c r="R63" s="1377"/>
      <c r="S63" s="1377"/>
      <c r="T63" s="1377"/>
      <c r="U63" s="1377"/>
      <c r="V63" s="1377"/>
      <c r="W63" s="1377"/>
      <c r="X63" s="1377"/>
      <c r="Y63" s="1377"/>
      <c r="Z63" s="1377"/>
      <c r="AA63" s="1378">
        <f>C1340</f>
        <v>1</v>
      </c>
      <c r="AB63" s="1384">
        <v>43841</v>
      </c>
      <c r="AC63" s="34">
        <v>43715</v>
      </c>
      <c r="AD63">
        <v>6148144</v>
      </c>
      <c r="AE63" t="str">
        <f t="shared" ref="AE63" si="18">A63</f>
        <v>Eddie</v>
      </c>
      <c r="AF63" t="str">
        <f t="shared" ref="AF63" si="19">B63</f>
        <v>Ketterick</v>
      </c>
      <c r="AI63" s="1856">
        <f t="shared" si="3"/>
        <v>2</v>
      </c>
      <c r="AJ63" s="1855">
        <v>6</v>
      </c>
      <c r="AK63" s="1453">
        <f t="shared" si="4"/>
        <v>0</v>
      </c>
      <c r="AL63" s="1879">
        <v>2</v>
      </c>
      <c r="AM63" s="1453"/>
      <c r="AN63" s="1859">
        <f t="shared" si="5"/>
        <v>6</v>
      </c>
      <c r="AO63" s="9"/>
      <c r="AP63" s="1860">
        <f t="shared" si="6"/>
        <v>0</v>
      </c>
      <c r="AQ63" s="9"/>
      <c r="AR63" s="9"/>
    </row>
    <row r="64" spans="1:45" x14ac:dyDescent="0.2">
      <c r="A64" s="1372" t="s">
        <v>3535</v>
      </c>
      <c r="B64" s="1372" t="s">
        <v>3536</v>
      </c>
      <c r="C64" s="235">
        <f t="shared" si="8"/>
        <v>23</v>
      </c>
      <c r="D64" s="840">
        <v>1.2013888888888888E-2</v>
      </c>
      <c r="E64" s="1371" t="s">
        <v>5885</v>
      </c>
      <c r="F64" s="915">
        <f>COUNT(G64:Y64)+F1157+F1401+F272+F346+F186</f>
        <v>6</v>
      </c>
      <c r="G64" s="1377"/>
      <c r="H64" s="1377">
        <v>18</v>
      </c>
      <c r="I64" s="1377"/>
      <c r="J64" s="1377"/>
      <c r="K64" s="1377"/>
      <c r="L64" s="1377"/>
      <c r="M64" s="1377"/>
      <c r="N64" s="1377"/>
      <c r="O64" s="1377"/>
      <c r="P64" s="1377"/>
      <c r="Q64" s="1377"/>
      <c r="R64" s="1377"/>
      <c r="S64" s="1377"/>
      <c r="T64" s="1377"/>
      <c r="U64" s="1377"/>
      <c r="V64" s="1377"/>
      <c r="W64" s="1377"/>
      <c r="X64" s="1377"/>
      <c r="Y64" s="1377"/>
      <c r="Z64" s="1377"/>
      <c r="AA64" s="1378">
        <f>C1157+C1401+C272+C346+C186</f>
        <v>5</v>
      </c>
      <c r="AB64" s="1379">
        <v>43827</v>
      </c>
      <c r="AC64" s="34">
        <v>40026</v>
      </c>
      <c r="AD64">
        <v>38474</v>
      </c>
      <c r="AE64" t="str">
        <f t="shared" si="10"/>
        <v>Paul</v>
      </c>
      <c r="AF64" t="str">
        <f t="shared" si="11"/>
        <v>Knechtl</v>
      </c>
      <c r="AI64" s="1856">
        <f t="shared" si="3"/>
        <v>0</v>
      </c>
      <c r="AJ64" s="1855">
        <v>23</v>
      </c>
      <c r="AK64" s="1453">
        <f t="shared" si="4"/>
        <v>0</v>
      </c>
      <c r="AL64" s="1879">
        <v>6</v>
      </c>
      <c r="AM64" s="1453"/>
      <c r="AN64" s="1859">
        <f t="shared" si="5"/>
        <v>3</v>
      </c>
      <c r="AO64" s="9">
        <v>20</v>
      </c>
      <c r="AP64" s="1860">
        <f t="shared" si="6"/>
        <v>1</v>
      </c>
      <c r="AQ64" s="9">
        <v>19</v>
      </c>
      <c r="AR64" s="9"/>
    </row>
    <row r="65" spans="1:44" x14ac:dyDescent="0.2">
      <c r="A65" s="1375" t="s">
        <v>866</v>
      </c>
      <c r="B65" s="1375" t="s">
        <v>4635</v>
      </c>
      <c r="C65" s="559">
        <f t="shared" si="8"/>
        <v>307</v>
      </c>
      <c r="D65" s="1">
        <v>1.7569444444444447E-2</v>
      </c>
      <c r="E65" s="1371" t="s">
        <v>5883</v>
      </c>
      <c r="F65" s="915">
        <f>COUNT(G65:Y65)+E1042+F1042+F1066+F773+F649+F187+F273+F347+F402+F730</f>
        <v>36</v>
      </c>
      <c r="G65" s="1377">
        <v>242</v>
      </c>
      <c r="H65" s="1377">
        <v>2</v>
      </c>
      <c r="I65" s="1377"/>
      <c r="J65" s="1377"/>
      <c r="K65" s="1377">
        <v>6</v>
      </c>
      <c r="L65" s="1377">
        <v>2</v>
      </c>
      <c r="M65" s="1377"/>
      <c r="N65" s="1377">
        <v>2</v>
      </c>
      <c r="O65" s="1377"/>
      <c r="P65" s="1377"/>
      <c r="Q65" s="1377">
        <v>1</v>
      </c>
      <c r="R65" s="1377"/>
      <c r="S65" s="1377">
        <v>2</v>
      </c>
      <c r="T65" s="1377">
        <v>1</v>
      </c>
      <c r="U65" s="1377">
        <v>1</v>
      </c>
      <c r="V65" s="1377"/>
      <c r="W65" s="1377"/>
      <c r="X65" s="1377">
        <v>1</v>
      </c>
      <c r="Y65" s="1377"/>
      <c r="Z65" s="1377"/>
      <c r="AA65" s="1378">
        <f>C1042+C1066+C773+C649+C187+C273+C347+C402+C730</f>
        <v>47</v>
      </c>
      <c r="AB65" s="1384">
        <v>43904</v>
      </c>
      <c r="AC65" s="34">
        <v>40551</v>
      </c>
      <c r="AD65">
        <v>109887</v>
      </c>
      <c r="AE65" t="str">
        <f t="shared" si="10"/>
        <v>John</v>
      </c>
      <c r="AF65" t="str">
        <f t="shared" si="11"/>
        <v>Lennon</v>
      </c>
      <c r="AI65" s="1856">
        <f t="shared" si="3"/>
        <v>7</v>
      </c>
      <c r="AJ65" s="1855">
        <v>300</v>
      </c>
      <c r="AK65" s="1453">
        <f t="shared" si="4"/>
        <v>1</v>
      </c>
      <c r="AL65" s="1879">
        <v>35</v>
      </c>
      <c r="AM65" s="1453"/>
      <c r="AN65" s="1859">
        <f t="shared" si="5"/>
        <v>17</v>
      </c>
      <c r="AO65" s="9">
        <v>283</v>
      </c>
      <c r="AP65" s="1860">
        <f t="shared" si="6"/>
        <v>19</v>
      </c>
      <c r="AQ65" s="9">
        <v>264</v>
      </c>
      <c r="AR65" s="9"/>
    </row>
    <row r="66" spans="1:44" x14ac:dyDescent="0.2">
      <c r="A66" s="1375" t="s">
        <v>4567</v>
      </c>
      <c r="B66" s="1375" t="s">
        <v>4562</v>
      </c>
      <c r="C66" s="471">
        <f t="shared" si="8"/>
        <v>6</v>
      </c>
      <c r="D66" s="1">
        <v>1.6782407407407409E-2</v>
      </c>
      <c r="E66" s="1371" t="s">
        <v>4566</v>
      </c>
      <c r="F66" s="915">
        <f>COUNT(G66:Y66)+F650+E1158+F1283+F1263</f>
        <v>6</v>
      </c>
      <c r="G66" s="1377">
        <v>1</v>
      </c>
      <c r="H66" s="1377"/>
      <c r="I66" s="1377"/>
      <c r="J66" s="1377"/>
      <c r="K66" s="1377">
        <v>1</v>
      </c>
      <c r="L66" s="1377"/>
      <c r="M66" s="1377"/>
      <c r="N66" s="1380"/>
      <c r="O66" s="1380"/>
      <c r="P66" s="1380"/>
      <c r="Q66" s="1377"/>
      <c r="R66" s="1377"/>
      <c r="S66" s="1377"/>
      <c r="T66" s="1377"/>
      <c r="U66" s="1377"/>
      <c r="V66" s="1377"/>
      <c r="W66" s="1377"/>
      <c r="X66" s="1377"/>
      <c r="Y66" s="1377"/>
      <c r="Z66" s="1377"/>
      <c r="AA66" s="1378">
        <f>C650+C1158+C1283+C1263</f>
        <v>4</v>
      </c>
      <c r="AB66" s="1379">
        <v>43127</v>
      </c>
      <c r="AC66" s="34">
        <v>41895</v>
      </c>
      <c r="AD66">
        <v>1157038</v>
      </c>
      <c r="AE66" t="str">
        <f t="shared" si="10"/>
        <v>Maureen</v>
      </c>
      <c r="AF66" t="str">
        <f t="shared" si="11"/>
        <v>McCabe</v>
      </c>
      <c r="AI66" s="1856">
        <f t="shared" si="3"/>
        <v>0</v>
      </c>
      <c r="AJ66" s="1855">
        <v>6</v>
      </c>
      <c r="AK66" s="1453">
        <f t="shared" si="4"/>
        <v>0</v>
      </c>
      <c r="AL66" s="1879">
        <v>6</v>
      </c>
      <c r="AM66" s="1453"/>
      <c r="AN66" s="1859">
        <f t="shared" si="5"/>
        <v>0</v>
      </c>
      <c r="AO66" s="9">
        <v>6</v>
      </c>
      <c r="AP66" s="1860">
        <f t="shared" si="6"/>
        <v>2</v>
      </c>
      <c r="AQ66" s="9">
        <v>4</v>
      </c>
      <c r="AR66" s="9"/>
    </row>
    <row r="67" spans="1:44" x14ac:dyDescent="0.2">
      <c r="A67" s="1375" t="s">
        <v>4561</v>
      </c>
      <c r="B67" s="1375" t="s">
        <v>4562</v>
      </c>
      <c r="C67" s="559">
        <f t="shared" si="8"/>
        <v>321</v>
      </c>
      <c r="D67" s="1">
        <v>1.6770833333333332E-2</v>
      </c>
      <c r="E67" s="1371" t="s">
        <v>4566</v>
      </c>
      <c r="F67" s="915">
        <f>COUNT(G67:Y67)+E1159+F1159+F1220+F651+F1284+F1264+F446+F570+F188+F486+F274+F348+F1131+F403</f>
        <v>67</v>
      </c>
      <c r="G67" s="1377">
        <v>164</v>
      </c>
      <c r="H67" s="1377">
        <v>15</v>
      </c>
      <c r="I67" s="1377"/>
      <c r="J67" s="1377">
        <v>1</v>
      </c>
      <c r="K67" s="1377">
        <v>36</v>
      </c>
      <c r="L67" s="1377">
        <v>1</v>
      </c>
      <c r="M67" s="1377"/>
      <c r="N67" s="1380">
        <v>3</v>
      </c>
      <c r="O67" s="1380">
        <v>1</v>
      </c>
      <c r="P67" s="1380">
        <v>1</v>
      </c>
      <c r="Q67" s="1377">
        <v>2</v>
      </c>
      <c r="R67" s="1377">
        <v>1</v>
      </c>
      <c r="S67" s="1377">
        <v>2</v>
      </c>
      <c r="T67" s="1377">
        <v>20</v>
      </c>
      <c r="U67" s="1377">
        <v>2</v>
      </c>
      <c r="V67" s="1377">
        <v>1</v>
      </c>
      <c r="W67" s="1377">
        <v>1</v>
      </c>
      <c r="X67" s="1377"/>
      <c r="Y67" s="1377"/>
      <c r="Z67" s="1377"/>
      <c r="AA67" s="1378">
        <f>C651+C1159+C1220+C1284+C1264+C446+C570+C188+C486+C274+C348+C1131+C403</f>
        <v>70</v>
      </c>
      <c r="AB67" s="1384">
        <v>43897</v>
      </c>
      <c r="AC67" s="34">
        <v>41496</v>
      </c>
      <c r="AD67">
        <v>613116</v>
      </c>
      <c r="AE67" t="str">
        <f t="shared" si="10"/>
        <v>Trish</v>
      </c>
      <c r="AF67" t="str">
        <f t="shared" si="11"/>
        <v>McCabe</v>
      </c>
      <c r="AI67" s="1856">
        <f t="shared" si="3"/>
        <v>12</v>
      </c>
      <c r="AJ67" s="1855">
        <v>309</v>
      </c>
      <c r="AK67" s="1453">
        <f t="shared" si="4"/>
        <v>10</v>
      </c>
      <c r="AL67" s="1879">
        <v>57</v>
      </c>
      <c r="AM67" s="1453"/>
      <c r="AN67" s="1859">
        <f t="shared" si="5"/>
        <v>43</v>
      </c>
      <c r="AO67" s="9">
        <v>266</v>
      </c>
      <c r="AP67" s="1860">
        <f t="shared" si="6"/>
        <v>50</v>
      </c>
      <c r="AQ67" s="9">
        <v>216</v>
      </c>
      <c r="AR67" s="9"/>
    </row>
    <row r="68" spans="1:44" x14ac:dyDescent="0.2">
      <c r="A68" s="1372" t="s">
        <v>429</v>
      </c>
      <c r="B68" s="1372" t="s">
        <v>430</v>
      </c>
      <c r="C68" s="509">
        <f t="shared" si="8"/>
        <v>75</v>
      </c>
      <c r="D68" s="1">
        <v>1.545138888888889E-2</v>
      </c>
      <c r="E68" s="1371" t="s">
        <v>5885</v>
      </c>
      <c r="F68" s="915">
        <f>COUNT(G68:Y68)</f>
        <v>2</v>
      </c>
      <c r="G68" s="1377"/>
      <c r="H68" s="1377">
        <v>30</v>
      </c>
      <c r="I68" s="1377"/>
      <c r="J68" s="1377"/>
      <c r="K68" s="1377"/>
      <c r="L68" s="1377"/>
      <c r="M68" s="1377"/>
      <c r="N68" s="1377">
        <v>45</v>
      </c>
      <c r="O68" s="1377"/>
      <c r="P68" s="1377"/>
      <c r="Q68" s="1377"/>
      <c r="R68" s="1377"/>
      <c r="S68" s="1377"/>
      <c r="T68" s="1377"/>
      <c r="U68" s="1377"/>
      <c r="V68" s="1377"/>
      <c r="W68" s="1377"/>
      <c r="X68" s="1377"/>
      <c r="Y68" s="1377"/>
      <c r="Z68" s="1377"/>
      <c r="AA68" s="1377"/>
      <c r="AB68" s="1384">
        <v>43883</v>
      </c>
      <c r="AC68" s="34">
        <v>39235</v>
      </c>
      <c r="AD68">
        <v>4939</v>
      </c>
      <c r="AE68" t="str">
        <f t="shared" si="10"/>
        <v>Oliver</v>
      </c>
      <c r="AF68" t="str">
        <f t="shared" si="11"/>
        <v>Mathai</v>
      </c>
      <c r="AI68" s="1856">
        <f t="shared" si="3"/>
        <v>1</v>
      </c>
      <c r="AJ68" s="1855">
        <v>74</v>
      </c>
      <c r="AK68" s="1453">
        <f t="shared" si="4"/>
        <v>0</v>
      </c>
      <c r="AL68" s="1879">
        <v>2</v>
      </c>
      <c r="AM68" s="1453"/>
      <c r="AN68" s="1859">
        <f t="shared" si="5"/>
        <v>18</v>
      </c>
      <c r="AO68" s="9">
        <v>56</v>
      </c>
      <c r="AP68" s="1860">
        <f t="shared" si="6"/>
        <v>9</v>
      </c>
      <c r="AQ68" s="9">
        <v>47</v>
      </c>
      <c r="AR68" s="9"/>
    </row>
    <row r="69" spans="1:44" x14ac:dyDescent="0.2">
      <c r="A69" s="1375" t="s">
        <v>1798</v>
      </c>
      <c r="B69" s="1375" t="s">
        <v>17201</v>
      </c>
      <c r="C69" s="509">
        <f>SUM(G69:AA69)</f>
        <v>63</v>
      </c>
      <c r="D69" s="840">
        <v>2.2465277777777778E-2</v>
      </c>
      <c r="E69" s="1370" t="s">
        <v>5981</v>
      </c>
      <c r="F69" s="915">
        <f>COUNT(G69:Y69)+F189+F275+F349+F404+F447+F487+F571+F610+F699+F731+F775+F869+F1015+F1221+F1192</f>
        <v>41</v>
      </c>
      <c r="G69" s="1377">
        <v>2</v>
      </c>
      <c r="H69" s="1377">
        <v>2</v>
      </c>
      <c r="I69" s="1377"/>
      <c r="J69" s="1377"/>
      <c r="K69" s="1377">
        <v>2</v>
      </c>
      <c r="L69" s="1377">
        <v>8</v>
      </c>
      <c r="M69" s="1377"/>
      <c r="N69" s="1377"/>
      <c r="O69" s="1377">
        <v>1</v>
      </c>
      <c r="P69" s="1377"/>
      <c r="Q69" s="1377">
        <v>3</v>
      </c>
      <c r="R69" s="1377">
        <v>1</v>
      </c>
      <c r="S69" s="1377"/>
      <c r="T69" s="1377">
        <v>2</v>
      </c>
      <c r="U69" s="1377">
        <v>4</v>
      </c>
      <c r="V69" s="1377"/>
      <c r="W69" s="1377"/>
      <c r="X69" s="1377"/>
      <c r="Y69" s="1377"/>
      <c r="Z69" s="1377"/>
      <c r="AA69" s="1378">
        <f>C189+C275+C349+C404+C447+C487+C571+C610+C699+C731+C775+C869+C1015+C1221+C1192</f>
        <v>38</v>
      </c>
      <c r="AB69" s="1384">
        <v>43904</v>
      </c>
      <c r="AC69" s="34">
        <v>41244</v>
      </c>
      <c r="AD69">
        <v>400534</v>
      </c>
      <c r="AE69" t="str">
        <f t="shared" si="10"/>
        <v>Melanie</v>
      </c>
      <c r="AF69" t="str">
        <f t="shared" si="11"/>
        <v>Miller</v>
      </c>
      <c r="AI69" s="1856">
        <f t="shared" si="3"/>
        <v>9</v>
      </c>
      <c r="AJ69" s="1855">
        <v>54</v>
      </c>
      <c r="AK69" s="1453"/>
      <c r="AL69" s="1879"/>
      <c r="AM69" s="1453"/>
      <c r="AN69" s="1859"/>
      <c r="AO69" s="9">
        <v>54</v>
      </c>
      <c r="AP69" s="1860"/>
      <c r="AQ69" s="9"/>
      <c r="AR69" s="9"/>
    </row>
    <row r="70" spans="1:44" x14ac:dyDescent="0.2">
      <c r="A70" s="1370" t="s">
        <v>9678</v>
      </c>
      <c r="B70" s="1370" t="s">
        <v>9661</v>
      </c>
      <c r="C70" s="235">
        <f t="shared" si="8"/>
        <v>20</v>
      </c>
      <c r="D70" s="1">
        <v>2.0405092592592593E-2</v>
      </c>
      <c r="E70" s="1371" t="s">
        <v>5883</v>
      </c>
      <c r="F70" s="915">
        <f>COUNT(G70:Y70)</f>
        <v>1</v>
      </c>
      <c r="G70" s="1377">
        <v>20</v>
      </c>
      <c r="H70" s="1377"/>
      <c r="I70" s="1377"/>
      <c r="J70" s="1377"/>
      <c r="K70" s="1377"/>
      <c r="L70" s="1377"/>
      <c r="M70" s="1377"/>
      <c r="N70" s="1377"/>
      <c r="O70" s="1377"/>
      <c r="P70" s="1377"/>
      <c r="Q70" s="1377"/>
      <c r="R70" s="1377"/>
      <c r="S70" s="1377"/>
      <c r="T70" s="1377"/>
      <c r="U70" s="1377"/>
      <c r="V70" s="1377"/>
      <c r="W70" s="1377"/>
      <c r="X70" s="1377"/>
      <c r="Y70" s="1377"/>
      <c r="Z70" s="1377"/>
      <c r="AA70" s="1377"/>
      <c r="AB70" s="1379">
        <v>43253</v>
      </c>
      <c r="AC70" s="34">
        <v>40327</v>
      </c>
      <c r="AD70">
        <v>72067</v>
      </c>
      <c r="AE70" t="str">
        <f t="shared" si="10"/>
        <v>Tracey</v>
      </c>
      <c r="AF70" t="str">
        <f t="shared" si="11"/>
        <v>Mills</v>
      </c>
      <c r="AI70" s="1856">
        <f t="shared" si="3"/>
        <v>0</v>
      </c>
      <c r="AJ70" s="1855">
        <v>20</v>
      </c>
      <c r="AK70" s="1453">
        <f t="shared" si="4"/>
        <v>0</v>
      </c>
      <c r="AL70" s="1879">
        <v>1</v>
      </c>
      <c r="AM70" s="1453"/>
      <c r="AN70" s="1859">
        <f t="shared" si="5"/>
        <v>0</v>
      </c>
      <c r="AO70" s="9">
        <v>20</v>
      </c>
      <c r="AP70" s="1860">
        <f t="shared" si="6"/>
        <v>3</v>
      </c>
      <c r="AQ70" s="9">
        <v>17</v>
      </c>
      <c r="AR70" s="173"/>
    </row>
    <row r="71" spans="1:44" x14ac:dyDescent="0.2">
      <c r="A71" s="1370" t="s">
        <v>10839</v>
      </c>
      <c r="B71" s="1370" t="s">
        <v>10840</v>
      </c>
      <c r="C71" s="235">
        <f t="shared" si="8"/>
        <v>14</v>
      </c>
      <c r="D71" s="840">
        <v>1.1851851851851851E-2</v>
      </c>
      <c r="E71" s="1371" t="s">
        <v>4004</v>
      </c>
      <c r="F71" s="915">
        <f>COUNT(G71:Y71)+F609</f>
        <v>3</v>
      </c>
      <c r="G71" s="1377"/>
      <c r="H71" s="1377"/>
      <c r="I71" s="1377"/>
      <c r="J71" s="1377"/>
      <c r="K71" s="1377"/>
      <c r="L71" s="1377">
        <v>9</v>
      </c>
      <c r="M71" s="1377"/>
      <c r="N71" s="1377">
        <v>2</v>
      </c>
      <c r="O71" s="1377"/>
      <c r="P71" s="1377"/>
      <c r="Q71" s="1377"/>
      <c r="R71" s="1377"/>
      <c r="S71" s="1377"/>
      <c r="T71" s="1377"/>
      <c r="U71" s="1377"/>
      <c r="V71" s="1377"/>
      <c r="W71" s="1377"/>
      <c r="X71" s="1377"/>
      <c r="Y71" s="1377"/>
      <c r="Z71" s="1377"/>
      <c r="AA71" s="1378">
        <f>C609</f>
        <v>3</v>
      </c>
      <c r="AB71" s="1379">
        <v>43531</v>
      </c>
      <c r="AC71" s="34">
        <v>43022</v>
      </c>
      <c r="AD71">
        <v>254120</v>
      </c>
      <c r="AE71" t="str">
        <f t="shared" si="10"/>
        <v>Adam</v>
      </c>
      <c r="AF71" t="str">
        <f t="shared" si="11"/>
        <v>Moquet</v>
      </c>
      <c r="AI71" s="1856">
        <f t="shared" si="3"/>
        <v>2</v>
      </c>
      <c r="AJ71" s="1855">
        <v>12</v>
      </c>
      <c r="AK71" s="1453">
        <f t="shared" si="4"/>
        <v>0</v>
      </c>
      <c r="AL71" s="1879">
        <v>3</v>
      </c>
      <c r="AM71" s="1453"/>
      <c r="AN71" s="1859">
        <f t="shared" si="5"/>
        <v>3</v>
      </c>
      <c r="AO71" s="9">
        <v>9</v>
      </c>
      <c r="AP71" s="1860">
        <f t="shared" si="6"/>
        <v>8</v>
      </c>
      <c r="AQ71" s="9">
        <v>1</v>
      </c>
      <c r="AR71" s="9"/>
    </row>
    <row r="72" spans="1:44" x14ac:dyDescent="0.2">
      <c r="A72" s="1370" t="s">
        <v>16990</v>
      </c>
      <c r="B72" s="1370" t="s">
        <v>16991</v>
      </c>
      <c r="C72" s="235">
        <f t="shared" si="8"/>
        <v>270</v>
      </c>
      <c r="D72" s="840">
        <v>1.5578703703703704E-2</v>
      </c>
      <c r="E72" s="1371" t="s">
        <v>5883</v>
      </c>
      <c r="F72" s="915">
        <f>COUNT(G72:Y72)+F190+F276+F350+F611+F776+F1343+E776+E1107+F732+E732</f>
        <v>20</v>
      </c>
      <c r="G72" s="1377">
        <v>220</v>
      </c>
      <c r="H72" s="1377">
        <v>4</v>
      </c>
      <c r="I72" s="1377"/>
      <c r="J72" s="1377"/>
      <c r="K72" s="1377">
        <v>4</v>
      </c>
      <c r="L72" s="1377"/>
      <c r="M72" s="1377"/>
      <c r="N72" s="1377"/>
      <c r="O72" s="1377"/>
      <c r="P72" s="1377"/>
      <c r="Q72" s="1377">
        <v>1</v>
      </c>
      <c r="R72" s="1377">
        <v>2</v>
      </c>
      <c r="S72" s="1377"/>
      <c r="T72" s="1377">
        <v>2</v>
      </c>
      <c r="U72" s="1377">
        <v>2</v>
      </c>
      <c r="V72" s="1377"/>
      <c r="W72" s="1377">
        <v>1</v>
      </c>
      <c r="X72" s="1377"/>
      <c r="Y72" s="1377"/>
      <c r="Z72" s="1377"/>
      <c r="AA72" s="1378">
        <f>C190+C276+C350+C611+C776+C1343+C1107+C732</f>
        <v>34</v>
      </c>
      <c r="AB72" s="1384">
        <v>43904</v>
      </c>
      <c r="AC72" s="34">
        <v>41027</v>
      </c>
      <c r="AD72">
        <v>274440</v>
      </c>
      <c r="AE72" t="str">
        <f t="shared" si="10"/>
        <v>Emma</v>
      </c>
      <c r="AF72" t="str">
        <f t="shared" si="11"/>
        <v>Moreton</v>
      </c>
      <c r="AI72" s="1856">
        <f t="shared" si="3"/>
        <v>8</v>
      </c>
      <c r="AJ72" s="1855">
        <v>262</v>
      </c>
      <c r="AK72" s="1453"/>
      <c r="AL72" s="1879"/>
      <c r="AM72" s="1453"/>
      <c r="AN72" s="1859"/>
      <c r="AO72" s="9"/>
      <c r="AP72" s="1860"/>
      <c r="AQ72" s="9"/>
      <c r="AR72" s="9"/>
    </row>
    <row r="73" spans="1:44" x14ac:dyDescent="0.2">
      <c r="A73" s="1375" t="s">
        <v>10186</v>
      </c>
      <c r="B73" s="1375" t="s">
        <v>10187</v>
      </c>
      <c r="C73" s="235">
        <f t="shared" si="8"/>
        <v>19</v>
      </c>
      <c r="D73" s="1">
        <v>2.0231481481481482E-2</v>
      </c>
      <c r="E73" s="1371" t="s">
        <v>4176</v>
      </c>
      <c r="F73" s="915">
        <f>COUNT(G73:Y73)+F448+F1040+F952+F676</f>
        <v>7</v>
      </c>
      <c r="G73" s="1377"/>
      <c r="H73" s="1377"/>
      <c r="I73" s="1377"/>
      <c r="J73" s="1377"/>
      <c r="K73" s="1377"/>
      <c r="L73" s="1377"/>
      <c r="M73" s="1377">
        <v>1</v>
      </c>
      <c r="N73" s="1377"/>
      <c r="O73" s="1377"/>
      <c r="P73" s="1377"/>
      <c r="Q73" s="1377"/>
      <c r="R73" s="1377">
        <v>1</v>
      </c>
      <c r="S73" s="1377"/>
      <c r="T73" s="1377">
        <v>1</v>
      </c>
      <c r="U73" s="1377"/>
      <c r="V73" s="1377"/>
      <c r="W73" s="1377"/>
      <c r="X73" s="1377">
        <v>10</v>
      </c>
      <c r="Y73" s="1377"/>
      <c r="Z73" s="1377"/>
      <c r="AA73" s="1378">
        <f>C448+C1040+C952+C676</f>
        <v>6</v>
      </c>
      <c r="AB73" s="1384">
        <v>43729</v>
      </c>
      <c r="AC73" s="34">
        <v>41461</v>
      </c>
      <c r="AD73">
        <v>542285</v>
      </c>
      <c r="AE73" t="str">
        <f t="shared" si="10"/>
        <v>Christine</v>
      </c>
      <c r="AF73" t="str">
        <f t="shared" si="11"/>
        <v>Munden</v>
      </c>
      <c r="AI73" s="1856">
        <f t="shared" si="3"/>
        <v>0</v>
      </c>
      <c r="AJ73" s="1855">
        <v>19</v>
      </c>
      <c r="AK73" s="1453">
        <f t="shared" si="4"/>
        <v>0</v>
      </c>
      <c r="AL73" s="1879">
        <v>7</v>
      </c>
      <c r="AM73" s="1453"/>
      <c r="AN73" s="1859">
        <f t="shared" si="5"/>
        <v>5</v>
      </c>
      <c r="AO73" s="9">
        <v>14</v>
      </c>
      <c r="AP73" s="1860">
        <f t="shared" si="6"/>
        <v>3</v>
      </c>
      <c r="AQ73" s="9">
        <v>11</v>
      </c>
      <c r="AR73" s="9"/>
    </row>
    <row r="74" spans="1:44" x14ac:dyDescent="0.2">
      <c r="A74" s="1375" t="s">
        <v>2349</v>
      </c>
      <c r="B74" s="1375" t="s">
        <v>2350</v>
      </c>
      <c r="C74" s="509">
        <f t="shared" si="8"/>
        <v>94</v>
      </c>
      <c r="D74" s="1">
        <v>1.5648148148148151E-2</v>
      </c>
      <c r="E74" s="1371" t="s">
        <v>5198</v>
      </c>
      <c r="F74" s="915">
        <f>COUNT(G74:Y74)+F777+F1222+F191+F277+F405+F612+F953</f>
        <v>13</v>
      </c>
      <c r="G74" s="1377"/>
      <c r="H74" s="1377"/>
      <c r="I74" s="1377"/>
      <c r="J74" s="1377"/>
      <c r="K74" s="1377"/>
      <c r="L74" s="1377">
        <v>1</v>
      </c>
      <c r="M74" s="1377"/>
      <c r="N74" s="1377"/>
      <c r="O74" s="1377"/>
      <c r="P74" s="1377"/>
      <c r="Q74" s="1377"/>
      <c r="R74" s="1377"/>
      <c r="S74" s="1377"/>
      <c r="T74" s="1377"/>
      <c r="U74" s="1377"/>
      <c r="V74" s="1377"/>
      <c r="W74" s="1377"/>
      <c r="X74" s="1377"/>
      <c r="Y74" s="1377"/>
      <c r="Z74" s="1377"/>
      <c r="AA74" s="1378">
        <f>C777+C1222+C191+C277+C405+C612+C953</f>
        <v>93</v>
      </c>
      <c r="AB74" s="1384">
        <v>43883</v>
      </c>
      <c r="AC74" s="34">
        <v>42406</v>
      </c>
      <c r="AD74">
        <v>2210126</v>
      </c>
      <c r="AE74" t="str">
        <f t="shared" si="10"/>
        <v>Jacqui</v>
      </c>
      <c r="AF74" t="str">
        <f t="shared" si="11"/>
        <v>Musselwhite</v>
      </c>
      <c r="AI74" s="1856">
        <f t="shared" si="3"/>
        <v>7</v>
      </c>
      <c r="AJ74" s="1855">
        <v>87</v>
      </c>
      <c r="AK74" s="1453">
        <f t="shared" si="4"/>
        <v>1</v>
      </c>
      <c r="AL74" s="1879">
        <v>12</v>
      </c>
      <c r="AM74" s="1453"/>
      <c r="AN74" s="1859">
        <f t="shared" si="5"/>
        <v>18</v>
      </c>
      <c r="AO74" s="9">
        <v>69</v>
      </c>
      <c r="AP74" s="1860">
        <f t="shared" si="6"/>
        <v>18</v>
      </c>
      <c r="AQ74" s="9">
        <v>51</v>
      </c>
      <c r="AR74" s="9"/>
    </row>
    <row r="75" spans="1:44" x14ac:dyDescent="0.2">
      <c r="A75" s="1372" t="s">
        <v>1794</v>
      </c>
      <c r="B75" s="1372" t="s">
        <v>1795</v>
      </c>
      <c r="C75" s="559">
        <f t="shared" si="8"/>
        <v>382</v>
      </c>
      <c r="D75" s="1">
        <v>1.9490740740740743E-2</v>
      </c>
      <c r="E75" s="1371" t="s">
        <v>5544</v>
      </c>
      <c r="F75" s="915">
        <f>COUNT(G75:Y75)+F449+F488+F1161+F1302+F1108+F550+F527+F192+F1016+F1043+F733+F613+F1132+F572+F278+F351+F406</f>
        <v>113</v>
      </c>
      <c r="G75" s="1377">
        <v>6</v>
      </c>
      <c r="H75" s="1377">
        <v>5</v>
      </c>
      <c r="I75" s="1377">
        <v>1</v>
      </c>
      <c r="J75" s="1377">
        <v>3</v>
      </c>
      <c r="K75" s="1377">
        <v>3</v>
      </c>
      <c r="L75" s="1377">
        <v>12</v>
      </c>
      <c r="M75" s="1377">
        <v>2</v>
      </c>
      <c r="N75" s="1377">
        <v>141</v>
      </c>
      <c r="O75" s="1377">
        <v>1</v>
      </c>
      <c r="P75" s="1377">
        <v>3</v>
      </c>
      <c r="Q75" s="1377">
        <v>2</v>
      </c>
      <c r="R75" s="1377">
        <v>2</v>
      </c>
      <c r="S75" s="1377">
        <v>19</v>
      </c>
      <c r="T75" s="1377">
        <v>9</v>
      </c>
      <c r="U75" s="1377">
        <v>26</v>
      </c>
      <c r="V75" s="1377">
        <v>3</v>
      </c>
      <c r="W75" s="1377">
        <v>3</v>
      </c>
      <c r="X75" s="1377">
        <v>5</v>
      </c>
      <c r="Y75" s="1377"/>
      <c r="Z75" s="1377"/>
      <c r="AA75" s="1378">
        <f>C449+C488+C1161+C1302+C1108+F550+C527+C192+C1016+C1043+C733+C613+C1132+C572+C278+C351+C406</f>
        <v>136</v>
      </c>
      <c r="AB75" s="1384">
        <v>43904</v>
      </c>
      <c r="AC75" s="34">
        <v>40096</v>
      </c>
      <c r="AD75">
        <v>45221</v>
      </c>
      <c r="AE75" t="str">
        <f t="shared" si="10"/>
        <v>Steve</v>
      </c>
      <c r="AF75" t="str">
        <f t="shared" si="11"/>
        <v>Newell</v>
      </c>
      <c r="AI75" s="1856">
        <f t="shared" si="3"/>
        <v>7</v>
      </c>
      <c r="AJ75" s="1855">
        <v>375</v>
      </c>
      <c r="AK75" s="1453">
        <f t="shared" si="4"/>
        <v>0</v>
      </c>
      <c r="AL75" s="1879">
        <v>113</v>
      </c>
      <c r="AM75" s="1453"/>
      <c r="AN75" s="1859">
        <f t="shared" si="5"/>
        <v>36</v>
      </c>
      <c r="AO75" s="9">
        <v>339</v>
      </c>
      <c r="AP75" s="1860">
        <f t="shared" si="6"/>
        <v>45</v>
      </c>
      <c r="AQ75" s="9">
        <v>294</v>
      </c>
      <c r="AR75" s="9"/>
    </row>
    <row r="76" spans="1:44" x14ac:dyDescent="0.2">
      <c r="A76" s="1372" t="s">
        <v>431</v>
      </c>
      <c r="B76" s="1372" t="s">
        <v>433</v>
      </c>
      <c r="C76" s="559">
        <f t="shared" si="8"/>
        <v>358</v>
      </c>
      <c r="D76" s="1">
        <v>1.5821759259259261E-2</v>
      </c>
      <c r="E76" s="1371" t="s">
        <v>5095</v>
      </c>
      <c r="F76" s="915">
        <f>COUNT(G76:Y76)+F193+F279+F352</f>
        <v>23</v>
      </c>
      <c r="G76" s="1377">
        <v>2</v>
      </c>
      <c r="H76" s="1377">
        <v>2</v>
      </c>
      <c r="I76" s="1377"/>
      <c r="J76" s="1377"/>
      <c r="K76" s="1377">
        <v>1</v>
      </c>
      <c r="L76" s="1377"/>
      <c r="M76" s="1377"/>
      <c r="N76" s="1377">
        <v>3</v>
      </c>
      <c r="O76" s="1377">
        <v>1</v>
      </c>
      <c r="P76" s="1377"/>
      <c r="Q76" s="1377">
        <v>1</v>
      </c>
      <c r="R76" s="1377">
        <v>1</v>
      </c>
      <c r="S76" s="1377">
        <v>1</v>
      </c>
      <c r="T76" s="1377">
        <v>2</v>
      </c>
      <c r="U76" s="1377">
        <v>1</v>
      </c>
      <c r="V76" s="1377"/>
      <c r="W76" s="1377"/>
      <c r="X76" s="1377"/>
      <c r="Y76" s="1377"/>
      <c r="Z76" s="1377"/>
      <c r="AA76" s="1378">
        <f>C193+C279+C352</f>
        <v>343</v>
      </c>
      <c r="AB76" s="1384">
        <v>43904</v>
      </c>
      <c r="AC76" s="34">
        <v>40194</v>
      </c>
      <c r="AD76">
        <v>49891</v>
      </c>
      <c r="AE76" t="str">
        <f t="shared" si="10"/>
        <v>Joe</v>
      </c>
      <c r="AF76" t="str">
        <f t="shared" si="11"/>
        <v>Nolan</v>
      </c>
      <c r="AI76" s="1998">
        <f t="shared" ref="AI76:AI110" si="20">C76-AJ76</f>
        <v>10</v>
      </c>
      <c r="AJ76" s="1855">
        <v>348</v>
      </c>
      <c r="AK76" s="1453">
        <f t="shared" ref="AK76:AK110" si="21">F76-AL76</f>
        <v>0</v>
      </c>
      <c r="AL76" s="1879">
        <v>23</v>
      </c>
      <c r="AM76" s="1453"/>
      <c r="AN76" s="1859">
        <f t="shared" ref="AN76:AN110" si="22">AJ76-AO76</f>
        <v>37</v>
      </c>
      <c r="AO76" s="9">
        <v>311</v>
      </c>
      <c r="AP76" s="1860">
        <f t="shared" ref="AP76:AP110" si="23">AO76-AQ76</f>
        <v>16</v>
      </c>
      <c r="AQ76" s="9">
        <v>295</v>
      </c>
      <c r="AR76" s="9"/>
    </row>
    <row r="77" spans="1:44" x14ac:dyDescent="0.2">
      <c r="A77" s="1374" t="s">
        <v>9377</v>
      </c>
      <c r="B77" s="1374" t="s">
        <v>9378</v>
      </c>
      <c r="C77" s="542">
        <f t="shared" si="8"/>
        <v>249</v>
      </c>
      <c r="D77" s="1">
        <v>2.1030092592592597E-2</v>
      </c>
      <c r="E77" s="1371" t="s">
        <v>5883</v>
      </c>
      <c r="F77" s="915">
        <f>COUNT(G77:Y77)+F652+F1223+E700+F194+F280+F353+F614+F1133+F407</f>
        <v>19</v>
      </c>
      <c r="G77" s="1381">
        <v>160</v>
      </c>
      <c r="H77" s="1388">
        <v>24</v>
      </c>
      <c r="I77" s="1388"/>
      <c r="J77" s="1388"/>
      <c r="K77" s="1388">
        <v>28</v>
      </c>
      <c r="L77" s="1388">
        <v>1</v>
      </c>
      <c r="M77" s="1388"/>
      <c r="N77" s="1388">
        <v>2</v>
      </c>
      <c r="O77" s="1388"/>
      <c r="P77" s="1388"/>
      <c r="Q77" s="1388">
        <v>1</v>
      </c>
      <c r="R77" s="1388"/>
      <c r="S77" s="1388"/>
      <c r="T77" s="1388">
        <v>3</v>
      </c>
      <c r="U77" s="1388"/>
      <c r="V77" s="1388"/>
      <c r="W77" s="1388"/>
      <c r="X77" s="1388"/>
      <c r="Y77" s="1388"/>
      <c r="Z77" s="1388"/>
      <c r="AA77" s="1383">
        <f>C652+C1223+C700+C194+C280+C353+C614+C1133+C407</f>
        <v>30</v>
      </c>
      <c r="AB77" s="1384">
        <v>43897</v>
      </c>
      <c r="AC77" s="34">
        <v>40446</v>
      </c>
      <c r="AD77">
        <v>96803</v>
      </c>
      <c r="AE77" t="str">
        <f t="shared" si="10"/>
        <v>Zoe</v>
      </c>
      <c r="AF77" t="str">
        <f t="shared" si="11"/>
        <v>Ostley</v>
      </c>
      <c r="AI77" s="1856">
        <f t="shared" si="20"/>
        <v>9</v>
      </c>
      <c r="AJ77" s="1855">
        <v>240</v>
      </c>
      <c r="AK77" s="1453">
        <f t="shared" si="21"/>
        <v>1</v>
      </c>
      <c r="AL77" s="1879">
        <v>18</v>
      </c>
      <c r="AM77" s="1453"/>
      <c r="AN77" s="1859">
        <f t="shared" si="22"/>
        <v>20</v>
      </c>
      <c r="AO77" s="9">
        <v>220</v>
      </c>
      <c r="AP77" s="1860">
        <f t="shared" si="23"/>
        <v>21</v>
      </c>
      <c r="AQ77" s="9">
        <v>199</v>
      </c>
      <c r="AR77" s="9"/>
    </row>
    <row r="78" spans="1:44" x14ac:dyDescent="0.2">
      <c r="A78" s="1374" t="s">
        <v>5788</v>
      </c>
      <c r="B78" s="1374" t="s">
        <v>5789</v>
      </c>
      <c r="C78" s="578">
        <f t="shared" si="8"/>
        <v>115</v>
      </c>
      <c r="D78" s="1">
        <v>2.1145833333333332E-2</v>
      </c>
      <c r="E78" s="1370" t="s">
        <v>2464</v>
      </c>
      <c r="F78" s="915">
        <f>F954+F1195+F971+F1266+F1044+F828</f>
        <v>13</v>
      </c>
      <c r="G78" s="1385"/>
      <c r="H78" s="1385"/>
      <c r="I78" s="1385"/>
      <c r="J78" s="1385"/>
      <c r="K78" s="1385"/>
      <c r="L78" s="1385"/>
      <c r="M78" s="1385"/>
      <c r="N78" s="1385"/>
      <c r="O78" s="1385"/>
      <c r="P78" s="1388">
        <v>2</v>
      </c>
      <c r="Q78" s="1385"/>
      <c r="R78" s="1385"/>
      <c r="S78" s="1385"/>
      <c r="T78" s="1385"/>
      <c r="U78" s="1385"/>
      <c r="V78" s="1385"/>
      <c r="W78" s="1385"/>
      <c r="X78" s="1385"/>
      <c r="Y78" s="1385"/>
      <c r="Z78" s="1385"/>
      <c r="AA78" s="1383">
        <f>C954+C1195+C971+C1266+C1044+C828</f>
        <v>113</v>
      </c>
      <c r="AB78" s="1384">
        <v>43904</v>
      </c>
      <c r="AC78" s="34">
        <v>42399</v>
      </c>
      <c r="AD78">
        <v>1746998</v>
      </c>
      <c r="AE78" t="str">
        <f t="shared" si="10"/>
        <v>Petra</v>
      </c>
      <c r="AF78" t="str">
        <f t="shared" si="11"/>
        <v>Otto</v>
      </c>
      <c r="AI78" s="1856">
        <f t="shared" si="20"/>
        <v>8</v>
      </c>
      <c r="AJ78" s="1855">
        <v>107</v>
      </c>
      <c r="AK78" s="1453">
        <f t="shared" si="21"/>
        <v>0</v>
      </c>
      <c r="AL78" s="1879">
        <v>13</v>
      </c>
      <c r="AM78" s="1453"/>
      <c r="AN78" s="1859">
        <f t="shared" si="22"/>
        <v>35</v>
      </c>
      <c r="AO78" s="9">
        <v>72</v>
      </c>
      <c r="AP78" s="1860">
        <f t="shared" si="23"/>
        <v>38</v>
      </c>
      <c r="AQ78" s="9">
        <v>34</v>
      </c>
      <c r="AR78" s="9"/>
    </row>
    <row r="79" spans="1:44" x14ac:dyDescent="0.2">
      <c r="A79" s="1372"/>
      <c r="B79" s="1372"/>
      <c r="C79" s="517"/>
      <c r="D79" s="32"/>
      <c r="E79" s="1372"/>
      <c r="F79" s="295"/>
      <c r="G79" s="1385" t="str">
        <f t="shared" ref="G79:X79" si="24">G39</f>
        <v>BFL</v>
      </c>
      <c r="H79" s="1385" t="str">
        <f t="shared" si="24"/>
        <v>BSH</v>
      </c>
      <c r="I79" s="1385" t="str">
        <f t="shared" si="24"/>
        <v>CAN</v>
      </c>
      <c r="J79" s="1385" t="str">
        <f t="shared" si="24"/>
        <v>CLA</v>
      </c>
      <c r="K79" s="1385" t="str">
        <f t="shared" si="24"/>
        <v>CRN</v>
      </c>
      <c r="L79" s="1385" t="str">
        <f t="shared" si="24"/>
        <v>FHP</v>
      </c>
      <c r="M79" s="1385" t="str">
        <f t="shared" si="24"/>
        <v>GLS</v>
      </c>
      <c r="N79" s="1385" t="str">
        <f t="shared" si="24"/>
        <v>GUN</v>
      </c>
      <c r="O79" s="1385" t="str">
        <f t="shared" si="24"/>
        <v>HAW</v>
      </c>
      <c r="P79" s="1385" t="str">
        <f t="shared" si="24"/>
        <v>HRR</v>
      </c>
      <c r="Q79" s="1385" t="str">
        <f t="shared" si="24"/>
        <v>KNG</v>
      </c>
      <c r="R79" s="1385" t="str">
        <f t="shared" si="24"/>
        <v>NOF</v>
      </c>
      <c r="S79" s="1385" t="str">
        <f t="shared" si="24"/>
        <v>ODP</v>
      </c>
      <c r="T79" s="1385" t="str">
        <f t="shared" si="24"/>
        <v>OST</v>
      </c>
      <c r="U79" s="1385" t="str">
        <f t="shared" si="24"/>
        <v>RCH</v>
      </c>
      <c r="V79" s="1385" t="str">
        <f t="shared" si="24"/>
        <v>TOO</v>
      </c>
      <c r="W79" s="1385" t="str">
        <f t="shared" si="24"/>
        <v>WIM</v>
      </c>
      <c r="X79" s="1385" t="str">
        <f t="shared" si="24"/>
        <v>WSC</v>
      </c>
      <c r="Y79" s="1385"/>
      <c r="Z79" s="1385"/>
      <c r="AA79" s="1386" t="s">
        <v>5432</v>
      </c>
      <c r="AB79" s="1379"/>
      <c r="AH79" s="1371"/>
      <c r="AI79" s="1453"/>
      <c r="AJ79" s="1453"/>
      <c r="AK79" s="1453"/>
      <c r="AL79" s="1880"/>
      <c r="AM79" s="1453"/>
      <c r="AN79" s="1881"/>
      <c r="AO79" s="1398"/>
      <c r="AP79" s="1882"/>
      <c r="AQ79" s="1398"/>
      <c r="AR79" s="9"/>
    </row>
    <row r="80" spans="1:44" x14ac:dyDescent="0.2">
      <c r="A80" s="1370" t="s">
        <v>12844</v>
      </c>
      <c r="B80" s="1370" t="s">
        <v>12648</v>
      </c>
      <c r="C80" s="235">
        <f t="shared" ref="C80:C110" si="25">SUM(G80:AA80)</f>
        <v>18</v>
      </c>
      <c r="D80" s="32">
        <v>1.7337962962962961E-2</v>
      </c>
      <c r="E80" s="1370" t="s">
        <v>5885</v>
      </c>
      <c r="F80" s="915">
        <f>COUNT(G80:Y80)</f>
        <v>4</v>
      </c>
      <c r="G80" s="1388">
        <v>7</v>
      </c>
      <c r="H80" s="1388">
        <v>9</v>
      </c>
      <c r="I80" s="1388"/>
      <c r="J80" s="1388"/>
      <c r="K80" s="1388">
        <v>1</v>
      </c>
      <c r="L80" s="1388"/>
      <c r="M80" s="1388"/>
      <c r="N80" s="1388"/>
      <c r="O80" s="1388"/>
      <c r="P80" s="1388"/>
      <c r="Q80" s="1388"/>
      <c r="R80" s="1388"/>
      <c r="S80" s="1388"/>
      <c r="T80" s="1388">
        <v>1</v>
      </c>
      <c r="U80" s="1388"/>
      <c r="V80" s="1388"/>
      <c r="W80" s="1388"/>
      <c r="X80" s="1388"/>
      <c r="Y80" s="1385"/>
      <c r="Z80" s="1385"/>
      <c r="AA80" s="1386"/>
      <c r="AB80" s="1384">
        <v>43743</v>
      </c>
      <c r="AC80" s="34">
        <v>43169</v>
      </c>
      <c r="AD80" s="1493">
        <v>3595561</v>
      </c>
      <c r="AE80" t="str">
        <f t="shared" ref="AE80" si="26">A80</f>
        <v>Natalia</v>
      </c>
      <c r="AF80" t="str">
        <f t="shared" ref="AF80" si="27">B80</f>
        <v>Prescott</v>
      </c>
      <c r="AI80" s="1856">
        <f t="shared" si="20"/>
        <v>0</v>
      </c>
      <c r="AJ80" s="1855">
        <v>18</v>
      </c>
      <c r="AK80" s="1453">
        <f t="shared" si="21"/>
        <v>0</v>
      </c>
      <c r="AL80" s="1879">
        <v>4</v>
      </c>
      <c r="AM80" s="1453"/>
      <c r="AN80" s="1859">
        <f t="shared" si="22"/>
        <v>18</v>
      </c>
      <c r="AO80" s="9"/>
      <c r="AP80" s="1860">
        <f t="shared" si="23"/>
        <v>0</v>
      </c>
      <c r="AQ80" s="9"/>
      <c r="AR80" s="9"/>
    </row>
    <row r="81" spans="1:50" ht="12.75" customHeight="1" x14ac:dyDescent="0.2">
      <c r="A81" s="1370" t="s">
        <v>3535</v>
      </c>
      <c r="B81" s="1370" t="s">
        <v>12648</v>
      </c>
      <c r="C81" s="509">
        <f t="shared" si="25"/>
        <v>64</v>
      </c>
      <c r="D81" s="32">
        <v>1.3113425925925926E-2</v>
      </c>
      <c r="E81" s="1370" t="s">
        <v>5885</v>
      </c>
      <c r="F81" s="915">
        <f>COUNT(G81:Y81)+F195+F653+F1067+E1067+F778+F734</f>
        <v>11</v>
      </c>
      <c r="G81" s="1381">
        <v>46</v>
      </c>
      <c r="H81" s="1381">
        <v>8</v>
      </c>
      <c r="I81" s="1381"/>
      <c r="J81" s="1381"/>
      <c r="K81" s="1381">
        <v>1</v>
      </c>
      <c r="L81" s="1381"/>
      <c r="M81" s="1381"/>
      <c r="N81" s="1381"/>
      <c r="O81" s="1381">
        <v>2</v>
      </c>
      <c r="P81" s="1381"/>
      <c r="Q81" s="1381"/>
      <c r="R81" s="1381"/>
      <c r="S81" s="1381"/>
      <c r="T81" s="1381"/>
      <c r="U81" s="1381"/>
      <c r="V81" s="1381"/>
      <c r="W81" s="1381"/>
      <c r="X81" s="1381"/>
      <c r="Y81" s="1381"/>
      <c r="Z81" s="1381"/>
      <c r="AA81" s="1383">
        <f>C195+C653+C1067+C778+C734</f>
        <v>7</v>
      </c>
      <c r="AB81" s="1384">
        <v>43904</v>
      </c>
      <c r="AC81" s="34">
        <v>42868</v>
      </c>
      <c r="AD81">
        <v>3502479</v>
      </c>
      <c r="AE81" t="str">
        <f t="shared" ref="AE81:AE110" si="28">A81</f>
        <v>Paul</v>
      </c>
      <c r="AF81" t="str">
        <f t="shared" ref="AF81:AF110" si="29">B81</f>
        <v>Prescott</v>
      </c>
      <c r="AI81" s="1856">
        <f t="shared" si="20"/>
        <v>5</v>
      </c>
      <c r="AJ81" s="1855">
        <v>59</v>
      </c>
      <c r="AK81" s="1453">
        <f t="shared" si="21"/>
        <v>2</v>
      </c>
      <c r="AL81" s="1879">
        <v>9</v>
      </c>
      <c r="AM81" s="1453"/>
      <c r="AN81" s="1859"/>
      <c r="AO81" s="9"/>
      <c r="AP81" s="1860">
        <f t="shared" si="23"/>
        <v>0</v>
      </c>
      <c r="AQ81" s="9"/>
      <c r="AR81" s="9"/>
    </row>
    <row r="82" spans="1:50" x14ac:dyDescent="0.2">
      <c r="A82" s="1370" t="s">
        <v>9794</v>
      </c>
      <c r="B82" s="1370" t="s">
        <v>9795</v>
      </c>
      <c r="C82" s="509">
        <f t="shared" si="25"/>
        <v>49</v>
      </c>
      <c r="D82" s="1412">
        <v>1.8483796296296297E-2</v>
      </c>
      <c r="E82" s="1370" t="s">
        <v>2818</v>
      </c>
      <c r="F82" s="915">
        <f>COUNT(G82:Y82)+F1017+F994+F1196+F1134+F654</f>
        <v>7</v>
      </c>
      <c r="G82" s="1377"/>
      <c r="H82" s="1377"/>
      <c r="I82" s="1377"/>
      <c r="J82" s="1377"/>
      <c r="K82" s="1377"/>
      <c r="L82" s="1377"/>
      <c r="M82" s="1377"/>
      <c r="N82" s="1377"/>
      <c r="O82" s="1377"/>
      <c r="P82" s="1377"/>
      <c r="Q82" s="1377"/>
      <c r="R82" s="1377"/>
      <c r="S82" s="1377"/>
      <c r="T82" s="1377"/>
      <c r="U82" s="1377">
        <v>43</v>
      </c>
      <c r="V82" s="1377"/>
      <c r="W82" s="1377"/>
      <c r="X82" s="1377"/>
      <c r="Y82" s="1377"/>
      <c r="Z82" s="1377"/>
      <c r="AA82" s="1378">
        <f>C1017+C994+C1196+C1134+C654</f>
        <v>6</v>
      </c>
      <c r="AB82" s="1384">
        <v>43904</v>
      </c>
      <c r="AC82" s="34">
        <v>41580</v>
      </c>
      <c r="AD82">
        <v>719187</v>
      </c>
      <c r="AE82" t="str">
        <f t="shared" si="28"/>
        <v>Jain</v>
      </c>
      <c r="AF82" t="str">
        <f t="shared" si="29"/>
        <v>Reid</v>
      </c>
      <c r="AI82" s="1856">
        <f t="shared" si="20"/>
        <v>-18</v>
      </c>
      <c r="AJ82" s="1855">
        <v>67</v>
      </c>
      <c r="AK82" s="1453">
        <f t="shared" si="21"/>
        <v>1</v>
      </c>
      <c r="AL82" s="1879">
        <v>6</v>
      </c>
      <c r="AM82" s="1453"/>
      <c r="AN82" s="1859">
        <f t="shared" si="22"/>
        <v>28</v>
      </c>
      <c r="AO82" s="9">
        <v>39</v>
      </c>
      <c r="AP82" s="1860">
        <f t="shared" si="23"/>
        <v>11</v>
      </c>
      <c r="AQ82" s="9">
        <v>28</v>
      </c>
      <c r="AR82" s="9"/>
    </row>
    <row r="83" spans="1:50" x14ac:dyDescent="0.2">
      <c r="A83" s="1370" t="s">
        <v>503</v>
      </c>
      <c r="B83" s="1370" t="s">
        <v>504</v>
      </c>
      <c r="C83" s="235">
        <f t="shared" si="25"/>
        <v>1</v>
      </c>
      <c r="D83" s="35">
        <v>4.1874999999999996E-2</v>
      </c>
      <c r="E83" s="1371" t="s">
        <v>5198</v>
      </c>
      <c r="F83" s="915">
        <f>COUNT(G83:Y83)+F281</f>
        <v>1</v>
      </c>
      <c r="G83" s="1377"/>
      <c r="H83" s="1377"/>
      <c r="I83" s="1377"/>
      <c r="J83" s="1377"/>
      <c r="K83" s="1377"/>
      <c r="L83" s="1377"/>
      <c r="M83" s="1377"/>
      <c r="N83" s="1377"/>
      <c r="O83" s="1377"/>
      <c r="P83" s="1377"/>
      <c r="Q83" s="1377"/>
      <c r="R83" s="1377"/>
      <c r="S83" s="1377"/>
      <c r="T83" s="1377"/>
      <c r="U83" s="1377"/>
      <c r="V83" s="1377"/>
      <c r="W83" s="1377"/>
      <c r="X83" s="1377"/>
      <c r="Y83" s="1377"/>
      <c r="Z83" s="1377"/>
      <c r="AA83" s="1378">
        <f>C281</f>
        <v>1</v>
      </c>
      <c r="AB83" s="1379">
        <v>42763</v>
      </c>
      <c r="AE83" t="str">
        <f t="shared" si="28"/>
        <v>Tom</v>
      </c>
      <c r="AF83" t="str">
        <f t="shared" si="29"/>
        <v>Rowley</v>
      </c>
      <c r="AI83" s="1856">
        <f t="shared" si="20"/>
        <v>0</v>
      </c>
      <c r="AJ83" s="1855">
        <v>1</v>
      </c>
      <c r="AK83" s="1453">
        <f t="shared" si="21"/>
        <v>0</v>
      </c>
      <c r="AL83" s="1879">
        <v>1</v>
      </c>
      <c r="AM83" s="1453"/>
      <c r="AN83" s="1859">
        <f t="shared" si="22"/>
        <v>0</v>
      </c>
      <c r="AO83" s="9">
        <v>1</v>
      </c>
      <c r="AP83" s="1860">
        <f t="shared" si="23"/>
        <v>0</v>
      </c>
      <c r="AQ83" s="9">
        <v>1</v>
      </c>
      <c r="AR83" s="9"/>
    </row>
    <row r="84" spans="1:50" x14ac:dyDescent="0.2">
      <c r="A84" s="1370" t="s">
        <v>3960</v>
      </c>
      <c r="B84" s="1370" t="s">
        <v>3961</v>
      </c>
      <c r="C84" s="251">
        <f t="shared" si="25"/>
        <v>165</v>
      </c>
      <c r="D84" s="1">
        <v>1.4097222222222221E-2</v>
      </c>
      <c r="E84" s="1371" t="s">
        <v>5883</v>
      </c>
      <c r="F84" s="915">
        <f>COUNT(G84:Y84)+F451+F489+F735+F871+F996+F552+F530+F972+F1402+F955+F196+F1019+F1109+F805+F282+F355+F701+F677+F846</f>
        <v>91</v>
      </c>
      <c r="G84" s="1377">
        <v>17</v>
      </c>
      <c r="H84" s="1377">
        <v>1</v>
      </c>
      <c r="I84" s="1377">
        <v>1</v>
      </c>
      <c r="J84" s="1377"/>
      <c r="K84" s="1377">
        <v>2</v>
      </c>
      <c r="L84" s="1377">
        <v>3</v>
      </c>
      <c r="M84" s="1377">
        <v>1</v>
      </c>
      <c r="N84" s="1377">
        <v>1</v>
      </c>
      <c r="O84" s="1377"/>
      <c r="P84" s="1377">
        <v>1</v>
      </c>
      <c r="Q84" s="1377">
        <v>1</v>
      </c>
      <c r="R84" s="1377">
        <v>1</v>
      </c>
      <c r="S84" s="1377"/>
      <c r="T84" s="1377">
        <v>1</v>
      </c>
      <c r="U84" s="1377">
        <v>1</v>
      </c>
      <c r="V84" s="1377"/>
      <c r="W84" s="1377"/>
      <c r="X84" s="1377"/>
      <c r="Y84" s="1377"/>
      <c r="Z84" s="1377"/>
      <c r="AA84" s="1378">
        <f>C451+C489+C735+C871+C996+C552+C530+C972+C1402+C955+C196+C1019+C1109+C805+C282+C355+C701+C677+C846</f>
        <v>134</v>
      </c>
      <c r="AB84" s="1384">
        <v>43848</v>
      </c>
      <c r="AC84" s="34">
        <v>40341</v>
      </c>
      <c r="AD84">
        <v>77316</v>
      </c>
      <c r="AE84" t="str">
        <f t="shared" si="28"/>
        <v>Richard</v>
      </c>
      <c r="AF84" t="str">
        <f t="shared" si="29"/>
        <v>Ruffell</v>
      </c>
      <c r="AI84" s="1856">
        <f t="shared" si="20"/>
        <v>2</v>
      </c>
      <c r="AJ84" s="1855">
        <v>163</v>
      </c>
      <c r="AK84" s="1453">
        <f t="shared" si="21"/>
        <v>2</v>
      </c>
      <c r="AL84" s="1879">
        <v>89</v>
      </c>
      <c r="AM84" s="1453"/>
      <c r="AN84" s="1859">
        <f t="shared" si="22"/>
        <v>9</v>
      </c>
      <c r="AO84" s="9">
        <v>154</v>
      </c>
      <c r="AP84" s="1860">
        <f t="shared" si="23"/>
        <v>21</v>
      </c>
      <c r="AQ84" s="9">
        <v>133</v>
      </c>
      <c r="AR84" s="9"/>
    </row>
    <row r="85" spans="1:50" x14ac:dyDescent="0.2">
      <c r="A85" s="1372" t="s">
        <v>870</v>
      </c>
      <c r="B85" s="1372" t="s">
        <v>871</v>
      </c>
      <c r="C85" s="252">
        <f t="shared" si="25"/>
        <v>70</v>
      </c>
      <c r="D85" s="1">
        <v>1.2615740740740742E-2</v>
      </c>
      <c r="E85" s="1371" t="s">
        <v>5885</v>
      </c>
      <c r="F85" s="915">
        <f>COUNT(G85:Y85)+F1045+F1344+F573</f>
        <v>10</v>
      </c>
      <c r="G85" s="1377">
        <v>55</v>
      </c>
      <c r="H85" s="1377">
        <v>4</v>
      </c>
      <c r="I85" s="1377"/>
      <c r="J85" s="1377"/>
      <c r="K85" s="1377">
        <v>1</v>
      </c>
      <c r="L85" s="1377">
        <v>3</v>
      </c>
      <c r="M85" s="1377"/>
      <c r="N85" s="1377"/>
      <c r="O85" s="1377"/>
      <c r="P85" s="1377"/>
      <c r="Q85" s="1377">
        <v>1</v>
      </c>
      <c r="R85" s="1377"/>
      <c r="S85" s="1377"/>
      <c r="T85" s="1377">
        <v>1</v>
      </c>
      <c r="U85" s="1377"/>
      <c r="V85" s="1377"/>
      <c r="W85" s="1377">
        <v>1</v>
      </c>
      <c r="X85" s="1377"/>
      <c r="Y85" s="1377"/>
      <c r="Z85" s="1377"/>
      <c r="AA85" s="1378">
        <f>C1045+C1344+C573+C283</f>
        <v>4</v>
      </c>
      <c r="AB85" s="1379">
        <v>43064</v>
      </c>
      <c r="AC85" s="34">
        <v>39361</v>
      </c>
      <c r="AD85">
        <v>7359</v>
      </c>
      <c r="AE85" t="str">
        <f t="shared" si="28"/>
        <v>Gary</v>
      </c>
      <c r="AF85" t="str">
        <f t="shared" si="29"/>
        <v>Rushmer</v>
      </c>
      <c r="AI85" s="1856">
        <f t="shared" si="20"/>
        <v>0</v>
      </c>
      <c r="AJ85" s="1855">
        <v>70</v>
      </c>
      <c r="AK85" s="1453">
        <f t="shared" si="21"/>
        <v>0</v>
      </c>
      <c r="AL85" s="1879">
        <v>10</v>
      </c>
      <c r="AM85" s="1453"/>
      <c r="AN85" s="1859">
        <f t="shared" si="22"/>
        <v>0</v>
      </c>
      <c r="AO85" s="9">
        <v>70</v>
      </c>
      <c r="AP85" s="1860">
        <f t="shared" si="23"/>
        <v>0</v>
      </c>
      <c r="AQ85" s="9">
        <v>70</v>
      </c>
      <c r="AR85" s="9"/>
    </row>
    <row r="86" spans="1:50" x14ac:dyDescent="0.2">
      <c r="A86" s="1389" t="s">
        <v>1308</v>
      </c>
      <c r="B86" s="1389" t="s">
        <v>1506</v>
      </c>
      <c r="C86" s="235">
        <f t="shared" si="25"/>
        <v>46</v>
      </c>
      <c r="D86" s="1">
        <v>1.5960648148148151E-2</v>
      </c>
      <c r="E86" s="1371" t="s">
        <v>6019</v>
      </c>
      <c r="F86" s="915">
        <f>COUNT(G86:Y86)+F490+F283+F356</f>
        <v>3</v>
      </c>
      <c r="G86" s="1377"/>
      <c r="H86" s="1377"/>
      <c r="I86" s="1377"/>
      <c r="J86" s="1377"/>
      <c r="K86" s="1377"/>
      <c r="L86" s="1377"/>
      <c r="M86" s="1377"/>
      <c r="N86" s="1377"/>
      <c r="O86" s="1377"/>
      <c r="P86" s="1377"/>
      <c r="Q86" s="1377"/>
      <c r="R86" s="1377"/>
      <c r="S86" s="1377"/>
      <c r="T86" s="1377"/>
      <c r="U86" s="1377"/>
      <c r="V86" s="1377"/>
      <c r="W86" s="1377"/>
      <c r="X86" s="1377"/>
      <c r="Y86" s="1377"/>
      <c r="Z86" s="1377"/>
      <c r="AA86" s="1378">
        <f>C490+C356</f>
        <v>46</v>
      </c>
      <c r="AB86" s="1379">
        <v>43484</v>
      </c>
      <c r="AC86" s="34">
        <v>42203</v>
      </c>
      <c r="AE86" s="859" t="str">
        <f t="shared" si="28"/>
        <v>Colin</v>
      </c>
      <c r="AF86" s="859" t="str">
        <f t="shared" si="29"/>
        <v>Russell</v>
      </c>
      <c r="AG86" s="859"/>
      <c r="AI86" s="1856">
        <f t="shared" si="20"/>
        <v>0</v>
      </c>
      <c r="AJ86" s="1855">
        <v>46</v>
      </c>
      <c r="AK86" s="1453">
        <f t="shared" si="21"/>
        <v>0</v>
      </c>
      <c r="AL86" s="1879">
        <v>3</v>
      </c>
      <c r="AM86" s="1453"/>
      <c r="AN86" s="1859">
        <f t="shared" si="22"/>
        <v>2</v>
      </c>
      <c r="AO86" s="9">
        <v>44</v>
      </c>
      <c r="AP86" s="1860">
        <f t="shared" si="23"/>
        <v>0</v>
      </c>
      <c r="AQ86" s="9">
        <v>44</v>
      </c>
      <c r="AR86" s="9"/>
    </row>
    <row r="87" spans="1:50" x14ac:dyDescent="0.2">
      <c r="A87" s="1372" t="s">
        <v>2416</v>
      </c>
      <c r="B87" s="1372" t="s">
        <v>2417</v>
      </c>
      <c r="C87" s="542">
        <f t="shared" si="25"/>
        <v>184</v>
      </c>
      <c r="D87" s="1">
        <v>1.9618055555555555E-2</v>
      </c>
      <c r="E87" s="1371" t="s">
        <v>8335</v>
      </c>
      <c r="F87" s="915">
        <f>COUNT(G87:Y87)+F997+F1403+F1286+F1082+F1020+F1371+F1162+F806+F1267+F452+F779+F1239+F873+F197+F284+F357+F408+F532+F1345+F491+F736</f>
        <v>65</v>
      </c>
      <c r="G87" s="1377">
        <v>2</v>
      </c>
      <c r="H87" s="1377">
        <v>1</v>
      </c>
      <c r="I87" s="1377"/>
      <c r="J87" s="1377"/>
      <c r="K87" s="1377"/>
      <c r="L87" s="1377"/>
      <c r="M87" s="1377">
        <v>6</v>
      </c>
      <c r="N87" s="1377">
        <v>1</v>
      </c>
      <c r="O87" s="1377">
        <v>1</v>
      </c>
      <c r="P87" s="1377">
        <v>1</v>
      </c>
      <c r="Q87" s="1377"/>
      <c r="R87" s="1377">
        <v>3</v>
      </c>
      <c r="S87" s="1377"/>
      <c r="T87" s="1377">
        <v>4</v>
      </c>
      <c r="U87" s="1377">
        <v>1</v>
      </c>
      <c r="V87" s="1377"/>
      <c r="W87" s="1377"/>
      <c r="X87" s="1377"/>
      <c r="Y87" s="1377"/>
      <c r="Z87" s="1377"/>
      <c r="AA87" s="1378">
        <f>C997+C1403+C1286+C1082+C1020+C1345+C1162+C806+C1267+C452+C779+C1239+C873+C197+C284+C357+C408+C532+C1371+C491+C736</f>
        <v>164</v>
      </c>
      <c r="AB87" s="1384">
        <v>43904</v>
      </c>
      <c r="AC87" s="34">
        <v>41559</v>
      </c>
      <c r="AD87">
        <v>639088</v>
      </c>
      <c r="AE87" t="str">
        <f t="shared" si="28"/>
        <v>Benita</v>
      </c>
      <c r="AF87" t="str">
        <f t="shared" si="29"/>
        <v>Scaife</v>
      </c>
      <c r="AI87" s="1998">
        <f t="shared" si="20"/>
        <v>11</v>
      </c>
      <c r="AJ87" s="1855">
        <v>173</v>
      </c>
      <c r="AK87" s="1453">
        <f t="shared" si="21"/>
        <v>1</v>
      </c>
      <c r="AL87" s="1879">
        <v>64</v>
      </c>
      <c r="AM87" s="1453"/>
      <c r="AN87" s="1859">
        <f t="shared" si="22"/>
        <v>36</v>
      </c>
      <c r="AO87" s="9">
        <v>137</v>
      </c>
      <c r="AP87" s="1860">
        <f t="shared" si="23"/>
        <v>37</v>
      </c>
      <c r="AQ87" s="9">
        <v>100</v>
      </c>
      <c r="AR87" s="9"/>
    </row>
    <row r="88" spans="1:50" x14ac:dyDescent="0.2">
      <c r="A88" s="1372" t="s">
        <v>866</v>
      </c>
      <c r="B88" s="1372" t="s">
        <v>2417</v>
      </c>
      <c r="C88" s="542">
        <f>SUM(G88:AA88)</f>
        <v>211</v>
      </c>
      <c r="D88" s="1">
        <v>1.650462962962963E-2</v>
      </c>
      <c r="E88" s="1371" t="s">
        <v>1534</v>
      </c>
      <c r="F88" s="915">
        <f>COUNT(G88:Y88)+F998+F1021+F1083+F1287+F1404+F1371+F1163+F807+F1268+F453+F780+F1240+F874+F198+F285+F358+F409+F533+F615+F1346+F492+F737</f>
        <v>74</v>
      </c>
      <c r="G88" s="1377">
        <v>2</v>
      </c>
      <c r="H88" s="1377">
        <v>1</v>
      </c>
      <c r="I88" s="1377">
        <v>1</v>
      </c>
      <c r="J88" s="1377"/>
      <c r="K88" s="1377"/>
      <c r="L88" s="1377"/>
      <c r="M88" s="1377">
        <v>7</v>
      </c>
      <c r="N88" s="1377">
        <v>2</v>
      </c>
      <c r="O88" s="1377">
        <v>1</v>
      </c>
      <c r="P88" s="1377">
        <v>1</v>
      </c>
      <c r="Q88" s="1377"/>
      <c r="R88" s="1377">
        <v>3</v>
      </c>
      <c r="S88" s="1377"/>
      <c r="T88" s="1377">
        <v>4</v>
      </c>
      <c r="U88" s="1377">
        <v>1</v>
      </c>
      <c r="V88" s="1377"/>
      <c r="W88" s="1377"/>
      <c r="X88" s="1377"/>
      <c r="Y88" s="1377"/>
      <c r="Z88" s="1377"/>
      <c r="AA88" s="1378">
        <f>C1021+C998+C1083+C1287+C1404+C1346+C1163+C807+C1268+C453+C780+C1240+C874+C198+C285+C358+C409+C533+C615+C1372+C492+C737</f>
        <v>188</v>
      </c>
      <c r="AB88" s="1384">
        <v>43904</v>
      </c>
      <c r="AC88" s="34">
        <v>41559</v>
      </c>
      <c r="AD88">
        <v>639084</v>
      </c>
      <c r="AE88" t="str">
        <f t="shared" si="28"/>
        <v>John</v>
      </c>
      <c r="AF88" t="str">
        <f t="shared" si="29"/>
        <v>Scaife</v>
      </c>
      <c r="AI88" s="1998">
        <f t="shared" si="20"/>
        <v>11</v>
      </c>
      <c r="AJ88" s="1855">
        <v>200</v>
      </c>
      <c r="AK88" s="1453">
        <f t="shared" si="21"/>
        <v>1</v>
      </c>
      <c r="AL88" s="1879">
        <v>73</v>
      </c>
      <c r="AM88" s="1453"/>
      <c r="AN88" s="1859">
        <f t="shared" si="22"/>
        <v>42</v>
      </c>
      <c r="AO88" s="9">
        <v>158</v>
      </c>
      <c r="AP88" s="1860">
        <f t="shared" si="23"/>
        <v>43</v>
      </c>
      <c r="AQ88" s="9">
        <v>115</v>
      </c>
      <c r="AR88" s="9"/>
    </row>
    <row r="89" spans="1:50" x14ac:dyDescent="0.2">
      <c r="A89" s="1389" t="s">
        <v>4893</v>
      </c>
      <c r="B89" s="1389" t="s">
        <v>4894</v>
      </c>
      <c r="C89" s="542">
        <f t="shared" si="25"/>
        <v>112</v>
      </c>
      <c r="D89" s="1">
        <v>1.2777777777777777E-2</v>
      </c>
      <c r="E89" s="1371" t="s">
        <v>129</v>
      </c>
      <c r="F89" s="915">
        <f>COUNT(G89:Y89)+F493+F809+F574+F454+F199+F286+F618+F712</f>
        <v>15</v>
      </c>
      <c r="G89" s="1377"/>
      <c r="H89" s="1377">
        <v>7</v>
      </c>
      <c r="I89" s="1377"/>
      <c r="J89" s="1377"/>
      <c r="K89" s="1377">
        <v>68</v>
      </c>
      <c r="L89" s="1377">
        <v>1</v>
      </c>
      <c r="M89" s="1377"/>
      <c r="N89" s="1377">
        <v>2</v>
      </c>
      <c r="O89" s="1377"/>
      <c r="P89" s="1377"/>
      <c r="Q89" s="1377">
        <v>1</v>
      </c>
      <c r="R89" s="1377"/>
      <c r="S89" s="1377"/>
      <c r="T89" s="1377">
        <v>23</v>
      </c>
      <c r="U89" s="1377"/>
      <c r="V89" s="1377"/>
      <c r="W89" s="1377"/>
      <c r="X89" s="1377"/>
      <c r="Y89" s="1377"/>
      <c r="Z89" s="1377"/>
      <c r="AA89" s="1378">
        <f>C493+C809+C574+C454+C199+C286+C618+C712</f>
        <v>10</v>
      </c>
      <c r="AB89" s="1379">
        <v>43582</v>
      </c>
      <c r="AC89" s="34">
        <v>40411</v>
      </c>
      <c r="AD89">
        <v>86962</v>
      </c>
      <c r="AE89" s="859" t="str">
        <f t="shared" si="28"/>
        <v>Jeremy</v>
      </c>
      <c r="AF89" s="859" t="str">
        <f t="shared" si="29"/>
        <v>Short</v>
      </c>
      <c r="AI89" s="1856">
        <f t="shared" si="20"/>
        <v>0</v>
      </c>
      <c r="AJ89" s="1855">
        <v>112</v>
      </c>
      <c r="AK89" s="1453">
        <f t="shared" si="21"/>
        <v>0</v>
      </c>
      <c r="AL89" s="1879">
        <v>15</v>
      </c>
      <c r="AM89" s="1453"/>
      <c r="AN89" s="1859">
        <f t="shared" si="22"/>
        <v>4</v>
      </c>
      <c r="AO89" s="9">
        <v>108</v>
      </c>
      <c r="AP89" s="1860">
        <f t="shared" si="23"/>
        <v>15</v>
      </c>
      <c r="AQ89" s="9">
        <v>93</v>
      </c>
      <c r="AR89" s="9"/>
    </row>
    <row r="90" spans="1:50" x14ac:dyDescent="0.2">
      <c r="A90" s="1466" t="s">
        <v>3543</v>
      </c>
      <c r="B90" s="1466" t="s">
        <v>6122</v>
      </c>
      <c r="C90" s="529">
        <f t="shared" si="25"/>
        <v>77</v>
      </c>
      <c r="D90" s="1412">
        <v>1.298611111111111E-2</v>
      </c>
      <c r="E90" s="1370" t="s">
        <v>2431</v>
      </c>
      <c r="F90" s="915">
        <f>COUNT(G90:Y90)+F1405+F531+F287+F359+F1373+F494+F1084+F410</f>
        <v>15</v>
      </c>
      <c r="G90" s="1377">
        <v>39</v>
      </c>
      <c r="H90" s="1377"/>
      <c r="I90" s="1377"/>
      <c r="J90" s="1377"/>
      <c r="K90" s="1377">
        <v>11</v>
      </c>
      <c r="L90" s="1377"/>
      <c r="M90" s="1377"/>
      <c r="N90" s="1377">
        <v>1</v>
      </c>
      <c r="O90" s="1377">
        <v>2</v>
      </c>
      <c r="P90" s="1377"/>
      <c r="Q90" s="1377"/>
      <c r="R90" s="1377"/>
      <c r="S90" s="1377"/>
      <c r="T90" s="1377">
        <v>5</v>
      </c>
      <c r="U90" s="1377"/>
      <c r="V90" s="1377"/>
      <c r="W90" s="1377"/>
      <c r="X90" s="1377"/>
      <c r="Y90" s="1377"/>
      <c r="Z90" s="1377"/>
      <c r="AA90" s="1378">
        <f>C1405+C531+C287+C359+C1373+C494+C1084+C410</f>
        <v>19</v>
      </c>
      <c r="AB90" s="1384">
        <v>43904</v>
      </c>
      <c r="AC90" s="34">
        <v>42672</v>
      </c>
      <c r="AD90">
        <v>2548676</v>
      </c>
      <c r="AE90" t="str">
        <f t="shared" si="28"/>
        <v>James</v>
      </c>
      <c r="AF90" t="str">
        <f t="shared" si="29"/>
        <v>Shoulder</v>
      </c>
      <c r="AI90" s="1998">
        <f t="shared" si="20"/>
        <v>12</v>
      </c>
      <c r="AJ90" s="1855">
        <v>65</v>
      </c>
      <c r="AK90" s="1453">
        <f t="shared" si="21"/>
        <v>2</v>
      </c>
      <c r="AL90" s="1879">
        <v>13</v>
      </c>
      <c r="AM90" s="1453"/>
      <c r="AN90" s="1859">
        <f t="shared" si="22"/>
        <v>30</v>
      </c>
      <c r="AO90" s="9">
        <v>35</v>
      </c>
      <c r="AP90" s="1860">
        <f t="shared" si="23"/>
        <v>10</v>
      </c>
      <c r="AQ90" s="9">
        <v>25</v>
      </c>
      <c r="AR90" s="9"/>
    </row>
    <row r="91" spans="1:50" x14ac:dyDescent="0.2">
      <c r="A91" s="1374" t="s">
        <v>3033</v>
      </c>
      <c r="B91" s="1374" t="s">
        <v>12025</v>
      </c>
      <c r="C91" s="529">
        <f t="shared" si="25"/>
        <v>56</v>
      </c>
      <c r="D91" s="840">
        <v>1.7071759259259259E-2</v>
      </c>
      <c r="E91" s="1370" t="s">
        <v>2830</v>
      </c>
      <c r="F91" s="915">
        <f>COUNT(G91:Y91)+F200+F288+F411+F455+F495+F575+F619+F810+F702+F678</f>
        <v>21</v>
      </c>
      <c r="G91" s="1377">
        <v>1</v>
      </c>
      <c r="H91" s="1377"/>
      <c r="I91" s="1377"/>
      <c r="J91" s="1377"/>
      <c r="K91" s="1377"/>
      <c r="L91" s="1377"/>
      <c r="M91" s="1377"/>
      <c r="N91" s="1377"/>
      <c r="O91" s="1377"/>
      <c r="P91" s="1377"/>
      <c r="Q91" s="1377">
        <v>1</v>
      </c>
      <c r="R91" s="1377"/>
      <c r="S91" s="1377"/>
      <c r="T91" s="1377">
        <v>1</v>
      </c>
      <c r="U91" s="1377"/>
      <c r="V91" s="1377"/>
      <c r="W91" s="1377"/>
      <c r="X91" s="1377"/>
      <c r="Y91" s="1377"/>
      <c r="Z91" s="1377"/>
      <c r="AA91" s="1378">
        <f>C200+C288+C411+C455+C495+C575+C619+C810+C702+C678</f>
        <v>53</v>
      </c>
      <c r="AB91" s="1384">
        <v>43813</v>
      </c>
      <c r="AC91" s="1379">
        <v>40915</v>
      </c>
      <c r="AD91" s="1371">
        <v>221417</v>
      </c>
      <c r="AE91" t="str">
        <f t="shared" si="28"/>
        <v>Vera</v>
      </c>
      <c r="AF91" t="str">
        <f t="shared" si="29"/>
        <v>Sims</v>
      </c>
      <c r="AI91" s="1856">
        <f t="shared" si="20"/>
        <v>0</v>
      </c>
      <c r="AJ91" s="1855">
        <v>56</v>
      </c>
      <c r="AK91" s="1453">
        <f t="shared" si="21"/>
        <v>0</v>
      </c>
      <c r="AL91" s="1879">
        <v>21</v>
      </c>
      <c r="AM91" s="1453"/>
      <c r="AN91" s="1859"/>
      <c r="AO91" s="9"/>
      <c r="AP91" s="1860">
        <f t="shared" si="23"/>
        <v>0</v>
      </c>
      <c r="AQ91" s="9"/>
      <c r="AR91" s="9"/>
    </row>
    <row r="92" spans="1:50" ht="12.75" customHeight="1" x14ac:dyDescent="0.2">
      <c r="A92" s="1375" t="s">
        <v>4259</v>
      </c>
      <c r="B92" s="1375" t="s">
        <v>440</v>
      </c>
      <c r="C92" s="542">
        <f t="shared" si="25"/>
        <v>120</v>
      </c>
      <c r="D92" s="1">
        <v>2.0891203703703703E-2</v>
      </c>
      <c r="E92" s="1370" t="s">
        <v>5885</v>
      </c>
      <c r="F92" s="915">
        <f>COUNT(G92:Y92)+F875+F534+F1046+F808+F1136+F781+F829+F202+F290+F361+F412+F1241+F1198+F456+F703+F679+F847+F738</f>
        <v>44</v>
      </c>
      <c r="G92" s="1377">
        <v>2</v>
      </c>
      <c r="H92" s="1377">
        <v>3</v>
      </c>
      <c r="I92" s="1377"/>
      <c r="J92" s="1377"/>
      <c r="K92" s="1377"/>
      <c r="L92" s="1377"/>
      <c r="M92" s="1377"/>
      <c r="N92" s="1377"/>
      <c r="O92" s="1377"/>
      <c r="P92" s="1377">
        <v>1</v>
      </c>
      <c r="Q92" s="1377"/>
      <c r="R92" s="1377"/>
      <c r="S92" s="1377"/>
      <c r="T92" s="1377">
        <v>1</v>
      </c>
      <c r="U92" s="1377"/>
      <c r="V92" s="1377"/>
      <c r="W92" s="1377"/>
      <c r="X92" s="1377"/>
      <c r="Y92" s="1377"/>
      <c r="Z92" s="1377"/>
      <c r="AA92" s="1378">
        <f>C534+C875+C1046+C808+C1136+C781+C829+C202+C290+C361+C412+C1241+C1198+C456+C703+C679+C847+C738</f>
        <v>113</v>
      </c>
      <c r="AB92" s="1384">
        <v>43890</v>
      </c>
      <c r="AC92" s="332">
        <v>39032</v>
      </c>
      <c r="AD92">
        <v>2341</v>
      </c>
      <c r="AE92" t="str">
        <f t="shared" si="28"/>
        <v>Janet</v>
      </c>
      <c r="AF92" t="str">
        <f t="shared" si="29"/>
        <v>Smith</v>
      </c>
      <c r="AI92" s="1856">
        <f t="shared" si="20"/>
        <v>4</v>
      </c>
      <c r="AJ92" s="1855">
        <v>116</v>
      </c>
      <c r="AK92" s="1453">
        <f t="shared" si="21"/>
        <v>1</v>
      </c>
      <c r="AL92" s="1879">
        <v>43</v>
      </c>
      <c r="AM92" s="1453"/>
      <c r="AN92" s="1859">
        <f t="shared" si="22"/>
        <v>21</v>
      </c>
      <c r="AO92" s="9">
        <v>95</v>
      </c>
      <c r="AP92" s="1860">
        <f t="shared" si="23"/>
        <v>11</v>
      </c>
      <c r="AQ92" s="9">
        <v>84</v>
      </c>
      <c r="AR92" s="9"/>
      <c r="AV92" s="107"/>
      <c r="AW92" s="107"/>
      <c r="AX92" s="107"/>
    </row>
    <row r="93" spans="1:50" x14ac:dyDescent="0.2">
      <c r="A93" s="1372" t="s">
        <v>439</v>
      </c>
      <c r="B93" s="1372" t="s">
        <v>440</v>
      </c>
      <c r="C93" s="235">
        <f t="shared" si="25"/>
        <v>46</v>
      </c>
      <c r="D93" s="1">
        <v>1.834490740740741E-2</v>
      </c>
      <c r="E93" s="1371" t="s">
        <v>5885</v>
      </c>
      <c r="F93" s="915">
        <f>COUNT(G93:Y93)+F201+F289+F360</f>
        <v>10</v>
      </c>
      <c r="G93" s="1377">
        <v>1</v>
      </c>
      <c r="H93" s="1377">
        <v>8</v>
      </c>
      <c r="I93" s="1377"/>
      <c r="J93" s="1377"/>
      <c r="K93" s="1377"/>
      <c r="L93" s="1377"/>
      <c r="M93" s="1377"/>
      <c r="N93" s="1377">
        <v>1</v>
      </c>
      <c r="O93" s="1377"/>
      <c r="P93" s="1377"/>
      <c r="Q93" s="1377"/>
      <c r="R93" s="1377"/>
      <c r="S93" s="1377"/>
      <c r="T93" s="1377"/>
      <c r="U93" s="1377"/>
      <c r="V93" s="1377"/>
      <c r="W93" s="1377"/>
      <c r="X93" s="1377"/>
      <c r="Y93" s="1377"/>
      <c r="Z93" s="1377"/>
      <c r="AA93" s="1378">
        <f>C201+C289++C360</f>
        <v>36</v>
      </c>
      <c r="AB93" s="1379">
        <v>43603</v>
      </c>
      <c r="AC93" s="34">
        <v>39214</v>
      </c>
      <c r="AD93">
        <v>4702</v>
      </c>
      <c r="AE93" t="str">
        <f t="shared" si="28"/>
        <v>Helen</v>
      </c>
      <c r="AF93" t="str">
        <f t="shared" si="29"/>
        <v>Smith</v>
      </c>
      <c r="AI93" s="1856">
        <f t="shared" si="20"/>
        <v>0</v>
      </c>
      <c r="AJ93" s="1855">
        <v>46</v>
      </c>
      <c r="AK93" s="1453">
        <f t="shared" si="21"/>
        <v>0</v>
      </c>
      <c r="AL93" s="1879">
        <v>10</v>
      </c>
      <c r="AM93" s="1453"/>
      <c r="AN93" s="1859">
        <f t="shared" si="22"/>
        <v>4</v>
      </c>
      <c r="AO93" s="9">
        <v>42</v>
      </c>
      <c r="AP93" s="1860">
        <f t="shared" si="23"/>
        <v>5</v>
      </c>
      <c r="AQ93" s="9">
        <v>37</v>
      </c>
      <c r="AR93" s="9"/>
    </row>
    <row r="94" spans="1:50" x14ac:dyDescent="0.2">
      <c r="A94" s="1372" t="s">
        <v>3898</v>
      </c>
      <c r="B94" s="1372" t="s">
        <v>3899</v>
      </c>
      <c r="C94" s="235">
        <f t="shared" si="25"/>
        <v>21</v>
      </c>
      <c r="D94" s="1">
        <v>1.4664351851851852E-2</v>
      </c>
      <c r="E94" s="1371" t="s">
        <v>5186</v>
      </c>
      <c r="F94" s="915">
        <f>COUNT(G94:Y94)+F1111+F1242</f>
        <v>7</v>
      </c>
      <c r="G94" s="1377">
        <v>1</v>
      </c>
      <c r="H94" s="1377"/>
      <c r="I94" s="1377"/>
      <c r="J94" s="1377"/>
      <c r="K94" s="1377"/>
      <c r="L94" s="1377"/>
      <c r="M94" s="1377"/>
      <c r="N94" s="1377"/>
      <c r="O94" s="1377"/>
      <c r="P94" s="1377"/>
      <c r="Q94" s="1377"/>
      <c r="R94" s="1377"/>
      <c r="S94" s="1377"/>
      <c r="T94" s="1377"/>
      <c r="U94" s="1377"/>
      <c r="V94" s="1377"/>
      <c r="W94" s="1377"/>
      <c r="X94" s="1377"/>
      <c r="Y94" s="1377"/>
      <c r="Z94" s="1377"/>
      <c r="AA94" s="1378">
        <f>C1111+C1242</f>
        <v>20</v>
      </c>
      <c r="AB94" s="1384">
        <v>43701</v>
      </c>
      <c r="AC94" s="34">
        <v>41398</v>
      </c>
      <c r="AD94">
        <v>513294</v>
      </c>
      <c r="AE94" t="str">
        <f t="shared" si="28"/>
        <v>Gareth</v>
      </c>
      <c r="AF94" t="str">
        <f t="shared" si="29"/>
        <v>Snook</v>
      </c>
      <c r="AI94" s="1856">
        <f t="shared" si="20"/>
        <v>0</v>
      </c>
      <c r="AJ94" s="1855">
        <v>21</v>
      </c>
      <c r="AK94" s="1453">
        <f t="shared" si="21"/>
        <v>0</v>
      </c>
      <c r="AL94" s="1879">
        <v>7</v>
      </c>
      <c r="AM94" s="1453"/>
      <c r="AN94" s="1859">
        <f t="shared" si="22"/>
        <v>1</v>
      </c>
      <c r="AO94" s="9">
        <v>20</v>
      </c>
      <c r="AP94" s="1860">
        <f t="shared" si="23"/>
        <v>2</v>
      </c>
      <c r="AQ94" s="9">
        <v>18</v>
      </c>
      <c r="AR94" s="9"/>
    </row>
    <row r="95" spans="1:50" x14ac:dyDescent="0.2">
      <c r="A95" s="1370" t="s">
        <v>10900</v>
      </c>
      <c r="B95" s="1370" t="s">
        <v>10860</v>
      </c>
      <c r="C95" s="578">
        <f t="shared" si="25"/>
        <v>179</v>
      </c>
      <c r="D95" s="840">
        <v>1.4236111111111111E-2</v>
      </c>
      <c r="E95" s="1371" t="s">
        <v>1116</v>
      </c>
      <c r="F95" s="915">
        <f>COUNT(G95:Y95)+F1347+F203+F704</f>
        <v>8</v>
      </c>
      <c r="G95" s="1377">
        <v>135</v>
      </c>
      <c r="H95" s="1377"/>
      <c r="I95" s="1377"/>
      <c r="J95" s="1377"/>
      <c r="K95" s="1377"/>
      <c r="L95" s="1377"/>
      <c r="M95" s="1377"/>
      <c r="N95" s="1377"/>
      <c r="O95" s="1377">
        <v>7</v>
      </c>
      <c r="P95" s="1377"/>
      <c r="Q95" s="1377"/>
      <c r="R95" s="1377"/>
      <c r="S95" s="1377"/>
      <c r="T95" s="1377">
        <v>2</v>
      </c>
      <c r="U95" s="1377"/>
      <c r="V95" s="1377"/>
      <c r="W95" s="1377"/>
      <c r="X95" s="1377"/>
      <c r="Y95" s="1377"/>
      <c r="Z95" s="1377"/>
      <c r="AA95" s="1378">
        <f>C1347+C203+C704</f>
        <v>35</v>
      </c>
      <c r="AB95" s="1384">
        <v>43904</v>
      </c>
      <c r="AC95" s="34">
        <v>40971</v>
      </c>
      <c r="AD95">
        <v>247708</v>
      </c>
      <c r="AE95" t="str">
        <f t="shared" si="28"/>
        <v>Maarten</v>
      </c>
      <c r="AF95" t="str">
        <f t="shared" si="29"/>
        <v>Stenham</v>
      </c>
      <c r="AI95" s="1856">
        <f t="shared" si="20"/>
        <v>4</v>
      </c>
      <c r="AJ95" s="1855">
        <v>175</v>
      </c>
      <c r="AK95" s="1453">
        <f t="shared" si="21"/>
        <v>0</v>
      </c>
      <c r="AL95" s="1879">
        <v>8</v>
      </c>
      <c r="AM95" s="1453"/>
      <c r="AN95" s="1859">
        <f t="shared" si="22"/>
        <v>20</v>
      </c>
      <c r="AO95" s="9">
        <v>155</v>
      </c>
      <c r="AP95" s="1860">
        <f t="shared" si="23"/>
        <v>155</v>
      </c>
      <c r="AQ95" s="9"/>
      <c r="AR95" s="9"/>
    </row>
    <row r="96" spans="1:50" x14ac:dyDescent="0.2">
      <c r="A96" s="1376" t="s">
        <v>9810</v>
      </c>
      <c r="B96" s="1376" t="s">
        <v>9811</v>
      </c>
      <c r="C96" s="235">
        <f t="shared" si="25"/>
        <v>2</v>
      </c>
      <c r="D96" s="1">
        <v>1.8425925925925925E-2</v>
      </c>
      <c r="E96" s="1371" t="s">
        <v>5095</v>
      </c>
      <c r="F96" s="915">
        <f>COUNT(G96:Y96)+F535+F363</f>
        <v>2</v>
      </c>
      <c r="G96" s="1377"/>
      <c r="H96" s="1377"/>
      <c r="I96" s="1377"/>
      <c r="J96" s="1377"/>
      <c r="K96" s="1377"/>
      <c r="L96" s="1377"/>
      <c r="M96" s="1377"/>
      <c r="N96" s="1377"/>
      <c r="O96" s="1377"/>
      <c r="P96" s="1377"/>
      <c r="Q96" s="1377"/>
      <c r="R96" s="1377"/>
      <c r="S96" s="1377"/>
      <c r="T96" s="1377"/>
      <c r="U96" s="1377"/>
      <c r="V96" s="1377"/>
      <c r="W96" s="1377"/>
      <c r="X96" s="1377"/>
      <c r="Y96" s="1377"/>
      <c r="Z96" s="1377"/>
      <c r="AA96" s="1378">
        <f>C535+C363</f>
        <v>2</v>
      </c>
      <c r="AB96" s="1379">
        <v>43101</v>
      </c>
      <c r="AC96" s="34">
        <v>43101</v>
      </c>
      <c r="AD96">
        <v>2777027</v>
      </c>
      <c r="AE96" t="str">
        <f t="shared" si="28"/>
        <v>Ayee</v>
      </c>
      <c r="AF96" t="str">
        <f t="shared" si="29"/>
        <v>Tavares</v>
      </c>
      <c r="AI96" s="1856">
        <f t="shared" si="20"/>
        <v>0</v>
      </c>
      <c r="AJ96" s="1855">
        <v>2</v>
      </c>
      <c r="AK96" s="1453">
        <f t="shared" si="21"/>
        <v>0</v>
      </c>
      <c r="AL96" s="1879">
        <v>2</v>
      </c>
      <c r="AM96" s="1453"/>
      <c r="AN96" s="1859">
        <f t="shared" si="22"/>
        <v>0</v>
      </c>
      <c r="AO96" s="9">
        <v>2</v>
      </c>
      <c r="AP96" s="1860">
        <f t="shared" si="23"/>
        <v>0</v>
      </c>
      <c r="AQ96" s="9">
        <v>2</v>
      </c>
      <c r="AR96" s="9"/>
    </row>
    <row r="97" spans="1:44" x14ac:dyDescent="0.2">
      <c r="A97" s="1372" t="s">
        <v>3962</v>
      </c>
      <c r="B97" s="1372" t="s">
        <v>5543</v>
      </c>
      <c r="C97" s="235">
        <f t="shared" si="25"/>
        <v>17</v>
      </c>
      <c r="D97" s="1">
        <v>1.4444444444444446E-2</v>
      </c>
      <c r="E97" s="1371" t="s">
        <v>5883</v>
      </c>
      <c r="F97" s="915">
        <f>COUNT(G97:Y97)+F621+F204+F291+F364+F705</f>
        <v>7</v>
      </c>
      <c r="G97" s="1377">
        <v>5</v>
      </c>
      <c r="H97" s="1377"/>
      <c r="I97" s="1377"/>
      <c r="J97" s="1377"/>
      <c r="K97" s="1377"/>
      <c r="L97" s="1377"/>
      <c r="M97" s="1377"/>
      <c r="N97" s="1377"/>
      <c r="O97" s="1377"/>
      <c r="P97" s="1377"/>
      <c r="Q97" s="1377"/>
      <c r="R97" s="1377"/>
      <c r="S97" s="1377"/>
      <c r="T97" s="1377"/>
      <c r="U97" s="1377"/>
      <c r="V97" s="1377"/>
      <c r="W97" s="1377"/>
      <c r="X97" s="1377"/>
      <c r="Y97" s="1377"/>
      <c r="Z97" s="1377"/>
      <c r="AA97" s="1378">
        <f>C621+C204+C291+C364+C705</f>
        <v>12</v>
      </c>
      <c r="AB97" s="1379">
        <v>43876</v>
      </c>
      <c r="AC97" s="34">
        <v>40719</v>
      </c>
      <c r="AD97">
        <v>80019</v>
      </c>
      <c r="AE97" t="str">
        <f t="shared" si="28"/>
        <v>Graham</v>
      </c>
      <c r="AF97" t="str">
        <f t="shared" si="29"/>
        <v>Taylor</v>
      </c>
      <c r="AI97" s="1856">
        <f t="shared" si="20"/>
        <v>2</v>
      </c>
      <c r="AJ97" s="1855">
        <v>15</v>
      </c>
      <c r="AK97" s="1453">
        <f t="shared" si="21"/>
        <v>0</v>
      </c>
      <c r="AL97" s="1879">
        <v>7</v>
      </c>
      <c r="AM97" s="1453"/>
      <c r="AN97" s="1859">
        <f t="shared" si="22"/>
        <v>4</v>
      </c>
      <c r="AO97" s="9">
        <v>11</v>
      </c>
      <c r="AP97" s="1860">
        <f t="shared" si="23"/>
        <v>3</v>
      </c>
      <c r="AQ97" s="9">
        <v>8</v>
      </c>
      <c r="AR97" s="9"/>
    </row>
    <row r="98" spans="1:44" x14ac:dyDescent="0.2">
      <c r="A98" s="1372" t="s">
        <v>866</v>
      </c>
      <c r="B98" s="1372" t="s">
        <v>5543</v>
      </c>
      <c r="C98" s="235">
        <f>SUM(G98:AA98)</f>
        <v>24</v>
      </c>
      <c r="D98" s="1">
        <v>1.3645833333333331E-2</v>
      </c>
      <c r="E98" s="1371" t="s">
        <v>5883</v>
      </c>
      <c r="F98" s="915">
        <f>COUNT(G98:Y98)+F1068+F622+F205+F292+F1112+F706</f>
        <v>10</v>
      </c>
      <c r="G98" s="1377">
        <v>2</v>
      </c>
      <c r="H98" s="1377"/>
      <c r="I98" s="1377"/>
      <c r="J98" s="1377"/>
      <c r="K98" s="1377">
        <v>1</v>
      </c>
      <c r="L98" s="1377"/>
      <c r="M98" s="1377"/>
      <c r="N98" s="1377">
        <v>1</v>
      </c>
      <c r="O98" s="1377"/>
      <c r="P98" s="1377"/>
      <c r="Q98" s="1377"/>
      <c r="R98" s="1377"/>
      <c r="S98" s="1377"/>
      <c r="T98" s="1377"/>
      <c r="U98" s="1377"/>
      <c r="V98" s="1377"/>
      <c r="W98" s="1377"/>
      <c r="X98" s="1377"/>
      <c r="Y98" s="1377"/>
      <c r="Z98" s="1377"/>
      <c r="AA98" s="1378">
        <f>C1068+C622+C205+C292+C1112+C706</f>
        <v>20</v>
      </c>
      <c r="AB98" s="1379">
        <v>43876</v>
      </c>
      <c r="AC98" s="34">
        <v>40719</v>
      </c>
      <c r="AD98">
        <v>159263</v>
      </c>
      <c r="AE98" t="str">
        <f t="shared" si="28"/>
        <v>John</v>
      </c>
      <c r="AF98" t="str">
        <f t="shared" si="29"/>
        <v>Taylor</v>
      </c>
      <c r="AH98" s="18"/>
      <c r="AI98" s="1856">
        <f t="shared" si="20"/>
        <v>2</v>
      </c>
      <c r="AJ98" s="1855">
        <v>22</v>
      </c>
      <c r="AK98" s="1453">
        <f t="shared" si="21"/>
        <v>0</v>
      </c>
      <c r="AL98" s="1879">
        <v>10</v>
      </c>
      <c r="AM98" s="1453"/>
      <c r="AN98" s="1859">
        <f t="shared" si="22"/>
        <v>9</v>
      </c>
      <c r="AO98" s="9">
        <v>13</v>
      </c>
      <c r="AP98" s="1860">
        <f t="shared" si="23"/>
        <v>5</v>
      </c>
      <c r="AQ98" s="9">
        <v>8</v>
      </c>
      <c r="AR98" s="9"/>
    </row>
    <row r="99" spans="1:44" x14ac:dyDescent="0.2">
      <c r="A99" s="1372" t="s">
        <v>5542</v>
      </c>
      <c r="B99" s="1372" t="s">
        <v>5543</v>
      </c>
      <c r="C99" s="235">
        <f t="shared" si="25"/>
        <v>12</v>
      </c>
      <c r="D99" s="1">
        <v>1.3981481481481482E-2</v>
      </c>
      <c r="E99" s="1371" t="s">
        <v>5883</v>
      </c>
      <c r="F99" s="915">
        <f>COUNT(G99:Y99)+F623+F206+F293+F1113+F707</f>
        <v>7</v>
      </c>
      <c r="G99" s="1377">
        <v>2</v>
      </c>
      <c r="H99" s="1377"/>
      <c r="I99" s="1377"/>
      <c r="J99" s="1377"/>
      <c r="K99" s="1377"/>
      <c r="L99" s="1377"/>
      <c r="M99" s="1377"/>
      <c r="N99" s="1377"/>
      <c r="O99" s="1377"/>
      <c r="P99" s="1377"/>
      <c r="Q99" s="1377"/>
      <c r="R99" s="1377"/>
      <c r="S99" s="1377"/>
      <c r="T99" s="1377"/>
      <c r="U99" s="1377"/>
      <c r="V99" s="1377"/>
      <c r="W99" s="1377"/>
      <c r="X99" s="1377"/>
      <c r="Y99" s="1377"/>
      <c r="Z99" s="1377"/>
      <c r="AA99" s="1378">
        <f>C623+C206+C293+C1113+C707</f>
        <v>10</v>
      </c>
      <c r="AB99" s="1379">
        <v>43876</v>
      </c>
      <c r="AC99" s="34">
        <v>40719</v>
      </c>
      <c r="AD99">
        <v>161885</v>
      </c>
      <c r="AE99" t="str">
        <f t="shared" si="28"/>
        <v>Mark</v>
      </c>
      <c r="AF99" t="str">
        <f t="shared" si="29"/>
        <v>Taylor</v>
      </c>
      <c r="AH99" s="18"/>
      <c r="AI99" s="1856">
        <f t="shared" si="20"/>
        <v>2</v>
      </c>
      <c r="AJ99" s="1855">
        <v>10</v>
      </c>
      <c r="AK99" s="1453">
        <f t="shared" si="21"/>
        <v>0</v>
      </c>
      <c r="AL99" s="1879">
        <v>7</v>
      </c>
      <c r="AM99" s="1453"/>
      <c r="AN99" s="1859">
        <f t="shared" si="22"/>
        <v>4</v>
      </c>
      <c r="AO99" s="9">
        <v>6</v>
      </c>
      <c r="AP99" s="1860">
        <f t="shared" si="23"/>
        <v>1</v>
      </c>
      <c r="AQ99" s="9">
        <v>5</v>
      </c>
      <c r="AR99" s="9"/>
    </row>
    <row r="100" spans="1:44" ht="12.75" customHeight="1" x14ac:dyDescent="0.2">
      <c r="A100" s="1372" t="s">
        <v>1794</v>
      </c>
      <c r="B100" s="1372" t="s">
        <v>5543</v>
      </c>
      <c r="C100" s="542">
        <f t="shared" si="25"/>
        <v>127</v>
      </c>
      <c r="D100" s="1">
        <v>1.556712962962963E-2</v>
      </c>
      <c r="E100" s="1371" t="s">
        <v>1401</v>
      </c>
      <c r="F100" s="915">
        <f>COUNT(G100:Y100)+F782+F294+F365+F414+F680+F739</f>
        <v>13</v>
      </c>
      <c r="G100" s="1377"/>
      <c r="H100" s="1377">
        <v>2</v>
      </c>
      <c r="I100" s="1377"/>
      <c r="J100" s="1377"/>
      <c r="K100" s="1377"/>
      <c r="L100" s="1377">
        <v>1</v>
      </c>
      <c r="M100" s="1377"/>
      <c r="N100" s="1377">
        <v>21</v>
      </c>
      <c r="O100" s="1377"/>
      <c r="P100" s="1377"/>
      <c r="Q100" s="1377"/>
      <c r="R100" s="1377">
        <v>87</v>
      </c>
      <c r="S100" s="1377">
        <v>1</v>
      </c>
      <c r="T100" s="1377">
        <v>4</v>
      </c>
      <c r="U100" s="1377"/>
      <c r="V100" s="1377"/>
      <c r="W100" s="1377"/>
      <c r="X100" s="1377"/>
      <c r="Y100" s="1377"/>
      <c r="Z100" s="1377"/>
      <c r="AA100" s="1378">
        <f>C782+C294+C365+C414+C680+C739</f>
        <v>11</v>
      </c>
      <c r="AB100" s="1384">
        <v>44190</v>
      </c>
      <c r="AC100" s="34">
        <v>40544</v>
      </c>
      <c r="AD100">
        <v>74310</v>
      </c>
      <c r="AE100" t="str">
        <f t="shared" si="28"/>
        <v>Steve</v>
      </c>
      <c r="AF100" t="str">
        <f t="shared" si="29"/>
        <v>Taylor</v>
      </c>
      <c r="AH100" s="18"/>
      <c r="AI100" s="1856">
        <f t="shared" si="20"/>
        <v>2</v>
      </c>
      <c r="AJ100" s="1855">
        <v>125</v>
      </c>
      <c r="AK100" s="1453">
        <f t="shared" si="21"/>
        <v>0</v>
      </c>
      <c r="AL100" s="1879">
        <v>13</v>
      </c>
      <c r="AM100" s="1453"/>
      <c r="AN100" s="1859">
        <f t="shared" si="22"/>
        <v>16</v>
      </c>
      <c r="AO100" s="9">
        <v>109</v>
      </c>
      <c r="AP100" s="1860">
        <f t="shared" si="23"/>
        <v>33</v>
      </c>
      <c r="AQ100" s="9">
        <v>76</v>
      </c>
      <c r="AR100" s="9"/>
    </row>
    <row r="101" spans="1:44" ht="12.75" customHeight="1" x14ac:dyDescent="0.2">
      <c r="A101" s="1374" t="s">
        <v>9656</v>
      </c>
      <c r="B101" s="1374" t="s">
        <v>9657</v>
      </c>
      <c r="C101" s="235">
        <f t="shared" si="25"/>
        <v>8</v>
      </c>
      <c r="D101" s="1">
        <v>2.0162037037037037E-2</v>
      </c>
      <c r="E101" s="1371" t="s">
        <v>8705</v>
      </c>
      <c r="F101" s="915">
        <f>COUNT(G101:Y101)+F1374+F207+F624</f>
        <v>4</v>
      </c>
      <c r="G101" s="1377"/>
      <c r="H101" s="1377"/>
      <c r="I101" s="1377"/>
      <c r="J101" s="1377"/>
      <c r="K101" s="1377"/>
      <c r="L101" s="1377"/>
      <c r="M101" s="1377"/>
      <c r="N101" s="1377"/>
      <c r="O101" s="1377"/>
      <c r="P101" s="1377"/>
      <c r="Q101" s="1377"/>
      <c r="R101" s="1377"/>
      <c r="S101" s="1377"/>
      <c r="T101" s="1377"/>
      <c r="U101" s="1377"/>
      <c r="V101" s="1377"/>
      <c r="W101" s="1377"/>
      <c r="X101" s="1377"/>
      <c r="Y101" s="1377"/>
      <c r="Z101" s="1377"/>
      <c r="AA101" s="1378">
        <f>C1374+C207+C624</f>
        <v>8</v>
      </c>
      <c r="AB101" s="1379">
        <v>43323</v>
      </c>
      <c r="AC101" s="34">
        <v>43113</v>
      </c>
      <c r="AD101">
        <v>516373</v>
      </c>
      <c r="AE101" t="str">
        <f t="shared" si="28"/>
        <v>Zara</v>
      </c>
      <c r="AF101" t="str">
        <f t="shared" si="29"/>
        <v>Thorn</v>
      </c>
      <c r="AH101" s="18"/>
      <c r="AI101" s="1856">
        <f t="shared" si="20"/>
        <v>0</v>
      </c>
      <c r="AJ101" s="1855">
        <v>8</v>
      </c>
      <c r="AK101" s="1453">
        <f t="shared" si="21"/>
        <v>0</v>
      </c>
      <c r="AL101" s="1879">
        <v>4</v>
      </c>
      <c r="AM101" s="1453"/>
      <c r="AN101" s="1859">
        <f t="shared" si="22"/>
        <v>0</v>
      </c>
      <c r="AO101" s="9">
        <v>8</v>
      </c>
      <c r="AP101" s="1860">
        <f t="shared" si="23"/>
        <v>3</v>
      </c>
      <c r="AQ101" s="9">
        <v>5</v>
      </c>
      <c r="AR101" s="9"/>
    </row>
    <row r="102" spans="1:44" ht="12.75" customHeight="1" x14ac:dyDescent="0.2">
      <c r="A102" s="1372" t="s">
        <v>3535</v>
      </c>
      <c r="B102" s="1372" t="s">
        <v>1026</v>
      </c>
      <c r="C102" s="235">
        <f t="shared" si="25"/>
        <v>47</v>
      </c>
      <c r="D102" s="1">
        <v>1.5740740740740743E-2</v>
      </c>
      <c r="E102" s="1371" t="s">
        <v>4817</v>
      </c>
      <c r="F102" s="915">
        <f>COUNT(G102:Y102)+F741+F1349+F1269+F655+F783+F1407+F708</f>
        <v>14</v>
      </c>
      <c r="G102" s="1377"/>
      <c r="H102" s="1377"/>
      <c r="I102" s="1377"/>
      <c r="J102" s="1377"/>
      <c r="K102" s="1377"/>
      <c r="L102" s="1377"/>
      <c r="M102" s="1377"/>
      <c r="N102" s="1377"/>
      <c r="O102" s="1377"/>
      <c r="P102" s="1377"/>
      <c r="Q102" s="1377"/>
      <c r="R102" s="1377"/>
      <c r="S102" s="1377"/>
      <c r="T102" s="1377"/>
      <c r="U102" s="1377"/>
      <c r="V102" s="1377"/>
      <c r="W102" s="1377"/>
      <c r="X102" s="1377"/>
      <c r="Y102" s="1377"/>
      <c r="Z102" s="1377"/>
      <c r="AA102" s="1378">
        <f>C741+C1349+C1269+C655+C783+C1407+C708</f>
        <v>47</v>
      </c>
      <c r="AB102" s="1384">
        <v>43883</v>
      </c>
      <c r="AC102" s="34">
        <v>41517</v>
      </c>
      <c r="AD102">
        <v>640274</v>
      </c>
      <c r="AE102" t="str">
        <f t="shared" si="28"/>
        <v>Paul</v>
      </c>
      <c r="AF102" t="str">
        <f t="shared" si="29"/>
        <v>Timms</v>
      </c>
      <c r="AH102" s="18"/>
      <c r="AI102" s="1856">
        <f t="shared" si="20"/>
        <v>6</v>
      </c>
      <c r="AJ102" s="1855">
        <v>41</v>
      </c>
      <c r="AK102" s="1453">
        <f t="shared" si="21"/>
        <v>2</v>
      </c>
      <c r="AL102" s="1879">
        <v>12</v>
      </c>
      <c r="AM102" s="1453"/>
      <c r="AN102" s="1859">
        <f t="shared" si="22"/>
        <v>16</v>
      </c>
      <c r="AO102" s="9">
        <v>25</v>
      </c>
      <c r="AP102" s="1860">
        <f t="shared" si="23"/>
        <v>17</v>
      </c>
      <c r="AQ102" s="9">
        <v>8</v>
      </c>
      <c r="AR102" s="9"/>
    </row>
    <row r="103" spans="1:44" ht="12.75" customHeight="1" x14ac:dyDescent="0.2">
      <c r="A103" s="1374" t="s">
        <v>9701</v>
      </c>
      <c r="B103" s="1374" t="s">
        <v>9702</v>
      </c>
      <c r="C103" s="578">
        <f t="shared" si="25"/>
        <v>141</v>
      </c>
      <c r="D103" s="840">
        <v>1.3553240740740741E-2</v>
      </c>
      <c r="E103" s="1370" t="s">
        <v>5885</v>
      </c>
      <c r="F103" s="915">
        <f>COUNT(G103:Y103)+F740+F811+F576+F830+F208+F295+F415+F366</f>
        <v>17</v>
      </c>
      <c r="G103" s="1377">
        <v>1</v>
      </c>
      <c r="H103" s="1377">
        <v>8</v>
      </c>
      <c r="I103" s="1377"/>
      <c r="J103" s="1377"/>
      <c r="K103" s="1377"/>
      <c r="L103" s="1377"/>
      <c r="M103" s="1377"/>
      <c r="N103" s="1377"/>
      <c r="O103" s="1377"/>
      <c r="P103" s="1377"/>
      <c r="Q103" s="1377"/>
      <c r="R103" s="1377"/>
      <c r="S103" s="1377"/>
      <c r="T103" s="1377">
        <v>1</v>
      </c>
      <c r="U103" s="1377"/>
      <c r="V103" s="1377"/>
      <c r="W103" s="1377"/>
      <c r="X103" s="1377"/>
      <c r="Y103" s="1377"/>
      <c r="Z103" s="1377"/>
      <c r="AA103" s="1378">
        <f>C740+C811+C576+C830+C208+C295+C415+C366</f>
        <v>131</v>
      </c>
      <c r="AB103" s="1384">
        <v>43904</v>
      </c>
      <c r="AC103" s="34">
        <v>39550</v>
      </c>
      <c r="AD103">
        <v>6707</v>
      </c>
      <c r="AE103" t="str">
        <f t="shared" si="28"/>
        <v>Kay</v>
      </c>
      <c r="AF103" t="str">
        <f t="shared" si="29"/>
        <v>Trinder</v>
      </c>
      <c r="AH103" s="18"/>
      <c r="AI103" s="1856">
        <f t="shared" si="20"/>
        <v>5</v>
      </c>
      <c r="AJ103" s="1855">
        <v>136</v>
      </c>
      <c r="AK103" s="1453">
        <f t="shared" si="21"/>
        <v>1</v>
      </c>
      <c r="AL103" s="1879">
        <v>16</v>
      </c>
      <c r="AM103" s="1453"/>
      <c r="AN103" s="1859">
        <f t="shared" si="22"/>
        <v>23</v>
      </c>
      <c r="AO103" s="9">
        <v>113</v>
      </c>
      <c r="AP103" s="1860">
        <f t="shared" si="23"/>
        <v>26</v>
      </c>
      <c r="AQ103" s="9">
        <v>87</v>
      </c>
      <c r="AR103" s="9"/>
    </row>
    <row r="104" spans="1:44" ht="12.75" customHeight="1" x14ac:dyDescent="0.2">
      <c r="A104" s="1372" t="s">
        <v>3541</v>
      </c>
      <c r="B104" s="1372" t="s">
        <v>1574</v>
      </c>
      <c r="C104" s="235">
        <f t="shared" si="25"/>
        <v>14</v>
      </c>
      <c r="D104" s="1">
        <v>1.7997685185185186E-2</v>
      </c>
      <c r="E104" s="1371" t="s">
        <v>3167</v>
      </c>
      <c r="F104" s="915">
        <f>COUNT(G104:Y104)+F296</f>
        <v>2</v>
      </c>
      <c r="G104" s="1377"/>
      <c r="H104" s="1377"/>
      <c r="I104" s="1377"/>
      <c r="J104" s="1377"/>
      <c r="K104" s="1377"/>
      <c r="L104" s="1377"/>
      <c r="M104" s="1377"/>
      <c r="N104" s="1377"/>
      <c r="O104" s="1377"/>
      <c r="P104" s="1377"/>
      <c r="Q104" s="1377"/>
      <c r="R104" s="1377"/>
      <c r="S104" s="1377"/>
      <c r="T104" s="1377"/>
      <c r="U104" s="1377"/>
      <c r="V104" s="1377"/>
      <c r="W104" s="1377"/>
      <c r="X104" s="1377"/>
      <c r="Y104" s="1377"/>
      <c r="Z104" s="1377"/>
      <c r="AA104" s="1378">
        <f>C296</f>
        <v>14</v>
      </c>
      <c r="AB104" s="1379">
        <v>43177</v>
      </c>
      <c r="AC104" s="34">
        <v>40117</v>
      </c>
      <c r="AD104">
        <v>43500</v>
      </c>
      <c r="AE104" t="str">
        <f t="shared" si="28"/>
        <v>Judy</v>
      </c>
      <c r="AF104" t="str">
        <f t="shared" si="29"/>
        <v>Turton</v>
      </c>
      <c r="AH104" s="18"/>
      <c r="AI104" s="1856">
        <f t="shared" si="20"/>
        <v>0</v>
      </c>
      <c r="AJ104" s="1855">
        <v>14</v>
      </c>
      <c r="AK104" s="1453">
        <f t="shared" si="21"/>
        <v>0</v>
      </c>
      <c r="AL104" s="1879">
        <v>2</v>
      </c>
      <c r="AM104" s="1453"/>
      <c r="AN104" s="1859">
        <f t="shared" si="22"/>
        <v>0</v>
      </c>
      <c r="AO104" s="9">
        <v>14</v>
      </c>
      <c r="AP104" s="1860">
        <f t="shared" si="23"/>
        <v>1</v>
      </c>
      <c r="AQ104" s="9">
        <v>13</v>
      </c>
      <c r="AR104" s="9"/>
    </row>
    <row r="105" spans="1:44" ht="12.75" customHeight="1" x14ac:dyDescent="0.2">
      <c r="A105" s="1372" t="s">
        <v>481</v>
      </c>
      <c r="B105" s="1372" t="s">
        <v>1574</v>
      </c>
      <c r="C105" s="235">
        <f t="shared" si="25"/>
        <v>7</v>
      </c>
      <c r="D105" s="1">
        <v>1.4363425925925925E-2</v>
      </c>
      <c r="E105" s="1371" t="s">
        <v>5544</v>
      </c>
      <c r="F105" s="915">
        <f>COUNT(G105:Y105)+F297+F367</f>
        <v>7</v>
      </c>
      <c r="G105" s="1377"/>
      <c r="H105" s="1377"/>
      <c r="I105" s="1377"/>
      <c r="J105" s="1377"/>
      <c r="K105" s="1377"/>
      <c r="L105" s="1377"/>
      <c r="M105" s="1377"/>
      <c r="N105" s="1377">
        <v>1</v>
      </c>
      <c r="O105" s="1377"/>
      <c r="P105" s="1377"/>
      <c r="Q105" s="1377"/>
      <c r="R105" s="1377"/>
      <c r="S105" s="1377"/>
      <c r="T105" s="1377"/>
      <c r="U105" s="1377"/>
      <c r="V105" s="1377"/>
      <c r="W105" s="1377"/>
      <c r="X105" s="1377"/>
      <c r="Y105" s="1377"/>
      <c r="Z105" s="1377"/>
      <c r="AA105" s="1378">
        <f>C297+C367</f>
        <v>6</v>
      </c>
      <c r="AB105" s="1384">
        <v>43722</v>
      </c>
      <c r="AC105" s="34">
        <v>41188</v>
      </c>
      <c r="AD105">
        <v>366350</v>
      </c>
      <c r="AE105" t="str">
        <f t="shared" si="28"/>
        <v>Simon</v>
      </c>
      <c r="AF105" t="str">
        <f t="shared" si="29"/>
        <v>Turton</v>
      </c>
      <c r="AH105" s="18"/>
      <c r="AI105" s="1856">
        <f t="shared" si="20"/>
        <v>0</v>
      </c>
      <c r="AJ105" s="1855">
        <v>7</v>
      </c>
      <c r="AK105" s="1453">
        <f t="shared" si="21"/>
        <v>0</v>
      </c>
      <c r="AL105" s="1879">
        <v>7</v>
      </c>
      <c r="AM105" s="1453"/>
      <c r="AN105" s="1859">
        <f t="shared" si="22"/>
        <v>2</v>
      </c>
      <c r="AO105" s="9">
        <v>5</v>
      </c>
      <c r="AP105" s="1860">
        <f t="shared" si="23"/>
        <v>1</v>
      </c>
      <c r="AQ105" s="9">
        <v>4</v>
      </c>
      <c r="AR105" s="9"/>
    </row>
    <row r="106" spans="1:44" ht="12.75" customHeight="1" x14ac:dyDescent="0.2">
      <c r="A106" s="1370" t="s">
        <v>1794</v>
      </c>
      <c r="B106" s="1370" t="s">
        <v>7677</v>
      </c>
      <c r="C106" s="235">
        <f t="shared" si="25"/>
        <v>29</v>
      </c>
      <c r="D106" s="1">
        <v>1.8888888888888889E-2</v>
      </c>
      <c r="E106" s="1370" t="s">
        <v>6021</v>
      </c>
      <c r="F106" s="915">
        <f>COUNT(G106:Y106)+F622</f>
        <v>1</v>
      </c>
      <c r="G106" s="1377"/>
      <c r="H106" s="1377"/>
      <c r="I106" s="1377"/>
      <c r="J106" s="1377"/>
      <c r="K106" s="1377"/>
      <c r="L106" s="1377"/>
      <c r="M106" s="1377"/>
      <c r="N106" s="1377"/>
      <c r="O106" s="1377"/>
      <c r="P106" s="1377"/>
      <c r="Q106" s="1377"/>
      <c r="R106" s="1377"/>
      <c r="S106" s="1377"/>
      <c r="T106" s="1377"/>
      <c r="U106" s="1377"/>
      <c r="V106" s="1377"/>
      <c r="W106" s="1377"/>
      <c r="X106" s="1377"/>
      <c r="Y106" s="1377"/>
      <c r="Z106" s="1377"/>
      <c r="AA106" s="1378">
        <f>C496</f>
        <v>29</v>
      </c>
      <c r="AB106" s="1379">
        <v>43673</v>
      </c>
      <c r="AC106" s="34">
        <v>42854</v>
      </c>
      <c r="AD106">
        <v>3454451</v>
      </c>
      <c r="AE106" t="str">
        <f t="shared" si="28"/>
        <v>Steve</v>
      </c>
      <c r="AF106" t="str">
        <f t="shared" si="29"/>
        <v>Waite</v>
      </c>
      <c r="AH106" s="18"/>
      <c r="AI106" s="1856">
        <f t="shared" si="20"/>
        <v>1</v>
      </c>
      <c r="AJ106" s="1855">
        <v>28</v>
      </c>
      <c r="AK106" s="1453">
        <f t="shared" si="21"/>
        <v>0</v>
      </c>
      <c r="AL106" s="1879">
        <v>1</v>
      </c>
      <c r="AM106" s="1453"/>
      <c r="AN106" s="1859">
        <f t="shared" si="22"/>
        <v>5</v>
      </c>
      <c r="AO106" s="9">
        <v>23</v>
      </c>
      <c r="AP106" s="1860">
        <f t="shared" si="23"/>
        <v>23</v>
      </c>
      <c r="AQ106" s="9"/>
      <c r="AR106" s="9"/>
    </row>
    <row r="107" spans="1:44" ht="12.75" customHeight="1" x14ac:dyDescent="0.2">
      <c r="A107" s="1372" t="s">
        <v>864</v>
      </c>
      <c r="B107" s="1372" t="s">
        <v>865</v>
      </c>
      <c r="C107" s="509">
        <f t="shared" si="25"/>
        <v>86</v>
      </c>
      <c r="D107" s="1">
        <v>1.3043981481481483E-2</v>
      </c>
      <c r="E107" s="1371" t="s">
        <v>5883</v>
      </c>
      <c r="F107" s="915">
        <f>COUNT(G107:Y107)+F209+F1069+F742+F298+F368+F417+F536</f>
        <v>46</v>
      </c>
      <c r="G107" s="1377">
        <v>4</v>
      </c>
      <c r="H107" s="1377">
        <v>1</v>
      </c>
      <c r="I107" s="1377"/>
      <c r="J107" s="1377"/>
      <c r="K107" s="1377">
        <v>2</v>
      </c>
      <c r="L107" s="1377"/>
      <c r="M107" s="1377"/>
      <c r="N107" s="1377">
        <v>1</v>
      </c>
      <c r="O107" s="1377">
        <v>2</v>
      </c>
      <c r="P107" s="1377"/>
      <c r="Q107" s="1377">
        <v>1</v>
      </c>
      <c r="R107" s="1377">
        <v>1</v>
      </c>
      <c r="S107" s="1377">
        <v>1</v>
      </c>
      <c r="T107" s="1377">
        <v>3</v>
      </c>
      <c r="U107" s="1377">
        <v>3</v>
      </c>
      <c r="V107" s="1377"/>
      <c r="W107" s="1377"/>
      <c r="X107" s="1377"/>
      <c r="Y107" s="1377"/>
      <c r="Z107" s="1377"/>
      <c r="AA107" s="1378">
        <f>C1069+C209+C742+C298+C368+C417+C536</f>
        <v>67</v>
      </c>
      <c r="AB107" s="1384">
        <v>43862</v>
      </c>
      <c r="AC107" s="34">
        <v>40397</v>
      </c>
      <c r="AD107">
        <v>86324</v>
      </c>
      <c r="AE107" t="str">
        <f t="shared" si="28"/>
        <v>Barry</v>
      </c>
      <c r="AF107" t="str">
        <f t="shared" si="29"/>
        <v>Walters</v>
      </c>
      <c r="AH107" s="18"/>
      <c r="AI107" s="1856">
        <f t="shared" si="20"/>
        <v>3</v>
      </c>
      <c r="AJ107" s="1855">
        <v>83</v>
      </c>
      <c r="AK107" s="1453">
        <f t="shared" si="21"/>
        <v>3</v>
      </c>
      <c r="AL107" s="1879">
        <v>43</v>
      </c>
      <c r="AM107" s="1453"/>
      <c r="AN107" s="1859">
        <f t="shared" si="22"/>
        <v>21</v>
      </c>
      <c r="AO107" s="9">
        <v>62</v>
      </c>
      <c r="AP107" s="1860">
        <f t="shared" si="23"/>
        <v>2</v>
      </c>
      <c r="AQ107" s="9">
        <v>60</v>
      </c>
      <c r="AR107" s="9"/>
    </row>
    <row r="108" spans="1:44" ht="12.75" customHeight="1" x14ac:dyDescent="0.2">
      <c r="A108" s="1374" t="s">
        <v>3535</v>
      </c>
      <c r="B108" s="1374" t="s">
        <v>4741</v>
      </c>
      <c r="C108" s="578">
        <f t="shared" si="25"/>
        <v>142</v>
      </c>
      <c r="D108" s="1">
        <v>1.4212962962962962E-2</v>
      </c>
      <c r="E108" s="1371" t="s">
        <v>2431</v>
      </c>
      <c r="F108" s="915">
        <f>COUNT(G108:Y108)+F1352+F813+F577+F210+F299+F498+F369+F418+F627+F785+F537+F1243+F709+F1408+F681+F839</f>
        <v>43</v>
      </c>
      <c r="G108" s="1377">
        <v>1</v>
      </c>
      <c r="H108" s="1377">
        <v>1</v>
      </c>
      <c r="I108" s="1377"/>
      <c r="J108" s="1377"/>
      <c r="K108" s="1377">
        <v>2</v>
      </c>
      <c r="L108" s="1377"/>
      <c r="M108" s="1377"/>
      <c r="N108" s="1377">
        <v>1</v>
      </c>
      <c r="O108" s="1377"/>
      <c r="P108" s="1377"/>
      <c r="Q108" s="1377">
        <v>3</v>
      </c>
      <c r="R108" s="1377">
        <v>1</v>
      </c>
      <c r="S108" s="1377"/>
      <c r="T108" s="1377">
        <v>4</v>
      </c>
      <c r="U108" s="1377"/>
      <c r="V108" s="1377"/>
      <c r="W108" s="1377"/>
      <c r="X108" s="1377"/>
      <c r="Y108" s="1377"/>
      <c r="Z108" s="1377"/>
      <c r="AA108" s="1378">
        <f>C1352+C813+C577+C210+C299+C498+C369+C418+C627+C785+C537+C1243+C709+C1408+C681+C848</f>
        <v>129</v>
      </c>
      <c r="AB108" s="1384">
        <v>43904</v>
      </c>
      <c r="AC108" s="34">
        <v>42322</v>
      </c>
      <c r="AD108">
        <v>1945139</v>
      </c>
      <c r="AE108" t="str">
        <f t="shared" si="28"/>
        <v>Paul</v>
      </c>
      <c r="AF108" t="str">
        <f t="shared" si="29"/>
        <v>Watt</v>
      </c>
      <c r="AH108" s="18"/>
      <c r="AI108" s="1998">
        <f t="shared" si="20"/>
        <v>12</v>
      </c>
      <c r="AJ108" s="1855">
        <v>130</v>
      </c>
      <c r="AK108" s="1453">
        <f t="shared" si="21"/>
        <v>8</v>
      </c>
      <c r="AL108" s="1879">
        <v>35</v>
      </c>
      <c r="AM108" s="1453"/>
      <c r="AN108" s="1859">
        <f t="shared" si="22"/>
        <v>36</v>
      </c>
      <c r="AO108" s="9">
        <v>94</v>
      </c>
      <c r="AP108" s="1860">
        <f t="shared" si="23"/>
        <v>32</v>
      </c>
      <c r="AQ108" s="9">
        <v>62</v>
      </c>
      <c r="AR108" s="9"/>
    </row>
    <row r="109" spans="1:44" ht="12.75" customHeight="1" x14ac:dyDescent="0.2">
      <c r="A109" s="1370" t="s">
        <v>922</v>
      </c>
      <c r="B109" s="1370" t="s">
        <v>3831</v>
      </c>
      <c r="C109" s="578">
        <f t="shared" si="25"/>
        <v>143</v>
      </c>
      <c r="D109" s="1">
        <v>1.6574074074074074E-2</v>
      </c>
      <c r="E109" s="1370" t="s">
        <v>4004</v>
      </c>
      <c r="F109" s="915">
        <f>COUNT(G109:Y109)+F370</f>
        <v>4</v>
      </c>
      <c r="G109" s="1377"/>
      <c r="H109" s="1377">
        <v>1</v>
      </c>
      <c r="I109" s="1377"/>
      <c r="J109" s="1377"/>
      <c r="K109" s="1377"/>
      <c r="L109" s="1377">
        <v>18</v>
      </c>
      <c r="M109" s="1377"/>
      <c r="N109" s="1377"/>
      <c r="O109" s="1377"/>
      <c r="P109" s="1377"/>
      <c r="Q109" s="1377"/>
      <c r="R109" s="1377"/>
      <c r="S109" s="1377"/>
      <c r="T109" s="1377"/>
      <c r="U109" s="1377">
        <v>1</v>
      </c>
      <c r="V109" s="1377"/>
      <c r="W109" s="1377"/>
      <c r="X109" s="1377"/>
      <c r="Y109" s="1377"/>
      <c r="Z109" s="1377"/>
      <c r="AA109" s="1378">
        <f>C370</f>
        <v>123</v>
      </c>
      <c r="AB109" s="1384">
        <v>43897</v>
      </c>
      <c r="AC109" s="34">
        <v>41720</v>
      </c>
      <c r="AD109">
        <v>904844</v>
      </c>
      <c r="AE109" t="str">
        <f t="shared" si="28"/>
        <v>David</v>
      </c>
      <c r="AF109" t="str">
        <f t="shared" si="29"/>
        <v>Williams</v>
      </c>
      <c r="AH109" s="18"/>
      <c r="AI109" s="1856">
        <f t="shared" si="20"/>
        <v>8</v>
      </c>
      <c r="AJ109" s="1855">
        <v>135</v>
      </c>
      <c r="AK109" s="1453">
        <f t="shared" si="21"/>
        <v>0</v>
      </c>
      <c r="AL109" s="1879">
        <v>4</v>
      </c>
      <c r="AM109" s="1453"/>
      <c r="AN109" s="1859"/>
      <c r="AO109" s="9"/>
      <c r="AP109" s="1860">
        <f t="shared" si="23"/>
        <v>0</v>
      </c>
      <c r="AQ109" s="9"/>
      <c r="AR109" s="9"/>
    </row>
    <row r="110" spans="1:44" ht="12.75" customHeight="1" x14ac:dyDescent="0.2">
      <c r="A110" s="1372" t="s">
        <v>2703</v>
      </c>
      <c r="B110" s="1372" t="s">
        <v>2704</v>
      </c>
      <c r="C110" s="235">
        <f t="shared" si="25"/>
        <v>47</v>
      </c>
      <c r="D110" s="1">
        <v>2.0474537037037038E-2</v>
      </c>
      <c r="E110" s="1371" t="s">
        <v>5883</v>
      </c>
      <c r="F110" s="915">
        <f>COUNT(G110:Y110)+F1071+F628+F211+F300+F1114+F710</f>
        <v>10</v>
      </c>
      <c r="G110" s="1377">
        <v>20</v>
      </c>
      <c r="H110" s="1377"/>
      <c r="I110" s="1377"/>
      <c r="J110" s="1377"/>
      <c r="K110" s="1377">
        <v>1</v>
      </c>
      <c r="L110" s="1377"/>
      <c r="M110" s="1377"/>
      <c r="N110" s="1377">
        <v>1</v>
      </c>
      <c r="O110" s="1377"/>
      <c r="P110" s="1377"/>
      <c r="Q110" s="1377"/>
      <c r="R110" s="1377"/>
      <c r="S110" s="1377"/>
      <c r="T110" s="1377"/>
      <c r="U110" s="1377"/>
      <c r="V110" s="1377"/>
      <c r="W110" s="1377"/>
      <c r="X110" s="1377"/>
      <c r="Y110" s="1377"/>
      <c r="Z110" s="1377"/>
      <c r="AA110" s="1378">
        <f>C1071+C628+C211+C300+C1114+C710</f>
        <v>25</v>
      </c>
      <c r="AB110" s="1384">
        <v>43841</v>
      </c>
      <c r="AC110" s="34">
        <v>40719</v>
      </c>
      <c r="AD110">
        <v>161470</v>
      </c>
      <c r="AE110" t="str">
        <f t="shared" si="28"/>
        <v>Marion</v>
      </c>
      <c r="AF110" t="str">
        <f t="shared" si="29"/>
        <v>Woodhouse</v>
      </c>
      <c r="AI110" s="1856">
        <f t="shared" si="20"/>
        <v>1</v>
      </c>
      <c r="AJ110" s="1855">
        <v>46</v>
      </c>
      <c r="AK110" s="1453">
        <f t="shared" si="21"/>
        <v>0</v>
      </c>
      <c r="AL110" s="1879">
        <v>10</v>
      </c>
      <c r="AM110" s="1453"/>
      <c r="AN110" s="1859">
        <f t="shared" si="22"/>
        <v>13</v>
      </c>
      <c r="AO110" s="9">
        <v>33</v>
      </c>
      <c r="AP110" s="1860">
        <f t="shared" si="23"/>
        <v>8</v>
      </c>
      <c r="AQ110" s="9">
        <v>25</v>
      </c>
      <c r="AR110" s="9"/>
    </row>
    <row r="111" spans="1:44" ht="12.75" customHeight="1" x14ac:dyDescent="0.2">
      <c r="A111" s="1372"/>
      <c r="B111" s="1372"/>
      <c r="C111" s="7"/>
      <c r="D111" s="1"/>
      <c r="F111" s="295"/>
      <c r="G111" s="1385" t="str">
        <f t="shared" ref="G111:X111" si="30">G79</f>
        <v>BFL</v>
      </c>
      <c r="H111" s="1385" t="str">
        <f t="shared" si="30"/>
        <v>BSH</v>
      </c>
      <c r="I111" s="1385" t="str">
        <f t="shared" si="30"/>
        <v>CAN</v>
      </c>
      <c r="J111" s="1385" t="str">
        <f t="shared" si="30"/>
        <v>CLA</v>
      </c>
      <c r="K111" s="1385" t="str">
        <f t="shared" si="30"/>
        <v>CRN</v>
      </c>
      <c r="L111" s="1385" t="str">
        <f t="shared" si="30"/>
        <v>FHP</v>
      </c>
      <c r="M111" s="1385" t="str">
        <f t="shared" si="30"/>
        <v>GLS</v>
      </c>
      <c r="N111" s="1385" t="str">
        <f t="shared" si="30"/>
        <v>GUN</v>
      </c>
      <c r="O111" s="1385" t="str">
        <f t="shared" si="30"/>
        <v>HAW</v>
      </c>
      <c r="P111" s="1385" t="str">
        <f t="shared" si="30"/>
        <v>HRR</v>
      </c>
      <c r="Q111" s="1385" t="str">
        <f t="shared" si="30"/>
        <v>KNG</v>
      </c>
      <c r="R111" s="1385" t="str">
        <f t="shared" si="30"/>
        <v>NOF</v>
      </c>
      <c r="S111" s="1385" t="str">
        <f t="shared" si="30"/>
        <v>ODP</v>
      </c>
      <c r="T111" s="1385" t="str">
        <f t="shared" si="30"/>
        <v>OST</v>
      </c>
      <c r="U111" s="1385" t="str">
        <f t="shared" si="30"/>
        <v>RCH</v>
      </c>
      <c r="V111" s="1385" t="str">
        <f t="shared" si="30"/>
        <v>TOO</v>
      </c>
      <c r="W111" s="1385" t="str">
        <f t="shared" si="30"/>
        <v>WIM</v>
      </c>
      <c r="X111" s="1385" t="str">
        <f t="shared" si="30"/>
        <v>WSC</v>
      </c>
      <c r="Y111" s="1385"/>
      <c r="Z111" s="1385"/>
      <c r="AA111" s="1386" t="s">
        <v>5432</v>
      </c>
      <c r="AB111" s="1379"/>
      <c r="AL111" s="1878"/>
    </row>
    <row r="112" spans="1:44" ht="12.75" customHeight="1" x14ac:dyDescent="0.2">
      <c r="A112" s="1390" t="s">
        <v>9613</v>
      </c>
      <c r="B112" s="1390"/>
      <c r="C112" s="7"/>
      <c r="D112" s="1"/>
      <c r="F112" s="295"/>
      <c r="G112" s="1377"/>
      <c r="H112" s="1377"/>
      <c r="I112" s="1377"/>
      <c r="J112" s="1377"/>
      <c r="K112" s="1377"/>
      <c r="L112" s="1377"/>
      <c r="M112" s="1377"/>
      <c r="N112" s="1377"/>
      <c r="O112" s="1377"/>
      <c r="P112" s="1377"/>
      <c r="Q112" s="1377"/>
      <c r="R112" s="1377"/>
      <c r="S112" s="1377"/>
      <c r="T112" s="1377"/>
      <c r="U112" s="1377"/>
      <c r="V112" s="1377"/>
      <c r="W112" s="1377"/>
      <c r="X112" s="1377"/>
      <c r="Y112" s="1377"/>
      <c r="Z112" s="1377"/>
      <c r="AA112" s="1377"/>
      <c r="AB112" s="1379"/>
      <c r="AL112" s="1878"/>
    </row>
    <row r="113" spans="1:38" ht="12.75" customHeight="1" x14ac:dyDescent="0.2">
      <c r="A113" s="1389" t="s">
        <v>437</v>
      </c>
      <c r="B113" s="1389" t="s">
        <v>438</v>
      </c>
      <c r="C113" s="235">
        <f t="shared" ref="C113:C146" si="31">SUM(G113:AA113)</f>
        <v>5</v>
      </c>
      <c r="D113" s="1">
        <v>1.5810185185185184E-2</v>
      </c>
      <c r="E113" s="1371" t="s">
        <v>5885</v>
      </c>
      <c r="F113" s="915">
        <f>COUNT(G113:Y113)</f>
        <v>2</v>
      </c>
      <c r="G113" s="1377">
        <v>1</v>
      </c>
      <c r="H113" s="1377">
        <v>4</v>
      </c>
      <c r="I113" s="1377"/>
      <c r="J113" s="1377"/>
      <c r="K113" s="1377"/>
      <c r="L113" s="1377"/>
      <c r="M113" s="1377"/>
      <c r="N113" s="1377"/>
      <c r="O113" s="1377"/>
      <c r="P113" s="1377"/>
      <c r="Q113" s="1377"/>
      <c r="R113" s="1377"/>
      <c r="S113" s="1377"/>
      <c r="T113" s="1377"/>
      <c r="U113" s="1377"/>
      <c r="V113" s="1377"/>
      <c r="W113" s="1377"/>
      <c r="X113" s="1377"/>
      <c r="Y113" s="1377"/>
      <c r="Z113" s="1377"/>
      <c r="AA113" s="1378"/>
      <c r="AB113" s="1379">
        <v>42140</v>
      </c>
      <c r="AC113" s="34">
        <v>39851</v>
      </c>
      <c r="AD113">
        <v>20025</v>
      </c>
      <c r="AE113" t="str">
        <f t="shared" ref="AE113:AE146" si="32">A113</f>
        <v>Justine</v>
      </c>
      <c r="AF113" t="str">
        <f t="shared" ref="AF113:AF146" si="33">B113</f>
        <v>Arnott</v>
      </c>
      <c r="AL113" s="1878"/>
    </row>
    <row r="114" spans="1:38" x14ac:dyDescent="0.2">
      <c r="A114" s="1389" t="s">
        <v>3756</v>
      </c>
      <c r="B114" s="1389" t="s">
        <v>5394</v>
      </c>
      <c r="C114" s="235">
        <f t="shared" si="31"/>
        <v>4</v>
      </c>
      <c r="D114" s="1">
        <v>2.0682870370370372E-2</v>
      </c>
      <c r="E114" s="1371" t="s">
        <v>5885</v>
      </c>
      <c r="F114" s="915">
        <f>COUNT(G114:Y114)</f>
        <v>1</v>
      </c>
      <c r="G114" s="1377"/>
      <c r="H114" s="1377">
        <v>4</v>
      </c>
      <c r="I114" s="1377"/>
      <c r="J114" s="1377"/>
      <c r="K114" s="1377"/>
      <c r="L114" s="1377"/>
      <c r="M114" s="1377"/>
      <c r="N114" s="1377"/>
      <c r="O114" s="1377"/>
      <c r="P114" s="1377"/>
      <c r="Q114" s="1377"/>
      <c r="R114" s="1377"/>
      <c r="S114" s="1377"/>
      <c r="T114" s="1377"/>
      <c r="U114" s="1377"/>
      <c r="V114" s="1377"/>
      <c r="W114" s="1377"/>
      <c r="X114" s="1377"/>
      <c r="Y114" s="1377"/>
      <c r="Z114" s="1377"/>
      <c r="AA114" s="1377"/>
      <c r="AB114" s="1379">
        <v>39361</v>
      </c>
      <c r="AC114" s="34">
        <v>39186</v>
      </c>
      <c r="AD114">
        <v>4252</v>
      </c>
      <c r="AE114" t="str">
        <f t="shared" si="32"/>
        <v>Derek</v>
      </c>
      <c r="AF114" t="str">
        <f t="shared" si="33"/>
        <v>Brion</v>
      </c>
      <c r="AL114" s="1878"/>
    </row>
    <row r="115" spans="1:38" x14ac:dyDescent="0.2">
      <c r="A115" s="1389" t="s">
        <v>1349</v>
      </c>
      <c r="B115" s="1389" t="s">
        <v>5529</v>
      </c>
      <c r="C115" s="235">
        <f t="shared" si="31"/>
        <v>3</v>
      </c>
      <c r="D115" s="1">
        <v>1.2511574074074073E-2</v>
      </c>
      <c r="E115" s="1371" t="s">
        <v>5885</v>
      </c>
      <c r="F115" s="915">
        <f>COUNT(G115:Y115)</f>
        <v>1</v>
      </c>
      <c r="G115" s="1377"/>
      <c r="H115" s="1377">
        <v>3</v>
      </c>
      <c r="I115" s="1377"/>
      <c r="J115" s="1377"/>
      <c r="K115" s="1377"/>
      <c r="L115" s="1377"/>
      <c r="M115" s="1377"/>
      <c r="N115" s="1377"/>
      <c r="O115" s="1377"/>
      <c r="P115" s="1377"/>
      <c r="Q115" s="1377"/>
      <c r="R115" s="1377"/>
      <c r="S115" s="1377"/>
      <c r="T115" s="1377"/>
      <c r="U115" s="1377"/>
      <c r="V115" s="1377"/>
      <c r="W115" s="1377"/>
      <c r="X115" s="1377"/>
      <c r="Y115" s="1377"/>
      <c r="Z115" s="1377"/>
      <c r="AA115" s="1377"/>
      <c r="AB115" s="1379">
        <v>39046</v>
      </c>
      <c r="AC115" s="34">
        <v>39011</v>
      </c>
      <c r="AD115">
        <v>1850</v>
      </c>
      <c r="AE115" t="str">
        <f t="shared" si="32"/>
        <v>Robert</v>
      </c>
      <c r="AF115" t="str">
        <f t="shared" si="33"/>
        <v>Brown</v>
      </c>
      <c r="AL115" s="1878"/>
    </row>
    <row r="116" spans="1:38" x14ac:dyDescent="0.2">
      <c r="A116" s="1687" t="s">
        <v>1572</v>
      </c>
      <c r="B116" s="1687" t="s">
        <v>1573</v>
      </c>
      <c r="C116" s="235">
        <f t="shared" si="31"/>
        <v>2</v>
      </c>
      <c r="D116" s="1">
        <v>1.9212962962962963E-2</v>
      </c>
      <c r="E116" s="1371" t="s">
        <v>5883</v>
      </c>
      <c r="F116" s="915">
        <f>COUNT(G116:Y116)</f>
        <v>1</v>
      </c>
      <c r="G116" s="1377">
        <v>2</v>
      </c>
      <c r="H116" s="1377"/>
      <c r="I116" s="1377"/>
      <c r="J116" s="1377"/>
      <c r="K116" s="1377"/>
      <c r="L116" s="1377"/>
      <c r="M116" s="1377"/>
      <c r="N116" s="1377"/>
      <c r="O116" s="1377"/>
      <c r="P116" s="1377"/>
      <c r="Q116" s="1377"/>
      <c r="R116" s="1377"/>
      <c r="S116" s="1377"/>
      <c r="T116" s="1377"/>
      <c r="U116" s="1377"/>
      <c r="V116" s="1377"/>
      <c r="W116" s="1377"/>
      <c r="X116" s="1377"/>
      <c r="Y116" s="1377"/>
      <c r="Z116" s="1377"/>
      <c r="AA116" s="1377"/>
      <c r="AB116" s="1379">
        <v>41223</v>
      </c>
      <c r="AC116" s="34">
        <v>41181</v>
      </c>
      <c r="AD116">
        <v>355356</v>
      </c>
      <c r="AE116" t="str">
        <f t="shared" si="32"/>
        <v>Daniel</v>
      </c>
      <c r="AF116" t="str">
        <f t="shared" si="33"/>
        <v>Clark</v>
      </c>
      <c r="AL116" s="1878"/>
    </row>
    <row r="117" spans="1:38" x14ac:dyDescent="0.2">
      <c r="A117" s="1687" t="s">
        <v>3837</v>
      </c>
      <c r="B117" s="1687" t="s">
        <v>3838</v>
      </c>
      <c r="C117" s="1533">
        <f t="shared" si="31"/>
        <v>378</v>
      </c>
      <c r="D117" s="1">
        <v>1.3923611111111111E-2</v>
      </c>
      <c r="E117" s="1370" t="s">
        <v>5885</v>
      </c>
      <c r="F117" s="915">
        <f>COUNT(G117:Y117)+F862</f>
        <v>5</v>
      </c>
      <c r="G117" s="1377"/>
      <c r="H117" s="1377">
        <v>280</v>
      </c>
      <c r="I117" s="1377"/>
      <c r="J117" s="1377"/>
      <c r="K117" s="1377">
        <v>86</v>
      </c>
      <c r="L117" s="1377"/>
      <c r="M117" s="1377"/>
      <c r="N117" s="1377"/>
      <c r="O117" s="1377"/>
      <c r="P117" s="1377"/>
      <c r="Q117" s="1377"/>
      <c r="R117" s="1377"/>
      <c r="S117" s="1377"/>
      <c r="T117" s="1377">
        <v>1</v>
      </c>
      <c r="U117" s="1377">
        <v>5</v>
      </c>
      <c r="V117" s="1377"/>
      <c r="W117" s="1377"/>
      <c r="X117" s="1377"/>
      <c r="Y117" s="1377"/>
      <c r="Z117" s="1377"/>
      <c r="AA117" s="1378">
        <f>C862</f>
        <v>6</v>
      </c>
      <c r="AB117" s="1379">
        <v>43540</v>
      </c>
      <c r="AC117" s="34">
        <v>39536</v>
      </c>
      <c r="AD117">
        <v>13860</v>
      </c>
      <c r="AE117" t="str">
        <f t="shared" si="32"/>
        <v>Jonathan</v>
      </c>
      <c r="AF117" t="str">
        <f t="shared" si="33"/>
        <v>Cox</v>
      </c>
      <c r="AL117" s="1878"/>
    </row>
    <row r="118" spans="1:38" x14ac:dyDescent="0.2">
      <c r="A118" s="1389" t="s">
        <v>3755</v>
      </c>
      <c r="B118" s="1389" t="s">
        <v>3799</v>
      </c>
      <c r="C118" s="542">
        <f t="shared" si="31"/>
        <v>102</v>
      </c>
      <c r="D118" s="32">
        <v>1.7349537037037038E-2</v>
      </c>
      <c r="E118" s="1371" t="s">
        <v>4202</v>
      </c>
      <c r="F118" s="915">
        <f>COUNT(G118:Y118)+F476+F985+F1033+E1150+F1008+F1058+F1257+F1126+F301+F849</f>
        <v>26</v>
      </c>
      <c r="G118" s="1377"/>
      <c r="H118" s="1377"/>
      <c r="I118" s="1377"/>
      <c r="J118" s="1377"/>
      <c r="K118" s="1377"/>
      <c r="L118" s="1377"/>
      <c r="M118" s="1377"/>
      <c r="N118" s="1377"/>
      <c r="O118" s="1377"/>
      <c r="P118" s="1377"/>
      <c r="Q118" s="1377"/>
      <c r="R118" s="1377"/>
      <c r="S118" s="1377"/>
      <c r="T118" s="1377"/>
      <c r="U118" s="1377"/>
      <c r="V118" s="1377"/>
      <c r="W118" s="1377"/>
      <c r="X118" s="1377"/>
      <c r="Y118" s="1377"/>
      <c r="Z118" s="1377"/>
      <c r="AA118" s="1378">
        <f>C1033+C476+C985+C1150+C1058+C1257+C1126+C301+C849</f>
        <v>102</v>
      </c>
      <c r="AB118" s="1379">
        <v>42819</v>
      </c>
      <c r="AC118" s="34">
        <v>41846</v>
      </c>
      <c r="AD118">
        <v>1107392</v>
      </c>
      <c r="AE118" t="str">
        <f t="shared" si="32"/>
        <v>Linda</v>
      </c>
      <c r="AF118" t="str">
        <f t="shared" si="33"/>
        <v>Dodsworth</v>
      </c>
      <c r="AL118" s="1878"/>
    </row>
    <row r="119" spans="1:38" x14ac:dyDescent="0.2">
      <c r="A119" s="1389" t="s">
        <v>1794</v>
      </c>
      <c r="B119" s="1389" t="s">
        <v>3799</v>
      </c>
      <c r="C119" s="578">
        <f t="shared" si="31"/>
        <v>109</v>
      </c>
      <c r="D119" s="32">
        <v>1.5231481481481483E-2</v>
      </c>
      <c r="E119" s="1370" t="s">
        <v>4202</v>
      </c>
      <c r="F119" s="915">
        <f>COUNT(G119:Y119)+F477+F986+F1034+E1151+F1009+F1059+F1258+F1127+F302+F850</f>
        <v>25</v>
      </c>
      <c r="G119" s="1377"/>
      <c r="H119" s="1377"/>
      <c r="I119" s="1377"/>
      <c r="J119" s="1377"/>
      <c r="K119" s="1377"/>
      <c r="L119" s="1377"/>
      <c r="M119" s="1377"/>
      <c r="N119" s="1377"/>
      <c r="O119" s="1377"/>
      <c r="P119" s="1377"/>
      <c r="Q119" s="1377"/>
      <c r="R119" s="1377"/>
      <c r="S119" s="1377"/>
      <c r="T119" s="1377"/>
      <c r="U119" s="1377"/>
      <c r="V119" s="1377"/>
      <c r="W119" s="1377"/>
      <c r="X119" s="1377"/>
      <c r="Y119" s="1377"/>
      <c r="Z119" s="1377"/>
      <c r="AA119" s="1378">
        <f>C1034+C477+C986+C1151+C514+C1059+C1258+C1127+C302+C850</f>
        <v>109</v>
      </c>
      <c r="AB119" s="1379">
        <v>42819</v>
      </c>
      <c r="AC119" s="34">
        <v>41874</v>
      </c>
      <c r="AD119">
        <v>1149114</v>
      </c>
      <c r="AE119" t="str">
        <f t="shared" si="32"/>
        <v>Steve</v>
      </c>
      <c r="AF119" t="str">
        <f t="shared" si="33"/>
        <v>Dodsworth</v>
      </c>
      <c r="AL119" s="1878"/>
    </row>
    <row r="120" spans="1:38" x14ac:dyDescent="0.2">
      <c r="A120" s="1389" t="s">
        <v>2478</v>
      </c>
      <c r="B120" s="1389" t="s">
        <v>4439</v>
      </c>
      <c r="C120" s="578">
        <f t="shared" si="31"/>
        <v>242</v>
      </c>
      <c r="D120" s="32">
        <v>1.5625E-2</v>
      </c>
      <c r="E120" s="1370" t="s">
        <v>5883</v>
      </c>
      <c r="F120" s="915">
        <f>COUNT(G120:Y120)+F249+F333</f>
        <v>6</v>
      </c>
      <c r="G120" s="1377">
        <v>234</v>
      </c>
      <c r="H120" s="1377"/>
      <c r="I120" s="1377"/>
      <c r="J120" s="1377"/>
      <c r="K120" s="1377">
        <v>4</v>
      </c>
      <c r="L120" s="1377"/>
      <c r="M120" s="1377"/>
      <c r="N120" s="1377"/>
      <c r="O120" s="1377"/>
      <c r="P120" s="1377"/>
      <c r="Q120" s="1377"/>
      <c r="R120" s="1377"/>
      <c r="S120" s="1377"/>
      <c r="T120" s="1377">
        <v>1</v>
      </c>
      <c r="U120" s="1377"/>
      <c r="V120" s="1377"/>
      <c r="W120" s="1377"/>
      <c r="X120" s="1377"/>
      <c r="Y120" s="1377"/>
      <c r="Z120" s="1377"/>
      <c r="AA120" s="1378">
        <f>C249+C333</f>
        <v>3</v>
      </c>
      <c r="AB120" s="1379">
        <v>43638</v>
      </c>
      <c r="AC120" s="34">
        <v>40418</v>
      </c>
      <c r="AD120">
        <v>90907</v>
      </c>
      <c r="AE120" t="str">
        <f t="shared" si="32"/>
        <v>Chris</v>
      </c>
      <c r="AF120" t="str">
        <f t="shared" si="33"/>
        <v>Evans</v>
      </c>
      <c r="AL120" s="1878"/>
    </row>
    <row r="121" spans="1:38" x14ac:dyDescent="0.2">
      <c r="A121" s="1687" t="s">
        <v>1349</v>
      </c>
      <c r="B121" s="1687" t="s">
        <v>3343</v>
      </c>
      <c r="C121" s="252">
        <f t="shared" si="31"/>
        <v>56</v>
      </c>
      <c r="D121" s="1">
        <v>1.4988425925925926E-2</v>
      </c>
      <c r="E121" s="1371" t="s">
        <v>5883</v>
      </c>
      <c r="F121" s="915">
        <f>COUNT(G121:Y121)</f>
        <v>2</v>
      </c>
      <c r="G121" s="1377">
        <v>53</v>
      </c>
      <c r="H121" s="1377">
        <v>3</v>
      </c>
      <c r="I121" s="1377"/>
      <c r="J121" s="1377"/>
      <c r="K121" s="1377"/>
      <c r="L121" s="1377"/>
      <c r="M121" s="1377"/>
      <c r="N121" s="1377"/>
      <c r="O121" s="1377"/>
      <c r="P121" s="1377"/>
      <c r="Q121" s="1377"/>
      <c r="R121" s="1377"/>
      <c r="S121" s="1377"/>
      <c r="T121" s="1377"/>
      <c r="U121" s="1377"/>
      <c r="V121" s="1377"/>
      <c r="W121" s="1377"/>
      <c r="X121" s="1377"/>
      <c r="Y121" s="1377"/>
      <c r="Z121" s="1377"/>
      <c r="AA121" s="1378"/>
      <c r="AB121" s="1379">
        <v>41699</v>
      </c>
      <c r="AC121" s="34">
        <v>40691</v>
      </c>
      <c r="AD121">
        <v>141963</v>
      </c>
      <c r="AE121" t="str">
        <f t="shared" si="32"/>
        <v>Robert</v>
      </c>
      <c r="AF121" t="str">
        <f t="shared" si="33"/>
        <v>Fleming</v>
      </c>
      <c r="AL121" s="1878"/>
    </row>
    <row r="122" spans="1:38" x14ac:dyDescent="0.2">
      <c r="A122" s="1389" t="s">
        <v>1868</v>
      </c>
      <c r="B122" s="1389" t="s">
        <v>1869</v>
      </c>
      <c r="C122" s="509">
        <f t="shared" si="31"/>
        <v>52</v>
      </c>
      <c r="D122" s="32">
        <v>1.4756944444444446E-2</v>
      </c>
      <c r="E122" s="1372" t="s">
        <v>4004</v>
      </c>
      <c r="F122" s="915">
        <f>COUNT(G122:Y122)+F439+F944+F1128</f>
        <v>9</v>
      </c>
      <c r="G122" s="1380"/>
      <c r="H122" s="1380"/>
      <c r="I122" s="1380"/>
      <c r="J122" s="1380"/>
      <c r="K122" s="1380"/>
      <c r="L122" s="1380">
        <v>31</v>
      </c>
      <c r="M122" s="1380"/>
      <c r="N122" s="1380"/>
      <c r="O122" s="1380"/>
      <c r="P122" s="1380"/>
      <c r="Q122" s="1380">
        <v>2</v>
      </c>
      <c r="R122" s="1380"/>
      <c r="S122" s="1380"/>
      <c r="T122" s="1380"/>
      <c r="U122" s="1380">
        <v>5</v>
      </c>
      <c r="V122" s="1380"/>
      <c r="W122" s="1380"/>
      <c r="X122" s="1380">
        <v>1</v>
      </c>
      <c r="Y122" s="1380"/>
      <c r="Z122" s="1380"/>
      <c r="AA122" s="1378">
        <f>C944+C439+C1128</f>
        <v>13</v>
      </c>
      <c r="AB122" s="1379">
        <v>42210</v>
      </c>
      <c r="AD122">
        <v>1134418</v>
      </c>
      <c r="AE122" t="str">
        <f t="shared" si="32"/>
        <v>Matt</v>
      </c>
      <c r="AF122" t="str">
        <f t="shared" si="33"/>
        <v>Gardner</v>
      </c>
      <c r="AL122" s="1878"/>
    </row>
    <row r="123" spans="1:38" x14ac:dyDescent="0.2">
      <c r="A123" s="1687" t="s">
        <v>863</v>
      </c>
      <c r="B123" s="1687" t="s">
        <v>434</v>
      </c>
      <c r="C123" s="235">
        <f t="shared" si="31"/>
        <v>2</v>
      </c>
      <c r="D123" s="1">
        <v>1.6527777777777777E-2</v>
      </c>
      <c r="E123" s="1371" t="s">
        <v>5885</v>
      </c>
      <c r="F123" s="915">
        <f>COUNT(G123:Y123)</f>
        <v>1</v>
      </c>
      <c r="G123" s="1380"/>
      <c r="H123" s="1380">
        <v>2</v>
      </c>
      <c r="I123" s="1380"/>
      <c r="J123" s="1380"/>
      <c r="K123" s="1380"/>
      <c r="L123" s="1380"/>
      <c r="M123" s="1380"/>
      <c r="N123" s="1380"/>
      <c r="O123" s="1380"/>
      <c r="P123" s="1380"/>
      <c r="Q123" s="1380"/>
      <c r="R123" s="1380"/>
      <c r="S123" s="1380"/>
      <c r="T123" s="1380"/>
      <c r="U123" s="1380"/>
      <c r="V123" s="1380"/>
      <c r="W123" s="1380"/>
      <c r="X123" s="1380"/>
      <c r="Y123" s="1380"/>
      <c r="Z123" s="1380"/>
      <c r="AA123" s="1378"/>
      <c r="AB123" s="1379">
        <v>39305</v>
      </c>
      <c r="AC123" s="34">
        <v>39158</v>
      </c>
      <c r="AD123">
        <v>3972</v>
      </c>
      <c r="AE123" t="str">
        <f t="shared" si="32"/>
        <v>Brian</v>
      </c>
      <c r="AF123" t="str">
        <f t="shared" si="33"/>
        <v>Gray</v>
      </c>
      <c r="AL123" s="1878"/>
    </row>
    <row r="124" spans="1:38" x14ac:dyDescent="0.2">
      <c r="A124" s="1389" t="s">
        <v>435</v>
      </c>
      <c r="B124" s="1389" t="s">
        <v>1936</v>
      </c>
      <c r="C124" s="578">
        <f t="shared" si="31"/>
        <v>138</v>
      </c>
      <c r="D124" s="1">
        <v>1.6400462962962964E-2</v>
      </c>
      <c r="E124" s="1371" t="s">
        <v>4861</v>
      </c>
      <c r="F124" s="915">
        <f>COUNT(G124:Y124)+F212+F521</f>
        <v>2</v>
      </c>
      <c r="G124" s="1377"/>
      <c r="H124" s="1377"/>
      <c r="I124" s="1377"/>
      <c r="J124" s="1377"/>
      <c r="K124" s="1377"/>
      <c r="L124" s="1377"/>
      <c r="M124" s="1377"/>
      <c r="N124" s="1377"/>
      <c r="O124" s="1377"/>
      <c r="P124" s="1377"/>
      <c r="Q124" s="1377"/>
      <c r="R124" s="1377"/>
      <c r="S124" s="1377"/>
      <c r="T124" s="1377"/>
      <c r="U124" s="1377"/>
      <c r="V124" s="1377"/>
      <c r="W124" s="1377"/>
      <c r="X124" s="1377"/>
      <c r="Y124" s="1377"/>
      <c r="Z124" s="1377"/>
      <c r="AA124" s="1378">
        <f>C212+C521</f>
        <v>138</v>
      </c>
      <c r="AB124" s="1379">
        <v>42406</v>
      </c>
      <c r="AC124" s="34">
        <v>41223</v>
      </c>
      <c r="AD124">
        <v>387981</v>
      </c>
      <c r="AE124" t="str">
        <f t="shared" si="32"/>
        <v>Tony</v>
      </c>
      <c r="AF124" t="str">
        <f t="shared" si="33"/>
        <v>Hird</v>
      </c>
      <c r="AL124" s="1878"/>
    </row>
    <row r="125" spans="1:38" x14ac:dyDescent="0.2">
      <c r="A125" s="1389" t="s">
        <v>3898</v>
      </c>
      <c r="B125" s="1389" t="s">
        <v>1543</v>
      </c>
      <c r="C125" s="235">
        <f t="shared" si="31"/>
        <v>25</v>
      </c>
      <c r="D125" s="1">
        <v>1.6655092592592593E-2</v>
      </c>
      <c r="E125" s="1371" t="s">
        <v>3167</v>
      </c>
      <c r="F125" s="915">
        <f>COUNT(G125:Y125)+F303</f>
        <v>2</v>
      </c>
      <c r="G125" s="1377"/>
      <c r="H125" s="1377"/>
      <c r="I125" s="1377"/>
      <c r="J125" s="1377"/>
      <c r="K125" s="1377"/>
      <c r="L125" s="1377"/>
      <c r="M125" s="1377"/>
      <c r="N125" s="1377"/>
      <c r="O125" s="1377"/>
      <c r="P125" s="1377"/>
      <c r="Q125" s="1377"/>
      <c r="R125" s="1377"/>
      <c r="S125" s="1377"/>
      <c r="T125" s="1377"/>
      <c r="U125" s="1377"/>
      <c r="V125" s="1377"/>
      <c r="W125" s="1377"/>
      <c r="X125" s="1377"/>
      <c r="Y125" s="1377"/>
      <c r="Z125" s="1377"/>
      <c r="AA125" s="1378">
        <f>C303</f>
        <v>25</v>
      </c>
      <c r="AB125" s="1379">
        <v>43071</v>
      </c>
      <c r="AC125" s="34">
        <v>41755</v>
      </c>
      <c r="AD125">
        <v>962832</v>
      </c>
      <c r="AE125" t="str">
        <f t="shared" si="32"/>
        <v>Gareth</v>
      </c>
      <c r="AF125" t="str">
        <f t="shared" si="33"/>
        <v>Hobby</v>
      </c>
      <c r="AL125" s="1878"/>
    </row>
    <row r="126" spans="1:38" x14ac:dyDescent="0.2">
      <c r="A126" s="1687" t="s">
        <v>441</v>
      </c>
      <c r="B126" s="1687" t="s">
        <v>442</v>
      </c>
      <c r="C126" s="235">
        <f t="shared" si="31"/>
        <v>15</v>
      </c>
      <c r="D126" s="1">
        <v>1.5289351851851851E-2</v>
      </c>
      <c r="E126" s="1371" t="s">
        <v>5948</v>
      </c>
      <c r="F126" s="915">
        <f>COUNT(G126:Y126)+F304</f>
        <v>1</v>
      </c>
      <c r="G126" s="1377"/>
      <c r="H126" s="1377"/>
      <c r="I126" s="1377"/>
      <c r="J126" s="1377"/>
      <c r="K126" s="1377"/>
      <c r="L126" s="1377"/>
      <c r="M126" s="1377"/>
      <c r="N126" s="1377"/>
      <c r="O126" s="1377"/>
      <c r="P126" s="1377"/>
      <c r="Q126" s="1377"/>
      <c r="R126" s="1377"/>
      <c r="S126" s="1377"/>
      <c r="T126" s="1377"/>
      <c r="U126" s="1377"/>
      <c r="V126" s="1377"/>
      <c r="W126" s="1377"/>
      <c r="X126" s="1377"/>
      <c r="Y126" s="1377"/>
      <c r="Z126" s="1377"/>
      <c r="AA126" s="1378">
        <f>C304</f>
        <v>15</v>
      </c>
      <c r="AB126" s="1379">
        <v>41664</v>
      </c>
      <c r="AC126" s="34">
        <v>40250</v>
      </c>
      <c r="AD126">
        <v>61155</v>
      </c>
      <c r="AE126" t="str">
        <f t="shared" si="32"/>
        <v>Toby</v>
      </c>
      <c r="AF126" t="str">
        <f t="shared" si="33"/>
        <v>Houghton</v>
      </c>
      <c r="AL126" s="1878"/>
    </row>
    <row r="127" spans="1:38" x14ac:dyDescent="0.2">
      <c r="A127" s="1687" t="s">
        <v>3211</v>
      </c>
      <c r="B127" s="1687" t="s">
        <v>3212</v>
      </c>
      <c r="C127" s="235">
        <f t="shared" si="31"/>
        <v>12</v>
      </c>
      <c r="D127" s="1">
        <v>1.6620370370370372E-2</v>
      </c>
      <c r="E127" s="1371" t="s">
        <v>4936</v>
      </c>
      <c r="F127" s="915">
        <f>F267</f>
        <v>1</v>
      </c>
      <c r="G127" s="1377"/>
      <c r="H127" s="1377"/>
      <c r="I127" s="1377"/>
      <c r="J127" s="1377"/>
      <c r="K127" s="1377"/>
      <c r="L127" s="1377"/>
      <c r="M127" s="1377"/>
      <c r="N127" s="1377"/>
      <c r="O127" s="1377"/>
      <c r="P127" s="1377"/>
      <c r="Q127" s="1377"/>
      <c r="R127" s="1377"/>
      <c r="S127" s="1377"/>
      <c r="T127" s="1377"/>
      <c r="U127" s="1377"/>
      <c r="V127" s="1377"/>
      <c r="W127" s="1377"/>
      <c r="X127" s="1377"/>
      <c r="Y127" s="1377"/>
      <c r="Z127" s="1377"/>
      <c r="AA127" s="1378">
        <f>C267</f>
        <v>12</v>
      </c>
      <c r="AB127" s="1379">
        <v>42735</v>
      </c>
      <c r="AC127" s="34">
        <v>42546</v>
      </c>
      <c r="AD127">
        <v>2545350</v>
      </c>
      <c r="AE127" t="str">
        <f t="shared" si="32"/>
        <v>Lee</v>
      </c>
      <c r="AF127" t="str">
        <f t="shared" si="33"/>
        <v>Jenkins</v>
      </c>
      <c r="AL127" s="1878"/>
    </row>
    <row r="128" spans="1:38" x14ac:dyDescent="0.2">
      <c r="A128" s="1389" t="s">
        <v>3843</v>
      </c>
      <c r="B128" s="1389" t="s">
        <v>5626</v>
      </c>
      <c r="C128" s="235">
        <f t="shared" si="31"/>
        <v>40</v>
      </c>
      <c r="D128" s="1">
        <v>1.667824074074074E-2</v>
      </c>
      <c r="E128" s="1371" t="s">
        <v>2865</v>
      </c>
      <c r="F128" s="915">
        <f>E1080+F1080</f>
        <v>10</v>
      </c>
      <c r="G128" s="1377"/>
      <c r="H128" s="1377"/>
      <c r="I128" s="1377"/>
      <c r="J128" s="1377"/>
      <c r="K128" s="1377"/>
      <c r="L128" s="1377"/>
      <c r="M128" s="1377"/>
      <c r="N128" s="1377"/>
      <c r="O128" s="1377"/>
      <c r="P128" s="1377"/>
      <c r="Q128" s="1377"/>
      <c r="R128" s="1377"/>
      <c r="S128" s="1377"/>
      <c r="T128" s="1377"/>
      <c r="U128" s="1377"/>
      <c r="V128" s="1377"/>
      <c r="W128" s="1377"/>
      <c r="X128" s="1377"/>
      <c r="Y128" s="1377"/>
      <c r="Z128" s="1377"/>
      <c r="AA128" s="1378">
        <f>C1080</f>
        <v>40</v>
      </c>
      <c r="AB128" s="1379">
        <v>42833</v>
      </c>
      <c r="AC128" s="34"/>
      <c r="AD128">
        <v>460031</v>
      </c>
      <c r="AE128" t="str">
        <f t="shared" si="32"/>
        <v>Claire</v>
      </c>
      <c r="AF128" t="str">
        <f t="shared" si="33"/>
        <v>Killen</v>
      </c>
      <c r="AL128" s="1878"/>
    </row>
    <row r="129" spans="1:49" x14ac:dyDescent="0.2">
      <c r="A129" s="1389" t="s">
        <v>2701</v>
      </c>
      <c r="B129" s="1389" t="s">
        <v>2702</v>
      </c>
      <c r="C129" s="235">
        <f t="shared" si="31"/>
        <v>1</v>
      </c>
      <c r="D129" s="1">
        <v>1.8090277777777778E-2</v>
      </c>
      <c r="E129" s="1371" t="s">
        <v>5885</v>
      </c>
      <c r="F129" s="915">
        <f>COUNT(G129:Y129)</f>
        <v>1</v>
      </c>
      <c r="G129" s="1377"/>
      <c r="H129" s="1377">
        <v>1</v>
      </c>
      <c r="I129" s="1377"/>
      <c r="J129" s="1377"/>
      <c r="K129" s="1377"/>
      <c r="L129" s="1377"/>
      <c r="M129" s="1377"/>
      <c r="N129" s="1377"/>
      <c r="O129" s="1377"/>
      <c r="P129" s="1377"/>
      <c r="Q129" s="1377"/>
      <c r="R129" s="1377"/>
      <c r="S129" s="1377"/>
      <c r="T129" s="1377"/>
      <c r="U129" s="1377"/>
      <c r="V129" s="1377"/>
      <c r="W129" s="1377"/>
      <c r="X129" s="1377"/>
      <c r="Y129" s="1377"/>
      <c r="Z129" s="1377"/>
      <c r="AA129" s="1377"/>
      <c r="AB129" s="1379">
        <v>39830</v>
      </c>
      <c r="AC129" s="34">
        <v>39830</v>
      </c>
      <c r="AD129">
        <v>11551</v>
      </c>
      <c r="AE129" t="str">
        <f t="shared" si="32"/>
        <v>Liz</v>
      </c>
      <c r="AF129" t="str">
        <f t="shared" si="33"/>
        <v>Latter</v>
      </c>
      <c r="AL129" s="1878"/>
      <c r="AU129" s="510"/>
      <c r="AV129" s="510"/>
      <c r="AW129" s="510"/>
    </row>
    <row r="130" spans="1:49" x14ac:dyDescent="0.2">
      <c r="A130" s="1389" t="s">
        <v>2822</v>
      </c>
      <c r="B130" s="1389" t="s">
        <v>2823</v>
      </c>
      <c r="C130" s="235">
        <f t="shared" si="31"/>
        <v>250</v>
      </c>
      <c r="D130" s="1">
        <v>1.4837962962962963E-2</v>
      </c>
      <c r="E130" s="1371" t="s">
        <v>5544</v>
      </c>
      <c r="F130" s="915">
        <f>COUNT(G130:Y130)+F305</f>
        <v>4</v>
      </c>
      <c r="G130" s="1377"/>
      <c r="H130" s="1377">
        <v>3</v>
      </c>
      <c r="I130" s="1377"/>
      <c r="J130" s="1377"/>
      <c r="K130" s="1377"/>
      <c r="L130" s="1377"/>
      <c r="M130" s="1377"/>
      <c r="N130" s="1380">
        <v>243</v>
      </c>
      <c r="O130" s="1380"/>
      <c r="P130" s="1380"/>
      <c r="Q130" s="1377"/>
      <c r="R130" s="1377"/>
      <c r="S130" s="1377"/>
      <c r="T130" s="1377">
        <v>1</v>
      </c>
      <c r="U130" s="1377"/>
      <c r="V130" s="1377"/>
      <c r="W130" s="1377"/>
      <c r="X130" s="1377"/>
      <c r="Y130" s="1377"/>
      <c r="Z130" s="1377"/>
      <c r="AA130" s="1378">
        <f>C305</f>
        <v>3</v>
      </c>
      <c r="AB130" s="1379">
        <v>43176</v>
      </c>
      <c r="AC130" s="34">
        <v>40908</v>
      </c>
      <c r="AD130">
        <v>202900</v>
      </c>
      <c r="AE130" t="str">
        <f t="shared" si="32"/>
        <v>Kerstin</v>
      </c>
      <c r="AF130" t="str">
        <f t="shared" si="33"/>
        <v>Luksch</v>
      </c>
      <c r="AL130" s="1878"/>
      <c r="AU130" s="510"/>
      <c r="AV130" s="510"/>
      <c r="AW130" s="510"/>
    </row>
    <row r="131" spans="1:49" x14ac:dyDescent="0.2">
      <c r="A131" s="1389" t="s">
        <v>4878</v>
      </c>
      <c r="B131" s="1389" t="s">
        <v>3250</v>
      </c>
      <c r="C131" s="235">
        <f t="shared" si="31"/>
        <v>42</v>
      </c>
      <c r="D131" s="1">
        <v>1.8437499999999999E-2</v>
      </c>
      <c r="E131" s="1371" t="s">
        <v>1591</v>
      </c>
      <c r="F131" s="915">
        <f>COUNT(G131:Y131)+F1160+F1301+F1106+F213+F774+F1265+F1238+F306+F457+F371+F608+F711+F1313+F743</f>
        <v>25</v>
      </c>
      <c r="G131" s="1377"/>
      <c r="H131" s="1377"/>
      <c r="I131" s="1377"/>
      <c r="J131" s="1377"/>
      <c r="K131" s="1377"/>
      <c r="L131" s="1377">
        <v>3</v>
      </c>
      <c r="M131" s="1377"/>
      <c r="N131" s="1377">
        <v>1</v>
      </c>
      <c r="O131" s="1377"/>
      <c r="P131" s="1377"/>
      <c r="Q131" s="1377"/>
      <c r="R131" s="1377"/>
      <c r="S131" s="1377">
        <v>1</v>
      </c>
      <c r="T131" s="1377">
        <v>2</v>
      </c>
      <c r="U131" s="1377">
        <v>1</v>
      </c>
      <c r="V131" s="1377"/>
      <c r="W131" s="1377"/>
      <c r="X131" s="1377">
        <v>5</v>
      </c>
      <c r="Y131" s="1377"/>
      <c r="Z131" s="1377"/>
      <c r="AA131" s="1383">
        <f>C1160+C1301+C1106+C774+C1265+C1238+C213+C306+C457+C371+C608+C711+C1313+C743</f>
        <v>29</v>
      </c>
      <c r="AB131" s="1379">
        <v>42749</v>
      </c>
      <c r="AC131" s="34"/>
      <c r="AD131">
        <v>822752</v>
      </c>
      <c r="AE131" t="str">
        <f t="shared" si="32"/>
        <v>Daniela</v>
      </c>
      <c r="AF131" t="str">
        <f t="shared" si="33"/>
        <v>Mayerova</v>
      </c>
      <c r="AL131" s="1878"/>
    </row>
    <row r="132" spans="1:49" x14ac:dyDescent="0.2">
      <c r="A132" s="1389" t="s">
        <v>5400</v>
      </c>
      <c r="B132" s="1389" t="s">
        <v>5401</v>
      </c>
      <c r="C132" s="235">
        <f t="shared" si="31"/>
        <v>3</v>
      </c>
      <c r="D132" s="1">
        <v>1.9664351851851853E-2</v>
      </c>
      <c r="E132" s="1371" t="s">
        <v>3072</v>
      </c>
      <c r="F132" s="915">
        <f>F354+F528</f>
        <v>2</v>
      </c>
      <c r="G132" s="1377"/>
      <c r="H132" s="1377"/>
      <c r="I132" s="1377"/>
      <c r="J132" s="1377"/>
      <c r="K132" s="1377"/>
      <c r="L132" s="1377"/>
      <c r="M132" s="1377"/>
      <c r="N132" s="1377"/>
      <c r="O132" s="1377"/>
      <c r="P132" s="1377"/>
      <c r="Q132" s="1377"/>
      <c r="R132" s="1377"/>
      <c r="S132" s="1377"/>
      <c r="T132" s="1377"/>
      <c r="U132" s="1377"/>
      <c r="V132" s="1377"/>
      <c r="W132" s="1377"/>
      <c r="X132" s="1377"/>
      <c r="Y132" s="1377"/>
      <c r="Z132" s="1377"/>
      <c r="AA132" s="1383">
        <f>C354+C528</f>
        <v>3</v>
      </c>
      <c r="AB132" s="1379">
        <v>42616</v>
      </c>
      <c r="AC132" s="34">
        <v>42049</v>
      </c>
      <c r="AD132">
        <v>1317820</v>
      </c>
      <c r="AE132" t="str">
        <f t="shared" si="32"/>
        <v>Steph</v>
      </c>
      <c r="AF132" t="str">
        <f t="shared" si="33"/>
        <v>Owen</v>
      </c>
      <c r="AL132" s="1878"/>
    </row>
    <row r="133" spans="1:49" x14ac:dyDescent="0.2">
      <c r="A133" s="1389" t="s">
        <v>4578</v>
      </c>
      <c r="B133" s="1389" t="s">
        <v>4579</v>
      </c>
      <c r="C133" s="235">
        <f t="shared" si="31"/>
        <v>16</v>
      </c>
      <c r="D133" s="1">
        <v>1.5949074074074074E-2</v>
      </c>
      <c r="E133" s="1370" t="s">
        <v>5544</v>
      </c>
      <c r="F133" s="915">
        <f>COUNT(G133:Y133)</f>
        <v>2</v>
      </c>
      <c r="G133" s="1377"/>
      <c r="H133" s="1377">
        <v>6</v>
      </c>
      <c r="I133" s="1377"/>
      <c r="J133" s="1377"/>
      <c r="K133" s="1377"/>
      <c r="L133" s="1377"/>
      <c r="M133" s="1377"/>
      <c r="N133" s="1377">
        <v>10</v>
      </c>
      <c r="O133" s="1377"/>
      <c r="P133" s="1377"/>
      <c r="Q133" s="1377"/>
      <c r="R133" s="1377"/>
      <c r="S133" s="1377"/>
      <c r="T133" s="1377"/>
      <c r="U133" s="1377"/>
      <c r="V133" s="1377"/>
      <c r="W133" s="1377"/>
      <c r="X133" s="1377"/>
      <c r="Y133" s="1377"/>
      <c r="Z133" s="1377"/>
      <c r="AA133" s="1383"/>
      <c r="AB133" s="1384">
        <v>43232</v>
      </c>
      <c r="AC133" s="80"/>
      <c r="AD133" s="80">
        <v>70492</v>
      </c>
      <c r="AE133" t="str">
        <f t="shared" si="32"/>
        <v>Lissa</v>
      </c>
      <c r="AF133" t="str">
        <f t="shared" si="33"/>
        <v>Pritchard</v>
      </c>
      <c r="AL133" s="1878"/>
    </row>
    <row r="134" spans="1:49" x14ac:dyDescent="0.2">
      <c r="A134" s="1389" t="s">
        <v>4977</v>
      </c>
      <c r="B134" s="1389" t="s">
        <v>3961</v>
      </c>
      <c r="C134" s="557">
        <f t="shared" si="31"/>
        <v>50</v>
      </c>
      <c r="D134" s="1">
        <v>1.3738425925925926E-2</v>
      </c>
      <c r="E134" s="1371" t="s">
        <v>3375</v>
      </c>
      <c r="F134" s="915">
        <f>COUNT(G134:Y134)+F450+F870+F995+F551+F529+F1197+F1018+F804+F1135+F1285+F214+F851</f>
        <v>23</v>
      </c>
      <c r="G134" s="1377">
        <v>6</v>
      </c>
      <c r="H134" s="1377"/>
      <c r="I134" s="1377"/>
      <c r="J134" s="1377"/>
      <c r="K134" s="1377">
        <v>1</v>
      </c>
      <c r="L134" s="1377">
        <v>7</v>
      </c>
      <c r="M134" s="1377"/>
      <c r="N134" s="1377"/>
      <c r="O134" s="1377"/>
      <c r="P134" s="1377"/>
      <c r="Q134" s="1377">
        <v>1</v>
      </c>
      <c r="R134" s="1377"/>
      <c r="S134" s="1377"/>
      <c r="T134" s="1377"/>
      <c r="U134" s="1377"/>
      <c r="V134" s="1377">
        <v>2</v>
      </c>
      <c r="W134" s="1377"/>
      <c r="X134" s="1377"/>
      <c r="Y134" s="1377"/>
      <c r="Z134" s="1377"/>
      <c r="AA134" s="1378">
        <f>C450+C870+C995+C551+C529+C1197+C1018+C804+C1135+C1285+C214+C847</f>
        <v>33</v>
      </c>
      <c r="AB134" s="1379">
        <v>42742</v>
      </c>
      <c r="AC134" s="34">
        <v>40348</v>
      </c>
      <c r="AD134">
        <v>77317</v>
      </c>
      <c r="AE134" t="str">
        <f t="shared" si="32"/>
        <v>Natalie</v>
      </c>
      <c r="AF134" t="str">
        <f t="shared" si="33"/>
        <v>Ruffell</v>
      </c>
      <c r="AL134" s="1878"/>
    </row>
    <row r="135" spans="1:49" x14ac:dyDescent="0.2">
      <c r="A135" s="1389" t="s">
        <v>3820</v>
      </c>
      <c r="B135" s="1389" t="s">
        <v>3821</v>
      </c>
      <c r="C135" s="578">
        <f t="shared" si="31"/>
        <v>109</v>
      </c>
      <c r="D135" s="1">
        <v>1.7812499999999998E-2</v>
      </c>
      <c r="E135" s="1371" t="s">
        <v>3072</v>
      </c>
      <c r="F135" s="915">
        <f>COUNT(G135:Y135)+F307+F372</f>
        <v>5</v>
      </c>
      <c r="G135" s="1377"/>
      <c r="H135" s="1377"/>
      <c r="I135" s="1377"/>
      <c r="J135" s="1377"/>
      <c r="K135" s="1377"/>
      <c r="L135" s="1377"/>
      <c r="M135" s="1377"/>
      <c r="N135" s="1377"/>
      <c r="O135" s="1377"/>
      <c r="P135" s="1377"/>
      <c r="Q135" s="1377"/>
      <c r="R135" s="1377">
        <v>1</v>
      </c>
      <c r="S135" s="1377"/>
      <c r="T135" s="1377"/>
      <c r="U135" s="1377"/>
      <c r="V135" s="1377"/>
      <c r="W135" s="1377"/>
      <c r="X135" s="1377"/>
      <c r="Y135" s="1377"/>
      <c r="Z135" s="1377"/>
      <c r="AA135" s="1378">
        <f>C616+C872+C1110+C307+C372</f>
        <v>108</v>
      </c>
      <c r="AB135" s="1379">
        <v>42840</v>
      </c>
      <c r="AC135" s="34"/>
      <c r="AD135">
        <v>991616</v>
      </c>
      <c r="AE135" t="str">
        <f t="shared" si="32"/>
        <v>Sreeram</v>
      </c>
      <c r="AF135" t="str">
        <f t="shared" si="33"/>
        <v>Sethuraman</v>
      </c>
      <c r="AL135" s="1878"/>
    </row>
    <row r="136" spans="1:49" x14ac:dyDescent="0.2">
      <c r="A136" s="1389" t="s">
        <v>2426</v>
      </c>
      <c r="B136" s="1389" t="s">
        <v>2427</v>
      </c>
      <c r="C136" s="235">
        <f>SUM(G136:AA136)+F852</f>
        <v>11</v>
      </c>
      <c r="D136" s="1">
        <v>1.3599537037037037E-2</v>
      </c>
      <c r="E136" s="1371" t="s">
        <v>5544</v>
      </c>
      <c r="F136" s="915">
        <f>COUNT(G136:Y136)+F617+F852</f>
        <v>3</v>
      </c>
      <c r="G136" s="1377"/>
      <c r="H136" s="1377"/>
      <c r="I136" s="1377"/>
      <c r="J136" s="1377"/>
      <c r="K136" s="1377"/>
      <c r="L136" s="1377"/>
      <c r="M136" s="1377"/>
      <c r="N136" s="1377">
        <v>5</v>
      </c>
      <c r="O136" s="1377"/>
      <c r="P136" s="1377"/>
      <c r="Q136" s="1377"/>
      <c r="R136" s="1377"/>
      <c r="S136" s="1377"/>
      <c r="T136" s="1377"/>
      <c r="U136" s="1377"/>
      <c r="V136" s="1377"/>
      <c r="W136" s="1377"/>
      <c r="X136" s="1377"/>
      <c r="Y136" s="1377"/>
      <c r="Z136" s="1377"/>
      <c r="AA136" s="1378">
        <f>C617+C852</f>
        <v>5</v>
      </c>
      <c r="AB136" s="1379">
        <v>42840</v>
      </c>
      <c r="AC136" s="34">
        <v>40698</v>
      </c>
      <c r="AD136">
        <v>140230</v>
      </c>
      <c r="AE136" t="str">
        <f t="shared" si="32"/>
        <v>Bernard</v>
      </c>
      <c r="AF136" t="str">
        <f t="shared" si="33"/>
        <v>Sexton</v>
      </c>
      <c r="AL136" s="1878"/>
    </row>
    <row r="137" spans="1:49" x14ac:dyDescent="0.2">
      <c r="A137" s="1389" t="s">
        <v>2705</v>
      </c>
      <c r="B137" s="1389" t="s">
        <v>440</v>
      </c>
      <c r="C137" s="235">
        <f t="shared" si="31"/>
        <v>1</v>
      </c>
      <c r="D137" s="1">
        <v>1.6608796296296299E-2</v>
      </c>
      <c r="E137" s="1371" t="s">
        <v>5950</v>
      </c>
      <c r="F137" s="915">
        <f>COUNT(G137:Y137)+F362</f>
        <v>1</v>
      </c>
      <c r="G137" s="1377"/>
      <c r="H137" s="1377"/>
      <c r="I137" s="1377"/>
      <c r="J137" s="1377"/>
      <c r="K137" s="1377"/>
      <c r="L137" s="1377"/>
      <c r="M137" s="1377"/>
      <c r="N137" s="1377"/>
      <c r="O137" s="1377"/>
      <c r="P137" s="1377"/>
      <c r="Q137" s="1377"/>
      <c r="R137" s="1377"/>
      <c r="S137" s="1377"/>
      <c r="T137" s="1377"/>
      <c r="U137" s="1377"/>
      <c r="V137" s="1377"/>
      <c r="W137" s="1377"/>
      <c r="X137" s="1377"/>
      <c r="Y137" s="1377"/>
      <c r="Z137" s="1377"/>
      <c r="AA137" s="1378">
        <f>C362</f>
        <v>1</v>
      </c>
      <c r="AB137" s="1379">
        <v>41167</v>
      </c>
      <c r="AC137" s="34">
        <v>41167</v>
      </c>
      <c r="AD137">
        <v>353016</v>
      </c>
      <c r="AE137" t="str">
        <f t="shared" si="32"/>
        <v>Luke</v>
      </c>
      <c r="AF137" t="str">
        <f t="shared" si="33"/>
        <v>Smith</v>
      </c>
      <c r="AL137" s="1878"/>
    </row>
    <row r="138" spans="1:49" x14ac:dyDescent="0.2">
      <c r="A138" s="1389" t="s">
        <v>2325</v>
      </c>
      <c r="B138" s="1389" t="s">
        <v>3534</v>
      </c>
      <c r="C138" s="235">
        <f t="shared" si="31"/>
        <v>2</v>
      </c>
      <c r="D138" s="1">
        <v>1.3101851851851852E-2</v>
      </c>
      <c r="E138" s="1371" t="s">
        <v>5885</v>
      </c>
      <c r="F138" s="925">
        <f>COUNT(G138:Y138)</f>
        <v>1</v>
      </c>
      <c r="G138" s="1377"/>
      <c r="H138" s="1377">
        <v>2</v>
      </c>
      <c r="I138" s="1377"/>
      <c r="J138" s="1377"/>
      <c r="K138" s="1377"/>
      <c r="L138" s="1377"/>
      <c r="M138" s="1377"/>
      <c r="N138" s="1377"/>
      <c r="O138" s="1377"/>
      <c r="P138" s="1377"/>
      <c r="Q138" s="1377"/>
      <c r="R138" s="1377"/>
      <c r="S138" s="1377"/>
      <c r="T138" s="1377"/>
      <c r="U138" s="1377"/>
      <c r="V138" s="1377"/>
      <c r="W138" s="1377"/>
      <c r="X138" s="1377"/>
      <c r="Y138" s="1377"/>
      <c r="Z138" s="1377"/>
      <c r="AA138" s="1378"/>
      <c r="AB138" s="1379">
        <v>40810</v>
      </c>
      <c r="AC138" s="34">
        <v>39676</v>
      </c>
      <c r="AD138">
        <v>19118</v>
      </c>
      <c r="AE138" t="str">
        <f t="shared" si="32"/>
        <v>Kat</v>
      </c>
      <c r="AF138" t="str">
        <f t="shared" si="33"/>
        <v>Stather</v>
      </c>
      <c r="AL138" s="1878"/>
    </row>
    <row r="139" spans="1:49" x14ac:dyDescent="0.2">
      <c r="A139" s="1687" t="s">
        <v>5668</v>
      </c>
      <c r="B139" s="1687" t="s">
        <v>5669</v>
      </c>
      <c r="C139" s="235">
        <f t="shared" si="31"/>
        <v>4</v>
      </c>
      <c r="D139" s="1">
        <v>1.5729166666666666E-2</v>
      </c>
      <c r="E139" s="1371" t="s">
        <v>3009</v>
      </c>
      <c r="F139" s="925">
        <f>COUNT(G139:Y139)+F620</f>
        <v>1</v>
      </c>
      <c r="G139" s="1377"/>
      <c r="H139" s="1377"/>
      <c r="I139" s="1377"/>
      <c r="J139" s="1377"/>
      <c r="K139" s="1377"/>
      <c r="L139" s="1377"/>
      <c r="M139" s="1377"/>
      <c r="N139" s="1377"/>
      <c r="O139" s="1377"/>
      <c r="P139" s="1377"/>
      <c r="Q139" s="1377"/>
      <c r="R139" s="1377"/>
      <c r="S139" s="1377"/>
      <c r="T139" s="1377"/>
      <c r="U139" s="1377"/>
      <c r="V139" s="1377"/>
      <c r="W139" s="1377"/>
      <c r="X139" s="1377"/>
      <c r="Y139" s="1377"/>
      <c r="Z139" s="1377"/>
      <c r="AA139" s="1378">
        <f>C620</f>
        <v>4</v>
      </c>
      <c r="AB139" s="1379">
        <v>42609</v>
      </c>
      <c r="AC139" s="34">
        <v>42238</v>
      </c>
      <c r="AD139">
        <v>1846918</v>
      </c>
      <c r="AE139" t="str">
        <f t="shared" si="32"/>
        <v>Robbie</v>
      </c>
      <c r="AF139" t="str">
        <f t="shared" si="33"/>
        <v>Stewart</v>
      </c>
      <c r="AL139" s="1878"/>
    </row>
    <row r="140" spans="1:49" x14ac:dyDescent="0.2">
      <c r="A140" s="1389" t="s">
        <v>2706</v>
      </c>
      <c r="B140" s="1389" t="s">
        <v>2707</v>
      </c>
      <c r="C140" s="235">
        <f t="shared" ref="C140:C142" si="34">SUM(G140:AA140)</f>
        <v>35</v>
      </c>
      <c r="D140" s="1">
        <v>1.7962962962962962E-2</v>
      </c>
      <c r="E140" s="1371" t="s">
        <v>5885</v>
      </c>
      <c r="F140" s="925">
        <f>COUNT(G140:Y140)+F621</f>
        <v>2</v>
      </c>
      <c r="G140" s="1377"/>
      <c r="H140" s="1377">
        <v>35</v>
      </c>
      <c r="I140" s="1377"/>
      <c r="J140" s="1377"/>
      <c r="K140" s="1377"/>
      <c r="L140" s="1377"/>
      <c r="M140" s="1377"/>
      <c r="N140" s="1377"/>
      <c r="O140" s="1377"/>
      <c r="P140" s="1377"/>
      <c r="Q140" s="1377"/>
      <c r="R140" s="1377"/>
      <c r="S140" s="1377"/>
      <c r="T140" s="1377"/>
      <c r="U140" s="1377"/>
      <c r="V140" s="1377"/>
      <c r="W140" s="1377"/>
      <c r="X140" s="1377"/>
      <c r="Y140" s="1377"/>
      <c r="Z140" s="1377"/>
      <c r="AA140" s="1378">
        <f>C1452</f>
        <v>0</v>
      </c>
      <c r="AB140" s="1379">
        <v>43505</v>
      </c>
      <c r="AC140" s="34">
        <v>39564</v>
      </c>
      <c r="AD140">
        <v>14921</v>
      </c>
      <c r="AE140" t="str">
        <f t="shared" si="32"/>
        <v>Grant</v>
      </c>
      <c r="AF140" t="str">
        <f t="shared" si="33"/>
        <v>Strydom</v>
      </c>
      <c r="AL140" s="1878"/>
    </row>
    <row r="141" spans="1:49" x14ac:dyDescent="0.2">
      <c r="A141" s="1389" t="s">
        <v>591</v>
      </c>
      <c r="B141" s="1389" t="s">
        <v>4788</v>
      </c>
      <c r="C141" s="235">
        <f t="shared" si="34"/>
        <v>18</v>
      </c>
      <c r="D141" s="1">
        <v>1.621527777777778E-2</v>
      </c>
      <c r="E141" s="1370" t="s">
        <v>3528</v>
      </c>
      <c r="F141" s="925">
        <f>COUNT(G141:Y141)+F625+F416+F1375</f>
        <v>4</v>
      </c>
      <c r="G141" s="1377"/>
      <c r="H141" s="1377"/>
      <c r="I141" s="1377"/>
      <c r="J141" s="1377"/>
      <c r="K141" s="1377"/>
      <c r="L141" s="1377"/>
      <c r="M141" s="1377"/>
      <c r="N141" s="1377"/>
      <c r="O141" s="1377"/>
      <c r="P141" s="1377"/>
      <c r="Q141" s="1377"/>
      <c r="R141" s="1377"/>
      <c r="S141" s="1377"/>
      <c r="T141" s="1377"/>
      <c r="U141" s="1377"/>
      <c r="V141" s="1377"/>
      <c r="W141" s="1377"/>
      <c r="X141" s="1377"/>
      <c r="Y141" s="1377"/>
      <c r="Z141" s="1377"/>
      <c r="AA141" s="1378">
        <f>C625+C416+C1375</f>
        <v>18</v>
      </c>
      <c r="AB141" s="1384">
        <v>43239</v>
      </c>
      <c r="AC141" s="34"/>
      <c r="AD141">
        <v>1131716</v>
      </c>
      <c r="AE141" t="str">
        <f t="shared" si="32"/>
        <v xml:space="preserve">Kimberley </v>
      </c>
      <c r="AF141" t="str">
        <f t="shared" si="33"/>
        <v>Turner</v>
      </c>
      <c r="AL141" s="1878"/>
    </row>
    <row r="142" spans="1:49" x14ac:dyDescent="0.2">
      <c r="A142" s="1389" t="s">
        <v>5542</v>
      </c>
      <c r="B142" s="1389" t="s">
        <v>4788</v>
      </c>
      <c r="C142" s="235">
        <f t="shared" si="34"/>
        <v>10</v>
      </c>
      <c r="D142" s="1">
        <v>1.7430555555555557E-2</v>
      </c>
      <c r="E142" s="1370" t="s">
        <v>803</v>
      </c>
      <c r="F142" s="925">
        <f>COUNT(G142:Y142)+F626+F1376</f>
        <v>2</v>
      </c>
      <c r="G142" s="1377"/>
      <c r="H142" s="1377"/>
      <c r="I142" s="1377"/>
      <c r="J142" s="1377"/>
      <c r="K142" s="1377"/>
      <c r="L142" s="1377"/>
      <c r="M142" s="1377"/>
      <c r="N142" s="1377"/>
      <c r="O142" s="1377"/>
      <c r="P142" s="1377"/>
      <c r="Q142" s="1377"/>
      <c r="R142" s="1377"/>
      <c r="S142" s="1377"/>
      <c r="T142" s="1377"/>
      <c r="U142" s="1377"/>
      <c r="V142" s="1377"/>
      <c r="W142" s="1377"/>
      <c r="X142" s="1377"/>
      <c r="Y142" s="1377"/>
      <c r="Z142" s="1377"/>
      <c r="AA142" s="1378">
        <f>C626+C1376</f>
        <v>10</v>
      </c>
      <c r="AB142" s="1379">
        <v>42980</v>
      </c>
      <c r="AC142" s="34"/>
      <c r="AD142">
        <v>1131835</v>
      </c>
      <c r="AE142" t="str">
        <f t="shared" si="32"/>
        <v>Mark</v>
      </c>
      <c r="AF142" t="str">
        <f t="shared" si="33"/>
        <v>Turner</v>
      </c>
      <c r="AL142" s="1878"/>
    </row>
    <row r="143" spans="1:49" ht="12.75" customHeight="1" x14ac:dyDescent="0.2">
      <c r="A143" s="1389" t="s">
        <v>2929</v>
      </c>
      <c r="B143" s="1389" t="s">
        <v>68</v>
      </c>
      <c r="C143" s="235">
        <f t="shared" si="31"/>
        <v>26</v>
      </c>
      <c r="D143" s="1">
        <v>1.6967592592592593E-2</v>
      </c>
      <c r="E143" s="1371" t="s">
        <v>842</v>
      </c>
      <c r="F143" s="915">
        <f>COUNT(G143:Y143)+F1070+F458+F497+F812+F784</f>
        <v>6</v>
      </c>
      <c r="G143" s="1377"/>
      <c r="H143" s="1377">
        <v>1</v>
      </c>
      <c r="I143" s="1377"/>
      <c r="J143" s="1377"/>
      <c r="K143" s="1377"/>
      <c r="L143" s="1377"/>
      <c r="M143" s="1377"/>
      <c r="N143" s="1377"/>
      <c r="O143" s="1377"/>
      <c r="P143" s="1377"/>
      <c r="Q143" s="1377"/>
      <c r="R143" s="1377"/>
      <c r="S143" s="1377"/>
      <c r="T143" s="1377"/>
      <c r="U143" s="1377"/>
      <c r="V143" s="1377"/>
      <c r="W143" s="1377"/>
      <c r="X143" s="1377"/>
      <c r="Y143" s="1377"/>
      <c r="Z143" s="1377"/>
      <c r="AA143" s="1378">
        <f>C497+C1070+C812+C784</f>
        <v>25</v>
      </c>
      <c r="AB143" s="1379">
        <v>42749</v>
      </c>
      <c r="AC143" s="34">
        <v>42238</v>
      </c>
      <c r="AE143" t="str">
        <f t="shared" si="32"/>
        <v>Emily</v>
      </c>
      <c r="AF143" t="str">
        <f t="shared" si="33"/>
        <v>Warburton-Brown</v>
      </c>
      <c r="AL143" s="1878"/>
    </row>
    <row r="144" spans="1:49" ht="12.75" customHeight="1" x14ac:dyDescent="0.2">
      <c r="A144" s="1389" t="s">
        <v>3508</v>
      </c>
      <c r="B144" s="1389" t="s">
        <v>3237</v>
      </c>
      <c r="C144" s="235">
        <f t="shared" si="31"/>
        <v>33</v>
      </c>
      <c r="D144" s="1">
        <v>1.6585648148148148E-2</v>
      </c>
      <c r="E144" s="1371" t="s">
        <v>5883</v>
      </c>
      <c r="F144" s="915">
        <f>COUNT(G144:Y144)</f>
        <v>1</v>
      </c>
      <c r="G144" s="1377">
        <v>33</v>
      </c>
      <c r="H144" s="1377"/>
      <c r="I144" s="1377"/>
      <c r="J144" s="1377"/>
      <c r="K144" s="1377"/>
      <c r="L144" s="1377"/>
      <c r="M144" s="1377"/>
      <c r="N144" s="1377"/>
      <c r="O144" s="1377"/>
      <c r="P144" s="1377"/>
      <c r="Q144" s="1377"/>
      <c r="R144" s="1377"/>
      <c r="S144" s="1377"/>
      <c r="T144" s="1377"/>
      <c r="U144" s="1377"/>
      <c r="V144" s="1377"/>
      <c r="W144" s="1377"/>
      <c r="X144" s="1377"/>
      <c r="Y144" s="1377"/>
      <c r="Z144" s="1377"/>
      <c r="AA144" s="1378"/>
      <c r="AB144" s="1379">
        <v>42616</v>
      </c>
      <c r="AC144" s="34">
        <v>40012</v>
      </c>
      <c r="AD144">
        <v>37484</v>
      </c>
      <c r="AE144" t="str">
        <f t="shared" si="32"/>
        <v>Ian</v>
      </c>
      <c r="AF144" t="str">
        <f t="shared" si="33"/>
        <v>White</v>
      </c>
      <c r="AL144" s="1878"/>
    </row>
    <row r="145" spans="1:38" ht="12.75" customHeight="1" x14ac:dyDescent="0.2">
      <c r="A145" s="1389" t="s">
        <v>726</v>
      </c>
      <c r="B145" s="1389" t="s">
        <v>5628</v>
      </c>
      <c r="C145" s="235">
        <f t="shared" si="31"/>
        <v>27</v>
      </c>
      <c r="D145" s="1">
        <v>1.7731481481481483E-2</v>
      </c>
      <c r="E145" s="1371" t="s">
        <v>2490</v>
      </c>
      <c r="F145" s="915">
        <f>E1085+F1085</f>
        <v>8</v>
      </c>
      <c r="G145" s="1377"/>
      <c r="H145" s="1377"/>
      <c r="I145" s="1377"/>
      <c r="J145" s="1377"/>
      <c r="K145" s="1377"/>
      <c r="L145" s="1377"/>
      <c r="M145" s="1377"/>
      <c r="N145" s="1377"/>
      <c r="O145" s="1377"/>
      <c r="P145" s="1377"/>
      <c r="Q145" s="1377"/>
      <c r="R145" s="1377"/>
      <c r="S145" s="1377"/>
      <c r="T145" s="1377"/>
      <c r="U145" s="1377"/>
      <c r="V145" s="1377"/>
      <c r="W145" s="1377"/>
      <c r="X145" s="1377"/>
      <c r="Y145" s="1377"/>
      <c r="Z145" s="1377"/>
      <c r="AA145" s="1378">
        <f>C1085</f>
        <v>27</v>
      </c>
      <c r="AB145" s="1379">
        <v>42833</v>
      </c>
      <c r="AC145" s="34"/>
      <c r="AD145">
        <v>460097</v>
      </c>
      <c r="AE145" t="str">
        <f t="shared" si="32"/>
        <v>Caroline</v>
      </c>
      <c r="AF145" t="str">
        <f t="shared" si="33"/>
        <v>Wilson</v>
      </c>
      <c r="AL145" s="1878"/>
    </row>
    <row r="146" spans="1:38" ht="12.75" customHeight="1" thickBot="1" x14ac:dyDescent="0.25">
      <c r="A146" s="1688" t="s">
        <v>53</v>
      </c>
      <c r="B146" s="1688" t="s">
        <v>54</v>
      </c>
      <c r="C146" s="868">
        <f t="shared" si="31"/>
        <v>6</v>
      </c>
      <c r="D146" s="189">
        <v>1.8414351851851852E-2</v>
      </c>
      <c r="E146" s="2008" t="s">
        <v>5885</v>
      </c>
      <c r="F146" s="915">
        <f>COUNT(G146:Y146)</f>
        <v>1</v>
      </c>
      <c r="G146" s="1377"/>
      <c r="H146" s="1377">
        <v>6</v>
      </c>
      <c r="I146" s="1377"/>
      <c r="J146" s="1377"/>
      <c r="K146" s="1377"/>
      <c r="L146" s="1377"/>
      <c r="M146" s="1377"/>
      <c r="N146" s="1377"/>
      <c r="O146" s="1377"/>
      <c r="P146" s="1377"/>
      <c r="Q146" s="1377"/>
      <c r="R146" s="1377"/>
      <c r="S146" s="1377"/>
      <c r="T146" s="1377"/>
      <c r="U146" s="1377"/>
      <c r="V146" s="1377"/>
      <c r="W146" s="1377"/>
      <c r="X146" s="1377"/>
      <c r="Y146" s="1377"/>
      <c r="Z146" s="1377"/>
      <c r="AA146" s="1378"/>
      <c r="AB146" s="1379">
        <v>42161</v>
      </c>
      <c r="AC146" s="34">
        <v>41594</v>
      </c>
      <c r="AD146">
        <v>736245</v>
      </c>
      <c r="AE146" t="str">
        <f t="shared" si="32"/>
        <v>Roger</v>
      </c>
      <c r="AF146" t="str">
        <f t="shared" si="33"/>
        <v>Wiltshire</v>
      </c>
      <c r="AL146" s="1878"/>
    </row>
    <row r="147" spans="1:38" ht="12.75" customHeight="1" x14ac:dyDescent="0.2">
      <c r="C147" s="9">
        <f>SUM(C8:C146)</f>
        <v>15766</v>
      </c>
      <c r="D147" s="9">
        <f>SUM(G147:X147)</f>
        <v>8747</v>
      </c>
      <c r="E147" s="1398"/>
      <c r="F147" s="296"/>
      <c r="G147" s="20">
        <f t="shared" ref="G147:X147" si="35">SUM(G8:G146)</f>
        <v>3743</v>
      </c>
      <c r="H147" s="1131">
        <f t="shared" si="35"/>
        <v>2057</v>
      </c>
      <c r="I147" s="20">
        <f t="shared" si="35"/>
        <v>7</v>
      </c>
      <c r="J147" s="20">
        <f t="shared" si="35"/>
        <v>14</v>
      </c>
      <c r="K147" s="20">
        <f t="shared" si="35"/>
        <v>730</v>
      </c>
      <c r="L147" s="20">
        <f t="shared" si="35"/>
        <v>131</v>
      </c>
      <c r="M147" s="20">
        <f t="shared" si="35"/>
        <v>25</v>
      </c>
      <c r="N147" s="1131">
        <f t="shared" si="35"/>
        <v>1015</v>
      </c>
      <c r="O147" s="20">
        <f t="shared" si="35"/>
        <v>79</v>
      </c>
      <c r="P147" s="20">
        <f t="shared" si="35"/>
        <v>161</v>
      </c>
      <c r="Q147" s="20">
        <f t="shared" si="35"/>
        <v>81</v>
      </c>
      <c r="R147" s="20">
        <f t="shared" si="35"/>
        <v>185</v>
      </c>
      <c r="S147" s="20">
        <f t="shared" si="35"/>
        <v>94</v>
      </c>
      <c r="T147" s="20">
        <f t="shared" si="35"/>
        <v>227</v>
      </c>
      <c r="U147" s="20">
        <f t="shared" si="35"/>
        <v>133</v>
      </c>
      <c r="V147" s="20">
        <f t="shared" si="35"/>
        <v>16</v>
      </c>
      <c r="W147" s="20">
        <f t="shared" si="35"/>
        <v>16</v>
      </c>
      <c r="X147" s="20">
        <f t="shared" si="35"/>
        <v>33</v>
      </c>
      <c r="Y147" s="20"/>
      <c r="Z147" s="20"/>
      <c r="AA147" s="20">
        <f>SUM(AA8:AA146)</f>
        <v>7018</v>
      </c>
    </row>
    <row r="148" spans="1:38" ht="12.75" customHeight="1" x14ac:dyDescent="0.2">
      <c r="B148" s="1371" t="s">
        <v>5875</v>
      </c>
      <c r="C148" s="25">
        <f>COUNT(C8:C146)</f>
        <v>135</v>
      </c>
      <c r="E148" s="1377">
        <f>COUNT(G148:Y148)</f>
        <v>18</v>
      </c>
      <c r="F148" s="42"/>
      <c r="G148">
        <f t="shared" ref="G148:X148" si="36">COUNT(G8:G146)</f>
        <v>63</v>
      </c>
      <c r="H148">
        <f t="shared" si="36"/>
        <v>69</v>
      </c>
      <c r="I148">
        <f t="shared" si="36"/>
        <v>5</v>
      </c>
      <c r="J148">
        <f t="shared" si="36"/>
        <v>10</v>
      </c>
      <c r="K148">
        <f t="shared" si="36"/>
        <v>46</v>
      </c>
      <c r="L148">
        <f t="shared" si="36"/>
        <v>29</v>
      </c>
      <c r="M148">
        <f t="shared" si="36"/>
        <v>12</v>
      </c>
      <c r="N148">
        <f t="shared" si="36"/>
        <v>46</v>
      </c>
      <c r="O148">
        <f t="shared" si="36"/>
        <v>28</v>
      </c>
      <c r="P148">
        <f t="shared" si="36"/>
        <v>16</v>
      </c>
      <c r="Q148">
        <f t="shared" si="36"/>
        <v>37</v>
      </c>
      <c r="R148">
        <f t="shared" si="36"/>
        <v>35</v>
      </c>
      <c r="S148">
        <f t="shared" si="36"/>
        <v>24</v>
      </c>
      <c r="T148">
        <f t="shared" si="36"/>
        <v>50</v>
      </c>
      <c r="U148">
        <f t="shared" si="36"/>
        <v>35</v>
      </c>
      <c r="V148">
        <f t="shared" si="36"/>
        <v>10</v>
      </c>
      <c r="W148">
        <f t="shared" si="36"/>
        <v>14</v>
      </c>
      <c r="X148">
        <f t="shared" si="36"/>
        <v>15</v>
      </c>
      <c r="AA148">
        <f>COUNT(AA8:AA146)</f>
        <v>120</v>
      </c>
      <c r="AB148" s="9"/>
    </row>
    <row r="149" spans="1:38" ht="12.75" customHeight="1" thickBot="1" x14ac:dyDescent="0.25">
      <c r="C149" s="9">
        <f>C459+C499+C215+C578+C629+C656+C744+C786+C553+C814+C538+C876+C956+C973+C999+C1022+C1047+C1072+C1086+C1115+C1137+C1164+C1199+C1244+C1270+C1288+C1303+C1353+C1409+C374+C308+C831+C419+C1224+C1314+C1377</f>
        <v>6884</v>
      </c>
      <c r="D149" s="22" t="s">
        <v>5125</v>
      </c>
      <c r="E149" s="1958"/>
      <c r="G149" s="1336" t="str">
        <f t="shared" ref="G149:X149" si="37">G7</f>
        <v>BFL</v>
      </c>
      <c r="H149" s="1336" t="str">
        <f t="shared" si="37"/>
        <v>BSH</v>
      </c>
      <c r="I149" s="1336" t="str">
        <f t="shared" si="37"/>
        <v>CAN</v>
      </c>
      <c r="J149" s="1336" t="str">
        <f t="shared" si="37"/>
        <v>CLA</v>
      </c>
      <c r="K149" s="1336" t="str">
        <f t="shared" si="37"/>
        <v>CRN</v>
      </c>
      <c r="L149" s="1336" t="str">
        <f t="shared" si="37"/>
        <v>FHP</v>
      </c>
      <c r="M149" s="1336" t="str">
        <f t="shared" si="37"/>
        <v>GLS</v>
      </c>
      <c r="N149" s="1336" t="str">
        <f t="shared" si="37"/>
        <v>GUN</v>
      </c>
      <c r="O149" s="1336" t="str">
        <f t="shared" si="37"/>
        <v>HAW</v>
      </c>
      <c r="P149" s="1336" t="str">
        <f t="shared" si="37"/>
        <v>HRR</v>
      </c>
      <c r="Q149" s="1336" t="str">
        <f t="shared" si="37"/>
        <v>KNG</v>
      </c>
      <c r="R149" s="1336" t="str">
        <f t="shared" si="37"/>
        <v>NOF</v>
      </c>
      <c r="S149" s="1336" t="str">
        <f t="shared" si="37"/>
        <v>ODP</v>
      </c>
      <c r="T149" s="1336" t="str">
        <f t="shared" si="37"/>
        <v>OST</v>
      </c>
      <c r="U149" s="1336" t="str">
        <f t="shared" si="37"/>
        <v>RCH</v>
      </c>
      <c r="V149" s="1336" t="str">
        <f t="shared" si="37"/>
        <v>TOO</v>
      </c>
      <c r="W149" s="1336" t="str">
        <f t="shared" si="37"/>
        <v>WIM</v>
      </c>
      <c r="X149" s="1336" t="str">
        <f t="shared" si="37"/>
        <v>WSC</v>
      </c>
      <c r="Y149" s="1336"/>
    </row>
    <row r="150" spans="1:38" ht="12.75" customHeight="1" x14ac:dyDescent="0.25">
      <c r="C150" s="9">
        <f>C147-D147</f>
        <v>7019</v>
      </c>
      <c r="E150" s="1958">
        <f>E148+E460+E500+E218+E579+E630+E657+E683+E714+E745+E787+E554+E539+E877+E854+E957+E974+E1000+E1048+E1073+E1087+E1116+E1165+E1200+E1245+E1271+E1289+E1304+E1354+E1410+E1023+E815+E1138+E832+E309+E1378+E374+E420+E1225+E1315</f>
        <v>572</v>
      </c>
      <c r="G150" s="185" t="s">
        <v>5883</v>
      </c>
      <c r="H150" s="185"/>
      <c r="I150" s="410" t="s">
        <v>11321</v>
      </c>
      <c r="J150" s="185"/>
      <c r="K150" s="185" t="s">
        <v>8245</v>
      </c>
      <c r="L150" s="185"/>
      <c r="M150" s="185" t="s">
        <v>1827</v>
      </c>
      <c r="N150" s="185"/>
      <c r="O150" s="185" t="s">
        <v>12510</v>
      </c>
      <c r="P150" s="364"/>
      <c r="Q150" s="364" t="s">
        <v>2147</v>
      </c>
      <c r="R150" s="185"/>
      <c r="S150" s="364" t="s">
        <v>8244</v>
      </c>
      <c r="T150" s="185"/>
      <c r="U150" s="364" t="s">
        <v>1122</v>
      </c>
      <c r="V150" s="364"/>
      <c r="W150" s="364" t="s">
        <v>5484</v>
      </c>
      <c r="X150" s="410"/>
      <c r="Y150" s="185"/>
      <c r="Z150" s="185"/>
      <c r="AA150" s="185" t="s">
        <v>8618</v>
      </c>
    </row>
    <row r="151" spans="1:38" ht="12.75" customHeight="1" x14ac:dyDescent="0.25">
      <c r="C151" s="9"/>
      <c r="E151" s="2009">
        <f>Parks!D618</f>
        <v>572</v>
      </c>
      <c r="G151" s="185"/>
      <c r="H151" s="185" t="s">
        <v>4091</v>
      </c>
      <c r="I151" s="185"/>
      <c r="J151" s="185" t="s">
        <v>9406</v>
      </c>
      <c r="K151" s="185"/>
      <c r="L151" s="364" t="s">
        <v>2048</v>
      </c>
      <c r="M151" s="364"/>
      <c r="N151" s="364" t="s">
        <v>5544</v>
      </c>
      <c r="O151" s="364"/>
      <c r="P151" s="185" t="s">
        <v>1719</v>
      </c>
      <c r="Q151" s="364"/>
      <c r="R151" s="364" t="s">
        <v>1401</v>
      </c>
      <c r="S151" s="185"/>
      <c r="T151" s="185" t="s">
        <v>5453</v>
      </c>
      <c r="U151" s="185"/>
      <c r="V151" s="364" t="s">
        <v>1849</v>
      </c>
      <c r="W151" s="364"/>
      <c r="X151" s="410" t="s">
        <v>5048</v>
      </c>
      <c r="Y151" s="430"/>
      <c r="Z151" s="364"/>
      <c r="AA151" s="185"/>
    </row>
    <row r="152" spans="1:38" ht="12.75" customHeight="1" x14ac:dyDescent="0.25">
      <c r="C152" s="655"/>
      <c r="G152" s="476"/>
      <c r="H152" s="476"/>
      <c r="I152" s="1337"/>
      <c r="J152" s="1337"/>
      <c r="K152" s="476"/>
      <c r="L152" s="476"/>
      <c r="M152" s="1337"/>
      <c r="N152" s="476"/>
      <c r="O152" s="476"/>
      <c r="P152" s="1337"/>
      <c r="Q152" s="476"/>
      <c r="R152" s="477"/>
      <c r="S152" s="477"/>
      <c r="T152" s="477"/>
      <c r="U152" s="477"/>
      <c r="V152" s="1096"/>
      <c r="W152" s="1096"/>
      <c r="X152" s="1096"/>
      <c r="Y152" s="477"/>
      <c r="Z152" s="185"/>
    </row>
    <row r="153" spans="1:38" ht="12.75" customHeight="1" x14ac:dyDescent="0.25">
      <c r="C153" s="655"/>
      <c r="G153" s="476"/>
      <c r="H153" s="476"/>
      <c r="I153" s="476"/>
      <c r="J153" s="476"/>
      <c r="K153" s="476"/>
      <c r="L153" s="476"/>
      <c r="M153" s="476"/>
      <c r="N153" s="476"/>
      <c r="O153" s="476"/>
      <c r="P153" s="185"/>
      <c r="Q153" s="364"/>
      <c r="R153" s="364"/>
      <c r="S153" s="185"/>
      <c r="T153" s="185"/>
      <c r="U153" s="185"/>
      <c r="V153" s="364"/>
      <c r="W153" s="364"/>
      <c r="X153" s="410"/>
      <c r="Y153" s="477"/>
      <c r="Z153" s="477"/>
      <c r="AA153" s="185"/>
    </row>
    <row r="154" spans="1:38" ht="12.75" customHeight="1" x14ac:dyDescent="0.2">
      <c r="A154" s="1390"/>
      <c r="C154" s="9"/>
      <c r="G154" s="2" t="s">
        <v>11909</v>
      </c>
    </row>
    <row r="155" spans="1:38" ht="12.75" customHeight="1" x14ac:dyDescent="0.2">
      <c r="A155" s="1390"/>
      <c r="C155" s="9"/>
      <c r="G155" s="1329" t="s">
        <v>5930</v>
      </c>
      <c r="H155" s="1056" t="s">
        <v>11015</v>
      </c>
      <c r="I155" s="1329" t="s">
        <v>579</v>
      </c>
      <c r="J155" s="1056" t="s">
        <v>1352</v>
      </c>
      <c r="K155" s="1330" t="s">
        <v>9740</v>
      </c>
      <c r="L155" s="1056" t="s">
        <v>5122</v>
      </c>
      <c r="M155" s="1330" t="s">
        <v>9301</v>
      </c>
      <c r="N155" s="1056" t="s">
        <v>1711</v>
      </c>
      <c r="O155" s="1330" t="s">
        <v>6408</v>
      </c>
      <c r="P155" s="1056" t="s">
        <v>6280</v>
      </c>
      <c r="Q155" s="1330" t="s">
        <v>5060</v>
      </c>
      <c r="R155" s="540" t="s">
        <v>5232</v>
      </c>
      <c r="T155" s="80"/>
    </row>
    <row r="156" spans="1:38" ht="12.75" customHeight="1" x14ac:dyDescent="0.2">
      <c r="A156" s="1370" t="s">
        <v>4580</v>
      </c>
      <c r="B156" s="1370" t="s">
        <v>4581</v>
      </c>
      <c r="C156" s="1398">
        <f t="shared" ref="C156:C183" si="38">SUM(G156:R156)</f>
        <v>3</v>
      </c>
      <c r="F156" s="992">
        <f t="shared" ref="F156:F183" si="39">COUNT(G156:R156)</f>
        <v>2</v>
      </c>
      <c r="G156" s="1391"/>
      <c r="H156" s="1391">
        <v>2</v>
      </c>
      <c r="I156" s="1391"/>
      <c r="J156" s="1391"/>
      <c r="K156" s="1391"/>
      <c r="L156" s="1391"/>
      <c r="M156" s="1392">
        <v>1</v>
      </c>
      <c r="N156" s="1391"/>
      <c r="O156" s="1391"/>
      <c r="P156" s="1391"/>
      <c r="Q156" s="1391"/>
      <c r="R156" s="1388"/>
      <c r="T156" s="80"/>
    </row>
    <row r="157" spans="1:38" ht="12.75" customHeight="1" x14ac:dyDescent="0.2">
      <c r="A157" s="1370" t="s">
        <v>868</v>
      </c>
      <c r="B157" s="1370" t="s">
        <v>869</v>
      </c>
      <c r="C157" s="1398">
        <f t="shared" si="38"/>
        <v>2</v>
      </c>
      <c r="F157" s="992">
        <f t="shared" si="39"/>
        <v>2</v>
      </c>
      <c r="G157" s="1393"/>
      <c r="H157" s="1393"/>
      <c r="I157" s="1393"/>
      <c r="J157" s="1393"/>
      <c r="K157" s="1393"/>
      <c r="L157" s="1393"/>
      <c r="M157" s="1393">
        <v>1</v>
      </c>
      <c r="N157" s="1393">
        <v>1</v>
      </c>
      <c r="O157" s="1393"/>
      <c r="P157" s="1393"/>
      <c r="Q157" s="1393"/>
      <c r="R157" s="1388"/>
      <c r="T157" s="80"/>
    </row>
    <row r="158" spans="1:38" ht="12.75" customHeight="1" x14ac:dyDescent="0.2">
      <c r="A158" s="1370" t="s">
        <v>15616</v>
      </c>
      <c r="B158" s="1370" t="s">
        <v>10861</v>
      </c>
      <c r="C158" s="1398">
        <f t="shared" si="38"/>
        <v>9</v>
      </c>
      <c r="F158" s="992">
        <f t="shared" si="39"/>
        <v>1</v>
      </c>
      <c r="G158" s="1394"/>
      <c r="H158" s="1394">
        <v>9</v>
      </c>
      <c r="I158" s="1394"/>
      <c r="J158" s="1394"/>
      <c r="K158" s="1394"/>
      <c r="L158" s="1394"/>
      <c r="M158" s="1394"/>
      <c r="N158" s="1394"/>
      <c r="O158" s="1394"/>
      <c r="P158" s="1394"/>
      <c r="Q158" s="1394"/>
      <c r="R158" s="1388"/>
      <c r="T158" s="80"/>
    </row>
    <row r="159" spans="1:38" ht="12.75" customHeight="1" x14ac:dyDescent="0.2">
      <c r="A159" s="1370" t="s">
        <v>3251</v>
      </c>
      <c r="B159" s="1370" t="s">
        <v>3252</v>
      </c>
      <c r="C159" s="1398">
        <f t="shared" si="38"/>
        <v>2</v>
      </c>
      <c r="F159" s="992">
        <f t="shared" si="39"/>
        <v>2</v>
      </c>
      <c r="G159" s="1394"/>
      <c r="H159" s="1394"/>
      <c r="I159" s="1394"/>
      <c r="J159" s="1394"/>
      <c r="K159" s="1394"/>
      <c r="L159" s="1394"/>
      <c r="M159" s="1394"/>
      <c r="N159" s="1394"/>
      <c r="O159" s="1394">
        <v>1</v>
      </c>
      <c r="P159" s="1394"/>
      <c r="Q159" s="1394"/>
      <c r="R159" s="1388">
        <v>1</v>
      </c>
      <c r="T159" s="80"/>
    </row>
    <row r="160" spans="1:38" ht="12.75" customHeight="1" x14ac:dyDescent="0.2">
      <c r="A160" s="1370" t="s">
        <v>7908</v>
      </c>
      <c r="B160" s="1370" t="s">
        <v>7907</v>
      </c>
      <c r="C160" s="1398">
        <f t="shared" si="38"/>
        <v>5</v>
      </c>
      <c r="F160" s="992">
        <f t="shared" si="39"/>
        <v>4</v>
      </c>
      <c r="G160" s="1394"/>
      <c r="H160" s="1394">
        <v>1</v>
      </c>
      <c r="I160" s="1394">
        <v>1</v>
      </c>
      <c r="J160" s="1394"/>
      <c r="K160" s="1394"/>
      <c r="L160" s="1394"/>
      <c r="M160" s="1394"/>
      <c r="N160" s="1394">
        <v>1</v>
      </c>
      <c r="O160" s="1394">
        <v>2</v>
      </c>
      <c r="P160" s="1394"/>
      <c r="Q160" s="1394"/>
      <c r="R160" s="1388"/>
      <c r="T160" s="80"/>
    </row>
    <row r="161" spans="1:21" ht="12.75" customHeight="1" x14ac:dyDescent="0.2">
      <c r="A161" s="1370" t="s">
        <v>260</v>
      </c>
      <c r="B161" s="1370" t="s">
        <v>7907</v>
      </c>
      <c r="C161" s="1398">
        <f t="shared" si="38"/>
        <v>5</v>
      </c>
      <c r="F161" s="992">
        <f t="shared" si="39"/>
        <v>4</v>
      </c>
      <c r="G161" s="1393"/>
      <c r="H161" s="1393">
        <v>1</v>
      </c>
      <c r="I161" s="1393">
        <v>1</v>
      </c>
      <c r="J161" s="1393"/>
      <c r="K161" s="1393"/>
      <c r="L161" s="1393"/>
      <c r="M161" s="1393"/>
      <c r="N161" s="1393">
        <v>1</v>
      </c>
      <c r="O161" s="1393">
        <v>2</v>
      </c>
      <c r="P161" s="1393"/>
      <c r="Q161" s="1393"/>
      <c r="R161" s="1388"/>
      <c r="T161" s="80"/>
    </row>
    <row r="162" spans="1:21" ht="12.75" customHeight="1" x14ac:dyDescent="0.2">
      <c r="A162" s="1370" t="s">
        <v>4264</v>
      </c>
      <c r="B162" s="1370" t="s">
        <v>5239</v>
      </c>
      <c r="C162" s="1398">
        <f t="shared" si="38"/>
        <v>14</v>
      </c>
      <c r="F162" s="992">
        <f t="shared" si="39"/>
        <v>4</v>
      </c>
      <c r="G162" s="1394"/>
      <c r="H162" s="1394">
        <v>3</v>
      </c>
      <c r="I162" s="1394">
        <v>5</v>
      </c>
      <c r="J162" s="1394"/>
      <c r="K162" s="1394"/>
      <c r="L162" s="1394"/>
      <c r="M162" s="1394">
        <v>5</v>
      </c>
      <c r="N162" s="1394">
        <v>1</v>
      </c>
      <c r="O162" s="1394"/>
      <c r="P162" s="1394"/>
      <c r="Q162" s="1394"/>
      <c r="R162" s="1388"/>
      <c r="T162" s="80"/>
    </row>
    <row r="163" spans="1:21" ht="12.75" customHeight="1" x14ac:dyDescent="0.2">
      <c r="A163" s="1370" t="s">
        <v>435</v>
      </c>
      <c r="B163" s="1370" t="s">
        <v>436</v>
      </c>
      <c r="C163" s="1398">
        <f t="shared" si="38"/>
        <v>24</v>
      </c>
      <c r="F163" s="992">
        <f t="shared" si="39"/>
        <v>1</v>
      </c>
      <c r="G163" s="1394"/>
      <c r="H163" s="1394"/>
      <c r="I163" s="1394"/>
      <c r="J163" s="1394"/>
      <c r="K163" s="1394"/>
      <c r="L163" s="1394"/>
      <c r="M163" s="1394"/>
      <c r="N163" s="1394"/>
      <c r="O163" s="1394">
        <v>24</v>
      </c>
      <c r="P163" s="1394"/>
      <c r="Q163" s="1394"/>
      <c r="R163" s="1388"/>
      <c r="T163" s="80"/>
    </row>
    <row r="164" spans="1:21" ht="12.75" customHeight="1" x14ac:dyDescent="0.2">
      <c r="A164" s="1370" t="s">
        <v>4963</v>
      </c>
      <c r="B164" s="1370" t="s">
        <v>8339</v>
      </c>
      <c r="C164" s="1398">
        <f t="shared" si="38"/>
        <v>1</v>
      </c>
      <c r="F164" s="992">
        <f t="shared" si="39"/>
        <v>1</v>
      </c>
      <c r="G164" s="1395"/>
      <c r="H164" s="1395"/>
      <c r="I164" s="1395">
        <v>1</v>
      </c>
      <c r="J164" s="1395"/>
      <c r="K164" s="1395"/>
      <c r="L164" s="1395"/>
      <c r="M164" s="1395"/>
      <c r="N164" s="1395"/>
      <c r="O164" s="1395"/>
      <c r="P164" s="1395"/>
      <c r="Q164" s="1395"/>
      <c r="R164" s="1388"/>
      <c r="S164" s="80"/>
      <c r="T164" s="334"/>
      <c r="U164" s="1"/>
    </row>
    <row r="165" spans="1:21" ht="12.75" customHeight="1" x14ac:dyDescent="0.2">
      <c r="A165" s="1370" t="s">
        <v>863</v>
      </c>
      <c r="B165" s="1370" t="s">
        <v>2250</v>
      </c>
      <c r="C165" s="1398">
        <f t="shared" si="38"/>
        <v>1</v>
      </c>
      <c r="F165" s="992">
        <f t="shared" si="39"/>
        <v>1</v>
      </c>
      <c r="G165" s="1395"/>
      <c r="H165" s="1395"/>
      <c r="I165" s="1395"/>
      <c r="J165" s="1395"/>
      <c r="K165" s="1395"/>
      <c r="L165" s="1395"/>
      <c r="M165" s="1395"/>
      <c r="N165" s="1395">
        <v>1</v>
      </c>
      <c r="O165" s="1395"/>
      <c r="P165" s="1395"/>
      <c r="Q165" s="1395"/>
      <c r="R165" s="1388"/>
      <c r="S165" s="80"/>
      <c r="T165" s="334"/>
      <c r="U165" s="1"/>
    </row>
    <row r="166" spans="1:21" ht="12.75" customHeight="1" x14ac:dyDescent="0.2">
      <c r="A166" s="1370" t="s">
        <v>7628</v>
      </c>
      <c r="B166" s="1370" t="s">
        <v>6326</v>
      </c>
      <c r="C166" s="1398">
        <f t="shared" si="38"/>
        <v>12</v>
      </c>
      <c r="F166" s="992">
        <f t="shared" si="39"/>
        <v>1</v>
      </c>
      <c r="G166" s="1395"/>
      <c r="H166" s="1395"/>
      <c r="I166" s="1395"/>
      <c r="J166" s="1395"/>
      <c r="K166" s="1395"/>
      <c r="L166" s="1395"/>
      <c r="M166" s="1395">
        <v>12</v>
      </c>
      <c r="N166" s="1395"/>
      <c r="O166" s="1563"/>
      <c r="P166" s="1395"/>
      <c r="Q166" s="1395"/>
      <c r="R166" s="1388"/>
      <c r="S166" s="80"/>
      <c r="T166" s="334"/>
      <c r="U166" s="1"/>
    </row>
    <row r="167" spans="1:21" ht="12.75" customHeight="1" x14ac:dyDescent="0.2">
      <c r="A167" s="1370" t="s">
        <v>4269</v>
      </c>
      <c r="B167" s="1370" t="s">
        <v>4270</v>
      </c>
      <c r="C167" s="1398">
        <f t="shared" si="38"/>
        <v>2</v>
      </c>
      <c r="F167" s="992">
        <f t="shared" si="39"/>
        <v>2</v>
      </c>
      <c r="G167" s="1395"/>
      <c r="H167" s="1395"/>
      <c r="I167" s="1395"/>
      <c r="J167" s="1395"/>
      <c r="K167" s="1395"/>
      <c r="L167" s="1395"/>
      <c r="M167" s="1395">
        <v>1</v>
      </c>
      <c r="N167" s="1562">
        <v>1</v>
      </c>
      <c r="O167" s="1377"/>
      <c r="P167" s="1659"/>
      <c r="Q167" s="1395"/>
      <c r="R167" s="1388"/>
      <c r="S167" s="80"/>
      <c r="T167" s="334"/>
      <c r="U167" s="1"/>
    </row>
    <row r="168" spans="1:21" ht="12.75" customHeight="1" x14ac:dyDescent="0.2">
      <c r="A168" s="1376" t="s">
        <v>726</v>
      </c>
      <c r="B168" s="1376" t="s">
        <v>1295</v>
      </c>
      <c r="C168" s="1398">
        <f t="shared" si="38"/>
        <v>4</v>
      </c>
      <c r="F168" s="992">
        <f t="shared" si="39"/>
        <v>4</v>
      </c>
      <c r="G168" s="1395"/>
      <c r="H168" s="1395">
        <v>1</v>
      </c>
      <c r="I168" s="1395">
        <v>1</v>
      </c>
      <c r="J168" s="1395"/>
      <c r="K168" s="1395"/>
      <c r="L168" s="1395"/>
      <c r="M168" s="1395"/>
      <c r="N168" s="1395">
        <v>1</v>
      </c>
      <c r="O168" s="1395">
        <v>1</v>
      </c>
      <c r="P168" s="1395"/>
      <c r="Q168" s="1395"/>
      <c r="R168" s="1388"/>
      <c r="S168" s="80"/>
      <c r="T168" s="334"/>
      <c r="U168" s="1"/>
    </row>
    <row r="169" spans="1:21" ht="12.75" customHeight="1" x14ac:dyDescent="0.2">
      <c r="A169" s="1376" t="s">
        <v>3508</v>
      </c>
      <c r="B169" s="1376" t="s">
        <v>1295</v>
      </c>
      <c r="C169" s="1398">
        <f t="shared" si="38"/>
        <v>4</v>
      </c>
      <c r="F169" s="992">
        <f t="shared" si="39"/>
        <v>4</v>
      </c>
      <c r="G169" s="1395"/>
      <c r="H169" s="1395">
        <v>1</v>
      </c>
      <c r="I169" s="1395">
        <v>1</v>
      </c>
      <c r="J169" s="1395"/>
      <c r="K169" s="1395"/>
      <c r="L169" s="1395"/>
      <c r="M169" s="1395">
        <v>1</v>
      </c>
      <c r="N169" s="1395">
        <v>1</v>
      </c>
      <c r="O169" s="1395"/>
      <c r="P169" s="1395"/>
      <c r="Q169" s="1395"/>
      <c r="R169" s="1388"/>
      <c r="S169" s="80"/>
      <c r="T169" s="334"/>
      <c r="U169" s="1"/>
    </row>
    <row r="170" spans="1:21" ht="12.75" customHeight="1" x14ac:dyDescent="0.2">
      <c r="A170" s="1370" t="s">
        <v>866</v>
      </c>
      <c r="B170" s="1370" t="s">
        <v>867</v>
      </c>
      <c r="C170" s="1398">
        <f t="shared" si="38"/>
        <v>81</v>
      </c>
      <c r="F170" s="992">
        <f t="shared" si="39"/>
        <v>2</v>
      </c>
      <c r="G170" s="1395"/>
      <c r="H170" s="1395">
        <v>2</v>
      </c>
      <c r="I170" s="1395"/>
      <c r="J170" s="1395"/>
      <c r="K170" s="1395"/>
      <c r="L170" s="1395"/>
      <c r="M170" s="1395">
        <v>79</v>
      </c>
      <c r="N170" s="1395"/>
      <c r="O170" s="1395"/>
      <c r="P170" s="1395"/>
      <c r="Q170" s="1395"/>
      <c r="R170" s="1388"/>
      <c r="S170" s="80"/>
      <c r="T170" s="334"/>
      <c r="U170" s="1"/>
    </row>
    <row r="171" spans="1:21" ht="12.75" customHeight="1" x14ac:dyDescent="0.2">
      <c r="A171" s="1372" t="s">
        <v>3508</v>
      </c>
      <c r="B171" s="1372" t="s">
        <v>3632</v>
      </c>
      <c r="C171" s="1398">
        <f t="shared" si="38"/>
        <v>17</v>
      </c>
      <c r="F171" s="992">
        <f t="shared" si="39"/>
        <v>4</v>
      </c>
      <c r="G171" s="1396"/>
      <c r="H171" s="1396">
        <v>2</v>
      </c>
      <c r="I171" s="1396">
        <v>1</v>
      </c>
      <c r="J171" s="1396"/>
      <c r="K171" s="1396"/>
      <c r="L171" s="1396"/>
      <c r="M171" s="1396">
        <v>1</v>
      </c>
      <c r="N171" s="1396">
        <v>13</v>
      </c>
      <c r="O171" s="1396"/>
      <c r="P171" s="1396"/>
      <c r="Q171" s="1396"/>
      <c r="R171" s="1388"/>
    </row>
    <row r="172" spans="1:21" ht="12.75" customHeight="1" x14ac:dyDescent="0.2">
      <c r="A172" s="1370" t="s">
        <v>2479</v>
      </c>
      <c r="B172" s="1370" t="s">
        <v>11025</v>
      </c>
      <c r="C172" s="1398">
        <f t="shared" si="38"/>
        <v>11</v>
      </c>
      <c r="F172" s="992">
        <f t="shared" si="39"/>
        <v>3</v>
      </c>
      <c r="G172" s="1396"/>
      <c r="H172" s="1396">
        <v>2</v>
      </c>
      <c r="I172" s="1396"/>
      <c r="J172" s="1396"/>
      <c r="K172" s="1396"/>
      <c r="L172" s="1396">
        <v>1</v>
      </c>
      <c r="M172" s="1396">
        <v>8</v>
      </c>
      <c r="N172" s="1396"/>
      <c r="O172" s="1396"/>
      <c r="P172" s="1396"/>
      <c r="Q172" s="1396"/>
      <c r="R172" s="1388"/>
    </row>
    <row r="173" spans="1:21" ht="12.75" customHeight="1" x14ac:dyDescent="0.2">
      <c r="A173" s="1370" t="s">
        <v>3535</v>
      </c>
      <c r="B173" s="1370" t="s">
        <v>11025</v>
      </c>
      <c r="C173" s="1398">
        <f t="shared" si="38"/>
        <v>15</v>
      </c>
      <c r="F173" s="992">
        <f t="shared" si="39"/>
        <v>3</v>
      </c>
      <c r="G173" s="1396"/>
      <c r="H173" s="1396">
        <v>3</v>
      </c>
      <c r="I173" s="1396"/>
      <c r="J173" s="1396"/>
      <c r="K173" s="1396"/>
      <c r="L173" s="1396">
        <v>1</v>
      </c>
      <c r="M173" s="1396">
        <v>11</v>
      </c>
      <c r="N173" s="1396"/>
      <c r="O173" s="1396"/>
      <c r="P173" s="1396"/>
      <c r="Q173" s="1396"/>
      <c r="R173" s="1388"/>
    </row>
    <row r="174" spans="1:21" ht="12.75" customHeight="1" x14ac:dyDescent="0.2">
      <c r="A174" s="1370" t="s">
        <v>4576</v>
      </c>
      <c r="B174" s="1370" t="s">
        <v>4577</v>
      </c>
      <c r="C174" s="1398">
        <f t="shared" si="38"/>
        <v>3</v>
      </c>
      <c r="F174" s="992">
        <f t="shared" si="39"/>
        <v>3</v>
      </c>
      <c r="G174" s="1396"/>
      <c r="H174" s="1396">
        <v>1</v>
      </c>
      <c r="I174" s="1396"/>
      <c r="J174" s="1396"/>
      <c r="K174" s="1396"/>
      <c r="L174" s="1396"/>
      <c r="M174" s="1396">
        <v>1</v>
      </c>
      <c r="N174" s="1396"/>
      <c r="O174" s="1396"/>
      <c r="P174" s="1396"/>
      <c r="Q174" s="1396"/>
      <c r="R174" s="1388">
        <v>1</v>
      </c>
    </row>
    <row r="175" spans="1:21" ht="12.75" customHeight="1" x14ac:dyDescent="0.2">
      <c r="A175" s="1370" t="s">
        <v>3230</v>
      </c>
      <c r="B175" s="1370" t="s">
        <v>11625</v>
      </c>
      <c r="C175" s="1398">
        <f t="shared" si="38"/>
        <v>6</v>
      </c>
      <c r="F175" s="992">
        <f t="shared" si="39"/>
        <v>4</v>
      </c>
      <c r="G175" s="1396"/>
      <c r="H175" s="1396">
        <v>1</v>
      </c>
      <c r="I175" s="1396"/>
      <c r="J175" s="1396"/>
      <c r="K175" s="1396"/>
      <c r="L175" s="1396"/>
      <c r="M175" s="1396">
        <v>3</v>
      </c>
      <c r="N175" s="1396">
        <v>1</v>
      </c>
      <c r="O175" s="1396">
        <v>1</v>
      </c>
      <c r="P175" s="1396"/>
      <c r="Q175" s="1396"/>
      <c r="R175" s="1388"/>
    </row>
    <row r="176" spans="1:21" ht="12.75" customHeight="1" x14ac:dyDescent="0.2">
      <c r="A176" s="1372" t="s">
        <v>922</v>
      </c>
      <c r="B176" s="1372" t="s">
        <v>1530</v>
      </c>
      <c r="C176" s="1398">
        <f t="shared" si="38"/>
        <v>7</v>
      </c>
      <c r="F176" s="992">
        <f t="shared" si="39"/>
        <v>6</v>
      </c>
      <c r="G176" s="1396">
        <v>1</v>
      </c>
      <c r="H176" s="1396">
        <v>1</v>
      </c>
      <c r="I176" s="1396"/>
      <c r="J176" s="1396"/>
      <c r="K176" s="1396"/>
      <c r="L176" s="1396"/>
      <c r="M176" s="1396">
        <v>1</v>
      </c>
      <c r="N176" s="1396"/>
      <c r="O176" s="1396">
        <v>2</v>
      </c>
      <c r="P176" s="1396"/>
      <c r="Q176" s="1396">
        <v>1</v>
      </c>
      <c r="R176" s="1388">
        <v>1</v>
      </c>
      <c r="T176" s="80"/>
    </row>
    <row r="177" spans="1:25" ht="12.75" customHeight="1" x14ac:dyDescent="0.2">
      <c r="A177" s="1372" t="s">
        <v>1589</v>
      </c>
      <c r="B177" s="1372" t="s">
        <v>1590</v>
      </c>
      <c r="C177" s="1398">
        <f t="shared" si="38"/>
        <v>14</v>
      </c>
      <c r="F177" s="992">
        <f t="shared" si="39"/>
        <v>3</v>
      </c>
      <c r="G177" s="1396"/>
      <c r="H177" s="1396"/>
      <c r="I177" s="1396"/>
      <c r="J177" s="1396"/>
      <c r="K177" s="1396"/>
      <c r="L177" s="1396"/>
      <c r="M177" s="1396"/>
      <c r="N177" s="1396"/>
      <c r="O177" s="1396">
        <v>11</v>
      </c>
      <c r="P177" s="1396"/>
      <c r="Q177" s="1396">
        <v>2</v>
      </c>
      <c r="R177" s="1388">
        <v>1</v>
      </c>
    </row>
    <row r="178" spans="1:25" ht="12.75" customHeight="1" x14ac:dyDescent="0.2">
      <c r="A178" s="1370" t="s">
        <v>1796</v>
      </c>
      <c r="B178" s="1370" t="s">
        <v>1797</v>
      </c>
      <c r="C178" s="1398">
        <f t="shared" si="38"/>
        <v>6</v>
      </c>
      <c r="F178" s="992">
        <f t="shared" si="39"/>
        <v>4</v>
      </c>
      <c r="G178" s="1396"/>
      <c r="H178" s="1396">
        <v>1</v>
      </c>
      <c r="I178" s="1396"/>
      <c r="J178" s="1396"/>
      <c r="K178" s="1396"/>
      <c r="L178" s="1396"/>
      <c r="M178" s="1396">
        <v>3</v>
      </c>
      <c r="N178" s="1396"/>
      <c r="O178" s="1396">
        <v>1</v>
      </c>
      <c r="P178" s="1396"/>
      <c r="Q178" s="1396"/>
      <c r="R178" s="1388">
        <v>1</v>
      </c>
    </row>
    <row r="179" spans="1:25" ht="12.75" customHeight="1" x14ac:dyDescent="0.2">
      <c r="A179" s="1375" t="s">
        <v>5980</v>
      </c>
      <c r="B179" s="1375" t="s">
        <v>4818</v>
      </c>
      <c r="C179" s="1398">
        <f t="shared" si="38"/>
        <v>4</v>
      </c>
      <c r="F179" s="992">
        <f t="shared" si="39"/>
        <v>4</v>
      </c>
      <c r="G179" s="1396">
        <v>1</v>
      </c>
      <c r="H179" s="1396"/>
      <c r="I179" s="1396"/>
      <c r="J179" s="1396"/>
      <c r="K179" s="1396"/>
      <c r="L179" s="1396"/>
      <c r="M179" s="1396"/>
      <c r="N179" s="1396"/>
      <c r="O179" s="1396"/>
      <c r="P179" s="1396">
        <v>1</v>
      </c>
      <c r="Q179" s="1396">
        <v>1</v>
      </c>
      <c r="R179" s="1388">
        <v>1</v>
      </c>
    </row>
    <row r="180" spans="1:25" ht="12.75" customHeight="1" x14ac:dyDescent="0.2">
      <c r="A180" s="1372" t="s">
        <v>665</v>
      </c>
      <c r="B180" s="1371" t="s">
        <v>666</v>
      </c>
      <c r="C180" s="1398">
        <f t="shared" si="38"/>
        <v>21</v>
      </c>
      <c r="F180" s="992">
        <f t="shared" si="39"/>
        <v>11</v>
      </c>
      <c r="G180" s="1396">
        <v>2</v>
      </c>
      <c r="H180" s="1396">
        <v>1</v>
      </c>
      <c r="I180" s="1396">
        <v>1</v>
      </c>
      <c r="J180" s="1396">
        <v>1</v>
      </c>
      <c r="K180" s="1396"/>
      <c r="L180" s="1396">
        <v>7</v>
      </c>
      <c r="M180" s="1396">
        <v>2</v>
      </c>
      <c r="N180" s="1396">
        <v>1</v>
      </c>
      <c r="O180" s="1396">
        <v>2</v>
      </c>
      <c r="P180" s="1396">
        <v>1</v>
      </c>
      <c r="Q180" s="1396">
        <v>2</v>
      </c>
      <c r="R180" s="1388">
        <v>1</v>
      </c>
    </row>
    <row r="181" spans="1:25" ht="12.75" customHeight="1" x14ac:dyDescent="0.2">
      <c r="A181" s="1370" t="s">
        <v>4677</v>
      </c>
      <c r="B181" s="1660" t="s">
        <v>4678</v>
      </c>
      <c r="C181" s="1398">
        <f t="shared" si="38"/>
        <v>2</v>
      </c>
      <c r="F181" s="992">
        <f t="shared" si="39"/>
        <v>1</v>
      </c>
      <c r="G181" s="1396"/>
      <c r="H181" s="1396">
        <v>2</v>
      </c>
      <c r="I181" s="1396"/>
      <c r="J181" s="1396"/>
      <c r="K181" s="1396"/>
      <c r="L181" s="1396"/>
      <c r="M181" s="1396"/>
      <c r="N181" s="1396"/>
      <c r="O181" s="1396"/>
      <c r="P181" s="1396"/>
      <c r="Q181" s="1396"/>
      <c r="R181" s="1388"/>
    </row>
    <row r="182" spans="1:25" ht="12.75" customHeight="1" x14ac:dyDescent="0.2">
      <c r="A182" s="1370" t="s">
        <v>16702</v>
      </c>
      <c r="B182" s="1660" t="s">
        <v>16703</v>
      </c>
      <c r="C182" s="1398">
        <f t="shared" si="38"/>
        <v>2</v>
      </c>
      <c r="F182" s="992">
        <f t="shared" si="39"/>
        <v>2</v>
      </c>
      <c r="G182" s="1396"/>
      <c r="H182" s="1396">
        <v>1</v>
      </c>
      <c r="I182" s="1396"/>
      <c r="J182" s="1396"/>
      <c r="K182" s="1396"/>
      <c r="L182" s="1396"/>
      <c r="M182" s="1396">
        <v>1</v>
      </c>
      <c r="N182" s="1396"/>
      <c r="O182" s="1396"/>
      <c r="P182" s="1396"/>
      <c r="Q182" s="1396"/>
      <c r="R182" s="1388"/>
    </row>
    <row r="183" spans="1:25" ht="12.75" customHeight="1" x14ac:dyDescent="0.2">
      <c r="A183" s="1370" t="s">
        <v>3014</v>
      </c>
      <c r="B183" s="1371" t="s">
        <v>3015</v>
      </c>
      <c r="C183" s="1398">
        <f t="shared" si="38"/>
        <v>35</v>
      </c>
      <c r="F183" s="992">
        <f t="shared" si="39"/>
        <v>3</v>
      </c>
      <c r="G183" s="1396"/>
      <c r="H183" s="1396"/>
      <c r="I183" s="1396">
        <v>33</v>
      </c>
      <c r="J183" s="1396"/>
      <c r="K183" s="1396"/>
      <c r="L183" s="1396"/>
      <c r="M183" s="1396">
        <v>1</v>
      </c>
      <c r="N183" s="1396">
        <v>1</v>
      </c>
      <c r="O183" s="1396"/>
      <c r="P183" s="1396"/>
      <c r="Q183" s="1396"/>
      <c r="R183" s="1388"/>
      <c r="T183" s="414"/>
      <c r="U183" s="414"/>
      <c r="V183" s="414"/>
    </row>
    <row r="184" spans="1:25" ht="12.75" customHeight="1" x14ac:dyDescent="0.2">
      <c r="A184" s="1370"/>
      <c r="C184" s="1398"/>
      <c r="F184" s="244"/>
      <c r="G184" s="553" t="str">
        <f>G155</f>
        <v>ADH</v>
      </c>
      <c r="H184" s="560" t="s">
        <v>11015</v>
      </c>
      <c r="I184" s="553" t="str">
        <f t="shared" ref="I184:R184" si="40">I155</f>
        <v>BSW</v>
      </c>
      <c r="J184" s="560" t="str">
        <f t="shared" si="40"/>
        <v>DAF</v>
      </c>
      <c r="K184" s="553" t="str">
        <f t="shared" si="40"/>
        <v>DAH</v>
      </c>
      <c r="L184" s="560" t="str">
        <f t="shared" si="40"/>
        <v>GUP</v>
      </c>
      <c r="M184" s="553" t="str">
        <f t="shared" si="40"/>
        <v>HAZ</v>
      </c>
      <c r="N184" s="560" t="str">
        <f t="shared" si="40"/>
        <v>NON</v>
      </c>
      <c r="O184" s="553" t="str">
        <f t="shared" si="40"/>
        <v>RIK</v>
      </c>
      <c r="P184" s="560" t="str">
        <f t="shared" si="40"/>
        <v>ROD</v>
      </c>
      <c r="Q184" s="553" t="str">
        <f t="shared" si="40"/>
        <v>SOX</v>
      </c>
      <c r="R184" s="560" t="str">
        <f t="shared" si="40"/>
        <v>WAT</v>
      </c>
      <c r="T184" s="414"/>
      <c r="U184" s="414"/>
      <c r="V184" s="414"/>
    </row>
    <row r="185" spans="1:25" ht="12.75" customHeight="1" x14ac:dyDescent="0.2">
      <c r="A185" s="1370" t="s">
        <v>2342</v>
      </c>
      <c r="B185" s="1371" t="s">
        <v>2343</v>
      </c>
      <c r="C185" s="1398">
        <f t="shared" ref="C185:C214" si="41">SUM(G185:R185)</f>
        <v>5</v>
      </c>
      <c r="F185" s="992">
        <f t="shared" ref="F185:F214" si="42">COUNT(G185:R185)</f>
        <v>5</v>
      </c>
      <c r="G185" s="1396"/>
      <c r="H185" s="1396">
        <v>1</v>
      </c>
      <c r="I185" s="1396"/>
      <c r="J185" s="1396"/>
      <c r="K185" s="1396"/>
      <c r="L185" s="1396"/>
      <c r="M185" s="1396">
        <v>1</v>
      </c>
      <c r="N185" s="1396">
        <v>1</v>
      </c>
      <c r="O185" s="1396">
        <v>1</v>
      </c>
      <c r="P185" s="1396"/>
      <c r="Q185" s="1396"/>
      <c r="R185" s="1388">
        <v>1</v>
      </c>
      <c r="T185" s="414"/>
      <c r="U185" s="414"/>
      <c r="V185" s="414"/>
    </row>
    <row r="186" spans="1:25" ht="12.75" customHeight="1" x14ac:dyDescent="0.2">
      <c r="A186" s="1370" t="s">
        <v>3535</v>
      </c>
      <c r="B186" s="1371" t="s">
        <v>3536</v>
      </c>
      <c r="C186" s="1398">
        <f t="shared" si="41"/>
        <v>1</v>
      </c>
      <c r="F186" s="992">
        <f t="shared" si="42"/>
        <v>1</v>
      </c>
      <c r="G186" s="1396"/>
      <c r="H186" s="1396">
        <v>1</v>
      </c>
      <c r="I186" s="1396"/>
      <c r="J186" s="1396"/>
      <c r="K186" s="1396"/>
      <c r="L186" s="1396"/>
      <c r="M186" s="1396"/>
      <c r="N186" s="1396"/>
      <c r="O186" s="1396"/>
      <c r="P186" s="1396"/>
      <c r="Q186" s="1396"/>
      <c r="R186" s="1388"/>
      <c r="T186" s="414"/>
      <c r="U186" s="414"/>
      <c r="V186" s="414"/>
    </row>
    <row r="187" spans="1:25" ht="12.75" customHeight="1" x14ac:dyDescent="0.2">
      <c r="A187" s="1370" t="s">
        <v>866</v>
      </c>
      <c r="B187" s="1371" t="s">
        <v>4635</v>
      </c>
      <c r="C187" s="1398">
        <f t="shared" si="41"/>
        <v>4</v>
      </c>
      <c r="F187" s="992">
        <f t="shared" si="42"/>
        <v>3</v>
      </c>
      <c r="G187" s="1396"/>
      <c r="H187" s="1396">
        <v>1</v>
      </c>
      <c r="I187" s="1396"/>
      <c r="J187" s="1396"/>
      <c r="K187" s="1396"/>
      <c r="L187" s="1396"/>
      <c r="M187" s="1396">
        <v>2</v>
      </c>
      <c r="N187" s="1396">
        <v>1</v>
      </c>
      <c r="O187" s="1396"/>
      <c r="P187" s="1396"/>
      <c r="Q187" s="1396"/>
      <c r="R187" s="1388"/>
      <c r="T187" s="80"/>
    </row>
    <row r="188" spans="1:25" ht="12.75" customHeight="1" x14ac:dyDescent="0.2">
      <c r="A188" s="1376" t="s">
        <v>4561</v>
      </c>
      <c r="B188" s="1376" t="s">
        <v>4562</v>
      </c>
      <c r="C188" s="1398">
        <f t="shared" si="41"/>
        <v>9</v>
      </c>
      <c r="F188" s="992">
        <f t="shared" si="42"/>
        <v>3</v>
      </c>
      <c r="G188" s="1396"/>
      <c r="H188" s="1396">
        <v>2</v>
      </c>
      <c r="I188" s="1396"/>
      <c r="J188" s="1396"/>
      <c r="K188" s="1396"/>
      <c r="L188" s="1396"/>
      <c r="M188" s="1396">
        <v>3</v>
      </c>
      <c r="N188" s="1396">
        <v>4</v>
      </c>
      <c r="O188" s="1396"/>
      <c r="P188" s="1396"/>
      <c r="Q188" s="1396"/>
      <c r="R188" s="1388"/>
      <c r="T188" s="80"/>
    </row>
    <row r="189" spans="1:25" ht="12.75" customHeight="1" x14ac:dyDescent="0.2">
      <c r="A189" s="2006" t="s">
        <v>1798</v>
      </c>
      <c r="B189" s="2006" t="s">
        <v>17201</v>
      </c>
      <c r="C189" s="1398">
        <f t="shared" si="41"/>
        <v>3</v>
      </c>
      <c r="F189" s="992">
        <f t="shared" si="42"/>
        <v>3</v>
      </c>
      <c r="G189" s="2007"/>
      <c r="H189" s="2007">
        <v>1</v>
      </c>
      <c r="I189" s="2007"/>
      <c r="J189" s="2007"/>
      <c r="K189" s="2007"/>
      <c r="L189" s="2007"/>
      <c r="M189" s="2007">
        <v>1</v>
      </c>
      <c r="N189" s="2007">
        <v>1</v>
      </c>
      <c r="O189" s="2007"/>
      <c r="P189" s="2007"/>
      <c r="Q189" s="2007"/>
      <c r="R189" s="1968"/>
      <c r="T189" s="80"/>
    </row>
    <row r="190" spans="1:25" ht="12.75" customHeight="1" x14ac:dyDescent="0.2">
      <c r="A190" s="1376" t="s">
        <v>17037</v>
      </c>
      <c r="B190" s="1376" t="s">
        <v>16991</v>
      </c>
      <c r="C190" s="1398">
        <f t="shared" si="41"/>
        <v>8</v>
      </c>
      <c r="F190" s="992">
        <f t="shared" si="42"/>
        <v>2</v>
      </c>
      <c r="G190" s="1396"/>
      <c r="H190" s="1396">
        <v>2</v>
      </c>
      <c r="I190" s="1396"/>
      <c r="J190" s="1396"/>
      <c r="K190" s="1396"/>
      <c r="L190" s="1396"/>
      <c r="M190" s="1396">
        <v>6</v>
      </c>
      <c r="N190" s="1396"/>
      <c r="O190" s="1396"/>
      <c r="P190" s="1396"/>
      <c r="Q190" s="1396"/>
      <c r="R190" s="1388"/>
      <c r="T190" s="80"/>
    </row>
    <row r="191" spans="1:25" ht="12.75" customHeight="1" x14ac:dyDescent="0.2">
      <c r="A191" s="1376" t="s">
        <v>2349</v>
      </c>
      <c r="B191" s="1376" t="s">
        <v>2350</v>
      </c>
      <c r="C191" s="1398">
        <f t="shared" si="41"/>
        <v>2</v>
      </c>
      <c r="F191" s="992">
        <f t="shared" si="42"/>
        <v>2</v>
      </c>
      <c r="G191" s="1396"/>
      <c r="H191" s="1396">
        <v>1</v>
      </c>
      <c r="I191" s="1396"/>
      <c r="J191" s="1396"/>
      <c r="K191" s="1396"/>
      <c r="L191" s="1396"/>
      <c r="M191" s="1396">
        <v>1</v>
      </c>
      <c r="N191" s="1396"/>
      <c r="O191" s="1396"/>
      <c r="P191" s="1396"/>
      <c r="Q191" s="1396"/>
      <c r="R191" s="1388"/>
      <c r="T191" s="80"/>
    </row>
    <row r="192" spans="1:25" ht="12.75" customHeight="1" x14ac:dyDescent="0.2">
      <c r="A192" s="1372" t="s">
        <v>1794</v>
      </c>
      <c r="B192" s="1371" t="s">
        <v>1795</v>
      </c>
      <c r="C192" s="1398">
        <f t="shared" si="41"/>
        <v>22</v>
      </c>
      <c r="F192" s="992">
        <f t="shared" si="42"/>
        <v>12</v>
      </c>
      <c r="G192" s="1396">
        <v>2</v>
      </c>
      <c r="H192" s="1396">
        <v>1</v>
      </c>
      <c r="I192" s="1396">
        <v>1</v>
      </c>
      <c r="J192" s="1396">
        <v>1</v>
      </c>
      <c r="K192" s="1396">
        <v>1</v>
      </c>
      <c r="L192" s="1396">
        <v>1</v>
      </c>
      <c r="M192" s="1396">
        <v>8</v>
      </c>
      <c r="N192" s="1396">
        <v>2</v>
      </c>
      <c r="O192" s="1396">
        <v>2</v>
      </c>
      <c r="P192" s="1396">
        <v>1</v>
      </c>
      <c r="Q192" s="1396">
        <v>1</v>
      </c>
      <c r="R192" s="1388">
        <v>1</v>
      </c>
      <c r="T192" s="549"/>
      <c r="U192" s="549"/>
      <c r="V192" s="549"/>
      <c r="W192" s="549"/>
      <c r="X192" s="549"/>
      <c r="Y192" s="80"/>
    </row>
    <row r="193" spans="1:25" ht="12.75" customHeight="1" x14ac:dyDescent="0.2">
      <c r="A193" s="1370" t="s">
        <v>431</v>
      </c>
      <c r="B193" s="1371" t="s">
        <v>433</v>
      </c>
      <c r="C193" s="1398">
        <f t="shared" si="41"/>
        <v>4</v>
      </c>
      <c r="F193" s="992">
        <f t="shared" si="42"/>
        <v>3</v>
      </c>
      <c r="G193" s="1396"/>
      <c r="H193" s="1396">
        <v>1</v>
      </c>
      <c r="I193" s="1396"/>
      <c r="J193" s="1396"/>
      <c r="K193" s="1396"/>
      <c r="L193" s="1396"/>
      <c r="M193" s="1396">
        <v>2</v>
      </c>
      <c r="N193" s="1396"/>
      <c r="O193" s="1396">
        <v>1</v>
      </c>
      <c r="P193" s="1396"/>
      <c r="Q193" s="1396"/>
      <c r="R193" s="1388"/>
      <c r="T193" s="549"/>
      <c r="U193" s="549"/>
      <c r="V193" s="549"/>
      <c r="W193" s="549"/>
      <c r="X193" s="549"/>
      <c r="Y193" s="80"/>
    </row>
    <row r="194" spans="1:25" ht="12.75" customHeight="1" x14ac:dyDescent="0.2">
      <c r="A194" s="1370" t="s">
        <v>9377</v>
      </c>
      <c r="B194" s="1370" t="s">
        <v>9378</v>
      </c>
      <c r="C194" s="1398">
        <f t="shared" si="41"/>
        <v>12</v>
      </c>
      <c r="F194" s="992">
        <f t="shared" si="42"/>
        <v>2</v>
      </c>
      <c r="G194" s="1396"/>
      <c r="H194" s="1396">
        <v>9</v>
      </c>
      <c r="I194" s="1396"/>
      <c r="J194" s="1396"/>
      <c r="K194" s="1396"/>
      <c r="L194" s="1396"/>
      <c r="M194" s="1396"/>
      <c r="N194" s="1396">
        <v>3</v>
      </c>
      <c r="O194" s="1396"/>
      <c r="P194" s="1396"/>
      <c r="Q194" s="1396"/>
      <c r="R194" s="1388"/>
      <c r="T194" s="549"/>
      <c r="U194" s="549"/>
      <c r="V194" s="549"/>
      <c r="W194" s="549"/>
      <c r="X194" s="549"/>
      <c r="Y194" s="80"/>
    </row>
    <row r="195" spans="1:25" ht="12.75" customHeight="1" x14ac:dyDescent="0.2">
      <c r="A195" s="1370" t="s">
        <v>3535</v>
      </c>
      <c r="B195" s="1370" t="s">
        <v>12648</v>
      </c>
      <c r="C195" s="1398">
        <f t="shared" si="41"/>
        <v>2</v>
      </c>
      <c r="F195" s="992">
        <f t="shared" si="42"/>
        <v>2</v>
      </c>
      <c r="G195" s="1396"/>
      <c r="H195" s="1396"/>
      <c r="I195" s="1396"/>
      <c r="J195" s="1396"/>
      <c r="K195" s="1396"/>
      <c r="L195" s="1396"/>
      <c r="M195" s="1396">
        <v>1</v>
      </c>
      <c r="N195" s="1396"/>
      <c r="O195" s="1396"/>
      <c r="P195" s="1396"/>
      <c r="Q195" s="1396"/>
      <c r="R195" s="1388">
        <v>1</v>
      </c>
      <c r="T195" s="549"/>
      <c r="U195" s="549"/>
      <c r="V195" s="549"/>
      <c r="W195" s="549"/>
      <c r="X195" s="549"/>
      <c r="Y195" s="80"/>
    </row>
    <row r="196" spans="1:25" ht="12.75" customHeight="1" x14ac:dyDescent="0.2">
      <c r="A196" s="1372" t="s">
        <v>3960</v>
      </c>
      <c r="B196" s="1371" t="s">
        <v>3961</v>
      </c>
      <c r="C196" s="1398">
        <f t="shared" si="41"/>
        <v>19</v>
      </c>
      <c r="F196" s="992">
        <f t="shared" si="42"/>
        <v>6</v>
      </c>
      <c r="G196" s="1396">
        <v>1</v>
      </c>
      <c r="H196" s="1396"/>
      <c r="I196" s="1396"/>
      <c r="J196" s="1396"/>
      <c r="K196" s="1396"/>
      <c r="L196" s="1396">
        <v>1</v>
      </c>
      <c r="M196" s="1396"/>
      <c r="N196" s="1396">
        <v>1</v>
      </c>
      <c r="O196" s="1396">
        <v>3</v>
      </c>
      <c r="P196" s="1396"/>
      <c r="Q196" s="1396">
        <v>1</v>
      </c>
      <c r="R196" s="1388">
        <v>12</v>
      </c>
    </row>
    <row r="197" spans="1:25" ht="12.75" customHeight="1" x14ac:dyDescent="0.2">
      <c r="A197" s="1370" t="s">
        <v>2416</v>
      </c>
      <c r="B197" s="1371" t="s">
        <v>2417</v>
      </c>
      <c r="C197" s="1398">
        <f t="shared" si="41"/>
        <v>3</v>
      </c>
      <c r="F197" s="992">
        <f t="shared" si="42"/>
        <v>3</v>
      </c>
      <c r="G197" s="1396"/>
      <c r="H197" s="1396">
        <v>1</v>
      </c>
      <c r="I197" s="1396"/>
      <c r="J197" s="1396"/>
      <c r="K197" s="1396"/>
      <c r="L197" s="1396"/>
      <c r="M197" s="1396"/>
      <c r="N197" s="1396"/>
      <c r="O197" s="1396">
        <v>1</v>
      </c>
      <c r="P197" s="1396"/>
      <c r="Q197" s="1396"/>
      <c r="R197" s="1388">
        <v>1</v>
      </c>
    </row>
    <row r="198" spans="1:25" ht="12.75" customHeight="1" x14ac:dyDescent="0.2">
      <c r="A198" s="1370" t="s">
        <v>866</v>
      </c>
      <c r="B198" s="1371" t="s">
        <v>2417</v>
      </c>
      <c r="C198" s="1398">
        <f t="shared" si="41"/>
        <v>3</v>
      </c>
      <c r="F198" s="992">
        <f t="shared" si="42"/>
        <v>3</v>
      </c>
      <c r="G198" s="1396"/>
      <c r="H198" s="1396">
        <v>1</v>
      </c>
      <c r="I198" s="1396"/>
      <c r="J198" s="1396"/>
      <c r="K198" s="1396"/>
      <c r="L198" s="1396"/>
      <c r="M198" s="1396"/>
      <c r="N198" s="1396"/>
      <c r="O198" s="1396">
        <v>1</v>
      </c>
      <c r="P198" s="1396"/>
      <c r="Q198" s="1396"/>
      <c r="R198" s="1388">
        <v>1</v>
      </c>
    </row>
    <row r="199" spans="1:25" ht="12.75" customHeight="1" x14ac:dyDescent="0.2">
      <c r="A199" s="1389" t="s">
        <v>4893</v>
      </c>
      <c r="B199" s="1389" t="s">
        <v>4894</v>
      </c>
      <c r="C199" s="1398">
        <f t="shared" si="41"/>
        <v>2</v>
      </c>
      <c r="F199" s="992">
        <f t="shared" si="42"/>
        <v>1</v>
      </c>
      <c r="G199" s="1396"/>
      <c r="H199" s="1396"/>
      <c r="I199" s="1396"/>
      <c r="J199" s="1396"/>
      <c r="K199" s="1396"/>
      <c r="L199" s="1396"/>
      <c r="M199" s="1396"/>
      <c r="N199" s="1396"/>
      <c r="O199" s="1396"/>
      <c r="P199" s="1396"/>
      <c r="Q199" s="1396"/>
      <c r="R199" s="1388">
        <v>2</v>
      </c>
    </row>
    <row r="200" spans="1:25" ht="12.75" customHeight="1" x14ac:dyDescent="0.2">
      <c r="A200" s="1374" t="s">
        <v>3033</v>
      </c>
      <c r="B200" s="1374" t="s">
        <v>12025</v>
      </c>
      <c r="C200" s="1398">
        <f t="shared" si="41"/>
        <v>9</v>
      </c>
      <c r="D200" s="1371"/>
      <c r="F200" s="992">
        <f t="shared" si="42"/>
        <v>2</v>
      </c>
      <c r="G200" s="1396"/>
      <c r="H200" s="1396"/>
      <c r="I200" s="1396">
        <v>8</v>
      </c>
      <c r="J200" s="1396"/>
      <c r="K200" s="1396"/>
      <c r="L200" s="1396"/>
      <c r="M200" s="1396">
        <v>1</v>
      </c>
      <c r="N200" s="1396"/>
      <c r="O200" s="1396"/>
      <c r="P200" s="1396"/>
      <c r="Q200" s="1396"/>
      <c r="R200" s="1388"/>
    </row>
    <row r="201" spans="1:25" ht="12.75" customHeight="1" x14ac:dyDescent="0.2">
      <c r="A201" s="1370" t="s">
        <v>439</v>
      </c>
      <c r="B201" s="1371" t="s">
        <v>440</v>
      </c>
      <c r="C201" s="1398">
        <f t="shared" si="41"/>
        <v>8</v>
      </c>
      <c r="D201" s="1371"/>
      <c r="F201" s="992">
        <f t="shared" si="42"/>
        <v>3</v>
      </c>
      <c r="G201" s="1396"/>
      <c r="H201" s="1396">
        <v>3</v>
      </c>
      <c r="I201" s="1396"/>
      <c r="J201" s="1396"/>
      <c r="K201" s="1396"/>
      <c r="L201" s="1396"/>
      <c r="M201" s="1396">
        <v>4</v>
      </c>
      <c r="N201" s="1396"/>
      <c r="O201" s="1396">
        <v>1</v>
      </c>
      <c r="P201" s="1396"/>
      <c r="Q201" s="1396"/>
      <c r="R201" s="1388"/>
    </row>
    <row r="202" spans="1:25" ht="12.75" customHeight="1" x14ac:dyDescent="0.2">
      <c r="A202" s="1370" t="s">
        <v>4259</v>
      </c>
      <c r="B202" s="1371" t="s">
        <v>440</v>
      </c>
      <c r="C202" s="1398">
        <f t="shared" si="41"/>
        <v>3</v>
      </c>
      <c r="D202" s="1371"/>
      <c r="F202" s="992">
        <f t="shared" si="42"/>
        <v>2</v>
      </c>
      <c r="G202" s="1396"/>
      <c r="H202" s="1396"/>
      <c r="I202" s="1396"/>
      <c r="J202" s="1396"/>
      <c r="K202" s="1396"/>
      <c r="L202" s="1396"/>
      <c r="M202" s="1396">
        <v>2</v>
      </c>
      <c r="N202" s="1396"/>
      <c r="O202" s="1396">
        <v>1</v>
      </c>
      <c r="P202" s="1396"/>
      <c r="Q202" s="1396"/>
      <c r="R202" s="1388"/>
    </row>
    <row r="203" spans="1:25" ht="12.75" customHeight="1" x14ac:dyDescent="0.2">
      <c r="A203" s="1370" t="s">
        <v>10900</v>
      </c>
      <c r="B203" s="1371" t="s">
        <v>10860</v>
      </c>
      <c r="C203" s="1398">
        <f t="shared" si="41"/>
        <v>30</v>
      </c>
      <c r="D203" s="1371"/>
      <c r="F203" s="992">
        <f t="shared" si="42"/>
        <v>2</v>
      </c>
      <c r="G203" s="1396"/>
      <c r="H203" s="1396">
        <v>6</v>
      </c>
      <c r="I203" s="1396"/>
      <c r="J203" s="1396"/>
      <c r="K203" s="1396"/>
      <c r="L203" s="1396"/>
      <c r="M203" s="1396">
        <v>24</v>
      </c>
      <c r="N203" s="1396"/>
      <c r="O203" s="1396"/>
      <c r="P203" s="1396"/>
      <c r="Q203" s="1396"/>
      <c r="R203" s="1388"/>
    </row>
    <row r="204" spans="1:25" ht="12.75" customHeight="1" x14ac:dyDescent="0.2">
      <c r="A204" s="1370" t="s">
        <v>3962</v>
      </c>
      <c r="B204" s="1371" t="s">
        <v>5543</v>
      </c>
      <c r="C204" s="1398">
        <f t="shared" si="41"/>
        <v>2</v>
      </c>
      <c r="D204" s="1371"/>
      <c r="F204" s="992">
        <f t="shared" si="42"/>
        <v>1</v>
      </c>
      <c r="G204" s="1396"/>
      <c r="H204" s="1396"/>
      <c r="I204" s="1396"/>
      <c r="J204" s="1396"/>
      <c r="K204" s="1396"/>
      <c r="L204" s="1396"/>
      <c r="M204" s="1396"/>
      <c r="N204" s="1396"/>
      <c r="O204" s="1396">
        <v>2</v>
      </c>
      <c r="P204" s="1396"/>
      <c r="Q204" s="1396"/>
      <c r="R204" s="1388"/>
    </row>
    <row r="205" spans="1:25" ht="12.75" customHeight="1" x14ac:dyDescent="0.2">
      <c r="A205" s="1370" t="s">
        <v>866</v>
      </c>
      <c r="B205" s="1370" t="s">
        <v>5543</v>
      </c>
      <c r="C205" s="1398">
        <f t="shared" si="41"/>
        <v>11</v>
      </c>
      <c r="D205" s="1371"/>
      <c r="F205" s="992">
        <f t="shared" si="42"/>
        <v>2</v>
      </c>
      <c r="G205" s="1396"/>
      <c r="H205" s="1396"/>
      <c r="I205" s="1396"/>
      <c r="J205" s="1396"/>
      <c r="K205" s="1396"/>
      <c r="L205" s="1396"/>
      <c r="M205" s="1396"/>
      <c r="N205" s="1396"/>
      <c r="O205" s="1396">
        <v>9</v>
      </c>
      <c r="P205" s="1396"/>
      <c r="Q205" s="1396"/>
      <c r="R205" s="1388">
        <v>2</v>
      </c>
    </row>
    <row r="206" spans="1:25" ht="12.75" customHeight="1" x14ac:dyDescent="0.2">
      <c r="A206" s="1370" t="s">
        <v>5542</v>
      </c>
      <c r="B206" s="1370" t="s">
        <v>5543</v>
      </c>
      <c r="C206" s="1398">
        <f t="shared" si="41"/>
        <v>2</v>
      </c>
      <c r="D206" s="1371"/>
      <c r="F206" s="992">
        <f t="shared" si="42"/>
        <v>1</v>
      </c>
      <c r="G206" s="1396"/>
      <c r="H206" s="1396"/>
      <c r="I206" s="1396"/>
      <c r="J206" s="1396"/>
      <c r="K206" s="1396"/>
      <c r="L206" s="1396"/>
      <c r="M206" s="1396"/>
      <c r="N206" s="1396"/>
      <c r="O206" s="1396">
        <v>2</v>
      </c>
      <c r="P206" s="1396"/>
      <c r="Q206" s="1396"/>
      <c r="R206" s="1388"/>
    </row>
    <row r="207" spans="1:25" ht="12.75" customHeight="1" x14ac:dyDescent="0.2">
      <c r="A207" s="1370" t="s">
        <v>9656</v>
      </c>
      <c r="B207" s="1371" t="s">
        <v>9657</v>
      </c>
      <c r="C207" s="1398">
        <f t="shared" si="41"/>
        <v>6</v>
      </c>
      <c r="D207" s="1371"/>
      <c r="F207" s="992">
        <f t="shared" si="42"/>
        <v>2</v>
      </c>
      <c r="G207" s="1396"/>
      <c r="H207" s="1396"/>
      <c r="I207" s="1396">
        <v>1</v>
      </c>
      <c r="J207" s="1396"/>
      <c r="K207" s="1396"/>
      <c r="L207" s="1396"/>
      <c r="M207" s="1396"/>
      <c r="N207" s="1396">
        <v>5</v>
      </c>
      <c r="O207" s="1396"/>
      <c r="P207" s="1396"/>
      <c r="Q207" s="1396"/>
      <c r="R207" s="1388"/>
    </row>
    <row r="208" spans="1:25" ht="12.75" customHeight="1" x14ac:dyDescent="0.2">
      <c r="A208" s="1370" t="s">
        <v>9701</v>
      </c>
      <c r="B208" s="1371" t="s">
        <v>9702</v>
      </c>
      <c r="C208" s="1398">
        <f t="shared" si="41"/>
        <v>10</v>
      </c>
      <c r="D208" s="1371"/>
      <c r="F208" s="992">
        <f t="shared" si="42"/>
        <v>2</v>
      </c>
      <c r="G208" s="1396"/>
      <c r="H208" s="1447">
        <v>9</v>
      </c>
      <c r="I208" s="1396"/>
      <c r="J208" s="1396"/>
      <c r="K208" s="1396"/>
      <c r="L208" s="1396"/>
      <c r="M208" s="1396"/>
      <c r="N208" s="1396">
        <v>1</v>
      </c>
      <c r="O208" s="1396"/>
      <c r="P208" s="1396"/>
      <c r="Q208" s="1396"/>
      <c r="R208" s="1388"/>
    </row>
    <row r="209" spans="1:27" ht="12.75" customHeight="1" x14ac:dyDescent="0.2">
      <c r="A209" s="1372" t="s">
        <v>864</v>
      </c>
      <c r="B209" s="1371" t="s">
        <v>865</v>
      </c>
      <c r="C209" s="1398">
        <f t="shared" si="41"/>
        <v>4</v>
      </c>
      <c r="D209" s="1371"/>
      <c r="F209" s="992">
        <f t="shared" si="42"/>
        <v>4</v>
      </c>
      <c r="G209" s="1396"/>
      <c r="H209" s="1396">
        <v>1</v>
      </c>
      <c r="I209" s="1396"/>
      <c r="J209" s="1396"/>
      <c r="K209" s="1396"/>
      <c r="L209" s="1396"/>
      <c r="M209" s="1396">
        <v>1</v>
      </c>
      <c r="N209" s="1396"/>
      <c r="O209" s="1396">
        <v>1</v>
      </c>
      <c r="P209" s="1396"/>
      <c r="Q209" s="1396">
        <v>1</v>
      </c>
      <c r="R209" s="1388"/>
    </row>
    <row r="210" spans="1:27" ht="12.75" customHeight="1" x14ac:dyDescent="0.2">
      <c r="A210" s="1370" t="s">
        <v>3535</v>
      </c>
      <c r="B210" s="1371" t="s">
        <v>4741</v>
      </c>
      <c r="C210" s="1398">
        <f t="shared" si="41"/>
        <v>14</v>
      </c>
      <c r="D210" s="1371"/>
      <c r="F210" s="992">
        <f t="shared" si="42"/>
        <v>4</v>
      </c>
      <c r="G210" s="1396"/>
      <c r="H210" s="1396">
        <v>4</v>
      </c>
      <c r="I210" s="1396">
        <v>5</v>
      </c>
      <c r="J210" s="1396"/>
      <c r="K210" s="1396"/>
      <c r="L210" s="1396"/>
      <c r="M210" s="1396">
        <v>4</v>
      </c>
      <c r="N210" s="1396">
        <v>1</v>
      </c>
      <c r="O210" s="1396"/>
      <c r="P210" s="1396"/>
      <c r="Q210" s="1396"/>
      <c r="R210" s="1388"/>
    </row>
    <row r="211" spans="1:27" ht="12.75" customHeight="1" x14ac:dyDescent="0.2">
      <c r="A211" s="1370" t="s">
        <v>2703</v>
      </c>
      <c r="B211" s="1371" t="s">
        <v>2704</v>
      </c>
      <c r="C211" s="1398">
        <f t="shared" si="41"/>
        <v>18</v>
      </c>
      <c r="F211" s="992">
        <f t="shared" si="42"/>
        <v>2</v>
      </c>
      <c r="G211" s="1396"/>
      <c r="H211" s="1396"/>
      <c r="I211" s="1396"/>
      <c r="J211" s="1396"/>
      <c r="K211" s="1396"/>
      <c r="L211" s="1396"/>
      <c r="M211" s="1396"/>
      <c r="N211" s="1396"/>
      <c r="O211" s="1396">
        <v>16</v>
      </c>
      <c r="P211" s="1396"/>
      <c r="Q211" s="1396"/>
      <c r="R211" s="1388">
        <v>2</v>
      </c>
    </row>
    <row r="212" spans="1:27" ht="12.75" customHeight="1" x14ac:dyDescent="0.2">
      <c r="A212" s="1389" t="s">
        <v>435</v>
      </c>
      <c r="B212" s="1389" t="s">
        <v>1936</v>
      </c>
      <c r="C212" s="1398">
        <f t="shared" si="41"/>
        <v>137</v>
      </c>
      <c r="F212" s="992">
        <f t="shared" si="42"/>
        <v>1</v>
      </c>
      <c r="G212" s="1396"/>
      <c r="H212" s="1396"/>
      <c r="I212" s="1396"/>
      <c r="J212" s="1396"/>
      <c r="K212" s="1396"/>
      <c r="L212" s="1396">
        <v>137</v>
      </c>
      <c r="M212" s="1396"/>
      <c r="N212" s="1396"/>
      <c r="O212" s="1396"/>
      <c r="P212" s="1396"/>
      <c r="Q212" s="1396"/>
      <c r="R212" s="1388"/>
      <c r="Y212" s="80"/>
    </row>
    <row r="213" spans="1:27" ht="12.75" customHeight="1" x14ac:dyDescent="0.2">
      <c r="A213" s="1389" t="s">
        <v>4878</v>
      </c>
      <c r="B213" s="1389" t="s">
        <v>3250</v>
      </c>
      <c r="C213" s="1398">
        <f t="shared" si="41"/>
        <v>1</v>
      </c>
      <c r="F213" s="992">
        <f t="shared" si="42"/>
        <v>1</v>
      </c>
      <c r="G213" s="1396"/>
      <c r="H213" s="1396"/>
      <c r="I213" s="1396"/>
      <c r="J213" s="1396"/>
      <c r="K213" s="1396"/>
      <c r="L213" s="1396">
        <v>1</v>
      </c>
      <c r="M213" s="1396"/>
      <c r="N213" s="1396"/>
      <c r="O213" s="1396"/>
      <c r="P213" s="1396"/>
      <c r="Q213" s="1396"/>
      <c r="R213" s="1388"/>
      <c r="T213" s="80"/>
    </row>
    <row r="214" spans="1:27" ht="12.75" customHeight="1" x14ac:dyDescent="0.2">
      <c r="A214" s="1389" t="s">
        <v>11910</v>
      </c>
      <c r="B214" s="1389" t="s">
        <v>3961</v>
      </c>
      <c r="C214" s="1398">
        <f t="shared" si="41"/>
        <v>1</v>
      </c>
      <c r="F214" s="992">
        <f t="shared" si="42"/>
        <v>1</v>
      </c>
      <c r="G214" s="1396"/>
      <c r="H214" s="1396"/>
      <c r="I214" s="1396"/>
      <c r="J214" s="1396"/>
      <c r="K214" s="1396"/>
      <c r="L214" s="1396"/>
      <c r="M214" s="1396"/>
      <c r="N214" s="1396"/>
      <c r="O214" s="1396"/>
      <c r="P214" s="1396"/>
      <c r="Q214" s="1396"/>
      <c r="R214" s="1388">
        <v>1</v>
      </c>
      <c r="T214" s="549"/>
      <c r="U214" s="549"/>
      <c r="V214" s="549"/>
      <c r="W214" s="549"/>
      <c r="X214" s="549"/>
      <c r="Y214" s="80"/>
    </row>
    <row r="215" spans="1:27" ht="12.75" customHeight="1" x14ac:dyDescent="0.2">
      <c r="A215" s="1390"/>
      <c r="B215" s="1372"/>
      <c r="C215" s="1378">
        <f>SUM(C156:C214)</f>
        <v>667</v>
      </c>
      <c r="G215" s="1331">
        <f t="shared" ref="G215:R215" si="43">SUM(G156:G214)</f>
        <v>7</v>
      </c>
      <c r="H215" s="1331">
        <f t="shared" si="43"/>
        <v>80</v>
      </c>
      <c r="I215" s="1331">
        <f t="shared" si="43"/>
        <v>60</v>
      </c>
      <c r="J215" s="1331">
        <f t="shared" si="43"/>
        <v>2</v>
      </c>
      <c r="K215" s="1331">
        <f t="shared" si="43"/>
        <v>1</v>
      </c>
      <c r="L215" s="1331">
        <f t="shared" si="43"/>
        <v>149</v>
      </c>
      <c r="M215" s="1331">
        <f t="shared" si="43"/>
        <v>193</v>
      </c>
      <c r="N215" s="1331">
        <f t="shared" si="43"/>
        <v>44</v>
      </c>
      <c r="O215" s="1331">
        <f t="shared" si="43"/>
        <v>88</v>
      </c>
      <c r="P215" s="1331">
        <f t="shared" si="43"/>
        <v>3</v>
      </c>
      <c r="Q215" s="1331">
        <f t="shared" si="43"/>
        <v>9</v>
      </c>
      <c r="R215" s="1331">
        <f t="shared" si="43"/>
        <v>31</v>
      </c>
    </row>
    <row r="216" spans="1:27" ht="12.75" customHeight="1" x14ac:dyDescent="0.2">
      <c r="A216" s="1390"/>
      <c r="B216" s="1372"/>
      <c r="C216" s="1398"/>
      <c r="G216" s="1331">
        <f t="shared" ref="G216:R216" si="44">COUNT(G156:G214)</f>
        <v>5</v>
      </c>
      <c r="H216" s="1331">
        <f t="shared" si="44"/>
        <v>35</v>
      </c>
      <c r="I216" s="1331">
        <f t="shared" si="44"/>
        <v>13</v>
      </c>
      <c r="J216" s="1331">
        <f t="shared" si="44"/>
        <v>2</v>
      </c>
      <c r="K216" s="1331">
        <f t="shared" si="44"/>
        <v>1</v>
      </c>
      <c r="L216" s="1331">
        <f t="shared" si="44"/>
        <v>7</v>
      </c>
      <c r="M216" s="1331">
        <f t="shared" si="44"/>
        <v>32</v>
      </c>
      <c r="N216" s="1331">
        <f t="shared" si="44"/>
        <v>22</v>
      </c>
      <c r="O216" s="1331">
        <f t="shared" si="44"/>
        <v>23</v>
      </c>
      <c r="P216" s="1331">
        <f t="shared" si="44"/>
        <v>3</v>
      </c>
      <c r="Q216" s="1331">
        <f t="shared" si="44"/>
        <v>7</v>
      </c>
      <c r="R216" s="1331">
        <f t="shared" si="44"/>
        <v>17</v>
      </c>
    </row>
    <row r="217" spans="1:27" ht="12.75" customHeight="1" x14ac:dyDescent="0.25">
      <c r="A217" s="1390"/>
      <c r="B217" s="1372"/>
      <c r="C217" s="1398"/>
      <c r="G217" s="565" t="s">
        <v>5821</v>
      </c>
      <c r="H217" s="565"/>
      <c r="I217" s="565" t="s">
        <v>5483</v>
      </c>
      <c r="J217" s="538"/>
      <c r="K217" s="538" t="s">
        <v>9738</v>
      </c>
      <c r="L217" s="536"/>
      <c r="M217" s="538" t="s">
        <v>9307</v>
      </c>
      <c r="N217" s="536"/>
      <c r="O217" s="538" t="s">
        <v>6393</v>
      </c>
      <c r="P217" s="538"/>
      <c r="Q217" s="538" t="s">
        <v>1569</v>
      </c>
      <c r="R217" s="538"/>
    </row>
    <row r="218" spans="1:27" ht="12.75" customHeight="1" x14ac:dyDescent="0.25">
      <c r="A218" s="1390"/>
      <c r="B218" s="1372"/>
      <c r="C218" s="1398"/>
      <c r="E218" s="1377">
        <f>COUNT(G216:R216)</f>
        <v>12</v>
      </c>
      <c r="G218" s="247"/>
      <c r="H218" s="247" t="s">
        <v>10983</v>
      </c>
      <c r="I218" s="247"/>
      <c r="J218" s="539" t="s">
        <v>4694</v>
      </c>
      <c r="K218" s="539"/>
      <c r="L218" s="535" t="s">
        <v>4861</v>
      </c>
      <c r="M218" s="539"/>
      <c r="N218" s="539" t="s">
        <v>1003</v>
      </c>
      <c r="O218" s="539"/>
      <c r="P218" s="539" t="s">
        <v>6159</v>
      </c>
      <c r="Q218" s="539"/>
      <c r="R218" s="539" t="s">
        <v>2593</v>
      </c>
    </row>
    <row r="219" spans="1:27" ht="12.75" customHeight="1" x14ac:dyDescent="0.2">
      <c r="C219" s="1371"/>
      <c r="F219"/>
      <c r="G219" s="479">
        <v>186</v>
      </c>
      <c r="H219" s="1095">
        <f>Parks!L80</f>
        <v>453</v>
      </c>
      <c r="I219" s="1095">
        <f>Parks!L25</f>
        <v>113</v>
      </c>
      <c r="J219" s="479">
        <v>191</v>
      </c>
      <c r="K219" s="479">
        <v>425</v>
      </c>
      <c r="L219" s="479">
        <v>44</v>
      </c>
      <c r="M219" s="1095">
        <f>Parks!L276</f>
        <v>390</v>
      </c>
      <c r="N219" s="1095">
        <f>Parks!L398</f>
        <v>14</v>
      </c>
      <c r="O219" s="1095">
        <f>Parks!L453</f>
        <v>323</v>
      </c>
      <c r="P219" s="480">
        <v>329</v>
      </c>
      <c r="Q219" s="477">
        <v>153</v>
      </c>
      <c r="R219" s="1126">
        <f>Parks!L572</f>
        <v>155</v>
      </c>
    </row>
    <row r="220" spans="1:27" ht="12.75" customHeight="1" x14ac:dyDescent="0.25">
      <c r="C220" s="1371"/>
      <c r="E220" s="1390"/>
      <c r="F220" s="1371"/>
      <c r="G220" s="1954"/>
      <c r="H220" s="1954"/>
      <c r="I220" s="1954"/>
      <c r="J220" s="1954"/>
      <c r="K220" s="1954"/>
      <c r="L220" s="1954"/>
      <c r="M220" s="1954"/>
      <c r="N220" s="1954"/>
      <c r="O220" s="1954"/>
      <c r="P220" s="1406"/>
      <c r="Q220" s="1406"/>
      <c r="R220" s="1406"/>
      <c r="S220" s="364"/>
      <c r="T220" s="364"/>
      <c r="U220" s="364"/>
      <c r="V220" s="185"/>
      <c r="W220" s="185"/>
    </row>
    <row r="221" spans="1:27" ht="12.75" customHeight="1" x14ac:dyDescent="0.25">
      <c r="C221" s="1666"/>
      <c r="E221" s="1390"/>
      <c r="F221" s="1402"/>
      <c r="G221" s="1954"/>
      <c r="H221" s="1954"/>
      <c r="I221" s="1954"/>
      <c r="J221" s="1954"/>
      <c r="K221" s="1954"/>
      <c r="L221" s="1954"/>
      <c r="M221" s="1954"/>
      <c r="N221" s="1954"/>
      <c r="O221" s="1954"/>
      <c r="P221" s="1954"/>
      <c r="Q221" s="1954"/>
      <c r="R221" s="1954"/>
      <c r="S221" s="477"/>
      <c r="T221" s="477"/>
      <c r="U221" s="477"/>
      <c r="V221" s="477"/>
      <c r="W221" s="477"/>
      <c r="X221" s="477"/>
      <c r="Y221" s="477"/>
      <c r="Z221" s="477"/>
      <c r="AA221" s="185"/>
    </row>
    <row r="222" spans="1:27" ht="12.75" customHeight="1" x14ac:dyDescent="0.25">
      <c r="C222" s="1666"/>
      <c r="G222" s="1748"/>
      <c r="H222" s="1748"/>
      <c r="I222" s="1748"/>
      <c r="J222" s="1748"/>
      <c r="K222" s="1748"/>
      <c r="L222" s="1748"/>
      <c r="M222" s="1748"/>
      <c r="N222" s="1748"/>
      <c r="O222" s="1748"/>
      <c r="P222" s="1749"/>
      <c r="Q222" s="1749"/>
      <c r="R222" s="1749"/>
      <c r="S222" s="477"/>
      <c r="T222" s="477"/>
      <c r="U222" s="477"/>
      <c r="V222" s="477"/>
      <c r="W222" s="477"/>
      <c r="X222" s="477"/>
      <c r="Y222" s="477"/>
      <c r="Z222" s="477"/>
      <c r="AA222" s="185"/>
    </row>
    <row r="223" spans="1:27" ht="12.75" customHeight="1" x14ac:dyDescent="0.2">
      <c r="A223" s="1667"/>
      <c r="C223" s="1666"/>
      <c r="G223" s="2" t="s">
        <v>11989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27" ht="12.75" customHeight="1" x14ac:dyDescent="0.2">
      <c r="A224" s="1667"/>
      <c r="C224" s="1666"/>
      <c r="E224" s="1370"/>
      <c r="G224" s="80"/>
      <c r="H224" s="80"/>
      <c r="V224" s="2"/>
      <c r="W224" s="2"/>
      <c r="X224" s="2"/>
    </row>
    <row r="225" spans="1:25" ht="12.75" customHeight="1" x14ac:dyDescent="0.2">
      <c r="A225" s="1397"/>
      <c r="B225" s="1370"/>
      <c r="C225" s="1398"/>
      <c r="D225" s="80"/>
      <c r="E225" s="1370"/>
      <c r="G225" s="37" t="s">
        <v>1145</v>
      </c>
      <c r="H225" s="1308"/>
      <c r="I225" s="1308"/>
      <c r="J225" s="1307"/>
      <c r="K225" s="1307"/>
      <c r="L225" s="1307"/>
      <c r="M225" s="1307"/>
      <c r="N225" s="1307"/>
      <c r="O225" s="2" t="s">
        <v>11988</v>
      </c>
      <c r="P225" s="80"/>
      <c r="Q225" s="80"/>
      <c r="R225" s="80"/>
      <c r="S225" s="80"/>
      <c r="T225" s="80"/>
      <c r="U225" s="80"/>
      <c r="V225" s="80"/>
      <c r="W225" s="2"/>
      <c r="X225" s="2"/>
      <c r="Y225" s="2"/>
    </row>
    <row r="226" spans="1:25" ht="12.75" customHeight="1" x14ac:dyDescent="0.2">
      <c r="A226" s="1397"/>
      <c r="B226" s="1370"/>
      <c r="C226" s="1398"/>
      <c r="D226" s="80"/>
      <c r="E226" s="1370"/>
      <c r="G226" s="1321" t="s">
        <v>5254</v>
      </c>
      <c r="H226" s="1322" t="s">
        <v>1449</v>
      </c>
      <c r="I226" s="1321" t="s">
        <v>1704</v>
      </c>
      <c r="J226" s="1322" t="s">
        <v>1710</v>
      </c>
      <c r="K226" s="1321" t="s">
        <v>9302</v>
      </c>
      <c r="L226" s="1322" t="s">
        <v>160</v>
      </c>
      <c r="M226" s="1321" t="s">
        <v>5200</v>
      </c>
      <c r="N226" s="1308"/>
      <c r="O226" s="537" t="s">
        <v>5310</v>
      </c>
      <c r="P226" s="540" t="s">
        <v>11836</v>
      </c>
      <c r="Q226" s="537" t="s">
        <v>10185</v>
      </c>
      <c r="R226" s="540" t="s">
        <v>2715</v>
      </c>
      <c r="S226" s="537" t="s">
        <v>1618</v>
      </c>
      <c r="T226" s="540" t="s">
        <v>9733</v>
      </c>
      <c r="U226" s="537" t="s">
        <v>1701</v>
      </c>
      <c r="V226" s="540" t="s">
        <v>3314</v>
      </c>
      <c r="W226" s="537" t="s">
        <v>1615</v>
      </c>
    </row>
    <row r="227" spans="1:25" ht="12.75" customHeight="1" x14ac:dyDescent="0.2">
      <c r="A227" s="1397" t="s">
        <v>4580</v>
      </c>
      <c r="B227" s="1370" t="s">
        <v>4581</v>
      </c>
      <c r="C227" s="1398">
        <f t="shared" ref="C227:C265" si="45">SUM(G227:W227)</f>
        <v>73</v>
      </c>
      <c r="D227" s="80"/>
      <c r="E227" s="1370"/>
      <c r="F227" s="991">
        <f t="shared" ref="F227:F265" si="46">COUNT(G227:W227)</f>
        <v>6</v>
      </c>
      <c r="G227" s="1428"/>
      <c r="H227" s="1428">
        <v>4</v>
      </c>
      <c r="I227" s="1427"/>
      <c r="J227" s="1427">
        <v>62</v>
      </c>
      <c r="K227" s="1428"/>
      <c r="L227" s="1428"/>
      <c r="M227" s="1427">
        <v>3</v>
      </c>
      <c r="N227" s="1429"/>
      <c r="O227" s="1385"/>
      <c r="P227" s="1385"/>
      <c r="Q227" s="1388"/>
      <c r="R227" s="1388">
        <v>1</v>
      </c>
      <c r="S227" s="1388"/>
      <c r="T227" s="1388"/>
      <c r="U227" s="1388">
        <v>2</v>
      </c>
      <c r="V227" s="1388"/>
      <c r="W227" s="1388">
        <v>1</v>
      </c>
    </row>
    <row r="228" spans="1:25" ht="12.75" customHeight="1" x14ac:dyDescent="0.2">
      <c r="A228" s="1397" t="s">
        <v>868</v>
      </c>
      <c r="B228" s="1370" t="s">
        <v>869</v>
      </c>
      <c r="C228" s="1398">
        <f t="shared" si="45"/>
        <v>6</v>
      </c>
      <c r="D228" s="80"/>
      <c r="E228" s="1370"/>
      <c r="F228" s="991">
        <f t="shared" si="46"/>
        <v>4</v>
      </c>
      <c r="G228" s="1428"/>
      <c r="H228" s="1428"/>
      <c r="I228" s="1427"/>
      <c r="J228" s="1427"/>
      <c r="K228" s="1428"/>
      <c r="L228" s="1428"/>
      <c r="M228" s="1427"/>
      <c r="N228" s="1429"/>
      <c r="O228" s="1385"/>
      <c r="P228" s="1385"/>
      <c r="Q228" s="1388">
        <v>1</v>
      </c>
      <c r="R228" s="1388">
        <v>2</v>
      </c>
      <c r="S228" s="1388"/>
      <c r="T228" s="1388"/>
      <c r="U228" s="1388">
        <v>2</v>
      </c>
      <c r="V228" s="1388"/>
      <c r="W228" s="1388">
        <v>1</v>
      </c>
    </row>
    <row r="229" spans="1:25" ht="12.75" customHeight="1" x14ac:dyDescent="0.2">
      <c r="A229" s="1399" t="s">
        <v>15616</v>
      </c>
      <c r="B229" s="1376" t="s">
        <v>10861</v>
      </c>
      <c r="C229" s="1398">
        <f t="shared" si="45"/>
        <v>160</v>
      </c>
      <c r="D229" s="80"/>
      <c r="E229" s="1370"/>
      <c r="F229" s="991">
        <f t="shared" si="46"/>
        <v>3</v>
      </c>
      <c r="G229" s="1428"/>
      <c r="H229" s="1428">
        <v>7</v>
      </c>
      <c r="I229" s="1427"/>
      <c r="J229" s="1427">
        <v>1</v>
      </c>
      <c r="K229" s="1428"/>
      <c r="L229" s="1428"/>
      <c r="M229" s="1427">
        <v>152</v>
      </c>
      <c r="N229" s="1429"/>
      <c r="O229" s="1388"/>
      <c r="P229" s="1388"/>
      <c r="Q229" s="1388"/>
      <c r="R229" s="1388"/>
      <c r="S229" s="1388"/>
      <c r="T229" s="1388"/>
      <c r="U229" s="1388"/>
      <c r="V229" s="1388"/>
      <c r="W229" s="1388"/>
    </row>
    <row r="230" spans="1:25" ht="12.75" customHeight="1" x14ac:dyDescent="0.2">
      <c r="A230" s="1397" t="s">
        <v>3251</v>
      </c>
      <c r="B230" s="1370" t="s">
        <v>3252</v>
      </c>
      <c r="C230" s="1398">
        <f t="shared" si="45"/>
        <v>87</v>
      </c>
      <c r="D230" s="80"/>
      <c r="E230" s="1370"/>
      <c r="F230" s="991">
        <f t="shared" si="46"/>
        <v>11</v>
      </c>
      <c r="G230" s="1428"/>
      <c r="H230" s="1428">
        <v>1</v>
      </c>
      <c r="I230" s="1427">
        <v>2</v>
      </c>
      <c r="J230" s="1427"/>
      <c r="K230" s="1428"/>
      <c r="L230" s="1428"/>
      <c r="M230" s="1427">
        <v>1</v>
      </c>
      <c r="N230" s="1429"/>
      <c r="O230" s="1388">
        <v>1</v>
      </c>
      <c r="P230" s="1388"/>
      <c r="Q230" s="1388">
        <v>2</v>
      </c>
      <c r="R230" s="1388">
        <v>69</v>
      </c>
      <c r="S230" s="1388">
        <v>2</v>
      </c>
      <c r="T230" s="1388">
        <v>1</v>
      </c>
      <c r="U230" s="1388">
        <v>4</v>
      </c>
      <c r="V230" s="1388">
        <v>1</v>
      </c>
      <c r="W230" s="1388">
        <v>3</v>
      </c>
    </row>
    <row r="231" spans="1:25" ht="12.75" customHeight="1" x14ac:dyDescent="0.2">
      <c r="A231" s="1399" t="s">
        <v>7908</v>
      </c>
      <c r="B231" s="1376" t="s">
        <v>7907</v>
      </c>
      <c r="C231" s="1398">
        <f t="shared" si="45"/>
        <v>7</v>
      </c>
      <c r="D231" s="80"/>
      <c r="E231" s="1370"/>
      <c r="F231" s="991">
        <f t="shared" si="46"/>
        <v>6</v>
      </c>
      <c r="G231" s="1428">
        <v>1</v>
      </c>
      <c r="H231" s="1428">
        <v>1</v>
      </c>
      <c r="I231" s="1427">
        <v>1</v>
      </c>
      <c r="J231" s="1427"/>
      <c r="K231" s="1428"/>
      <c r="L231" s="1428"/>
      <c r="M231" s="1427">
        <v>2</v>
      </c>
      <c r="N231" s="1429"/>
      <c r="O231" s="1388"/>
      <c r="P231" s="1388">
        <v>1</v>
      </c>
      <c r="Q231" s="1388"/>
      <c r="R231" s="1468">
        <v>1</v>
      </c>
      <c r="S231" s="1468"/>
      <c r="T231" s="1388"/>
      <c r="U231" s="1388"/>
      <c r="V231" s="1388"/>
      <c r="W231" s="1388"/>
    </row>
    <row r="232" spans="1:25" ht="12.75" customHeight="1" x14ac:dyDescent="0.2">
      <c r="A232" s="1399" t="s">
        <v>260</v>
      </c>
      <c r="B232" s="1376" t="s">
        <v>7907</v>
      </c>
      <c r="C232" s="1398">
        <f t="shared" si="45"/>
        <v>10</v>
      </c>
      <c r="D232" s="80"/>
      <c r="E232" s="1370"/>
      <c r="F232" s="991">
        <f t="shared" si="46"/>
        <v>7</v>
      </c>
      <c r="G232" s="1428">
        <v>1</v>
      </c>
      <c r="H232" s="1428">
        <v>2</v>
      </c>
      <c r="I232" s="1427">
        <v>1</v>
      </c>
      <c r="J232" s="1427"/>
      <c r="K232" s="1428">
        <v>1</v>
      </c>
      <c r="L232" s="1428"/>
      <c r="M232" s="1427">
        <v>3</v>
      </c>
      <c r="N232" s="1429"/>
      <c r="O232" s="1388">
        <v>1</v>
      </c>
      <c r="P232" s="1388"/>
      <c r="Q232" s="1388"/>
      <c r="R232" s="1468">
        <v>1</v>
      </c>
      <c r="S232" s="1468"/>
      <c r="T232" s="1388"/>
      <c r="U232" s="1388"/>
      <c r="V232" s="1388"/>
      <c r="W232" s="1388"/>
    </row>
    <row r="233" spans="1:25" ht="12.75" customHeight="1" x14ac:dyDescent="0.2">
      <c r="A233" s="1399" t="s">
        <v>4264</v>
      </c>
      <c r="B233" s="1376" t="s">
        <v>5239</v>
      </c>
      <c r="C233" s="1398">
        <f t="shared" si="45"/>
        <v>73</v>
      </c>
      <c r="D233" s="80"/>
      <c r="E233" s="1370"/>
      <c r="F233" s="991">
        <f t="shared" si="46"/>
        <v>7</v>
      </c>
      <c r="G233" s="1428"/>
      <c r="H233" s="1428">
        <v>1</v>
      </c>
      <c r="I233" s="1427">
        <v>33</v>
      </c>
      <c r="J233" s="1427">
        <v>16</v>
      </c>
      <c r="K233" s="1428"/>
      <c r="L233" s="1428"/>
      <c r="M233" s="1427">
        <v>20</v>
      </c>
      <c r="N233" s="1429"/>
      <c r="O233" s="1388"/>
      <c r="P233" s="1388">
        <v>1</v>
      </c>
      <c r="Q233" s="1388">
        <v>1</v>
      </c>
      <c r="R233" s="1388"/>
      <c r="S233" s="1388"/>
      <c r="T233" s="1388"/>
      <c r="U233" s="1388"/>
      <c r="V233" s="1388">
        <v>1</v>
      </c>
      <c r="W233" s="1388"/>
    </row>
    <row r="234" spans="1:25" ht="12.75" customHeight="1" x14ac:dyDescent="0.2">
      <c r="A234" s="1397" t="s">
        <v>435</v>
      </c>
      <c r="B234" s="1370" t="s">
        <v>436</v>
      </c>
      <c r="C234" s="1398">
        <f t="shared" si="45"/>
        <v>3</v>
      </c>
      <c r="D234" s="80"/>
      <c r="E234" s="1370"/>
      <c r="F234" s="991">
        <f t="shared" si="46"/>
        <v>2</v>
      </c>
      <c r="G234" s="1428"/>
      <c r="H234" s="1428"/>
      <c r="I234" s="1427"/>
      <c r="J234" s="1427"/>
      <c r="K234" s="1428"/>
      <c r="L234" s="1428"/>
      <c r="M234" s="1427"/>
      <c r="N234" s="1429"/>
      <c r="O234" s="1388"/>
      <c r="P234" s="1388"/>
      <c r="Q234" s="1388"/>
      <c r="R234" s="1388">
        <v>2</v>
      </c>
      <c r="S234" s="1388"/>
      <c r="T234" s="1388"/>
      <c r="U234" s="1388">
        <v>1</v>
      </c>
      <c r="V234" s="1388"/>
      <c r="W234" s="1388"/>
    </row>
    <row r="235" spans="1:25" ht="12.75" customHeight="1" x14ac:dyDescent="0.2">
      <c r="A235" s="1397" t="s">
        <v>4963</v>
      </c>
      <c r="B235" s="1370" t="s">
        <v>8339</v>
      </c>
      <c r="C235" s="1398">
        <f t="shared" si="45"/>
        <v>3</v>
      </c>
      <c r="D235" s="80"/>
      <c r="E235" s="1370"/>
      <c r="F235" s="991">
        <f t="shared" si="46"/>
        <v>2</v>
      </c>
      <c r="G235" s="1428"/>
      <c r="H235" s="1428"/>
      <c r="I235" s="1427"/>
      <c r="J235" s="1427"/>
      <c r="K235" s="1428">
        <v>1</v>
      </c>
      <c r="L235" s="1428">
        <v>2</v>
      </c>
      <c r="M235" s="1427"/>
      <c r="N235" s="1429"/>
      <c r="O235" s="1388"/>
      <c r="P235" s="1388"/>
      <c r="Q235" s="1388"/>
      <c r="R235" s="1468"/>
      <c r="S235" s="1468"/>
      <c r="T235" s="1388"/>
      <c r="U235" s="1388"/>
      <c r="V235" s="1388"/>
      <c r="W235" s="1388"/>
    </row>
    <row r="236" spans="1:25" ht="12.75" customHeight="1" x14ac:dyDescent="0.2">
      <c r="A236" s="1397" t="s">
        <v>863</v>
      </c>
      <c r="B236" s="1370" t="s">
        <v>2250</v>
      </c>
      <c r="C236" s="1398">
        <f t="shared" si="45"/>
        <v>5</v>
      </c>
      <c r="D236" s="80"/>
      <c r="E236" s="1370"/>
      <c r="F236" s="991">
        <f t="shared" si="46"/>
        <v>3</v>
      </c>
      <c r="G236" s="1428"/>
      <c r="H236" s="1428"/>
      <c r="I236" s="1427">
        <v>3</v>
      </c>
      <c r="J236" s="1427">
        <v>1</v>
      </c>
      <c r="K236" s="1428"/>
      <c r="L236" s="1428"/>
      <c r="M236" s="1427"/>
      <c r="N236" s="1429"/>
      <c r="O236" s="1388"/>
      <c r="P236" s="1388"/>
      <c r="Q236" s="1388"/>
      <c r="R236" s="1468"/>
      <c r="S236" s="1468"/>
      <c r="T236" s="1388"/>
      <c r="U236" s="1388"/>
      <c r="V236" s="1388"/>
      <c r="W236" s="1388">
        <v>1</v>
      </c>
    </row>
    <row r="237" spans="1:25" ht="12.75" customHeight="1" x14ac:dyDescent="0.2">
      <c r="A237" s="1397" t="s">
        <v>15396</v>
      </c>
      <c r="B237" s="1370" t="s">
        <v>15349</v>
      </c>
      <c r="C237" s="1398">
        <f t="shared" si="45"/>
        <v>1</v>
      </c>
      <c r="D237" s="80"/>
      <c r="E237" s="1370"/>
      <c r="F237" s="991">
        <f t="shared" si="46"/>
        <v>1</v>
      </c>
      <c r="G237" s="1428"/>
      <c r="H237" s="1428"/>
      <c r="I237" s="1427">
        <v>1</v>
      </c>
      <c r="J237" s="1427"/>
      <c r="K237" s="1428"/>
      <c r="L237" s="1428"/>
      <c r="M237" s="1427"/>
      <c r="N237" s="1429"/>
      <c r="O237" s="1388"/>
      <c r="P237" s="1388"/>
      <c r="Q237" s="1388"/>
      <c r="R237" s="1468"/>
      <c r="S237" s="1468"/>
      <c r="T237" s="1388"/>
      <c r="U237" s="1388"/>
      <c r="V237" s="1388"/>
      <c r="W237" s="1388"/>
    </row>
    <row r="238" spans="1:25" ht="12.75" customHeight="1" x14ac:dyDescent="0.2">
      <c r="A238" s="1426" t="s">
        <v>2984</v>
      </c>
      <c r="B238" s="1389" t="s">
        <v>6326</v>
      </c>
      <c r="C238" s="1398">
        <f t="shared" si="45"/>
        <v>1</v>
      </c>
      <c r="D238" s="80"/>
      <c r="E238" s="1370"/>
      <c r="F238" s="991">
        <f t="shared" si="46"/>
        <v>1</v>
      </c>
      <c r="G238" s="1428"/>
      <c r="H238" s="1428">
        <v>1</v>
      </c>
      <c r="I238" s="1427"/>
      <c r="J238" s="1427"/>
      <c r="K238" s="1428"/>
      <c r="L238" s="1428"/>
      <c r="M238" s="1427"/>
      <c r="N238" s="1429"/>
      <c r="O238" s="1388"/>
      <c r="P238" s="1388"/>
      <c r="Q238" s="1388"/>
      <c r="R238" s="1388"/>
      <c r="S238" s="1388"/>
      <c r="T238" s="1388"/>
      <c r="U238" s="1388"/>
      <c r="V238" s="1388"/>
      <c r="W238" s="1388"/>
    </row>
    <row r="239" spans="1:25" ht="12.75" customHeight="1" x14ac:dyDescent="0.2">
      <c r="A239" s="1397" t="s">
        <v>4269</v>
      </c>
      <c r="B239" s="1370" t="s">
        <v>4270</v>
      </c>
      <c r="C239" s="1398">
        <f t="shared" si="45"/>
        <v>3</v>
      </c>
      <c r="D239" s="80"/>
      <c r="E239" s="1370"/>
      <c r="F239" s="991">
        <f t="shared" si="46"/>
        <v>3</v>
      </c>
      <c r="G239" s="1428"/>
      <c r="H239" s="1428">
        <v>1</v>
      </c>
      <c r="I239" s="1427"/>
      <c r="J239" s="1427"/>
      <c r="K239" s="1428">
        <v>1</v>
      </c>
      <c r="L239" s="1428"/>
      <c r="M239" s="1427"/>
      <c r="N239" s="1429"/>
      <c r="O239" s="1388">
        <v>1</v>
      </c>
      <c r="P239" s="1388"/>
      <c r="Q239" s="1388"/>
      <c r="R239" s="1388"/>
      <c r="S239" s="1388"/>
      <c r="T239" s="1388"/>
      <c r="U239" s="1388"/>
      <c r="V239" s="1388"/>
      <c r="W239" s="1388"/>
    </row>
    <row r="240" spans="1:25" ht="12.75" customHeight="1" x14ac:dyDescent="0.2">
      <c r="A240" s="1399" t="s">
        <v>726</v>
      </c>
      <c r="B240" s="1376" t="s">
        <v>1295</v>
      </c>
      <c r="C240" s="1398">
        <f t="shared" si="45"/>
        <v>17</v>
      </c>
      <c r="D240" s="80"/>
      <c r="E240" s="1370"/>
      <c r="F240" s="991">
        <f t="shared" si="46"/>
        <v>6</v>
      </c>
      <c r="G240" s="1428">
        <v>1</v>
      </c>
      <c r="H240" s="1428">
        <v>10</v>
      </c>
      <c r="I240" s="1427"/>
      <c r="J240" s="1427">
        <v>2</v>
      </c>
      <c r="K240" s="1428"/>
      <c r="L240" s="1428"/>
      <c r="M240" s="1427">
        <v>1</v>
      </c>
      <c r="N240" s="1429"/>
      <c r="O240" s="1388">
        <v>1</v>
      </c>
      <c r="P240" s="1388"/>
      <c r="Q240" s="1388"/>
      <c r="R240" s="1388">
        <v>2</v>
      </c>
      <c r="S240" s="1388"/>
      <c r="T240" s="1388"/>
      <c r="U240" s="1388"/>
      <c r="V240" s="1388"/>
      <c r="W240" s="1388"/>
    </row>
    <row r="241" spans="1:23" ht="12.75" customHeight="1" x14ac:dyDescent="0.2">
      <c r="A241" s="1399" t="s">
        <v>3508</v>
      </c>
      <c r="B241" s="1376" t="s">
        <v>1295</v>
      </c>
      <c r="C241" s="1398">
        <f t="shared" si="45"/>
        <v>14</v>
      </c>
      <c r="D241" s="80"/>
      <c r="E241" s="1370"/>
      <c r="F241" s="991">
        <f t="shared" si="46"/>
        <v>6</v>
      </c>
      <c r="G241" s="1428">
        <v>1</v>
      </c>
      <c r="H241" s="1428">
        <v>7</v>
      </c>
      <c r="I241" s="1427">
        <v>1</v>
      </c>
      <c r="J241" s="1427">
        <v>3</v>
      </c>
      <c r="K241" s="1428"/>
      <c r="L241" s="1428"/>
      <c r="M241" s="1427">
        <v>1</v>
      </c>
      <c r="N241" s="1429"/>
      <c r="O241" s="1388"/>
      <c r="P241" s="1388"/>
      <c r="Q241" s="1388"/>
      <c r="R241" s="1388">
        <v>1</v>
      </c>
      <c r="S241" s="1388"/>
      <c r="T241" s="1388"/>
      <c r="U241" s="1388"/>
      <c r="V241" s="1388"/>
      <c r="W241" s="1388"/>
    </row>
    <row r="242" spans="1:23" ht="12.75" customHeight="1" x14ac:dyDescent="0.2">
      <c r="A242" s="1397" t="s">
        <v>866</v>
      </c>
      <c r="B242" s="1370" t="s">
        <v>867</v>
      </c>
      <c r="C242" s="1398">
        <f t="shared" si="45"/>
        <v>29</v>
      </c>
      <c r="D242" s="80"/>
      <c r="E242" s="1370"/>
      <c r="F242" s="991">
        <f t="shared" si="46"/>
        <v>4</v>
      </c>
      <c r="G242" s="1428"/>
      <c r="H242" s="1428">
        <v>9</v>
      </c>
      <c r="I242" s="1427">
        <v>1</v>
      </c>
      <c r="J242" s="1427">
        <v>8</v>
      </c>
      <c r="K242" s="1428"/>
      <c r="L242" s="1428"/>
      <c r="M242" s="1427">
        <v>11</v>
      </c>
      <c r="N242" s="1429"/>
      <c r="O242" s="1388"/>
      <c r="P242" s="1388"/>
      <c r="Q242" s="1388"/>
      <c r="R242" s="1468"/>
      <c r="S242" s="1468"/>
      <c r="T242" s="1388"/>
      <c r="U242" s="1388"/>
      <c r="V242" s="1388"/>
      <c r="W242" s="1388"/>
    </row>
    <row r="243" spans="1:23" ht="12.75" customHeight="1" x14ac:dyDescent="0.2">
      <c r="A243" s="1397" t="s">
        <v>3508</v>
      </c>
      <c r="B243" s="1370" t="s">
        <v>3632</v>
      </c>
      <c r="C243" s="1398">
        <f t="shared" si="45"/>
        <v>22</v>
      </c>
      <c r="D243" s="80"/>
      <c r="E243" s="1370"/>
      <c r="F243" s="991">
        <f t="shared" si="46"/>
        <v>7</v>
      </c>
      <c r="G243" s="1428">
        <v>1</v>
      </c>
      <c r="H243" s="1428">
        <v>4</v>
      </c>
      <c r="I243" s="1427"/>
      <c r="J243" s="1427">
        <v>10</v>
      </c>
      <c r="K243" s="1428">
        <v>3</v>
      </c>
      <c r="L243" s="1428">
        <v>1</v>
      </c>
      <c r="M243" s="1427">
        <v>2</v>
      </c>
      <c r="N243" s="1429"/>
      <c r="O243" s="1388"/>
      <c r="P243" s="1388"/>
      <c r="Q243" s="1388"/>
      <c r="R243" s="1388">
        <v>1</v>
      </c>
      <c r="S243" s="1468"/>
      <c r="T243" s="1388"/>
      <c r="U243" s="1388"/>
      <c r="V243" s="1388"/>
      <c r="W243" s="1388"/>
    </row>
    <row r="244" spans="1:23" ht="12.75" customHeight="1" x14ac:dyDescent="0.2">
      <c r="A244" s="1397" t="s">
        <v>2479</v>
      </c>
      <c r="B244" s="1370" t="s">
        <v>11025</v>
      </c>
      <c r="C244" s="1398">
        <f t="shared" si="45"/>
        <v>2</v>
      </c>
      <c r="D244" s="80"/>
      <c r="E244" s="1370"/>
      <c r="F244" s="991">
        <f t="shared" si="46"/>
        <v>1</v>
      </c>
      <c r="G244" s="1428"/>
      <c r="H244" s="1428">
        <v>2</v>
      </c>
      <c r="I244" s="1427"/>
      <c r="J244" s="1427"/>
      <c r="K244" s="1428"/>
      <c r="L244" s="1428"/>
      <c r="M244" s="1427"/>
      <c r="N244" s="1429"/>
      <c r="O244" s="1388"/>
      <c r="P244" s="1388"/>
      <c r="Q244" s="1388"/>
      <c r="R244" s="1388"/>
      <c r="S244" s="1468"/>
      <c r="T244" s="1388"/>
      <c r="U244" s="1388"/>
      <c r="V244" s="1388"/>
      <c r="W244" s="1388"/>
    </row>
    <row r="245" spans="1:23" ht="12.75" customHeight="1" x14ac:dyDescent="0.2">
      <c r="A245" s="1397" t="s">
        <v>3535</v>
      </c>
      <c r="B245" s="1370" t="s">
        <v>11025</v>
      </c>
      <c r="C245" s="1398">
        <f t="shared" si="45"/>
        <v>5</v>
      </c>
      <c r="D245" s="80"/>
      <c r="E245" s="1370"/>
      <c r="F245" s="991">
        <f t="shared" si="46"/>
        <v>5</v>
      </c>
      <c r="G245" s="1428"/>
      <c r="H245" s="1428">
        <v>1</v>
      </c>
      <c r="I245" s="1427"/>
      <c r="J245" s="1427">
        <v>1</v>
      </c>
      <c r="K245" s="1428">
        <v>1</v>
      </c>
      <c r="L245" s="1428">
        <v>1</v>
      </c>
      <c r="M245" s="1427"/>
      <c r="N245" s="1429"/>
      <c r="O245" s="1388">
        <v>1</v>
      </c>
      <c r="P245" s="1388"/>
      <c r="Q245" s="1388"/>
      <c r="R245" s="1388"/>
      <c r="S245" s="1388"/>
      <c r="T245" s="1388"/>
      <c r="U245" s="1388"/>
      <c r="V245" s="1388"/>
      <c r="W245" s="1388"/>
    </row>
    <row r="246" spans="1:23" ht="12.75" customHeight="1" x14ac:dyDescent="0.2">
      <c r="A246" s="1397" t="s">
        <v>4576</v>
      </c>
      <c r="B246" s="1370" t="s">
        <v>4577</v>
      </c>
      <c r="C246" s="1398">
        <f t="shared" si="45"/>
        <v>2</v>
      </c>
      <c r="D246" s="80"/>
      <c r="E246" s="1370"/>
      <c r="F246" s="991">
        <f t="shared" si="46"/>
        <v>1</v>
      </c>
      <c r="G246" s="1428"/>
      <c r="H246" s="1428">
        <v>2</v>
      </c>
      <c r="I246" s="1427"/>
      <c r="J246" s="1427"/>
      <c r="K246" s="1428"/>
      <c r="L246" s="1428"/>
      <c r="M246" s="1427"/>
      <c r="N246" s="1429"/>
      <c r="O246" s="1388"/>
      <c r="P246" s="1388"/>
      <c r="Q246" s="1388"/>
      <c r="R246" s="1388"/>
      <c r="S246" s="1468"/>
      <c r="T246" s="1388"/>
      <c r="U246" s="1388"/>
      <c r="V246" s="1388"/>
      <c r="W246" s="1388"/>
    </row>
    <row r="247" spans="1:23" ht="12.75" customHeight="1" x14ac:dyDescent="0.2">
      <c r="A247" s="1397" t="s">
        <v>3230</v>
      </c>
      <c r="B247" s="1370" t="s">
        <v>11625</v>
      </c>
      <c r="C247" s="1398">
        <f t="shared" si="45"/>
        <v>4</v>
      </c>
      <c r="D247" s="80"/>
      <c r="E247" s="1370"/>
      <c r="F247" s="991">
        <f t="shared" si="46"/>
        <v>4</v>
      </c>
      <c r="G247" s="1428">
        <v>1</v>
      </c>
      <c r="H247" s="1428">
        <v>1</v>
      </c>
      <c r="I247" s="1427">
        <v>1</v>
      </c>
      <c r="J247" s="1427"/>
      <c r="K247" s="1428"/>
      <c r="L247" s="1428"/>
      <c r="M247" s="1427">
        <v>1</v>
      </c>
      <c r="N247" s="1429"/>
      <c r="O247" s="1388"/>
      <c r="P247" s="1388"/>
      <c r="Q247" s="1388"/>
      <c r="R247" s="1388"/>
      <c r="S247" s="1468"/>
      <c r="T247" s="1388"/>
      <c r="U247" s="1388"/>
      <c r="V247" s="1388"/>
      <c r="W247" s="1388"/>
    </row>
    <row r="248" spans="1:23" ht="12.75" customHeight="1" x14ac:dyDescent="0.2">
      <c r="A248" s="1399" t="s">
        <v>922</v>
      </c>
      <c r="B248" s="1376" t="s">
        <v>1530</v>
      </c>
      <c r="C248" s="1398">
        <f t="shared" si="45"/>
        <v>15</v>
      </c>
      <c r="D248" s="80"/>
      <c r="E248" s="1370"/>
      <c r="F248" s="991">
        <f t="shared" si="46"/>
        <v>12</v>
      </c>
      <c r="G248" s="1428">
        <v>1</v>
      </c>
      <c r="H248" s="1428">
        <v>3</v>
      </c>
      <c r="I248" s="1427">
        <v>1</v>
      </c>
      <c r="J248" s="1427">
        <v>1</v>
      </c>
      <c r="K248" s="1428">
        <v>1</v>
      </c>
      <c r="L248" s="1428"/>
      <c r="M248" s="1427">
        <v>1</v>
      </c>
      <c r="N248" s="1429"/>
      <c r="O248" s="1388">
        <v>2</v>
      </c>
      <c r="P248" s="1388">
        <v>1</v>
      </c>
      <c r="Q248" s="1388">
        <v>1</v>
      </c>
      <c r="R248" s="1388">
        <v>1</v>
      </c>
      <c r="S248" s="1468"/>
      <c r="T248" s="1388">
        <v>1</v>
      </c>
      <c r="U248" s="1388"/>
      <c r="V248" s="1388"/>
      <c r="W248" s="1388">
        <v>1</v>
      </c>
    </row>
    <row r="249" spans="1:23" ht="12.75" customHeight="1" x14ac:dyDescent="0.2">
      <c r="A249" s="1426" t="s">
        <v>2478</v>
      </c>
      <c r="B249" s="1389" t="s">
        <v>4439</v>
      </c>
      <c r="C249" s="1398">
        <f t="shared" si="45"/>
        <v>2</v>
      </c>
      <c r="D249" s="80"/>
      <c r="E249" s="1370"/>
      <c r="F249" s="991">
        <f t="shared" si="46"/>
        <v>2</v>
      </c>
      <c r="G249" s="1428"/>
      <c r="H249" s="1428">
        <v>1</v>
      </c>
      <c r="I249" s="1427"/>
      <c r="J249" s="1427"/>
      <c r="K249" s="1428"/>
      <c r="L249" s="1428"/>
      <c r="M249" s="1427"/>
      <c r="N249" s="1429"/>
      <c r="O249" s="1388"/>
      <c r="P249" s="1388">
        <v>1</v>
      </c>
      <c r="Q249" s="1388"/>
      <c r="R249" s="1468"/>
      <c r="S249" s="1468"/>
      <c r="T249" s="1388"/>
      <c r="U249" s="1388"/>
      <c r="V249" s="1388"/>
      <c r="W249" s="1388"/>
    </row>
    <row r="250" spans="1:23" ht="12.75" customHeight="1" x14ac:dyDescent="0.2">
      <c r="A250" s="1397" t="s">
        <v>1796</v>
      </c>
      <c r="B250" s="1370" t="s">
        <v>1797</v>
      </c>
      <c r="C250" s="1398">
        <f t="shared" si="45"/>
        <v>7</v>
      </c>
      <c r="D250" s="80"/>
      <c r="E250" s="1370"/>
      <c r="F250" s="991">
        <f t="shared" si="46"/>
        <v>6</v>
      </c>
      <c r="G250" s="1428"/>
      <c r="H250" s="1428">
        <v>2</v>
      </c>
      <c r="I250" s="1427">
        <v>1</v>
      </c>
      <c r="J250" s="1427">
        <v>1</v>
      </c>
      <c r="K250" s="1428"/>
      <c r="L250" s="1428"/>
      <c r="M250" s="1427">
        <v>1</v>
      </c>
      <c r="N250" s="1429"/>
      <c r="O250" s="1388"/>
      <c r="P250" s="1388"/>
      <c r="Q250" s="1388">
        <v>1</v>
      </c>
      <c r="R250" s="1388">
        <v>1</v>
      </c>
      <c r="S250" s="1388"/>
      <c r="T250" s="1388"/>
      <c r="U250" s="1388"/>
      <c r="V250" s="1388"/>
      <c r="W250" s="1388"/>
    </row>
    <row r="251" spans="1:23" ht="12.75" customHeight="1" x14ac:dyDescent="0.2">
      <c r="A251" s="1397" t="s">
        <v>868</v>
      </c>
      <c r="B251" s="1370" t="s">
        <v>2480</v>
      </c>
      <c r="C251" s="1398">
        <f t="shared" si="45"/>
        <v>268</v>
      </c>
      <c r="D251" s="80"/>
      <c r="E251" s="1370"/>
      <c r="F251" s="991">
        <f t="shared" si="46"/>
        <v>4</v>
      </c>
      <c r="G251" s="1428"/>
      <c r="H251" s="1428"/>
      <c r="I251" s="1427"/>
      <c r="J251" s="1427"/>
      <c r="K251" s="1428"/>
      <c r="L251" s="1428"/>
      <c r="M251" s="1427"/>
      <c r="N251" s="1429"/>
      <c r="O251" s="1388"/>
      <c r="P251" s="1388"/>
      <c r="Q251" s="1388">
        <v>1</v>
      </c>
      <c r="R251" s="1388">
        <v>1</v>
      </c>
      <c r="S251" s="1388"/>
      <c r="T251" s="1388"/>
      <c r="U251" s="1388">
        <v>173</v>
      </c>
      <c r="V251" s="1388"/>
      <c r="W251" s="1388">
        <v>93</v>
      </c>
    </row>
    <row r="252" spans="1:23" ht="12.75" customHeight="1" x14ac:dyDescent="0.2">
      <c r="A252" s="1399" t="s">
        <v>10935</v>
      </c>
      <c r="B252" s="1376" t="s">
        <v>10911</v>
      </c>
      <c r="C252" s="1398">
        <f t="shared" si="45"/>
        <v>1</v>
      </c>
      <c r="D252" s="80"/>
      <c r="E252" s="1370"/>
      <c r="F252" s="991">
        <f t="shared" si="46"/>
        <v>1</v>
      </c>
      <c r="G252" s="1428"/>
      <c r="H252" s="1428"/>
      <c r="I252" s="1427"/>
      <c r="J252" s="1427"/>
      <c r="K252" s="1428">
        <v>1</v>
      </c>
      <c r="L252" s="1428"/>
      <c r="M252" s="1427"/>
      <c r="N252" s="1429"/>
      <c r="O252" s="1388"/>
      <c r="P252" s="1388"/>
      <c r="Q252" s="1388"/>
      <c r="R252" s="1388"/>
      <c r="S252" s="1388"/>
      <c r="T252" s="1388"/>
      <c r="U252" s="1388"/>
      <c r="V252" s="1388"/>
      <c r="W252" s="1388"/>
    </row>
    <row r="253" spans="1:23" ht="12.75" customHeight="1" x14ac:dyDescent="0.2">
      <c r="A253" s="1399" t="s">
        <v>5540</v>
      </c>
      <c r="B253" s="1376" t="s">
        <v>5541</v>
      </c>
      <c r="C253" s="1398">
        <f t="shared" si="45"/>
        <v>1</v>
      </c>
      <c r="D253" s="80"/>
      <c r="E253" s="1370"/>
      <c r="F253" s="991">
        <f t="shared" si="46"/>
        <v>1</v>
      </c>
      <c r="G253" s="1428"/>
      <c r="H253" s="1428"/>
      <c r="I253" s="1427"/>
      <c r="J253" s="1427"/>
      <c r="K253" s="1428"/>
      <c r="L253" s="1428"/>
      <c r="M253" s="1427"/>
      <c r="N253" s="1429"/>
      <c r="O253" s="1388"/>
      <c r="P253" s="1388"/>
      <c r="Q253" s="1388"/>
      <c r="R253" s="1388"/>
      <c r="S253" s="1388"/>
      <c r="T253" s="1388"/>
      <c r="U253" s="1388">
        <v>1</v>
      </c>
      <c r="V253" s="1388"/>
      <c r="W253" s="1388"/>
    </row>
    <row r="254" spans="1:23" ht="12.75" customHeight="1" x14ac:dyDescent="0.2">
      <c r="A254" s="1397" t="s">
        <v>3543</v>
      </c>
      <c r="B254" s="1370" t="s">
        <v>3100</v>
      </c>
      <c r="C254" s="1398">
        <f t="shared" si="45"/>
        <v>28</v>
      </c>
      <c r="D254" s="80"/>
      <c r="E254" s="1370"/>
      <c r="F254" s="991">
        <f t="shared" si="46"/>
        <v>1</v>
      </c>
      <c r="G254" s="1428"/>
      <c r="H254" s="1428"/>
      <c r="I254" s="1427"/>
      <c r="J254" s="1427">
        <v>28</v>
      </c>
      <c r="K254" s="1428"/>
      <c r="L254" s="1428"/>
      <c r="M254" s="1427"/>
      <c r="N254" s="1429"/>
      <c r="O254" s="1388"/>
      <c r="P254" s="1388"/>
      <c r="Q254" s="1388"/>
      <c r="R254" s="1468"/>
      <c r="S254" s="1468"/>
      <c r="T254" s="1388"/>
      <c r="U254" s="1388"/>
      <c r="V254" s="1388"/>
      <c r="W254" s="1388"/>
    </row>
    <row r="255" spans="1:23" ht="12.75" customHeight="1" x14ac:dyDescent="0.2">
      <c r="A255" s="1399" t="s">
        <v>5980</v>
      </c>
      <c r="B255" s="1376" t="s">
        <v>4818</v>
      </c>
      <c r="C255" s="1398">
        <f t="shared" si="45"/>
        <v>1</v>
      </c>
      <c r="D255" s="80"/>
      <c r="E255" s="1370"/>
      <c r="F255" s="991">
        <f t="shared" si="46"/>
        <v>1</v>
      </c>
      <c r="G255" s="1428"/>
      <c r="H255" s="1428"/>
      <c r="I255" s="1427"/>
      <c r="J255" s="1427"/>
      <c r="K255" s="1428"/>
      <c r="L255" s="1428"/>
      <c r="M255" s="1427"/>
      <c r="N255" s="1429"/>
      <c r="O255" s="1388"/>
      <c r="P255" s="1388"/>
      <c r="Q255" s="1388"/>
      <c r="R255" s="1468"/>
      <c r="S255" s="1468">
        <v>1</v>
      </c>
      <c r="T255" s="1388"/>
      <c r="U255" s="1388"/>
      <c r="V255" s="1388"/>
      <c r="W255" s="1388"/>
    </row>
    <row r="256" spans="1:23" ht="12.75" customHeight="1" x14ac:dyDescent="0.2">
      <c r="A256" s="1397" t="s">
        <v>3011</v>
      </c>
      <c r="B256" s="1370" t="s">
        <v>3012</v>
      </c>
      <c r="C256" s="1398">
        <f t="shared" si="45"/>
        <v>1</v>
      </c>
      <c r="D256" s="80"/>
      <c r="E256" s="1370"/>
      <c r="F256" s="991">
        <f t="shared" si="46"/>
        <v>1</v>
      </c>
      <c r="G256" s="1428"/>
      <c r="H256" s="1428"/>
      <c r="I256" s="1427"/>
      <c r="J256" s="1427"/>
      <c r="K256" s="1428"/>
      <c r="L256" s="1428"/>
      <c r="M256" s="1427">
        <v>1</v>
      </c>
      <c r="N256" s="1429"/>
      <c r="O256" s="1388"/>
      <c r="P256" s="1388"/>
      <c r="Q256" s="1388"/>
      <c r="R256" s="1468"/>
      <c r="S256" s="1468"/>
      <c r="T256" s="1388"/>
      <c r="U256" s="1388"/>
      <c r="V256" s="1388"/>
      <c r="W256" s="1388"/>
    </row>
    <row r="257" spans="1:51" ht="12.75" customHeight="1" x14ac:dyDescent="0.2">
      <c r="A257" s="1397" t="s">
        <v>3007</v>
      </c>
      <c r="B257" s="1370" t="s">
        <v>664</v>
      </c>
      <c r="C257" s="1398">
        <f t="shared" si="45"/>
        <v>3</v>
      </c>
      <c r="D257" s="80"/>
      <c r="E257" s="1370"/>
      <c r="F257" s="991">
        <f t="shared" si="46"/>
        <v>1</v>
      </c>
      <c r="G257" s="1428"/>
      <c r="H257" s="1428"/>
      <c r="I257" s="1427">
        <v>3</v>
      </c>
      <c r="J257" s="1427"/>
      <c r="K257" s="1428"/>
      <c r="L257" s="1428"/>
      <c r="M257" s="1427"/>
      <c r="N257" s="1429"/>
      <c r="O257" s="1388"/>
      <c r="P257" s="1388"/>
      <c r="Q257" s="1388"/>
      <c r="R257" s="1468"/>
      <c r="S257" s="1468"/>
      <c r="T257" s="1388"/>
      <c r="U257" s="1388"/>
      <c r="V257" s="1388"/>
      <c r="W257" s="1388"/>
    </row>
    <row r="258" spans="1:51" ht="12.75" customHeight="1" x14ac:dyDescent="0.25">
      <c r="A258" s="1399" t="s">
        <v>1308</v>
      </c>
      <c r="B258" s="1376" t="s">
        <v>428</v>
      </c>
      <c r="C258" s="1398">
        <f t="shared" si="45"/>
        <v>1</v>
      </c>
      <c r="D258" s="80"/>
      <c r="E258" s="1370"/>
      <c r="F258" s="991">
        <f t="shared" si="46"/>
        <v>1</v>
      </c>
      <c r="G258" s="1428"/>
      <c r="H258" s="1428"/>
      <c r="I258" s="1427"/>
      <c r="J258" s="1427"/>
      <c r="K258" s="1428">
        <v>1</v>
      </c>
      <c r="L258" s="1428"/>
      <c r="M258" s="1427"/>
      <c r="N258" s="1429"/>
      <c r="O258" s="1388"/>
      <c r="P258" s="1388"/>
      <c r="Q258" s="1388"/>
      <c r="R258" s="1388"/>
      <c r="S258" s="1388"/>
      <c r="T258" s="1388"/>
      <c r="U258" s="1388"/>
      <c r="V258" s="1388"/>
      <c r="W258" s="1388"/>
      <c r="AW258" s="185"/>
      <c r="AX258" s="185"/>
    </row>
    <row r="259" spans="1:51" ht="12.75" customHeight="1" x14ac:dyDescent="0.25">
      <c r="A259" s="1397" t="s">
        <v>4640</v>
      </c>
      <c r="B259" s="1370" t="s">
        <v>4641</v>
      </c>
      <c r="C259" s="1398">
        <f t="shared" si="45"/>
        <v>5</v>
      </c>
      <c r="D259" s="80"/>
      <c r="E259" s="1370"/>
      <c r="F259" s="991">
        <f t="shared" si="46"/>
        <v>1</v>
      </c>
      <c r="G259" s="1428"/>
      <c r="H259" s="1428"/>
      <c r="I259" s="1427"/>
      <c r="J259" s="1427">
        <v>5</v>
      </c>
      <c r="K259" s="1428"/>
      <c r="L259" s="1428"/>
      <c r="M259" s="1427"/>
      <c r="N259" s="1429"/>
      <c r="O259" s="1388"/>
      <c r="P259" s="1388"/>
      <c r="Q259" s="1388"/>
      <c r="R259" s="1388"/>
      <c r="S259" s="1388"/>
      <c r="T259" s="1388"/>
      <c r="U259" s="1388"/>
      <c r="V259" s="1388"/>
      <c r="W259" s="1388"/>
      <c r="AW259" s="185"/>
      <c r="AX259" s="185"/>
    </row>
    <row r="260" spans="1:51" ht="12.75" customHeight="1" x14ac:dyDescent="0.2">
      <c r="A260" s="1397" t="s">
        <v>1794</v>
      </c>
      <c r="B260" s="1370" t="s">
        <v>2708</v>
      </c>
      <c r="C260" s="1398">
        <f t="shared" si="45"/>
        <v>1</v>
      </c>
      <c r="D260" s="80"/>
      <c r="E260" s="1370"/>
      <c r="F260" s="991">
        <f t="shared" si="46"/>
        <v>1</v>
      </c>
      <c r="G260" s="1428"/>
      <c r="H260" s="1428"/>
      <c r="I260" s="1427"/>
      <c r="J260" s="1427"/>
      <c r="K260" s="1428"/>
      <c r="L260" s="1428"/>
      <c r="M260" s="1427">
        <v>1</v>
      </c>
      <c r="N260" s="1429"/>
      <c r="O260" s="1388"/>
      <c r="P260" s="1388"/>
      <c r="Q260" s="1388"/>
      <c r="R260" s="1388"/>
      <c r="S260" s="1388"/>
      <c r="T260" s="1388"/>
      <c r="U260" s="1388"/>
      <c r="V260" s="1388"/>
      <c r="W260" s="1388"/>
    </row>
    <row r="261" spans="1:51" ht="12.75" customHeight="1" x14ac:dyDescent="0.2">
      <c r="A261" s="1397" t="s">
        <v>665</v>
      </c>
      <c r="B261" s="1370" t="s">
        <v>666</v>
      </c>
      <c r="C261" s="1398">
        <f t="shared" si="45"/>
        <v>20</v>
      </c>
      <c r="D261" s="80"/>
      <c r="E261" s="1370"/>
      <c r="F261" s="991">
        <f t="shared" si="46"/>
        <v>16</v>
      </c>
      <c r="G261" s="1428">
        <v>1</v>
      </c>
      <c r="H261" s="1428">
        <v>1</v>
      </c>
      <c r="I261" s="1427">
        <v>1</v>
      </c>
      <c r="J261" s="1427">
        <v>2</v>
      </c>
      <c r="K261" s="1428">
        <v>1</v>
      </c>
      <c r="L261" s="1428">
        <v>1</v>
      </c>
      <c r="M261" s="1427">
        <v>2</v>
      </c>
      <c r="N261" s="1429"/>
      <c r="O261" s="1388">
        <v>2</v>
      </c>
      <c r="P261" s="1388">
        <v>1</v>
      </c>
      <c r="Q261" s="1388">
        <v>1</v>
      </c>
      <c r="R261" s="1468">
        <v>1</v>
      </c>
      <c r="S261" s="1468">
        <v>1</v>
      </c>
      <c r="T261" s="1388">
        <v>1</v>
      </c>
      <c r="U261" s="1388">
        <v>2</v>
      </c>
      <c r="V261" s="1388">
        <v>1</v>
      </c>
      <c r="W261" s="1388">
        <v>1</v>
      </c>
    </row>
    <row r="262" spans="1:51" ht="12.75" customHeight="1" x14ac:dyDescent="0.2">
      <c r="A262" s="1397" t="s">
        <v>12797</v>
      </c>
      <c r="B262" s="1370" t="s">
        <v>12718</v>
      </c>
      <c r="C262" s="1398">
        <f t="shared" si="45"/>
        <v>54</v>
      </c>
      <c r="D262" s="80"/>
      <c r="E262" s="1370"/>
      <c r="F262" s="991">
        <f t="shared" si="46"/>
        <v>4</v>
      </c>
      <c r="G262" s="1428"/>
      <c r="H262" s="1428"/>
      <c r="I262" s="1427"/>
      <c r="J262" s="1427"/>
      <c r="K262" s="1428"/>
      <c r="L262" s="1428"/>
      <c r="M262" s="1427"/>
      <c r="N262" s="1429"/>
      <c r="O262" s="1388"/>
      <c r="P262" s="1388">
        <v>5</v>
      </c>
      <c r="Q262" s="1388">
        <v>3</v>
      </c>
      <c r="R262" s="1468"/>
      <c r="S262" s="1468"/>
      <c r="T262" s="1388"/>
      <c r="U262" s="1388">
        <v>45</v>
      </c>
      <c r="V262" s="1388"/>
      <c r="W262" s="1388">
        <v>1</v>
      </c>
    </row>
    <row r="263" spans="1:51" ht="12.75" customHeight="1" x14ac:dyDescent="0.2">
      <c r="A263" s="1397" t="s">
        <v>12758</v>
      </c>
      <c r="B263" s="1370" t="s">
        <v>12718</v>
      </c>
      <c r="C263" s="1398">
        <f t="shared" si="45"/>
        <v>284</v>
      </c>
      <c r="D263" s="80"/>
      <c r="E263" s="1370"/>
      <c r="F263" s="991">
        <f t="shared" si="46"/>
        <v>4</v>
      </c>
      <c r="G263" s="1428"/>
      <c r="H263" s="1428"/>
      <c r="I263" s="1427"/>
      <c r="J263" s="1427"/>
      <c r="K263" s="1428"/>
      <c r="L263" s="1428"/>
      <c r="M263" s="1427"/>
      <c r="N263" s="1429"/>
      <c r="O263" s="1388"/>
      <c r="P263" s="1388">
        <v>5</v>
      </c>
      <c r="Q263" s="1388">
        <v>3</v>
      </c>
      <c r="R263" s="1468"/>
      <c r="S263" s="1468"/>
      <c r="T263" s="1388"/>
      <c r="U263" s="1388">
        <v>275</v>
      </c>
      <c r="V263" s="1388"/>
      <c r="W263" s="1388">
        <v>1</v>
      </c>
    </row>
    <row r="264" spans="1:51" ht="12.75" customHeight="1" x14ac:dyDescent="0.2">
      <c r="A264" s="1397" t="s">
        <v>4677</v>
      </c>
      <c r="B264" s="1370" t="s">
        <v>4678</v>
      </c>
      <c r="C264" s="1398">
        <f t="shared" si="45"/>
        <v>70</v>
      </c>
      <c r="D264" s="80"/>
      <c r="E264" s="1370"/>
      <c r="F264" s="991">
        <f t="shared" si="46"/>
        <v>3</v>
      </c>
      <c r="G264" s="1428"/>
      <c r="H264" s="1428">
        <v>3</v>
      </c>
      <c r="I264" s="1427"/>
      <c r="J264" s="1427">
        <v>8</v>
      </c>
      <c r="K264" s="1428"/>
      <c r="L264" s="1428"/>
      <c r="M264" s="1427">
        <v>59</v>
      </c>
      <c r="N264" s="1429"/>
      <c r="O264" s="1388"/>
      <c r="P264" s="1388"/>
      <c r="Q264" s="1388"/>
      <c r="R264" s="1468"/>
      <c r="S264" s="1468"/>
      <c r="T264" s="1388"/>
      <c r="U264" s="1388"/>
      <c r="V264" s="1388"/>
      <c r="W264" s="1388"/>
    </row>
    <row r="265" spans="1:51" ht="12.75" customHeight="1" x14ac:dyDescent="0.2">
      <c r="A265" s="1397" t="s">
        <v>1798</v>
      </c>
      <c r="B265" s="1370" t="s">
        <v>3006</v>
      </c>
      <c r="C265" s="1398">
        <f t="shared" si="45"/>
        <v>10</v>
      </c>
      <c r="D265" s="80"/>
      <c r="E265" s="1370"/>
      <c r="F265" s="991">
        <f t="shared" si="46"/>
        <v>2</v>
      </c>
      <c r="G265" s="1428"/>
      <c r="H265" s="1428"/>
      <c r="I265" s="1427"/>
      <c r="J265" s="1427"/>
      <c r="K265" s="1428"/>
      <c r="L265" s="1428"/>
      <c r="M265" s="1427"/>
      <c r="N265" s="1429"/>
      <c r="O265" s="1388"/>
      <c r="P265" s="1388"/>
      <c r="Q265" s="1388"/>
      <c r="R265" s="1468"/>
      <c r="S265" s="1468"/>
      <c r="T265" s="1388"/>
      <c r="U265" s="1388">
        <v>4</v>
      </c>
      <c r="V265" s="1388"/>
      <c r="W265" s="1388">
        <v>6</v>
      </c>
    </row>
    <row r="266" spans="1:51" ht="12.75" customHeight="1" x14ac:dyDescent="0.2">
      <c r="A266" s="1397"/>
      <c r="B266" s="1370"/>
      <c r="C266" s="1398"/>
      <c r="D266" s="80"/>
      <c r="E266" s="1370"/>
      <c r="F266" s="978"/>
      <c r="G266" s="1324" t="str">
        <f>G226</f>
        <v>CLG</v>
      </c>
      <c r="H266" s="1325" t="str">
        <f t="shared" ref="H266:M266" si="47">H226</f>
        <v>CHY</v>
      </c>
      <c r="I266" s="1324" t="str">
        <f t="shared" si="47"/>
        <v>FRY</v>
      </c>
      <c r="J266" s="1325" t="str">
        <f t="shared" si="47"/>
        <v>GUL</v>
      </c>
      <c r="K266" s="1324" t="str">
        <f t="shared" si="47"/>
        <v>MOL</v>
      </c>
      <c r="L266" s="1325" t="str">
        <f t="shared" si="47"/>
        <v>RGP</v>
      </c>
      <c r="M266" s="1324" t="str">
        <f t="shared" si="47"/>
        <v>WOK</v>
      </c>
      <c r="N266" s="296"/>
      <c r="O266" s="1324" t="str">
        <f t="shared" ref="O266:W266" si="48">O226</f>
        <v>BKL</v>
      </c>
      <c r="P266" s="1325" t="str">
        <f t="shared" si="48"/>
        <v>CIA</v>
      </c>
      <c r="Q266" s="1324" t="str">
        <f t="shared" si="48"/>
        <v>DIP</v>
      </c>
      <c r="R266" s="1325" t="str">
        <f t="shared" si="48"/>
        <v>MDH</v>
      </c>
      <c r="S266" s="1324" t="str">
        <f t="shared" si="48"/>
        <v>NBY</v>
      </c>
      <c r="T266" s="1325" t="str">
        <f t="shared" si="48"/>
        <v>PRO</v>
      </c>
      <c r="U266" s="1324" t="str">
        <f t="shared" si="48"/>
        <v>RDG</v>
      </c>
      <c r="V266" s="1325" t="s">
        <v>3314</v>
      </c>
      <c r="W266" s="1324" t="str">
        <f t="shared" si="48"/>
        <v>WLY</v>
      </c>
    </row>
    <row r="267" spans="1:51" ht="12.75" customHeight="1" x14ac:dyDescent="0.2">
      <c r="A267" s="1397" t="s">
        <v>3211</v>
      </c>
      <c r="B267" s="1370" t="s">
        <v>3212</v>
      </c>
      <c r="C267" s="1398">
        <f t="shared" ref="C267:C307" si="49">SUM(G267:W267)</f>
        <v>12</v>
      </c>
      <c r="D267" s="80"/>
      <c r="E267" s="1370"/>
      <c r="F267" s="991">
        <f t="shared" ref="F267:F307" si="50">COUNT(G267:W267)</f>
        <v>1</v>
      </c>
      <c r="G267" s="1428"/>
      <c r="H267" s="1428"/>
      <c r="I267" s="1427"/>
      <c r="J267" s="1427"/>
      <c r="K267" s="1428"/>
      <c r="L267" s="1428"/>
      <c r="M267" s="1427"/>
      <c r="N267" s="1429"/>
      <c r="O267" s="1388">
        <v>12</v>
      </c>
      <c r="P267" s="1388"/>
      <c r="Q267" s="1388"/>
      <c r="R267" s="1468"/>
      <c r="S267" s="1468"/>
      <c r="T267" s="1388"/>
      <c r="U267" s="1388"/>
      <c r="V267" s="1388"/>
      <c r="W267" s="1388"/>
    </row>
    <row r="268" spans="1:51" ht="12.75" customHeight="1" x14ac:dyDescent="0.2">
      <c r="A268" s="1397" t="s">
        <v>16702</v>
      </c>
      <c r="B268" s="1370" t="s">
        <v>16703</v>
      </c>
      <c r="C268" s="1398">
        <f t="shared" si="49"/>
        <v>2</v>
      </c>
      <c r="D268" s="80"/>
      <c r="E268" s="1370"/>
      <c r="F268" s="991">
        <f t="shared" si="50"/>
        <v>2</v>
      </c>
      <c r="G268" s="1428"/>
      <c r="H268" s="1428"/>
      <c r="I268" s="1427"/>
      <c r="J268" s="1427"/>
      <c r="K268" s="1428"/>
      <c r="L268" s="1428"/>
      <c r="M268" s="1427"/>
      <c r="N268" s="1429"/>
      <c r="O268" s="1388"/>
      <c r="P268" s="1388"/>
      <c r="Q268" s="1388">
        <v>1</v>
      </c>
      <c r="R268" s="1468"/>
      <c r="S268" s="1468"/>
      <c r="T268" s="1388"/>
      <c r="U268" s="1388"/>
      <c r="V268" s="1388">
        <v>1</v>
      </c>
      <c r="W268" s="1388"/>
    </row>
    <row r="269" spans="1:51" ht="12.75" customHeight="1" x14ac:dyDescent="0.2">
      <c r="A269" s="1397" t="s">
        <v>3014</v>
      </c>
      <c r="B269" s="1370" t="s">
        <v>3015</v>
      </c>
      <c r="C269" s="1398">
        <f t="shared" si="49"/>
        <v>6</v>
      </c>
      <c r="D269" s="80"/>
      <c r="E269" s="1370"/>
      <c r="F269" s="991">
        <f t="shared" si="50"/>
        <v>3</v>
      </c>
      <c r="G269" s="1428"/>
      <c r="H269" s="1428"/>
      <c r="I269" s="1427"/>
      <c r="J269" s="1427"/>
      <c r="K269" s="1428">
        <v>1</v>
      </c>
      <c r="L269" s="1428">
        <v>3</v>
      </c>
      <c r="M269" s="1427">
        <v>2</v>
      </c>
      <c r="N269" s="1429"/>
      <c r="O269" s="1388"/>
      <c r="P269" s="1388"/>
      <c r="Q269" s="1388"/>
      <c r="R269" s="1388"/>
      <c r="S269" s="1388"/>
      <c r="T269" s="1388"/>
      <c r="U269" s="1388"/>
      <c r="V269" s="1388"/>
      <c r="W269" s="1388"/>
    </row>
    <row r="270" spans="1:51" ht="12.75" customHeight="1" x14ac:dyDescent="0.2">
      <c r="A270" s="1397" t="s">
        <v>2342</v>
      </c>
      <c r="B270" s="1370" t="s">
        <v>2343</v>
      </c>
      <c r="C270" s="1398">
        <f t="shared" si="49"/>
        <v>10</v>
      </c>
      <c r="D270" s="80"/>
      <c r="E270" s="1370"/>
      <c r="F270" s="991">
        <f t="shared" si="50"/>
        <v>8</v>
      </c>
      <c r="G270" s="1428">
        <v>1</v>
      </c>
      <c r="H270" s="1428">
        <v>2</v>
      </c>
      <c r="I270" s="1427">
        <v>1</v>
      </c>
      <c r="J270" s="1427">
        <v>1</v>
      </c>
      <c r="K270" s="1428"/>
      <c r="L270" s="1428"/>
      <c r="M270" s="1427">
        <v>1</v>
      </c>
      <c r="N270" s="1429"/>
      <c r="O270" s="1388">
        <v>2</v>
      </c>
      <c r="P270" s="1388">
        <v>1</v>
      </c>
      <c r="Q270" s="1388"/>
      <c r="R270" s="1388">
        <v>1</v>
      </c>
      <c r="S270" s="1388"/>
      <c r="T270" s="1388"/>
      <c r="U270" s="1388"/>
      <c r="V270" s="1388"/>
      <c r="W270" s="1388"/>
    </row>
    <row r="271" spans="1:51" ht="12.75" customHeight="1" x14ac:dyDescent="0.25">
      <c r="A271" s="1397" t="s">
        <v>2478</v>
      </c>
      <c r="B271" s="1370" t="s">
        <v>2479</v>
      </c>
      <c r="C271" s="1398">
        <f t="shared" si="49"/>
        <v>414</v>
      </c>
      <c r="D271" s="80"/>
      <c r="E271" s="1370"/>
      <c r="F271" s="991">
        <f t="shared" si="50"/>
        <v>11</v>
      </c>
      <c r="G271" s="1428"/>
      <c r="H271" s="1428">
        <v>1</v>
      </c>
      <c r="I271" s="1427">
        <v>1</v>
      </c>
      <c r="J271" s="1427"/>
      <c r="K271" s="1428"/>
      <c r="L271" s="1428"/>
      <c r="M271" s="1427">
        <v>1</v>
      </c>
      <c r="N271" s="1429"/>
      <c r="O271" s="1388">
        <v>1</v>
      </c>
      <c r="P271" s="1388">
        <v>7</v>
      </c>
      <c r="Q271" s="1388">
        <v>4</v>
      </c>
      <c r="R271" s="1400">
        <v>2</v>
      </c>
      <c r="S271" s="1400"/>
      <c r="T271" s="1388">
        <v>2</v>
      </c>
      <c r="U271" s="1388">
        <v>358</v>
      </c>
      <c r="V271" s="1388">
        <v>2</v>
      </c>
      <c r="W271" s="1388">
        <v>35</v>
      </c>
      <c r="AR271" s="185"/>
      <c r="AS271" s="185"/>
      <c r="AT271" s="185"/>
      <c r="AU271" s="185"/>
      <c r="AV271" s="185"/>
      <c r="AW271" s="185"/>
      <c r="AX271" s="185"/>
      <c r="AY271" s="185"/>
    </row>
    <row r="272" spans="1:51" ht="12.75" customHeight="1" x14ac:dyDescent="0.2">
      <c r="A272" s="1397" t="s">
        <v>3535</v>
      </c>
      <c r="B272" s="1370" t="s">
        <v>3536</v>
      </c>
      <c r="C272" s="1398">
        <f t="shared" si="49"/>
        <v>1</v>
      </c>
      <c r="D272" s="80"/>
      <c r="E272" s="1370"/>
      <c r="F272" s="991">
        <f t="shared" si="50"/>
        <v>1</v>
      </c>
      <c r="G272" s="1428"/>
      <c r="H272" s="1428">
        <v>1</v>
      </c>
      <c r="I272" s="1427"/>
      <c r="J272" s="1427"/>
      <c r="K272" s="1428"/>
      <c r="L272" s="1428"/>
      <c r="M272" s="1427"/>
      <c r="N272" s="1429"/>
      <c r="O272" s="1385"/>
      <c r="P272" s="1385"/>
      <c r="Q272" s="1388"/>
      <c r="R272" s="1400"/>
      <c r="S272" s="1400"/>
      <c r="T272" s="1388"/>
      <c r="U272" s="1388"/>
      <c r="V272" s="1388"/>
      <c r="W272" s="1388"/>
    </row>
    <row r="273" spans="1:23" ht="12.75" customHeight="1" x14ac:dyDescent="0.2">
      <c r="A273" s="1399" t="s">
        <v>866</v>
      </c>
      <c r="B273" s="1376" t="s">
        <v>4635</v>
      </c>
      <c r="C273" s="1398">
        <f t="shared" si="49"/>
        <v>28</v>
      </c>
      <c r="D273" s="80"/>
      <c r="E273" s="1370"/>
      <c r="F273" s="991">
        <f t="shared" si="50"/>
        <v>8</v>
      </c>
      <c r="G273" s="1428">
        <v>1</v>
      </c>
      <c r="H273" s="1428">
        <v>2</v>
      </c>
      <c r="I273" s="1427">
        <v>1</v>
      </c>
      <c r="J273" s="1427">
        <v>20</v>
      </c>
      <c r="K273" s="1428"/>
      <c r="L273" s="1428">
        <v>1</v>
      </c>
      <c r="M273" s="1427"/>
      <c r="N273" s="1429"/>
      <c r="O273" s="1388">
        <v>1</v>
      </c>
      <c r="P273" s="1388">
        <v>1</v>
      </c>
      <c r="Q273" s="1388"/>
      <c r="R273" s="1388">
        <v>1</v>
      </c>
      <c r="S273" s="1388"/>
      <c r="T273" s="1388"/>
      <c r="U273" s="1388"/>
      <c r="V273" s="1388"/>
      <c r="W273" s="1388"/>
    </row>
    <row r="274" spans="1:23" ht="12.75" customHeight="1" x14ac:dyDescent="0.2">
      <c r="A274" s="1399" t="s">
        <v>4561</v>
      </c>
      <c r="B274" s="1376" t="s">
        <v>4562</v>
      </c>
      <c r="C274" s="1398">
        <f t="shared" si="49"/>
        <v>10</v>
      </c>
      <c r="D274" s="80"/>
      <c r="E274" s="1370"/>
      <c r="F274" s="991">
        <f t="shared" si="50"/>
        <v>6</v>
      </c>
      <c r="G274" s="1428"/>
      <c r="H274" s="1428">
        <v>4</v>
      </c>
      <c r="I274" s="1427"/>
      <c r="J274" s="1427"/>
      <c r="K274" s="1428">
        <v>2</v>
      </c>
      <c r="L274" s="1428"/>
      <c r="M274" s="1427">
        <v>1</v>
      </c>
      <c r="N274" s="1429"/>
      <c r="O274" s="1388">
        <v>1</v>
      </c>
      <c r="P274" s="1388">
        <v>1</v>
      </c>
      <c r="Q274" s="1388">
        <v>1</v>
      </c>
      <c r="R274" s="1388"/>
      <c r="S274" s="1388"/>
      <c r="T274" s="1388"/>
      <c r="U274" s="1388"/>
      <c r="V274" s="1388"/>
      <c r="W274" s="1388"/>
    </row>
    <row r="275" spans="1:23" ht="12.75" customHeight="1" x14ac:dyDescent="0.2">
      <c r="A275" s="2014" t="s">
        <v>1798</v>
      </c>
      <c r="B275" s="2006" t="s">
        <v>17201</v>
      </c>
      <c r="C275" s="1398">
        <f t="shared" si="49"/>
        <v>12</v>
      </c>
      <c r="D275" s="80"/>
      <c r="E275" s="1370"/>
      <c r="F275" s="991">
        <f t="shared" si="50"/>
        <v>8</v>
      </c>
      <c r="G275" s="1969"/>
      <c r="H275" s="1969">
        <v>1</v>
      </c>
      <c r="I275" s="1970">
        <v>1</v>
      </c>
      <c r="J275" s="1970">
        <v>1</v>
      </c>
      <c r="K275" s="1969"/>
      <c r="L275" s="1969">
        <v>1</v>
      </c>
      <c r="M275" s="1970">
        <v>2</v>
      </c>
      <c r="N275" s="1971"/>
      <c r="O275" s="1968">
        <v>1</v>
      </c>
      <c r="P275" s="1968">
        <v>1</v>
      </c>
      <c r="Q275" s="1968"/>
      <c r="R275" s="1968">
        <v>4</v>
      </c>
      <c r="S275" s="1968"/>
      <c r="T275" s="1968"/>
      <c r="U275" s="1968"/>
      <c r="V275" s="1968"/>
      <c r="W275" s="1968"/>
    </row>
    <row r="276" spans="1:23" ht="12.75" customHeight="1" x14ac:dyDescent="0.2">
      <c r="A276" s="1399" t="s">
        <v>17037</v>
      </c>
      <c r="B276" s="1376" t="s">
        <v>16991</v>
      </c>
      <c r="C276" s="1398">
        <f t="shared" si="49"/>
        <v>13</v>
      </c>
      <c r="D276" s="80"/>
      <c r="E276" s="1370"/>
      <c r="F276" s="991">
        <f t="shared" si="50"/>
        <v>1</v>
      </c>
      <c r="G276" s="1969"/>
      <c r="H276" s="1969">
        <v>13</v>
      </c>
      <c r="I276" s="1970"/>
      <c r="J276" s="1970"/>
      <c r="K276" s="1969"/>
      <c r="L276" s="1969"/>
      <c r="M276" s="1970"/>
      <c r="N276" s="1971"/>
      <c r="O276" s="1968"/>
      <c r="P276" s="1968"/>
      <c r="Q276" s="1968"/>
      <c r="R276" s="1968"/>
      <c r="S276" s="1968"/>
      <c r="T276" s="1968"/>
      <c r="U276" s="1968"/>
      <c r="V276" s="1968"/>
      <c r="W276" s="1968"/>
    </row>
    <row r="277" spans="1:23" ht="12.75" customHeight="1" x14ac:dyDescent="0.2">
      <c r="A277" s="1399" t="s">
        <v>2349</v>
      </c>
      <c r="B277" s="1376" t="s">
        <v>2350</v>
      </c>
      <c r="C277" s="1398">
        <f t="shared" si="49"/>
        <v>76</v>
      </c>
      <c r="D277" s="80"/>
      <c r="E277" s="1370"/>
      <c r="F277" s="991">
        <f t="shared" si="50"/>
        <v>3</v>
      </c>
      <c r="G277" s="1428"/>
      <c r="H277" s="1428">
        <v>1</v>
      </c>
      <c r="I277" s="1427">
        <v>1</v>
      </c>
      <c r="J277" s="1427"/>
      <c r="K277" s="1428"/>
      <c r="L277" s="1428"/>
      <c r="M277" s="1427">
        <v>74</v>
      </c>
      <c r="N277" s="1429"/>
      <c r="O277" s="1388"/>
      <c r="P277" s="1388"/>
      <c r="Q277" s="1388"/>
      <c r="R277" s="1388"/>
      <c r="S277" s="1388"/>
      <c r="T277" s="1388"/>
      <c r="U277" s="1388"/>
      <c r="V277" s="1388"/>
      <c r="W277" s="1388"/>
    </row>
    <row r="278" spans="1:23" ht="12.75" customHeight="1" x14ac:dyDescent="0.2">
      <c r="A278" s="1397" t="s">
        <v>1794</v>
      </c>
      <c r="B278" s="1370" t="s">
        <v>1795</v>
      </c>
      <c r="C278" s="1398">
        <f t="shared" si="49"/>
        <v>14</v>
      </c>
      <c r="D278" s="80"/>
      <c r="E278" s="1370"/>
      <c r="F278" s="991">
        <f t="shared" si="50"/>
        <v>11</v>
      </c>
      <c r="G278" s="1428"/>
      <c r="H278" s="1428">
        <v>1</v>
      </c>
      <c r="I278" s="1427">
        <v>1</v>
      </c>
      <c r="J278" s="1427">
        <v>1</v>
      </c>
      <c r="K278" s="1428">
        <v>1</v>
      </c>
      <c r="L278" s="1428">
        <v>1</v>
      </c>
      <c r="M278" s="1427">
        <v>1</v>
      </c>
      <c r="N278" s="1429"/>
      <c r="O278" s="1388">
        <v>1</v>
      </c>
      <c r="P278" s="1388"/>
      <c r="Q278" s="1388">
        <v>1</v>
      </c>
      <c r="R278" s="1388">
        <v>3</v>
      </c>
      <c r="S278" s="1388"/>
      <c r="T278" s="1388"/>
      <c r="U278" s="1388">
        <v>2</v>
      </c>
      <c r="V278" s="1388"/>
      <c r="W278" s="1388">
        <v>1</v>
      </c>
    </row>
    <row r="279" spans="1:23" ht="12.75" customHeight="1" x14ac:dyDescent="0.2">
      <c r="A279" s="1397" t="s">
        <v>431</v>
      </c>
      <c r="B279" s="1376" t="s">
        <v>433</v>
      </c>
      <c r="C279" s="1398">
        <f t="shared" si="49"/>
        <v>11</v>
      </c>
      <c r="D279" s="80"/>
      <c r="E279" s="1370"/>
      <c r="F279" s="991">
        <f t="shared" si="50"/>
        <v>8</v>
      </c>
      <c r="G279" s="1428"/>
      <c r="H279" s="1428">
        <v>4</v>
      </c>
      <c r="I279" s="1427">
        <v>1</v>
      </c>
      <c r="J279" s="1427">
        <v>1</v>
      </c>
      <c r="K279" s="1428"/>
      <c r="L279" s="1428"/>
      <c r="M279" s="1427">
        <v>1</v>
      </c>
      <c r="N279" s="1429"/>
      <c r="O279" s="1388">
        <v>1</v>
      </c>
      <c r="P279" s="1388"/>
      <c r="Q279" s="1388"/>
      <c r="R279" s="1388">
        <v>1</v>
      </c>
      <c r="S279" s="1388"/>
      <c r="T279" s="1388"/>
      <c r="U279" s="1388">
        <v>1</v>
      </c>
      <c r="V279" s="1388"/>
      <c r="W279" s="1388">
        <v>1</v>
      </c>
    </row>
    <row r="280" spans="1:23" ht="12.75" customHeight="1" x14ac:dyDescent="0.2">
      <c r="A280" s="1397" t="s">
        <v>9377</v>
      </c>
      <c r="B280" s="1370" t="s">
        <v>9378</v>
      </c>
      <c r="C280" s="1398">
        <f t="shared" si="49"/>
        <v>8</v>
      </c>
      <c r="D280" s="80"/>
      <c r="E280" s="1370"/>
      <c r="F280" s="991">
        <f t="shared" si="50"/>
        <v>2</v>
      </c>
      <c r="G280" s="1428"/>
      <c r="H280" s="1428">
        <v>6</v>
      </c>
      <c r="I280" s="1427"/>
      <c r="J280" s="1427"/>
      <c r="K280" s="1428">
        <v>2</v>
      </c>
      <c r="L280" s="1428"/>
      <c r="M280" s="1427"/>
      <c r="N280" s="1429"/>
      <c r="O280" s="1388"/>
      <c r="P280" s="1388"/>
      <c r="Q280" s="1388"/>
      <c r="R280" s="1388"/>
      <c r="S280" s="1388"/>
      <c r="T280" s="1388"/>
      <c r="U280" s="1388"/>
      <c r="V280" s="1388"/>
      <c r="W280" s="1388"/>
    </row>
    <row r="281" spans="1:23" ht="12.75" customHeight="1" x14ac:dyDescent="0.2">
      <c r="A281" s="1397" t="s">
        <v>503</v>
      </c>
      <c r="B281" s="1370" t="s">
        <v>504</v>
      </c>
      <c r="C281" s="1398">
        <f t="shared" si="49"/>
        <v>1</v>
      </c>
      <c r="D281" s="80"/>
      <c r="E281" s="1370"/>
      <c r="F281" s="991">
        <f t="shared" si="50"/>
        <v>1</v>
      </c>
      <c r="G281" s="1428"/>
      <c r="H281" s="1428"/>
      <c r="I281" s="1427"/>
      <c r="J281" s="1427"/>
      <c r="K281" s="1428"/>
      <c r="L281" s="1428"/>
      <c r="M281" s="1427">
        <v>1</v>
      </c>
      <c r="N281" s="1429"/>
      <c r="O281" s="1388"/>
      <c r="P281" s="1388"/>
      <c r="Q281" s="1388"/>
      <c r="R281" s="1388"/>
      <c r="S281" s="1388"/>
      <c r="T281" s="1388"/>
      <c r="U281" s="1388"/>
      <c r="V281" s="1388"/>
      <c r="W281" s="1388"/>
    </row>
    <row r="282" spans="1:23" ht="12.75" customHeight="1" x14ac:dyDescent="0.2">
      <c r="A282" s="1397" t="s">
        <v>3960</v>
      </c>
      <c r="B282" s="1370" t="s">
        <v>3961</v>
      </c>
      <c r="C282" s="1398">
        <f t="shared" si="49"/>
        <v>6</v>
      </c>
      <c r="D282" s="80"/>
      <c r="E282" s="1370"/>
      <c r="F282" s="991">
        <f t="shared" si="50"/>
        <v>6</v>
      </c>
      <c r="G282" s="1428"/>
      <c r="H282" s="1428"/>
      <c r="I282" s="1427"/>
      <c r="J282" s="1427"/>
      <c r="K282" s="1428"/>
      <c r="L282" s="1428"/>
      <c r="M282" s="1427"/>
      <c r="N282" s="1429"/>
      <c r="O282" s="1388">
        <v>1</v>
      </c>
      <c r="P282" s="1388"/>
      <c r="Q282" s="1388">
        <v>1</v>
      </c>
      <c r="R282" s="1388">
        <v>1</v>
      </c>
      <c r="S282" s="1388"/>
      <c r="T282" s="1388">
        <v>1</v>
      </c>
      <c r="U282" s="1388">
        <v>1</v>
      </c>
      <c r="V282" s="1388"/>
      <c r="W282" s="1388">
        <v>1</v>
      </c>
    </row>
    <row r="283" spans="1:23" ht="12.75" customHeight="1" x14ac:dyDescent="0.2">
      <c r="A283" s="1397" t="s">
        <v>870</v>
      </c>
      <c r="B283" s="1370" t="s">
        <v>871</v>
      </c>
      <c r="C283" s="1398">
        <f t="shared" si="49"/>
        <v>1</v>
      </c>
      <c r="D283" s="80"/>
      <c r="E283" s="1370"/>
      <c r="F283" s="991">
        <f t="shared" si="50"/>
        <v>1</v>
      </c>
      <c r="G283" s="1428"/>
      <c r="H283" s="1428"/>
      <c r="I283" s="1427"/>
      <c r="J283" s="1427"/>
      <c r="K283" s="1428"/>
      <c r="L283" s="1428"/>
      <c r="M283" s="1427">
        <v>1</v>
      </c>
      <c r="N283" s="1429"/>
      <c r="O283" s="1388"/>
      <c r="P283" s="1388"/>
      <c r="Q283" s="1388"/>
      <c r="R283" s="1388"/>
      <c r="S283" s="1388"/>
      <c r="T283" s="1388"/>
      <c r="U283" s="1388"/>
      <c r="V283" s="1388"/>
      <c r="W283" s="1388"/>
    </row>
    <row r="284" spans="1:23" ht="12.75" customHeight="1" x14ac:dyDescent="0.2">
      <c r="A284" s="1397" t="s">
        <v>2416</v>
      </c>
      <c r="B284" s="1370" t="s">
        <v>2417</v>
      </c>
      <c r="C284" s="1398">
        <f t="shared" si="49"/>
        <v>103</v>
      </c>
      <c r="D284" s="80"/>
      <c r="E284" s="1370"/>
      <c r="F284" s="991">
        <f t="shared" si="50"/>
        <v>7</v>
      </c>
      <c r="G284" s="1428"/>
      <c r="H284" s="1428"/>
      <c r="I284" s="1427"/>
      <c r="J284" s="1427"/>
      <c r="K284" s="1428">
        <v>1</v>
      </c>
      <c r="L284" s="1428"/>
      <c r="M284" s="1427"/>
      <c r="N284" s="1429"/>
      <c r="O284" s="1388">
        <v>1</v>
      </c>
      <c r="P284" s="1388"/>
      <c r="Q284" s="1388">
        <v>2</v>
      </c>
      <c r="R284" s="1388">
        <v>96</v>
      </c>
      <c r="S284" s="1388">
        <v>1</v>
      </c>
      <c r="T284" s="1388"/>
      <c r="U284" s="1388">
        <v>1</v>
      </c>
      <c r="V284" s="1388"/>
      <c r="W284" s="1388">
        <v>1</v>
      </c>
    </row>
    <row r="285" spans="1:23" ht="12.75" customHeight="1" x14ac:dyDescent="0.2">
      <c r="A285" s="1397" t="s">
        <v>866</v>
      </c>
      <c r="B285" s="1370" t="s">
        <v>2417</v>
      </c>
      <c r="C285" s="1398">
        <f>SUM(G285:W285)</f>
        <v>108</v>
      </c>
      <c r="D285" s="80"/>
      <c r="E285" s="1370"/>
      <c r="F285" s="991">
        <f>COUNT(G285:W285)</f>
        <v>8</v>
      </c>
      <c r="G285" s="1428"/>
      <c r="H285" s="1428"/>
      <c r="I285" s="1427"/>
      <c r="J285" s="1427"/>
      <c r="K285" s="1428">
        <v>1</v>
      </c>
      <c r="L285" s="1428"/>
      <c r="M285" s="1427"/>
      <c r="N285" s="1429"/>
      <c r="O285" s="1388">
        <v>1</v>
      </c>
      <c r="P285" s="1388"/>
      <c r="Q285" s="1388">
        <v>2</v>
      </c>
      <c r="R285" s="1388">
        <v>100</v>
      </c>
      <c r="S285" s="1388">
        <v>1</v>
      </c>
      <c r="T285" s="1388">
        <v>1</v>
      </c>
      <c r="U285" s="1388">
        <v>1</v>
      </c>
      <c r="V285" s="1388"/>
      <c r="W285" s="1388">
        <v>1</v>
      </c>
    </row>
    <row r="286" spans="1:23" ht="12.75" customHeight="1" x14ac:dyDescent="0.2">
      <c r="A286" s="1426" t="s">
        <v>4893</v>
      </c>
      <c r="B286" s="1389" t="s">
        <v>4894</v>
      </c>
      <c r="C286" s="1398">
        <f t="shared" si="49"/>
        <v>1</v>
      </c>
      <c r="D286" s="80"/>
      <c r="E286" s="1370"/>
      <c r="F286" s="991">
        <f t="shared" si="50"/>
        <v>1</v>
      </c>
      <c r="G286" s="1428"/>
      <c r="H286" s="1428">
        <v>1</v>
      </c>
      <c r="I286" s="1427"/>
      <c r="J286" s="1427"/>
      <c r="K286" s="1428"/>
      <c r="L286" s="1428"/>
      <c r="M286" s="1427"/>
      <c r="N286" s="1429"/>
      <c r="O286" s="1388"/>
      <c r="P286" s="1388"/>
      <c r="Q286" s="1388"/>
      <c r="R286" s="1388"/>
      <c r="S286" s="1388"/>
      <c r="T286" s="1388"/>
      <c r="U286" s="1388"/>
      <c r="V286" s="1388"/>
      <c r="W286" s="1388"/>
    </row>
    <row r="287" spans="1:23" ht="12.75" customHeight="1" x14ac:dyDescent="0.2">
      <c r="A287" s="1397" t="s">
        <v>3543</v>
      </c>
      <c r="B287" s="1370" t="s">
        <v>6122</v>
      </c>
      <c r="C287" s="1398">
        <f t="shared" si="49"/>
        <v>1</v>
      </c>
      <c r="D287" s="80"/>
      <c r="E287" s="1370"/>
      <c r="F287" s="991">
        <f t="shared" si="50"/>
        <v>1</v>
      </c>
      <c r="G287" s="1428"/>
      <c r="H287" s="1428"/>
      <c r="I287" s="1427"/>
      <c r="J287" s="1427"/>
      <c r="K287" s="1428"/>
      <c r="L287" s="1428"/>
      <c r="M287" s="1427">
        <v>1</v>
      </c>
      <c r="N287" s="1429"/>
      <c r="O287" s="1388"/>
      <c r="P287" s="1388"/>
      <c r="Q287" s="1388"/>
      <c r="R287" s="1388"/>
      <c r="S287" s="1388"/>
      <c r="T287" s="1388"/>
      <c r="U287" s="1388"/>
      <c r="V287" s="1388"/>
      <c r="W287" s="1388"/>
    </row>
    <row r="288" spans="1:23" ht="12.75" customHeight="1" x14ac:dyDescent="0.2">
      <c r="A288" s="1442" t="s">
        <v>3033</v>
      </c>
      <c r="B288" s="1374" t="s">
        <v>12025</v>
      </c>
      <c r="C288" s="1398">
        <f t="shared" si="49"/>
        <v>5</v>
      </c>
      <c r="D288" s="1370"/>
      <c r="E288" s="1370"/>
      <c r="F288" s="991">
        <f t="shared" si="50"/>
        <v>3</v>
      </c>
      <c r="G288" s="1428"/>
      <c r="H288" s="1428"/>
      <c r="I288" s="1427">
        <v>1</v>
      </c>
      <c r="J288" s="1427"/>
      <c r="K288" s="1428"/>
      <c r="L288" s="1428">
        <v>1</v>
      </c>
      <c r="M288" s="1427">
        <v>3</v>
      </c>
      <c r="N288" s="1429"/>
      <c r="O288" s="1388"/>
      <c r="P288" s="1388"/>
      <c r="Q288" s="1388"/>
      <c r="R288" s="1388"/>
      <c r="S288" s="1388"/>
      <c r="T288" s="1388"/>
      <c r="U288" s="1388"/>
      <c r="V288" s="1388"/>
      <c r="W288" s="1388"/>
    </row>
    <row r="289" spans="1:23" ht="12.75" customHeight="1" x14ac:dyDescent="0.2">
      <c r="A289" s="1397" t="s">
        <v>439</v>
      </c>
      <c r="B289" s="1370" t="s">
        <v>440</v>
      </c>
      <c r="C289" s="1398">
        <f t="shared" si="49"/>
        <v>27</v>
      </c>
      <c r="D289" s="80"/>
      <c r="E289" s="1370"/>
      <c r="F289" s="991">
        <f t="shared" si="50"/>
        <v>3</v>
      </c>
      <c r="G289" s="1428"/>
      <c r="H289" s="1428">
        <v>5</v>
      </c>
      <c r="I289" s="1427"/>
      <c r="J289" s="1427">
        <v>18</v>
      </c>
      <c r="K289" s="1428"/>
      <c r="L289" s="1428"/>
      <c r="M289" s="1427">
        <v>4</v>
      </c>
      <c r="N289" s="1429"/>
      <c r="O289" s="1388"/>
      <c r="P289" s="1388"/>
      <c r="Q289" s="1388"/>
      <c r="R289" s="1388"/>
      <c r="S289" s="1388"/>
      <c r="T289" s="1388"/>
      <c r="U289" s="1388"/>
      <c r="V289" s="1388"/>
      <c r="W289" s="1388"/>
    </row>
    <row r="290" spans="1:23" ht="12.75" customHeight="1" x14ac:dyDescent="0.2">
      <c r="A290" s="1399" t="s">
        <v>4259</v>
      </c>
      <c r="B290" s="1376" t="s">
        <v>440</v>
      </c>
      <c r="C290" s="1398">
        <f t="shared" si="49"/>
        <v>15</v>
      </c>
      <c r="D290" s="80"/>
      <c r="E290" s="1370"/>
      <c r="F290" s="991">
        <f t="shared" si="50"/>
        <v>10</v>
      </c>
      <c r="G290" s="1428"/>
      <c r="H290" s="1428">
        <v>3</v>
      </c>
      <c r="I290" s="1427">
        <v>1</v>
      </c>
      <c r="J290" s="1427"/>
      <c r="K290" s="1428"/>
      <c r="L290" s="1428"/>
      <c r="M290" s="1427">
        <v>1</v>
      </c>
      <c r="N290" s="1429"/>
      <c r="O290" s="1388">
        <v>1</v>
      </c>
      <c r="P290" s="1388">
        <v>1</v>
      </c>
      <c r="Q290" s="1388">
        <v>1</v>
      </c>
      <c r="R290" s="1388">
        <v>3</v>
      </c>
      <c r="S290" s="1388"/>
      <c r="T290" s="1388">
        <v>1</v>
      </c>
      <c r="U290" s="1388">
        <v>1</v>
      </c>
      <c r="V290" s="1388"/>
      <c r="W290" s="1388">
        <v>2</v>
      </c>
    </row>
    <row r="291" spans="1:23" ht="12.75" customHeight="1" x14ac:dyDescent="0.2">
      <c r="A291" s="1397" t="s">
        <v>3962</v>
      </c>
      <c r="B291" s="1370" t="s">
        <v>5543</v>
      </c>
      <c r="C291" s="1398">
        <f t="shared" si="49"/>
        <v>6</v>
      </c>
      <c r="D291" s="80"/>
      <c r="E291" s="1370"/>
      <c r="F291" s="991">
        <f t="shared" si="50"/>
        <v>2</v>
      </c>
      <c r="G291" s="1428"/>
      <c r="H291" s="1428"/>
      <c r="I291" s="1427">
        <v>5</v>
      </c>
      <c r="J291" s="1427"/>
      <c r="K291" s="1428"/>
      <c r="L291" s="1428"/>
      <c r="M291" s="1427">
        <v>1</v>
      </c>
      <c r="N291" s="1429"/>
      <c r="O291" s="1388"/>
      <c r="P291" s="1388"/>
      <c r="Q291" s="1388"/>
      <c r="R291" s="1388"/>
      <c r="S291" s="1388"/>
      <c r="T291" s="1388"/>
      <c r="U291" s="1388"/>
      <c r="V291" s="1388"/>
      <c r="W291" s="1388"/>
    </row>
    <row r="292" spans="1:23" ht="12.75" customHeight="1" x14ac:dyDescent="0.2">
      <c r="A292" s="1397" t="s">
        <v>866</v>
      </c>
      <c r="B292" s="1370" t="s">
        <v>5543</v>
      </c>
      <c r="C292" s="1398">
        <f t="shared" si="49"/>
        <v>4</v>
      </c>
      <c r="D292" s="80"/>
      <c r="E292" s="1370"/>
      <c r="F292" s="991">
        <f t="shared" si="50"/>
        <v>1</v>
      </c>
      <c r="G292" s="1428"/>
      <c r="H292" s="1428"/>
      <c r="I292" s="1427">
        <v>4</v>
      </c>
      <c r="J292" s="1427"/>
      <c r="K292" s="1428"/>
      <c r="L292" s="1428"/>
      <c r="M292" s="1427"/>
      <c r="N292" s="1429"/>
      <c r="O292" s="1388"/>
      <c r="P292" s="1388"/>
      <c r="Q292" s="1388"/>
      <c r="R292" s="1388"/>
      <c r="S292" s="1388"/>
      <c r="T292" s="1388"/>
      <c r="U292" s="1388"/>
      <c r="V292" s="1388"/>
      <c r="W292" s="1388"/>
    </row>
    <row r="293" spans="1:23" ht="12.75" customHeight="1" x14ac:dyDescent="0.2">
      <c r="A293" s="1397" t="s">
        <v>3997</v>
      </c>
      <c r="B293" s="1370" t="s">
        <v>5543</v>
      </c>
      <c r="C293" s="1398">
        <f t="shared" si="49"/>
        <v>4</v>
      </c>
      <c r="D293" s="80"/>
      <c r="E293" s="1370"/>
      <c r="F293" s="991">
        <f t="shared" si="50"/>
        <v>2</v>
      </c>
      <c r="G293" s="1428"/>
      <c r="H293" s="1428"/>
      <c r="I293" s="1427">
        <v>3</v>
      </c>
      <c r="J293" s="1427"/>
      <c r="K293" s="1428"/>
      <c r="L293" s="1428"/>
      <c r="M293" s="1427">
        <v>1</v>
      </c>
      <c r="N293" s="1429"/>
      <c r="O293" s="1388"/>
      <c r="P293" s="1388"/>
      <c r="Q293" s="1388"/>
      <c r="R293" s="1388"/>
      <c r="S293" s="1388"/>
      <c r="T293" s="1388"/>
      <c r="U293" s="1388"/>
      <c r="V293" s="1388"/>
      <c r="W293" s="1388"/>
    </row>
    <row r="294" spans="1:23" ht="12.75" customHeight="1" x14ac:dyDescent="0.2">
      <c r="A294" s="1397" t="s">
        <v>1794</v>
      </c>
      <c r="B294" s="1370" t="s">
        <v>5543</v>
      </c>
      <c r="C294" s="1398">
        <f t="shared" si="49"/>
        <v>1</v>
      </c>
      <c r="D294" s="80"/>
      <c r="E294" s="1370"/>
      <c r="F294" s="991">
        <f t="shared" si="50"/>
        <v>1</v>
      </c>
      <c r="G294" s="1428"/>
      <c r="H294" s="1428"/>
      <c r="I294" s="1427"/>
      <c r="J294" s="1427"/>
      <c r="K294" s="1428">
        <v>1</v>
      </c>
      <c r="L294" s="1428"/>
      <c r="M294" s="1427"/>
      <c r="N294" s="1429"/>
      <c r="O294" s="1388"/>
      <c r="P294" s="1388"/>
      <c r="Q294" s="1388"/>
      <c r="R294" s="1388"/>
      <c r="S294" s="1388"/>
      <c r="T294" s="1388"/>
      <c r="U294" s="1388"/>
      <c r="V294" s="1388"/>
      <c r="W294" s="1388"/>
    </row>
    <row r="295" spans="1:23" ht="12.75" customHeight="1" x14ac:dyDescent="0.2">
      <c r="A295" s="1397" t="s">
        <v>9701</v>
      </c>
      <c r="B295" s="1370" t="s">
        <v>9702</v>
      </c>
      <c r="C295" s="1398">
        <f t="shared" si="49"/>
        <v>108</v>
      </c>
      <c r="D295" s="80"/>
      <c r="E295" s="1370"/>
      <c r="F295" s="991">
        <f t="shared" si="50"/>
        <v>3</v>
      </c>
      <c r="G295" s="1428"/>
      <c r="H295" s="1428">
        <v>6</v>
      </c>
      <c r="I295" s="1427">
        <v>1</v>
      </c>
      <c r="J295" s="1427"/>
      <c r="K295" s="1428"/>
      <c r="L295" s="1428"/>
      <c r="M295" s="1427">
        <v>101</v>
      </c>
      <c r="N295" s="1429"/>
      <c r="O295" s="1388"/>
      <c r="P295" s="1388"/>
      <c r="Q295" s="1388"/>
      <c r="R295" s="1388"/>
      <c r="S295" s="1388"/>
      <c r="T295" s="1388"/>
      <c r="U295" s="1388"/>
      <c r="V295" s="1388"/>
      <c r="W295" s="1388"/>
    </row>
    <row r="296" spans="1:23" ht="12.75" customHeight="1" x14ac:dyDescent="0.2">
      <c r="A296" s="1397" t="s">
        <v>3541</v>
      </c>
      <c r="B296" s="1370" t="s">
        <v>1574</v>
      </c>
      <c r="C296" s="1398">
        <f t="shared" si="49"/>
        <v>14</v>
      </c>
      <c r="D296" s="80"/>
      <c r="E296" s="1370"/>
      <c r="F296" s="991">
        <f t="shared" si="50"/>
        <v>2</v>
      </c>
      <c r="G296" s="1428"/>
      <c r="H296" s="1428"/>
      <c r="I296" s="1427"/>
      <c r="J296" s="1427"/>
      <c r="K296" s="1428"/>
      <c r="L296" s="1428"/>
      <c r="M296" s="1427"/>
      <c r="N296" s="1429"/>
      <c r="O296" s="1388"/>
      <c r="P296" s="1388"/>
      <c r="Q296" s="1388"/>
      <c r="R296" s="1388"/>
      <c r="S296" s="1388"/>
      <c r="T296" s="1388"/>
      <c r="U296" s="1388">
        <v>12</v>
      </c>
      <c r="V296" s="1388"/>
      <c r="W296" s="1388">
        <v>2</v>
      </c>
    </row>
    <row r="297" spans="1:23" ht="12.75" customHeight="1" x14ac:dyDescent="0.2">
      <c r="A297" s="1397" t="s">
        <v>481</v>
      </c>
      <c r="B297" s="1370" t="s">
        <v>1574</v>
      </c>
      <c r="C297" s="1398">
        <f t="shared" si="49"/>
        <v>3</v>
      </c>
      <c r="D297" s="80"/>
      <c r="E297" s="1370"/>
      <c r="F297" s="991">
        <f t="shared" si="50"/>
        <v>3</v>
      </c>
      <c r="G297" s="1428"/>
      <c r="H297" s="1428"/>
      <c r="I297" s="1427"/>
      <c r="J297" s="1427"/>
      <c r="K297" s="1428"/>
      <c r="L297" s="1428">
        <v>1</v>
      </c>
      <c r="M297" s="1427"/>
      <c r="N297" s="1429"/>
      <c r="O297" s="1388"/>
      <c r="P297" s="1388"/>
      <c r="Q297" s="1388"/>
      <c r="R297" s="1388"/>
      <c r="S297" s="1388"/>
      <c r="T297" s="1388">
        <v>1</v>
      </c>
      <c r="U297" s="1388"/>
      <c r="V297" s="1388"/>
      <c r="W297" s="1388">
        <v>1</v>
      </c>
    </row>
    <row r="298" spans="1:23" ht="12.75" customHeight="1" x14ac:dyDescent="0.2">
      <c r="A298" s="1397" t="s">
        <v>864</v>
      </c>
      <c r="B298" s="1370" t="s">
        <v>865</v>
      </c>
      <c r="C298" s="1398">
        <f t="shared" si="49"/>
        <v>35</v>
      </c>
      <c r="D298" s="80"/>
      <c r="E298" s="1370"/>
      <c r="F298" s="991">
        <f t="shared" si="50"/>
        <v>14</v>
      </c>
      <c r="G298" s="1428">
        <v>1</v>
      </c>
      <c r="H298" s="1428">
        <v>1</v>
      </c>
      <c r="I298" s="1427">
        <v>8</v>
      </c>
      <c r="J298" s="1427">
        <v>1</v>
      </c>
      <c r="K298" s="1428">
        <v>2</v>
      </c>
      <c r="L298" s="1428"/>
      <c r="M298" s="1427">
        <v>3</v>
      </c>
      <c r="N298" s="1429"/>
      <c r="O298" s="1388">
        <v>4</v>
      </c>
      <c r="P298" s="1388">
        <v>1</v>
      </c>
      <c r="Q298" s="1388">
        <v>1</v>
      </c>
      <c r="R298" s="1388">
        <v>1</v>
      </c>
      <c r="S298" s="1388">
        <v>1</v>
      </c>
      <c r="T298" s="1388">
        <v>1</v>
      </c>
      <c r="U298" s="1388">
        <v>7</v>
      </c>
      <c r="V298" s="1388"/>
      <c r="W298" s="1388">
        <v>3</v>
      </c>
    </row>
    <row r="299" spans="1:23" ht="12.75" customHeight="1" x14ac:dyDescent="0.2">
      <c r="A299" s="1397" t="s">
        <v>3535</v>
      </c>
      <c r="B299" s="1370" t="s">
        <v>4741</v>
      </c>
      <c r="C299" s="1398">
        <f t="shared" si="49"/>
        <v>36</v>
      </c>
      <c r="D299" s="80"/>
      <c r="E299" s="1370"/>
      <c r="F299" s="991">
        <f t="shared" si="50"/>
        <v>6</v>
      </c>
      <c r="G299" s="1428"/>
      <c r="H299" s="1428"/>
      <c r="I299" s="1427">
        <v>25</v>
      </c>
      <c r="J299" s="1427">
        <v>1</v>
      </c>
      <c r="K299" s="1428"/>
      <c r="L299" s="1428"/>
      <c r="M299" s="1427">
        <v>7</v>
      </c>
      <c r="N299" s="1429"/>
      <c r="O299" s="1388"/>
      <c r="P299" s="1388">
        <v>1</v>
      </c>
      <c r="Q299" s="1388">
        <v>1</v>
      </c>
      <c r="R299" s="1388"/>
      <c r="S299" s="1388"/>
      <c r="T299" s="1388"/>
      <c r="U299" s="1388"/>
      <c r="V299" s="1388">
        <v>1</v>
      </c>
      <c r="W299" s="1388"/>
    </row>
    <row r="300" spans="1:23" ht="12.75" customHeight="1" x14ac:dyDescent="0.2">
      <c r="A300" s="1397" t="s">
        <v>2703</v>
      </c>
      <c r="B300" s="1370" t="s">
        <v>2704</v>
      </c>
      <c r="C300" s="1398">
        <f t="shared" si="49"/>
        <v>2</v>
      </c>
      <c r="D300" s="80"/>
      <c r="E300" s="1370"/>
      <c r="F300" s="991">
        <f t="shared" si="50"/>
        <v>1</v>
      </c>
      <c r="G300" s="1428"/>
      <c r="H300" s="1428"/>
      <c r="I300" s="1427">
        <v>2</v>
      </c>
      <c r="J300" s="1427"/>
      <c r="K300" s="1428"/>
      <c r="L300" s="1428"/>
      <c r="M300" s="1427"/>
      <c r="N300" s="1429"/>
      <c r="O300" s="1388"/>
      <c r="P300" s="1388"/>
      <c r="Q300" s="1388"/>
      <c r="R300" s="1388"/>
      <c r="S300" s="1388"/>
      <c r="T300" s="1388"/>
      <c r="U300" s="1388"/>
      <c r="V300" s="1388"/>
      <c r="W300" s="1388"/>
    </row>
    <row r="301" spans="1:23" ht="12.75" customHeight="1" x14ac:dyDescent="0.2">
      <c r="A301" s="1426" t="s">
        <v>3755</v>
      </c>
      <c r="B301" s="1389" t="s">
        <v>3799</v>
      </c>
      <c r="C301" s="1398">
        <f t="shared" si="49"/>
        <v>2</v>
      </c>
      <c r="D301" s="80"/>
      <c r="E301" s="1370"/>
      <c r="F301" s="991">
        <f t="shared" si="50"/>
        <v>1</v>
      </c>
      <c r="G301" s="1428"/>
      <c r="H301" s="1428"/>
      <c r="I301" s="1427"/>
      <c r="J301" s="1427"/>
      <c r="K301" s="1428"/>
      <c r="L301" s="1428">
        <v>2</v>
      </c>
      <c r="M301" s="1427"/>
      <c r="N301" s="1429"/>
      <c r="O301" s="1388"/>
      <c r="P301" s="1388"/>
      <c r="Q301" s="1388"/>
      <c r="R301" s="1388"/>
      <c r="S301" s="1388"/>
      <c r="T301" s="1388"/>
      <c r="U301" s="1388"/>
      <c r="V301" s="1388"/>
      <c r="W301" s="1388"/>
    </row>
    <row r="302" spans="1:23" ht="12.75" customHeight="1" x14ac:dyDescent="0.2">
      <c r="A302" s="1426" t="s">
        <v>1794</v>
      </c>
      <c r="B302" s="1389" t="s">
        <v>3799</v>
      </c>
      <c r="C302" s="1398">
        <f t="shared" si="49"/>
        <v>2</v>
      </c>
      <c r="D302" s="80"/>
      <c r="E302" s="1370"/>
      <c r="F302" s="991">
        <f t="shared" si="50"/>
        <v>1</v>
      </c>
      <c r="G302" s="1428"/>
      <c r="H302" s="1428"/>
      <c r="I302" s="1427"/>
      <c r="J302" s="1427"/>
      <c r="K302" s="1428"/>
      <c r="L302" s="1428">
        <v>2</v>
      </c>
      <c r="M302" s="1427"/>
      <c r="N302" s="1429"/>
      <c r="O302" s="1388"/>
      <c r="P302" s="1388"/>
      <c r="Q302" s="1388"/>
      <c r="R302" s="1388"/>
      <c r="S302" s="1388"/>
      <c r="T302" s="1388"/>
      <c r="U302" s="1388"/>
      <c r="V302" s="1388"/>
      <c r="W302" s="1388"/>
    </row>
    <row r="303" spans="1:23" ht="12.75" customHeight="1" x14ac:dyDescent="0.2">
      <c r="A303" s="1426" t="s">
        <v>3898</v>
      </c>
      <c r="B303" s="1389" t="s">
        <v>1543</v>
      </c>
      <c r="C303" s="1398">
        <f t="shared" si="49"/>
        <v>25</v>
      </c>
      <c r="D303" s="80"/>
      <c r="E303" s="1370"/>
      <c r="F303" s="991">
        <f t="shared" si="50"/>
        <v>2</v>
      </c>
      <c r="G303" s="1428"/>
      <c r="H303" s="1428"/>
      <c r="I303" s="1427"/>
      <c r="J303" s="1427"/>
      <c r="K303" s="1428"/>
      <c r="L303" s="1428"/>
      <c r="M303" s="1427"/>
      <c r="N303" s="1429"/>
      <c r="O303" s="1388"/>
      <c r="P303" s="1388"/>
      <c r="Q303" s="1388"/>
      <c r="R303" s="1388"/>
      <c r="S303" s="1388"/>
      <c r="T303" s="1388"/>
      <c r="U303" s="1388">
        <v>24</v>
      </c>
      <c r="V303" s="1388"/>
      <c r="W303" s="1388">
        <v>1</v>
      </c>
    </row>
    <row r="304" spans="1:23" ht="12.75" customHeight="1" x14ac:dyDescent="0.2">
      <c r="A304" s="1426" t="s">
        <v>441</v>
      </c>
      <c r="B304" s="1389" t="s">
        <v>442</v>
      </c>
      <c r="C304" s="1398">
        <f t="shared" si="49"/>
        <v>15</v>
      </c>
      <c r="D304" s="80"/>
      <c r="E304" s="1370"/>
      <c r="F304" s="991">
        <f t="shared" si="50"/>
        <v>1</v>
      </c>
      <c r="G304" s="1428"/>
      <c r="H304" s="1428"/>
      <c r="I304" s="1427">
        <v>15</v>
      </c>
      <c r="J304" s="1427"/>
      <c r="K304" s="1428"/>
      <c r="L304" s="1428"/>
      <c r="M304" s="1427"/>
      <c r="N304" s="1429"/>
      <c r="O304" s="1388"/>
      <c r="P304" s="1388"/>
      <c r="Q304" s="1388"/>
      <c r="R304" s="1388"/>
      <c r="S304" s="1388"/>
      <c r="T304" s="1388"/>
      <c r="U304" s="1388"/>
      <c r="V304" s="1388"/>
      <c r="W304" s="1388"/>
    </row>
    <row r="305" spans="1:43" ht="12.75" customHeight="1" x14ac:dyDescent="0.2">
      <c r="A305" s="1426" t="s">
        <v>2822</v>
      </c>
      <c r="B305" s="1389" t="s">
        <v>2823</v>
      </c>
      <c r="C305" s="1398">
        <f t="shared" si="49"/>
        <v>3</v>
      </c>
      <c r="D305" s="80"/>
      <c r="E305" s="1370"/>
      <c r="F305" s="991">
        <f t="shared" si="50"/>
        <v>1</v>
      </c>
      <c r="G305" s="1428"/>
      <c r="H305" s="1428">
        <v>3</v>
      </c>
      <c r="I305" s="1427"/>
      <c r="J305" s="1427"/>
      <c r="K305" s="1428"/>
      <c r="L305" s="1428"/>
      <c r="M305" s="1427"/>
      <c r="N305" s="1429"/>
      <c r="O305" s="1388"/>
      <c r="P305" s="1388"/>
      <c r="Q305" s="1388"/>
      <c r="R305" s="1388"/>
      <c r="S305" s="1388"/>
      <c r="T305" s="1388"/>
      <c r="U305" s="1388"/>
      <c r="V305" s="1388"/>
      <c r="W305" s="1388"/>
    </row>
    <row r="306" spans="1:43" ht="12.75" customHeight="1" x14ac:dyDescent="0.2">
      <c r="A306" s="1426" t="s">
        <v>4878</v>
      </c>
      <c r="B306" s="1389" t="s">
        <v>3250</v>
      </c>
      <c r="C306" s="1398">
        <f t="shared" si="49"/>
        <v>1</v>
      </c>
      <c r="D306" s="80"/>
      <c r="E306" s="1370"/>
      <c r="F306" s="991">
        <f t="shared" si="50"/>
        <v>1</v>
      </c>
      <c r="G306" s="1428"/>
      <c r="H306" s="1428"/>
      <c r="I306" s="1427">
        <v>1</v>
      </c>
      <c r="J306" s="1427"/>
      <c r="K306" s="1428"/>
      <c r="L306" s="1428"/>
      <c r="M306" s="1427"/>
      <c r="N306" s="1429"/>
      <c r="O306" s="1388"/>
      <c r="P306" s="1388"/>
      <c r="Q306" s="1388"/>
      <c r="R306" s="1388"/>
      <c r="S306" s="1388"/>
      <c r="T306" s="1388"/>
      <c r="U306" s="1388"/>
      <c r="V306" s="1388"/>
      <c r="W306" s="1388"/>
    </row>
    <row r="307" spans="1:43" ht="12.75" customHeight="1" x14ac:dyDescent="0.2">
      <c r="A307" s="1426" t="s">
        <v>3820</v>
      </c>
      <c r="B307" s="1389" t="s">
        <v>3821</v>
      </c>
      <c r="C307" s="1398">
        <f t="shared" si="49"/>
        <v>1</v>
      </c>
      <c r="D307" s="80"/>
      <c r="E307" s="1370"/>
      <c r="F307" s="991">
        <f t="shared" si="50"/>
        <v>1</v>
      </c>
      <c r="G307" s="1428"/>
      <c r="H307" s="1428"/>
      <c r="I307" s="1427"/>
      <c r="J307" s="1427"/>
      <c r="K307" s="1428"/>
      <c r="L307" s="1428"/>
      <c r="M307" s="1427"/>
      <c r="N307" s="1429"/>
      <c r="O307" s="1388"/>
      <c r="P307" s="1388"/>
      <c r="Q307" s="1388"/>
      <c r="R307" s="1388"/>
      <c r="S307" s="1388"/>
      <c r="T307" s="1388"/>
      <c r="U307" s="1388">
        <v>1</v>
      </c>
      <c r="V307" s="1388"/>
      <c r="W307" s="1388"/>
      <c r="AQ307" s="107"/>
    </row>
    <row r="308" spans="1:43" ht="12.75" customHeight="1" x14ac:dyDescent="0.2">
      <c r="A308" s="1397"/>
      <c r="B308" s="1370"/>
      <c r="C308" s="1378">
        <f>SUM(C227:C307)</f>
        <v>2446</v>
      </c>
      <c r="D308" s="80"/>
      <c r="E308" s="1370"/>
      <c r="G308" s="1323">
        <f t="shared" ref="G308" si="51">SUM(G227:G307)</f>
        <v>11</v>
      </c>
      <c r="H308" s="1323">
        <f t="shared" ref="H308" si="52">SUM(H227:H307)</f>
        <v>119</v>
      </c>
      <c r="I308" s="1323">
        <f t="shared" ref="I308" si="53">SUM(I227:I307)</f>
        <v>123</v>
      </c>
      <c r="J308" s="1323">
        <f t="shared" ref="J308" si="54">SUM(J227:J307)</f>
        <v>193</v>
      </c>
      <c r="K308" s="1323">
        <f t="shared" ref="K308" si="55">SUM(K227:K307)</f>
        <v>22</v>
      </c>
      <c r="L308" s="1323">
        <f t="shared" ref="L308" si="56">SUM(L227:L307)</f>
        <v>17</v>
      </c>
      <c r="M308" s="1323">
        <f t="shared" ref="M308" si="57">SUM(M227:M307)</f>
        <v>469</v>
      </c>
      <c r="N308" s="296"/>
      <c r="O308" s="1323">
        <f t="shared" ref="O308:P308" si="58">SUM(O227:O307)</f>
        <v>37</v>
      </c>
      <c r="P308" s="1323">
        <f t="shared" si="58"/>
        <v>29</v>
      </c>
      <c r="Q308" s="1323">
        <f t="shared" ref="Q308" si="59">SUM(Q227:Q307)</f>
        <v>29</v>
      </c>
      <c r="R308" s="1323">
        <f t="shared" ref="R308" si="60">SUM(R227:R307)</f>
        <v>297</v>
      </c>
      <c r="S308" s="1323">
        <f t="shared" ref="S308" si="61">SUM(S227:S307)</f>
        <v>7</v>
      </c>
      <c r="T308" s="1323">
        <f t="shared" ref="T308" si="62">SUM(T227:T307)</f>
        <v>10</v>
      </c>
      <c r="U308" s="1323">
        <f t="shared" ref="U308:V308" si="63">SUM(U227:U307)</f>
        <v>918</v>
      </c>
      <c r="V308" s="1323">
        <f t="shared" si="63"/>
        <v>7</v>
      </c>
      <c r="W308" s="1323">
        <f>SUM(W227:W307)</f>
        <v>158</v>
      </c>
      <c r="AQ308" s="107"/>
    </row>
    <row r="309" spans="1:43" ht="12.75" customHeight="1" x14ac:dyDescent="0.2">
      <c r="A309" s="1397"/>
      <c r="B309" s="1370"/>
      <c r="C309" s="1398"/>
      <c r="D309" s="80"/>
      <c r="E309" s="1381">
        <f>COUNT(F309:W309)</f>
        <v>16</v>
      </c>
      <c r="G309" s="1323">
        <f t="shared" ref="G309:M309" si="64">COUNT(G227:G307)</f>
        <v>11</v>
      </c>
      <c r="H309" s="1323">
        <f t="shared" si="64"/>
        <v>38</v>
      </c>
      <c r="I309" s="1323">
        <f t="shared" si="64"/>
        <v>31</v>
      </c>
      <c r="J309" s="1323">
        <f t="shared" si="64"/>
        <v>23</v>
      </c>
      <c r="K309" s="1323">
        <f t="shared" si="64"/>
        <v>17</v>
      </c>
      <c r="L309" s="1323">
        <f t="shared" si="64"/>
        <v>12</v>
      </c>
      <c r="M309" s="1323">
        <f t="shared" si="64"/>
        <v>36</v>
      </c>
      <c r="N309" s="296"/>
      <c r="O309" s="1323">
        <f t="shared" ref="O309:W309" si="65">COUNT(O227:O307)</f>
        <v>20</v>
      </c>
      <c r="P309" s="1323">
        <f t="shared" ref="P309" si="66">COUNT(P227:P307)</f>
        <v>15</v>
      </c>
      <c r="Q309" s="1323">
        <f t="shared" si="65"/>
        <v>19</v>
      </c>
      <c r="R309" s="1323">
        <f t="shared" si="65"/>
        <v>24</v>
      </c>
      <c r="S309" s="1323">
        <f t="shared" si="65"/>
        <v>6</v>
      </c>
      <c r="T309" s="1323">
        <f t="shared" si="65"/>
        <v>9</v>
      </c>
      <c r="U309" s="1323">
        <f t="shared" si="65"/>
        <v>21</v>
      </c>
      <c r="V309" s="1323">
        <f t="shared" ref="V309" si="67">COUNT(V227:V307)</f>
        <v>6</v>
      </c>
      <c r="W309" s="1323">
        <f t="shared" si="65"/>
        <v>21</v>
      </c>
    </row>
    <row r="310" spans="1:43" ht="12.75" customHeight="1" x14ac:dyDescent="0.25">
      <c r="A310" s="1397"/>
      <c r="B310" s="1370"/>
      <c r="C310" s="1398"/>
      <c r="D310" s="80"/>
      <c r="E310" s="1370"/>
      <c r="G310" s="1326" t="s">
        <v>843</v>
      </c>
      <c r="H310" s="1326"/>
      <c r="I310" s="1326" t="s">
        <v>4302</v>
      </c>
      <c r="J310" s="1326"/>
      <c r="K310" s="538" t="s">
        <v>8248</v>
      </c>
      <c r="L310" s="1326"/>
      <c r="M310" s="1326" t="s">
        <v>5198</v>
      </c>
      <c r="N310" s="1335"/>
      <c r="O310" s="538" t="s">
        <v>4936</v>
      </c>
      <c r="P310" s="538"/>
      <c r="Q310" s="538" t="s">
        <v>11908</v>
      </c>
      <c r="R310" s="538"/>
      <c r="S310" s="538" t="s">
        <v>5960</v>
      </c>
      <c r="T310" s="538"/>
      <c r="U310" s="538" t="s">
        <v>3167</v>
      </c>
      <c r="V310" s="538"/>
      <c r="W310" s="538" t="s">
        <v>1214</v>
      </c>
    </row>
    <row r="311" spans="1:43" ht="12.75" customHeight="1" x14ac:dyDescent="0.25">
      <c r="A311" s="1397"/>
      <c r="B311" s="1370"/>
      <c r="C311" s="1398"/>
      <c r="D311" s="80"/>
      <c r="E311" s="1370"/>
      <c r="G311" s="1327"/>
      <c r="H311" s="1327" t="s">
        <v>1982</v>
      </c>
      <c r="I311" s="1087"/>
      <c r="J311" s="539" t="s">
        <v>5947</v>
      </c>
      <c r="K311" s="1327"/>
      <c r="L311" s="1327" t="s">
        <v>4216</v>
      </c>
      <c r="M311" s="1328"/>
      <c r="N311" s="1335"/>
      <c r="O311" s="539"/>
      <c r="P311" s="539" t="s">
        <v>11907</v>
      </c>
      <c r="Q311" s="539"/>
      <c r="R311" s="539" t="s">
        <v>4727</v>
      </c>
      <c r="S311" s="539"/>
      <c r="T311" s="539" t="s">
        <v>9842</v>
      </c>
      <c r="U311" s="539"/>
      <c r="V311" s="539" t="s">
        <v>16237</v>
      </c>
      <c r="W311" s="539"/>
      <c r="AQ311" s="107"/>
    </row>
    <row r="312" spans="1:43" ht="12.75" customHeight="1" x14ac:dyDescent="0.2">
      <c r="A312" s="1397"/>
      <c r="B312" s="1370"/>
      <c r="C312" s="1398"/>
      <c r="D312" s="80"/>
      <c r="E312" s="1370"/>
      <c r="G312" s="1107">
        <f>Parks!L142</f>
        <v>161</v>
      </c>
      <c r="H312" s="1107">
        <f>Parks!L109</f>
        <v>293</v>
      </c>
      <c r="I312" s="1107">
        <f>Parks!L219</f>
        <v>6</v>
      </c>
      <c r="J312" s="1107">
        <f>Parks!L253</f>
        <v>19</v>
      </c>
      <c r="K312" s="1107">
        <f>Parks!L377</f>
        <v>394</v>
      </c>
      <c r="L312" s="1107">
        <f>Parks!L448</f>
        <v>189</v>
      </c>
      <c r="M312" s="1107">
        <f>Parks!L591</f>
        <v>122</v>
      </c>
      <c r="N312" s="1106"/>
      <c r="O312" s="1107">
        <f>Parks!L68</f>
        <v>173</v>
      </c>
      <c r="P312" s="1107">
        <f>Parks!L91</f>
        <v>473</v>
      </c>
      <c r="Q312" s="1107">
        <f>Parks!L166</f>
        <v>419</v>
      </c>
      <c r="R312" s="1107">
        <f>Parks!L352</f>
        <v>157</v>
      </c>
      <c r="S312" s="1107">
        <f>Parks!L393</f>
        <v>25</v>
      </c>
      <c r="T312" s="1107">
        <f>Parks!L440</f>
        <v>410</v>
      </c>
      <c r="U312" s="1107">
        <f>Parks!L446</f>
        <v>4</v>
      </c>
      <c r="V312" s="1107"/>
      <c r="W312" s="1107">
        <f>Parks!L595</f>
        <v>38</v>
      </c>
    </row>
    <row r="313" spans="1:43" ht="12.75" customHeight="1" x14ac:dyDescent="0.25">
      <c r="A313" s="1667"/>
      <c r="C313" s="1666"/>
      <c r="D313" s="80"/>
      <c r="G313" s="80"/>
      <c r="K313" s="1345"/>
    </row>
    <row r="314" spans="1:43" ht="12.75" customHeight="1" x14ac:dyDescent="0.2">
      <c r="A314" s="1667"/>
      <c r="C314" s="1666"/>
      <c r="G314" s="2" t="s">
        <v>12159</v>
      </c>
      <c r="H314" s="2"/>
      <c r="I314" s="2"/>
      <c r="T314" s="80"/>
      <c r="U314" s="80"/>
      <c r="V314" s="80"/>
      <c r="W314" s="80"/>
      <c r="X314" s="80"/>
    </row>
    <row r="315" spans="1:43" ht="12.75" customHeight="1" x14ac:dyDescent="0.2">
      <c r="A315" s="1667"/>
      <c r="C315" s="1666"/>
      <c r="G315" s="2" t="s">
        <v>1150</v>
      </c>
      <c r="P315" s="2"/>
      <c r="Q315" s="2" t="s">
        <v>1138</v>
      </c>
    </row>
    <row r="316" spans="1:43" ht="12.75" customHeight="1" x14ac:dyDescent="0.2">
      <c r="A316" s="1667"/>
      <c r="C316" s="1666"/>
      <c r="G316" s="560" t="s">
        <v>4617</v>
      </c>
      <c r="H316" s="553" t="s">
        <v>1702</v>
      </c>
      <c r="I316" s="560" t="s">
        <v>372</v>
      </c>
      <c r="J316" s="553" t="s">
        <v>10432</v>
      </c>
      <c r="K316" s="560" t="s">
        <v>4669</v>
      </c>
      <c r="L316" s="553" t="s">
        <v>814</v>
      </c>
      <c r="M316" s="560" t="s">
        <v>3492</v>
      </c>
      <c r="N316" s="553" t="s">
        <v>10478</v>
      </c>
      <c r="O316" s="560" t="s">
        <v>1707</v>
      </c>
      <c r="P316" s="80"/>
      <c r="Q316" s="537" t="s">
        <v>1609</v>
      </c>
      <c r="R316" s="540" t="s">
        <v>2989</v>
      </c>
      <c r="S316" s="537" t="s">
        <v>2712</v>
      </c>
      <c r="T316" s="540" t="s">
        <v>2808</v>
      </c>
      <c r="U316" s="537" t="s">
        <v>486</v>
      </c>
      <c r="V316" s="540" t="s">
        <v>8118</v>
      </c>
      <c r="W316" s="537" t="s">
        <v>1616</v>
      </c>
      <c r="X316" s="540" t="s">
        <v>9646</v>
      </c>
    </row>
    <row r="317" spans="1:43" ht="12.75" customHeight="1" x14ac:dyDescent="0.2">
      <c r="A317" s="1397" t="s">
        <v>868</v>
      </c>
      <c r="B317" s="1370" t="s">
        <v>869</v>
      </c>
      <c r="C317" s="1453">
        <f>SUM(G317:X317)</f>
        <v>3</v>
      </c>
      <c r="F317" s="1343">
        <f>COUNT(G317:X317)</f>
        <v>2</v>
      </c>
      <c r="G317" s="1447"/>
      <c r="H317" s="1447">
        <v>2</v>
      </c>
      <c r="I317" s="1447"/>
      <c r="J317" s="1447"/>
      <c r="K317" s="1447"/>
      <c r="L317" s="1447"/>
      <c r="M317" s="1447">
        <v>1</v>
      </c>
      <c r="N317" s="1447"/>
      <c r="O317" s="1447"/>
      <c r="P317" s="1370"/>
      <c r="Q317" s="1447"/>
      <c r="R317" s="1447"/>
      <c r="S317" s="1447"/>
      <c r="T317" s="1447"/>
      <c r="U317" s="1447"/>
      <c r="V317" s="1447"/>
      <c r="W317" s="1447"/>
      <c r="X317" s="1447"/>
      <c r="AB317" s="80"/>
      <c r="AC317" s="80"/>
    </row>
    <row r="318" spans="1:43" ht="12.75" customHeight="1" x14ac:dyDescent="0.2">
      <c r="A318" s="1397" t="s">
        <v>481</v>
      </c>
      <c r="B318" s="1370" t="s">
        <v>4575</v>
      </c>
      <c r="C318" s="1453">
        <f t="shared" ref="C318:C372" si="68">SUM(G318:X318)</f>
        <v>9</v>
      </c>
      <c r="F318" s="1343">
        <f t="shared" ref="F318:F372" si="69">COUNT(G318:X318)</f>
        <v>2</v>
      </c>
      <c r="G318" s="1447"/>
      <c r="H318" s="1447">
        <v>8</v>
      </c>
      <c r="I318" s="1447"/>
      <c r="J318" s="1447"/>
      <c r="K318" s="1447"/>
      <c r="L318" s="1447"/>
      <c r="M318" s="1447"/>
      <c r="N318" s="1447"/>
      <c r="O318" s="1447">
        <v>1</v>
      </c>
      <c r="P318" s="1370"/>
      <c r="Q318" s="1447"/>
      <c r="R318" s="1447"/>
      <c r="S318" s="1447"/>
      <c r="T318" s="1447"/>
      <c r="U318" s="1447"/>
      <c r="V318" s="1447"/>
      <c r="W318" s="1447"/>
      <c r="X318" s="1447"/>
      <c r="AB318" s="1274"/>
      <c r="AC318" s="1274"/>
    </row>
    <row r="319" spans="1:43" ht="12.75" customHeight="1" x14ac:dyDescent="0.2">
      <c r="A319" s="1397" t="s">
        <v>3251</v>
      </c>
      <c r="B319" s="1370" t="s">
        <v>3252</v>
      </c>
      <c r="C319" s="1453">
        <f t="shared" si="68"/>
        <v>49</v>
      </c>
      <c r="F319" s="1343">
        <f t="shared" si="69"/>
        <v>10</v>
      </c>
      <c r="G319" s="1447">
        <v>1</v>
      </c>
      <c r="H319" s="1447">
        <v>12</v>
      </c>
      <c r="I319" s="1447"/>
      <c r="J319" s="1447">
        <v>16</v>
      </c>
      <c r="K319" s="1447">
        <v>1</v>
      </c>
      <c r="L319" s="1447"/>
      <c r="M319" s="1447">
        <v>5</v>
      </c>
      <c r="N319" s="1447"/>
      <c r="O319" s="1447">
        <v>6</v>
      </c>
      <c r="P319" s="1370"/>
      <c r="Q319" s="1447">
        <v>1</v>
      </c>
      <c r="R319" s="1447"/>
      <c r="S319" s="1447">
        <v>1</v>
      </c>
      <c r="T319" s="1447"/>
      <c r="U319" s="1447"/>
      <c r="V319" s="1447">
        <v>5</v>
      </c>
      <c r="W319" s="1447">
        <v>1</v>
      </c>
      <c r="X319" s="1447"/>
      <c r="AB319" s="80"/>
      <c r="AC319" s="80"/>
    </row>
    <row r="320" spans="1:43" ht="12.75" customHeight="1" x14ac:dyDescent="0.2">
      <c r="A320" s="1399" t="s">
        <v>7908</v>
      </c>
      <c r="B320" s="1376" t="s">
        <v>7907</v>
      </c>
      <c r="C320" s="1453">
        <f t="shared" si="68"/>
        <v>4</v>
      </c>
      <c r="F320" s="1343">
        <f t="shared" si="69"/>
        <v>3</v>
      </c>
      <c r="G320" s="1447"/>
      <c r="H320" s="1447">
        <v>2</v>
      </c>
      <c r="I320" s="1447"/>
      <c r="J320" s="1447">
        <v>1</v>
      </c>
      <c r="K320" s="1447"/>
      <c r="L320" s="1447"/>
      <c r="M320" s="1447">
        <v>1</v>
      </c>
      <c r="N320" s="1447"/>
      <c r="O320" s="1447"/>
      <c r="P320" s="1370"/>
      <c r="Q320" s="1447"/>
      <c r="R320" s="1447"/>
      <c r="S320" s="1447"/>
      <c r="T320" s="1447"/>
      <c r="U320" s="1447"/>
      <c r="V320" s="1447"/>
      <c r="W320" s="1447"/>
      <c r="X320" s="1447"/>
      <c r="AB320" s="80"/>
      <c r="AC320" s="80"/>
    </row>
    <row r="321" spans="1:29" ht="12.75" customHeight="1" x14ac:dyDescent="0.2">
      <c r="A321" s="1399" t="s">
        <v>260</v>
      </c>
      <c r="B321" s="1376" t="s">
        <v>7907</v>
      </c>
      <c r="C321" s="1453">
        <f t="shared" si="68"/>
        <v>12</v>
      </c>
      <c r="F321" s="1343">
        <f t="shared" si="69"/>
        <v>3</v>
      </c>
      <c r="G321" s="1447"/>
      <c r="H321" s="1447">
        <v>9</v>
      </c>
      <c r="I321" s="1447"/>
      <c r="J321" s="1447">
        <v>1</v>
      </c>
      <c r="K321" s="1447"/>
      <c r="L321" s="1447"/>
      <c r="M321" s="1447">
        <v>2</v>
      </c>
      <c r="N321" s="1447"/>
      <c r="O321" s="1447"/>
      <c r="P321" s="1370"/>
      <c r="Q321" s="1447"/>
      <c r="R321" s="1447"/>
      <c r="S321" s="1447"/>
      <c r="T321" s="1447"/>
      <c r="U321" s="1447"/>
      <c r="V321" s="1447"/>
      <c r="W321" s="1447"/>
      <c r="X321" s="1447"/>
      <c r="AB321" s="1274"/>
      <c r="AC321" s="1274"/>
    </row>
    <row r="322" spans="1:29" ht="12.75" customHeight="1" x14ac:dyDescent="0.2">
      <c r="A322" s="1399" t="s">
        <v>4264</v>
      </c>
      <c r="B322" s="1376" t="s">
        <v>5239</v>
      </c>
      <c r="C322" s="1453">
        <f t="shared" si="68"/>
        <v>4</v>
      </c>
      <c r="F322" s="1343">
        <f t="shared" si="69"/>
        <v>3</v>
      </c>
      <c r="G322" s="1447"/>
      <c r="H322" s="1447">
        <v>2</v>
      </c>
      <c r="I322" s="1447"/>
      <c r="J322" s="1447"/>
      <c r="K322" s="1447">
        <v>1</v>
      </c>
      <c r="L322" s="1447"/>
      <c r="M322" s="1447">
        <v>1</v>
      </c>
      <c r="N322" s="1447"/>
      <c r="O322" s="1447"/>
      <c r="P322" s="1370"/>
      <c r="Q322" s="1447"/>
      <c r="R322" s="1447"/>
      <c r="S322" s="1447"/>
      <c r="T322" s="1447"/>
      <c r="U322" s="1447"/>
      <c r="V322" s="1447"/>
      <c r="W322" s="1447"/>
      <c r="X322" s="1447"/>
      <c r="AB322" s="1274"/>
      <c r="AC322" s="1274"/>
    </row>
    <row r="323" spans="1:29" ht="12.75" customHeight="1" x14ac:dyDescent="0.2">
      <c r="A323" s="1397" t="s">
        <v>435</v>
      </c>
      <c r="B323" s="1370" t="s">
        <v>436</v>
      </c>
      <c r="C323" s="1453">
        <f t="shared" si="68"/>
        <v>152</v>
      </c>
      <c r="F323" s="1343">
        <f t="shared" si="69"/>
        <v>3</v>
      </c>
      <c r="G323" s="1447"/>
      <c r="H323" s="1447">
        <v>53</v>
      </c>
      <c r="I323" s="1447"/>
      <c r="J323" s="1447">
        <v>2</v>
      </c>
      <c r="K323" s="1447"/>
      <c r="L323" s="1447"/>
      <c r="M323" s="1447"/>
      <c r="N323" s="1447"/>
      <c r="O323" s="1447">
        <v>97</v>
      </c>
      <c r="P323" s="1370"/>
      <c r="Q323" s="1447"/>
      <c r="R323" s="1447"/>
      <c r="S323" s="1447"/>
      <c r="T323" s="1447"/>
      <c r="U323" s="1447"/>
      <c r="V323" s="1447"/>
      <c r="W323" s="1447"/>
      <c r="X323" s="1447"/>
      <c r="AB323" s="1274"/>
      <c r="AC323" s="1274"/>
    </row>
    <row r="324" spans="1:29" ht="12.75" customHeight="1" x14ac:dyDescent="0.2">
      <c r="A324" s="1397" t="s">
        <v>863</v>
      </c>
      <c r="B324" s="1370" t="s">
        <v>2250</v>
      </c>
      <c r="C324" s="1453">
        <f t="shared" si="68"/>
        <v>7</v>
      </c>
      <c r="F324" s="1343">
        <f t="shared" si="69"/>
        <v>2</v>
      </c>
      <c r="G324" s="1447"/>
      <c r="H324" s="1447">
        <v>4</v>
      </c>
      <c r="I324" s="1447"/>
      <c r="J324" s="1447"/>
      <c r="K324" s="1447"/>
      <c r="L324" s="1447"/>
      <c r="M324" s="1447">
        <v>3</v>
      </c>
      <c r="N324" s="1447"/>
      <c r="O324" s="1447"/>
      <c r="P324" s="1370"/>
      <c r="Q324" s="1447"/>
      <c r="R324" s="1447"/>
      <c r="S324" s="1447"/>
      <c r="T324" s="1447"/>
      <c r="U324" s="1447"/>
      <c r="V324" s="1447"/>
      <c r="W324" s="1447"/>
      <c r="X324" s="1447"/>
      <c r="AB324" s="80"/>
      <c r="AC324" s="80"/>
    </row>
    <row r="325" spans="1:29" ht="12.75" customHeight="1" x14ac:dyDescent="0.2">
      <c r="A325" s="1397" t="s">
        <v>7628</v>
      </c>
      <c r="B325" s="1370" t="s">
        <v>6326</v>
      </c>
      <c r="C325" s="1453">
        <f t="shared" si="68"/>
        <v>5</v>
      </c>
      <c r="F325" s="1343">
        <f t="shared" si="69"/>
        <v>1</v>
      </c>
      <c r="G325" s="1447"/>
      <c r="H325" s="1447"/>
      <c r="I325" s="1447"/>
      <c r="J325" s="1447"/>
      <c r="K325" s="1447"/>
      <c r="L325" s="1447">
        <v>5</v>
      </c>
      <c r="M325" s="1447"/>
      <c r="N325" s="1447"/>
      <c r="O325" s="1447"/>
      <c r="P325" s="1370"/>
      <c r="Q325" s="1447"/>
      <c r="R325" s="1447"/>
      <c r="S325" s="1447"/>
      <c r="T325" s="1447"/>
      <c r="U325" s="1447"/>
      <c r="V325" s="1447"/>
      <c r="W325" s="1447"/>
      <c r="X325" s="1447"/>
      <c r="AB325" s="80"/>
      <c r="AC325" s="80"/>
    </row>
    <row r="326" spans="1:29" ht="12.75" customHeight="1" x14ac:dyDescent="0.2">
      <c r="A326" s="1442" t="s">
        <v>726</v>
      </c>
      <c r="B326" s="1374" t="s">
        <v>1295</v>
      </c>
      <c r="C326" s="1453">
        <f t="shared" si="68"/>
        <v>5</v>
      </c>
      <c r="F326" s="1343">
        <f t="shared" si="69"/>
        <v>2</v>
      </c>
      <c r="G326" s="1447"/>
      <c r="H326" s="1447">
        <v>3</v>
      </c>
      <c r="I326" s="1447"/>
      <c r="J326" s="1447"/>
      <c r="K326" s="1447"/>
      <c r="L326" s="1447"/>
      <c r="M326" s="1447">
        <v>2</v>
      </c>
      <c r="N326" s="1447"/>
      <c r="O326" s="1447"/>
      <c r="P326" s="1370"/>
      <c r="Q326" s="1447"/>
      <c r="R326" s="1447"/>
      <c r="S326" s="1447"/>
      <c r="T326" s="1447"/>
      <c r="U326" s="1447"/>
      <c r="V326" s="1447"/>
      <c r="W326" s="1447"/>
      <c r="X326" s="1447"/>
      <c r="AB326" s="80"/>
      <c r="AC326" s="80"/>
    </row>
    <row r="327" spans="1:29" ht="12.75" customHeight="1" x14ac:dyDescent="0.2">
      <c r="A327" s="1442" t="s">
        <v>3508</v>
      </c>
      <c r="B327" s="1374" t="s">
        <v>1295</v>
      </c>
      <c r="C327" s="1453">
        <f t="shared" si="68"/>
        <v>5</v>
      </c>
      <c r="F327" s="1343">
        <f t="shared" si="69"/>
        <v>2</v>
      </c>
      <c r="G327" s="1447"/>
      <c r="H327" s="1447">
        <v>4</v>
      </c>
      <c r="I327" s="1447"/>
      <c r="J327" s="1447"/>
      <c r="K327" s="1447"/>
      <c r="L327" s="1447"/>
      <c r="M327" s="1447">
        <v>1</v>
      </c>
      <c r="N327" s="1447"/>
      <c r="O327" s="1447"/>
      <c r="P327" s="1370"/>
      <c r="Q327" s="1447"/>
      <c r="R327" s="1447"/>
      <c r="S327" s="1447"/>
      <c r="T327" s="1447"/>
      <c r="U327" s="1447"/>
      <c r="V327" s="1447"/>
      <c r="W327" s="1447"/>
      <c r="X327" s="1447"/>
      <c r="AB327" s="80"/>
      <c r="AC327" s="80"/>
    </row>
    <row r="328" spans="1:29" ht="12.75" customHeight="1" x14ac:dyDescent="0.2">
      <c r="A328" s="1397" t="s">
        <v>866</v>
      </c>
      <c r="B328" s="1370" t="s">
        <v>867</v>
      </c>
      <c r="C328" s="1453">
        <f t="shared" si="68"/>
        <v>1</v>
      </c>
      <c r="F328" s="1343">
        <f t="shared" si="69"/>
        <v>1</v>
      </c>
      <c r="G328" s="1447"/>
      <c r="H328" s="1447">
        <v>1</v>
      </c>
      <c r="I328" s="1447"/>
      <c r="J328" s="1447"/>
      <c r="K328" s="1447"/>
      <c r="L328" s="1447"/>
      <c r="M328" s="1447"/>
      <c r="N328" s="1447"/>
      <c r="O328" s="1447"/>
      <c r="P328" s="1370"/>
      <c r="Q328" s="1447"/>
      <c r="R328" s="1447"/>
      <c r="S328" s="1447"/>
      <c r="T328" s="1447"/>
      <c r="U328" s="1447"/>
      <c r="V328" s="1447"/>
      <c r="W328" s="1447"/>
      <c r="X328" s="1447"/>
      <c r="AB328" s="80"/>
      <c r="AC328" s="80"/>
    </row>
    <row r="329" spans="1:29" ht="12.75" customHeight="1" x14ac:dyDescent="0.2">
      <c r="A329" s="1397" t="s">
        <v>3508</v>
      </c>
      <c r="B329" s="1370" t="s">
        <v>3632</v>
      </c>
      <c r="C329" s="1453">
        <f t="shared" si="68"/>
        <v>2</v>
      </c>
      <c r="F329" s="1343">
        <f t="shared" si="69"/>
        <v>2</v>
      </c>
      <c r="G329" s="1447"/>
      <c r="H329" s="1447">
        <v>1</v>
      </c>
      <c r="I329" s="1447"/>
      <c r="J329" s="1447"/>
      <c r="K329" s="1447"/>
      <c r="L329" s="1447"/>
      <c r="M329" s="1447">
        <v>1</v>
      </c>
      <c r="N329" s="1447"/>
      <c r="O329" s="1447"/>
      <c r="P329" s="1370"/>
      <c r="Q329" s="1447"/>
      <c r="R329" s="1447"/>
      <c r="S329" s="1447"/>
      <c r="T329" s="1447"/>
      <c r="U329" s="1447"/>
      <c r="V329" s="1447"/>
      <c r="W329" s="1447"/>
      <c r="X329" s="1447"/>
      <c r="AB329" s="80"/>
      <c r="AC329" s="80"/>
    </row>
    <row r="330" spans="1:29" ht="12.75" customHeight="1" x14ac:dyDescent="0.2">
      <c r="A330" s="1397" t="s">
        <v>3535</v>
      </c>
      <c r="B330" s="1370" t="s">
        <v>11025</v>
      </c>
      <c r="C330" s="1453">
        <f t="shared" si="68"/>
        <v>6</v>
      </c>
      <c r="F330" s="1343">
        <f t="shared" si="69"/>
        <v>3</v>
      </c>
      <c r="G330" s="1447"/>
      <c r="H330" s="1447">
        <v>2</v>
      </c>
      <c r="I330" s="1447"/>
      <c r="J330" s="1447"/>
      <c r="K330" s="1447"/>
      <c r="L330" s="1447"/>
      <c r="M330" s="1447">
        <v>3</v>
      </c>
      <c r="N330" s="1447"/>
      <c r="O330" s="1447"/>
      <c r="P330" s="1370"/>
      <c r="Q330" s="1447"/>
      <c r="R330" s="1447"/>
      <c r="S330" s="1447"/>
      <c r="T330" s="1447"/>
      <c r="U330" s="1447"/>
      <c r="V330" s="1447">
        <v>1</v>
      </c>
      <c r="W330" s="1447"/>
      <c r="X330" s="1447"/>
      <c r="AB330" s="80"/>
      <c r="AC330" s="80"/>
    </row>
    <row r="331" spans="1:29" ht="12.75" customHeight="1" x14ac:dyDescent="0.2">
      <c r="A331" s="1397" t="s">
        <v>3230</v>
      </c>
      <c r="B331" s="1370" t="s">
        <v>11625</v>
      </c>
      <c r="C331" s="1453">
        <f t="shared" si="68"/>
        <v>3</v>
      </c>
      <c r="F331" s="1343">
        <f t="shared" si="69"/>
        <v>3</v>
      </c>
      <c r="G331" s="1447"/>
      <c r="H331" s="1447">
        <v>1</v>
      </c>
      <c r="I331" s="1447"/>
      <c r="J331" s="1447">
        <v>1</v>
      </c>
      <c r="K331" s="1447"/>
      <c r="L331" s="1447"/>
      <c r="M331" s="1447">
        <v>1</v>
      </c>
      <c r="N331" s="1447"/>
      <c r="O331" s="1447"/>
      <c r="P331" s="1370"/>
      <c r="Q331" s="1447"/>
      <c r="R331" s="1447"/>
      <c r="S331" s="1447"/>
      <c r="T331" s="1447"/>
      <c r="U331" s="1447"/>
      <c r="V331" s="1447"/>
      <c r="W331" s="1447"/>
      <c r="X331" s="1447"/>
      <c r="AB331" s="80"/>
      <c r="AC331" s="80"/>
    </row>
    <row r="332" spans="1:29" ht="12.75" customHeight="1" x14ac:dyDescent="0.2">
      <c r="A332" s="1399" t="s">
        <v>922</v>
      </c>
      <c r="B332" s="1376" t="s">
        <v>1530</v>
      </c>
      <c r="C332" s="1453">
        <f t="shared" si="68"/>
        <v>9</v>
      </c>
      <c r="F332" s="1343">
        <f t="shared" si="69"/>
        <v>5</v>
      </c>
      <c r="G332" s="1447"/>
      <c r="H332" s="1447">
        <v>5</v>
      </c>
      <c r="I332" s="1447"/>
      <c r="J332" s="1447">
        <v>1</v>
      </c>
      <c r="K332" s="1447"/>
      <c r="L332" s="1447"/>
      <c r="M332" s="1447">
        <v>1</v>
      </c>
      <c r="N332" s="1447"/>
      <c r="O332" s="1447">
        <v>1</v>
      </c>
      <c r="P332" s="1370"/>
      <c r="Q332" s="1447"/>
      <c r="R332" s="1447"/>
      <c r="S332" s="1447"/>
      <c r="T332" s="1447"/>
      <c r="U332" s="1447"/>
      <c r="V332" s="1447">
        <v>1</v>
      </c>
      <c r="W332" s="1447"/>
      <c r="X332" s="1447"/>
      <c r="AB332" s="859"/>
      <c r="AC332" s="859"/>
    </row>
    <row r="333" spans="1:29" ht="12.75" customHeight="1" x14ac:dyDescent="0.2">
      <c r="A333" s="1426" t="s">
        <v>2478</v>
      </c>
      <c r="B333" s="1389" t="s">
        <v>4439</v>
      </c>
      <c r="C333" s="1453">
        <f t="shared" si="68"/>
        <v>1</v>
      </c>
      <c r="F333" s="1343">
        <f t="shared" si="69"/>
        <v>1</v>
      </c>
      <c r="G333" s="1447"/>
      <c r="H333" s="1447">
        <v>1</v>
      </c>
      <c r="I333" s="1447"/>
      <c r="J333" s="1447"/>
      <c r="K333" s="1447"/>
      <c r="L333" s="1447"/>
      <c r="M333" s="1447"/>
      <c r="N333" s="1447"/>
      <c r="O333" s="1447"/>
      <c r="P333" s="1370"/>
      <c r="Q333" s="1447"/>
      <c r="R333" s="1447"/>
      <c r="S333" s="1447"/>
      <c r="T333" s="1447"/>
      <c r="U333" s="1447"/>
      <c r="V333" s="1447"/>
      <c r="W333" s="1447"/>
      <c r="X333" s="1447"/>
      <c r="AB333" s="859"/>
      <c r="AC333" s="859"/>
    </row>
    <row r="334" spans="1:29" ht="12.75" customHeight="1" x14ac:dyDescent="0.2">
      <c r="A334" s="1397" t="s">
        <v>1796</v>
      </c>
      <c r="B334" s="1370" t="s">
        <v>1797</v>
      </c>
      <c r="C334" s="1453">
        <f t="shared" si="68"/>
        <v>5</v>
      </c>
      <c r="F334" s="1343">
        <f t="shared" si="69"/>
        <v>4</v>
      </c>
      <c r="G334" s="1447"/>
      <c r="H334" s="1447">
        <v>2</v>
      </c>
      <c r="I334" s="1447"/>
      <c r="J334" s="1447">
        <v>1</v>
      </c>
      <c r="K334" s="1447"/>
      <c r="L334" s="1447"/>
      <c r="M334" s="1447">
        <v>1</v>
      </c>
      <c r="N334" s="1447"/>
      <c r="O334" s="1447">
        <v>1</v>
      </c>
      <c r="P334" s="1370"/>
      <c r="Q334" s="1447"/>
      <c r="R334" s="1447"/>
      <c r="S334" s="1447"/>
      <c r="T334" s="1447"/>
      <c r="U334" s="1447"/>
      <c r="V334" s="1447"/>
      <c r="W334" s="1447"/>
      <c r="X334" s="1447"/>
    </row>
    <row r="335" spans="1:29" ht="12.75" customHeight="1" x14ac:dyDescent="0.2">
      <c r="A335" s="1397" t="s">
        <v>868</v>
      </c>
      <c r="B335" s="1370" t="s">
        <v>2480</v>
      </c>
      <c r="C335" s="1453">
        <f t="shared" si="68"/>
        <v>2</v>
      </c>
      <c r="F335" s="1343">
        <f t="shared" si="69"/>
        <v>2</v>
      </c>
      <c r="G335" s="1447"/>
      <c r="H335" s="1447">
        <v>1</v>
      </c>
      <c r="I335" s="1447"/>
      <c r="J335" s="1447"/>
      <c r="K335" s="1447"/>
      <c r="L335" s="1447"/>
      <c r="M335" s="1447"/>
      <c r="N335" s="1447"/>
      <c r="O335" s="1447">
        <v>1</v>
      </c>
      <c r="P335" s="1370"/>
      <c r="Q335" s="1447"/>
      <c r="R335" s="1447"/>
      <c r="S335" s="1447"/>
      <c r="T335" s="1447"/>
      <c r="U335" s="1447"/>
      <c r="V335" s="1447"/>
      <c r="W335" s="1447"/>
      <c r="X335" s="1447"/>
    </row>
    <row r="336" spans="1:29" ht="12.75" customHeight="1" x14ac:dyDescent="0.2">
      <c r="A336" s="1397" t="s">
        <v>5540</v>
      </c>
      <c r="B336" s="1370" t="s">
        <v>5541</v>
      </c>
      <c r="C336" s="1453">
        <f t="shared" si="68"/>
        <v>50</v>
      </c>
      <c r="F336" s="1343">
        <f t="shared" si="69"/>
        <v>4</v>
      </c>
      <c r="G336" s="1447"/>
      <c r="H336" s="1447">
        <v>27</v>
      </c>
      <c r="I336" s="1447"/>
      <c r="J336" s="1447"/>
      <c r="K336" s="1447"/>
      <c r="L336" s="1447"/>
      <c r="M336" s="1447">
        <v>20</v>
      </c>
      <c r="N336" s="1447"/>
      <c r="O336" s="1447">
        <v>2</v>
      </c>
      <c r="P336" s="1370"/>
      <c r="Q336" s="1447">
        <v>1</v>
      </c>
      <c r="R336" s="1447"/>
      <c r="S336" s="1447"/>
      <c r="T336" s="1447"/>
      <c r="U336" s="1447"/>
      <c r="V336" s="1447"/>
      <c r="W336" s="1447"/>
      <c r="X336" s="1447"/>
    </row>
    <row r="337" spans="1:24" ht="12.75" customHeight="1" x14ac:dyDescent="0.2">
      <c r="A337" s="1399" t="s">
        <v>5980</v>
      </c>
      <c r="B337" s="1376" t="s">
        <v>4818</v>
      </c>
      <c r="C337" s="1453">
        <f t="shared" si="68"/>
        <v>6</v>
      </c>
      <c r="F337" s="1343">
        <f t="shared" si="69"/>
        <v>5</v>
      </c>
      <c r="G337" s="1447"/>
      <c r="H337" s="1447"/>
      <c r="I337" s="1447">
        <v>1</v>
      </c>
      <c r="J337" s="1447"/>
      <c r="K337" s="1447">
        <v>1</v>
      </c>
      <c r="L337" s="1447">
        <v>2</v>
      </c>
      <c r="M337" s="1447"/>
      <c r="N337" s="1447"/>
      <c r="O337" s="1447">
        <v>1</v>
      </c>
      <c r="P337" s="1370"/>
      <c r="Q337" s="1451"/>
      <c r="R337" s="1451"/>
      <c r="S337" s="1451"/>
      <c r="T337" s="1451"/>
      <c r="U337" s="1451"/>
      <c r="V337" s="1451"/>
      <c r="W337" s="1689">
        <v>1</v>
      </c>
      <c r="X337" s="1451"/>
    </row>
    <row r="338" spans="1:24" ht="12.75" customHeight="1" x14ac:dyDescent="0.2">
      <c r="A338" s="1397" t="s">
        <v>12797</v>
      </c>
      <c r="B338" s="1370" t="s">
        <v>12718</v>
      </c>
      <c r="C338" s="1453">
        <f t="shared" si="68"/>
        <v>1</v>
      </c>
      <c r="F338" s="1343">
        <f t="shared" si="69"/>
        <v>1</v>
      </c>
      <c r="G338" s="1447"/>
      <c r="H338" s="1447"/>
      <c r="I338" s="1447"/>
      <c r="J338" s="1447"/>
      <c r="K338" s="1447"/>
      <c r="L338" s="1447"/>
      <c r="M338" s="1447"/>
      <c r="N338" s="1447"/>
      <c r="O338" s="1447">
        <v>1</v>
      </c>
      <c r="P338" s="1370"/>
      <c r="Q338" s="1451"/>
      <c r="R338" s="1451"/>
      <c r="S338" s="1451"/>
      <c r="T338" s="1451"/>
      <c r="U338" s="1451"/>
      <c r="V338" s="1451"/>
      <c r="W338" s="1689"/>
      <c r="X338" s="1451"/>
    </row>
    <row r="339" spans="1:24" ht="12.75" customHeight="1" x14ac:dyDescent="0.2">
      <c r="A339" s="1397" t="s">
        <v>12756</v>
      </c>
      <c r="B339" s="1370" t="s">
        <v>12718</v>
      </c>
      <c r="C339" s="1453">
        <f t="shared" si="68"/>
        <v>1</v>
      </c>
      <c r="F339" s="1343">
        <f t="shared" si="69"/>
        <v>1</v>
      </c>
      <c r="G339" s="1447"/>
      <c r="H339" s="1447"/>
      <c r="I339" s="1447"/>
      <c r="J339" s="1447"/>
      <c r="K339" s="1447"/>
      <c r="L339" s="1447"/>
      <c r="M339" s="1447"/>
      <c r="N339" s="1447"/>
      <c r="O339" s="1447">
        <v>1</v>
      </c>
      <c r="P339" s="1370"/>
      <c r="Q339" s="1451"/>
      <c r="R339" s="1451"/>
      <c r="S339" s="1451"/>
      <c r="T339" s="1451"/>
      <c r="U339" s="1451"/>
      <c r="V339" s="1451"/>
      <c r="W339" s="1689"/>
      <c r="X339" s="1451"/>
    </row>
    <row r="340" spans="1:24" ht="12.75" customHeight="1" x14ac:dyDescent="0.2">
      <c r="A340" s="1397" t="s">
        <v>665</v>
      </c>
      <c r="B340" s="1370" t="s">
        <v>666</v>
      </c>
      <c r="C340" s="1453">
        <f t="shared" si="68"/>
        <v>32</v>
      </c>
      <c r="F340" s="1343">
        <f t="shared" si="69"/>
        <v>17</v>
      </c>
      <c r="G340" s="1447">
        <v>1</v>
      </c>
      <c r="H340" s="1447">
        <v>5</v>
      </c>
      <c r="I340" s="1447">
        <v>1</v>
      </c>
      <c r="J340" s="1447">
        <v>3</v>
      </c>
      <c r="K340" s="1447">
        <v>1</v>
      </c>
      <c r="L340" s="1447">
        <v>2</v>
      </c>
      <c r="M340" s="1447">
        <v>4</v>
      </c>
      <c r="N340" s="1447">
        <v>2</v>
      </c>
      <c r="O340" s="1447">
        <v>4</v>
      </c>
      <c r="P340" s="1370"/>
      <c r="Q340" s="1447">
        <v>1</v>
      </c>
      <c r="R340" s="1447">
        <v>2</v>
      </c>
      <c r="S340" s="1447">
        <v>1</v>
      </c>
      <c r="T340" s="1447">
        <v>1</v>
      </c>
      <c r="U340" s="1447">
        <v>1</v>
      </c>
      <c r="V340" s="1447">
        <v>1</v>
      </c>
      <c r="W340" s="1447">
        <v>1</v>
      </c>
      <c r="X340" s="1447">
        <v>1</v>
      </c>
    </row>
    <row r="341" spans="1:24" ht="12.75" customHeight="1" x14ac:dyDescent="0.2">
      <c r="A341" s="1397" t="s">
        <v>4677</v>
      </c>
      <c r="B341" s="1370" t="s">
        <v>4678</v>
      </c>
      <c r="C341" s="1453">
        <f t="shared" si="68"/>
        <v>1</v>
      </c>
      <c r="F341" s="1343">
        <f t="shared" si="69"/>
        <v>1</v>
      </c>
      <c r="G341" s="1447"/>
      <c r="H341" s="1447">
        <v>1</v>
      </c>
      <c r="I341" s="1447"/>
      <c r="J341" s="1447"/>
      <c r="K341" s="1447"/>
      <c r="L341" s="1447"/>
      <c r="M341" s="1447"/>
      <c r="N341" s="1447"/>
      <c r="O341" s="1447"/>
      <c r="P341" s="1370"/>
      <c r="Q341" s="1447"/>
      <c r="R341" s="1447"/>
      <c r="S341" s="1447"/>
      <c r="T341" s="1447"/>
      <c r="U341" s="1447"/>
      <c r="V341" s="1447"/>
      <c r="W341" s="1447"/>
      <c r="X341" s="1447"/>
    </row>
    <row r="342" spans="1:24" ht="12.75" customHeight="1" x14ac:dyDescent="0.2">
      <c r="A342" s="1397" t="s">
        <v>16702</v>
      </c>
      <c r="B342" s="1370" t="s">
        <v>16703</v>
      </c>
      <c r="C342" s="1453">
        <f t="shared" si="68"/>
        <v>2</v>
      </c>
      <c r="F342" s="1343">
        <f t="shared" si="69"/>
        <v>2</v>
      </c>
      <c r="G342" s="1447"/>
      <c r="H342" s="1447">
        <v>1</v>
      </c>
      <c r="I342" s="1447"/>
      <c r="J342" s="1447"/>
      <c r="K342" s="1447"/>
      <c r="L342" s="1447"/>
      <c r="M342" s="1447">
        <v>1</v>
      </c>
      <c r="N342" s="1447"/>
      <c r="O342" s="1447"/>
      <c r="P342" s="1370"/>
      <c r="Q342" s="1447"/>
      <c r="R342" s="1447"/>
      <c r="S342" s="1447"/>
      <c r="T342" s="1447"/>
      <c r="U342" s="1447"/>
      <c r="V342" s="1447"/>
      <c r="W342" s="1447"/>
      <c r="X342" s="1447"/>
    </row>
    <row r="343" spans="1:24" ht="12.75" customHeight="1" x14ac:dyDescent="0.2">
      <c r="A343" s="1399" t="s">
        <v>2342</v>
      </c>
      <c r="B343" s="1376" t="s">
        <v>2343</v>
      </c>
      <c r="C343" s="1453">
        <f t="shared" si="68"/>
        <v>6</v>
      </c>
      <c r="F343" s="1343">
        <f t="shared" si="69"/>
        <v>4</v>
      </c>
      <c r="G343" s="1447"/>
      <c r="H343" s="1447">
        <v>2</v>
      </c>
      <c r="I343" s="1447"/>
      <c r="J343" s="1447">
        <v>1</v>
      </c>
      <c r="K343" s="1447"/>
      <c r="L343" s="1447"/>
      <c r="M343" s="1447">
        <v>2</v>
      </c>
      <c r="N343" s="1447"/>
      <c r="O343" s="1447"/>
      <c r="P343" s="1370"/>
      <c r="Q343" s="1447"/>
      <c r="R343" s="1447"/>
      <c r="S343" s="1447"/>
      <c r="T343" s="1447"/>
      <c r="U343" s="1447"/>
      <c r="V343" s="1447">
        <v>1</v>
      </c>
      <c r="W343" s="1447"/>
      <c r="X343" s="1447"/>
    </row>
    <row r="344" spans="1:24" ht="12.75" customHeight="1" x14ac:dyDescent="0.2">
      <c r="A344" s="1399" t="s">
        <v>2137</v>
      </c>
      <c r="B344" s="1376" t="s">
        <v>4943</v>
      </c>
      <c r="C344" s="1453">
        <f t="shared" si="68"/>
        <v>5</v>
      </c>
      <c r="F344" s="1343">
        <f t="shared" si="69"/>
        <v>4</v>
      </c>
      <c r="G344" s="1447"/>
      <c r="H344" s="1447"/>
      <c r="I344" s="1447"/>
      <c r="J344" s="1447"/>
      <c r="K344" s="1447"/>
      <c r="L344" s="1447"/>
      <c r="M344" s="1447">
        <v>1</v>
      </c>
      <c r="N344" s="1447">
        <v>1</v>
      </c>
      <c r="O344" s="1447"/>
      <c r="P344" s="1370"/>
      <c r="Q344" s="1447"/>
      <c r="R344" s="1447"/>
      <c r="S344" s="1447">
        <v>1</v>
      </c>
      <c r="T344" s="1447"/>
      <c r="U344" s="1447"/>
      <c r="V344" s="1447"/>
      <c r="W344" s="1447">
        <v>2</v>
      </c>
      <c r="X344" s="1447"/>
    </row>
    <row r="345" spans="1:24" ht="12.75" customHeight="1" x14ac:dyDescent="0.2">
      <c r="A345" s="1397" t="s">
        <v>2478</v>
      </c>
      <c r="B345" s="1370" t="s">
        <v>2479</v>
      </c>
      <c r="C345" s="1453">
        <f t="shared" si="68"/>
        <v>16</v>
      </c>
      <c r="F345" s="1343">
        <f t="shared" si="69"/>
        <v>10</v>
      </c>
      <c r="G345" s="1447"/>
      <c r="H345" s="1447">
        <v>1</v>
      </c>
      <c r="I345" s="1447"/>
      <c r="J345" s="1447">
        <v>1</v>
      </c>
      <c r="K345" s="1447"/>
      <c r="L345" s="1447"/>
      <c r="M345" s="1447">
        <v>2</v>
      </c>
      <c r="N345" s="1447">
        <v>1</v>
      </c>
      <c r="O345" s="1447">
        <v>1</v>
      </c>
      <c r="P345" s="1370"/>
      <c r="Q345" s="1447"/>
      <c r="R345" s="1447"/>
      <c r="S345" s="1447">
        <v>1</v>
      </c>
      <c r="T345" s="1447">
        <v>1</v>
      </c>
      <c r="U345" s="1447">
        <v>1</v>
      </c>
      <c r="V345" s="1447">
        <v>6</v>
      </c>
      <c r="W345" s="1447">
        <v>1</v>
      </c>
      <c r="X345" s="1447"/>
    </row>
    <row r="346" spans="1:24" ht="12.75" customHeight="1" x14ac:dyDescent="0.2">
      <c r="A346" s="1397" t="s">
        <v>3535</v>
      </c>
      <c r="B346" s="1376" t="s">
        <v>3536</v>
      </c>
      <c r="C346" s="1453">
        <f t="shared" si="68"/>
        <v>1</v>
      </c>
      <c r="F346" s="1343">
        <f t="shared" si="69"/>
        <v>1</v>
      </c>
      <c r="G346" s="1447"/>
      <c r="H346" s="1447">
        <v>1</v>
      </c>
      <c r="I346" s="1447"/>
      <c r="J346" s="1447"/>
      <c r="K346" s="1447"/>
      <c r="L346" s="1447"/>
      <c r="M346" s="1447"/>
      <c r="N346" s="1447"/>
      <c r="O346" s="1447"/>
      <c r="P346" s="1370"/>
      <c r="Q346" s="1447"/>
      <c r="R346" s="1447"/>
      <c r="S346" s="1447"/>
      <c r="T346" s="1447"/>
      <c r="U346" s="1447"/>
      <c r="V346" s="1447"/>
      <c r="W346" s="1447"/>
      <c r="X346" s="1447"/>
    </row>
    <row r="347" spans="1:24" ht="12.75" customHeight="1" x14ac:dyDescent="0.2">
      <c r="A347" s="1397" t="s">
        <v>866</v>
      </c>
      <c r="B347" s="1370" t="s">
        <v>4635</v>
      </c>
      <c r="C347" s="1453">
        <f t="shared" si="68"/>
        <v>4</v>
      </c>
      <c r="F347" s="1343">
        <f t="shared" si="69"/>
        <v>4</v>
      </c>
      <c r="G347" s="1447"/>
      <c r="H347" s="1447">
        <v>1</v>
      </c>
      <c r="I347" s="1447"/>
      <c r="J347" s="1447"/>
      <c r="K347" s="1447"/>
      <c r="L347" s="1447">
        <v>1</v>
      </c>
      <c r="M347" s="1447">
        <v>1</v>
      </c>
      <c r="N347" s="1447"/>
      <c r="O347" s="1447">
        <v>1</v>
      </c>
      <c r="P347" s="1370"/>
      <c r="Q347" s="1381"/>
      <c r="R347" s="1381"/>
      <c r="S347" s="1381"/>
      <c r="T347" s="1381"/>
      <c r="U347" s="1381"/>
      <c r="V347" s="1381"/>
      <c r="W347" s="1381"/>
      <c r="X347" s="1381"/>
    </row>
    <row r="348" spans="1:24" ht="12.75" customHeight="1" x14ac:dyDescent="0.2">
      <c r="A348" s="1399" t="s">
        <v>4561</v>
      </c>
      <c r="B348" s="1376" t="s">
        <v>4562</v>
      </c>
      <c r="C348" s="1453">
        <f t="shared" si="68"/>
        <v>6</v>
      </c>
      <c r="F348" s="1343">
        <f t="shared" si="69"/>
        <v>3</v>
      </c>
      <c r="G348" s="1447"/>
      <c r="H348" s="1447">
        <v>4</v>
      </c>
      <c r="I348" s="1447"/>
      <c r="J348" s="1447">
        <v>1</v>
      </c>
      <c r="K348" s="1447"/>
      <c r="L348" s="1447"/>
      <c r="M348" s="1447">
        <v>1</v>
      </c>
      <c r="N348" s="1447"/>
      <c r="O348" s="1447"/>
      <c r="P348" s="1370"/>
      <c r="Q348" s="1381"/>
      <c r="R348" s="1381"/>
      <c r="S348" s="1381"/>
      <c r="T348" s="1381"/>
      <c r="U348" s="1381"/>
      <c r="V348" s="1381"/>
      <c r="W348" s="1381"/>
      <c r="X348" s="1381"/>
    </row>
    <row r="349" spans="1:24" ht="12.75" customHeight="1" x14ac:dyDescent="0.2">
      <c r="A349" s="1399" t="s">
        <v>1798</v>
      </c>
      <c r="B349" s="1376" t="s">
        <v>17201</v>
      </c>
      <c r="C349" s="1453">
        <f t="shared" si="68"/>
        <v>4</v>
      </c>
      <c r="F349" s="1343">
        <f t="shared" si="69"/>
        <v>4</v>
      </c>
      <c r="G349" s="1972"/>
      <c r="H349" s="1972">
        <v>1</v>
      </c>
      <c r="I349" s="1972"/>
      <c r="J349" s="1972">
        <v>1</v>
      </c>
      <c r="K349" s="1972"/>
      <c r="L349" s="1972"/>
      <c r="M349" s="1972">
        <v>1</v>
      </c>
      <c r="N349" s="1972"/>
      <c r="O349" s="1972">
        <v>1</v>
      </c>
      <c r="P349" s="581"/>
      <c r="Q349" s="599"/>
      <c r="R349" s="599"/>
      <c r="S349" s="599"/>
      <c r="T349" s="599"/>
      <c r="U349" s="599"/>
      <c r="V349" s="599"/>
      <c r="W349" s="599"/>
      <c r="X349" s="599"/>
    </row>
    <row r="350" spans="1:24" ht="12.75" customHeight="1" x14ac:dyDescent="0.2">
      <c r="A350" s="1399" t="s">
        <v>16990</v>
      </c>
      <c r="B350" s="1376" t="s">
        <v>17038</v>
      </c>
      <c r="C350" s="1453">
        <f t="shared" si="68"/>
        <v>1</v>
      </c>
      <c r="F350" s="1343">
        <f t="shared" si="69"/>
        <v>1</v>
      </c>
      <c r="G350" s="1972"/>
      <c r="H350" s="1972">
        <v>1</v>
      </c>
      <c r="I350" s="1972"/>
      <c r="J350" s="1972"/>
      <c r="K350" s="1972"/>
      <c r="L350" s="1972"/>
      <c r="M350" s="1972"/>
      <c r="N350" s="1972"/>
      <c r="O350" s="1972"/>
      <c r="P350" s="581"/>
      <c r="Q350" s="599"/>
      <c r="R350" s="599"/>
      <c r="S350" s="599"/>
      <c r="T350" s="599"/>
      <c r="U350" s="599"/>
      <c r="V350" s="599"/>
      <c r="W350" s="599"/>
      <c r="X350" s="599"/>
    </row>
    <row r="351" spans="1:24" ht="12.75" customHeight="1" x14ac:dyDescent="0.2">
      <c r="A351" s="1397" t="s">
        <v>1794</v>
      </c>
      <c r="B351" s="1370" t="s">
        <v>1795</v>
      </c>
      <c r="C351" s="1453">
        <f t="shared" si="68"/>
        <v>14</v>
      </c>
      <c r="F351" s="1343">
        <f t="shared" si="69"/>
        <v>5</v>
      </c>
      <c r="G351" s="1447"/>
      <c r="H351" s="1447">
        <v>4</v>
      </c>
      <c r="I351" s="1447"/>
      <c r="J351" s="1447">
        <v>6</v>
      </c>
      <c r="K351" s="1447"/>
      <c r="L351" s="1447"/>
      <c r="M351" s="1447">
        <v>2</v>
      </c>
      <c r="N351" s="1447">
        <v>1</v>
      </c>
      <c r="O351" s="1447">
        <v>1</v>
      </c>
      <c r="P351" s="1370"/>
      <c r="Q351" s="1381"/>
      <c r="R351" s="1381"/>
      <c r="S351" s="1381"/>
      <c r="T351" s="1381"/>
      <c r="U351" s="1381"/>
      <c r="V351" s="1381"/>
      <c r="W351" s="1381"/>
      <c r="X351" s="1381"/>
    </row>
    <row r="352" spans="1:24" ht="12.75" customHeight="1" x14ac:dyDescent="0.2">
      <c r="A352" s="1397" t="s">
        <v>431</v>
      </c>
      <c r="B352" s="1370" t="s">
        <v>433</v>
      </c>
      <c r="C352" s="1453">
        <f t="shared" si="68"/>
        <v>328</v>
      </c>
      <c r="F352" s="1343">
        <f t="shared" si="69"/>
        <v>2</v>
      </c>
      <c r="G352" s="1447"/>
      <c r="H352" s="1447">
        <v>323</v>
      </c>
      <c r="I352" s="1447"/>
      <c r="J352" s="1447"/>
      <c r="K352" s="1447"/>
      <c r="L352" s="1447"/>
      <c r="M352" s="1447">
        <v>5</v>
      </c>
      <c r="N352" s="1447"/>
      <c r="O352" s="1447"/>
      <c r="P352" s="1370"/>
      <c r="Q352" s="1381"/>
      <c r="R352" s="1381"/>
      <c r="S352" s="1381"/>
      <c r="T352" s="1381"/>
      <c r="U352" s="1381"/>
      <c r="V352" s="1381"/>
      <c r="W352" s="1381"/>
      <c r="X352" s="1381"/>
    </row>
    <row r="353" spans="1:24" ht="12.75" customHeight="1" x14ac:dyDescent="0.2">
      <c r="A353" s="1397" t="s">
        <v>9377</v>
      </c>
      <c r="B353" s="1370" t="s">
        <v>9378</v>
      </c>
      <c r="C353" s="1453">
        <f t="shared" si="68"/>
        <v>4</v>
      </c>
      <c r="F353" s="1343">
        <f t="shared" si="69"/>
        <v>2</v>
      </c>
      <c r="G353" s="1447"/>
      <c r="H353" s="1447">
        <v>3</v>
      </c>
      <c r="I353" s="1447"/>
      <c r="J353" s="1447">
        <v>1</v>
      </c>
      <c r="K353" s="1447"/>
      <c r="L353" s="1447"/>
      <c r="M353" s="1447"/>
      <c r="N353" s="1447"/>
      <c r="O353" s="1447"/>
      <c r="P353" s="1370"/>
      <c r="Q353" s="1381"/>
      <c r="R353" s="1381"/>
      <c r="S353" s="1381"/>
      <c r="T353" s="1381"/>
      <c r="U353" s="1381"/>
      <c r="V353" s="1381"/>
      <c r="W353" s="1381"/>
      <c r="X353" s="1381"/>
    </row>
    <row r="354" spans="1:24" ht="12.75" customHeight="1" x14ac:dyDescent="0.2">
      <c r="A354" s="1397" t="s">
        <v>5400</v>
      </c>
      <c r="B354" s="1370" t="s">
        <v>5401</v>
      </c>
      <c r="C354" s="1453">
        <f t="shared" si="68"/>
        <v>1</v>
      </c>
      <c r="F354" s="1343">
        <f t="shared" si="69"/>
        <v>1</v>
      </c>
      <c r="G354" s="1447"/>
      <c r="H354" s="1447"/>
      <c r="I354" s="1447"/>
      <c r="J354" s="1447"/>
      <c r="K354" s="1447"/>
      <c r="L354" s="1447"/>
      <c r="M354" s="1447">
        <v>1</v>
      </c>
      <c r="N354" s="1447"/>
      <c r="O354" s="1447"/>
      <c r="P354" s="1370"/>
      <c r="Q354" s="1447"/>
      <c r="R354" s="1447"/>
      <c r="S354" s="1447"/>
      <c r="T354" s="1447"/>
      <c r="U354" s="1447"/>
      <c r="V354" s="1447"/>
      <c r="W354" s="1447"/>
      <c r="X354" s="1447"/>
    </row>
    <row r="355" spans="1:24" ht="12.75" customHeight="1" x14ac:dyDescent="0.2">
      <c r="A355" s="1397" t="s">
        <v>1847</v>
      </c>
      <c r="B355" s="1370" t="s">
        <v>3961</v>
      </c>
      <c r="C355" s="1453">
        <f t="shared" si="68"/>
        <v>9</v>
      </c>
      <c r="F355" s="1343">
        <f t="shared" si="69"/>
        <v>8</v>
      </c>
      <c r="G355" s="1447">
        <v>2</v>
      </c>
      <c r="H355" s="1447">
        <v>1</v>
      </c>
      <c r="I355" s="1447">
        <v>1</v>
      </c>
      <c r="J355" s="1447"/>
      <c r="K355" s="1447">
        <v>1</v>
      </c>
      <c r="L355" s="1447">
        <v>1</v>
      </c>
      <c r="M355" s="1447">
        <v>1</v>
      </c>
      <c r="N355" s="1447"/>
      <c r="O355" s="1447">
        <v>1</v>
      </c>
      <c r="P355" s="1370"/>
      <c r="Q355" s="1381"/>
      <c r="R355" s="1381">
        <v>1</v>
      </c>
      <c r="S355" s="1381"/>
      <c r="T355" s="1381"/>
      <c r="U355" s="1381"/>
      <c r="V355" s="1381"/>
      <c r="W355" s="1381"/>
      <c r="X355" s="1381"/>
    </row>
    <row r="356" spans="1:24" ht="12.75" customHeight="1" x14ac:dyDescent="0.2">
      <c r="A356" s="1397" t="s">
        <v>1308</v>
      </c>
      <c r="B356" s="1370" t="s">
        <v>1506</v>
      </c>
      <c r="C356" s="1453">
        <f t="shared" si="68"/>
        <v>1</v>
      </c>
      <c r="F356" s="1343">
        <f t="shared" si="69"/>
        <v>1</v>
      </c>
      <c r="G356" s="1447"/>
      <c r="H356" s="1447"/>
      <c r="I356" s="1447"/>
      <c r="J356" s="1447"/>
      <c r="K356" s="1447"/>
      <c r="L356" s="1447"/>
      <c r="M356" s="1447">
        <v>1</v>
      </c>
      <c r="N356" s="1447"/>
      <c r="O356" s="1447"/>
      <c r="P356" s="1370"/>
      <c r="Q356" s="1381"/>
      <c r="R356" s="1381"/>
      <c r="S356" s="1381"/>
      <c r="T356" s="1381"/>
      <c r="U356" s="1381"/>
      <c r="V356" s="1381"/>
      <c r="W356" s="1381"/>
      <c r="X356" s="1381"/>
    </row>
    <row r="357" spans="1:24" ht="12.75" customHeight="1" x14ac:dyDescent="0.2">
      <c r="A357" s="1397" t="s">
        <v>2416</v>
      </c>
      <c r="B357" s="1370" t="s">
        <v>2417</v>
      </c>
      <c r="C357" s="1453">
        <f t="shared" si="68"/>
        <v>15</v>
      </c>
      <c r="F357" s="1343">
        <f t="shared" si="69"/>
        <v>5</v>
      </c>
      <c r="G357" s="1447"/>
      <c r="H357" s="1447">
        <v>2</v>
      </c>
      <c r="I357" s="1447"/>
      <c r="J357" s="1447">
        <v>3</v>
      </c>
      <c r="K357" s="1447"/>
      <c r="L357" s="1447"/>
      <c r="M357" s="1447">
        <v>1</v>
      </c>
      <c r="N357" s="1447"/>
      <c r="O357" s="1447">
        <v>8</v>
      </c>
      <c r="P357" s="1370"/>
      <c r="Q357" s="1447"/>
      <c r="R357" s="1447"/>
      <c r="S357" s="1447"/>
      <c r="T357" s="1447"/>
      <c r="U357" s="1447"/>
      <c r="V357" s="1447">
        <v>1</v>
      </c>
      <c r="W357" s="1447"/>
      <c r="X357" s="1447"/>
    </row>
    <row r="358" spans="1:24" ht="12.75" customHeight="1" x14ac:dyDescent="0.2">
      <c r="A358" s="1397" t="s">
        <v>866</v>
      </c>
      <c r="B358" s="1370" t="s">
        <v>2417</v>
      </c>
      <c r="C358" s="1453">
        <f t="shared" si="68"/>
        <v>19</v>
      </c>
      <c r="F358" s="1343">
        <f t="shared" si="69"/>
        <v>5</v>
      </c>
      <c r="G358" s="1447"/>
      <c r="H358" s="1447">
        <v>2</v>
      </c>
      <c r="I358" s="1447"/>
      <c r="J358" s="1447">
        <v>4</v>
      </c>
      <c r="K358" s="1447"/>
      <c r="L358" s="1447"/>
      <c r="M358" s="1447">
        <v>1</v>
      </c>
      <c r="N358" s="1447"/>
      <c r="O358" s="1447">
        <v>10</v>
      </c>
      <c r="P358" s="1370"/>
      <c r="Q358" s="1447"/>
      <c r="R358" s="1447"/>
      <c r="S358" s="1447"/>
      <c r="T358" s="1447"/>
      <c r="U358" s="1447"/>
      <c r="V358" s="1447">
        <v>2</v>
      </c>
      <c r="W358" s="1447"/>
      <c r="X358" s="1447"/>
    </row>
    <row r="359" spans="1:24" ht="12.75" customHeight="1" x14ac:dyDescent="0.2">
      <c r="A359" s="1397" t="s">
        <v>3543</v>
      </c>
      <c r="B359" s="1370" t="s">
        <v>6122</v>
      </c>
      <c r="C359" s="1453">
        <f t="shared" si="68"/>
        <v>5</v>
      </c>
      <c r="F359" s="1343">
        <f t="shared" si="69"/>
        <v>1</v>
      </c>
      <c r="G359" s="1447"/>
      <c r="H359" s="1447"/>
      <c r="I359" s="1447"/>
      <c r="J359" s="1447"/>
      <c r="K359" s="1447"/>
      <c r="L359" s="1447"/>
      <c r="M359" s="1447">
        <v>5</v>
      </c>
      <c r="N359" s="1447"/>
      <c r="O359" s="1447"/>
      <c r="P359" s="1370"/>
      <c r="Q359" s="1381"/>
      <c r="R359" s="1381"/>
      <c r="S359" s="1381"/>
      <c r="T359" s="1381"/>
      <c r="U359" s="1381"/>
      <c r="V359" s="1381"/>
      <c r="W359" s="1381"/>
      <c r="X359" s="1381"/>
    </row>
    <row r="360" spans="1:24" ht="12.75" customHeight="1" x14ac:dyDescent="0.2">
      <c r="A360" s="1397" t="s">
        <v>439</v>
      </c>
      <c r="B360" s="1370" t="s">
        <v>440</v>
      </c>
      <c r="C360" s="1453">
        <f t="shared" si="68"/>
        <v>1</v>
      </c>
      <c r="F360" s="1343">
        <f t="shared" si="69"/>
        <v>1</v>
      </c>
      <c r="G360" s="1447"/>
      <c r="H360" s="1447">
        <v>1</v>
      </c>
      <c r="I360" s="1447"/>
      <c r="J360" s="1447"/>
      <c r="K360" s="1447"/>
      <c r="L360" s="1447"/>
      <c r="M360" s="1447"/>
      <c r="N360" s="1447"/>
      <c r="O360" s="1447"/>
      <c r="P360" s="1370"/>
      <c r="Q360" s="1381"/>
      <c r="R360" s="1381"/>
      <c r="S360" s="1381"/>
      <c r="T360" s="1381"/>
      <c r="U360" s="1381"/>
      <c r="V360" s="1381"/>
      <c r="W360" s="1381"/>
      <c r="X360" s="1381"/>
    </row>
    <row r="361" spans="1:24" ht="12.75" customHeight="1" x14ac:dyDescent="0.2">
      <c r="A361" s="1399" t="s">
        <v>4259</v>
      </c>
      <c r="B361" s="1376" t="s">
        <v>440</v>
      </c>
      <c r="C361" s="1453">
        <f t="shared" si="68"/>
        <v>59</v>
      </c>
      <c r="F361" s="1343">
        <f t="shared" si="69"/>
        <v>4</v>
      </c>
      <c r="G361" s="1447">
        <v>1</v>
      </c>
      <c r="H361" s="1447">
        <v>46</v>
      </c>
      <c r="I361" s="1447"/>
      <c r="J361" s="1447"/>
      <c r="K361" s="1447"/>
      <c r="L361" s="1447"/>
      <c r="M361" s="1447">
        <v>11</v>
      </c>
      <c r="N361" s="1447"/>
      <c r="O361" s="1447">
        <v>1</v>
      </c>
      <c r="P361" s="1370"/>
      <c r="Q361" s="1381"/>
      <c r="R361" s="1381"/>
      <c r="S361" s="1381"/>
      <c r="T361" s="1381"/>
      <c r="U361" s="1381"/>
      <c r="V361" s="1381"/>
      <c r="W361" s="1381"/>
      <c r="X361" s="1381"/>
    </row>
    <row r="362" spans="1:24" ht="12.75" customHeight="1" x14ac:dyDescent="0.2">
      <c r="A362" s="1426" t="s">
        <v>2705</v>
      </c>
      <c r="B362" s="1389" t="s">
        <v>440</v>
      </c>
      <c r="C362" s="1453">
        <f t="shared" si="68"/>
        <v>1</v>
      </c>
      <c r="F362" s="1343">
        <f t="shared" si="69"/>
        <v>1</v>
      </c>
      <c r="G362" s="1447"/>
      <c r="H362" s="1447"/>
      <c r="I362" s="1447"/>
      <c r="J362" s="1447"/>
      <c r="K362" s="1447"/>
      <c r="L362" s="1447">
        <v>1</v>
      </c>
      <c r="M362" s="1447"/>
      <c r="N362" s="1447"/>
      <c r="O362" s="1447"/>
      <c r="P362" s="1370"/>
      <c r="Q362" s="1381"/>
      <c r="R362" s="1381"/>
      <c r="S362" s="1381"/>
      <c r="T362" s="1381"/>
      <c r="U362" s="1381"/>
      <c r="V362" s="1381"/>
      <c r="W362" s="1381"/>
      <c r="X362" s="1381"/>
    </row>
    <row r="363" spans="1:24" ht="12.75" customHeight="1" x14ac:dyDescent="0.2">
      <c r="A363" s="1399" t="s">
        <v>9810</v>
      </c>
      <c r="B363" s="1376" t="s">
        <v>9811</v>
      </c>
      <c r="C363" s="1453">
        <f t="shared" si="68"/>
        <v>1</v>
      </c>
      <c r="F363" s="1343">
        <f t="shared" si="69"/>
        <v>1</v>
      </c>
      <c r="G363" s="1447"/>
      <c r="H363" s="1447">
        <v>1</v>
      </c>
      <c r="I363" s="1447"/>
      <c r="J363" s="1447"/>
      <c r="K363" s="1447"/>
      <c r="L363" s="1447"/>
      <c r="M363" s="1447"/>
      <c r="N363" s="1447"/>
      <c r="O363" s="1447"/>
      <c r="P363" s="1370"/>
      <c r="Q363" s="1381"/>
      <c r="R363" s="1381"/>
      <c r="S363" s="1381"/>
      <c r="T363" s="1381"/>
      <c r="U363" s="1381"/>
      <c r="V363" s="1381"/>
      <c r="W363" s="1381"/>
      <c r="X363" s="1381"/>
    </row>
    <row r="364" spans="1:24" ht="12.75" customHeight="1" x14ac:dyDescent="0.2">
      <c r="A364" s="1397" t="s">
        <v>3962</v>
      </c>
      <c r="B364" s="1370" t="s">
        <v>5543</v>
      </c>
      <c r="C364" s="1453">
        <f t="shared" si="68"/>
        <v>1</v>
      </c>
      <c r="F364" s="1343">
        <f t="shared" si="69"/>
        <v>1</v>
      </c>
      <c r="G364" s="1447"/>
      <c r="H364" s="1447"/>
      <c r="I364" s="1447"/>
      <c r="J364" s="1447"/>
      <c r="K364" s="1447"/>
      <c r="L364" s="1447"/>
      <c r="M364" s="1447">
        <v>1</v>
      </c>
      <c r="N364" s="1447"/>
      <c r="O364" s="1447"/>
      <c r="P364" s="1370"/>
      <c r="Q364" s="1381"/>
      <c r="R364" s="1381"/>
      <c r="S364" s="1381"/>
      <c r="T364" s="1381"/>
      <c r="U364" s="1381"/>
      <c r="V364" s="1381"/>
      <c r="W364" s="1381"/>
      <c r="X364" s="1381"/>
    </row>
    <row r="365" spans="1:24" ht="12.75" customHeight="1" x14ac:dyDescent="0.2">
      <c r="A365" s="1397" t="s">
        <v>1794</v>
      </c>
      <c r="B365" s="1370" t="s">
        <v>5543</v>
      </c>
      <c r="C365" s="1453">
        <f t="shared" si="68"/>
        <v>5</v>
      </c>
      <c r="F365" s="1343">
        <f t="shared" si="69"/>
        <v>1</v>
      </c>
      <c r="G365" s="1447"/>
      <c r="H365" s="1447">
        <v>5</v>
      </c>
      <c r="I365" s="1447"/>
      <c r="J365" s="1447"/>
      <c r="K365" s="1447"/>
      <c r="L365" s="1447"/>
      <c r="M365" s="1447"/>
      <c r="N365" s="1447"/>
      <c r="O365" s="1447"/>
      <c r="P365" s="1370"/>
      <c r="Q365" s="1381"/>
      <c r="R365" s="1381"/>
      <c r="S365" s="1381"/>
      <c r="T365" s="1381"/>
      <c r="U365" s="1381"/>
      <c r="V365" s="1381"/>
      <c r="W365" s="1381"/>
      <c r="X365" s="1381"/>
    </row>
    <row r="366" spans="1:24" ht="12.75" customHeight="1" x14ac:dyDescent="0.2">
      <c r="A366" s="1442" t="s">
        <v>9701</v>
      </c>
      <c r="B366" s="1374" t="s">
        <v>9702</v>
      </c>
      <c r="C366" s="1453">
        <f t="shared" si="68"/>
        <v>1</v>
      </c>
      <c r="F366" s="1343">
        <f t="shared" si="69"/>
        <v>1</v>
      </c>
      <c r="G366" s="1447"/>
      <c r="H366" s="1447"/>
      <c r="I366" s="1447"/>
      <c r="J366" s="1447"/>
      <c r="K366" s="1447"/>
      <c r="L366" s="1447"/>
      <c r="M366" s="1447">
        <v>1</v>
      </c>
      <c r="N366" s="1447"/>
      <c r="O366" s="1447"/>
      <c r="P366" s="1370"/>
      <c r="Q366" s="1381"/>
      <c r="R366" s="1381"/>
      <c r="S366" s="1381"/>
      <c r="T366" s="1381"/>
      <c r="U366" s="1381"/>
      <c r="V366" s="1381"/>
      <c r="W366" s="1381"/>
      <c r="X366" s="1381"/>
    </row>
    <row r="367" spans="1:24" ht="12.75" customHeight="1" x14ac:dyDescent="0.2">
      <c r="A367" s="1397" t="s">
        <v>481</v>
      </c>
      <c r="B367" s="1370" t="s">
        <v>1574</v>
      </c>
      <c r="C367" s="1453">
        <f t="shared" si="68"/>
        <v>3</v>
      </c>
      <c r="F367" s="1343">
        <f t="shared" si="69"/>
        <v>3</v>
      </c>
      <c r="G367" s="1447"/>
      <c r="H367" s="1447"/>
      <c r="I367" s="1447"/>
      <c r="J367" s="1447"/>
      <c r="K367" s="1447"/>
      <c r="L367" s="1447"/>
      <c r="M367" s="1447">
        <v>1</v>
      </c>
      <c r="N367" s="1447"/>
      <c r="O367" s="1447">
        <v>1</v>
      </c>
      <c r="P367" s="1370"/>
      <c r="Q367" s="1447"/>
      <c r="R367" s="1447"/>
      <c r="S367" s="1447"/>
      <c r="T367" s="1447"/>
      <c r="U367" s="1447"/>
      <c r="V367" s="1447">
        <v>1</v>
      </c>
      <c r="W367" s="1447"/>
      <c r="X367" s="1447"/>
    </row>
    <row r="368" spans="1:24" ht="12.75" customHeight="1" x14ac:dyDescent="0.2">
      <c r="A368" s="1397" t="s">
        <v>864</v>
      </c>
      <c r="B368" s="1370" t="s">
        <v>865</v>
      </c>
      <c r="C368" s="1453">
        <f t="shared" si="68"/>
        <v>15</v>
      </c>
      <c r="F368" s="1343">
        <f t="shared" si="69"/>
        <v>5</v>
      </c>
      <c r="G368" s="1447"/>
      <c r="H368" s="1447">
        <v>1</v>
      </c>
      <c r="I368" s="1447"/>
      <c r="J368" s="1447">
        <v>1</v>
      </c>
      <c r="K368" s="1447"/>
      <c r="L368" s="1447"/>
      <c r="M368" s="1447">
        <v>11</v>
      </c>
      <c r="N368" s="1447"/>
      <c r="O368" s="1447">
        <v>1</v>
      </c>
      <c r="P368" s="1370"/>
      <c r="Q368" s="1447"/>
      <c r="R368" s="1447"/>
      <c r="S368" s="1447"/>
      <c r="T368" s="1447">
        <v>1</v>
      </c>
      <c r="U368" s="1447"/>
      <c r="V368" s="1447"/>
      <c r="W368" s="1447"/>
      <c r="X368" s="1447"/>
    </row>
    <row r="369" spans="1:29" ht="12.75" customHeight="1" x14ac:dyDescent="0.2">
      <c r="A369" s="1397" t="s">
        <v>3535</v>
      </c>
      <c r="B369" s="1370" t="s">
        <v>4741</v>
      </c>
      <c r="C369" s="1453">
        <f t="shared" si="68"/>
        <v>4</v>
      </c>
      <c r="F369" s="1343">
        <f t="shared" si="69"/>
        <v>3</v>
      </c>
      <c r="G369" s="1447"/>
      <c r="H369" s="1447">
        <v>2</v>
      </c>
      <c r="I369" s="1447"/>
      <c r="J369" s="1447"/>
      <c r="K369" s="1447">
        <v>1</v>
      </c>
      <c r="L369" s="1447"/>
      <c r="M369" s="1447">
        <v>1</v>
      </c>
      <c r="N369" s="1447"/>
      <c r="O369" s="1447"/>
      <c r="P369" s="1370"/>
      <c r="Q369" s="1447"/>
      <c r="R369" s="1447"/>
      <c r="S369" s="1447"/>
      <c r="T369" s="1447"/>
      <c r="U369" s="1447"/>
      <c r="V369" s="1447"/>
      <c r="W369" s="1447"/>
      <c r="X369" s="1447"/>
    </row>
    <row r="370" spans="1:29" ht="12.75" customHeight="1" x14ac:dyDescent="0.2">
      <c r="A370" s="1397" t="s">
        <v>922</v>
      </c>
      <c r="B370" s="1370" t="s">
        <v>3831</v>
      </c>
      <c r="C370" s="1453">
        <f t="shared" si="68"/>
        <v>123</v>
      </c>
      <c r="F370" s="1343">
        <f t="shared" si="69"/>
        <v>1</v>
      </c>
      <c r="G370" s="1447"/>
      <c r="H370" s="1447">
        <v>123</v>
      </c>
      <c r="I370" s="1447"/>
      <c r="J370" s="1447"/>
      <c r="K370" s="1447"/>
      <c r="L370" s="1447"/>
      <c r="M370" s="1447"/>
      <c r="N370" s="1447"/>
      <c r="O370" s="1447"/>
      <c r="P370" s="1370"/>
      <c r="Q370" s="1447"/>
      <c r="R370" s="1447"/>
      <c r="S370" s="1447"/>
      <c r="T370" s="1447"/>
      <c r="U370" s="1447"/>
      <c r="V370" s="1447"/>
      <c r="W370" s="1447"/>
      <c r="X370" s="1447"/>
    </row>
    <row r="371" spans="1:29" ht="12.75" customHeight="1" x14ac:dyDescent="0.2">
      <c r="A371" s="1426" t="s">
        <v>4878</v>
      </c>
      <c r="B371" s="1389" t="s">
        <v>3250</v>
      </c>
      <c r="C371" s="1453">
        <f t="shared" si="68"/>
        <v>8</v>
      </c>
      <c r="F371" s="1343">
        <f t="shared" si="69"/>
        <v>2</v>
      </c>
      <c r="G371" s="1447"/>
      <c r="H371" s="1447">
        <v>7</v>
      </c>
      <c r="I371" s="1447"/>
      <c r="J371" s="1447"/>
      <c r="K371" s="1447"/>
      <c r="L371" s="1447"/>
      <c r="M371" s="1447">
        <v>1</v>
      </c>
      <c r="N371" s="1447"/>
      <c r="O371" s="1447"/>
      <c r="P371" s="1370"/>
      <c r="Q371" s="1381"/>
      <c r="R371" s="1381"/>
      <c r="S371" s="1381"/>
      <c r="T371" s="1381"/>
      <c r="U371" s="1381"/>
      <c r="V371" s="1381"/>
      <c r="W371" s="1381"/>
      <c r="X371" s="1381"/>
    </row>
    <row r="372" spans="1:29" ht="12.75" customHeight="1" x14ac:dyDescent="0.2">
      <c r="A372" s="1426" t="s">
        <v>3820</v>
      </c>
      <c r="B372" s="1389" t="s">
        <v>3821</v>
      </c>
      <c r="C372" s="1453">
        <f t="shared" si="68"/>
        <v>104</v>
      </c>
      <c r="F372" s="1343">
        <f t="shared" si="69"/>
        <v>3</v>
      </c>
      <c r="G372" s="1447"/>
      <c r="H372" s="1447">
        <v>4</v>
      </c>
      <c r="I372" s="1447"/>
      <c r="J372" s="1447"/>
      <c r="K372" s="1447"/>
      <c r="L372" s="1447"/>
      <c r="M372" s="1447">
        <v>99</v>
      </c>
      <c r="N372" s="1447"/>
      <c r="O372" s="1447"/>
      <c r="P372" s="1370"/>
      <c r="Q372" s="1447"/>
      <c r="R372" s="1447"/>
      <c r="S372" s="1447"/>
      <c r="T372" s="1447"/>
      <c r="U372" s="1447"/>
      <c r="V372" s="1447"/>
      <c r="W372" s="1447">
        <v>1</v>
      </c>
      <c r="X372" s="1447"/>
    </row>
    <row r="373" spans="1:29" ht="12.75" customHeight="1" x14ac:dyDescent="0.2">
      <c r="A373" s="1397"/>
      <c r="B373" s="1370"/>
      <c r="C373" s="1666"/>
      <c r="G373" s="637">
        <f>SUM(G317:G372)</f>
        <v>5</v>
      </c>
      <c r="H373" s="637">
        <f t="shared" ref="H373:O373" si="70">SUM(H317:H372)</f>
        <v>683</v>
      </c>
      <c r="I373" s="637">
        <f t="shared" si="70"/>
        <v>3</v>
      </c>
      <c r="J373" s="637">
        <f t="shared" si="70"/>
        <v>45</v>
      </c>
      <c r="K373" s="637">
        <f t="shared" si="70"/>
        <v>6</v>
      </c>
      <c r="L373" s="637">
        <f t="shared" si="70"/>
        <v>12</v>
      </c>
      <c r="M373" s="637">
        <f t="shared" si="70"/>
        <v>199</v>
      </c>
      <c r="N373" s="637">
        <f t="shared" si="70"/>
        <v>5</v>
      </c>
      <c r="O373" s="637">
        <f t="shared" si="70"/>
        <v>142</v>
      </c>
      <c r="P373" s="1467"/>
      <c r="Q373" s="637">
        <f t="shared" ref="Q373:X373" si="71">SUM(Q317:Q372)</f>
        <v>3</v>
      </c>
      <c r="R373" s="637">
        <f t="shared" si="71"/>
        <v>3</v>
      </c>
      <c r="S373" s="637">
        <f t="shared" si="71"/>
        <v>4</v>
      </c>
      <c r="T373" s="637">
        <f t="shared" si="71"/>
        <v>3</v>
      </c>
      <c r="U373" s="637">
        <f t="shared" si="71"/>
        <v>2</v>
      </c>
      <c r="V373" s="637">
        <f t="shared" si="71"/>
        <v>19</v>
      </c>
      <c r="W373" s="637">
        <f t="shared" si="71"/>
        <v>7</v>
      </c>
      <c r="X373" s="637">
        <f t="shared" si="71"/>
        <v>1</v>
      </c>
    </row>
    <row r="374" spans="1:29" ht="12.75" customHeight="1" x14ac:dyDescent="0.2">
      <c r="A374" s="1397"/>
      <c r="B374" s="1370"/>
      <c r="C374" s="1383">
        <f>SUM(C317:C373)</f>
        <v>1142</v>
      </c>
      <c r="E374" s="1377">
        <f>COUNT(G374:X374)</f>
        <v>17</v>
      </c>
      <c r="G374" s="637">
        <f t="shared" ref="G374:O374" si="72">COUNT(G317:G372)</f>
        <v>4</v>
      </c>
      <c r="H374" s="637">
        <f t="shared" si="72"/>
        <v>44</v>
      </c>
      <c r="I374" s="637">
        <f t="shared" si="72"/>
        <v>3</v>
      </c>
      <c r="J374" s="637">
        <f t="shared" si="72"/>
        <v>17</v>
      </c>
      <c r="K374" s="637">
        <f t="shared" si="72"/>
        <v>6</v>
      </c>
      <c r="L374" s="637">
        <f t="shared" si="72"/>
        <v>6</v>
      </c>
      <c r="M374" s="637">
        <f t="shared" si="72"/>
        <v>38</v>
      </c>
      <c r="N374" s="637">
        <f t="shared" si="72"/>
        <v>4</v>
      </c>
      <c r="O374" s="637">
        <f t="shared" si="72"/>
        <v>21</v>
      </c>
      <c r="P374" s="1467"/>
      <c r="Q374" s="637">
        <f t="shared" ref="Q374:X374" si="73">COUNT(Q317:Q372)</f>
        <v>3</v>
      </c>
      <c r="R374" s="637">
        <f t="shared" si="73"/>
        <v>2</v>
      </c>
      <c r="S374" s="637">
        <f t="shared" si="73"/>
        <v>4</v>
      </c>
      <c r="T374" s="637">
        <f t="shared" si="73"/>
        <v>3</v>
      </c>
      <c r="U374" s="637">
        <f t="shared" si="73"/>
        <v>2</v>
      </c>
      <c r="V374" s="637">
        <f t="shared" si="73"/>
        <v>9</v>
      </c>
      <c r="W374" s="637">
        <f t="shared" si="73"/>
        <v>6</v>
      </c>
      <c r="X374" s="637">
        <f t="shared" si="73"/>
        <v>1</v>
      </c>
    </row>
    <row r="375" spans="1:29" ht="12.75" customHeight="1" x14ac:dyDescent="0.25">
      <c r="A375" s="1397"/>
      <c r="B375" s="1370"/>
      <c r="C375" s="1666"/>
      <c r="G375" s="185" t="s">
        <v>993</v>
      </c>
      <c r="H375" s="185"/>
      <c r="I375" s="364" t="s">
        <v>373</v>
      </c>
      <c r="J375" s="364"/>
      <c r="K375" s="364" t="s">
        <v>5347</v>
      </c>
      <c r="L375" s="364"/>
      <c r="M375" s="364" t="s">
        <v>3072</v>
      </c>
      <c r="N375" s="364"/>
      <c r="O375" s="410" t="s">
        <v>5183</v>
      </c>
      <c r="Q375" s="185" t="s">
        <v>5958</v>
      </c>
      <c r="R375" s="185"/>
      <c r="S375" s="185" t="s">
        <v>2711</v>
      </c>
      <c r="T375" s="185"/>
      <c r="U375" s="185" t="s">
        <v>3912</v>
      </c>
      <c r="V375" s="185"/>
      <c r="W375" s="185" t="s">
        <v>5963</v>
      </c>
      <c r="X375" s="185"/>
    </row>
    <row r="376" spans="1:29" ht="12.75" customHeight="1" x14ac:dyDescent="0.25">
      <c r="A376" s="1667"/>
      <c r="C376" s="1666"/>
      <c r="G376" s="364"/>
      <c r="H376" s="364" t="s">
        <v>5095</v>
      </c>
      <c r="I376" s="364"/>
      <c r="J376" s="364" t="s">
        <v>10441</v>
      </c>
      <c r="K376" s="364"/>
      <c r="L376" s="364" t="s">
        <v>5950</v>
      </c>
      <c r="M376" s="364"/>
      <c r="N376" s="364" t="s">
        <v>10482</v>
      </c>
      <c r="O376" s="364"/>
      <c r="Q376" s="185"/>
      <c r="R376" s="185" t="s">
        <v>4974</v>
      </c>
      <c r="S376" s="185"/>
      <c r="T376" s="185" t="s">
        <v>2542</v>
      </c>
      <c r="U376" s="185"/>
      <c r="V376" s="185" t="s">
        <v>8144</v>
      </c>
      <c r="W376" s="185"/>
      <c r="X376" s="185" t="s">
        <v>9218</v>
      </c>
    </row>
    <row r="377" spans="1:29" ht="12.75" customHeight="1" x14ac:dyDescent="0.2">
      <c r="A377" s="1667"/>
      <c r="C377" s="1666"/>
      <c r="G377" s="1105">
        <f>Parks!L18</f>
        <v>76</v>
      </c>
      <c r="H377" s="1105">
        <f>Parks!L57</f>
        <v>3</v>
      </c>
      <c r="I377" s="1105">
        <f>Parks!L84</f>
        <v>106</v>
      </c>
      <c r="J377" s="1105">
        <f>Parks!L283</f>
        <v>433</v>
      </c>
      <c r="K377" s="1105">
        <f>Parks!L334</f>
        <v>276</v>
      </c>
      <c r="L377" s="1105">
        <f>Parks!L375</f>
        <v>17</v>
      </c>
      <c r="M377" s="1105">
        <f>Parks!L558</f>
        <v>45</v>
      </c>
      <c r="N377" s="1105">
        <f>Parks!L574</f>
        <v>446</v>
      </c>
      <c r="O377" s="1105">
        <f>Parks!L600</f>
        <v>34</v>
      </c>
      <c r="P377" s="870"/>
      <c r="Q377" s="1126">
        <f>Parks!L5</f>
        <v>9</v>
      </c>
      <c r="R377" s="1126">
        <f>Parks!L24</f>
        <v>160</v>
      </c>
      <c r="S377" s="1126">
        <f>Parks!L52</f>
        <v>250</v>
      </c>
      <c r="T377" s="1126">
        <f>Parks!L165</f>
        <v>180</v>
      </c>
      <c r="U377" s="1126">
        <f>Parks!L266</f>
        <v>136</v>
      </c>
      <c r="V377" s="1126">
        <f>Parks!L280</f>
        <v>342</v>
      </c>
      <c r="W377" s="1126">
        <f>Parks!L414</f>
        <v>18</v>
      </c>
      <c r="X377" s="1126">
        <f>Parks!L590</f>
        <v>460</v>
      </c>
    </row>
    <row r="378" spans="1:29" ht="12.75" customHeight="1" x14ac:dyDescent="0.2">
      <c r="A378" s="1667"/>
      <c r="B378" s="1370"/>
      <c r="C378" s="1666"/>
      <c r="G378" s="1008"/>
      <c r="H378" s="1008"/>
      <c r="I378" s="1008"/>
      <c r="J378" s="1105"/>
      <c r="K378" s="1105"/>
      <c r="L378" s="1105"/>
      <c r="M378" s="1105"/>
      <c r="N378" s="1105"/>
      <c r="O378" s="1105"/>
      <c r="P378" s="870"/>
      <c r="Q378" s="1126"/>
      <c r="R378" s="1126"/>
      <c r="S378" s="1126"/>
      <c r="T378" s="1126"/>
      <c r="U378" s="1126"/>
      <c r="V378" s="1126"/>
      <c r="W378" s="1126"/>
      <c r="X378" s="1126"/>
    </row>
    <row r="379" spans="1:29" ht="12.75" customHeight="1" x14ac:dyDescent="0.2">
      <c r="A379" s="1667"/>
      <c r="C379" s="1666"/>
      <c r="D379" s="80" t="s">
        <v>1212</v>
      </c>
      <c r="G379" s="2" t="s">
        <v>11917</v>
      </c>
      <c r="H379" s="2"/>
      <c r="I379" s="2"/>
      <c r="J379" s="2"/>
      <c r="K379" s="2"/>
    </row>
    <row r="380" spans="1:29" ht="12.75" customHeight="1" x14ac:dyDescent="0.2">
      <c r="A380" s="1667"/>
      <c r="C380" s="1666"/>
      <c r="G380" s="2" t="s">
        <v>12075</v>
      </c>
      <c r="H380" s="2"/>
      <c r="I380" s="2"/>
      <c r="J380" s="2"/>
      <c r="K380" s="2"/>
      <c r="R380" s="2"/>
      <c r="AC380" s="7" t="s">
        <v>1148</v>
      </c>
    </row>
    <row r="381" spans="1:29" ht="12.75" customHeight="1" x14ac:dyDescent="0.2">
      <c r="A381" s="1667"/>
      <c r="C381" s="1666"/>
      <c r="G381" s="537" t="s">
        <v>813</v>
      </c>
      <c r="H381" s="540" t="s">
        <v>1357</v>
      </c>
      <c r="I381" s="537" t="s">
        <v>510</v>
      </c>
      <c r="J381" s="540" t="s">
        <v>5982</v>
      </c>
      <c r="K381" s="537" t="s">
        <v>5121</v>
      </c>
      <c r="L381" s="540" t="s">
        <v>2191</v>
      </c>
      <c r="M381" s="537" t="s">
        <v>890</v>
      </c>
      <c r="N381" s="540" t="s">
        <v>9265</v>
      </c>
      <c r="O381" s="537" t="s">
        <v>4326</v>
      </c>
      <c r="P381" s="540" t="s">
        <v>525</v>
      </c>
      <c r="Q381" s="1238" t="s">
        <v>13264</v>
      </c>
      <c r="R381" s="540" t="s">
        <v>4404</v>
      </c>
      <c r="S381" s="1238" t="s">
        <v>2152</v>
      </c>
      <c r="T381" s="540" t="s">
        <v>5189</v>
      </c>
      <c r="U381" s="1238" t="s">
        <v>1059</v>
      </c>
      <c r="V381" s="540" t="s">
        <v>3178</v>
      </c>
      <c r="W381" s="1238" t="s">
        <v>2876</v>
      </c>
      <c r="X381" s="540" t="s">
        <v>7609</v>
      </c>
      <c r="Y381" s="1238" t="s">
        <v>11985</v>
      </c>
      <c r="AA381" s="540" t="s">
        <v>5524</v>
      </c>
      <c r="AC381" s="79" t="s">
        <v>3299</v>
      </c>
    </row>
    <row r="382" spans="1:29" ht="12.75" customHeight="1" x14ac:dyDescent="0.2">
      <c r="A382" s="1442" t="s">
        <v>4015</v>
      </c>
      <c r="B382" s="1374" t="s">
        <v>10861</v>
      </c>
      <c r="C382" s="1453">
        <f t="shared" ref="C382:C418" si="74">SUM(G382:AA382)</f>
        <v>1</v>
      </c>
      <c r="F382" s="991">
        <f t="shared" ref="F382:F418" si="75">COUNT(G382:AA382)</f>
        <v>1</v>
      </c>
      <c r="G382" s="455"/>
      <c r="H382" s="455"/>
      <c r="I382" s="455"/>
      <c r="J382" s="455"/>
      <c r="K382" s="455"/>
      <c r="L382" s="455"/>
      <c r="M382" s="455"/>
      <c r="N382" s="455"/>
      <c r="O382" s="455"/>
      <c r="P382" s="455"/>
      <c r="Q382" s="455"/>
      <c r="R382" s="455"/>
      <c r="S382" s="455"/>
      <c r="T382" s="455"/>
      <c r="U382" s="455"/>
      <c r="V382" s="455"/>
      <c r="W382" s="455">
        <v>1</v>
      </c>
      <c r="X382" s="455"/>
      <c r="Y382" s="455"/>
      <c r="AA382" s="23"/>
      <c r="AC382" s="79" t="s">
        <v>494</v>
      </c>
    </row>
    <row r="383" spans="1:29" ht="12.75" customHeight="1" x14ac:dyDescent="0.2">
      <c r="A383" s="1442" t="s">
        <v>7909</v>
      </c>
      <c r="B383" s="1374" t="s">
        <v>7907</v>
      </c>
      <c r="C383" s="1453">
        <f t="shared" si="74"/>
        <v>2</v>
      </c>
      <c r="F383" s="991">
        <f t="shared" si="75"/>
        <v>2</v>
      </c>
      <c r="G383" s="1381">
        <v>1</v>
      </c>
      <c r="H383" s="455"/>
      <c r="I383" s="455"/>
      <c r="J383" s="455"/>
      <c r="K383" s="455"/>
      <c r="L383" s="455"/>
      <c r="M383" s="455"/>
      <c r="N383" s="455"/>
      <c r="O383" s="455"/>
      <c r="P383" s="455"/>
      <c r="Q383" s="455"/>
      <c r="R383" s="455"/>
      <c r="S383" s="455"/>
      <c r="T383" s="455"/>
      <c r="U383" s="455">
        <v>1</v>
      </c>
      <c r="V383" s="455"/>
      <c r="W383" s="455"/>
      <c r="X383" s="455"/>
      <c r="Y383" s="455"/>
      <c r="AA383" s="23"/>
      <c r="AC383" s="79" t="s">
        <v>1822</v>
      </c>
    </row>
    <row r="384" spans="1:29" ht="12.75" customHeight="1" x14ac:dyDescent="0.2">
      <c r="A384" s="1442" t="s">
        <v>260</v>
      </c>
      <c r="B384" s="1374" t="s">
        <v>7907</v>
      </c>
      <c r="C384" s="1453">
        <f t="shared" si="74"/>
        <v>2</v>
      </c>
      <c r="F384" s="991">
        <f t="shared" si="75"/>
        <v>2</v>
      </c>
      <c r="G384" s="1381">
        <v>1</v>
      </c>
      <c r="H384" s="455"/>
      <c r="I384" s="455"/>
      <c r="J384" s="455"/>
      <c r="K384" s="455"/>
      <c r="L384" s="455"/>
      <c r="M384" s="455"/>
      <c r="N384" s="455"/>
      <c r="O384" s="455"/>
      <c r="P384" s="455"/>
      <c r="Q384" s="455"/>
      <c r="R384" s="455"/>
      <c r="S384" s="455"/>
      <c r="T384" s="455"/>
      <c r="U384" s="1381">
        <v>1</v>
      </c>
      <c r="V384" s="1381"/>
      <c r="W384" s="455"/>
      <c r="X384" s="455"/>
      <c r="Y384" s="455"/>
      <c r="AA384" s="23"/>
      <c r="AC384" s="79" t="s">
        <v>5981</v>
      </c>
    </row>
    <row r="385" spans="1:29" ht="12.75" customHeight="1" x14ac:dyDescent="0.2">
      <c r="A385" s="1442" t="s">
        <v>4264</v>
      </c>
      <c r="B385" s="1374" t="s">
        <v>5239</v>
      </c>
      <c r="C385" s="1453">
        <f t="shared" si="74"/>
        <v>56</v>
      </c>
      <c r="F385" s="991">
        <f t="shared" si="75"/>
        <v>7</v>
      </c>
      <c r="G385" s="1381">
        <v>1</v>
      </c>
      <c r="H385" s="1381"/>
      <c r="I385" s="1381"/>
      <c r="J385" s="1381"/>
      <c r="K385" s="1381"/>
      <c r="L385" s="1381"/>
      <c r="M385" s="1381"/>
      <c r="N385" s="1381">
        <v>1</v>
      </c>
      <c r="O385" s="1381"/>
      <c r="P385" s="1381"/>
      <c r="Q385" s="1381"/>
      <c r="R385" s="1381"/>
      <c r="S385" s="1381">
        <v>1</v>
      </c>
      <c r="T385" s="1381">
        <v>1</v>
      </c>
      <c r="U385" s="1381">
        <v>50</v>
      </c>
      <c r="V385" s="1381"/>
      <c r="W385" s="1381">
        <v>1</v>
      </c>
      <c r="X385" s="1381"/>
      <c r="Y385" s="1381"/>
      <c r="AA385" s="23">
        <v>1</v>
      </c>
      <c r="AC385" s="79" t="s">
        <v>5962</v>
      </c>
    </row>
    <row r="386" spans="1:29" ht="12.75" customHeight="1" x14ac:dyDescent="0.2">
      <c r="A386" s="1442" t="s">
        <v>726</v>
      </c>
      <c r="B386" s="1374" t="s">
        <v>1295</v>
      </c>
      <c r="C386" s="1453">
        <f t="shared" si="74"/>
        <v>10</v>
      </c>
      <c r="F386" s="991">
        <f t="shared" si="75"/>
        <v>8</v>
      </c>
      <c r="G386" s="1381">
        <v>1</v>
      </c>
      <c r="H386" s="1381"/>
      <c r="I386" s="1381">
        <v>1</v>
      </c>
      <c r="J386" s="1381"/>
      <c r="K386" s="1381"/>
      <c r="L386" s="1381">
        <v>1</v>
      </c>
      <c r="M386" s="1381">
        <v>1</v>
      </c>
      <c r="N386" s="1381"/>
      <c r="O386" s="1381">
        <v>1</v>
      </c>
      <c r="P386" s="1381"/>
      <c r="Q386" s="1381"/>
      <c r="R386" s="1381"/>
      <c r="S386" s="1381"/>
      <c r="T386" s="1381"/>
      <c r="U386" s="1381"/>
      <c r="V386" s="1381">
        <v>1</v>
      </c>
      <c r="W386" s="1381"/>
      <c r="X386" s="1381"/>
      <c r="Y386" s="1381">
        <v>1</v>
      </c>
      <c r="AA386" s="23">
        <v>3</v>
      </c>
      <c r="AC386" s="79" t="s">
        <v>2192</v>
      </c>
    </row>
    <row r="387" spans="1:29" ht="12.75" customHeight="1" x14ac:dyDescent="0.2">
      <c r="A387" s="1442" t="s">
        <v>3508</v>
      </c>
      <c r="B387" s="1374" t="s">
        <v>1295</v>
      </c>
      <c r="C387" s="1453">
        <f t="shared" si="74"/>
        <v>11</v>
      </c>
      <c r="F387" s="991">
        <f t="shared" si="75"/>
        <v>8</v>
      </c>
      <c r="G387" s="1381">
        <v>1</v>
      </c>
      <c r="H387" s="1381"/>
      <c r="I387" s="1381">
        <v>2</v>
      </c>
      <c r="J387" s="1381"/>
      <c r="K387" s="1381"/>
      <c r="L387" s="1381">
        <v>1</v>
      </c>
      <c r="M387" s="1381"/>
      <c r="N387" s="1381"/>
      <c r="O387" s="1381">
        <v>1</v>
      </c>
      <c r="P387" s="1381"/>
      <c r="Q387" s="1381"/>
      <c r="R387" s="1381"/>
      <c r="S387" s="1381"/>
      <c r="T387" s="1381">
        <v>1</v>
      </c>
      <c r="U387" s="1381"/>
      <c r="V387" s="1381">
        <v>1</v>
      </c>
      <c r="W387" s="1381"/>
      <c r="X387" s="1381"/>
      <c r="Y387" s="1381">
        <v>1</v>
      </c>
      <c r="AA387" s="23">
        <v>3</v>
      </c>
      <c r="AC387" s="79" t="s">
        <v>891</v>
      </c>
    </row>
    <row r="388" spans="1:29" ht="12.75" customHeight="1" x14ac:dyDescent="0.2">
      <c r="A388" s="1397" t="s">
        <v>866</v>
      </c>
      <c r="B388" s="1370" t="s">
        <v>867</v>
      </c>
      <c r="C388" s="1453">
        <f t="shared" si="74"/>
        <v>1</v>
      </c>
      <c r="F388" s="991">
        <f t="shared" si="75"/>
        <v>1</v>
      </c>
      <c r="G388" s="1381"/>
      <c r="H388" s="1381"/>
      <c r="I388" s="1381"/>
      <c r="J388" s="1381"/>
      <c r="K388" s="1381"/>
      <c r="L388" s="1381"/>
      <c r="M388" s="1381"/>
      <c r="N388" s="1381"/>
      <c r="O388" s="1381"/>
      <c r="P388" s="1381"/>
      <c r="Q388" s="1381"/>
      <c r="R388" s="1381"/>
      <c r="S388" s="1381"/>
      <c r="T388" s="1381"/>
      <c r="U388" s="1381">
        <v>1</v>
      </c>
      <c r="V388" s="1381"/>
      <c r="W388" s="1381"/>
      <c r="X388" s="1381"/>
      <c r="Y388" s="1381"/>
      <c r="AA388" s="23"/>
      <c r="AC388" s="79" t="s">
        <v>9655</v>
      </c>
    </row>
    <row r="389" spans="1:29" ht="12.75" customHeight="1" x14ac:dyDescent="0.2">
      <c r="A389" s="1397" t="s">
        <v>3508</v>
      </c>
      <c r="B389" s="1370" t="s">
        <v>3632</v>
      </c>
      <c r="C389" s="1453">
        <f t="shared" si="74"/>
        <v>1</v>
      </c>
      <c r="F389" s="991">
        <f t="shared" si="75"/>
        <v>1</v>
      </c>
      <c r="G389" s="1381"/>
      <c r="H389" s="1381"/>
      <c r="I389" s="1381"/>
      <c r="J389" s="1381"/>
      <c r="K389" s="1381"/>
      <c r="L389" s="1381"/>
      <c r="M389" s="1381"/>
      <c r="N389" s="1381"/>
      <c r="O389" s="1381"/>
      <c r="P389" s="1381"/>
      <c r="Q389" s="1381"/>
      <c r="R389" s="1381"/>
      <c r="S389" s="1381"/>
      <c r="T389" s="1381">
        <v>1</v>
      </c>
      <c r="U389" s="1381"/>
      <c r="V389" s="1381"/>
      <c r="W389" s="1381"/>
      <c r="X389" s="1381"/>
      <c r="Y389" s="1381"/>
      <c r="AA389" s="23"/>
      <c r="AC389" s="79" t="s">
        <v>11980</v>
      </c>
    </row>
    <row r="390" spans="1:29" ht="12.75" customHeight="1" x14ac:dyDescent="0.2">
      <c r="A390" s="1397" t="s">
        <v>3535</v>
      </c>
      <c r="B390" s="1370" t="s">
        <v>11025</v>
      </c>
      <c r="C390" s="1453">
        <f t="shared" si="74"/>
        <v>1</v>
      </c>
      <c r="F390" s="991">
        <f t="shared" si="75"/>
        <v>1</v>
      </c>
      <c r="G390" s="1381"/>
      <c r="H390" s="1381"/>
      <c r="I390" s="1381"/>
      <c r="J390" s="1381"/>
      <c r="K390" s="1381"/>
      <c r="L390" s="1381"/>
      <c r="M390" s="1381"/>
      <c r="N390" s="1381"/>
      <c r="O390" s="1381">
        <v>1</v>
      </c>
      <c r="P390" s="1381"/>
      <c r="Q390" s="1381"/>
      <c r="R390" s="1381"/>
      <c r="S390" s="1381"/>
      <c r="T390" s="1381"/>
      <c r="U390" s="1381"/>
      <c r="V390" s="1381"/>
      <c r="W390" s="1381"/>
      <c r="X390" s="1381"/>
      <c r="Y390" s="1381"/>
      <c r="AA390" s="23"/>
      <c r="AC390" s="79" t="s">
        <v>11981</v>
      </c>
    </row>
    <row r="391" spans="1:29" ht="12.75" customHeight="1" x14ac:dyDescent="0.2">
      <c r="A391" s="1397" t="s">
        <v>3230</v>
      </c>
      <c r="B391" s="1370" t="s">
        <v>11625</v>
      </c>
      <c r="C391" s="1453">
        <f t="shared" si="74"/>
        <v>6</v>
      </c>
      <c r="F391" s="991">
        <f t="shared" si="75"/>
        <v>3</v>
      </c>
      <c r="G391" s="1381"/>
      <c r="H391" s="1381"/>
      <c r="I391" s="1381"/>
      <c r="J391" s="1381"/>
      <c r="K391" s="1381"/>
      <c r="L391" s="1381"/>
      <c r="M391" s="1381"/>
      <c r="N391" s="1381"/>
      <c r="O391" s="1381"/>
      <c r="P391" s="1381"/>
      <c r="Q391" s="1381"/>
      <c r="R391" s="1381"/>
      <c r="S391" s="1381"/>
      <c r="T391" s="1381"/>
      <c r="U391" s="1381">
        <v>1</v>
      </c>
      <c r="V391" s="1381">
        <v>3</v>
      </c>
      <c r="W391" s="1381"/>
      <c r="X391" s="1381"/>
      <c r="Y391" s="1381">
        <v>2</v>
      </c>
      <c r="AA391" s="23"/>
      <c r="AC391" s="79" t="s">
        <v>13262</v>
      </c>
    </row>
    <row r="392" spans="1:29" ht="12.75" customHeight="1" x14ac:dyDescent="0.2">
      <c r="A392" s="1397" t="s">
        <v>922</v>
      </c>
      <c r="B392" s="1370" t="s">
        <v>1530</v>
      </c>
      <c r="C392" s="1453">
        <f t="shared" si="74"/>
        <v>4</v>
      </c>
      <c r="F392" s="991">
        <f t="shared" si="75"/>
        <v>4</v>
      </c>
      <c r="G392" s="1381"/>
      <c r="H392" s="1381"/>
      <c r="I392" s="1381">
        <v>1</v>
      </c>
      <c r="J392" s="1381"/>
      <c r="K392" s="1381"/>
      <c r="L392" s="1381">
        <v>1</v>
      </c>
      <c r="M392" s="1381"/>
      <c r="N392" s="1381"/>
      <c r="O392" s="1381">
        <v>1</v>
      </c>
      <c r="P392" s="1381"/>
      <c r="Q392" s="1381"/>
      <c r="R392" s="1381"/>
      <c r="S392" s="1381"/>
      <c r="T392" s="1381"/>
      <c r="U392" s="1381">
        <v>1</v>
      </c>
      <c r="V392" s="1381"/>
      <c r="W392" s="1381"/>
      <c r="X392" s="1381"/>
      <c r="Y392" s="1381"/>
      <c r="AA392" s="23"/>
      <c r="AC392" s="79" t="s">
        <v>4497</v>
      </c>
    </row>
    <row r="393" spans="1:29" ht="12.75" customHeight="1" x14ac:dyDescent="0.2">
      <c r="A393" s="1397" t="s">
        <v>1796</v>
      </c>
      <c r="B393" s="1370" t="s">
        <v>1797</v>
      </c>
      <c r="C393" s="1453">
        <f t="shared" si="74"/>
        <v>2</v>
      </c>
      <c r="F393" s="991">
        <f t="shared" si="75"/>
        <v>2</v>
      </c>
      <c r="G393" s="1381"/>
      <c r="H393" s="1381"/>
      <c r="I393" s="1381"/>
      <c r="J393" s="1381"/>
      <c r="K393" s="1381"/>
      <c r="L393" s="1381"/>
      <c r="M393" s="1381"/>
      <c r="N393" s="1381"/>
      <c r="O393" s="1381"/>
      <c r="P393" s="1381"/>
      <c r="Q393" s="1381"/>
      <c r="R393" s="1381"/>
      <c r="S393" s="1381"/>
      <c r="T393" s="1381"/>
      <c r="U393" s="1381">
        <v>1</v>
      </c>
      <c r="V393" s="1381"/>
      <c r="W393" s="1381">
        <v>1</v>
      </c>
      <c r="X393" s="1381"/>
      <c r="Y393" s="1381"/>
      <c r="AA393" s="23"/>
      <c r="AC393" s="79" t="s">
        <v>1433</v>
      </c>
    </row>
    <row r="394" spans="1:29" ht="12.75" customHeight="1" x14ac:dyDescent="0.2">
      <c r="A394" s="1397" t="s">
        <v>3543</v>
      </c>
      <c r="B394" s="1370" t="s">
        <v>3100</v>
      </c>
      <c r="C394" s="1453">
        <f t="shared" si="74"/>
        <v>5</v>
      </c>
      <c r="F394" s="991">
        <f t="shared" si="75"/>
        <v>1</v>
      </c>
      <c r="G394" s="1381">
        <v>5</v>
      </c>
      <c r="H394" s="1381"/>
      <c r="I394" s="1381"/>
      <c r="J394" s="1381"/>
      <c r="K394" s="1381"/>
      <c r="L394" s="1381"/>
      <c r="M394" s="1381"/>
      <c r="N394" s="1381"/>
      <c r="O394" s="1381"/>
      <c r="P394" s="1381"/>
      <c r="Q394" s="1381"/>
      <c r="R394" s="1381"/>
      <c r="S394" s="1381"/>
      <c r="T394" s="1381"/>
      <c r="U394" s="1381"/>
      <c r="V394" s="1381"/>
      <c r="W394" s="1381"/>
      <c r="X394" s="1381"/>
      <c r="Y394" s="1381"/>
      <c r="AA394" s="23"/>
      <c r="AC394" s="79" t="s">
        <v>5440</v>
      </c>
    </row>
    <row r="395" spans="1:29" ht="12.75" customHeight="1" x14ac:dyDescent="0.2">
      <c r="A395" s="1397" t="s">
        <v>5980</v>
      </c>
      <c r="B395" s="1370" t="s">
        <v>4818</v>
      </c>
      <c r="C395" s="1453">
        <f t="shared" si="74"/>
        <v>6</v>
      </c>
      <c r="F395" s="991">
        <f t="shared" si="75"/>
        <v>6</v>
      </c>
      <c r="G395" s="1381"/>
      <c r="H395" s="1381"/>
      <c r="I395" s="1381"/>
      <c r="J395" s="1381"/>
      <c r="K395" s="1381">
        <v>1</v>
      </c>
      <c r="L395" s="1381">
        <v>1</v>
      </c>
      <c r="M395" s="1381">
        <v>1</v>
      </c>
      <c r="N395" s="1381"/>
      <c r="O395" s="1381">
        <v>1</v>
      </c>
      <c r="P395" s="1381"/>
      <c r="Q395" s="1381"/>
      <c r="R395" s="1381">
        <v>1</v>
      </c>
      <c r="S395" s="1381"/>
      <c r="T395" s="1381">
        <v>1</v>
      </c>
      <c r="U395" s="1381"/>
      <c r="V395" s="1381"/>
      <c r="W395" s="1381"/>
      <c r="X395" s="1381"/>
      <c r="Y395" s="1381"/>
      <c r="AA395" s="23"/>
      <c r="AC395" s="79" t="s">
        <v>2431</v>
      </c>
    </row>
    <row r="396" spans="1:29" ht="12.75" customHeight="1" x14ac:dyDescent="0.2">
      <c r="A396" s="1397" t="s">
        <v>665</v>
      </c>
      <c r="B396" s="1370" t="s">
        <v>666</v>
      </c>
      <c r="C396" s="1453">
        <f t="shared" si="74"/>
        <v>20</v>
      </c>
      <c r="F396" s="991">
        <f t="shared" si="75"/>
        <v>18</v>
      </c>
      <c r="G396" s="1381">
        <v>2</v>
      </c>
      <c r="H396" s="1381">
        <v>1</v>
      </c>
      <c r="I396" s="1381">
        <v>1</v>
      </c>
      <c r="J396" s="1381"/>
      <c r="K396" s="1381">
        <v>1</v>
      </c>
      <c r="L396" s="1381">
        <v>1</v>
      </c>
      <c r="M396" s="1381">
        <v>2</v>
      </c>
      <c r="N396" s="1381">
        <v>1</v>
      </c>
      <c r="O396" s="1381">
        <v>1</v>
      </c>
      <c r="P396" s="1381"/>
      <c r="Q396" s="1381">
        <v>1</v>
      </c>
      <c r="R396" s="1381">
        <v>1</v>
      </c>
      <c r="S396" s="1381">
        <v>1</v>
      </c>
      <c r="T396" s="1381">
        <v>1</v>
      </c>
      <c r="U396" s="1381">
        <v>1</v>
      </c>
      <c r="V396" s="1381">
        <v>1</v>
      </c>
      <c r="W396" s="1381">
        <v>1</v>
      </c>
      <c r="X396" s="1381">
        <v>1</v>
      </c>
      <c r="Y396" s="1381">
        <v>1</v>
      </c>
      <c r="AA396" s="1377">
        <v>1</v>
      </c>
      <c r="AC396" s="79" t="s">
        <v>4500</v>
      </c>
    </row>
    <row r="397" spans="1:29" ht="12.75" customHeight="1" x14ac:dyDescent="0.2">
      <c r="A397" s="1397" t="s">
        <v>1798</v>
      </c>
      <c r="B397" s="1370" t="s">
        <v>3006</v>
      </c>
      <c r="C397" s="1453">
        <f t="shared" si="74"/>
        <v>1</v>
      </c>
      <c r="F397" s="991">
        <f t="shared" si="75"/>
        <v>1</v>
      </c>
      <c r="G397" s="1381"/>
      <c r="H397" s="1381"/>
      <c r="I397" s="1381">
        <v>1</v>
      </c>
      <c r="J397" s="1381"/>
      <c r="K397" s="1381"/>
      <c r="L397" s="1381"/>
      <c r="M397" s="1381"/>
      <c r="N397" s="1381"/>
      <c r="O397" s="1381"/>
      <c r="P397" s="1381"/>
      <c r="Q397" s="1381"/>
      <c r="R397" s="1381"/>
      <c r="S397" s="1381"/>
      <c r="T397" s="1381"/>
      <c r="U397" s="1381"/>
      <c r="V397" s="1381"/>
      <c r="W397" s="1381"/>
      <c r="X397" s="1381"/>
      <c r="Y397" s="1381"/>
      <c r="AA397" s="1377"/>
      <c r="AC397" s="79" t="s">
        <v>3528</v>
      </c>
    </row>
    <row r="398" spans="1:29" ht="12.75" customHeight="1" x14ac:dyDescent="0.2">
      <c r="A398" s="1397" t="s">
        <v>16702</v>
      </c>
      <c r="B398" s="1370" t="s">
        <v>16703</v>
      </c>
      <c r="C398" s="1453">
        <f t="shared" si="74"/>
        <v>1</v>
      </c>
      <c r="F398" s="991">
        <f t="shared" si="75"/>
        <v>1</v>
      </c>
      <c r="G398" s="1381"/>
      <c r="H398" s="1381"/>
      <c r="I398" s="1381"/>
      <c r="J398" s="1381"/>
      <c r="K398" s="1381"/>
      <c r="L398" s="1381"/>
      <c r="M398" s="1381"/>
      <c r="N398" s="1381"/>
      <c r="O398" s="1381"/>
      <c r="P398" s="1381"/>
      <c r="Q398" s="1381"/>
      <c r="R398" s="1381"/>
      <c r="S398" s="1381"/>
      <c r="T398" s="1381"/>
      <c r="U398" s="1381">
        <v>1</v>
      </c>
      <c r="V398" s="1381"/>
      <c r="W398" s="1381"/>
      <c r="X398" s="1381"/>
      <c r="Y398" s="1381"/>
      <c r="AA398" s="1377"/>
      <c r="AC398" s="79"/>
    </row>
    <row r="399" spans="1:29" ht="12.75" customHeight="1" x14ac:dyDescent="0.2">
      <c r="A399" s="1397" t="s">
        <v>3014</v>
      </c>
      <c r="B399" s="1370" t="s">
        <v>3015</v>
      </c>
      <c r="C399" s="1453">
        <f t="shared" si="74"/>
        <v>2</v>
      </c>
      <c r="F399" s="991">
        <f t="shared" si="75"/>
        <v>2</v>
      </c>
      <c r="G399" s="1381"/>
      <c r="H399" s="1381"/>
      <c r="I399" s="1381"/>
      <c r="J399" s="1381"/>
      <c r="K399" s="1381"/>
      <c r="L399" s="1381"/>
      <c r="M399" s="1381"/>
      <c r="N399" s="1381"/>
      <c r="O399" s="1381"/>
      <c r="P399" s="1381"/>
      <c r="Q399" s="1381"/>
      <c r="R399" s="1381"/>
      <c r="S399" s="1381"/>
      <c r="T399" s="1381"/>
      <c r="U399" s="1381">
        <v>1</v>
      </c>
      <c r="V399" s="1381"/>
      <c r="W399" s="1381"/>
      <c r="X399" s="1381"/>
      <c r="Y399" s="1381"/>
      <c r="AA399" s="23">
        <v>1</v>
      </c>
      <c r="AC399" s="79" t="s">
        <v>7932</v>
      </c>
    </row>
    <row r="400" spans="1:29" ht="12.75" customHeight="1" x14ac:dyDescent="0.2">
      <c r="A400" s="1397" t="s">
        <v>2342</v>
      </c>
      <c r="B400" s="1370" t="s">
        <v>2343</v>
      </c>
      <c r="C400" s="1453">
        <f t="shared" si="74"/>
        <v>4</v>
      </c>
      <c r="F400" s="991">
        <f t="shared" si="75"/>
        <v>3</v>
      </c>
      <c r="G400" s="1381"/>
      <c r="H400" s="1381"/>
      <c r="I400" s="1381">
        <v>1</v>
      </c>
      <c r="J400" s="1381"/>
      <c r="K400" s="1381"/>
      <c r="L400" s="1381"/>
      <c r="M400" s="1381"/>
      <c r="N400" s="1381"/>
      <c r="O400" s="1381"/>
      <c r="P400" s="1381">
        <v>1</v>
      </c>
      <c r="Q400" s="1381"/>
      <c r="R400" s="1381"/>
      <c r="S400" s="1381"/>
      <c r="T400" s="1381"/>
      <c r="U400" s="1381">
        <v>2</v>
      </c>
      <c r="V400" s="1381"/>
      <c r="W400" s="1381"/>
      <c r="X400" s="1381"/>
      <c r="Y400" s="1381"/>
      <c r="AA400" s="23"/>
      <c r="AC400" s="79" t="s">
        <v>1939</v>
      </c>
    </row>
    <row r="401" spans="1:30" ht="12.75" customHeight="1" x14ac:dyDescent="0.2">
      <c r="A401" s="1397" t="s">
        <v>2478</v>
      </c>
      <c r="B401" s="1370" t="s">
        <v>2479</v>
      </c>
      <c r="C401" s="1453">
        <f t="shared" si="74"/>
        <v>4</v>
      </c>
      <c r="F401" s="991">
        <f t="shared" si="75"/>
        <v>4</v>
      </c>
      <c r="G401" s="1381"/>
      <c r="H401" s="1381">
        <v>1</v>
      </c>
      <c r="I401" s="1381">
        <v>1</v>
      </c>
      <c r="J401" s="1381"/>
      <c r="K401" s="1381">
        <v>1</v>
      </c>
      <c r="L401" s="1381"/>
      <c r="M401" s="1381"/>
      <c r="N401" s="1381"/>
      <c r="O401" s="1381"/>
      <c r="P401" s="1381"/>
      <c r="Q401" s="1381"/>
      <c r="R401" s="1381"/>
      <c r="S401" s="1381"/>
      <c r="T401" s="1381"/>
      <c r="U401" s="1381"/>
      <c r="V401" s="1381"/>
      <c r="W401" s="1381">
        <v>1</v>
      </c>
      <c r="X401" s="1381"/>
      <c r="Y401" s="1381"/>
      <c r="AA401" s="23"/>
      <c r="AC401" s="79"/>
    </row>
    <row r="402" spans="1:30" ht="12.75" customHeight="1" x14ac:dyDescent="0.2">
      <c r="A402" s="1397" t="s">
        <v>866</v>
      </c>
      <c r="B402" s="1370" t="s">
        <v>4635</v>
      </c>
      <c r="C402" s="1453">
        <f t="shared" si="74"/>
        <v>3</v>
      </c>
      <c r="F402" s="991">
        <f t="shared" si="75"/>
        <v>3</v>
      </c>
      <c r="G402" s="1381">
        <v>1</v>
      </c>
      <c r="H402" s="1381"/>
      <c r="I402" s="1381"/>
      <c r="J402" s="1381"/>
      <c r="K402" s="1381"/>
      <c r="L402" s="1381"/>
      <c r="M402" s="1381"/>
      <c r="N402" s="1381">
        <v>1</v>
      </c>
      <c r="O402" s="1381"/>
      <c r="P402" s="1381"/>
      <c r="Q402" s="1381"/>
      <c r="R402" s="1381"/>
      <c r="S402" s="1381"/>
      <c r="T402" s="1381"/>
      <c r="U402" s="1381">
        <v>1</v>
      </c>
      <c r="V402" s="1381"/>
      <c r="W402" s="1381"/>
      <c r="X402" s="1381"/>
      <c r="Y402" s="1381"/>
      <c r="AA402" s="23"/>
      <c r="AC402" s="79" t="s">
        <v>5708</v>
      </c>
    </row>
    <row r="403" spans="1:30" ht="12.75" customHeight="1" x14ac:dyDescent="0.2">
      <c r="A403" s="1442" t="s">
        <v>4561</v>
      </c>
      <c r="B403" s="1374" t="s">
        <v>4562</v>
      </c>
      <c r="C403" s="1453">
        <f t="shared" si="74"/>
        <v>1</v>
      </c>
      <c r="F403" s="991">
        <f t="shared" si="75"/>
        <v>1</v>
      </c>
      <c r="G403" s="1381"/>
      <c r="H403" s="1381"/>
      <c r="I403" s="1381"/>
      <c r="J403" s="1381"/>
      <c r="K403" s="1381"/>
      <c r="L403" s="1381"/>
      <c r="M403" s="1381"/>
      <c r="N403" s="1381"/>
      <c r="O403" s="1381"/>
      <c r="P403" s="1381"/>
      <c r="Q403" s="1381"/>
      <c r="R403" s="1381"/>
      <c r="S403" s="1381"/>
      <c r="T403" s="1381"/>
      <c r="U403" s="1381"/>
      <c r="V403" s="1381"/>
      <c r="W403" s="1381"/>
      <c r="X403" s="1381"/>
      <c r="Y403" s="1381">
        <v>1</v>
      </c>
      <c r="AA403" s="23"/>
      <c r="AC403" s="79"/>
    </row>
    <row r="404" spans="1:30" ht="12.75" customHeight="1" x14ac:dyDescent="0.2">
      <c r="A404" s="2015" t="s">
        <v>1798</v>
      </c>
      <c r="B404" s="2016" t="s">
        <v>17201</v>
      </c>
      <c r="C404" s="1453">
        <f t="shared" si="74"/>
        <v>1</v>
      </c>
      <c r="F404" s="991">
        <f t="shared" si="75"/>
        <v>1</v>
      </c>
      <c r="G404" s="1381"/>
      <c r="H404" s="1381"/>
      <c r="I404" s="1381"/>
      <c r="J404" s="599">
        <v>1</v>
      </c>
      <c r="K404" s="1381"/>
      <c r="L404" s="1381"/>
      <c r="M404" s="1381"/>
      <c r="N404" s="1381"/>
      <c r="O404" s="1381"/>
      <c r="P404" s="1381"/>
      <c r="Q404" s="1381"/>
      <c r="R404" s="1381"/>
      <c r="S404" s="1381"/>
      <c r="T404" s="1381"/>
      <c r="U404" s="1381"/>
      <c r="V404" s="1381"/>
      <c r="W404" s="1381"/>
      <c r="X404" s="1381"/>
      <c r="Y404" s="1381"/>
      <c r="AA404" s="23"/>
      <c r="AC404" s="79"/>
    </row>
    <row r="405" spans="1:30" ht="12.75" customHeight="1" x14ac:dyDescent="0.2">
      <c r="A405" s="1397" t="s">
        <v>2349</v>
      </c>
      <c r="B405" s="1370" t="s">
        <v>2350</v>
      </c>
      <c r="C405" s="1453">
        <f t="shared" si="74"/>
        <v>5</v>
      </c>
      <c r="F405" s="991">
        <f t="shared" si="75"/>
        <v>1</v>
      </c>
      <c r="G405" s="1381"/>
      <c r="H405" s="1381"/>
      <c r="I405" s="1381"/>
      <c r="J405" s="1381"/>
      <c r="K405" s="1381"/>
      <c r="L405" s="1381"/>
      <c r="M405" s="1381"/>
      <c r="N405" s="1381"/>
      <c r="O405" s="1381"/>
      <c r="P405" s="1381"/>
      <c r="Q405" s="1381"/>
      <c r="R405" s="1381"/>
      <c r="S405" s="1381"/>
      <c r="T405" s="1381"/>
      <c r="U405" s="1381">
        <v>5</v>
      </c>
      <c r="V405" s="1381"/>
      <c r="W405" s="1381"/>
      <c r="X405" s="1381"/>
      <c r="Y405" s="1381"/>
      <c r="AA405" s="23"/>
      <c r="AD405" s="79"/>
    </row>
    <row r="406" spans="1:30" ht="12.75" customHeight="1" x14ac:dyDescent="0.2">
      <c r="A406" s="1397" t="s">
        <v>1794</v>
      </c>
      <c r="B406" s="1370" t="s">
        <v>1795</v>
      </c>
      <c r="C406" s="1453">
        <f t="shared" si="74"/>
        <v>3</v>
      </c>
      <c r="F406" s="991">
        <f t="shared" si="75"/>
        <v>3</v>
      </c>
      <c r="G406" s="1381"/>
      <c r="H406" s="1381"/>
      <c r="I406" s="1381">
        <v>1</v>
      </c>
      <c r="J406" s="1381"/>
      <c r="K406" s="1381"/>
      <c r="L406" s="1381"/>
      <c r="M406" s="1381"/>
      <c r="N406" s="1381"/>
      <c r="O406" s="1381"/>
      <c r="P406" s="1381"/>
      <c r="Q406" s="1381"/>
      <c r="R406" s="1381"/>
      <c r="S406" s="1381"/>
      <c r="T406" s="1381">
        <v>1</v>
      </c>
      <c r="U406" s="1381">
        <v>1</v>
      </c>
      <c r="V406" s="1381"/>
      <c r="W406" s="1381"/>
      <c r="X406" s="1381"/>
      <c r="Y406" s="1381"/>
      <c r="AA406" s="23"/>
      <c r="AD406" s="79"/>
    </row>
    <row r="407" spans="1:30" ht="12.75" customHeight="1" x14ac:dyDescent="0.2">
      <c r="A407" s="1397" t="s">
        <v>9377</v>
      </c>
      <c r="B407" s="1370" t="s">
        <v>9378</v>
      </c>
      <c r="C407" s="1453">
        <f t="shared" si="74"/>
        <v>1</v>
      </c>
      <c r="F407" s="991">
        <f t="shared" si="75"/>
        <v>1</v>
      </c>
      <c r="G407" s="1381">
        <v>1</v>
      </c>
      <c r="H407" s="1381"/>
      <c r="I407" s="1381"/>
      <c r="J407" s="1381"/>
      <c r="K407" s="1381"/>
      <c r="L407" s="1381"/>
      <c r="M407" s="1381"/>
      <c r="N407" s="1381"/>
      <c r="O407" s="1381"/>
      <c r="P407" s="1381"/>
      <c r="Q407" s="1381"/>
      <c r="R407" s="1381"/>
      <c r="S407" s="1381"/>
      <c r="T407" s="1381"/>
      <c r="U407" s="1381"/>
      <c r="V407" s="1381"/>
      <c r="W407" s="1381"/>
      <c r="X407" s="1381"/>
      <c r="Y407" s="1381"/>
      <c r="AA407" s="23"/>
      <c r="AD407" s="79"/>
    </row>
    <row r="408" spans="1:30" ht="12.75" customHeight="1" x14ac:dyDescent="0.2">
      <c r="A408" s="1397" t="s">
        <v>2416</v>
      </c>
      <c r="B408" s="1370" t="s">
        <v>2417</v>
      </c>
      <c r="C408" s="1453">
        <f t="shared" si="74"/>
        <v>1</v>
      </c>
      <c r="F408" s="991">
        <f t="shared" si="75"/>
        <v>1</v>
      </c>
      <c r="G408" s="1381"/>
      <c r="H408" s="1381"/>
      <c r="I408" s="1381"/>
      <c r="J408" s="1381"/>
      <c r="K408" s="1381"/>
      <c r="L408" s="1381"/>
      <c r="M408" s="1381"/>
      <c r="N408" s="1381"/>
      <c r="O408" s="1381"/>
      <c r="P408" s="1381"/>
      <c r="Q408" s="1381"/>
      <c r="R408" s="1381"/>
      <c r="S408" s="1381"/>
      <c r="T408" s="1381"/>
      <c r="U408" s="1381"/>
      <c r="V408" s="1381"/>
      <c r="W408" s="1381"/>
      <c r="X408" s="1381"/>
      <c r="Y408" s="1381"/>
      <c r="AA408" s="23">
        <v>1</v>
      </c>
      <c r="AD408" s="79"/>
    </row>
    <row r="409" spans="1:30" ht="12.75" customHeight="1" x14ac:dyDescent="0.2">
      <c r="A409" s="1397" t="s">
        <v>866</v>
      </c>
      <c r="B409" s="1370" t="s">
        <v>2417</v>
      </c>
      <c r="C409" s="1453">
        <f t="shared" si="74"/>
        <v>1</v>
      </c>
      <c r="F409" s="991">
        <f t="shared" si="75"/>
        <v>1</v>
      </c>
      <c r="G409" s="1381"/>
      <c r="H409" s="1381"/>
      <c r="I409" s="1381"/>
      <c r="J409" s="1381"/>
      <c r="K409" s="1381"/>
      <c r="L409" s="1381"/>
      <c r="M409" s="1381"/>
      <c r="N409" s="1381"/>
      <c r="O409" s="1381"/>
      <c r="P409" s="1381"/>
      <c r="Q409" s="1381"/>
      <c r="R409" s="1381"/>
      <c r="S409" s="1381"/>
      <c r="T409" s="1381"/>
      <c r="U409" s="1381"/>
      <c r="V409" s="1381"/>
      <c r="W409" s="1381"/>
      <c r="X409" s="1381"/>
      <c r="Y409" s="1381"/>
      <c r="AA409" s="23">
        <v>1</v>
      </c>
      <c r="AD409" s="79"/>
    </row>
    <row r="410" spans="1:30" ht="12.75" customHeight="1" x14ac:dyDescent="0.2">
      <c r="A410" s="1397" t="s">
        <v>3543</v>
      </c>
      <c r="B410" s="1370" t="s">
        <v>6122</v>
      </c>
      <c r="C410" s="1453">
        <f t="shared" si="74"/>
        <v>7</v>
      </c>
      <c r="F410" s="991">
        <f t="shared" si="75"/>
        <v>2</v>
      </c>
      <c r="G410" s="1381">
        <v>1</v>
      </c>
      <c r="H410" s="1381"/>
      <c r="I410" s="1381"/>
      <c r="J410" s="1381"/>
      <c r="K410" s="1381"/>
      <c r="L410" s="1381"/>
      <c r="M410" s="1381"/>
      <c r="N410" s="1381"/>
      <c r="O410" s="1381"/>
      <c r="P410" s="1381"/>
      <c r="Q410" s="1381"/>
      <c r="R410" s="1381"/>
      <c r="S410" s="1381"/>
      <c r="T410" s="1381"/>
      <c r="U410" s="1381">
        <v>6</v>
      </c>
      <c r="V410" s="1381"/>
      <c r="W410" s="1381"/>
      <c r="X410" s="1381"/>
      <c r="Y410" s="1381"/>
      <c r="AA410" s="23"/>
      <c r="AD410" s="79"/>
    </row>
    <row r="411" spans="1:30" ht="12.75" customHeight="1" x14ac:dyDescent="0.2">
      <c r="A411" s="1442" t="s">
        <v>3033</v>
      </c>
      <c r="B411" s="1374" t="s">
        <v>12025</v>
      </c>
      <c r="C411" s="1453">
        <f t="shared" si="74"/>
        <v>2</v>
      </c>
      <c r="D411" s="1371"/>
      <c r="F411" s="991">
        <f t="shared" si="75"/>
        <v>2</v>
      </c>
      <c r="G411" s="1381"/>
      <c r="H411" s="1381"/>
      <c r="I411" s="1381"/>
      <c r="J411" s="1381"/>
      <c r="K411" s="1381"/>
      <c r="L411" s="1381"/>
      <c r="M411" s="1381"/>
      <c r="N411" s="1381"/>
      <c r="O411" s="1381"/>
      <c r="P411" s="1381"/>
      <c r="Q411" s="1381"/>
      <c r="R411" s="1381"/>
      <c r="S411" s="1381"/>
      <c r="T411" s="1381"/>
      <c r="U411" s="1381">
        <v>1</v>
      </c>
      <c r="V411" s="1381"/>
      <c r="W411" s="1381"/>
      <c r="X411" s="1381"/>
      <c r="Y411" s="1381"/>
      <c r="Z411" s="1371"/>
      <c r="AA411" s="1377">
        <v>1</v>
      </c>
      <c r="AD411" s="79"/>
    </row>
    <row r="412" spans="1:30" ht="12.75" customHeight="1" x14ac:dyDescent="0.2">
      <c r="A412" s="1397" t="s">
        <v>4259</v>
      </c>
      <c r="B412" s="1370" t="s">
        <v>440</v>
      </c>
      <c r="C412" s="1453">
        <f t="shared" si="74"/>
        <v>13</v>
      </c>
      <c r="F412" s="991">
        <f t="shared" si="75"/>
        <v>9</v>
      </c>
      <c r="G412" s="1381"/>
      <c r="H412" s="1381"/>
      <c r="I412" s="1381"/>
      <c r="J412" s="1381"/>
      <c r="K412" s="1381"/>
      <c r="L412" s="1381"/>
      <c r="M412" s="1381">
        <v>3</v>
      </c>
      <c r="N412" s="1381">
        <v>1</v>
      </c>
      <c r="O412" s="1381"/>
      <c r="P412" s="1381"/>
      <c r="Q412" s="1381"/>
      <c r="R412" s="1381"/>
      <c r="S412" s="1381">
        <v>1</v>
      </c>
      <c r="T412" s="1381">
        <v>1</v>
      </c>
      <c r="U412" s="1381">
        <v>1</v>
      </c>
      <c r="V412" s="1381">
        <v>2</v>
      </c>
      <c r="W412" s="1381">
        <v>2</v>
      </c>
      <c r="X412" s="1381">
        <v>1</v>
      </c>
      <c r="Y412" s="1381"/>
      <c r="AA412" s="23">
        <v>1</v>
      </c>
      <c r="AD412" s="79"/>
    </row>
    <row r="413" spans="1:30" ht="12.75" customHeight="1" x14ac:dyDescent="0.2">
      <c r="A413" s="1397" t="s">
        <v>10900</v>
      </c>
      <c r="B413" s="1370" t="s">
        <v>10860</v>
      </c>
      <c r="C413" s="1453">
        <f t="shared" si="74"/>
        <v>8</v>
      </c>
      <c r="F413" s="991">
        <f t="shared" si="75"/>
        <v>2</v>
      </c>
      <c r="G413" s="1381"/>
      <c r="H413" s="1381"/>
      <c r="I413" s="1381"/>
      <c r="J413" s="1381">
        <v>6</v>
      </c>
      <c r="K413" s="1381"/>
      <c r="L413" s="1381"/>
      <c r="M413" s="1381"/>
      <c r="N413" s="1381"/>
      <c r="O413" s="1381"/>
      <c r="P413" s="1381">
        <v>2</v>
      </c>
      <c r="Q413" s="1381"/>
      <c r="R413" s="1381"/>
      <c r="S413" s="1381"/>
      <c r="T413" s="1381"/>
      <c r="U413" s="1381"/>
      <c r="V413" s="1381"/>
      <c r="W413" s="1381"/>
      <c r="X413" s="1381"/>
      <c r="Y413" s="1381"/>
      <c r="AA413" s="23"/>
      <c r="AD413" s="79"/>
    </row>
    <row r="414" spans="1:30" ht="12.75" customHeight="1" x14ac:dyDescent="0.2">
      <c r="A414" s="1397" t="s">
        <v>1794</v>
      </c>
      <c r="B414" s="1370" t="s">
        <v>5543</v>
      </c>
      <c r="C414" s="1453">
        <f t="shared" si="74"/>
        <v>2</v>
      </c>
      <c r="F414" s="991">
        <f t="shared" si="75"/>
        <v>2</v>
      </c>
      <c r="G414" s="1381"/>
      <c r="H414" s="1381"/>
      <c r="I414" s="1381"/>
      <c r="J414" s="1381">
        <v>1</v>
      </c>
      <c r="K414" s="1381"/>
      <c r="L414" s="1381"/>
      <c r="M414" s="1381"/>
      <c r="N414" s="1381"/>
      <c r="O414" s="1381"/>
      <c r="P414" s="1381"/>
      <c r="Q414" s="1381">
        <v>1</v>
      </c>
      <c r="R414" s="1381"/>
      <c r="S414" s="1381"/>
      <c r="T414" s="1381"/>
      <c r="U414" s="1381"/>
      <c r="V414" s="1381"/>
      <c r="W414" s="1381"/>
      <c r="X414" s="1381"/>
      <c r="Y414" s="1381"/>
      <c r="AA414" s="23"/>
      <c r="AD414" s="79"/>
    </row>
    <row r="415" spans="1:30" ht="12.75" customHeight="1" x14ac:dyDescent="0.2">
      <c r="A415" s="1397" t="s">
        <v>9701</v>
      </c>
      <c r="B415" s="1370" t="s">
        <v>9702</v>
      </c>
      <c r="C415" s="1453">
        <f t="shared" si="74"/>
        <v>4</v>
      </c>
      <c r="F415" s="991">
        <f t="shared" si="75"/>
        <v>1</v>
      </c>
      <c r="G415" s="1381"/>
      <c r="H415" s="1381"/>
      <c r="I415" s="1381"/>
      <c r="J415" s="1381"/>
      <c r="K415" s="1381"/>
      <c r="L415" s="1381"/>
      <c r="M415" s="1381"/>
      <c r="N415" s="1381"/>
      <c r="O415" s="1381"/>
      <c r="P415" s="1381"/>
      <c r="Q415" s="1381"/>
      <c r="R415" s="1381"/>
      <c r="S415" s="1381"/>
      <c r="T415" s="1381"/>
      <c r="U415" s="1381">
        <v>4</v>
      </c>
      <c r="V415" s="1381"/>
      <c r="W415" s="1381"/>
      <c r="X415" s="1381"/>
      <c r="Y415" s="1381"/>
      <c r="AA415" s="23"/>
      <c r="AD415" s="79"/>
    </row>
    <row r="416" spans="1:30" ht="12.75" customHeight="1" x14ac:dyDescent="0.2">
      <c r="A416" s="1397" t="s">
        <v>4789</v>
      </c>
      <c r="B416" s="1370" t="s">
        <v>4788</v>
      </c>
      <c r="C416" s="1453">
        <f t="shared" si="74"/>
        <v>2</v>
      </c>
      <c r="F416" s="991">
        <f t="shared" si="75"/>
        <v>1</v>
      </c>
      <c r="G416" s="1381"/>
      <c r="H416" s="1381"/>
      <c r="I416" s="1381"/>
      <c r="J416" s="1381"/>
      <c r="K416" s="1381"/>
      <c r="L416" s="1381"/>
      <c r="M416" s="1381"/>
      <c r="N416" s="1381"/>
      <c r="O416" s="1381"/>
      <c r="P416" s="1381"/>
      <c r="Q416" s="1381"/>
      <c r="R416" s="1381"/>
      <c r="S416" s="1381"/>
      <c r="T416" s="1381"/>
      <c r="U416" s="1381"/>
      <c r="V416" s="1381"/>
      <c r="W416" s="1381">
        <v>2</v>
      </c>
      <c r="X416" s="1381"/>
      <c r="Y416" s="1381"/>
      <c r="AA416" s="23"/>
      <c r="AD416" s="79"/>
    </row>
    <row r="417" spans="1:32" ht="12.75" customHeight="1" x14ac:dyDescent="0.2">
      <c r="A417" s="1397" t="s">
        <v>864</v>
      </c>
      <c r="B417" s="1370" t="s">
        <v>865</v>
      </c>
      <c r="C417" s="1453">
        <f t="shared" si="74"/>
        <v>6</v>
      </c>
      <c r="F417" s="991">
        <f t="shared" si="75"/>
        <v>6</v>
      </c>
      <c r="G417" s="1381">
        <v>1</v>
      </c>
      <c r="H417" s="1381">
        <v>1</v>
      </c>
      <c r="I417" s="1381"/>
      <c r="J417" s="1381"/>
      <c r="K417" s="1381"/>
      <c r="L417" s="1381"/>
      <c r="M417" s="1381"/>
      <c r="N417" s="1381">
        <v>1</v>
      </c>
      <c r="O417" s="1381"/>
      <c r="P417" s="1381"/>
      <c r="Q417" s="1381"/>
      <c r="R417" s="1381"/>
      <c r="S417" s="1381"/>
      <c r="T417" s="1381"/>
      <c r="U417" s="1381">
        <v>1</v>
      </c>
      <c r="V417" s="1381">
        <v>1</v>
      </c>
      <c r="W417" s="1381"/>
      <c r="X417" s="1381"/>
      <c r="Y417" s="1381">
        <v>1</v>
      </c>
      <c r="AA417" s="23"/>
      <c r="AD417" s="79"/>
    </row>
    <row r="418" spans="1:32" ht="12.75" customHeight="1" x14ac:dyDescent="0.2">
      <c r="A418" s="1442" t="s">
        <v>3535</v>
      </c>
      <c r="B418" s="1374" t="s">
        <v>4741</v>
      </c>
      <c r="C418" s="1453">
        <f t="shared" si="74"/>
        <v>58</v>
      </c>
      <c r="F418" s="991">
        <f t="shared" si="75"/>
        <v>6</v>
      </c>
      <c r="G418" s="1381">
        <v>1</v>
      </c>
      <c r="H418" s="1381"/>
      <c r="I418" s="1381"/>
      <c r="J418" s="1381"/>
      <c r="K418" s="1381"/>
      <c r="L418" s="1381"/>
      <c r="M418" s="1381"/>
      <c r="N418" s="1381">
        <v>1</v>
      </c>
      <c r="O418" s="1381"/>
      <c r="P418" s="1381"/>
      <c r="Q418" s="1381"/>
      <c r="R418" s="1381"/>
      <c r="S418" s="1381">
        <v>1</v>
      </c>
      <c r="T418" s="1381">
        <v>1</v>
      </c>
      <c r="U418" s="1381">
        <v>53</v>
      </c>
      <c r="V418" s="1381"/>
      <c r="W418" s="1381">
        <v>1</v>
      </c>
      <c r="X418" s="1381"/>
      <c r="Y418" s="1381"/>
      <c r="AA418" s="23"/>
      <c r="AD418" s="79"/>
    </row>
    <row r="419" spans="1:32" ht="12.75" customHeight="1" x14ac:dyDescent="0.2">
      <c r="A419" s="1667"/>
      <c r="C419" s="1383">
        <f>SUM(C382:C418)</f>
        <v>258</v>
      </c>
      <c r="G419" s="666">
        <f>SUM(G382:G418)</f>
        <v>17</v>
      </c>
      <c r="H419" s="666">
        <f t="shared" ref="H419:Y419" si="76">SUM(H382:H418)</f>
        <v>3</v>
      </c>
      <c r="I419" s="666">
        <f t="shared" si="76"/>
        <v>9</v>
      </c>
      <c r="J419" s="666">
        <f>SUM(J382:J418)</f>
        <v>8</v>
      </c>
      <c r="K419" s="666">
        <f>SUM(K382:K418)</f>
        <v>3</v>
      </c>
      <c r="L419" s="666">
        <f t="shared" si="76"/>
        <v>5</v>
      </c>
      <c r="M419" s="666">
        <f t="shared" si="76"/>
        <v>7</v>
      </c>
      <c r="N419" s="666">
        <f t="shared" si="76"/>
        <v>6</v>
      </c>
      <c r="O419" s="666">
        <f t="shared" si="76"/>
        <v>6</v>
      </c>
      <c r="P419" s="666">
        <f t="shared" si="76"/>
        <v>3</v>
      </c>
      <c r="Q419" s="666">
        <f t="shared" ref="Q419" si="77">SUM(Q382:Q418)</f>
        <v>2</v>
      </c>
      <c r="R419" s="666">
        <f t="shared" si="76"/>
        <v>2</v>
      </c>
      <c r="S419" s="666">
        <f t="shared" si="76"/>
        <v>4</v>
      </c>
      <c r="T419" s="666">
        <f t="shared" si="76"/>
        <v>8</v>
      </c>
      <c r="U419" s="666">
        <f t="shared" si="76"/>
        <v>134</v>
      </c>
      <c r="V419" s="666">
        <f t="shared" si="76"/>
        <v>9</v>
      </c>
      <c r="W419" s="666">
        <f t="shared" si="76"/>
        <v>10</v>
      </c>
      <c r="X419" s="666">
        <f t="shared" si="76"/>
        <v>2</v>
      </c>
      <c r="Y419" s="666">
        <f t="shared" si="76"/>
        <v>7</v>
      </c>
      <c r="Z419" s="80"/>
      <c r="AA419" s="666">
        <f>SUM(AA382:AA418)</f>
        <v>13</v>
      </c>
      <c r="AD419" s="79"/>
    </row>
    <row r="420" spans="1:32" ht="12.75" customHeight="1" x14ac:dyDescent="0.2">
      <c r="A420" s="1667"/>
      <c r="C420" s="1666"/>
      <c r="E420" s="1377">
        <f>COUNT(G420:AA420)</f>
        <v>20</v>
      </c>
      <c r="G420" s="666">
        <f>COUNT(G382:G418)</f>
        <v>12</v>
      </c>
      <c r="H420" s="666">
        <f t="shared" ref="H420:Y420" si="78">COUNT(H382:H418)</f>
        <v>3</v>
      </c>
      <c r="I420" s="666">
        <f t="shared" si="78"/>
        <v>8</v>
      </c>
      <c r="J420" s="666">
        <f>COUNT(J382:J418)</f>
        <v>3</v>
      </c>
      <c r="K420" s="666">
        <f>COUNT(K382:K418)</f>
        <v>3</v>
      </c>
      <c r="L420" s="666">
        <f t="shared" si="78"/>
        <v>5</v>
      </c>
      <c r="M420" s="666">
        <f t="shared" si="78"/>
        <v>4</v>
      </c>
      <c r="N420" s="666">
        <f t="shared" si="78"/>
        <v>6</v>
      </c>
      <c r="O420" s="666">
        <f t="shared" si="78"/>
        <v>6</v>
      </c>
      <c r="P420" s="666">
        <f t="shared" si="78"/>
        <v>2</v>
      </c>
      <c r="Q420" s="666">
        <f t="shared" ref="Q420" si="79">COUNT(Q382:Q418)</f>
        <v>2</v>
      </c>
      <c r="R420" s="666">
        <f t="shared" si="78"/>
        <v>2</v>
      </c>
      <c r="S420" s="666">
        <f t="shared" si="78"/>
        <v>4</v>
      </c>
      <c r="T420" s="666">
        <f t="shared" si="78"/>
        <v>8</v>
      </c>
      <c r="U420" s="666">
        <f t="shared" si="78"/>
        <v>20</v>
      </c>
      <c r="V420" s="666">
        <f t="shared" si="78"/>
        <v>6</v>
      </c>
      <c r="W420" s="666">
        <f t="shared" si="78"/>
        <v>8</v>
      </c>
      <c r="X420" s="666">
        <f t="shared" si="78"/>
        <v>2</v>
      </c>
      <c r="Y420" s="666">
        <f t="shared" si="78"/>
        <v>6</v>
      </c>
      <c r="Z420" s="80"/>
      <c r="AA420" s="666">
        <f>COUNT(AA382:AA418)</f>
        <v>9</v>
      </c>
      <c r="AD420" s="79"/>
    </row>
    <row r="421" spans="1:32" ht="12.75" customHeight="1" x14ac:dyDescent="0.25">
      <c r="A421" s="1667"/>
      <c r="C421" s="1666"/>
      <c r="G421" s="565" t="s">
        <v>3299</v>
      </c>
      <c r="H421" s="538"/>
      <c r="I421" s="538" t="s">
        <v>1822</v>
      </c>
      <c r="J421" s="538"/>
      <c r="K421" s="538" t="s">
        <v>5962</v>
      </c>
      <c r="L421" s="538"/>
      <c r="M421" s="538" t="s">
        <v>891</v>
      </c>
      <c r="N421" s="538"/>
      <c r="O421" s="538" t="s">
        <v>11980</v>
      </c>
      <c r="P421" s="538"/>
      <c r="Q421" s="538" t="s">
        <v>13266</v>
      </c>
      <c r="R421" s="538"/>
      <c r="S421" s="538" t="s">
        <v>5257</v>
      </c>
      <c r="T421" s="538"/>
      <c r="U421" s="538" t="s">
        <v>2431</v>
      </c>
      <c r="V421" s="538"/>
      <c r="W421" s="561" t="s">
        <v>3528</v>
      </c>
      <c r="X421" s="561"/>
      <c r="Y421" s="561" t="s">
        <v>1939</v>
      </c>
      <c r="AD421" s="79"/>
    </row>
    <row r="422" spans="1:32" ht="12.75" customHeight="1" x14ac:dyDescent="0.25">
      <c r="A422" s="1667"/>
      <c r="C422" s="1666"/>
      <c r="G422" s="515"/>
      <c r="H422" s="539" t="s">
        <v>494</v>
      </c>
      <c r="I422" s="539"/>
      <c r="J422" s="539" t="s">
        <v>5981</v>
      </c>
      <c r="K422" s="539"/>
      <c r="L422" s="539" t="s">
        <v>2192</v>
      </c>
      <c r="M422" s="539"/>
      <c r="N422" s="539" t="s">
        <v>9655</v>
      </c>
      <c r="O422" s="539"/>
      <c r="P422" s="539" t="s">
        <v>11981</v>
      </c>
      <c r="Q422" s="539"/>
      <c r="R422" s="539" t="s">
        <v>11983</v>
      </c>
      <c r="S422" s="539"/>
      <c r="T422" s="539" t="s">
        <v>11984</v>
      </c>
      <c r="U422" s="539"/>
      <c r="V422" s="539" t="s">
        <v>4500</v>
      </c>
      <c r="W422" s="539"/>
      <c r="X422" s="539" t="s">
        <v>7932</v>
      </c>
      <c r="Y422" s="515"/>
      <c r="AA422" s="539" t="s">
        <v>5524</v>
      </c>
      <c r="AD422" s="79"/>
    </row>
    <row r="423" spans="1:32" ht="12.75" customHeight="1" x14ac:dyDescent="0.2">
      <c r="A423" s="1667"/>
      <c r="C423" s="1666"/>
      <c r="G423" s="1126">
        <f>Parks!L10</f>
        <v>54</v>
      </c>
      <c r="H423" s="1126">
        <f>Parks!L14</f>
        <v>115</v>
      </c>
      <c r="I423" s="1126">
        <f>Parks!L32</f>
        <v>26</v>
      </c>
      <c r="J423" s="1126">
        <f>Parks!L77</f>
        <v>205</v>
      </c>
      <c r="K423" s="1126">
        <f>Parks!L191</f>
        <v>24</v>
      </c>
      <c r="L423" s="1126">
        <f>Parks!L204</f>
        <v>277</v>
      </c>
      <c r="M423" s="1126">
        <f>Parks!L275</f>
        <v>47</v>
      </c>
      <c r="N423" s="1126">
        <f>Parks!L290</f>
        <v>404</v>
      </c>
      <c r="O423" s="1126">
        <f>Parks!L329</f>
        <v>208</v>
      </c>
      <c r="P423" s="1126">
        <f>Parks!L350</f>
        <v>447</v>
      </c>
      <c r="Q423" s="1126"/>
      <c r="R423" s="1126">
        <f>Parks!L391</f>
        <v>127</v>
      </c>
      <c r="S423" s="1126">
        <f>Parks!L435</f>
        <v>300</v>
      </c>
      <c r="T423" s="1126">
        <f>Parks!L442</f>
        <v>61</v>
      </c>
      <c r="U423" s="1126">
        <f>Parks!L477</f>
        <v>102</v>
      </c>
      <c r="V423" s="1126">
        <f>Parks!L507</f>
        <v>188</v>
      </c>
      <c r="W423" s="1126">
        <f>Parks!L511</f>
        <v>82</v>
      </c>
      <c r="X423" s="1126">
        <f>Parks!L582</f>
        <v>336</v>
      </c>
      <c r="Y423" s="1126">
        <f>Parks!L589</f>
        <v>62</v>
      </c>
      <c r="Z423" s="870"/>
      <c r="AA423" s="1126">
        <f>Parks!L304</f>
        <v>266</v>
      </c>
      <c r="AD423" s="79"/>
    </row>
    <row r="424" spans="1:32" ht="12.75" customHeight="1" x14ac:dyDescent="0.25">
      <c r="A424" s="1667"/>
      <c r="C424" s="1666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1406"/>
      <c r="S424" s="1406"/>
      <c r="T424" s="1406"/>
      <c r="U424" s="1406"/>
      <c r="V424" s="1406"/>
      <c r="W424" s="1406"/>
      <c r="X424" s="1406"/>
      <c r="Y424" s="1418"/>
    </row>
    <row r="425" spans="1:32" ht="12.75" customHeight="1" x14ac:dyDescent="0.25">
      <c r="A425" s="1667"/>
      <c r="C425" s="1666"/>
      <c r="G425" s="2" t="s">
        <v>12160</v>
      </c>
      <c r="H425" s="2"/>
      <c r="I425" s="2"/>
      <c r="J425" s="847"/>
      <c r="K425" s="847"/>
      <c r="L425" s="210"/>
      <c r="M425" s="210"/>
      <c r="N425" s="210"/>
      <c r="O425" s="847"/>
      <c r="P425" s="847"/>
      <c r="Q425" s="847"/>
      <c r="R425" s="847"/>
      <c r="S425" s="847"/>
      <c r="T425" s="847"/>
    </row>
    <row r="426" spans="1:32" ht="12.75" customHeight="1" x14ac:dyDescent="0.25">
      <c r="A426" s="1667"/>
      <c r="C426" s="1666"/>
      <c r="J426" s="364"/>
      <c r="K426" s="364"/>
      <c r="L426" s="111"/>
      <c r="M426" s="111"/>
      <c r="N426" s="111"/>
      <c r="O426" s="364"/>
      <c r="P426" s="364"/>
      <c r="Q426" s="364"/>
      <c r="R426" s="364"/>
      <c r="S426" s="364"/>
      <c r="T426" s="364"/>
    </row>
    <row r="427" spans="1:32" ht="12.75" customHeight="1" x14ac:dyDescent="0.2">
      <c r="A427" s="1667"/>
      <c r="C427" s="1398"/>
      <c r="G427" s="2" t="s">
        <v>11992</v>
      </c>
      <c r="H427" s="2"/>
      <c r="I427" s="2"/>
      <c r="J427" s="2"/>
      <c r="K427" s="2"/>
      <c r="L427" s="2"/>
      <c r="M427" s="2"/>
      <c r="N427" s="2"/>
      <c r="O427" s="2"/>
      <c r="P427" s="2"/>
      <c r="U427" s="2" t="s">
        <v>10275</v>
      </c>
    </row>
    <row r="428" spans="1:32" ht="12.75" customHeight="1" x14ac:dyDescent="0.2">
      <c r="A428" s="1668"/>
      <c r="B428" s="1567"/>
      <c r="C428" s="1669"/>
      <c r="D428" s="107"/>
      <c r="E428" s="1567"/>
      <c r="F428" s="109"/>
      <c r="G428" s="200" t="s">
        <v>1611</v>
      </c>
      <c r="H428" s="201" t="s">
        <v>3603</v>
      </c>
      <c r="I428" s="200" t="s">
        <v>3600</v>
      </c>
      <c r="J428" s="201" t="s">
        <v>732</v>
      </c>
      <c r="K428" s="537" t="s">
        <v>2527</v>
      </c>
      <c r="L428" s="516" t="s">
        <v>4528</v>
      </c>
      <c r="M428" s="577" t="s">
        <v>4424</v>
      </c>
      <c r="N428" s="516" t="s">
        <v>5126</v>
      </c>
      <c r="O428" s="577" t="s">
        <v>2508</v>
      </c>
      <c r="P428" s="540" t="s">
        <v>9619</v>
      </c>
      <c r="Q428" s="577" t="s">
        <v>3716</v>
      </c>
      <c r="R428" s="540" t="s">
        <v>11894</v>
      </c>
      <c r="S428" s="577" t="s">
        <v>1597</v>
      </c>
      <c r="T428" s="540" t="s">
        <v>10274</v>
      </c>
      <c r="U428" s="577" t="s">
        <v>5128</v>
      </c>
      <c r="V428" s="516" t="s">
        <v>3601</v>
      </c>
      <c r="W428" s="537" t="s">
        <v>2278</v>
      </c>
      <c r="X428" s="516" t="s">
        <v>3127</v>
      </c>
      <c r="Y428" s="577" t="s">
        <v>511</v>
      </c>
      <c r="Z428" s="107"/>
      <c r="AA428" s="107"/>
      <c r="AB428" s="107"/>
      <c r="AC428" s="107"/>
    </row>
    <row r="429" spans="1:32" ht="12.75" customHeight="1" x14ac:dyDescent="0.2">
      <c r="A429" s="1443" t="s">
        <v>3251</v>
      </c>
      <c r="B429" s="1444" t="s">
        <v>3252</v>
      </c>
      <c r="C429" s="1398">
        <f t="shared" ref="C429:C458" si="80">SUM(G429:Z429)</f>
        <v>1</v>
      </c>
      <c r="D429" s="107"/>
      <c r="E429" s="1567"/>
      <c r="F429" s="926">
        <f t="shared" ref="F429:F458" si="81">COUNT(G429:Z429)</f>
        <v>1</v>
      </c>
      <c r="G429" s="1441"/>
      <c r="H429" s="1441"/>
      <c r="I429" s="1441"/>
      <c r="J429" s="1441"/>
      <c r="K429" s="1441"/>
      <c r="L429" s="1441"/>
      <c r="M429" s="1441"/>
      <c r="N429" s="1441"/>
      <c r="O429" s="1441"/>
      <c r="P429" s="1388"/>
      <c r="Q429" s="1441"/>
      <c r="R429" s="1388"/>
      <c r="S429" s="1441"/>
      <c r="T429" s="1388"/>
      <c r="U429" s="1441"/>
      <c r="V429" s="1441"/>
      <c r="W429" s="1388">
        <v>1</v>
      </c>
      <c r="X429" s="1441"/>
      <c r="Y429" s="1441"/>
      <c r="Z429" s="107"/>
      <c r="AA429" s="107"/>
      <c r="AB429" s="107"/>
      <c r="AC429" s="107"/>
    </row>
    <row r="430" spans="1:32" ht="12.75" customHeight="1" x14ac:dyDescent="0.2">
      <c r="A430" s="1521" t="s">
        <v>726</v>
      </c>
      <c r="B430" s="1522" t="s">
        <v>1295</v>
      </c>
      <c r="C430" s="1398">
        <f t="shared" si="80"/>
        <v>14</v>
      </c>
      <c r="D430" s="107"/>
      <c r="E430" s="1567"/>
      <c r="F430" s="926">
        <f t="shared" si="81"/>
        <v>10</v>
      </c>
      <c r="G430" s="66"/>
      <c r="H430" s="66"/>
      <c r="I430" s="66"/>
      <c r="J430" s="66">
        <v>1</v>
      </c>
      <c r="K430" s="1441">
        <v>1</v>
      </c>
      <c r="L430" s="1441">
        <v>2</v>
      </c>
      <c r="M430" s="1441">
        <v>1</v>
      </c>
      <c r="N430" s="1441">
        <v>1</v>
      </c>
      <c r="O430" s="1441">
        <v>1</v>
      </c>
      <c r="P430" s="1441"/>
      <c r="Q430" s="1441"/>
      <c r="R430" s="1441">
        <v>1</v>
      </c>
      <c r="S430" s="1441">
        <v>1</v>
      </c>
      <c r="T430" s="1441"/>
      <c r="U430" s="1441"/>
      <c r="V430" s="1441"/>
      <c r="W430" s="1441">
        <v>4</v>
      </c>
      <c r="X430" s="1441">
        <v>1</v>
      </c>
      <c r="Y430" s="1441"/>
      <c r="Z430" s="107"/>
      <c r="AA430" s="107"/>
      <c r="AB430" s="107"/>
      <c r="AC430" s="42"/>
      <c r="AD430" s="42"/>
      <c r="AE430" s="42"/>
      <c r="AF430" s="107"/>
    </row>
    <row r="431" spans="1:32" ht="12.75" customHeight="1" x14ac:dyDescent="0.2">
      <c r="A431" s="1521" t="s">
        <v>3508</v>
      </c>
      <c r="B431" s="1522" t="s">
        <v>1295</v>
      </c>
      <c r="C431" s="1398">
        <f t="shared" si="80"/>
        <v>15</v>
      </c>
      <c r="D431" s="107"/>
      <c r="E431" s="1567"/>
      <c r="F431" s="926">
        <f t="shared" si="81"/>
        <v>10</v>
      </c>
      <c r="G431" s="66"/>
      <c r="H431" s="66"/>
      <c r="I431" s="66"/>
      <c r="J431" s="66">
        <v>1</v>
      </c>
      <c r="K431" s="1441">
        <v>1</v>
      </c>
      <c r="L431" s="1441">
        <v>2</v>
      </c>
      <c r="M431" s="1441">
        <v>1</v>
      </c>
      <c r="N431" s="1441">
        <v>2</v>
      </c>
      <c r="O431" s="1441">
        <v>1</v>
      </c>
      <c r="P431" s="1441"/>
      <c r="Q431" s="1441"/>
      <c r="R431" s="1441">
        <v>1</v>
      </c>
      <c r="S431" s="1441">
        <v>1</v>
      </c>
      <c r="T431" s="1441"/>
      <c r="U431" s="1441"/>
      <c r="V431" s="1441"/>
      <c r="W431" s="1441">
        <v>4</v>
      </c>
      <c r="X431" s="1441">
        <v>1</v>
      </c>
      <c r="Y431" s="1441"/>
      <c r="Z431" s="107"/>
      <c r="AA431" s="107"/>
      <c r="AB431" s="107"/>
      <c r="AC431" s="42"/>
      <c r="AD431" s="107"/>
      <c r="AE431" s="107"/>
    </row>
    <row r="432" spans="1:32" ht="12.75" customHeight="1" x14ac:dyDescent="0.2">
      <c r="A432" s="1521" t="s">
        <v>3508</v>
      </c>
      <c r="B432" s="1522" t="s">
        <v>3632</v>
      </c>
      <c r="C432" s="1398">
        <f t="shared" si="80"/>
        <v>2</v>
      </c>
      <c r="D432" s="107"/>
      <c r="E432" s="1567"/>
      <c r="F432" s="926">
        <f t="shared" si="81"/>
        <v>2</v>
      </c>
      <c r="G432" s="66"/>
      <c r="H432" s="66"/>
      <c r="I432" s="66"/>
      <c r="J432" s="66"/>
      <c r="K432" s="1441"/>
      <c r="L432" s="1441"/>
      <c r="M432" s="1441"/>
      <c r="N432" s="1441"/>
      <c r="O432" s="1441">
        <v>1</v>
      </c>
      <c r="P432" s="1441"/>
      <c r="Q432" s="1441"/>
      <c r="R432" s="1441"/>
      <c r="S432" s="1441"/>
      <c r="T432" s="1441"/>
      <c r="U432" s="1441"/>
      <c r="V432" s="1441">
        <v>1</v>
      </c>
      <c r="W432" s="1441"/>
      <c r="X432" s="1441"/>
      <c r="Y432" s="1441"/>
      <c r="Z432" s="107"/>
      <c r="AA432" s="107"/>
      <c r="AB432" s="107"/>
      <c r="AC432" s="42"/>
      <c r="AD432" s="107"/>
      <c r="AE432" s="107"/>
    </row>
    <row r="433" spans="1:31" ht="12.75" customHeight="1" x14ac:dyDescent="0.2">
      <c r="A433" s="1443" t="s">
        <v>3535</v>
      </c>
      <c r="B433" s="1444" t="s">
        <v>4619</v>
      </c>
      <c r="C433" s="1398">
        <f t="shared" si="80"/>
        <v>1</v>
      </c>
      <c r="D433" s="107"/>
      <c r="E433" s="1567"/>
      <c r="F433" s="926">
        <f t="shared" si="81"/>
        <v>1</v>
      </c>
      <c r="G433" s="66"/>
      <c r="H433" s="66"/>
      <c r="I433" s="66"/>
      <c r="J433" s="66"/>
      <c r="K433" s="1441"/>
      <c r="L433" s="1441"/>
      <c r="M433" s="1441">
        <v>1</v>
      </c>
      <c r="N433" s="1441"/>
      <c r="O433" s="1441"/>
      <c r="P433" s="1441"/>
      <c r="Q433" s="1441"/>
      <c r="R433" s="1441"/>
      <c r="S433" s="1441"/>
      <c r="T433" s="1441"/>
      <c r="U433" s="1441"/>
      <c r="V433" s="1441"/>
      <c r="W433" s="1441"/>
      <c r="X433" s="1441"/>
      <c r="Y433" s="1441"/>
      <c r="Z433" s="107"/>
      <c r="AA433" s="107"/>
      <c r="AB433" s="107"/>
      <c r="AC433" s="42"/>
      <c r="AD433" s="107"/>
      <c r="AE433" s="107"/>
    </row>
    <row r="434" spans="1:31" ht="12.75" customHeight="1" x14ac:dyDescent="0.2">
      <c r="A434" s="1443" t="s">
        <v>3230</v>
      </c>
      <c r="B434" s="1444" t="s">
        <v>11625</v>
      </c>
      <c r="C434" s="1398">
        <f t="shared" si="80"/>
        <v>2</v>
      </c>
      <c r="D434" s="107"/>
      <c r="E434" s="1567"/>
      <c r="F434" s="926">
        <f t="shared" si="81"/>
        <v>2</v>
      </c>
      <c r="G434" s="66">
        <v>1</v>
      </c>
      <c r="H434" s="66"/>
      <c r="I434" s="66"/>
      <c r="J434" s="66"/>
      <c r="K434" s="1441"/>
      <c r="L434" s="1441"/>
      <c r="M434" s="1441"/>
      <c r="N434" s="1441"/>
      <c r="O434" s="1441"/>
      <c r="P434" s="1441"/>
      <c r="Q434" s="1441">
        <v>1</v>
      </c>
      <c r="R434" s="1441"/>
      <c r="S434" s="1441"/>
      <c r="T434" s="1441"/>
      <c r="U434" s="1441"/>
      <c r="V434" s="1441"/>
      <c r="W434" s="1441"/>
      <c r="X434" s="1441"/>
      <c r="Y434" s="1441"/>
      <c r="Z434" s="107"/>
      <c r="AA434" s="107"/>
      <c r="AB434" s="107"/>
      <c r="AC434" s="42"/>
      <c r="AD434" s="107"/>
      <c r="AE434" s="107"/>
    </row>
    <row r="435" spans="1:31" ht="12.75" customHeight="1" x14ac:dyDescent="0.2">
      <c r="A435" s="1566" t="s">
        <v>859</v>
      </c>
      <c r="B435" s="1567" t="s">
        <v>860</v>
      </c>
      <c r="C435" s="1398">
        <f t="shared" si="80"/>
        <v>20</v>
      </c>
      <c r="D435" s="107"/>
      <c r="E435" s="1567"/>
      <c r="F435" s="926">
        <f t="shared" si="81"/>
        <v>2</v>
      </c>
      <c r="G435" s="66"/>
      <c r="H435" s="66"/>
      <c r="I435" s="66"/>
      <c r="J435" s="66"/>
      <c r="K435" s="1441"/>
      <c r="L435" s="1441"/>
      <c r="M435" s="1441"/>
      <c r="N435" s="1441"/>
      <c r="O435" s="1441"/>
      <c r="P435" s="1441"/>
      <c r="Q435" s="1441"/>
      <c r="R435" s="1441"/>
      <c r="S435" s="1441">
        <v>2</v>
      </c>
      <c r="T435" s="1441"/>
      <c r="U435" s="1441"/>
      <c r="V435" s="1441"/>
      <c r="W435" s="1441"/>
      <c r="X435" s="1441">
        <v>18</v>
      </c>
      <c r="Y435" s="1441"/>
      <c r="Z435" s="107"/>
      <c r="AA435" s="107"/>
      <c r="AB435" s="42"/>
      <c r="AC435" s="107"/>
      <c r="AD435" s="107"/>
    </row>
    <row r="436" spans="1:31" ht="12.75" customHeight="1" x14ac:dyDescent="0.2">
      <c r="A436" s="1566" t="s">
        <v>922</v>
      </c>
      <c r="B436" s="1567" t="s">
        <v>1530</v>
      </c>
      <c r="C436" s="1398">
        <f t="shared" si="80"/>
        <v>2</v>
      </c>
      <c r="D436" s="107"/>
      <c r="E436" s="1567"/>
      <c r="F436" s="926">
        <f t="shared" si="81"/>
        <v>2</v>
      </c>
      <c r="G436" s="66">
        <v>1</v>
      </c>
      <c r="H436" s="66"/>
      <c r="I436" s="66"/>
      <c r="J436" s="66"/>
      <c r="K436" s="1441"/>
      <c r="L436" s="1441"/>
      <c r="M436" s="1441"/>
      <c r="N436" s="1441"/>
      <c r="O436" s="1441"/>
      <c r="P436" s="1441"/>
      <c r="Q436" s="1441"/>
      <c r="R436" s="1441"/>
      <c r="S436" s="1441"/>
      <c r="T436" s="1441"/>
      <c r="U436" s="1441"/>
      <c r="V436" s="1441"/>
      <c r="W436" s="1441">
        <v>1</v>
      </c>
      <c r="X436" s="1441"/>
      <c r="Y436" s="1441"/>
      <c r="Z436" s="107"/>
      <c r="AA436" s="107"/>
      <c r="AB436" s="107"/>
      <c r="AC436" s="107"/>
    </row>
    <row r="437" spans="1:31" ht="12.75" customHeight="1" x14ac:dyDescent="0.2">
      <c r="A437" s="1443" t="s">
        <v>1589</v>
      </c>
      <c r="B437" s="1444" t="s">
        <v>1590</v>
      </c>
      <c r="C437" s="1398">
        <f t="shared" si="80"/>
        <v>0</v>
      </c>
      <c r="D437" s="107"/>
      <c r="E437" s="1567"/>
      <c r="F437" s="926">
        <f t="shared" si="81"/>
        <v>0</v>
      </c>
      <c r="G437" s="66"/>
      <c r="H437" s="66"/>
      <c r="I437" s="66"/>
      <c r="J437" s="66"/>
      <c r="K437" s="1441"/>
      <c r="L437" s="1441"/>
      <c r="M437" s="1441"/>
      <c r="N437" s="1441"/>
      <c r="O437" s="1441"/>
      <c r="P437" s="1441"/>
      <c r="Q437" s="1441"/>
      <c r="R437" s="1441"/>
      <c r="S437" s="1441"/>
      <c r="T437" s="1441"/>
      <c r="U437" s="1441"/>
      <c r="V437" s="1441"/>
      <c r="W437" s="1441"/>
      <c r="X437" s="1441"/>
      <c r="Y437" s="1441"/>
      <c r="Z437" s="107"/>
      <c r="AA437" s="107"/>
      <c r="AB437" s="107"/>
      <c r="AC437" s="107"/>
    </row>
    <row r="438" spans="1:31" ht="12.75" customHeight="1" x14ac:dyDescent="0.2">
      <c r="A438" s="1401" t="s">
        <v>1796</v>
      </c>
      <c r="B438" s="1371" t="s">
        <v>1797</v>
      </c>
      <c r="C438" s="1398">
        <f t="shared" si="80"/>
        <v>1</v>
      </c>
      <c r="F438" s="926">
        <f t="shared" si="81"/>
        <v>1</v>
      </c>
      <c r="G438" s="23"/>
      <c r="H438" s="23"/>
      <c r="I438" s="23"/>
      <c r="J438" s="23"/>
      <c r="K438" s="1377"/>
      <c r="L438" s="1377"/>
      <c r="M438" s="1377"/>
      <c r="N438" s="1377"/>
      <c r="O438" s="1377"/>
      <c r="P438" s="1377"/>
      <c r="Q438" s="1377"/>
      <c r="R438" s="1377"/>
      <c r="S438" s="1377"/>
      <c r="T438" s="1377"/>
      <c r="U438" s="1377"/>
      <c r="V438" s="1377">
        <v>1</v>
      </c>
      <c r="W438" s="1377"/>
      <c r="X438" s="1377"/>
      <c r="Y438" s="1377"/>
    </row>
    <row r="439" spans="1:31" ht="12.75" customHeight="1" x14ac:dyDescent="0.2">
      <c r="A439" s="1670" t="s">
        <v>1868</v>
      </c>
      <c r="B439" s="1671" t="s">
        <v>1869</v>
      </c>
      <c r="C439" s="1398">
        <f t="shared" si="80"/>
        <v>1</v>
      </c>
      <c r="F439" s="926">
        <f t="shared" si="81"/>
        <v>1</v>
      </c>
      <c r="G439" s="23"/>
      <c r="H439" s="23"/>
      <c r="I439" s="23"/>
      <c r="J439" s="23"/>
      <c r="K439" s="1377"/>
      <c r="L439" s="1377"/>
      <c r="M439" s="1377"/>
      <c r="N439" s="1377"/>
      <c r="O439" s="1377"/>
      <c r="P439" s="1377"/>
      <c r="Q439" s="1377"/>
      <c r="R439" s="1377"/>
      <c r="S439" s="1377"/>
      <c r="T439" s="1377"/>
      <c r="U439" s="1377"/>
      <c r="V439" s="1377"/>
      <c r="W439" s="1377"/>
      <c r="X439" s="1377"/>
      <c r="Y439" s="1377">
        <v>1</v>
      </c>
    </row>
    <row r="440" spans="1:31" ht="12.75" customHeight="1" x14ac:dyDescent="0.2">
      <c r="A440" s="1442" t="s">
        <v>5980</v>
      </c>
      <c r="B440" s="1672" t="s">
        <v>4818</v>
      </c>
      <c r="C440" s="1398">
        <f t="shared" si="80"/>
        <v>5</v>
      </c>
      <c r="F440" s="926">
        <f t="shared" si="81"/>
        <v>5</v>
      </c>
      <c r="G440" s="1377">
        <v>1</v>
      </c>
      <c r="H440" s="1377"/>
      <c r="I440" s="1377"/>
      <c r="J440" s="1377">
        <v>1</v>
      </c>
      <c r="K440" s="1377"/>
      <c r="L440" s="1377"/>
      <c r="M440" s="1377"/>
      <c r="N440" s="1377"/>
      <c r="O440" s="1377"/>
      <c r="P440" s="1377"/>
      <c r="Q440" s="1377"/>
      <c r="R440" s="1377"/>
      <c r="S440" s="1377">
        <v>1</v>
      </c>
      <c r="T440" s="1377"/>
      <c r="U440" s="1377">
        <v>1</v>
      </c>
      <c r="V440" s="1377"/>
      <c r="W440" s="1377"/>
      <c r="X440" s="1377">
        <v>1</v>
      </c>
      <c r="Y440" s="1377"/>
    </row>
    <row r="441" spans="1:31" ht="12.75" customHeight="1" x14ac:dyDescent="0.2">
      <c r="A441" s="1401" t="s">
        <v>665</v>
      </c>
      <c r="B441" s="1371" t="s">
        <v>666</v>
      </c>
      <c r="C441" s="1398">
        <f t="shared" si="80"/>
        <v>20</v>
      </c>
      <c r="D441" s="9"/>
      <c r="F441" s="926">
        <f t="shared" si="81"/>
        <v>18</v>
      </c>
      <c r="G441" s="23">
        <v>1</v>
      </c>
      <c r="H441" s="23">
        <v>1</v>
      </c>
      <c r="I441" s="23">
        <v>1</v>
      </c>
      <c r="J441" s="23">
        <v>1</v>
      </c>
      <c r="K441" s="1377"/>
      <c r="L441" s="1377">
        <v>1</v>
      </c>
      <c r="M441" s="1377">
        <v>1</v>
      </c>
      <c r="N441" s="1377">
        <v>1</v>
      </c>
      <c r="O441" s="1377">
        <v>1</v>
      </c>
      <c r="P441" s="1377">
        <v>1</v>
      </c>
      <c r="Q441" s="1377">
        <v>1</v>
      </c>
      <c r="R441" s="1377">
        <v>1</v>
      </c>
      <c r="S441" s="1377">
        <v>1</v>
      </c>
      <c r="T441" s="1377">
        <v>1</v>
      </c>
      <c r="U441" s="1377">
        <v>2</v>
      </c>
      <c r="V441" s="1377">
        <v>1</v>
      </c>
      <c r="W441" s="1377">
        <v>1</v>
      </c>
      <c r="X441" s="1377">
        <v>1</v>
      </c>
      <c r="Y441" s="1377">
        <v>2</v>
      </c>
    </row>
    <row r="442" spans="1:31" ht="12.75" customHeight="1" x14ac:dyDescent="0.2">
      <c r="A442" s="1397" t="s">
        <v>13403</v>
      </c>
      <c r="B442" s="1371" t="s">
        <v>13368</v>
      </c>
      <c r="C442" s="1398">
        <f t="shared" si="80"/>
        <v>1</v>
      </c>
      <c r="D442" s="9"/>
      <c r="F442" s="926">
        <f t="shared" si="81"/>
        <v>1</v>
      </c>
      <c r="G442" s="23"/>
      <c r="H442" s="23"/>
      <c r="I442" s="23"/>
      <c r="J442" s="23"/>
      <c r="K442" s="1377"/>
      <c r="L442" s="1377"/>
      <c r="M442" s="1377"/>
      <c r="N442" s="1377"/>
      <c r="O442" s="1377"/>
      <c r="P442" s="1377"/>
      <c r="Q442" s="1377"/>
      <c r="R442" s="1377"/>
      <c r="S442" s="1377"/>
      <c r="T442" s="1377"/>
      <c r="U442" s="1377"/>
      <c r="V442" s="1377"/>
      <c r="W442" s="1377"/>
      <c r="X442" s="1377">
        <v>1</v>
      </c>
      <c r="Y442" s="1377"/>
    </row>
    <row r="443" spans="1:31" ht="12.75" customHeight="1" x14ac:dyDescent="0.2">
      <c r="A443" s="1397" t="s">
        <v>3014</v>
      </c>
      <c r="B443" s="1444" t="s">
        <v>3015</v>
      </c>
      <c r="C443" s="1398">
        <f t="shared" si="80"/>
        <v>1</v>
      </c>
      <c r="D443" s="9"/>
      <c r="F443" s="926">
        <f t="shared" si="81"/>
        <v>1</v>
      </c>
      <c r="G443" s="23"/>
      <c r="H443" s="23"/>
      <c r="I443" s="23"/>
      <c r="J443" s="23"/>
      <c r="K443" s="1377"/>
      <c r="L443" s="1377">
        <v>1</v>
      </c>
      <c r="M443" s="1377"/>
      <c r="N443" s="1377"/>
      <c r="O443" s="1377"/>
      <c r="P443" s="1377"/>
      <c r="Q443" s="1377"/>
      <c r="R443" s="1377"/>
      <c r="S443" s="1377"/>
      <c r="T443" s="1377"/>
      <c r="U443" s="1377"/>
      <c r="V443" s="1377"/>
      <c r="W443" s="1377"/>
      <c r="X443" s="1377"/>
      <c r="Y443" s="1377"/>
      <c r="AA443" s="42"/>
      <c r="AB443" s="107"/>
      <c r="AC443" s="107"/>
    </row>
    <row r="444" spans="1:31" ht="12.75" customHeight="1" x14ac:dyDescent="0.2">
      <c r="A444" s="1397" t="s">
        <v>2342</v>
      </c>
      <c r="B444" s="1444" t="s">
        <v>2343</v>
      </c>
      <c r="C444" s="1398">
        <f t="shared" si="80"/>
        <v>1</v>
      </c>
      <c r="D444" s="9"/>
      <c r="F444" s="926">
        <f t="shared" si="81"/>
        <v>1</v>
      </c>
      <c r="G444" s="23">
        <v>1</v>
      </c>
      <c r="H444" s="23"/>
      <c r="I444" s="23"/>
      <c r="J444" s="1377"/>
      <c r="K444" s="1377"/>
      <c r="L444" s="1377"/>
      <c r="M444" s="1377"/>
      <c r="N444" s="1377"/>
      <c r="O444" s="1377"/>
      <c r="P444" s="1377"/>
      <c r="Q444" s="1377"/>
      <c r="R444" s="1377"/>
      <c r="S444" s="1377"/>
      <c r="T444" s="1377"/>
      <c r="U444" s="1377"/>
      <c r="V444" s="1377"/>
      <c r="W444" s="1377"/>
      <c r="X444" s="1377"/>
      <c r="Y444" s="1377"/>
      <c r="AA444" s="42"/>
      <c r="AB444" s="107"/>
      <c r="AC444" s="107"/>
    </row>
    <row r="445" spans="1:31" ht="12.75" customHeight="1" x14ac:dyDescent="0.2">
      <c r="A445" s="1442" t="s">
        <v>2137</v>
      </c>
      <c r="B445" s="1374" t="s">
        <v>4943</v>
      </c>
      <c r="C445" s="1398">
        <f t="shared" si="80"/>
        <v>5</v>
      </c>
      <c r="D445" s="9"/>
      <c r="F445" s="926">
        <f t="shared" si="81"/>
        <v>2</v>
      </c>
      <c r="G445" s="23"/>
      <c r="H445" s="23"/>
      <c r="I445" s="23"/>
      <c r="J445" s="1377"/>
      <c r="K445" s="1377"/>
      <c r="L445" s="1377"/>
      <c r="M445" s="1377"/>
      <c r="N445" s="1377"/>
      <c r="O445" s="1377"/>
      <c r="P445" s="1377"/>
      <c r="Q445" s="1377"/>
      <c r="R445" s="1377"/>
      <c r="S445" s="1377">
        <v>1</v>
      </c>
      <c r="T445" s="1377"/>
      <c r="U445" s="1377"/>
      <c r="V445" s="1377"/>
      <c r="W445" s="1377"/>
      <c r="X445" s="1377"/>
      <c r="Y445" s="1377">
        <v>4</v>
      </c>
      <c r="AA445" s="42"/>
      <c r="AB445" s="107"/>
      <c r="AC445" s="107"/>
    </row>
    <row r="446" spans="1:31" ht="12.75" customHeight="1" x14ac:dyDescent="0.2">
      <c r="A446" s="1442" t="s">
        <v>4561</v>
      </c>
      <c r="B446" s="1374" t="s">
        <v>4562</v>
      </c>
      <c r="C446" s="1398">
        <f t="shared" si="80"/>
        <v>13</v>
      </c>
      <c r="D446" s="9"/>
      <c r="F446" s="926">
        <f t="shared" si="81"/>
        <v>13</v>
      </c>
      <c r="G446" s="1377">
        <v>1</v>
      </c>
      <c r="H446" s="23"/>
      <c r="I446" s="23"/>
      <c r="J446" s="1377">
        <v>1</v>
      </c>
      <c r="K446" s="1377"/>
      <c r="L446" s="1377">
        <v>1</v>
      </c>
      <c r="M446" s="1377">
        <v>1</v>
      </c>
      <c r="N446" s="1377">
        <v>1</v>
      </c>
      <c r="O446" s="1377"/>
      <c r="P446" s="1377">
        <v>1</v>
      </c>
      <c r="Q446" s="1377">
        <v>1</v>
      </c>
      <c r="R446" s="1377">
        <v>1</v>
      </c>
      <c r="S446" s="1377">
        <v>1</v>
      </c>
      <c r="T446" s="1377"/>
      <c r="U446" s="1377"/>
      <c r="V446" s="1377">
        <v>1</v>
      </c>
      <c r="W446" s="1377">
        <v>1</v>
      </c>
      <c r="X446" s="1377">
        <v>1</v>
      </c>
      <c r="Y446" s="1377">
        <v>1</v>
      </c>
      <c r="AA446" s="42"/>
      <c r="AB446" s="107"/>
      <c r="AC446" s="107"/>
    </row>
    <row r="447" spans="1:31" ht="12.75" customHeight="1" x14ac:dyDescent="0.2">
      <c r="A447" s="2015" t="s">
        <v>1798</v>
      </c>
      <c r="B447" s="2016" t="s">
        <v>17201</v>
      </c>
      <c r="C447" s="1398">
        <f t="shared" si="80"/>
        <v>1</v>
      </c>
      <c r="D447" s="9"/>
      <c r="F447" s="926">
        <f t="shared" si="81"/>
        <v>1</v>
      </c>
      <c r="G447" s="1377"/>
      <c r="H447" s="23"/>
      <c r="I447" s="23"/>
      <c r="J447" s="1377"/>
      <c r="K447" s="1377"/>
      <c r="L447" s="1377"/>
      <c r="M447" s="1377"/>
      <c r="N447" s="1377"/>
      <c r="O447" s="1377"/>
      <c r="P447" s="1377"/>
      <c r="Q447" s="1377"/>
      <c r="R447" s="1377"/>
      <c r="S447" s="1377"/>
      <c r="T447" s="1377"/>
      <c r="U447" s="1377"/>
      <c r="V447" s="1377"/>
      <c r="W447" s="1377"/>
      <c r="X447" s="1377"/>
      <c r="Y447" s="663">
        <v>1</v>
      </c>
      <c r="AA447" s="42"/>
      <c r="AB447" s="107"/>
      <c r="AC447" s="107"/>
    </row>
    <row r="448" spans="1:31" ht="12.75" customHeight="1" x14ac:dyDescent="0.2">
      <c r="A448" s="1442" t="s">
        <v>10186</v>
      </c>
      <c r="B448" s="1374" t="s">
        <v>10187</v>
      </c>
      <c r="C448" s="1398">
        <f t="shared" si="80"/>
        <v>0</v>
      </c>
      <c r="D448" s="9"/>
      <c r="F448" s="926">
        <f t="shared" si="81"/>
        <v>0</v>
      </c>
      <c r="G448" s="23"/>
      <c r="H448" s="23"/>
      <c r="I448" s="23"/>
      <c r="J448" s="1377"/>
      <c r="K448" s="1377"/>
      <c r="L448" s="1377"/>
      <c r="M448" s="1377"/>
      <c r="N448" s="1377"/>
      <c r="O448" s="1377"/>
      <c r="P448" s="1377"/>
      <c r="Q448" s="1377"/>
      <c r="R448" s="1377"/>
      <c r="S448" s="1377"/>
      <c r="T448" s="1377"/>
      <c r="U448" s="1377"/>
      <c r="V448" s="1377"/>
      <c r="W448" s="1377"/>
      <c r="X448" s="1377"/>
      <c r="Y448" s="1377"/>
      <c r="AA448" s="42"/>
      <c r="AB448" s="107"/>
      <c r="AC448" s="107"/>
    </row>
    <row r="449" spans="1:58" ht="12.75" customHeight="1" x14ac:dyDescent="0.2">
      <c r="A449" s="1401" t="s">
        <v>5433</v>
      </c>
      <c r="B449" s="1371" t="s">
        <v>1795</v>
      </c>
      <c r="C449" s="1398">
        <f t="shared" si="80"/>
        <v>31</v>
      </c>
      <c r="F449" s="926">
        <f t="shared" si="81"/>
        <v>19</v>
      </c>
      <c r="G449" s="23">
        <v>2</v>
      </c>
      <c r="H449" s="23">
        <v>1</v>
      </c>
      <c r="I449" s="23">
        <v>1</v>
      </c>
      <c r="J449" s="1377">
        <v>2</v>
      </c>
      <c r="K449" s="1377">
        <v>1</v>
      </c>
      <c r="L449" s="1377">
        <v>1</v>
      </c>
      <c r="M449" s="1377">
        <v>1</v>
      </c>
      <c r="N449" s="1377">
        <v>4</v>
      </c>
      <c r="O449" s="23">
        <v>1</v>
      </c>
      <c r="P449" s="23">
        <v>2</v>
      </c>
      <c r="Q449" s="23">
        <v>1</v>
      </c>
      <c r="R449" s="23">
        <v>2</v>
      </c>
      <c r="S449" s="23">
        <v>2</v>
      </c>
      <c r="T449" s="1377">
        <v>2</v>
      </c>
      <c r="U449" s="23">
        <v>2</v>
      </c>
      <c r="V449" s="1377">
        <v>2</v>
      </c>
      <c r="W449" s="23">
        <v>1</v>
      </c>
      <c r="X449" s="23">
        <v>1</v>
      </c>
      <c r="Y449" s="23">
        <v>2</v>
      </c>
    </row>
    <row r="450" spans="1:58" ht="12.75" customHeight="1" x14ac:dyDescent="0.2">
      <c r="A450" s="1426" t="s">
        <v>4977</v>
      </c>
      <c r="B450" s="1389" t="s">
        <v>3961</v>
      </c>
      <c r="C450" s="1398">
        <f t="shared" si="80"/>
        <v>3</v>
      </c>
      <c r="F450" s="926">
        <f t="shared" si="81"/>
        <v>3</v>
      </c>
      <c r="G450" s="23"/>
      <c r="H450" s="23"/>
      <c r="I450" s="23"/>
      <c r="J450" s="1377"/>
      <c r="K450" s="1377"/>
      <c r="L450" s="1377"/>
      <c r="M450" s="1377">
        <v>1</v>
      </c>
      <c r="N450" s="1377">
        <v>1</v>
      </c>
      <c r="O450" s="23"/>
      <c r="P450" s="23"/>
      <c r="Q450" s="23"/>
      <c r="R450" s="23">
        <v>1</v>
      </c>
      <c r="S450" s="23"/>
      <c r="T450" s="23"/>
      <c r="U450" s="23"/>
      <c r="V450" s="1377"/>
      <c r="W450" s="23"/>
      <c r="X450" s="23"/>
      <c r="Y450" s="23"/>
    </row>
    <row r="451" spans="1:58" ht="12.75" customHeight="1" x14ac:dyDescent="0.2">
      <c r="A451" s="1401" t="s">
        <v>3960</v>
      </c>
      <c r="B451" s="1371" t="s">
        <v>3961</v>
      </c>
      <c r="C451" s="1398">
        <f t="shared" si="80"/>
        <v>7</v>
      </c>
      <c r="F451" s="926">
        <f t="shared" si="81"/>
        <v>7</v>
      </c>
      <c r="G451" s="23"/>
      <c r="H451" s="23"/>
      <c r="I451" s="23"/>
      <c r="J451" s="23"/>
      <c r="K451" s="23"/>
      <c r="L451" s="23"/>
      <c r="M451" s="23">
        <v>1</v>
      </c>
      <c r="N451" s="23">
        <v>1</v>
      </c>
      <c r="O451" s="23"/>
      <c r="P451" s="23"/>
      <c r="Q451" s="23"/>
      <c r="R451" s="23">
        <v>1</v>
      </c>
      <c r="S451" s="23">
        <v>1</v>
      </c>
      <c r="T451" s="23"/>
      <c r="U451" s="23">
        <v>1</v>
      </c>
      <c r="V451" s="1377"/>
      <c r="W451" s="23">
        <v>1</v>
      </c>
      <c r="X451" s="23"/>
      <c r="Y451" s="23">
        <v>1</v>
      </c>
    </row>
    <row r="452" spans="1:58" ht="12.75" customHeight="1" x14ac:dyDescent="0.2">
      <c r="A452" s="1397" t="s">
        <v>2416</v>
      </c>
      <c r="B452" s="1370" t="s">
        <v>2417</v>
      </c>
      <c r="C452" s="1398">
        <f t="shared" si="80"/>
        <v>1</v>
      </c>
      <c r="F452" s="926">
        <f t="shared" si="81"/>
        <v>1</v>
      </c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1377"/>
      <c r="W452" s="23">
        <v>1</v>
      </c>
      <c r="X452" s="23"/>
      <c r="Y452" s="23"/>
    </row>
    <row r="453" spans="1:58" ht="12.75" customHeight="1" x14ac:dyDescent="0.2">
      <c r="A453" s="1397" t="s">
        <v>866</v>
      </c>
      <c r="B453" s="1370" t="s">
        <v>2417</v>
      </c>
      <c r="C453" s="1398">
        <f t="shared" si="80"/>
        <v>1</v>
      </c>
      <c r="F453" s="926">
        <f t="shared" si="81"/>
        <v>1</v>
      </c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1377"/>
      <c r="W453" s="23">
        <v>1</v>
      </c>
      <c r="X453" s="23"/>
      <c r="Y453" s="23"/>
    </row>
    <row r="454" spans="1:58" ht="12.75" customHeight="1" x14ac:dyDescent="0.2">
      <c r="A454" s="1491" t="s">
        <v>4893</v>
      </c>
      <c r="B454" s="1492" t="s">
        <v>4894</v>
      </c>
      <c r="C454" s="1398">
        <f t="shared" si="80"/>
        <v>2</v>
      </c>
      <c r="F454" s="926">
        <f t="shared" si="81"/>
        <v>2</v>
      </c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>
        <v>1</v>
      </c>
      <c r="X454" s="23">
        <v>1</v>
      </c>
      <c r="Y454" s="23"/>
    </row>
    <row r="455" spans="1:58" ht="12.75" customHeight="1" x14ac:dyDescent="0.2">
      <c r="A455" s="1491" t="s">
        <v>3033</v>
      </c>
      <c r="B455" s="1492" t="s">
        <v>12025</v>
      </c>
      <c r="C455" s="1398">
        <f t="shared" si="80"/>
        <v>19</v>
      </c>
      <c r="D455" s="1371"/>
      <c r="F455" s="926">
        <f t="shared" si="81"/>
        <v>2</v>
      </c>
      <c r="G455" s="1377"/>
      <c r="H455" s="1377"/>
      <c r="I455" s="1377"/>
      <c r="J455" s="1377"/>
      <c r="K455" s="1377"/>
      <c r="L455" s="1377">
        <v>17</v>
      </c>
      <c r="M455" s="1377">
        <v>2</v>
      </c>
      <c r="N455" s="1377"/>
      <c r="O455" s="1377"/>
      <c r="P455" s="1377"/>
      <c r="Q455" s="1377"/>
      <c r="R455" s="1377"/>
      <c r="S455" s="1377"/>
      <c r="T455" s="1377"/>
      <c r="U455" s="1377"/>
      <c r="V455" s="1377"/>
      <c r="W455" s="1377"/>
      <c r="X455" s="1377"/>
      <c r="Y455" s="1377"/>
      <c r="Z455" s="1371"/>
    </row>
    <row r="456" spans="1:58" ht="12.75" customHeight="1" x14ac:dyDescent="0.2">
      <c r="A456" s="1491" t="s">
        <v>4259</v>
      </c>
      <c r="B456" s="1492" t="s">
        <v>440</v>
      </c>
      <c r="C456" s="1398">
        <f t="shared" si="80"/>
        <v>1</v>
      </c>
      <c r="D456" s="1371"/>
      <c r="F456" s="926">
        <f t="shared" si="81"/>
        <v>1</v>
      </c>
      <c r="G456" s="1377"/>
      <c r="H456" s="1377"/>
      <c r="I456" s="1377"/>
      <c r="J456" s="1377"/>
      <c r="K456" s="1377"/>
      <c r="L456" s="1377"/>
      <c r="M456" s="1377"/>
      <c r="N456" s="1377"/>
      <c r="O456" s="1377"/>
      <c r="P456" s="1377"/>
      <c r="Q456" s="1377"/>
      <c r="R456" s="1377"/>
      <c r="S456" s="1377"/>
      <c r="T456" s="1377"/>
      <c r="U456" s="1377">
        <v>1</v>
      </c>
      <c r="V456" s="1377"/>
      <c r="W456" s="1377"/>
      <c r="X456" s="1377"/>
      <c r="Y456" s="1377"/>
      <c r="Z456" s="1371"/>
    </row>
    <row r="457" spans="1:58" ht="12.75" customHeight="1" x14ac:dyDescent="0.2">
      <c r="A457" s="1426" t="s">
        <v>4878</v>
      </c>
      <c r="B457" s="1389" t="s">
        <v>3250</v>
      </c>
      <c r="C457" s="1398">
        <f t="shared" si="80"/>
        <v>1</v>
      </c>
      <c r="F457" s="926">
        <f t="shared" si="81"/>
        <v>1</v>
      </c>
      <c r="G457" s="1377"/>
      <c r="H457" s="1377"/>
      <c r="I457" s="1377"/>
      <c r="J457" s="1377"/>
      <c r="K457" s="1377"/>
      <c r="L457" s="1377"/>
      <c r="M457" s="1377"/>
      <c r="N457" s="1377"/>
      <c r="O457" s="1377"/>
      <c r="P457" s="1377"/>
      <c r="Q457" s="1377"/>
      <c r="R457" s="1377"/>
      <c r="S457" s="1377"/>
      <c r="T457" s="1377"/>
      <c r="U457" s="1377"/>
      <c r="V457" s="1377"/>
      <c r="W457" s="1377">
        <v>1</v>
      </c>
      <c r="X457" s="1377"/>
      <c r="Y457" s="1377"/>
      <c r="Z457" s="1371"/>
    </row>
    <row r="458" spans="1:58" ht="12.75" customHeight="1" x14ac:dyDescent="0.2">
      <c r="A458" s="1426" t="s">
        <v>2929</v>
      </c>
      <c r="B458" s="1389" t="s">
        <v>68</v>
      </c>
      <c r="C458" s="1398">
        <f t="shared" si="80"/>
        <v>1</v>
      </c>
      <c r="F458" s="926">
        <f t="shared" si="81"/>
        <v>1</v>
      </c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>
        <v>1</v>
      </c>
      <c r="V458" s="23"/>
      <c r="W458" s="23"/>
      <c r="X458" s="23"/>
      <c r="Y458" s="23"/>
    </row>
    <row r="459" spans="1:58" ht="12.75" customHeight="1" x14ac:dyDescent="0.2">
      <c r="A459" s="1667"/>
      <c r="C459" s="1378">
        <f>SUM(C430:C458)</f>
        <v>172</v>
      </c>
      <c r="G459" s="28">
        <f>SUM(G429:G458)</f>
        <v>8</v>
      </c>
      <c r="H459" s="28">
        <f t="shared" ref="H459:Y459" si="82">SUM(H429:H458)</f>
        <v>2</v>
      </c>
      <c r="I459" s="28">
        <f t="shared" si="82"/>
        <v>2</v>
      </c>
      <c r="J459" s="28">
        <f t="shared" si="82"/>
        <v>7</v>
      </c>
      <c r="K459" s="28">
        <f t="shared" ref="K459" si="83">SUM(K429:K458)</f>
        <v>3</v>
      </c>
      <c r="L459" s="28">
        <f t="shared" si="82"/>
        <v>25</v>
      </c>
      <c r="M459" s="28">
        <f t="shared" si="82"/>
        <v>10</v>
      </c>
      <c r="N459" s="28">
        <f t="shared" si="82"/>
        <v>11</v>
      </c>
      <c r="O459" s="28">
        <f t="shared" si="82"/>
        <v>5</v>
      </c>
      <c r="P459" s="28">
        <f t="shared" si="82"/>
        <v>4</v>
      </c>
      <c r="Q459" s="28">
        <f t="shared" si="82"/>
        <v>4</v>
      </c>
      <c r="R459" s="28">
        <f t="shared" si="82"/>
        <v>8</v>
      </c>
      <c r="S459" s="28">
        <f t="shared" si="82"/>
        <v>11</v>
      </c>
      <c r="T459" s="28">
        <f t="shared" si="82"/>
        <v>3</v>
      </c>
      <c r="U459" s="28">
        <f t="shared" si="82"/>
        <v>8</v>
      </c>
      <c r="V459" s="28">
        <f t="shared" si="82"/>
        <v>6</v>
      </c>
      <c r="W459" s="28">
        <f t="shared" si="82"/>
        <v>18</v>
      </c>
      <c r="X459" s="28">
        <f t="shared" si="82"/>
        <v>26</v>
      </c>
      <c r="Y459" s="28">
        <f t="shared" si="82"/>
        <v>12</v>
      </c>
    </row>
    <row r="460" spans="1:58" s="107" customFormat="1" ht="12.75" customHeight="1" x14ac:dyDescent="0.2">
      <c r="A460" s="1667"/>
      <c r="B460" s="1371"/>
      <c r="C460" s="1398"/>
      <c r="D460"/>
      <c r="E460" s="1377">
        <f>COUNT(G460:Y460)</f>
        <v>19</v>
      </c>
      <c r="F460" s="41"/>
      <c r="G460" s="28">
        <f>COUNT(G429:G458)</f>
        <v>7</v>
      </c>
      <c r="H460" s="28">
        <f t="shared" ref="H460:Y460" si="84">COUNT(H429:H458)</f>
        <v>2</v>
      </c>
      <c r="I460" s="28">
        <f t="shared" si="84"/>
        <v>2</v>
      </c>
      <c r="J460" s="28">
        <f t="shared" si="84"/>
        <v>6</v>
      </c>
      <c r="K460" s="28">
        <f t="shared" ref="K460" si="85">COUNT(K429:K458)</f>
        <v>3</v>
      </c>
      <c r="L460" s="28">
        <f t="shared" si="84"/>
        <v>7</v>
      </c>
      <c r="M460" s="28">
        <f t="shared" si="84"/>
        <v>9</v>
      </c>
      <c r="N460" s="28">
        <f t="shared" si="84"/>
        <v>7</v>
      </c>
      <c r="O460" s="28">
        <f t="shared" si="84"/>
        <v>5</v>
      </c>
      <c r="P460" s="28">
        <f t="shared" si="84"/>
        <v>3</v>
      </c>
      <c r="Q460" s="28">
        <f t="shared" si="84"/>
        <v>4</v>
      </c>
      <c r="R460" s="28">
        <f t="shared" si="84"/>
        <v>7</v>
      </c>
      <c r="S460" s="28">
        <f t="shared" si="84"/>
        <v>9</v>
      </c>
      <c r="T460" s="28">
        <f t="shared" si="84"/>
        <v>2</v>
      </c>
      <c r="U460" s="28">
        <f t="shared" si="84"/>
        <v>6</v>
      </c>
      <c r="V460" s="28">
        <f t="shared" si="84"/>
        <v>5</v>
      </c>
      <c r="W460" s="28">
        <f t="shared" si="84"/>
        <v>12</v>
      </c>
      <c r="X460" s="28">
        <f t="shared" si="84"/>
        <v>9</v>
      </c>
      <c r="Y460" s="28">
        <f t="shared" si="84"/>
        <v>7</v>
      </c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</row>
    <row r="461" spans="1:58" s="107" customFormat="1" ht="12.75" customHeight="1" x14ac:dyDescent="0.25">
      <c r="A461" s="1667"/>
      <c r="B461" s="1371"/>
      <c r="C461" s="1398"/>
      <c r="D461"/>
      <c r="E461" s="1371"/>
      <c r="F461" s="41"/>
      <c r="G461" s="190" t="s">
        <v>999</v>
      </c>
      <c r="H461" s="190"/>
      <c r="I461" s="258" t="s">
        <v>6003</v>
      </c>
      <c r="J461" s="258"/>
      <c r="K461" s="258" t="s">
        <v>12713</v>
      </c>
      <c r="L461" s="565"/>
      <c r="M461" s="536" t="s">
        <v>1893</v>
      </c>
      <c r="N461" s="565"/>
      <c r="O461" s="565" t="s">
        <v>4544</v>
      </c>
      <c r="P461" s="565"/>
      <c r="Q461" s="538" t="s">
        <v>4397</v>
      </c>
      <c r="R461" s="565"/>
      <c r="S461" s="538" t="s">
        <v>8894</v>
      </c>
      <c r="T461" s="538"/>
      <c r="U461" s="538" t="s">
        <v>4556</v>
      </c>
      <c r="V461" s="565"/>
      <c r="W461" s="538" t="s">
        <v>11269</v>
      </c>
      <c r="X461" s="538"/>
      <c r="Y461" s="538" t="s">
        <v>992</v>
      </c>
      <c r="Z461" s="185"/>
      <c r="AA461"/>
      <c r="AB461" s="185"/>
      <c r="AC461" s="185"/>
      <c r="AD461" s="185"/>
      <c r="AE461" s="185"/>
      <c r="AF461" s="185"/>
      <c r="AG461" s="185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</row>
    <row r="462" spans="1:58" ht="12.75" customHeight="1" x14ac:dyDescent="0.25">
      <c r="A462" s="1667"/>
      <c r="C462" s="1398"/>
      <c r="G462" s="191"/>
      <c r="H462" s="247" t="s">
        <v>1783</v>
      </c>
      <c r="I462" s="191"/>
      <c r="J462" s="247" t="s">
        <v>4379</v>
      </c>
      <c r="K462" s="247"/>
      <c r="L462" s="539" t="s">
        <v>2830</v>
      </c>
      <c r="M462" s="539"/>
      <c r="N462" s="539" t="s">
        <v>4625</v>
      </c>
      <c r="O462" s="515"/>
      <c r="P462" s="515" t="s">
        <v>9620</v>
      </c>
      <c r="Q462" s="539"/>
      <c r="R462" s="539" t="s">
        <v>209</v>
      </c>
      <c r="S462" s="515"/>
      <c r="T462" s="539" t="s">
        <v>10276</v>
      </c>
      <c r="U462" s="539"/>
      <c r="V462" s="539" t="s">
        <v>559</v>
      </c>
      <c r="W462" s="539"/>
      <c r="X462" s="515" t="s">
        <v>5147</v>
      </c>
      <c r="Y462" s="539"/>
      <c r="Z462" s="185"/>
      <c r="AC462" s="185"/>
      <c r="AD462" s="185"/>
      <c r="AE462" s="185"/>
      <c r="AF462" s="185"/>
      <c r="AG462" s="185"/>
      <c r="AH462" s="185"/>
      <c r="AI462" s="185"/>
    </row>
    <row r="463" spans="1:58" ht="12.75" customHeight="1" x14ac:dyDescent="0.2">
      <c r="A463" s="1667"/>
      <c r="C463" s="1398"/>
      <c r="E463" s="1370"/>
      <c r="G463" s="1484">
        <f>Parks!L11</f>
        <v>36</v>
      </c>
      <c r="H463" s="1484">
        <f>Parks!L27</f>
        <v>125</v>
      </c>
      <c r="I463" s="1484">
        <f>Parks!L36</f>
        <v>109</v>
      </c>
      <c r="J463" s="1484">
        <f>Parks!L35</f>
        <v>325</v>
      </c>
      <c r="K463" s="1484" t="str">
        <f>Parks!L48</f>
        <v>500=</v>
      </c>
      <c r="L463" s="1484">
        <f>Parks!L79</f>
        <v>144</v>
      </c>
      <c r="M463" s="1484">
        <f>Parks!L78</f>
        <v>77</v>
      </c>
      <c r="N463" s="1484">
        <f>Parks!L85</f>
        <v>65</v>
      </c>
      <c r="O463" s="1484">
        <f>Parks!L51</f>
        <v>118</v>
      </c>
      <c r="P463" s="1484">
        <f>Parks!L102</f>
        <v>405</v>
      </c>
      <c r="Q463" s="1484">
        <f>Parks!L146</f>
        <v>126</v>
      </c>
      <c r="R463" s="1095">
        <f>Parks!L182</f>
        <v>50</v>
      </c>
      <c r="S463" s="1095">
        <f>Parks!L207</f>
        <v>8</v>
      </c>
      <c r="T463" s="1095">
        <f>Parks!L214</f>
        <v>430</v>
      </c>
      <c r="U463" s="1095">
        <f>Parks!L251</f>
        <v>59</v>
      </c>
      <c r="V463" s="1095">
        <f>Parks!L249</f>
        <v>85</v>
      </c>
      <c r="W463" s="1095">
        <f>Parks!L262</f>
        <v>22</v>
      </c>
      <c r="X463" s="1095">
        <f>Parks!L256</f>
        <v>46</v>
      </c>
      <c r="Y463" s="1095">
        <f>Parks!L284</f>
        <v>33</v>
      </c>
      <c r="Z463" s="479"/>
      <c r="AA463" s="479"/>
    </row>
    <row r="464" spans="1:58" ht="12.75" customHeight="1" x14ac:dyDescent="0.25">
      <c r="A464" s="1667"/>
      <c r="C464" s="1398"/>
      <c r="E464" s="1370"/>
      <c r="G464" s="478"/>
      <c r="H464" s="478"/>
      <c r="I464" s="478"/>
      <c r="J464" s="478"/>
      <c r="K464" s="478"/>
      <c r="L464" s="1406"/>
      <c r="M464" s="1406"/>
      <c r="N464" s="1406"/>
      <c r="O464" s="1418"/>
      <c r="P464" s="1418"/>
      <c r="Q464" s="1406"/>
      <c r="R464" s="1406"/>
      <c r="S464" s="1418"/>
      <c r="T464" s="1406"/>
      <c r="U464" s="1406"/>
      <c r="V464" s="1406"/>
      <c r="W464" s="1406"/>
      <c r="X464" s="1418"/>
      <c r="Y464" s="1406"/>
      <c r="Z464" s="364"/>
      <c r="AA464" s="185"/>
      <c r="AB464" s="185"/>
    </row>
    <row r="465" spans="1:31" ht="12.75" customHeight="1" x14ac:dyDescent="0.2">
      <c r="A465" s="1667"/>
      <c r="C465" s="1398"/>
      <c r="E465" s="1370"/>
      <c r="G465" s="2" t="s">
        <v>11992</v>
      </c>
      <c r="H465" s="2"/>
      <c r="I465" s="2"/>
      <c r="J465" s="2"/>
      <c r="K465" s="2"/>
      <c r="L465" s="2"/>
      <c r="M465" s="2"/>
      <c r="N465" s="2"/>
      <c r="O465" s="2"/>
      <c r="P465" s="2"/>
      <c r="T465" s="2" t="s">
        <v>11993</v>
      </c>
      <c r="V465" s="2"/>
      <c r="W465" s="2"/>
      <c r="AE465" s="2"/>
    </row>
    <row r="466" spans="1:31" ht="12.75" customHeight="1" x14ac:dyDescent="0.2">
      <c r="A466" s="1667"/>
      <c r="C466" s="1398"/>
      <c r="G466" s="560" t="s">
        <v>5130</v>
      </c>
      <c r="H466" s="553" t="s">
        <v>2438</v>
      </c>
      <c r="I466" s="560" t="s">
        <v>8133</v>
      </c>
      <c r="J466" s="200" t="s">
        <v>3126</v>
      </c>
      <c r="K466" s="201" t="s">
        <v>5129</v>
      </c>
      <c r="L466" s="200" t="s">
        <v>512</v>
      </c>
      <c r="M466" s="201" t="s">
        <v>4795</v>
      </c>
      <c r="N466" s="200" t="s">
        <v>1406</v>
      </c>
      <c r="O466" s="201" t="s">
        <v>3128</v>
      </c>
      <c r="P466" s="200" t="s">
        <v>1904</v>
      </c>
      <c r="Q466" s="540" t="s">
        <v>3129</v>
      </c>
      <c r="R466" s="577" t="s">
        <v>5127</v>
      </c>
      <c r="S466" s="540" t="s">
        <v>8053</v>
      </c>
      <c r="T466" s="577" t="s">
        <v>5677</v>
      </c>
      <c r="U466" s="540" t="s">
        <v>12311</v>
      </c>
      <c r="V466" s="577" t="s">
        <v>3602</v>
      </c>
      <c r="W466" s="540" t="s">
        <v>9356</v>
      </c>
      <c r="X466" s="577" t="s">
        <v>2088</v>
      </c>
      <c r="Y466" s="516" t="s">
        <v>3599</v>
      </c>
      <c r="Z466" s="107"/>
      <c r="AA466" s="42"/>
      <c r="AB466" s="80"/>
      <c r="AC466" s="80"/>
    </row>
    <row r="467" spans="1:31" ht="12.75" customHeight="1" x14ac:dyDescent="0.2">
      <c r="A467" s="1399" t="s">
        <v>4264</v>
      </c>
      <c r="B467" s="1376" t="s">
        <v>5239</v>
      </c>
      <c r="C467" s="1398">
        <f t="shared" ref="C467:C498" si="86">SUM(G467:Z467)</f>
        <v>3</v>
      </c>
      <c r="F467" s="926">
        <f t="shared" ref="F467:F498" si="87">COUNT(G467:Z467)</f>
        <v>3</v>
      </c>
      <c r="G467" s="462"/>
      <c r="H467" s="462"/>
      <c r="I467" s="462"/>
      <c r="J467" s="1441">
        <v>1</v>
      </c>
      <c r="K467" s="66"/>
      <c r="L467" s="66"/>
      <c r="M467" s="66"/>
      <c r="N467" s="66"/>
      <c r="O467" s="66"/>
      <c r="P467" s="66"/>
      <c r="Q467" s="36">
        <v>1</v>
      </c>
      <c r="R467" s="66"/>
      <c r="S467" s="36"/>
      <c r="T467" s="66"/>
      <c r="U467" s="66"/>
      <c r="V467" s="66"/>
      <c r="W467" s="1388">
        <v>1</v>
      </c>
      <c r="X467" s="66"/>
      <c r="Y467" s="66"/>
      <c r="Z467" s="107"/>
      <c r="AA467" s="42"/>
      <c r="AB467" s="80"/>
      <c r="AC467" s="80"/>
    </row>
    <row r="468" spans="1:31" ht="12.75" customHeight="1" x14ac:dyDescent="0.2">
      <c r="A468" s="1469" t="s">
        <v>4963</v>
      </c>
      <c r="B468" s="1466" t="s">
        <v>8339</v>
      </c>
      <c r="C468" s="1398">
        <f t="shared" si="86"/>
        <v>2</v>
      </c>
      <c r="F468" s="926">
        <f t="shared" si="87"/>
        <v>2</v>
      </c>
      <c r="G468" s="1393"/>
      <c r="H468" s="1393"/>
      <c r="I468" s="1393"/>
      <c r="J468" s="1388"/>
      <c r="K468" s="1441"/>
      <c r="L468" s="1441"/>
      <c r="M468" s="1441"/>
      <c r="N468" s="1441"/>
      <c r="O468" s="1441"/>
      <c r="P468" s="1441"/>
      <c r="Q468" s="1441">
        <v>1</v>
      </c>
      <c r="R468" s="66">
        <v>1</v>
      </c>
      <c r="S468" s="36"/>
      <c r="T468" s="66"/>
      <c r="U468" s="66"/>
      <c r="V468" s="66"/>
      <c r="W468" s="1441"/>
      <c r="X468" s="66"/>
      <c r="Y468" s="66"/>
      <c r="Z468" s="107"/>
      <c r="AA468" s="80" t="s">
        <v>12076</v>
      </c>
      <c r="AC468" s="80"/>
    </row>
    <row r="469" spans="1:31" ht="12.75" customHeight="1" x14ac:dyDescent="0.2">
      <c r="A469" s="1469" t="s">
        <v>4269</v>
      </c>
      <c r="B469" s="1466" t="s">
        <v>4270</v>
      </c>
      <c r="C469" s="1398">
        <f t="shared" si="86"/>
        <v>2</v>
      </c>
      <c r="F469" s="926">
        <f t="shared" si="87"/>
        <v>2</v>
      </c>
      <c r="G469" s="1393"/>
      <c r="H469" s="1393"/>
      <c r="I469" s="1393"/>
      <c r="J469" s="1388"/>
      <c r="K469" s="1441"/>
      <c r="L469" s="1441"/>
      <c r="M469" s="1441"/>
      <c r="N469" s="1441"/>
      <c r="O469" s="1441"/>
      <c r="P469" s="1441"/>
      <c r="Q469" s="1441">
        <v>1</v>
      </c>
      <c r="R469" s="1441"/>
      <c r="S469" s="1388"/>
      <c r="T469" s="1441"/>
      <c r="U469" s="1441"/>
      <c r="V469" s="1441">
        <v>1</v>
      </c>
      <c r="W469" s="1441"/>
      <c r="X469" s="66"/>
      <c r="Y469" s="66"/>
      <c r="Z469" s="107"/>
      <c r="AA469" s="80"/>
      <c r="AC469" s="80"/>
      <c r="AD469" s="80" t="s">
        <v>12077</v>
      </c>
    </row>
    <row r="470" spans="1:31" ht="12.75" customHeight="1" x14ac:dyDescent="0.2">
      <c r="A470" s="1511" t="s">
        <v>726</v>
      </c>
      <c r="B470" s="1375" t="s">
        <v>1295</v>
      </c>
      <c r="C470" s="1398">
        <f t="shared" si="86"/>
        <v>6</v>
      </c>
      <c r="F470" s="926">
        <f t="shared" si="87"/>
        <v>6</v>
      </c>
      <c r="G470" s="1393"/>
      <c r="H470" s="1393"/>
      <c r="I470" s="1393">
        <v>1</v>
      </c>
      <c r="J470" s="1388"/>
      <c r="K470" s="1441">
        <v>1</v>
      </c>
      <c r="L470" s="1441"/>
      <c r="M470" s="1441"/>
      <c r="N470" s="1441"/>
      <c r="O470" s="1441"/>
      <c r="P470" s="1441"/>
      <c r="Q470" s="1441">
        <v>1</v>
      </c>
      <c r="R470" s="1441"/>
      <c r="S470" s="1441">
        <v>1</v>
      </c>
      <c r="T470" s="1441">
        <v>1</v>
      </c>
      <c r="U470" s="1441"/>
      <c r="V470" s="1441"/>
      <c r="W470" s="1441">
        <v>1</v>
      </c>
      <c r="X470" s="66"/>
      <c r="Y470" s="66"/>
      <c r="Z470" s="107"/>
      <c r="AA470" s="42"/>
      <c r="AB470" s="42"/>
      <c r="AC470" s="107"/>
      <c r="AD470" s="107"/>
      <c r="AE470" s="42"/>
    </row>
    <row r="471" spans="1:31" ht="12.75" customHeight="1" x14ac:dyDescent="0.2">
      <c r="A471" s="1511" t="s">
        <v>3508</v>
      </c>
      <c r="B471" s="1375" t="s">
        <v>1295</v>
      </c>
      <c r="C471" s="1398">
        <f t="shared" si="86"/>
        <v>5</v>
      </c>
      <c r="F471" s="926">
        <f t="shared" si="87"/>
        <v>5</v>
      </c>
      <c r="G471" s="1393"/>
      <c r="H471" s="1393"/>
      <c r="I471" s="1393">
        <v>1</v>
      </c>
      <c r="J471" s="1388"/>
      <c r="K471" s="1441">
        <v>1</v>
      </c>
      <c r="L471" s="1441"/>
      <c r="M471" s="1441"/>
      <c r="N471" s="1441"/>
      <c r="O471" s="1441"/>
      <c r="P471" s="1441"/>
      <c r="Q471" s="1441">
        <v>1</v>
      </c>
      <c r="R471" s="1441"/>
      <c r="S471" s="1441">
        <v>1</v>
      </c>
      <c r="T471" s="1441"/>
      <c r="U471" s="1441"/>
      <c r="V471" s="1441"/>
      <c r="W471" s="1441">
        <v>1</v>
      </c>
      <c r="X471" s="66"/>
      <c r="Y471" s="66"/>
      <c r="Z471" s="107"/>
      <c r="AA471" s="42"/>
      <c r="AB471" s="42"/>
      <c r="AC471" s="107"/>
      <c r="AD471" s="107"/>
    </row>
    <row r="472" spans="1:31" ht="12.75" customHeight="1" x14ac:dyDescent="0.2">
      <c r="A472" s="1511" t="s">
        <v>3508</v>
      </c>
      <c r="B472" s="1375" t="s">
        <v>3632</v>
      </c>
      <c r="C472" s="1398">
        <f t="shared" si="86"/>
        <v>2</v>
      </c>
      <c r="F472" s="926">
        <f t="shared" si="87"/>
        <v>2</v>
      </c>
      <c r="G472" s="1393"/>
      <c r="H472" s="1393"/>
      <c r="I472" s="1393"/>
      <c r="J472" s="1388"/>
      <c r="K472" s="1441"/>
      <c r="L472" s="1441"/>
      <c r="M472" s="1441"/>
      <c r="N472" s="1441"/>
      <c r="O472" s="1441"/>
      <c r="P472" s="1441"/>
      <c r="Q472" s="1441"/>
      <c r="R472" s="1441">
        <v>1</v>
      </c>
      <c r="S472" s="1441"/>
      <c r="T472" s="1441">
        <v>1</v>
      </c>
      <c r="U472" s="1441"/>
      <c r="V472" s="1441"/>
      <c r="W472" s="1441"/>
      <c r="X472" s="66"/>
      <c r="Y472" s="66"/>
      <c r="Z472" s="107"/>
      <c r="AA472" s="42"/>
      <c r="AB472" s="42"/>
      <c r="AC472" s="107"/>
      <c r="AD472" s="107"/>
    </row>
    <row r="473" spans="1:31" ht="12.75" customHeight="1" x14ac:dyDescent="0.2">
      <c r="A473" s="1397" t="s">
        <v>2479</v>
      </c>
      <c r="B473" s="1370" t="s">
        <v>11025</v>
      </c>
      <c r="C473" s="1398">
        <f t="shared" si="86"/>
        <v>1</v>
      </c>
      <c r="F473" s="926">
        <f t="shared" si="87"/>
        <v>1</v>
      </c>
      <c r="G473" s="1393"/>
      <c r="H473" s="1393"/>
      <c r="I473" s="1393"/>
      <c r="J473" s="1388"/>
      <c r="K473" s="1441"/>
      <c r="L473" s="1441"/>
      <c r="M473" s="1441"/>
      <c r="N473" s="1441"/>
      <c r="O473" s="1441"/>
      <c r="P473" s="1441"/>
      <c r="Q473" s="1441"/>
      <c r="R473" s="1441"/>
      <c r="S473" s="1441"/>
      <c r="T473" s="1441">
        <v>1</v>
      </c>
      <c r="U473" s="1441"/>
      <c r="V473" s="1441"/>
      <c r="W473" s="1441"/>
      <c r="X473" s="66"/>
      <c r="Y473" s="66"/>
      <c r="Z473" s="107"/>
      <c r="AA473" s="42"/>
      <c r="AB473" s="42"/>
      <c r="AC473" s="107"/>
      <c r="AD473" s="107"/>
    </row>
    <row r="474" spans="1:31" ht="12.75" customHeight="1" x14ac:dyDescent="0.2">
      <c r="A474" s="1397" t="s">
        <v>3535</v>
      </c>
      <c r="B474" s="1370" t="s">
        <v>11025</v>
      </c>
      <c r="C474" s="1398">
        <f t="shared" si="86"/>
        <v>2</v>
      </c>
      <c r="F474" s="926">
        <f t="shared" si="87"/>
        <v>2</v>
      </c>
      <c r="G474" s="1393"/>
      <c r="H474" s="1393"/>
      <c r="I474" s="1393"/>
      <c r="J474" s="1388"/>
      <c r="K474" s="1441"/>
      <c r="L474" s="1441"/>
      <c r="M474" s="1441"/>
      <c r="N474" s="1441">
        <v>1</v>
      </c>
      <c r="O474" s="1441">
        <v>1</v>
      </c>
      <c r="P474" s="1441"/>
      <c r="Q474" s="1441"/>
      <c r="R474" s="1441"/>
      <c r="S474" s="1441"/>
      <c r="T474" s="1441"/>
      <c r="U474" s="1441"/>
      <c r="V474" s="1441"/>
      <c r="W474" s="1441"/>
      <c r="X474" s="66"/>
      <c r="Y474" s="66"/>
      <c r="Z474" s="107"/>
      <c r="AA474" s="42"/>
      <c r="AB474" s="42"/>
      <c r="AC474" s="107"/>
      <c r="AD474" s="107"/>
    </row>
    <row r="475" spans="1:31" ht="12.75" customHeight="1" x14ac:dyDescent="0.2">
      <c r="A475" s="1397" t="s">
        <v>3230</v>
      </c>
      <c r="B475" s="1375" t="s">
        <v>11625</v>
      </c>
      <c r="C475" s="1398">
        <f t="shared" si="86"/>
        <v>2</v>
      </c>
      <c r="F475" s="926">
        <f t="shared" si="87"/>
        <v>2</v>
      </c>
      <c r="G475" s="1393"/>
      <c r="H475" s="1393"/>
      <c r="I475" s="1393"/>
      <c r="J475" s="1388">
        <v>1</v>
      </c>
      <c r="K475" s="1441"/>
      <c r="L475" s="1441"/>
      <c r="M475" s="1441"/>
      <c r="N475" s="1441"/>
      <c r="O475" s="1441"/>
      <c r="P475" s="1441"/>
      <c r="Q475" s="1441"/>
      <c r="R475" s="1441"/>
      <c r="S475" s="1441"/>
      <c r="T475" s="1441"/>
      <c r="U475" s="1441"/>
      <c r="V475" s="1441"/>
      <c r="W475" s="1381">
        <v>1</v>
      </c>
      <c r="X475" s="66"/>
      <c r="Y475" s="66"/>
      <c r="Z475" s="107"/>
      <c r="AA475" s="42"/>
      <c r="AB475" s="42"/>
      <c r="AC475" s="107"/>
      <c r="AD475" s="107"/>
    </row>
    <row r="476" spans="1:31" ht="12.75" customHeight="1" x14ac:dyDescent="0.2">
      <c r="A476" s="1426" t="s">
        <v>3755</v>
      </c>
      <c r="B476" s="1389" t="s">
        <v>3799</v>
      </c>
      <c r="C476" s="1398">
        <f t="shared" si="86"/>
        <v>2</v>
      </c>
      <c r="F476" s="926">
        <f t="shared" si="87"/>
        <v>1</v>
      </c>
      <c r="G476" s="1393"/>
      <c r="H476" s="1393"/>
      <c r="I476" s="1393"/>
      <c r="J476" s="1388"/>
      <c r="K476" s="1441"/>
      <c r="L476" s="1441"/>
      <c r="M476" s="1441">
        <v>2</v>
      </c>
      <c r="N476" s="1441"/>
      <c r="O476" s="1441"/>
      <c r="P476" s="1441"/>
      <c r="Q476" s="1441"/>
      <c r="R476" s="1441"/>
      <c r="S476" s="1441"/>
      <c r="T476" s="1441"/>
      <c r="U476" s="1441"/>
      <c r="V476" s="1441"/>
      <c r="W476" s="1441"/>
      <c r="X476" s="66"/>
      <c r="Y476" s="66"/>
      <c r="Z476" s="107"/>
      <c r="AA476" s="42"/>
      <c r="AB476" s="42"/>
      <c r="AC476" s="107"/>
      <c r="AD476" s="107"/>
    </row>
    <row r="477" spans="1:31" ht="12.75" customHeight="1" x14ac:dyDescent="0.2">
      <c r="A477" s="1426" t="s">
        <v>5433</v>
      </c>
      <c r="B477" s="1389" t="s">
        <v>3799</v>
      </c>
      <c r="C477" s="1398">
        <f t="shared" si="86"/>
        <v>2</v>
      </c>
      <c r="F477" s="926">
        <f t="shared" si="87"/>
        <v>1</v>
      </c>
      <c r="G477" s="1393"/>
      <c r="H477" s="1393"/>
      <c r="I477" s="1393"/>
      <c r="J477" s="1388"/>
      <c r="K477" s="1441"/>
      <c r="L477" s="1441"/>
      <c r="M477" s="1441">
        <v>2</v>
      </c>
      <c r="N477" s="1441"/>
      <c r="O477" s="1441"/>
      <c r="P477" s="1441"/>
      <c r="Q477" s="1441"/>
      <c r="R477" s="1441"/>
      <c r="S477" s="1441"/>
      <c r="T477" s="1441"/>
      <c r="U477" s="1441"/>
      <c r="V477" s="1441"/>
      <c r="W477" s="1441"/>
      <c r="X477" s="66"/>
      <c r="Y477" s="66"/>
      <c r="Z477" s="107"/>
      <c r="AA477" s="42"/>
      <c r="AB477" s="42"/>
      <c r="AC477" s="107"/>
      <c r="AD477" s="107"/>
    </row>
    <row r="478" spans="1:31" ht="12.75" customHeight="1" x14ac:dyDescent="0.2">
      <c r="A478" s="1442" t="s">
        <v>922</v>
      </c>
      <c r="B478" s="1374" t="s">
        <v>1530</v>
      </c>
      <c r="C478" s="1398">
        <f t="shared" si="86"/>
        <v>1</v>
      </c>
      <c r="F478" s="926">
        <f t="shared" si="87"/>
        <v>1</v>
      </c>
      <c r="G478" s="1393"/>
      <c r="H478" s="1393"/>
      <c r="I478" s="1393"/>
      <c r="J478" s="1388"/>
      <c r="K478" s="1441"/>
      <c r="L478" s="1441"/>
      <c r="M478" s="1441"/>
      <c r="N478" s="1441"/>
      <c r="O478" s="1441"/>
      <c r="P478" s="1441"/>
      <c r="Q478" s="1441"/>
      <c r="R478" s="1441"/>
      <c r="S478" s="1441"/>
      <c r="T478" s="1441"/>
      <c r="U478" s="1441"/>
      <c r="V478" s="1441"/>
      <c r="W478" s="1441">
        <v>1</v>
      </c>
      <c r="X478" s="66"/>
      <c r="Y478" s="66"/>
      <c r="Z478" s="107"/>
      <c r="AA478" s="107"/>
      <c r="AB478" s="921"/>
      <c r="AC478" s="921"/>
      <c r="AD478" s="921"/>
    </row>
    <row r="479" spans="1:31" ht="12.75" customHeight="1" x14ac:dyDescent="0.2">
      <c r="A479" s="1397" t="s">
        <v>1796</v>
      </c>
      <c r="B479" s="1370" t="s">
        <v>1797</v>
      </c>
      <c r="C479" s="1398">
        <f t="shared" si="86"/>
        <v>1</v>
      </c>
      <c r="F479" s="926">
        <f t="shared" si="87"/>
        <v>1</v>
      </c>
      <c r="G479" s="1393">
        <v>1</v>
      </c>
      <c r="H479" s="1393"/>
      <c r="I479" s="1393"/>
      <c r="J479" s="1388"/>
      <c r="K479" s="1441"/>
      <c r="L479" s="1441"/>
      <c r="M479" s="1441"/>
      <c r="N479" s="1441"/>
      <c r="O479" s="1441"/>
      <c r="P479" s="1441"/>
      <c r="Q479" s="1441"/>
      <c r="R479" s="1441"/>
      <c r="S479" s="1441"/>
      <c r="T479" s="1441"/>
      <c r="U479" s="1441"/>
      <c r="V479" s="1441"/>
      <c r="W479" s="1441"/>
      <c r="X479" s="66"/>
      <c r="Y479" s="66"/>
      <c r="Z479" s="107"/>
      <c r="AA479" s="107"/>
      <c r="AB479" s="921"/>
      <c r="AC479" s="921"/>
      <c r="AD479" s="921"/>
    </row>
    <row r="480" spans="1:31" ht="12.75" customHeight="1" x14ac:dyDescent="0.2">
      <c r="A480" s="1401" t="s">
        <v>5980</v>
      </c>
      <c r="B480" s="1371" t="s">
        <v>4818</v>
      </c>
      <c r="C480" s="1398">
        <f t="shared" si="86"/>
        <v>2</v>
      </c>
      <c r="F480" s="926">
        <f t="shared" si="87"/>
        <v>2</v>
      </c>
      <c r="G480" s="1393"/>
      <c r="H480" s="1393"/>
      <c r="I480" s="1393"/>
      <c r="J480" s="1381"/>
      <c r="K480" s="1377"/>
      <c r="L480" s="1377">
        <v>1</v>
      </c>
      <c r="M480" s="1377"/>
      <c r="N480" s="1377"/>
      <c r="O480" s="1377">
        <v>1</v>
      </c>
      <c r="P480" s="1377"/>
      <c r="Q480" s="1377"/>
      <c r="R480" s="1377"/>
      <c r="S480" s="1377"/>
      <c r="T480" s="1377"/>
      <c r="U480" s="1377"/>
      <c r="V480" s="1377"/>
      <c r="W480" s="1377"/>
      <c r="X480" s="23"/>
      <c r="Y480" s="23"/>
      <c r="AA480" s="107"/>
      <c r="AB480" s="107"/>
      <c r="AC480" s="107"/>
      <c r="AD480" s="107"/>
    </row>
    <row r="481" spans="1:28" ht="12.75" customHeight="1" x14ac:dyDescent="0.2">
      <c r="A481" s="1401" t="s">
        <v>665</v>
      </c>
      <c r="B481" s="1371" t="s">
        <v>666</v>
      </c>
      <c r="C481" s="1398">
        <f t="shared" si="86"/>
        <v>30</v>
      </c>
      <c r="F481" s="926">
        <f t="shared" si="87"/>
        <v>18</v>
      </c>
      <c r="G481" s="1393">
        <v>1</v>
      </c>
      <c r="H481" s="1393">
        <v>1</v>
      </c>
      <c r="I481" s="1393">
        <v>1</v>
      </c>
      <c r="J481" s="1381">
        <v>1</v>
      </c>
      <c r="K481" s="1377">
        <v>1</v>
      </c>
      <c r="L481" s="1377">
        <v>3</v>
      </c>
      <c r="M481" s="1377">
        <v>1</v>
      </c>
      <c r="N481" s="1377">
        <v>1</v>
      </c>
      <c r="O481" s="1377">
        <v>8</v>
      </c>
      <c r="P481" s="1377">
        <v>1</v>
      </c>
      <c r="Q481" s="1377">
        <v>1</v>
      </c>
      <c r="R481" s="1377">
        <v>1</v>
      </c>
      <c r="S481" s="1377"/>
      <c r="T481" s="1377">
        <v>1</v>
      </c>
      <c r="U481" s="1377">
        <v>2</v>
      </c>
      <c r="V481" s="1377">
        <v>1</v>
      </c>
      <c r="W481" s="1377">
        <v>2</v>
      </c>
      <c r="X481" s="23">
        <v>2</v>
      </c>
      <c r="Y481" s="23">
        <v>1</v>
      </c>
    </row>
    <row r="482" spans="1:28" ht="12.75" customHeight="1" x14ac:dyDescent="0.2">
      <c r="A482" s="1397" t="s">
        <v>12797</v>
      </c>
      <c r="B482" s="1660" t="s">
        <v>12718</v>
      </c>
      <c r="C482" s="1398">
        <f t="shared" si="86"/>
        <v>3</v>
      </c>
      <c r="F482" s="926">
        <f t="shared" si="87"/>
        <v>1</v>
      </c>
      <c r="G482" s="1393"/>
      <c r="H482" s="1393"/>
      <c r="I482" s="1393"/>
      <c r="J482" s="1381"/>
      <c r="K482" s="1377">
        <v>3</v>
      </c>
      <c r="L482" s="1377"/>
      <c r="M482" s="1377"/>
      <c r="N482" s="1377"/>
      <c r="O482" s="1377"/>
      <c r="P482" s="1377"/>
      <c r="Q482" s="1377"/>
      <c r="R482" s="1377"/>
      <c r="S482" s="1377"/>
      <c r="T482" s="1377"/>
      <c r="U482" s="1377"/>
      <c r="V482" s="1377"/>
      <c r="W482" s="1377"/>
      <c r="X482" s="23"/>
      <c r="Y482" s="23"/>
    </row>
    <row r="483" spans="1:28" ht="12.75" customHeight="1" x14ac:dyDescent="0.2">
      <c r="A483" s="1397" t="s">
        <v>12758</v>
      </c>
      <c r="B483" s="1660" t="s">
        <v>12718</v>
      </c>
      <c r="C483" s="1398">
        <f t="shared" si="86"/>
        <v>3</v>
      </c>
      <c r="F483" s="926">
        <f t="shared" si="87"/>
        <v>1</v>
      </c>
      <c r="G483" s="1393"/>
      <c r="H483" s="1393"/>
      <c r="I483" s="1393"/>
      <c r="J483" s="1381"/>
      <c r="K483" s="1377">
        <v>3</v>
      </c>
      <c r="L483" s="1377"/>
      <c r="M483" s="1377"/>
      <c r="N483" s="1377"/>
      <c r="O483" s="1377"/>
      <c r="P483" s="1377"/>
      <c r="Q483" s="1377"/>
      <c r="R483" s="1377"/>
      <c r="S483" s="1377"/>
      <c r="T483" s="1377"/>
      <c r="U483" s="1377"/>
      <c r="V483" s="1377"/>
      <c r="W483" s="1377"/>
      <c r="X483" s="23"/>
      <c r="Y483" s="23"/>
    </row>
    <row r="484" spans="1:28" ht="12.75" customHeight="1" x14ac:dyDescent="0.2">
      <c r="A484" s="1397" t="s">
        <v>3014</v>
      </c>
      <c r="B484" s="1370" t="s">
        <v>3015</v>
      </c>
      <c r="C484" s="1398">
        <f t="shared" si="86"/>
        <v>12</v>
      </c>
      <c r="F484" s="926">
        <f t="shared" si="87"/>
        <v>3</v>
      </c>
      <c r="G484" s="1393"/>
      <c r="H484" s="1393"/>
      <c r="I484" s="1393"/>
      <c r="J484" s="1381">
        <v>3</v>
      </c>
      <c r="K484" s="1377"/>
      <c r="L484" s="1377"/>
      <c r="M484" s="1377"/>
      <c r="N484" s="1377"/>
      <c r="O484" s="1377"/>
      <c r="P484" s="1377"/>
      <c r="Q484" s="1377">
        <v>7</v>
      </c>
      <c r="R484" s="1377">
        <v>2</v>
      </c>
      <c r="S484" s="1377"/>
      <c r="T484" s="1377"/>
      <c r="U484" s="1377"/>
      <c r="V484" s="1377"/>
      <c r="W484" s="1377"/>
      <c r="X484" s="23"/>
      <c r="Y484" s="23"/>
    </row>
    <row r="485" spans="1:28" ht="12.75" customHeight="1" x14ac:dyDescent="0.2">
      <c r="A485" s="1397" t="s">
        <v>2342</v>
      </c>
      <c r="B485" s="1370" t="s">
        <v>2343</v>
      </c>
      <c r="C485" s="1398">
        <f t="shared" si="86"/>
        <v>1</v>
      </c>
      <c r="F485" s="926">
        <f t="shared" si="87"/>
        <v>1</v>
      </c>
      <c r="G485" s="1393"/>
      <c r="H485" s="1393"/>
      <c r="I485" s="1393"/>
      <c r="J485" s="1381"/>
      <c r="K485" s="1377"/>
      <c r="L485" s="1377"/>
      <c r="M485" s="1377"/>
      <c r="N485" s="1377"/>
      <c r="O485" s="1377"/>
      <c r="P485" s="1377"/>
      <c r="Q485" s="1377"/>
      <c r="R485" s="1377"/>
      <c r="S485" s="1377"/>
      <c r="T485" s="1377"/>
      <c r="U485" s="1377"/>
      <c r="V485" s="1377"/>
      <c r="W485" s="1377">
        <v>1</v>
      </c>
      <c r="X485" s="23"/>
      <c r="Y485" s="23"/>
    </row>
    <row r="486" spans="1:28" ht="12.75" customHeight="1" x14ac:dyDescent="0.2">
      <c r="A486" s="1442" t="s">
        <v>4561</v>
      </c>
      <c r="B486" s="1374" t="s">
        <v>4562</v>
      </c>
      <c r="C486" s="1398">
        <f t="shared" si="86"/>
        <v>7</v>
      </c>
      <c r="F486" s="926">
        <f t="shared" si="87"/>
        <v>7</v>
      </c>
      <c r="G486" s="1393">
        <v>1</v>
      </c>
      <c r="H486" s="1393"/>
      <c r="I486" s="1393"/>
      <c r="J486" s="1381">
        <v>1</v>
      </c>
      <c r="K486" s="1377"/>
      <c r="L486" s="1377"/>
      <c r="M486" s="1377"/>
      <c r="N486" s="1377">
        <v>1</v>
      </c>
      <c r="O486" s="1377"/>
      <c r="P486" s="1377"/>
      <c r="Q486" s="1377"/>
      <c r="R486" s="1377">
        <v>1</v>
      </c>
      <c r="S486" s="1377">
        <v>1</v>
      </c>
      <c r="T486" s="1377">
        <v>1</v>
      </c>
      <c r="U486" s="1377"/>
      <c r="V486" s="1377"/>
      <c r="W486" s="1377">
        <v>1</v>
      </c>
      <c r="X486" s="23"/>
      <c r="Y486" s="23"/>
    </row>
    <row r="487" spans="1:28" ht="12.75" customHeight="1" x14ac:dyDescent="0.2">
      <c r="A487" s="2015" t="s">
        <v>1798</v>
      </c>
      <c r="B487" s="2016" t="s">
        <v>17201</v>
      </c>
      <c r="C487" s="582">
        <f t="shared" si="86"/>
        <v>1</v>
      </c>
      <c r="F487" s="926">
        <f t="shared" si="87"/>
        <v>1</v>
      </c>
      <c r="G487" s="1393"/>
      <c r="H487" s="1393"/>
      <c r="I487" s="1393"/>
      <c r="J487" s="1381"/>
      <c r="K487" s="1377"/>
      <c r="L487" s="1377"/>
      <c r="M487" s="1377"/>
      <c r="N487" s="1377"/>
      <c r="O487" s="1377"/>
      <c r="P487" s="1377"/>
      <c r="Q487" s="1377"/>
      <c r="R487" s="1377"/>
      <c r="S487" s="1377"/>
      <c r="T487" s="1377"/>
      <c r="U487" s="1377"/>
      <c r="V487" s="1377">
        <v>1</v>
      </c>
      <c r="W487" s="1377"/>
      <c r="X487" s="23"/>
      <c r="Y487" s="23"/>
    </row>
    <row r="488" spans="1:28" ht="12.75" customHeight="1" x14ac:dyDescent="0.2">
      <c r="A488" s="1401" t="s">
        <v>5433</v>
      </c>
      <c r="B488" s="1371" t="s">
        <v>1795</v>
      </c>
      <c r="C488" s="1398">
        <f t="shared" si="86"/>
        <v>25</v>
      </c>
      <c r="F488" s="926">
        <f t="shared" si="87"/>
        <v>19</v>
      </c>
      <c r="G488" s="1393">
        <v>2</v>
      </c>
      <c r="H488" s="1393">
        <v>1</v>
      </c>
      <c r="I488" s="1393">
        <v>1</v>
      </c>
      <c r="J488" s="1381">
        <v>1</v>
      </c>
      <c r="K488" s="1377">
        <v>2</v>
      </c>
      <c r="L488" s="1377">
        <v>1</v>
      </c>
      <c r="M488" s="1377">
        <v>1</v>
      </c>
      <c r="N488" s="1377">
        <v>1</v>
      </c>
      <c r="O488" s="1377">
        <v>3</v>
      </c>
      <c r="P488" s="1377">
        <v>1</v>
      </c>
      <c r="Q488" s="1377">
        <v>2</v>
      </c>
      <c r="R488" s="1377">
        <v>1</v>
      </c>
      <c r="S488" s="1377">
        <v>1</v>
      </c>
      <c r="T488" s="1377">
        <v>2</v>
      </c>
      <c r="U488" s="1377">
        <v>1</v>
      </c>
      <c r="V488" s="1377">
        <v>1</v>
      </c>
      <c r="W488" s="1377">
        <v>1</v>
      </c>
      <c r="X488" s="23">
        <v>1</v>
      </c>
      <c r="Y488" s="23">
        <v>1</v>
      </c>
    </row>
    <row r="489" spans="1:28" ht="12.75" customHeight="1" x14ac:dyDescent="0.2">
      <c r="A489" s="1401" t="s">
        <v>3960</v>
      </c>
      <c r="B489" s="1371" t="s">
        <v>3961</v>
      </c>
      <c r="C489" s="1398">
        <f t="shared" si="86"/>
        <v>7</v>
      </c>
      <c r="F489" s="926">
        <f t="shared" si="87"/>
        <v>7</v>
      </c>
      <c r="G489" s="462"/>
      <c r="H489" s="462">
        <v>1</v>
      </c>
      <c r="I489" s="462"/>
      <c r="J489" s="1381"/>
      <c r="K489" s="1377"/>
      <c r="L489" s="1377">
        <v>1</v>
      </c>
      <c r="M489" s="1377"/>
      <c r="N489" s="1377"/>
      <c r="O489" s="1377">
        <v>1</v>
      </c>
      <c r="P489" s="1377"/>
      <c r="Q489" s="1377"/>
      <c r="R489" s="1377">
        <v>1</v>
      </c>
      <c r="S489" s="1377"/>
      <c r="T489" s="1377"/>
      <c r="U489" s="1377">
        <v>1</v>
      </c>
      <c r="V489" s="1377">
        <v>1</v>
      </c>
      <c r="W489" s="1377"/>
      <c r="X489" s="23"/>
      <c r="Y489" s="23">
        <v>1</v>
      </c>
    </row>
    <row r="490" spans="1:28" ht="12.75" customHeight="1" x14ac:dyDescent="0.2">
      <c r="A490" s="1401" t="s">
        <v>1308</v>
      </c>
      <c r="B490" s="1371" t="s">
        <v>1506</v>
      </c>
      <c r="C490" s="1398">
        <f t="shared" si="86"/>
        <v>45</v>
      </c>
      <c r="F490" s="926">
        <f t="shared" si="87"/>
        <v>1</v>
      </c>
      <c r="G490" s="462"/>
      <c r="H490" s="462"/>
      <c r="I490" s="462"/>
      <c r="J490" s="1381"/>
      <c r="K490" s="1377"/>
      <c r="L490" s="1377">
        <v>45</v>
      </c>
      <c r="M490" s="1377"/>
      <c r="N490" s="1377"/>
      <c r="O490" s="1377"/>
      <c r="P490" s="1377"/>
      <c r="Q490" s="1377"/>
      <c r="R490" s="1377"/>
      <c r="S490" s="1377"/>
      <c r="T490" s="1377"/>
      <c r="U490" s="1377"/>
      <c r="V490" s="1377"/>
      <c r="W490" s="1377"/>
      <c r="X490" s="23"/>
      <c r="Y490" s="23"/>
    </row>
    <row r="491" spans="1:28" ht="12.75" customHeight="1" x14ac:dyDescent="0.2">
      <c r="A491" s="1397" t="s">
        <v>3322</v>
      </c>
      <c r="B491" s="1660" t="s">
        <v>2417</v>
      </c>
      <c r="C491" s="1398">
        <f t="shared" si="86"/>
        <v>2</v>
      </c>
      <c r="F491" s="926">
        <f t="shared" si="87"/>
        <v>1</v>
      </c>
      <c r="G491" s="462"/>
      <c r="H491" s="462"/>
      <c r="I491" s="462"/>
      <c r="J491" s="1381"/>
      <c r="K491" s="1377">
        <v>2</v>
      </c>
      <c r="L491" s="1377"/>
      <c r="M491" s="1377"/>
      <c r="N491" s="1377"/>
      <c r="O491" s="1377"/>
      <c r="P491" s="1377"/>
      <c r="Q491" s="1377"/>
      <c r="R491" s="1377"/>
      <c r="S491" s="1377"/>
      <c r="T491" s="1377"/>
      <c r="U491" s="1377"/>
      <c r="V491" s="1377"/>
      <c r="W491" s="1377"/>
      <c r="X491" s="23"/>
      <c r="Y491" s="23"/>
    </row>
    <row r="492" spans="1:28" ht="12.75" customHeight="1" x14ac:dyDescent="0.2">
      <c r="A492" s="1397" t="s">
        <v>866</v>
      </c>
      <c r="B492" s="1660" t="s">
        <v>2417</v>
      </c>
      <c r="C492" s="1398">
        <f t="shared" si="86"/>
        <v>2</v>
      </c>
      <c r="F492" s="926">
        <f t="shared" si="87"/>
        <v>1</v>
      </c>
      <c r="G492" s="462"/>
      <c r="H492" s="462"/>
      <c r="I492" s="462"/>
      <c r="J492" s="1381"/>
      <c r="K492" s="1377">
        <v>2</v>
      </c>
      <c r="L492" s="1377"/>
      <c r="M492" s="1377"/>
      <c r="N492" s="1377"/>
      <c r="O492" s="1377"/>
      <c r="P492" s="1377"/>
      <c r="Q492" s="1377"/>
      <c r="R492" s="1377"/>
      <c r="S492" s="1377"/>
      <c r="T492" s="1377"/>
      <c r="U492" s="1377"/>
      <c r="V492" s="1377"/>
      <c r="W492" s="1377"/>
      <c r="X492" s="23"/>
      <c r="Y492" s="23"/>
    </row>
    <row r="493" spans="1:28" ht="12.75" customHeight="1" x14ac:dyDescent="0.2">
      <c r="A493" s="1426" t="s">
        <v>4893</v>
      </c>
      <c r="B493" s="1389" t="s">
        <v>4894</v>
      </c>
      <c r="C493" s="1398">
        <f t="shared" si="86"/>
        <v>1</v>
      </c>
      <c r="D493" s="1371"/>
      <c r="F493" s="926">
        <f t="shared" si="87"/>
        <v>1</v>
      </c>
      <c r="G493" s="462"/>
      <c r="H493" s="462"/>
      <c r="I493" s="462"/>
      <c r="J493" s="1381">
        <v>1</v>
      </c>
      <c r="K493" s="1377"/>
      <c r="L493" s="1377"/>
      <c r="M493" s="1377"/>
      <c r="N493" s="1377"/>
      <c r="O493" s="1377"/>
      <c r="P493" s="1377"/>
      <c r="Q493" s="1377"/>
      <c r="R493" s="1377"/>
      <c r="S493" s="1377"/>
      <c r="T493" s="1377"/>
      <c r="U493" s="1377"/>
      <c r="V493" s="1377"/>
      <c r="W493" s="1377"/>
      <c r="X493" s="23"/>
      <c r="Y493" s="23"/>
    </row>
    <row r="494" spans="1:28" ht="12.75" customHeight="1" x14ac:dyDescent="0.2">
      <c r="A494" s="1397" t="s">
        <v>3543</v>
      </c>
      <c r="B494" s="1370" t="s">
        <v>6122</v>
      </c>
      <c r="C494" s="1398">
        <f t="shared" si="86"/>
        <v>1</v>
      </c>
      <c r="D494" s="1371"/>
      <c r="F494" s="926">
        <f t="shared" si="87"/>
        <v>1</v>
      </c>
      <c r="G494" s="462"/>
      <c r="H494" s="462"/>
      <c r="I494" s="462"/>
      <c r="J494" s="1381"/>
      <c r="K494" s="1377"/>
      <c r="L494" s="1377"/>
      <c r="M494" s="1377"/>
      <c r="N494" s="1377"/>
      <c r="O494" s="1377"/>
      <c r="P494" s="1377"/>
      <c r="Q494" s="1377"/>
      <c r="R494" s="1377"/>
      <c r="S494" s="1377"/>
      <c r="T494" s="1377">
        <v>1</v>
      </c>
      <c r="U494" s="1377"/>
      <c r="V494" s="1377"/>
      <c r="W494" s="1377"/>
      <c r="X494" s="23"/>
      <c r="Y494" s="23"/>
    </row>
    <row r="495" spans="1:28" ht="12.75" customHeight="1" x14ac:dyDescent="0.2">
      <c r="A495" s="1511" t="s">
        <v>3033</v>
      </c>
      <c r="B495" s="1375" t="s">
        <v>12025</v>
      </c>
      <c r="C495" s="1398">
        <f t="shared" si="86"/>
        <v>8</v>
      </c>
      <c r="D495" s="1371"/>
      <c r="F495" s="926">
        <f t="shared" si="87"/>
        <v>2</v>
      </c>
      <c r="G495" s="1393"/>
      <c r="H495" s="1393"/>
      <c r="I495" s="1393"/>
      <c r="J495" s="1381">
        <v>2</v>
      </c>
      <c r="K495" s="1377"/>
      <c r="L495" s="1377"/>
      <c r="M495" s="1377"/>
      <c r="N495" s="1377"/>
      <c r="O495" s="1377"/>
      <c r="P495" s="1377"/>
      <c r="Q495" s="1377">
        <v>6</v>
      </c>
      <c r="R495" s="1377"/>
      <c r="S495" s="1377"/>
      <c r="T495" s="1377"/>
      <c r="U495" s="1377"/>
      <c r="V495" s="1377"/>
      <c r="W495" s="1377"/>
      <c r="X495" s="1377"/>
      <c r="Y495" s="1377"/>
    </row>
    <row r="496" spans="1:28" ht="12.75" customHeight="1" x14ac:dyDescent="0.2">
      <c r="A496" s="1397" t="s">
        <v>5433</v>
      </c>
      <c r="B496" s="1370" t="s">
        <v>7677</v>
      </c>
      <c r="C496" s="1398">
        <f t="shared" si="86"/>
        <v>29</v>
      </c>
      <c r="F496" s="926">
        <f t="shared" si="87"/>
        <v>1</v>
      </c>
      <c r="G496" s="462"/>
      <c r="H496" s="462"/>
      <c r="I496" s="462"/>
      <c r="J496" s="1381"/>
      <c r="K496" s="23"/>
      <c r="L496" s="23"/>
      <c r="M496" s="23"/>
      <c r="N496" s="23"/>
      <c r="O496" s="23"/>
      <c r="P496" s="23"/>
      <c r="Q496" s="1377">
        <v>29</v>
      </c>
      <c r="R496" s="1377"/>
      <c r="S496" s="1377"/>
      <c r="T496" s="1377"/>
      <c r="U496" s="1377"/>
      <c r="V496" s="1377"/>
      <c r="W496" s="1377"/>
      <c r="X496" s="23"/>
      <c r="Y496" s="23"/>
      <c r="AB496" s="80" t="s">
        <v>13255</v>
      </c>
    </row>
    <row r="497" spans="1:43" ht="12.75" customHeight="1" x14ac:dyDescent="0.2">
      <c r="A497" s="1426" t="s">
        <v>2929</v>
      </c>
      <c r="B497" s="1389" t="s">
        <v>68</v>
      </c>
      <c r="C497" s="1398">
        <f t="shared" si="86"/>
        <v>22</v>
      </c>
      <c r="F497" s="926">
        <f t="shared" si="87"/>
        <v>1</v>
      </c>
      <c r="G497" s="462"/>
      <c r="H497" s="462"/>
      <c r="I497" s="462"/>
      <c r="J497" s="1381"/>
      <c r="K497" s="23"/>
      <c r="L497" s="23"/>
      <c r="M497" s="23"/>
      <c r="N497" s="23">
        <v>22</v>
      </c>
      <c r="O497" s="23"/>
      <c r="P497" s="23"/>
      <c r="Q497" s="1377"/>
      <c r="R497" s="1377"/>
      <c r="S497" s="1377"/>
      <c r="T497" s="1377"/>
      <c r="U497" s="1377"/>
      <c r="V497" s="1377"/>
      <c r="W497" s="1377"/>
      <c r="X497" s="23"/>
      <c r="Y497" s="23"/>
      <c r="AC497" s="80"/>
    </row>
    <row r="498" spans="1:43" ht="12.75" customHeight="1" x14ac:dyDescent="0.2">
      <c r="A498" s="1399" t="s">
        <v>3535</v>
      </c>
      <c r="B498" s="1376" t="s">
        <v>4741</v>
      </c>
      <c r="C498" s="1398">
        <f t="shared" si="86"/>
        <v>3</v>
      </c>
      <c r="F498" s="926">
        <f t="shared" si="87"/>
        <v>3</v>
      </c>
      <c r="G498" s="462"/>
      <c r="H498" s="462"/>
      <c r="I498" s="462"/>
      <c r="J498" s="1381">
        <v>1</v>
      </c>
      <c r="K498" s="23"/>
      <c r="L498" s="23"/>
      <c r="M498" s="23"/>
      <c r="N498" s="23"/>
      <c r="O498" s="23"/>
      <c r="P498" s="23"/>
      <c r="Q498" s="1377">
        <v>1</v>
      </c>
      <c r="R498" s="1377"/>
      <c r="S498" s="1377"/>
      <c r="T498" s="1377"/>
      <c r="U498" s="1377"/>
      <c r="V498" s="1377"/>
      <c r="W498" s="1377">
        <v>1</v>
      </c>
      <c r="X498" s="23"/>
      <c r="Y498" s="23"/>
      <c r="AC498" s="80"/>
    </row>
    <row r="499" spans="1:43" ht="12.75" customHeight="1" x14ac:dyDescent="0.2">
      <c r="A499" s="1667"/>
      <c r="C499" s="1378">
        <f>SUM(C467:C498)</f>
        <v>235</v>
      </c>
      <c r="G499" s="28">
        <f t="shared" ref="G499:Y499" si="88">SUM(G467:G498)</f>
        <v>5</v>
      </c>
      <c r="H499" s="28">
        <f t="shared" si="88"/>
        <v>3</v>
      </c>
      <c r="I499" s="28">
        <f t="shared" si="88"/>
        <v>4</v>
      </c>
      <c r="J499" s="28">
        <f t="shared" si="88"/>
        <v>12</v>
      </c>
      <c r="K499" s="28">
        <f t="shared" si="88"/>
        <v>15</v>
      </c>
      <c r="L499" s="28">
        <f t="shared" si="88"/>
        <v>51</v>
      </c>
      <c r="M499" s="28">
        <f t="shared" si="88"/>
        <v>6</v>
      </c>
      <c r="N499" s="28">
        <f t="shared" si="88"/>
        <v>26</v>
      </c>
      <c r="O499" s="28">
        <f t="shared" si="88"/>
        <v>14</v>
      </c>
      <c r="P499" s="28">
        <f t="shared" si="88"/>
        <v>2</v>
      </c>
      <c r="Q499" s="28">
        <f t="shared" si="88"/>
        <v>51</v>
      </c>
      <c r="R499" s="28">
        <f t="shared" si="88"/>
        <v>8</v>
      </c>
      <c r="S499" s="28">
        <f t="shared" si="88"/>
        <v>4</v>
      </c>
      <c r="T499" s="28">
        <f t="shared" si="88"/>
        <v>8</v>
      </c>
      <c r="U499" s="28">
        <f t="shared" ref="U499" si="89">SUM(U467:U498)</f>
        <v>4</v>
      </c>
      <c r="V499" s="28">
        <f t="shared" si="88"/>
        <v>5</v>
      </c>
      <c r="W499" s="28">
        <f t="shared" si="88"/>
        <v>11</v>
      </c>
      <c r="X499" s="28">
        <f t="shared" si="88"/>
        <v>3</v>
      </c>
      <c r="Y499" s="28">
        <f t="shared" si="88"/>
        <v>3</v>
      </c>
      <c r="AC499" s="80"/>
      <c r="AQ499" s="107"/>
    </row>
    <row r="500" spans="1:43" ht="12.75" customHeight="1" x14ac:dyDescent="0.2">
      <c r="A500" s="1667"/>
      <c r="C500" s="1398"/>
      <c r="E500" s="1377">
        <f>COUNT(G500:Y500)</f>
        <v>19</v>
      </c>
      <c r="G500" s="28">
        <f t="shared" ref="G500:Y500" si="90">COUNT(G467:G498)</f>
        <v>4</v>
      </c>
      <c r="H500" s="28">
        <f t="shared" si="90"/>
        <v>3</v>
      </c>
      <c r="I500" s="28">
        <f t="shared" si="90"/>
        <v>4</v>
      </c>
      <c r="J500" s="28">
        <f t="shared" si="90"/>
        <v>9</v>
      </c>
      <c r="K500" s="28">
        <f t="shared" si="90"/>
        <v>8</v>
      </c>
      <c r="L500" s="28">
        <f t="shared" si="90"/>
        <v>5</v>
      </c>
      <c r="M500" s="28">
        <f t="shared" si="90"/>
        <v>4</v>
      </c>
      <c r="N500" s="28">
        <f t="shared" si="90"/>
        <v>5</v>
      </c>
      <c r="O500" s="28">
        <f t="shared" si="90"/>
        <v>5</v>
      </c>
      <c r="P500" s="28">
        <f t="shared" si="90"/>
        <v>2</v>
      </c>
      <c r="Q500" s="28">
        <f t="shared" si="90"/>
        <v>11</v>
      </c>
      <c r="R500" s="28">
        <f t="shared" si="90"/>
        <v>7</v>
      </c>
      <c r="S500" s="28">
        <f t="shared" si="90"/>
        <v>4</v>
      </c>
      <c r="T500" s="28">
        <f t="shared" si="90"/>
        <v>7</v>
      </c>
      <c r="U500" s="28">
        <f t="shared" ref="U500" si="91">COUNT(U467:U498)</f>
        <v>3</v>
      </c>
      <c r="V500" s="28">
        <f t="shared" si="90"/>
        <v>5</v>
      </c>
      <c r="W500" s="28">
        <f t="shared" si="90"/>
        <v>10</v>
      </c>
      <c r="X500" s="28">
        <f t="shared" si="90"/>
        <v>2</v>
      </c>
      <c r="Y500" s="28">
        <f t="shared" si="90"/>
        <v>3</v>
      </c>
      <c r="AQ500" s="107"/>
    </row>
    <row r="501" spans="1:43" ht="12.75" customHeight="1" x14ac:dyDescent="0.25">
      <c r="A501" s="1667"/>
      <c r="C501" s="1398"/>
      <c r="G501" s="41"/>
      <c r="H501" s="536" t="s">
        <v>6022</v>
      </c>
      <c r="I501" s="1036"/>
      <c r="J501" s="258" t="s">
        <v>3612</v>
      </c>
      <c r="K501" s="190"/>
      <c r="L501" s="190" t="s">
        <v>6019</v>
      </c>
      <c r="M501" s="190"/>
      <c r="N501" s="258" t="s">
        <v>1405</v>
      </c>
      <c r="O501" s="190"/>
      <c r="P501" s="305" t="s">
        <v>1627</v>
      </c>
      <c r="Q501" s="1338"/>
      <c r="R501" s="538" t="s">
        <v>6018</v>
      </c>
      <c r="S501" s="538"/>
      <c r="T501" s="536" t="s">
        <v>2827</v>
      </c>
      <c r="U501" s="536"/>
      <c r="V501" s="538" t="s">
        <v>420</v>
      </c>
      <c r="W501" s="538"/>
      <c r="X501" s="538" t="s">
        <v>3139</v>
      </c>
      <c r="Y501" s="565"/>
      <c r="Z501" s="364"/>
    </row>
    <row r="502" spans="1:43" ht="12.75" customHeight="1" x14ac:dyDescent="0.25">
      <c r="A502" s="1667"/>
      <c r="C502" s="1398"/>
      <c r="G502" s="1083" t="s">
        <v>6016</v>
      </c>
      <c r="H502" s="877"/>
      <c r="I502" s="535" t="s">
        <v>8111</v>
      </c>
      <c r="J502" s="191"/>
      <c r="K502" s="191" t="s">
        <v>5396</v>
      </c>
      <c r="L502" s="191"/>
      <c r="M502" s="191" t="s">
        <v>1805</v>
      </c>
      <c r="N502" s="191"/>
      <c r="O502" s="343" t="s">
        <v>6020</v>
      </c>
      <c r="P502" s="953"/>
      <c r="Q502" s="539" t="s">
        <v>6021</v>
      </c>
      <c r="R502" s="539"/>
      <c r="S502" s="539" t="s">
        <v>8186</v>
      </c>
      <c r="T502" s="515"/>
      <c r="U502" s="515" t="s">
        <v>12218</v>
      </c>
      <c r="V502" s="539"/>
      <c r="W502" s="539" t="s">
        <v>9304</v>
      </c>
      <c r="X502" s="558"/>
      <c r="Y502" s="539" t="s">
        <v>1780</v>
      </c>
      <c r="Z502" s="531"/>
    </row>
    <row r="503" spans="1:43" ht="12.75" customHeight="1" x14ac:dyDescent="0.2">
      <c r="A503" s="1667"/>
      <c r="C503" s="1398"/>
      <c r="G503" s="1078">
        <v>86</v>
      </c>
      <c r="H503" s="871">
        <v>99</v>
      </c>
      <c r="I503" s="871">
        <v>354</v>
      </c>
      <c r="J503" s="870">
        <v>101</v>
      </c>
      <c r="K503" s="479">
        <v>93</v>
      </c>
      <c r="L503" s="479">
        <v>20</v>
      </c>
      <c r="M503" s="479">
        <v>162</v>
      </c>
      <c r="N503" s="479">
        <v>140</v>
      </c>
      <c r="O503" s="479">
        <v>51</v>
      </c>
      <c r="P503" s="479">
        <v>175</v>
      </c>
      <c r="Q503" s="1095">
        <f>Parks!L454</f>
        <v>169</v>
      </c>
      <c r="R503" s="479">
        <v>81</v>
      </c>
      <c r="S503" s="479">
        <v>350</v>
      </c>
      <c r="T503" s="479">
        <v>73</v>
      </c>
      <c r="U503" s="1095">
        <f>Parks!L529</f>
        <v>486</v>
      </c>
      <c r="V503" s="479">
        <v>48</v>
      </c>
      <c r="W503" s="1095">
        <f>Parks!L563</f>
        <v>399</v>
      </c>
      <c r="X503" s="479">
        <v>53</v>
      </c>
      <c r="Y503" s="479">
        <v>105</v>
      </c>
      <c r="Z503" s="479"/>
    </row>
    <row r="504" spans="1:43" ht="12.75" customHeight="1" x14ac:dyDescent="0.25">
      <c r="A504" s="1667"/>
      <c r="C504" s="1398"/>
      <c r="G504" s="1078"/>
      <c r="H504" s="871"/>
      <c r="I504" s="871"/>
      <c r="J504" s="870"/>
      <c r="K504" s="479"/>
      <c r="L504" s="479"/>
      <c r="M504" s="479"/>
      <c r="N504" s="479"/>
      <c r="O504" s="479"/>
      <c r="P504" s="479"/>
      <c r="Q504" s="479"/>
      <c r="R504" s="364"/>
      <c r="S504" s="364"/>
      <c r="T504" s="430"/>
      <c r="U504" s="364"/>
      <c r="V504" s="364"/>
      <c r="W504" s="364"/>
      <c r="X504" s="410"/>
      <c r="Y504" s="364"/>
    </row>
    <row r="505" spans="1:43" ht="12.75" customHeight="1" x14ac:dyDescent="0.25">
      <c r="A505" s="1667"/>
      <c r="B505" s="1372"/>
      <c r="C505" s="1398"/>
      <c r="F505"/>
      <c r="G505" s="70" t="s">
        <v>13244</v>
      </c>
      <c r="H505" s="7"/>
      <c r="I505" s="7"/>
      <c r="J505" s="7"/>
      <c r="K505" s="7"/>
      <c r="L505" s="1149"/>
      <c r="M505" s="1149"/>
      <c r="N505" s="1149"/>
      <c r="O505" s="1149"/>
      <c r="P505" s="1149"/>
      <c r="Q505" s="1149"/>
      <c r="R505" s="1149"/>
      <c r="S505" s="1149"/>
      <c r="T505" s="1149"/>
      <c r="U505" s="364"/>
      <c r="V505" s="364"/>
      <c r="W505" s="364"/>
      <c r="X505" s="185"/>
      <c r="Y505" s="185"/>
    </row>
    <row r="506" spans="1:43" ht="12.75" customHeight="1" x14ac:dyDescent="0.25">
      <c r="A506" s="1667"/>
      <c r="B506" s="1372"/>
      <c r="C506" s="1398"/>
      <c r="F506"/>
      <c r="G506" s="97" t="s">
        <v>11986</v>
      </c>
      <c r="H506" s="7"/>
      <c r="I506" s="7"/>
      <c r="J506" s="7"/>
      <c r="K506" s="7"/>
      <c r="L506" s="1149"/>
      <c r="M506" s="1149"/>
      <c r="N506" s="1149"/>
      <c r="O506" s="1149"/>
      <c r="P506" s="1149"/>
      <c r="Q506" s="1149"/>
      <c r="R506" s="1149"/>
      <c r="S506" s="1149"/>
      <c r="T506" s="1149"/>
      <c r="U506" s="364"/>
      <c r="V506" s="364"/>
      <c r="W506" s="364"/>
      <c r="X506" s="185"/>
      <c r="Y506" s="185"/>
      <c r="AQ506" s="364"/>
    </row>
    <row r="507" spans="1:43" ht="12.75" customHeight="1" x14ac:dyDescent="0.2">
      <c r="C507" s="1371"/>
      <c r="F507"/>
    </row>
    <row r="508" spans="1:43" ht="12.75" customHeight="1" thickBot="1" x14ac:dyDescent="0.25">
      <c r="A508" s="1446"/>
      <c r="C508" s="1398"/>
      <c r="F508" s="244"/>
      <c r="G508" s="2" t="s">
        <v>4449</v>
      </c>
      <c r="H508" s="2"/>
      <c r="I508" s="2"/>
      <c r="J508" s="2"/>
      <c r="K508" s="2"/>
      <c r="L508" s="2"/>
      <c r="M508" s="2"/>
      <c r="N508" s="2"/>
      <c r="O508" s="460" t="s">
        <v>3955</v>
      </c>
      <c r="P508" s="460"/>
      <c r="Q508" s="2"/>
      <c r="R508" s="2"/>
      <c r="S508" s="2"/>
      <c r="T508" s="2"/>
      <c r="U508" s="2"/>
      <c r="V508" s="2"/>
      <c r="Y508" s="1315"/>
      <c r="Z508" s="1316"/>
      <c r="AA508" s="151"/>
      <c r="AB508" s="2"/>
      <c r="AC508" s="41"/>
      <c r="AD508" s="41"/>
    </row>
    <row r="509" spans="1:43" ht="12.75" customHeight="1" x14ac:dyDescent="0.2">
      <c r="A509" s="1446"/>
      <c r="C509" s="1398"/>
      <c r="E509" s="1390"/>
      <c r="F509" s="244"/>
      <c r="G509" s="256" t="s">
        <v>5119</v>
      </c>
      <c r="H509" s="613" t="s">
        <v>9749</v>
      </c>
      <c r="I509" s="1017" t="s">
        <v>9468</v>
      </c>
      <c r="J509" s="613" t="s">
        <v>8997</v>
      </c>
      <c r="K509" s="611" t="s">
        <v>722</v>
      </c>
      <c r="L509" s="1516" t="s">
        <v>12513</v>
      </c>
      <c r="M509" s="612" t="s">
        <v>361</v>
      </c>
      <c r="N509" s="42"/>
      <c r="O509" s="1146" t="s">
        <v>5007</v>
      </c>
      <c r="P509" s="1312" t="s">
        <v>9017</v>
      </c>
      <c r="Q509" s="1017" t="s">
        <v>903</v>
      </c>
      <c r="R509" s="613" t="s">
        <v>5274</v>
      </c>
      <c r="S509" s="1313" t="s">
        <v>8156</v>
      </c>
      <c r="T509" s="613" t="s">
        <v>11008</v>
      </c>
      <c r="U509" s="1017" t="s">
        <v>9139</v>
      </c>
      <c r="V509" s="614" t="s">
        <v>3417</v>
      </c>
      <c r="W509" s="611" t="s">
        <v>1620</v>
      </c>
      <c r="X509" s="614" t="s">
        <v>1927</v>
      </c>
      <c r="Y509" s="1079" t="s">
        <v>1323</v>
      </c>
      <c r="Z509" s="1145" t="s">
        <v>8447</v>
      </c>
      <c r="AA509" s="42"/>
      <c r="AB509" s="57"/>
      <c r="AC509" s="57"/>
      <c r="AD509" s="42"/>
      <c r="AE509" s="42"/>
      <c r="AF509" s="42"/>
      <c r="AG509" s="41"/>
    </row>
    <row r="510" spans="1:43" ht="12.75" customHeight="1" x14ac:dyDescent="0.2">
      <c r="A510" s="1397" t="s">
        <v>481</v>
      </c>
      <c r="B510" s="1370" t="s">
        <v>4575</v>
      </c>
      <c r="C510" s="1398">
        <f t="shared" ref="C510:C537" si="92">SUM(G510:Z510)</f>
        <v>5</v>
      </c>
      <c r="E510" s="1390"/>
      <c r="F510" s="976">
        <f t="shared" ref="F510:F528" si="93">COUNT(G510:AG510)</f>
        <v>2</v>
      </c>
      <c r="G510" s="860"/>
      <c r="H510" s="966"/>
      <c r="I510" s="966"/>
      <c r="J510" s="966">
        <v>1</v>
      </c>
      <c r="K510" s="474"/>
      <c r="L510" s="1306"/>
      <c r="M510" s="475"/>
      <c r="N510" s="42"/>
      <c r="O510" s="36"/>
      <c r="P510" s="966"/>
      <c r="Q510" s="966"/>
      <c r="R510" s="966"/>
      <c r="S510" s="966"/>
      <c r="T510" s="966"/>
      <c r="U510" s="966"/>
      <c r="V510" s="474"/>
      <c r="W510" s="474"/>
      <c r="X510" s="474">
        <v>4</v>
      </c>
      <c r="Y510" s="1306"/>
      <c r="Z510" s="36"/>
      <c r="AA510" s="42"/>
      <c r="AB510" s="42"/>
      <c r="AC510" s="42"/>
      <c r="AD510" s="42"/>
      <c r="AE510" s="42"/>
      <c r="AF510" s="42"/>
      <c r="AG510" s="41"/>
    </row>
    <row r="511" spans="1:43" ht="12.75" customHeight="1" x14ac:dyDescent="0.2">
      <c r="A511" s="1446" t="s">
        <v>3251</v>
      </c>
      <c r="B511" s="1371" t="s">
        <v>3252</v>
      </c>
      <c r="C511" s="1398">
        <f t="shared" si="92"/>
        <v>2</v>
      </c>
      <c r="E511" s="1390"/>
      <c r="F511" s="976">
        <f t="shared" si="93"/>
        <v>1</v>
      </c>
      <c r="G511" s="860"/>
      <c r="H511" s="966"/>
      <c r="I511" s="966"/>
      <c r="J511" s="966"/>
      <c r="K511" s="474"/>
      <c r="L511" s="1306"/>
      <c r="M511" s="475"/>
      <c r="N511" s="42"/>
      <c r="O511" s="36"/>
      <c r="P511" s="966"/>
      <c r="Q511" s="966"/>
      <c r="R511" s="966"/>
      <c r="S511" s="966"/>
      <c r="T511" s="966"/>
      <c r="U511" s="966"/>
      <c r="V511" s="474"/>
      <c r="W511" s="474"/>
      <c r="X511" s="474"/>
      <c r="Y511" s="1872">
        <v>2</v>
      </c>
      <c r="Z511" s="36"/>
      <c r="AA511" s="42"/>
      <c r="AB511" s="1160" t="s">
        <v>11131</v>
      </c>
      <c r="AC511" s="1160"/>
      <c r="AD511" s="42"/>
      <c r="AE511" s="42"/>
      <c r="AF511" s="42"/>
      <c r="AG511" s="41"/>
      <c r="AH511" s="80"/>
      <c r="AI511" s="80"/>
    </row>
    <row r="512" spans="1:43" ht="12.75" customHeight="1" x14ac:dyDescent="0.2">
      <c r="A512" s="1397" t="s">
        <v>260</v>
      </c>
      <c r="B512" s="1370" t="s">
        <v>7907</v>
      </c>
      <c r="C512" s="1398">
        <f t="shared" si="92"/>
        <v>1</v>
      </c>
      <c r="E512" s="1390"/>
      <c r="F512" s="976">
        <f t="shared" si="93"/>
        <v>1</v>
      </c>
      <c r="G512" s="860"/>
      <c r="H512" s="966"/>
      <c r="I512" s="966"/>
      <c r="J512" s="966"/>
      <c r="K512" s="474"/>
      <c r="L512" s="1306"/>
      <c r="M512" s="475"/>
      <c r="N512" s="42"/>
      <c r="O512" s="36"/>
      <c r="P512" s="966"/>
      <c r="Q512" s="966"/>
      <c r="R512" s="966"/>
      <c r="S512" s="966"/>
      <c r="T512" s="966"/>
      <c r="U512" s="966"/>
      <c r="V512" s="474"/>
      <c r="W512" s="474">
        <v>1</v>
      </c>
      <c r="X512" s="474"/>
      <c r="Y512" s="1306"/>
      <c r="Z512" s="36"/>
      <c r="AA512" s="42"/>
      <c r="AB512" s="1160"/>
      <c r="AC512" s="1160"/>
      <c r="AD512" s="42"/>
      <c r="AE512" s="42"/>
      <c r="AF512" s="42"/>
      <c r="AG512" s="41"/>
      <c r="AH512" s="80"/>
      <c r="AI512" s="80"/>
    </row>
    <row r="513" spans="1:35" ht="12.75" customHeight="1" x14ac:dyDescent="0.2">
      <c r="A513" s="1442" t="s">
        <v>4264</v>
      </c>
      <c r="B513" s="1374" t="s">
        <v>5239</v>
      </c>
      <c r="C513" s="1398">
        <f t="shared" si="92"/>
        <v>1</v>
      </c>
      <c r="E513" s="1390"/>
      <c r="F513" s="976">
        <f t="shared" si="93"/>
        <v>1</v>
      </c>
      <c r="G513" s="860"/>
      <c r="H513" s="966"/>
      <c r="I513" s="966"/>
      <c r="J513" s="966"/>
      <c r="K513" s="474"/>
      <c r="L513" s="1306"/>
      <c r="M513" s="475"/>
      <c r="N513" s="42"/>
      <c r="O513" s="36"/>
      <c r="P513" s="966"/>
      <c r="Q513" s="966"/>
      <c r="R513" s="966"/>
      <c r="S513" s="966"/>
      <c r="T513" s="1776">
        <v>1</v>
      </c>
      <c r="U513" s="966"/>
      <c r="V513" s="474"/>
      <c r="W513" s="474"/>
      <c r="X513" s="474"/>
      <c r="Y513" s="1306"/>
      <c r="Z513" s="36"/>
      <c r="AA513" s="42"/>
      <c r="AB513" s="1160"/>
      <c r="AC513" s="1160"/>
      <c r="AD513" s="42"/>
      <c r="AE513" s="42"/>
      <c r="AF513" s="42"/>
      <c r="AG513" s="41"/>
      <c r="AH513" s="80"/>
      <c r="AI513" s="80"/>
    </row>
    <row r="514" spans="1:35" ht="12.75" customHeight="1" x14ac:dyDescent="0.25">
      <c r="A514" s="1446" t="s">
        <v>922</v>
      </c>
      <c r="B514" s="1371" t="s">
        <v>5956</v>
      </c>
      <c r="C514" s="1398">
        <f t="shared" si="92"/>
        <v>3</v>
      </c>
      <c r="F514" s="976">
        <f t="shared" si="93"/>
        <v>1</v>
      </c>
      <c r="G514" s="405"/>
      <c r="H514" s="198"/>
      <c r="I514" s="198"/>
      <c r="J514" s="198"/>
      <c r="K514" s="23"/>
      <c r="L514" s="344"/>
      <c r="M514" s="406"/>
      <c r="O514" s="23"/>
      <c r="P514" s="198"/>
      <c r="Q514" s="198"/>
      <c r="R514" s="198"/>
      <c r="S514" s="198"/>
      <c r="T514" s="198"/>
      <c r="U514" s="198"/>
      <c r="V514" s="23"/>
      <c r="W514" s="23"/>
      <c r="X514" s="23"/>
      <c r="Y514" s="344">
        <v>3</v>
      </c>
      <c r="Z514" s="23"/>
      <c r="AD514" s="185"/>
      <c r="AE514" s="41"/>
      <c r="AF514" s="41"/>
      <c r="AG514" s="41"/>
    </row>
    <row r="515" spans="1:35" ht="12.75" customHeight="1" x14ac:dyDescent="0.25">
      <c r="A515" s="1425" t="s">
        <v>4269</v>
      </c>
      <c r="B515" s="1410" t="s">
        <v>4270</v>
      </c>
      <c r="C515" s="1398">
        <f t="shared" si="92"/>
        <v>2</v>
      </c>
      <c r="F515" s="976">
        <f t="shared" si="93"/>
        <v>2</v>
      </c>
      <c r="G515" s="405"/>
      <c r="H515" s="198"/>
      <c r="I515" s="198"/>
      <c r="J515" s="198"/>
      <c r="K515" s="23"/>
      <c r="L515" s="344"/>
      <c r="M515" s="406"/>
      <c r="O515" s="23"/>
      <c r="P515" s="198"/>
      <c r="Q515" s="198"/>
      <c r="R515" s="198"/>
      <c r="S515" s="198"/>
      <c r="T515" s="198"/>
      <c r="U515" s="198"/>
      <c r="V515" s="23">
        <v>1</v>
      </c>
      <c r="W515" s="23">
        <v>1</v>
      </c>
      <c r="X515" s="23"/>
      <c r="Y515" s="344"/>
      <c r="Z515" s="23"/>
      <c r="AB515" s="414"/>
      <c r="AD515" s="185"/>
      <c r="AE515" s="41"/>
      <c r="AF515" s="41"/>
      <c r="AG515" s="41"/>
    </row>
    <row r="516" spans="1:35" ht="12.75" customHeight="1" x14ac:dyDescent="0.25">
      <c r="A516" s="1425" t="s">
        <v>726</v>
      </c>
      <c r="B516" s="1410" t="s">
        <v>1295</v>
      </c>
      <c r="C516" s="1398">
        <f t="shared" si="92"/>
        <v>2</v>
      </c>
      <c r="F516" s="976">
        <f t="shared" si="93"/>
        <v>2</v>
      </c>
      <c r="G516" s="405"/>
      <c r="H516" s="198"/>
      <c r="I516" s="198"/>
      <c r="J516" s="198"/>
      <c r="K516" s="23"/>
      <c r="L516" s="344"/>
      <c r="M516" s="406"/>
      <c r="O516" s="23"/>
      <c r="P516" s="198"/>
      <c r="Q516" s="198"/>
      <c r="R516" s="198"/>
      <c r="S516" s="198"/>
      <c r="T516" s="1628">
        <v>1</v>
      </c>
      <c r="U516" s="198"/>
      <c r="V516" s="23"/>
      <c r="W516" s="23"/>
      <c r="X516" s="23"/>
      <c r="Y516" s="344">
        <v>1</v>
      </c>
      <c r="Z516" s="23"/>
      <c r="AB516" s="80"/>
      <c r="AD516" s="185"/>
      <c r="AE516" s="41"/>
      <c r="AF516" s="41"/>
      <c r="AG516" s="41"/>
    </row>
    <row r="517" spans="1:35" ht="12.75" customHeight="1" x14ac:dyDescent="0.25">
      <c r="A517" s="1511" t="s">
        <v>3508</v>
      </c>
      <c r="B517" s="1375" t="s">
        <v>1295</v>
      </c>
      <c r="C517" s="1398">
        <f t="shared" si="92"/>
        <v>2</v>
      </c>
      <c r="F517" s="976">
        <f t="shared" si="93"/>
        <v>2</v>
      </c>
      <c r="G517" s="405"/>
      <c r="H517" s="198"/>
      <c r="I517" s="198"/>
      <c r="J517" s="198"/>
      <c r="K517" s="23"/>
      <c r="L517" s="344"/>
      <c r="M517" s="406"/>
      <c r="O517" s="23"/>
      <c r="P517" s="198"/>
      <c r="Q517" s="198"/>
      <c r="R517" s="198"/>
      <c r="S517" s="198"/>
      <c r="T517" s="1628">
        <v>1</v>
      </c>
      <c r="U517" s="198"/>
      <c r="V517" s="23"/>
      <c r="W517" s="23"/>
      <c r="X517" s="23"/>
      <c r="Y517" s="344">
        <v>1</v>
      </c>
      <c r="Z517" s="23"/>
      <c r="AB517" s="80"/>
      <c r="AD517" s="185"/>
      <c r="AE517" s="41"/>
      <c r="AF517" s="41"/>
      <c r="AG517" s="41"/>
    </row>
    <row r="518" spans="1:35" ht="12.75" customHeight="1" x14ac:dyDescent="0.25">
      <c r="A518" s="1511" t="s">
        <v>3535</v>
      </c>
      <c r="B518" s="1375" t="s">
        <v>4619</v>
      </c>
      <c r="C518" s="1398">
        <f t="shared" si="92"/>
        <v>2</v>
      </c>
      <c r="F518" s="976">
        <f t="shared" si="93"/>
        <v>2</v>
      </c>
      <c r="G518" s="405"/>
      <c r="H518" s="198"/>
      <c r="I518" s="198"/>
      <c r="J518" s="198"/>
      <c r="K518" s="23"/>
      <c r="L518" s="344"/>
      <c r="M518" s="406"/>
      <c r="O518" s="23"/>
      <c r="P518" s="198"/>
      <c r="Q518" s="198"/>
      <c r="R518" s="198"/>
      <c r="S518" s="198"/>
      <c r="T518" s="198"/>
      <c r="U518" s="198"/>
      <c r="V518" s="23"/>
      <c r="W518" s="23"/>
      <c r="X518" s="23">
        <v>1</v>
      </c>
      <c r="Y518" s="344">
        <v>1</v>
      </c>
      <c r="Z518" s="23"/>
      <c r="AB518" s="80"/>
      <c r="AD518" s="185"/>
      <c r="AE518" s="41"/>
      <c r="AF518" s="41"/>
      <c r="AG518" s="41"/>
    </row>
    <row r="519" spans="1:35" ht="12.75" customHeight="1" x14ac:dyDescent="0.25">
      <c r="A519" s="1511" t="s">
        <v>922</v>
      </c>
      <c r="B519" s="1375" t="s">
        <v>1530</v>
      </c>
      <c r="C519" s="1398">
        <f t="shared" si="92"/>
        <v>1</v>
      </c>
      <c r="F519" s="976">
        <f t="shared" si="93"/>
        <v>1</v>
      </c>
      <c r="G519" s="405"/>
      <c r="H519" s="198"/>
      <c r="I519" s="198"/>
      <c r="J519" s="198"/>
      <c r="K519" s="23"/>
      <c r="L519" s="344"/>
      <c r="M519" s="406"/>
      <c r="O519" s="23"/>
      <c r="P519" s="198"/>
      <c r="Q519" s="198"/>
      <c r="R519" s="198"/>
      <c r="S519" s="198"/>
      <c r="T519" s="198"/>
      <c r="U519" s="198"/>
      <c r="V519" s="23"/>
      <c r="W519" s="23">
        <v>1</v>
      </c>
      <c r="X519" s="23"/>
      <c r="Y519" s="344"/>
      <c r="Z519" s="23"/>
      <c r="AB519" s="80"/>
      <c r="AD519" s="185"/>
      <c r="AE519" s="41"/>
      <c r="AF519" s="41"/>
      <c r="AG519" s="41"/>
    </row>
    <row r="520" spans="1:35" ht="12.75" customHeight="1" x14ac:dyDescent="0.25">
      <c r="A520" s="1425" t="s">
        <v>5980</v>
      </c>
      <c r="B520" s="1410" t="s">
        <v>4818</v>
      </c>
      <c r="C520" s="1398">
        <f>SUM(G520:Z520)</f>
        <v>7</v>
      </c>
      <c r="F520" s="976">
        <f t="shared" si="93"/>
        <v>6</v>
      </c>
      <c r="G520" s="1512">
        <v>2</v>
      </c>
      <c r="H520" s="1628"/>
      <c r="I520" s="1628"/>
      <c r="J520" s="1628">
        <v>1</v>
      </c>
      <c r="K520" s="1377">
        <v>1</v>
      </c>
      <c r="L520" s="1438"/>
      <c r="M520" s="1690">
        <v>1</v>
      </c>
      <c r="N520" s="1371"/>
      <c r="O520" s="1377"/>
      <c r="P520" s="1628"/>
      <c r="Q520" s="1628"/>
      <c r="R520" s="1628"/>
      <c r="S520" s="1691">
        <v>1</v>
      </c>
      <c r="T520" s="1628"/>
      <c r="U520" s="1628"/>
      <c r="V520" s="1377"/>
      <c r="W520" s="1377">
        <v>1</v>
      </c>
      <c r="X520" s="23"/>
      <c r="Y520" s="344"/>
      <c r="Z520" s="23"/>
      <c r="AB520" s="80" t="s">
        <v>11862</v>
      </c>
      <c r="AD520" s="185"/>
      <c r="AE520" s="41"/>
      <c r="AF520" s="41"/>
      <c r="AG520" s="41"/>
    </row>
    <row r="521" spans="1:35" ht="12.75" customHeight="1" x14ac:dyDescent="0.25">
      <c r="A521" s="1426" t="s">
        <v>435</v>
      </c>
      <c r="B521" s="1389" t="s">
        <v>1936</v>
      </c>
      <c r="C521" s="1398">
        <f t="shared" si="92"/>
        <v>1</v>
      </c>
      <c r="F521" s="976">
        <f t="shared" si="93"/>
        <v>1</v>
      </c>
      <c r="G521" s="405"/>
      <c r="H521" s="198"/>
      <c r="I521" s="198"/>
      <c r="J521" s="198"/>
      <c r="K521" s="23"/>
      <c r="L521" s="344"/>
      <c r="M521" s="406"/>
      <c r="O521" s="23">
        <v>1</v>
      </c>
      <c r="P521" s="198"/>
      <c r="Q521" s="198"/>
      <c r="R521" s="198"/>
      <c r="S521" s="1691"/>
      <c r="T521" s="1628"/>
      <c r="U521" s="1628"/>
      <c r="V521" s="1377"/>
      <c r="W521" s="1377"/>
      <c r="X521" s="1377"/>
      <c r="Y521" s="344"/>
      <c r="Z521" s="23"/>
      <c r="AD521" s="185"/>
      <c r="AE521" s="41"/>
      <c r="AF521" s="41"/>
      <c r="AG521" s="41"/>
    </row>
    <row r="522" spans="1:35" ht="12.75" customHeight="1" x14ac:dyDescent="0.25">
      <c r="A522" s="1446" t="s">
        <v>665</v>
      </c>
      <c r="B522" s="1371" t="s">
        <v>666</v>
      </c>
      <c r="C522" s="1398">
        <f t="shared" si="92"/>
        <v>21</v>
      </c>
      <c r="F522" s="976">
        <f t="shared" si="93"/>
        <v>18</v>
      </c>
      <c r="G522" s="405">
        <v>2</v>
      </c>
      <c r="H522" s="198"/>
      <c r="I522" s="198">
        <v>1</v>
      </c>
      <c r="J522" s="198">
        <v>1</v>
      </c>
      <c r="K522" s="23">
        <v>1</v>
      </c>
      <c r="L522" s="1438">
        <v>1</v>
      </c>
      <c r="M522" s="406">
        <v>1</v>
      </c>
      <c r="O522" s="23">
        <v>1</v>
      </c>
      <c r="P522" s="198">
        <v>1</v>
      </c>
      <c r="Q522" s="198">
        <v>1</v>
      </c>
      <c r="R522" s="198">
        <v>1</v>
      </c>
      <c r="S522" s="1691">
        <v>1</v>
      </c>
      <c r="T522" s="1628">
        <v>1</v>
      </c>
      <c r="U522" s="1628">
        <v>1</v>
      </c>
      <c r="V522" s="1377">
        <v>1</v>
      </c>
      <c r="W522" s="1377">
        <v>2</v>
      </c>
      <c r="X522" s="1377">
        <v>1</v>
      </c>
      <c r="Y522" s="1438">
        <v>2</v>
      </c>
      <c r="Z522" s="23">
        <v>1</v>
      </c>
      <c r="AE522" s="185"/>
      <c r="AF522" s="41"/>
      <c r="AG522" s="41"/>
      <c r="AH522" s="41"/>
      <c r="AI522" s="41"/>
    </row>
    <row r="523" spans="1:35" ht="12.75" customHeight="1" x14ac:dyDescent="0.25">
      <c r="A523" s="1397" t="s">
        <v>16702</v>
      </c>
      <c r="B523" s="1375" t="s">
        <v>16703</v>
      </c>
      <c r="C523" s="1398">
        <f t="shared" si="92"/>
        <v>1</v>
      </c>
      <c r="F523" s="976">
        <f t="shared" si="93"/>
        <v>1</v>
      </c>
      <c r="G523" s="405"/>
      <c r="H523" s="198"/>
      <c r="I523" s="198"/>
      <c r="J523" s="198"/>
      <c r="K523" s="23"/>
      <c r="L523" s="1438"/>
      <c r="M523" s="406"/>
      <c r="O523" s="23"/>
      <c r="P523" s="198"/>
      <c r="Q523" s="198"/>
      <c r="R523" s="198"/>
      <c r="S523" s="1691">
        <v>1</v>
      </c>
      <c r="T523" s="1628"/>
      <c r="U523" s="1628"/>
      <c r="V523" s="1377"/>
      <c r="W523" s="1377"/>
      <c r="X523" s="1377"/>
      <c r="Y523" s="1438"/>
      <c r="Z523" s="23"/>
      <c r="AE523" s="185"/>
      <c r="AF523" s="41"/>
      <c r="AG523" s="41"/>
      <c r="AH523" s="41"/>
      <c r="AI523" s="41"/>
    </row>
    <row r="524" spans="1:35" ht="12.75" customHeight="1" x14ac:dyDescent="0.25">
      <c r="A524" s="1446" t="s">
        <v>13403</v>
      </c>
      <c r="B524" s="1375" t="s">
        <v>13368</v>
      </c>
      <c r="C524" s="1398">
        <f t="shared" si="92"/>
        <v>28</v>
      </c>
      <c r="F524" s="976">
        <f t="shared" si="93"/>
        <v>2</v>
      </c>
      <c r="G524" s="405"/>
      <c r="H524" s="198"/>
      <c r="I524" s="198"/>
      <c r="J524" s="198"/>
      <c r="K524" s="23"/>
      <c r="L524" s="1438"/>
      <c r="M524" s="406"/>
      <c r="O524" s="23"/>
      <c r="P524" s="198"/>
      <c r="Q524" s="198">
        <v>2</v>
      </c>
      <c r="R524" s="198"/>
      <c r="S524" s="1691"/>
      <c r="T524" s="1628"/>
      <c r="U524" s="1628"/>
      <c r="V524" s="1377"/>
      <c r="W524" s="1377">
        <v>26</v>
      </c>
      <c r="X524" s="1377"/>
      <c r="Y524" s="1438"/>
      <c r="Z524" s="1377"/>
      <c r="AE524" s="185"/>
      <c r="AF524" s="41"/>
      <c r="AG524" s="41"/>
      <c r="AH524" s="41"/>
      <c r="AI524" s="41"/>
    </row>
    <row r="525" spans="1:35" ht="12.75" customHeight="1" x14ac:dyDescent="0.25">
      <c r="A525" s="1442" t="s">
        <v>2137</v>
      </c>
      <c r="B525" s="1374" t="s">
        <v>4943</v>
      </c>
      <c r="C525" s="1398">
        <f t="shared" si="92"/>
        <v>3</v>
      </c>
      <c r="F525" s="976">
        <f t="shared" si="93"/>
        <v>3</v>
      </c>
      <c r="G525" s="405"/>
      <c r="H525" s="198"/>
      <c r="I525" s="198"/>
      <c r="J525" s="198"/>
      <c r="K525" s="23"/>
      <c r="L525" s="344"/>
      <c r="M525" s="406"/>
      <c r="O525" s="23"/>
      <c r="P525" s="198"/>
      <c r="Q525" s="198"/>
      <c r="R525" s="198"/>
      <c r="S525" s="1691">
        <v>1</v>
      </c>
      <c r="T525" s="1628"/>
      <c r="U525" s="1628"/>
      <c r="V525" s="1377">
        <v>1</v>
      </c>
      <c r="W525" s="1377"/>
      <c r="X525" s="1377">
        <v>1</v>
      </c>
      <c r="Y525" s="1438"/>
      <c r="Z525" s="1377"/>
      <c r="AB525" s="80" t="s">
        <v>8516</v>
      </c>
      <c r="AE525" s="185"/>
      <c r="AF525" s="41"/>
      <c r="AG525" s="41"/>
      <c r="AH525" s="41"/>
      <c r="AI525" s="41"/>
    </row>
    <row r="526" spans="1:35" ht="12.75" customHeight="1" x14ac:dyDescent="0.25">
      <c r="A526" s="1397" t="s">
        <v>2478</v>
      </c>
      <c r="B526" s="1370" t="s">
        <v>2479</v>
      </c>
      <c r="C526" s="1398">
        <f t="shared" si="92"/>
        <v>1</v>
      </c>
      <c r="F526" s="976">
        <f t="shared" si="93"/>
        <v>1</v>
      </c>
      <c r="G526" s="405"/>
      <c r="H526" s="198"/>
      <c r="I526" s="198"/>
      <c r="J526" s="198"/>
      <c r="K526" s="23"/>
      <c r="L526" s="344"/>
      <c r="M526" s="406"/>
      <c r="O526" s="23"/>
      <c r="P526" s="198"/>
      <c r="Q526" s="198"/>
      <c r="R526" s="198"/>
      <c r="S526" s="1691"/>
      <c r="T526" s="1628"/>
      <c r="U526" s="1628"/>
      <c r="V526" s="1377"/>
      <c r="W526" s="1377"/>
      <c r="X526" s="1377"/>
      <c r="Y526" s="1438">
        <v>1</v>
      </c>
      <c r="Z526" s="1377"/>
      <c r="AB526" s="80"/>
      <c r="AE526" s="185"/>
      <c r="AF526" s="41"/>
      <c r="AG526" s="41"/>
      <c r="AH526" s="41"/>
      <c r="AI526" s="41"/>
    </row>
    <row r="527" spans="1:35" ht="12.75" customHeight="1" x14ac:dyDescent="0.25">
      <c r="A527" s="1446" t="s">
        <v>1794</v>
      </c>
      <c r="B527" s="1371" t="s">
        <v>1795</v>
      </c>
      <c r="C527" s="1398">
        <f t="shared" si="92"/>
        <v>11</v>
      </c>
      <c r="F527" s="976">
        <f t="shared" si="93"/>
        <v>10</v>
      </c>
      <c r="G527" s="405"/>
      <c r="H527" s="198"/>
      <c r="I527" s="1628">
        <v>1</v>
      </c>
      <c r="J527" s="1628">
        <v>1</v>
      </c>
      <c r="K527" s="23"/>
      <c r="L527" s="344"/>
      <c r="M527" s="406"/>
      <c r="O527" s="23">
        <v>1</v>
      </c>
      <c r="P527" s="198"/>
      <c r="Q527" s="198">
        <v>1</v>
      </c>
      <c r="R527" s="198">
        <v>1</v>
      </c>
      <c r="S527" s="1691">
        <v>1</v>
      </c>
      <c r="T527" s="1628">
        <v>2</v>
      </c>
      <c r="U527" s="1628"/>
      <c r="V527" s="1377">
        <v>1</v>
      </c>
      <c r="W527" s="1377">
        <v>1</v>
      </c>
      <c r="X527" s="1377">
        <v>1</v>
      </c>
      <c r="Y527" s="1438"/>
      <c r="Z527" s="1377"/>
      <c r="AB527" s="80" t="s">
        <v>11913</v>
      </c>
      <c r="AE527" s="185"/>
      <c r="AF527" s="41"/>
      <c r="AG527" s="41"/>
      <c r="AH527" s="41"/>
      <c r="AI527" s="41"/>
    </row>
    <row r="528" spans="1:35" ht="12.75" customHeight="1" x14ac:dyDescent="0.25">
      <c r="A528" s="1397" t="s">
        <v>5400</v>
      </c>
      <c r="B528" s="1370" t="s">
        <v>5401</v>
      </c>
      <c r="C528" s="1398">
        <f t="shared" si="92"/>
        <v>2</v>
      </c>
      <c r="F528" s="976">
        <f t="shared" si="93"/>
        <v>1</v>
      </c>
      <c r="G528" s="405"/>
      <c r="H528" s="198"/>
      <c r="I528" s="198"/>
      <c r="J528" s="198"/>
      <c r="K528" s="23"/>
      <c r="L528" s="344"/>
      <c r="M528" s="406"/>
      <c r="O528" s="23"/>
      <c r="P528" s="198"/>
      <c r="Q528" s="198"/>
      <c r="R528" s="198">
        <v>2</v>
      </c>
      <c r="S528" s="1691"/>
      <c r="T528" s="1628"/>
      <c r="U528" s="1628"/>
      <c r="V528" s="1377"/>
      <c r="W528" s="1377"/>
      <c r="X528" s="1377"/>
      <c r="Y528" s="1438"/>
      <c r="Z528" s="1377"/>
      <c r="AE528" s="185"/>
      <c r="AF528" s="41"/>
      <c r="AG528" s="41"/>
      <c r="AH528" s="41"/>
      <c r="AI528" s="41"/>
    </row>
    <row r="529" spans="1:42" ht="12.75" customHeight="1" x14ac:dyDescent="0.25">
      <c r="A529" s="1426" t="s">
        <v>4977</v>
      </c>
      <c r="B529" s="1389" t="s">
        <v>3961</v>
      </c>
      <c r="C529" s="1398">
        <f t="shared" si="92"/>
        <v>7</v>
      </c>
      <c r="F529" s="976">
        <f t="shared" ref="F529:F537" si="94">COUNT(G529:AH529)</f>
        <v>3</v>
      </c>
      <c r="G529" s="405"/>
      <c r="H529" s="198"/>
      <c r="I529" s="198"/>
      <c r="J529" s="198"/>
      <c r="K529" s="23"/>
      <c r="L529" s="344"/>
      <c r="M529" s="406"/>
      <c r="O529" s="23"/>
      <c r="P529" s="198"/>
      <c r="Q529" s="198"/>
      <c r="R529" s="198"/>
      <c r="S529" s="1691"/>
      <c r="T529" s="1628"/>
      <c r="U529" s="1628"/>
      <c r="V529" s="1377">
        <v>1</v>
      </c>
      <c r="W529" s="1377">
        <v>4</v>
      </c>
      <c r="X529" s="1377"/>
      <c r="Y529" s="1438">
        <v>2</v>
      </c>
      <c r="Z529" s="1377"/>
      <c r="AF529" s="185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</row>
    <row r="530" spans="1:42" ht="12.75" customHeight="1" x14ac:dyDescent="0.25">
      <c r="A530" s="1446" t="s">
        <v>3960</v>
      </c>
      <c r="B530" s="1371" t="s">
        <v>3961</v>
      </c>
      <c r="C530" s="1398">
        <f t="shared" si="92"/>
        <v>52</v>
      </c>
      <c r="F530" s="976">
        <f t="shared" si="94"/>
        <v>12</v>
      </c>
      <c r="G530" s="405"/>
      <c r="H530" s="198"/>
      <c r="I530" s="198"/>
      <c r="J530" s="198">
        <v>1</v>
      </c>
      <c r="K530" s="23">
        <v>1</v>
      </c>
      <c r="L530" s="344"/>
      <c r="M530" s="406">
        <v>3</v>
      </c>
      <c r="O530" s="23">
        <v>1</v>
      </c>
      <c r="P530" s="198"/>
      <c r="Q530" s="198">
        <v>1</v>
      </c>
      <c r="R530" s="198">
        <v>5</v>
      </c>
      <c r="S530" s="1691">
        <v>1</v>
      </c>
      <c r="T530" s="1628">
        <v>1</v>
      </c>
      <c r="U530" s="1628"/>
      <c r="V530" s="1377">
        <v>1</v>
      </c>
      <c r="W530" s="1377">
        <v>23</v>
      </c>
      <c r="X530" s="1377">
        <v>1</v>
      </c>
      <c r="Y530" s="1438">
        <v>13</v>
      </c>
      <c r="Z530" s="1377"/>
      <c r="AF530" s="185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</row>
    <row r="531" spans="1:42" ht="12.75" customHeight="1" x14ac:dyDescent="0.25">
      <c r="A531" s="1397" t="s">
        <v>3543</v>
      </c>
      <c r="B531" s="1371" t="s">
        <v>6122</v>
      </c>
      <c r="C531" s="1398">
        <f t="shared" si="92"/>
        <v>1</v>
      </c>
      <c r="F531" s="976">
        <f t="shared" si="94"/>
        <v>1</v>
      </c>
      <c r="G531" s="465"/>
      <c r="H531" s="416"/>
      <c r="I531" s="416"/>
      <c r="J531" s="416"/>
      <c r="K531" s="358"/>
      <c r="L531" s="127"/>
      <c r="M531" s="481"/>
      <c r="O531" s="23"/>
      <c r="P531" s="416"/>
      <c r="Q531" s="416"/>
      <c r="R531" s="416"/>
      <c r="S531" s="1931"/>
      <c r="T531" s="1445"/>
      <c r="U531" s="1445"/>
      <c r="V531" s="1559"/>
      <c r="W531" s="1559">
        <v>1</v>
      </c>
      <c r="X531" s="1559"/>
      <c r="Y531" s="1439"/>
      <c r="Z531" s="1377"/>
      <c r="AF531" s="185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</row>
    <row r="532" spans="1:42" ht="12.75" customHeight="1" x14ac:dyDescent="0.25">
      <c r="A532" s="1397" t="s">
        <v>2416</v>
      </c>
      <c r="B532" s="1370" t="s">
        <v>2417</v>
      </c>
      <c r="C532" s="1398">
        <f t="shared" si="92"/>
        <v>3</v>
      </c>
      <c r="F532" s="976">
        <f t="shared" si="94"/>
        <v>3</v>
      </c>
      <c r="G532" s="465"/>
      <c r="H532" s="416"/>
      <c r="I532" s="416"/>
      <c r="J532" s="416"/>
      <c r="K532" s="358"/>
      <c r="L532" s="127"/>
      <c r="M532" s="481"/>
      <c r="O532" s="23"/>
      <c r="P532" s="416"/>
      <c r="Q532" s="1445">
        <v>1</v>
      </c>
      <c r="R532" s="416"/>
      <c r="S532" s="1931"/>
      <c r="T532" s="1445"/>
      <c r="U532" s="1445">
        <v>1</v>
      </c>
      <c r="V532" s="1559"/>
      <c r="W532" s="1559">
        <v>1</v>
      </c>
      <c r="X532" s="1559"/>
      <c r="Y532" s="127"/>
      <c r="Z532" s="23"/>
      <c r="AF532" s="185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</row>
    <row r="533" spans="1:42" ht="12.75" customHeight="1" x14ac:dyDescent="0.25">
      <c r="A533" s="1397" t="s">
        <v>866</v>
      </c>
      <c r="B533" s="1370" t="s">
        <v>2417</v>
      </c>
      <c r="C533" s="1398">
        <f t="shared" si="92"/>
        <v>3</v>
      </c>
      <c r="F533" s="976">
        <f t="shared" si="94"/>
        <v>3</v>
      </c>
      <c r="G533" s="465"/>
      <c r="H533" s="416"/>
      <c r="I533" s="416"/>
      <c r="J533" s="416"/>
      <c r="K533" s="358"/>
      <c r="L533" s="127"/>
      <c r="M533" s="481"/>
      <c r="O533" s="23"/>
      <c r="P533" s="416"/>
      <c r="Q533" s="1445">
        <v>1</v>
      </c>
      <c r="R533" s="416"/>
      <c r="S533" s="1931"/>
      <c r="T533" s="1445"/>
      <c r="U533" s="1445">
        <v>1</v>
      </c>
      <c r="V533" s="1559"/>
      <c r="W533" s="1559">
        <v>1</v>
      </c>
      <c r="X533" s="1559"/>
      <c r="Y533" s="127"/>
      <c r="Z533" s="23"/>
      <c r="AF533" s="185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</row>
    <row r="534" spans="1:42" ht="12.75" customHeight="1" x14ac:dyDescent="0.25">
      <c r="A534" s="1425" t="s">
        <v>4259</v>
      </c>
      <c r="B534" s="1410" t="s">
        <v>440</v>
      </c>
      <c r="C534" s="1398">
        <f t="shared" si="92"/>
        <v>1</v>
      </c>
      <c r="F534" s="976">
        <f t="shared" si="94"/>
        <v>1</v>
      </c>
      <c r="G534" s="465"/>
      <c r="H534" s="416"/>
      <c r="I534" s="416"/>
      <c r="J534" s="416"/>
      <c r="K534" s="358"/>
      <c r="L534" s="127"/>
      <c r="M534" s="481"/>
      <c r="O534" s="23"/>
      <c r="P534" s="416"/>
      <c r="Q534" s="416"/>
      <c r="R534" s="416"/>
      <c r="S534" s="1931"/>
      <c r="T534" s="1445">
        <v>1</v>
      </c>
      <c r="U534" s="1445"/>
      <c r="V534" s="1559"/>
      <c r="W534" s="1559"/>
      <c r="X534" s="1559"/>
      <c r="Y534" s="127"/>
      <c r="Z534" s="23"/>
      <c r="AF534" s="185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</row>
    <row r="535" spans="1:42" ht="12.75" customHeight="1" x14ac:dyDescent="0.25">
      <c r="A535" s="1442" t="s">
        <v>9810</v>
      </c>
      <c r="B535" s="1374" t="s">
        <v>9811</v>
      </c>
      <c r="C535" s="1398">
        <f t="shared" si="92"/>
        <v>1</v>
      </c>
      <c r="F535" s="976">
        <f t="shared" si="94"/>
        <v>1</v>
      </c>
      <c r="G535" s="465"/>
      <c r="H535" s="416"/>
      <c r="I535" s="416"/>
      <c r="J535" s="416"/>
      <c r="K535" s="358"/>
      <c r="L535" s="127"/>
      <c r="M535" s="481"/>
      <c r="O535" s="23"/>
      <c r="P535" s="416"/>
      <c r="Q535" s="416"/>
      <c r="R535" s="416"/>
      <c r="S535" s="1931"/>
      <c r="T535" s="1445"/>
      <c r="U535" s="1445"/>
      <c r="V535" s="1559"/>
      <c r="W535" s="1559"/>
      <c r="X535" s="1559"/>
      <c r="Y535" s="127">
        <v>1</v>
      </c>
      <c r="Z535" s="23"/>
      <c r="AF535" s="185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</row>
    <row r="536" spans="1:42" ht="12.75" customHeight="1" x14ac:dyDescent="0.25">
      <c r="A536" s="1397" t="s">
        <v>864</v>
      </c>
      <c r="B536" s="1370" t="s">
        <v>865</v>
      </c>
      <c r="C536" s="1398">
        <f t="shared" si="92"/>
        <v>2</v>
      </c>
      <c r="F536" s="976">
        <f t="shared" si="94"/>
        <v>2</v>
      </c>
      <c r="G536" s="23"/>
      <c r="H536" s="1377">
        <v>1</v>
      </c>
      <c r="I536" s="1377"/>
      <c r="J536" s="23"/>
      <c r="K536" s="23"/>
      <c r="L536" s="23"/>
      <c r="M536" s="23"/>
      <c r="O536" s="23"/>
      <c r="P536" s="416"/>
      <c r="Q536" s="416">
        <v>1</v>
      </c>
      <c r="R536" s="416"/>
      <c r="S536" s="1159"/>
      <c r="T536" s="1445"/>
      <c r="U536" s="1445"/>
      <c r="V536" s="1559"/>
      <c r="W536" s="1559"/>
      <c r="X536" s="358"/>
      <c r="Y536" s="127"/>
      <c r="Z536" s="23"/>
      <c r="AF536" s="185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</row>
    <row r="537" spans="1:42" ht="12.75" customHeight="1" x14ac:dyDescent="0.25">
      <c r="A537" s="1397" t="s">
        <v>3535</v>
      </c>
      <c r="B537" s="1370" t="s">
        <v>4741</v>
      </c>
      <c r="C537" s="1398">
        <f t="shared" si="92"/>
        <v>1</v>
      </c>
      <c r="F537" s="976">
        <f t="shared" si="94"/>
        <v>1</v>
      </c>
      <c r="G537" s="23"/>
      <c r="H537" s="1377"/>
      <c r="I537" s="1377"/>
      <c r="J537" s="23"/>
      <c r="K537" s="23"/>
      <c r="L537" s="23"/>
      <c r="M537" s="23"/>
      <c r="O537" s="23"/>
      <c r="P537" s="416"/>
      <c r="Q537" s="416"/>
      <c r="R537" s="416"/>
      <c r="S537" s="1159"/>
      <c r="T537" s="1445">
        <v>1</v>
      </c>
      <c r="U537" s="1445"/>
      <c r="V537" s="1559"/>
      <c r="W537" s="1559"/>
      <c r="X537" s="358"/>
      <c r="Y537" s="127"/>
      <c r="Z537" s="23"/>
      <c r="AF537" s="185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</row>
    <row r="538" spans="1:42" ht="12.75" customHeight="1" x14ac:dyDescent="0.2">
      <c r="A538" s="1446"/>
      <c r="C538" s="1378">
        <f>SUM(C510:C537)</f>
        <v>167</v>
      </c>
      <c r="G538" s="322">
        <f>SUM(G510:G537)</f>
        <v>4</v>
      </c>
      <c r="H538" s="322">
        <f t="shared" ref="H538:Z538" si="95">SUM(H510:H537)</f>
        <v>1</v>
      </c>
      <c r="I538" s="322">
        <f t="shared" si="95"/>
        <v>2</v>
      </c>
      <c r="J538" s="322">
        <f t="shared" si="95"/>
        <v>5</v>
      </c>
      <c r="K538" s="322">
        <f t="shared" si="95"/>
        <v>3</v>
      </c>
      <c r="L538" s="322">
        <f t="shared" si="95"/>
        <v>1</v>
      </c>
      <c r="M538" s="322">
        <f t="shared" si="95"/>
        <v>5</v>
      </c>
      <c r="N538" s="1405"/>
      <c r="O538" s="322">
        <f t="shared" si="95"/>
        <v>4</v>
      </c>
      <c r="P538" s="322">
        <f t="shared" si="95"/>
        <v>1</v>
      </c>
      <c r="Q538" s="322">
        <f t="shared" si="95"/>
        <v>8</v>
      </c>
      <c r="R538" s="322">
        <f t="shared" si="95"/>
        <v>9</v>
      </c>
      <c r="S538" s="322">
        <f t="shared" si="95"/>
        <v>6</v>
      </c>
      <c r="T538" s="322">
        <f t="shared" si="95"/>
        <v>9</v>
      </c>
      <c r="U538" s="322">
        <f t="shared" si="95"/>
        <v>3</v>
      </c>
      <c r="V538" s="322">
        <f t="shared" si="95"/>
        <v>6</v>
      </c>
      <c r="W538" s="322">
        <f t="shared" si="95"/>
        <v>63</v>
      </c>
      <c r="X538" s="322">
        <f t="shared" si="95"/>
        <v>9</v>
      </c>
      <c r="Y538" s="322">
        <f t="shared" si="95"/>
        <v>27</v>
      </c>
      <c r="Z538" s="322">
        <f t="shared" si="95"/>
        <v>1</v>
      </c>
      <c r="AA538" s="5"/>
      <c r="AB538" s="5"/>
      <c r="AC538" s="5"/>
      <c r="AD538" s="5"/>
      <c r="AE538" s="5"/>
      <c r="AF538" s="5"/>
      <c r="AG538" s="5"/>
      <c r="AH538" s="5"/>
      <c r="AI538" s="1844"/>
      <c r="AJ538" s="41"/>
      <c r="AK538" s="41"/>
      <c r="AL538" s="41"/>
      <c r="AM538" s="41"/>
      <c r="AN538" s="41"/>
      <c r="AO538" s="41"/>
      <c r="AP538" s="41"/>
    </row>
    <row r="539" spans="1:42" ht="12.75" customHeight="1" x14ac:dyDescent="0.2">
      <c r="A539" s="1446"/>
      <c r="C539" s="1398"/>
      <c r="E539" s="1377">
        <f>COUNT(G539:Z539)</f>
        <v>19</v>
      </c>
      <c r="G539" s="322">
        <f>COUNT(G510:G537)</f>
        <v>2</v>
      </c>
      <c r="H539" s="322">
        <f t="shared" ref="H539:Z539" si="96">COUNT(H510:H537)</f>
        <v>1</v>
      </c>
      <c r="I539" s="322">
        <f t="shared" si="96"/>
        <v>2</v>
      </c>
      <c r="J539" s="322">
        <f t="shared" si="96"/>
        <v>5</v>
      </c>
      <c r="K539" s="322">
        <f t="shared" si="96"/>
        <v>3</v>
      </c>
      <c r="L539" s="322">
        <f t="shared" si="96"/>
        <v>1</v>
      </c>
      <c r="M539" s="322">
        <f t="shared" si="96"/>
        <v>3</v>
      </c>
      <c r="N539" s="1405"/>
      <c r="O539" s="322">
        <f t="shared" si="96"/>
        <v>4</v>
      </c>
      <c r="P539" s="322">
        <f t="shared" si="96"/>
        <v>1</v>
      </c>
      <c r="Q539" s="322">
        <f t="shared" si="96"/>
        <v>7</v>
      </c>
      <c r="R539" s="322">
        <f t="shared" si="96"/>
        <v>4</v>
      </c>
      <c r="S539" s="322">
        <f t="shared" si="96"/>
        <v>6</v>
      </c>
      <c r="T539" s="322">
        <f t="shared" si="96"/>
        <v>8</v>
      </c>
      <c r="U539" s="322">
        <f t="shared" si="96"/>
        <v>3</v>
      </c>
      <c r="V539" s="322">
        <f t="shared" si="96"/>
        <v>6</v>
      </c>
      <c r="W539" s="322">
        <f t="shared" si="96"/>
        <v>12</v>
      </c>
      <c r="X539" s="322">
        <f t="shared" si="96"/>
        <v>6</v>
      </c>
      <c r="Y539" s="322">
        <f t="shared" si="96"/>
        <v>10</v>
      </c>
      <c r="Z539" s="322">
        <f t="shared" si="96"/>
        <v>1</v>
      </c>
      <c r="AA539" s="5"/>
      <c r="AB539" s="5"/>
      <c r="AC539" s="5"/>
      <c r="AD539" s="5"/>
      <c r="AE539" s="5"/>
      <c r="AF539" s="5"/>
      <c r="AG539" s="5"/>
      <c r="AH539" s="5"/>
      <c r="AI539" s="1844"/>
    </row>
    <row r="540" spans="1:42" ht="12.75" customHeight="1" x14ac:dyDescent="0.25">
      <c r="A540" s="1446"/>
      <c r="C540" s="1398"/>
      <c r="G540" s="245" t="s">
        <v>1821</v>
      </c>
      <c r="H540" s="245"/>
      <c r="I540" s="258" t="s">
        <v>9136</v>
      </c>
      <c r="J540" s="245"/>
      <c r="K540" s="190" t="s">
        <v>5782</v>
      </c>
      <c r="L540" s="258"/>
      <c r="M540" s="305" t="s">
        <v>5055</v>
      </c>
      <c r="N540" s="410"/>
      <c r="O540" s="536" t="s">
        <v>5239</v>
      </c>
      <c r="P540" s="536"/>
      <c r="Q540" s="565" t="s">
        <v>3470</v>
      </c>
      <c r="R540" s="565"/>
      <c r="S540" s="1047" t="s">
        <v>8216</v>
      </c>
      <c r="T540" s="565"/>
      <c r="U540" s="538" t="s">
        <v>9134</v>
      </c>
      <c r="V540" s="536"/>
      <c r="W540" s="536" t="s">
        <v>4452</v>
      </c>
      <c r="X540" s="536"/>
      <c r="Y540" s="565" t="s">
        <v>5337</v>
      </c>
      <c r="Z540" s="561"/>
      <c r="AA540" s="185"/>
      <c r="AB540" s="185"/>
      <c r="AC540" s="185"/>
      <c r="AD540" s="185"/>
      <c r="AE540" s="364"/>
      <c r="AF540" s="185"/>
      <c r="AG540" s="364"/>
      <c r="AH540" s="41"/>
      <c r="AI540" s="41"/>
    </row>
    <row r="541" spans="1:42" ht="12.75" customHeight="1" x14ac:dyDescent="0.25">
      <c r="A541" s="1446"/>
      <c r="C541" s="1398"/>
      <c r="G541" s="191"/>
      <c r="H541" s="247" t="s">
        <v>11855</v>
      </c>
      <c r="I541" s="247"/>
      <c r="J541" s="535" t="s">
        <v>442</v>
      </c>
      <c r="K541" s="515"/>
      <c r="L541" s="539" t="s">
        <v>12515</v>
      </c>
      <c r="M541" s="558"/>
      <c r="N541" s="364"/>
      <c r="O541" s="539"/>
      <c r="P541" s="539" t="s">
        <v>8514</v>
      </c>
      <c r="Q541" s="515"/>
      <c r="R541" s="539" t="s">
        <v>2995</v>
      </c>
      <c r="S541" s="515"/>
      <c r="T541" s="539" t="s">
        <v>11009</v>
      </c>
      <c r="U541" s="515"/>
      <c r="V541" s="515" t="s">
        <v>4244</v>
      </c>
      <c r="W541" s="515"/>
      <c r="X541" s="535" t="s">
        <v>203</v>
      </c>
      <c r="Y541" s="515"/>
      <c r="Z541" s="558" t="s">
        <v>8143</v>
      </c>
      <c r="AA541" s="185"/>
      <c r="AB541" s="185"/>
      <c r="AC541" s="185"/>
      <c r="AD541" s="364"/>
      <c r="AE541" s="185"/>
      <c r="AF541" s="364"/>
      <c r="AG541" s="410"/>
      <c r="AH541" s="410"/>
      <c r="AI541" s="410"/>
    </row>
    <row r="542" spans="1:42" ht="12.75" customHeight="1" x14ac:dyDescent="0.2">
      <c r="C542" s="1371"/>
      <c r="F542"/>
      <c r="G542" s="1126">
        <f>Parks!L39</f>
        <v>21</v>
      </c>
      <c r="H542" s="1126" t="str">
        <f>Parks!L184</f>
        <v>500=</v>
      </c>
      <c r="I542" s="1126">
        <f>Parks!L244</f>
        <v>506</v>
      </c>
      <c r="J542" s="1126">
        <f>Parks!L294</f>
        <v>374</v>
      </c>
      <c r="K542" s="1126">
        <f>Parks!L346</f>
        <v>166</v>
      </c>
      <c r="L542" s="1126">
        <f>Parks!L373</f>
        <v>496</v>
      </c>
      <c r="M542" s="1126">
        <f>Parks!L475</f>
        <v>207</v>
      </c>
      <c r="N542" s="870"/>
      <c r="O542" s="1105">
        <f>Parks!L26</f>
        <v>196</v>
      </c>
      <c r="P542" s="1105">
        <f>Parks!L101</f>
        <v>375</v>
      </c>
      <c r="Q542" s="1126">
        <f>Parks!L197</f>
        <v>259</v>
      </c>
      <c r="R542" s="1126">
        <f>Parks!L223</f>
        <v>165</v>
      </c>
      <c r="S542" s="1126">
        <f>Parks!L279</f>
        <v>352</v>
      </c>
      <c r="T542" s="1107">
        <f>Parks!L309</f>
        <v>463</v>
      </c>
      <c r="U542" s="1126">
        <f>Parks!L331</f>
        <v>387</v>
      </c>
      <c r="V542" s="1126">
        <f>Parks!L416</f>
        <v>147</v>
      </c>
      <c r="W542" s="1126">
        <f>Parks!L517</f>
        <v>23</v>
      </c>
      <c r="X542" s="1126">
        <f>Parks!L521</f>
        <v>272</v>
      </c>
      <c r="Y542" s="1126">
        <f>Parks!L555</f>
        <v>137</v>
      </c>
      <c r="Z542" s="1126">
        <f>Parks!L576</f>
        <v>360</v>
      </c>
    </row>
    <row r="543" spans="1:42" ht="12.75" customHeight="1" x14ac:dyDescent="0.25">
      <c r="C543" s="1371"/>
      <c r="F543"/>
      <c r="M543" s="364"/>
      <c r="N543" s="185"/>
      <c r="O543" s="185"/>
      <c r="P543" s="364"/>
      <c r="Q543" s="185"/>
      <c r="R543" s="364"/>
      <c r="S543" s="185"/>
      <c r="T543" s="185"/>
      <c r="U543" s="185"/>
      <c r="V543" s="430"/>
      <c r="W543" s="185"/>
      <c r="X543" s="410"/>
    </row>
    <row r="544" spans="1:42" ht="12.75" customHeight="1" x14ac:dyDescent="0.2">
      <c r="C544" s="1371"/>
      <c r="F544"/>
    </row>
    <row r="545" spans="1:77" ht="12.75" customHeight="1" thickBot="1" x14ac:dyDescent="0.25">
      <c r="A545" s="1667"/>
      <c r="B545" s="1370"/>
      <c r="C545" s="1398"/>
      <c r="F545" s="244"/>
      <c r="G545" s="2" t="s">
        <v>11809</v>
      </c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AC545" s="2"/>
      <c r="AF545" s="80"/>
    </row>
    <row r="546" spans="1:77" ht="12.75" customHeight="1" x14ac:dyDescent="0.2">
      <c r="A546" s="1446"/>
      <c r="C546" s="1398"/>
      <c r="F546" s="244"/>
      <c r="G546" s="967" t="s">
        <v>5473</v>
      </c>
      <c r="H546" s="1303" t="s">
        <v>8008</v>
      </c>
      <c r="I546" s="994" t="s">
        <v>2936</v>
      </c>
      <c r="J546" s="613" t="s">
        <v>5144</v>
      </c>
      <c r="K546" s="496" t="s">
        <v>10526</v>
      </c>
      <c r="L546" s="403" t="s">
        <v>3342</v>
      </c>
      <c r="M546" s="611" t="s">
        <v>1450</v>
      </c>
      <c r="N546" s="927" t="s">
        <v>2223</v>
      </c>
      <c r="O546" s="611" t="s">
        <v>4720</v>
      </c>
      <c r="P546" s="614" t="s">
        <v>9694</v>
      </c>
      <c r="Q546" s="1874" t="s">
        <v>16473</v>
      </c>
      <c r="R546" s="614" t="s">
        <v>8272</v>
      </c>
      <c r="S546" s="1874" t="s">
        <v>3966</v>
      </c>
      <c r="T546" s="1516" t="s">
        <v>9699</v>
      </c>
      <c r="U546" s="1875" t="s">
        <v>2875</v>
      </c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397"/>
      <c r="AG546" s="41"/>
      <c r="AH546" s="80"/>
    </row>
    <row r="547" spans="1:77" ht="12.75" customHeight="1" x14ac:dyDescent="0.2">
      <c r="A547" s="1442" t="s">
        <v>922</v>
      </c>
      <c r="B547" s="1374" t="s">
        <v>1530</v>
      </c>
      <c r="C547" s="1398">
        <f t="shared" ref="C547:C552" si="97">SUM(G547:U547)</f>
        <v>2</v>
      </c>
      <c r="F547" s="976">
        <f t="shared" ref="F547:F552" si="98">COUNT(G547:U547)</f>
        <v>2</v>
      </c>
      <c r="G547" s="1868"/>
      <c r="H547" s="1869"/>
      <c r="I547" s="1869"/>
      <c r="J547" s="1776"/>
      <c r="K547" s="1776">
        <v>1</v>
      </c>
      <c r="L547" s="1870"/>
      <c r="M547" s="1870"/>
      <c r="N547" s="1871"/>
      <c r="O547" s="1870"/>
      <c r="P547" s="1870"/>
      <c r="Q547" s="1870">
        <v>1</v>
      </c>
      <c r="R547" s="1870"/>
      <c r="S547" s="1870"/>
      <c r="T547" s="1872"/>
      <c r="U547" s="187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397"/>
      <c r="AG547" s="41"/>
      <c r="AH547" s="80"/>
    </row>
    <row r="548" spans="1:77" ht="12.75" customHeight="1" x14ac:dyDescent="0.2">
      <c r="A548" s="1425" t="s">
        <v>5980</v>
      </c>
      <c r="B548" s="1410" t="s">
        <v>4818</v>
      </c>
      <c r="C548" s="1398">
        <f t="shared" si="97"/>
        <v>2</v>
      </c>
      <c r="F548" s="976">
        <f t="shared" si="98"/>
        <v>2</v>
      </c>
      <c r="G548" s="1298"/>
      <c r="H548" s="1304"/>
      <c r="I548" s="1304"/>
      <c r="J548" s="1887"/>
      <c r="K548" s="1887"/>
      <c r="L548" s="1381"/>
      <c r="M548" s="1381"/>
      <c r="N548" s="1873">
        <v>1</v>
      </c>
      <c r="O548" s="1381">
        <v>1</v>
      </c>
      <c r="P548" s="1381"/>
      <c r="Q548" s="1381"/>
      <c r="R548" s="1381"/>
      <c r="S548" s="1381"/>
      <c r="T548" s="895"/>
      <c r="U548" s="455"/>
      <c r="X548" s="80" t="s">
        <v>10871</v>
      </c>
      <c r="AF548" s="69"/>
      <c r="AG548" s="41"/>
    </row>
    <row r="549" spans="1:77" ht="12.75" customHeight="1" x14ac:dyDescent="0.2">
      <c r="A549" s="1446" t="s">
        <v>665</v>
      </c>
      <c r="B549" s="1371" t="s">
        <v>666</v>
      </c>
      <c r="C549" s="1398">
        <f t="shared" si="97"/>
        <v>12</v>
      </c>
      <c r="F549" s="976">
        <f t="shared" si="98"/>
        <v>12</v>
      </c>
      <c r="G549" s="1972">
        <v>1</v>
      </c>
      <c r="H549" s="1302">
        <v>1</v>
      </c>
      <c r="I549" s="1297">
        <v>1</v>
      </c>
      <c r="J549" s="1249">
        <v>1</v>
      </c>
      <c r="K549" s="1249"/>
      <c r="L549" s="455">
        <v>1</v>
      </c>
      <c r="M549" s="455">
        <v>1</v>
      </c>
      <c r="N549" s="929">
        <v>1</v>
      </c>
      <c r="O549" s="455">
        <v>1</v>
      </c>
      <c r="P549" s="455"/>
      <c r="Q549" s="455"/>
      <c r="R549" s="455">
        <v>1</v>
      </c>
      <c r="S549" s="455">
        <v>1</v>
      </c>
      <c r="T549" s="895">
        <v>1</v>
      </c>
      <c r="U549" s="455">
        <v>1</v>
      </c>
      <c r="X549" s="80" t="s">
        <v>16479</v>
      </c>
      <c r="AF549" s="69"/>
      <c r="AG549" s="41"/>
    </row>
    <row r="550" spans="1:77" ht="12.75" customHeight="1" x14ac:dyDescent="0.2">
      <c r="A550" s="1446" t="s">
        <v>1794</v>
      </c>
      <c r="B550" s="1371" t="s">
        <v>1795</v>
      </c>
      <c r="C550" s="1398">
        <f t="shared" si="97"/>
        <v>5</v>
      </c>
      <c r="F550" s="976">
        <f t="shared" si="98"/>
        <v>5</v>
      </c>
      <c r="G550" s="1305"/>
      <c r="H550" s="1297">
        <v>1</v>
      </c>
      <c r="I550" s="1297">
        <v>1</v>
      </c>
      <c r="J550" s="1249"/>
      <c r="K550" s="1249"/>
      <c r="L550" s="455"/>
      <c r="M550" s="455"/>
      <c r="N550" s="929"/>
      <c r="O550" s="455"/>
      <c r="P550" s="455">
        <v>1</v>
      </c>
      <c r="Q550" s="455"/>
      <c r="R550" s="455"/>
      <c r="S550" s="455"/>
      <c r="T550" s="895">
        <v>1</v>
      </c>
      <c r="U550" s="455">
        <v>1</v>
      </c>
      <c r="X550" s="80" t="s">
        <v>10872</v>
      </c>
      <c r="AF550" s="69"/>
      <c r="AG550" s="41"/>
    </row>
    <row r="551" spans="1:77" ht="12.75" customHeight="1" x14ac:dyDescent="0.2">
      <c r="A551" s="1426" t="s">
        <v>4977</v>
      </c>
      <c r="B551" s="1389" t="s">
        <v>3961</v>
      </c>
      <c r="C551" s="1398">
        <f t="shared" si="97"/>
        <v>1</v>
      </c>
      <c r="F551" s="976">
        <f t="shared" si="98"/>
        <v>1</v>
      </c>
      <c r="G551" s="1298"/>
      <c r="H551" s="1304"/>
      <c r="I551" s="1304"/>
      <c r="J551" s="1249"/>
      <c r="K551" s="1249"/>
      <c r="L551" s="455"/>
      <c r="M551" s="455"/>
      <c r="N551" s="929"/>
      <c r="O551" s="455">
        <v>1</v>
      </c>
      <c r="P551" s="455"/>
      <c r="Q551" s="455"/>
      <c r="R551" s="455"/>
      <c r="S551" s="455"/>
      <c r="T551" s="895"/>
      <c r="U551" s="455"/>
      <c r="X551" s="548" t="s">
        <v>8693</v>
      </c>
      <c r="Y551" s="928"/>
      <c r="Z551" s="549"/>
      <c r="AE551" s="2"/>
      <c r="AF551" s="97"/>
      <c r="AG551" s="151"/>
    </row>
    <row r="552" spans="1:77" ht="12.75" customHeight="1" x14ac:dyDescent="0.25">
      <c r="A552" s="1446" t="s">
        <v>3960</v>
      </c>
      <c r="B552" s="1371" t="s">
        <v>3961</v>
      </c>
      <c r="C552" s="1398">
        <f t="shared" si="97"/>
        <v>3</v>
      </c>
      <c r="F552" s="976">
        <f t="shared" si="98"/>
        <v>3</v>
      </c>
      <c r="G552" s="1298"/>
      <c r="H552" s="1304"/>
      <c r="I552" s="1304"/>
      <c r="J552" s="1249"/>
      <c r="K552" s="1249"/>
      <c r="L552" s="455">
        <v>1</v>
      </c>
      <c r="M552" s="455"/>
      <c r="N552" s="929">
        <v>1</v>
      </c>
      <c r="O552" s="455">
        <v>1</v>
      </c>
      <c r="P552" s="455"/>
      <c r="Q552" s="455"/>
      <c r="R552" s="455"/>
      <c r="S552" s="455"/>
      <c r="T552" s="895"/>
      <c r="U552" s="455"/>
      <c r="X552" s="69" t="s">
        <v>9141</v>
      </c>
      <c r="Y552" s="41"/>
      <c r="AF552" s="69"/>
      <c r="AG552" s="185"/>
      <c r="AH552" s="41"/>
    </row>
    <row r="553" spans="1:77" ht="12.75" customHeight="1" x14ac:dyDescent="0.2">
      <c r="A553" s="1446"/>
      <c r="C553" s="1378">
        <f>SUM(C547:C552)</f>
        <v>25</v>
      </c>
      <c r="F553" s="244"/>
      <c r="G553" s="1248">
        <f>SUM(G547:G552)</f>
        <v>1</v>
      </c>
      <c r="H553" s="1248">
        <f t="shared" ref="H553:U553" si="99">SUM(H547:H552)</f>
        <v>2</v>
      </c>
      <c r="I553" s="1248">
        <f t="shared" si="99"/>
        <v>2</v>
      </c>
      <c r="J553" s="1248">
        <f t="shared" si="99"/>
        <v>1</v>
      </c>
      <c r="K553" s="1248">
        <f t="shared" si="99"/>
        <v>1</v>
      </c>
      <c r="L553" s="1248">
        <f t="shared" si="99"/>
        <v>2</v>
      </c>
      <c r="M553" s="1248">
        <f t="shared" si="99"/>
        <v>1</v>
      </c>
      <c r="N553" s="1248">
        <f t="shared" si="99"/>
        <v>3</v>
      </c>
      <c r="O553" s="1248">
        <f t="shared" si="99"/>
        <v>4</v>
      </c>
      <c r="P553" s="1248">
        <f t="shared" si="99"/>
        <v>1</v>
      </c>
      <c r="Q553" s="1248">
        <f t="shared" ref="Q553" si="100">SUM(Q547:Q552)</f>
        <v>1</v>
      </c>
      <c r="R553" s="1248">
        <f t="shared" si="99"/>
        <v>1</v>
      </c>
      <c r="S553" s="1248">
        <f t="shared" si="99"/>
        <v>1</v>
      </c>
      <c r="T553" s="1248">
        <f t="shared" si="99"/>
        <v>2</v>
      </c>
      <c r="U553" s="1248">
        <f t="shared" si="99"/>
        <v>2</v>
      </c>
      <c r="V553" s="5"/>
      <c r="W553" s="5"/>
      <c r="X553" s="80" t="s">
        <v>11846</v>
      </c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77" ht="12.75" customHeight="1" x14ac:dyDescent="0.2">
      <c r="A554" s="1446"/>
      <c r="C554" s="1398"/>
      <c r="E554" s="1377">
        <f>COUNT(G554:U554)</f>
        <v>15</v>
      </c>
      <c r="F554" s="244"/>
      <c r="G554" s="1248">
        <f>COUNT(G547:G552)</f>
        <v>1</v>
      </c>
      <c r="H554" s="1248">
        <f t="shared" ref="H554:U554" si="101">COUNT(H547:H552)</f>
        <v>2</v>
      </c>
      <c r="I554" s="1248">
        <f t="shared" si="101"/>
        <v>2</v>
      </c>
      <c r="J554" s="1248">
        <f t="shared" si="101"/>
        <v>1</v>
      </c>
      <c r="K554" s="1248">
        <f t="shared" si="101"/>
        <v>1</v>
      </c>
      <c r="L554" s="1248">
        <f t="shared" si="101"/>
        <v>2</v>
      </c>
      <c r="M554" s="1248">
        <f t="shared" si="101"/>
        <v>1</v>
      </c>
      <c r="N554" s="1248">
        <f t="shared" si="101"/>
        <v>3</v>
      </c>
      <c r="O554" s="1248">
        <f t="shared" si="101"/>
        <v>4</v>
      </c>
      <c r="P554" s="1248">
        <f t="shared" si="101"/>
        <v>1</v>
      </c>
      <c r="Q554" s="1248">
        <f t="shared" ref="Q554" si="102">COUNT(Q547:Q552)</f>
        <v>1</v>
      </c>
      <c r="R554" s="1248">
        <f t="shared" si="101"/>
        <v>1</v>
      </c>
      <c r="S554" s="1248">
        <f t="shared" si="101"/>
        <v>1</v>
      </c>
      <c r="T554" s="1248">
        <f t="shared" si="101"/>
        <v>2</v>
      </c>
      <c r="U554" s="1248">
        <f t="shared" si="101"/>
        <v>2</v>
      </c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77" ht="12.75" customHeight="1" x14ac:dyDescent="0.25">
      <c r="A555" s="1446"/>
      <c r="C555" s="1398"/>
      <c r="F555" s="244"/>
      <c r="G555" s="245" t="s">
        <v>5153</v>
      </c>
      <c r="H555" s="245"/>
      <c r="I555" s="258" t="s">
        <v>4510</v>
      </c>
      <c r="J555" s="258"/>
      <c r="K555" s="258" t="s">
        <v>8651</v>
      </c>
      <c r="L555" s="190"/>
      <c r="M555" s="258" t="s">
        <v>2364</v>
      </c>
      <c r="N555" s="565"/>
      <c r="O555" s="565" t="s">
        <v>4509</v>
      </c>
      <c r="P555" s="561"/>
      <c r="Q555" s="561" t="s">
        <v>1697</v>
      </c>
      <c r="R555" s="561"/>
      <c r="S555" s="538" t="s">
        <v>2638</v>
      </c>
      <c r="T555" s="538"/>
      <c r="U555" s="1618" t="s">
        <v>2872</v>
      </c>
      <c r="V555" s="185"/>
      <c r="W555" s="185"/>
      <c r="X555" s="185"/>
      <c r="Y555" s="185"/>
      <c r="Z555" s="364"/>
      <c r="AA555" s="185"/>
      <c r="AB555" s="364"/>
      <c r="AC555" s="364"/>
      <c r="AD555" s="410"/>
      <c r="AE555" s="185"/>
      <c r="AF555" s="185"/>
      <c r="AG555" s="185"/>
      <c r="AH555" s="185"/>
    </row>
    <row r="556" spans="1:77" ht="12.75" customHeight="1" x14ac:dyDescent="0.25">
      <c r="A556" s="1446"/>
      <c r="C556" s="1398"/>
      <c r="F556" s="244"/>
      <c r="G556" s="343"/>
      <c r="H556" s="247" t="s">
        <v>8015</v>
      </c>
      <c r="I556" s="343"/>
      <c r="J556" s="539" t="s">
        <v>5552</v>
      </c>
      <c r="K556" s="343"/>
      <c r="L556" s="343" t="s">
        <v>3338</v>
      </c>
      <c r="M556" s="343"/>
      <c r="N556" s="1055" t="s">
        <v>8692</v>
      </c>
      <c r="O556" s="558"/>
      <c r="P556" s="539" t="s">
        <v>5230</v>
      </c>
      <c r="Q556" s="539"/>
      <c r="R556" s="539" t="s">
        <v>2040</v>
      </c>
      <c r="S556" s="539"/>
      <c r="T556" s="535" t="s">
        <v>9872</v>
      </c>
      <c r="U556" s="558"/>
      <c r="V556" s="185"/>
      <c r="W556" s="364"/>
      <c r="X556" s="185"/>
      <c r="Y556" s="185"/>
      <c r="Z556" s="364"/>
      <c r="AA556" s="185"/>
      <c r="AB556" s="185"/>
      <c r="AC556" s="364"/>
      <c r="AD556" s="410"/>
      <c r="AE556" s="185"/>
      <c r="AF556" s="185"/>
      <c r="AG556" s="185"/>
      <c r="AH556" s="185"/>
    </row>
    <row r="557" spans="1:77" ht="12.75" customHeight="1" x14ac:dyDescent="0.25">
      <c r="C557" s="1371"/>
      <c r="F557"/>
      <c r="G557" s="1126">
        <f>Parks!L31</f>
        <v>288</v>
      </c>
      <c r="H557" s="1126">
        <f>Parks!L54</f>
        <v>401</v>
      </c>
      <c r="I557" s="1126">
        <f>Parks!L73</f>
        <v>206</v>
      </c>
      <c r="J557" s="1126"/>
      <c r="K557" s="1126">
        <f>Parks!L107</f>
        <v>100</v>
      </c>
      <c r="L557" s="1126"/>
      <c r="M557" s="1126">
        <f>Parks!L247</f>
        <v>112</v>
      </c>
      <c r="N557" s="1126">
        <f>Parks!L257</f>
        <v>343</v>
      </c>
      <c r="O557" s="1126">
        <f>Parks!L274</f>
        <v>209</v>
      </c>
      <c r="P557" s="1126">
        <f>Parks!L267</f>
        <v>156</v>
      </c>
      <c r="Q557" s="1126"/>
      <c r="R557" s="1126">
        <f>Parks!L289</f>
        <v>435</v>
      </c>
      <c r="S557" s="1126">
        <f>Parks!L354</f>
        <v>348</v>
      </c>
      <c r="T557" s="1126">
        <f>Parks!L508</f>
        <v>226</v>
      </c>
      <c r="U557" s="1126">
        <f>Parks!L515</f>
        <v>411</v>
      </c>
      <c r="V557" s="1126">
        <f>Parks!L544</f>
        <v>236</v>
      </c>
      <c r="AO557" s="185"/>
      <c r="AP557" s="185"/>
      <c r="AQ557" s="185"/>
      <c r="AR557" s="185"/>
    </row>
    <row r="558" spans="1:77" ht="12.75" customHeight="1" x14ac:dyDescent="0.2">
      <c r="A558" s="1667"/>
      <c r="B558" s="1370"/>
      <c r="C558" s="1398"/>
      <c r="G558" s="1078"/>
      <c r="H558" s="871"/>
      <c r="I558" s="871"/>
      <c r="J558" s="870"/>
      <c r="K558" s="479"/>
      <c r="L558" s="479"/>
      <c r="M558" s="479"/>
      <c r="N558" s="479"/>
      <c r="O558" s="479"/>
      <c r="P558" s="479"/>
      <c r="Q558" s="479"/>
      <c r="R558" s="479"/>
      <c r="S558" s="479"/>
      <c r="T558" s="479"/>
      <c r="U558" s="479"/>
      <c r="V558" s="479"/>
      <c r="W558" s="479"/>
      <c r="X558" s="479"/>
      <c r="Y558" s="479"/>
    </row>
    <row r="559" spans="1:77" ht="12.75" customHeight="1" x14ac:dyDescent="0.2">
      <c r="A559" s="1667"/>
      <c r="C559" s="1398"/>
      <c r="G559" s="70" t="s">
        <v>10886</v>
      </c>
      <c r="H559" s="871"/>
      <c r="I559" s="871"/>
      <c r="J559" s="870"/>
      <c r="K559" s="479"/>
      <c r="L559" s="479"/>
      <c r="M559" s="479"/>
      <c r="N559" s="479"/>
      <c r="O559" s="479"/>
      <c r="P559" s="479"/>
      <c r="Q559" s="479"/>
      <c r="R559" s="479"/>
      <c r="S559" s="479"/>
      <c r="T559" s="479"/>
      <c r="U559" s="479"/>
      <c r="V559" s="479"/>
      <c r="W559" s="479"/>
      <c r="X559" s="479"/>
      <c r="Y559" s="479"/>
      <c r="Z559" s="479"/>
    </row>
    <row r="560" spans="1:77" s="80" customFormat="1" ht="12.75" customHeight="1" x14ac:dyDescent="0.2">
      <c r="A560" s="1667"/>
      <c r="B560" s="1370"/>
      <c r="C560" s="1453"/>
      <c r="E560" s="1370"/>
      <c r="F560" s="41"/>
      <c r="G560" s="853" t="s">
        <v>3441</v>
      </c>
      <c r="H560" s="560" t="s">
        <v>3808</v>
      </c>
      <c r="I560" s="553" t="s">
        <v>4904</v>
      </c>
      <c r="J560" s="560" t="s">
        <v>13417</v>
      </c>
      <c r="K560" s="553" t="s">
        <v>4813</v>
      </c>
      <c r="L560" s="560" t="s">
        <v>6349</v>
      </c>
      <c r="M560" s="553" t="s">
        <v>15989</v>
      </c>
      <c r="N560" s="560" t="s">
        <v>3118</v>
      </c>
      <c r="O560" s="553" t="s">
        <v>1088</v>
      </c>
      <c r="P560" s="560" t="s">
        <v>1907</v>
      </c>
      <c r="Q560" s="553" t="s">
        <v>2816</v>
      </c>
      <c r="R560" s="560" t="s">
        <v>4325</v>
      </c>
      <c r="S560" s="553" t="s">
        <v>3776</v>
      </c>
      <c r="T560" s="560" t="s">
        <v>3067</v>
      </c>
      <c r="U560" s="553" t="s">
        <v>2206</v>
      </c>
      <c r="V560" s="560" t="s">
        <v>16251</v>
      </c>
      <c r="W560" s="553" t="s">
        <v>1555</v>
      </c>
      <c r="X560" s="1393" t="s">
        <v>10887</v>
      </c>
      <c r="Y560" s="553" t="s">
        <v>5553</v>
      </c>
      <c r="Z560" s="41"/>
      <c r="AA560" s="414"/>
      <c r="AB560" s="414"/>
      <c r="AC560" s="414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</row>
    <row r="561" spans="1:77" s="80" customFormat="1" ht="12.75" customHeight="1" x14ac:dyDescent="0.2">
      <c r="A561" s="1560" t="s">
        <v>4264</v>
      </c>
      <c r="B561" s="1373" t="s">
        <v>5239</v>
      </c>
      <c r="C561" s="1453">
        <f t="shared" ref="C561:C577" si="103">SUM(G561:Y561)</f>
        <v>1</v>
      </c>
      <c r="E561" s="1370"/>
      <c r="F561" s="991">
        <f t="shared" ref="F561:F577" si="104">COUNT(G561:Y561)</f>
        <v>1</v>
      </c>
      <c r="G561" s="584"/>
      <c r="H561" s="462"/>
      <c r="I561" s="462"/>
      <c r="J561" s="462"/>
      <c r="K561" s="462"/>
      <c r="L561" s="462"/>
      <c r="M561" s="462"/>
      <c r="N561" s="462"/>
      <c r="O561" s="462"/>
      <c r="P561" s="462"/>
      <c r="Q561" s="462">
        <v>1</v>
      </c>
      <c r="R561" s="462"/>
      <c r="S561" s="462"/>
      <c r="T561" s="462"/>
      <c r="U561" s="462"/>
      <c r="V561" s="462"/>
      <c r="W561" s="462"/>
      <c r="X561" s="462"/>
      <c r="Y561" s="462"/>
      <c r="Z561" s="41"/>
      <c r="AA561" s="414" t="s">
        <v>11810</v>
      </c>
      <c r="AB561" s="414"/>
      <c r="AC561" s="414"/>
      <c r="AF561" s="53"/>
      <c r="AG561" s="53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1:77" s="80" customFormat="1" ht="12.75" customHeight="1" x14ac:dyDescent="0.2">
      <c r="A562" s="1560" t="s">
        <v>726</v>
      </c>
      <c r="B562" s="1373" t="s">
        <v>1295</v>
      </c>
      <c r="C562" s="1453">
        <f t="shared" si="103"/>
        <v>0</v>
      </c>
      <c r="E562" s="1370"/>
      <c r="F562" s="991">
        <f t="shared" si="104"/>
        <v>0</v>
      </c>
      <c r="G562" s="584"/>
      <c r="H562" s="462"/>
      <c r="I562" s="462"/>
      <c r="J562" s="462"/>
      <c r="K562" s="462"/>
      <c r="L562" s="462"/>
      <c r="M562" s="462"/>
      <c r="N562" s="462"/>
      <c r="O562" s="462"/>
      <c r="P562" s="462"/>
      <c r="Q562" s="462"/>
      <c r="R562" s="462"/>
      <c r="S562" s="462"/>
      <c r="T562" s="462"/>
      <c r="U562" s="462"/>
      <c r="V562" s="462"/>
      <c r="W562" s="462"/>
      <c r="X562" s="462"/>
      <c r="Y562" s="462"/>
      <c r="Z562" s="41"/>
      <c r="AA562" s="80" t="s">
        <v>10627</v>
      </c>
      <c r="AF562" s="53"/>
      <c r="AG562" s="53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</row>
    <row r="563" spans="1:77" s="80" customFormat="1" ht="12.75" customHeight="1" x14ac:dyDescent="0.2">
      <c r="A563" s="1397" t="s">
        <v>3508</v>
      </c>
      <c r="B563" s="1370" t="s">
        <v>3632</v>
      </c>
      <c r="C563" s="1453">
        <f t="shared" si="103"/>
        <v>2</v>
      </c>
      <c r="E563" s="1370"/>
      <c r="F563" s="991">
        <f t="shared" si="104"/>
        <v>2</v>
      </c>
      <c r="G563" s="584"/>
      <c r="H563" s="462"/>
      <c r="I563" s="462">
        <v>1</v>
      </c>
      <c r="J563" s="462"/>
      <c r="K563" s="462"/>
      <c r="L563" s="462"/>
      <c r="M563" s="462"/>
      <c r="N563" s="462"/>
      <c r="O563" s="462"/>
      <c r="P563" s="462"/>
      <c r="Q563" s="462"/>
      <c r="R563" s="462"/>
      <c r="S563" s="462"/>
      <c r="T563" s="462"/>
      <c r="U563" s="462"/>
      <c r="V563" s="462"/>
      <c r="W563" s="462"/>
      <c r="X563" s="462"/>
      <c r="Y563" s="462">
        <v>1</v>
      </c>
      <c r="Z563" s="41"/>
      <c r="AD563" s="414"/>
      <c r="AE563" s="414"/>
      <c r="AF563" s="53"/>
      <c r="AG563" s="5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</row>
    <row r="564" spans="1:77" s="80" customFormat="1" ht="12.75" customHeight="1" x14ac:dyDescent="0.2">
      <c r="A564" s="1397" t="s">
        <v>922</v>
      </c>
      <c r="B564" s="1370" t="s">
        <v>1530</v>
      </c>
      <c r="C564" s="1453">
        <f t="shared" si="103"/>
        <v>1</v>
      </c>
      <c r="E564" s="1370"/>
      <c r="F564" s="991">
        <f t="shared" si="104"/>
        <v>1</v>
      </c>
      <c r="G564" s="584"/>
      <c r="H564" s="462"/>
      <c r="I564" s="462"/>
      <c r="J564" s="462"/>
      <c r="K564" s="462"/>
      <c r="L564" s="462"/>
      <c r="M564" s="462"/>
      <c r="N564" s="462"/>
      <c r="O564" s="462"/>
      <c r="P564" s="462"/>
      <c r="Q564" s="462"/>
      <c r="R564" s="462"/>
      <c r="S564" s="462"/>
      <c r="T564" s="462"/>
      <c r="U564" s="462"/>
      <c r="V564" s="462"/>
      <c r="W564" s="1393">
        <v>1</v>
      </c>
      <c r="X564" s="462"/>
      <c r="Y564" s="462"/>
      <c r="Z564" s="41"/>
      <c r="AD564" s="414"/>
      <c r="AE564" s="414"/>
      <c r="AF564" s="53"/>
      <c r="AG564" s="53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</row>
    <row r="565" spans="1:77" s="80" customFormat="1" ht="12.75" customHeight="1" x14ac:dyDescent="0.2">
      <c r="A565" s="1397" t="s">
        <v>1589</v>
      </c>
      <c r="B565" s="1370" t="s">
        <v>1590</v>
      </c>
      <c r="C565" s="1453">
        <f t="shared" si="103"/>
        <v>1</v>
      </c>
      <c r="E565" s="1370"/>
      <c r="F565" s="991">
        <f t="shared" si="104"/>
        <v>1</v>
      </c>
      <c r="G565" s="584"/>
      <c r="H565" s="462">
        <v>1</v>
      </c>
      <c r="I565" s="462"/>
      <c r="J565" s="462"/>
      <c r="K565" s="462"/>
      <c r="L565" s="462"/>
      <c r="M565" s="462"/>
      <c r="N565" s="462"/>
      <c r="O565" s="462"/>
      <c r="P565" s="462"/>
      <c r="Q565" s="462"/>
      <c r="R565" s="462"/>
      <c r="S565" s="462"/>
      <c r="T565" s="462"/>
      <c r="U565" s="462"/>
      <c r="V565" s="462"/>
      <c r="W565" s="462"/>
      <c r="X565" s="462"/>
      <c r="Y565" s="462"/>
      <c r="Z565" s="41"/>
      <c r="AE565"/>
      <c r="AF565" s="53"/>
      <c r="AG565" s="53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</row>
    <row r="566" spans="1:77" s="80" customFormat="1" ht="12.75" customHeight="1" x14ac:dyDescent="0.2">
      <c r="A566" s="1560" t="s">
        <v>5980</v>
      </c>
      <c r="B566" s="1373" t="s">
        <v>4818</v>
      </c>
      <c r="C566" s="1453">
        <f t="shared" si="103"/>
        <v>0</v>
      </c>
      <c r="E566" s="1370"/>
      <c r="F566" s="991">
        <f t="shared" si="104"/>
        <v>0</v>
      </c>
      <c r="G566" s="584"/>
      <c r="H566" s="462"/>
      <c r="I566" s="462"/>
      <c r="J566" s="462"/>
      <c r="K566" s="462"/>
      <c r="L566" s="462"/>
      <c r="M566" s="1393"/>
      <c r="N566" s="462"/>
      <c r="O566" s="462"/>
      <c r="P566" s="462"/>
      <c r="Q566" s="462"/>
      <c r="R566" s="462"/>
      <c r="S566" s="462"/>
      <c r="T566" s="462"/>
      <c r="U566" s="1393"/>
      <c r="V566" s="1393"/>
      <c r="W566" s="462"/>
      <c r="X566" s="462"/>
      <c r="Y566" s="462"/>
      <c r="Z566" s="41"/>
      <c r="AD566"/>
      <c r="AE566"/>
      <c r="AF566" s="53"/>
      <c r="AG566" s="53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</row>
    <row r="567" spans="1:77" s="80" customFormat="1" ht="12.75" customHeight="1" x14ac:dyDescent="0.2">
      <c r="A567" s="1397" t="s">
        <v>665</v>
      </c>
      <c r="B567" s="1370" t="s">
        <v>666</v>
      </c>
      <c r="C567" s="1453">
        <f t="shared" si="103"/>
        <v>11</v>
      </c>
      <c r="E567" s="1370"/>
      <c r="F567" s="991">
        <f t="shared" si="104"/>
        <v>11</v>
      </c>
      <c r="G567" s="584"/>
      <c r="H567" s="462">
        <v>1</v>
      </c>
      <c r="I567" s="462">
        <v>1</v>
      </c>
      <c r="J567" s="462"/>
      <c r="K567" s="462"/>
      <c r="L567" s="462">
        <v>1</v>
      </c>
      <c r="M567" s="1393"/>
      <c r="N567" s="462">
        <v>1</v>
      </c>
      <c r="O567" s="462">
        <v>1</v>
      </c>
      <c r="P567" s="462">
        <v>1</v>
      </c>
      <c r="Q567" s="462">
        <v>1</v>
      </c>
      <c r="R567" s="462"/>
      <c r="S567" s="462">
        <v>1</v>
      </c>
      <c r="T567" s="462">
        <v>1</v>
      </c>
      <c r="U567" s="1393">
        <v>1</v>
      </c>
      <c r="V567" s="1393"/>
      <c r="W567" s="462">
        <v>1</v>
      </c>
      <c r="X567" s="462"/>
      <c r="Y567" s="462"/>
      <c r="Z567" s="41"/>
      <c r="AD567" s="2"/>
      <c r="AG567" s="53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</row>
    <row r="568" spans="1:77" s="80" customFormat="1" ht="12.75" customHeight="1" x14ac:dyDescent="0.2">
      <c r="A568" s="1397" t="s">
        <v>13403</v>
      </c>
      <c r="B568" s="1370" t="s">
        <v>13368</v>
      </c>
      <c r="C568" s="1453">
        <f t="shared" si="103"/>
        <v>17</v>
      </c>
      <c r="E568" s="1370"/>
      <c r="F568" s="991">
        <f t="shared" si="104"/>
        <v>3</v>
      </c>
      <c r="G568" s="584"/>
      <c r="H568" s="462"/>
      <c r="I568" s="462"/>
      <c r="J568" s="1393">
        <v>1</v>
      </c>
      <c r="K568" s="462"/>
      <c r="L568" s="462"/>
      <c r="M568" s="1393">
        <v>4</v>
      </c>
      <c r="N568" s="462"/>
      <c r="O568" s="462"/>
      <c r="P568" s="462"/>
      <c r="Q568" s="462"/>
      <c r="R568" s="462"/>
      <c r="S568" s="462"/>
      <c r="T568" s="462"/>
      <c r="U568" s="1393">
        <v>12</v>
      </c>
      <c r="V568" s="1393"/>
      <c r="W568" s="462"/>
      <c r="X568" s="462"/>
      <c r="Y568" s="462"/>
      <c r="Z568" s="41"/>
      <c r="AD568" s="2"/>
      <c r="AG568" s="53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</row>
    <row r="569" spans="1:77" s="80" customFormat="1" ht="12.75" customHeight="1" x14ac:dyDescent="0.2">
      <c r="A569" s="1397" t="s">
        <v>3014</v>
      </c>
      <c r="B569" s="1370" t="s">
        <v>3015</v>
      </c>
      <c r="C569" s="1453">
        <f t="shared" si="103"/>
        <v>2</v>
      </c>
      <c r="E569" s="1370"/>
      <c r="F569" s="991">
        <f t="shared" si="104"/>
        <v>1</v>
      </c>
      <c r="G569" s="584"/>
      <c r="H569" s="462"/>
      <c r="I569" s="462"/>
      <c r="J569" s="462"/>
      <c r="K569" s="462"/>
      <c r="L569" s="462"/>
      <c r="M569" s="1393"/>
      <c r="N569" s="462"/>
      <c r="O569" s="462"/>
      <c r="P569" s="462"/>
      <c r="Q569" s="462"/>
      <c r="R569" s="462"/>
      <c r="S569" s="462"/>
      <c r="T569" s="462"/>
      <c r="U569" s="1393"/>
      <c r="V569" s="1393">
        <v>2</v>
      </c>
      <c r="W569" s="462"/>
      <c r="X569" s="462"/>
      <c r="Y569" s="462"/>
      <c r="Z569" s="41"/>
      <c r="AF569" s="53"/>
      <c r="AG569" s="53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</row>
    <row r="570" spans="1:77" s="80" customFormat="1" ht="12.75" customHeight="1" x14ac:dyDescent="0.2">
      <c r="A570" s="1560" t="s">
        <v>4561</v>
      </c>
      <c r="B570" s="1373" t="s">
        <v>4562</v>
      </c>
      <c r="C570" s="1453">
        <f t="shared" si="103"/>
        <v>10</v>
      </c>
      <c r="E570" s="1370"/>
      <c r="F570" s="991">
        <f t="shared" si="104"/>
        <v>9</v>
      </c>
      <c r="G570" s="584">
        <v>1</v>
      </c>
      <c r="H570" s="462"/>
      <c r="I570" s="462">
        <v>1</v>
      </c>
      <c r="J570" s="462"/>
      <c r="K570" s="584">
        <v>1</v>
      </c>
      <c r="L570" s="1447">
        <v>1</v>
      </c>
      <c r="M570" s="1447"/>
      <c r="N570" s="584"/>
      <c r="O570" s="584">
        <v>2</v>
      </c>
      <c r="P570" s="584">
        <v>1</v>
      </c>
      <c r="Q570" s="584"/>
      <c r="R570" s="584">
        <v>1</v>
      </c>
      <c r="S570" s="584">
        <v>1</v>
      </c>
      <c r="T570" s="584"/>
      <c r="U570" s="1447">
        <v>1</v>
      </c>
      <c r="V570" s="1447"/>
      <c r="W570" s="584"/>
      <c r="X570" s="584"/>
      <c r="Y570" s="584"/>
      <c r="Z570" s="81"/>
      <c r="AG570" s="53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</row>
    <row r="571" spans="1:77" s="80" customFormat="1" ht="12.75" customHeight="1" x14ac:dyDescent="0.2">
      <c r="A571" s="2017" t="s">
        <v>1798</v>
      </c>
      <c r="B571" s="2018" t="s">
        <v>17201</v>
      </c>
      <c r="C571" s="1453">
        <f t="shared" si="103"/>
        <v>3</v>
      </c>
      <c r="E571" s="1370"/>
      <c r="F571" s="991">
        <f t="shared" si="104"/>
        <v>3</v>
      </c>
      <c r="G571" s="584"/>
      <c r="H571" s="462"/>
      <c r="I571" s="462"/>
      <c r="J571" s="462"/>
      <c r="K571" s="584"/>
      <c r="L571" s="1447"/>
      <c r="M571" s="1447"/>
      <c r="N571" s="584"/>
      <c r="O571" s="584"/>
      <c r="P571" s="584"/>
      <c r="Q571" s="1972">
        <v>1</v>
      </c>
      <c r="R571" s="1972">
        <v>1</v>
      </c>
      <c r="S571" s="584"/>
      <c r="T571" s="584"/>
      <c r="U571" s="1447"/>
      <c r="V571" s="1447"/>
      <c r="W571" s="584"/>
      <c r="X571" s="584"/>
      <c r="Y571" s="1972">
        <v>1</v>
      </c>
      <c r="Z571" s="81"/>
      <c r="AG571" s="53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</row>
    <row r="572" spans="1:77" s="80" customFormat="1" ht="12.75" customHeight="1" x14ac:dyDescent="0.2">
      <c r="A572" s="1397" t="s">
        <v>1794</v>
      </c>
      <c r="B572" s="1370" t="s">
        <v>1795</v>
      </c>
      <c r="C572" s="1453">
        <f t="shared" si="103"/>
        <v>3</v>
      </c>
      <c r="E572" s="1370"/>
      <c r="F572" s="991">
        <f t="shared" si="104"/>
        <v>3</v>
      </c>
      <c r="G572" s="584"/>
      <c r="H572" s="462"/>
      <c r="I572" s="462"/>
      <c r="J572" s="462"/>
      <c r="K572" s="584"/>
      <c r="L572" s="584"/>
      <c r="M572" s="584"/>
      <c r="N572" s="584">
        <v>1</v>
      </c>
      <c r="O572" s="584"/>
      <c r="P572" s="584"/>
      <c r="Q572" s="584"/>
      <c r="R572" s="584"/>
      <c r="S572" s="584">
        <v>1</v>
      </c>
      <c r="T572" s="584">
        <v>1</v>
      </c>
      <c r="U572" s="1447"/>
      <c r="V572" s="1447"/>
      <c r="W572" s="584"/>
      <c r="X572" s="584"/>
      <c r="Y572" s="584"/>
      <c r="Z572" s="81"/>
      <c r="AF572" s="53"/>
      <c r="AG572" s="53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</row>
    <row r="573" spans="1:77" s="80" customFormat="1" ht="12.75" customHeight="1" x14ac:dyDescent="0.2">
      <c r="A573" s="1397" t="s">
        <v>870</v>
      </c>
      <c r="B573" s="1370" t="s">
        <v>871</v>
      </c>
      <c r="C573" s="1453">
        <f t="shared" si="103"/>
        <v>1</v>
      </c>
      <c r="E573" s="1370"/>
      <c r="F573" s="991">
        <f t="shared" si="104"/>
        <v>1</v>
      </c>
      <c r="G573" s="584"/>
      <c r="H573" s="462"/>
      <c r="I573" s="462"/>
      <c r="J573" s="462"/>
      <c r="K573" s="584"/>
      <c r="L573" s="584"/>
      <c r="M573" s="584"/>
      <c r="N573" s="584"/>
      <c r="O573" s="584"/>
      <c r="P573" s="584"/>
      <c r="Q573" s="584"/>
      <c r="R573" s="584"/>
      <c r="S573" s="584"/>
      <c r="T573" s="584"/>
      <c r="U573" s="1447">
        <v>1</v>
      </c>
      <c r="V573" s="1447"/>
      <c r="W573" s="584"/>
      <c r="X573" s="584"/>
      <c r="Y573" s="584"/>
      <c r="Z573" s="81"/>
      <c r="AF573" s="53"/>
      <c r="AG573" s="5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</row>
    <row r="574" spans="1:77" s="80" customFormat="1" ht="12.75" customHeight="1" x14ac:dyDescent="0.2">
      <c r="A574" s="1426" t="s">
        <v>4893</v>
      </c>
      <c r="B574" s="1389" t="s">
        <v>4894</v>
      </c>
      <c r="C574" s="1453">
        <f t="shared" si="103"/>
        <v>0</v>
      </c>
      <c r="E574" s="1370"/>
      <c r="F574" s="991">
        <f t="shared" si="104"/>
        <v>0</v>
      </c>
      <c r="G574" s="584"/>
      <c r="H574" s="462"/>
      <c r="I574" s="462"/>
      <c r="J574" s="462"/>
      <c r="K574" s="584"/>
      <c r="L574" s="584"/>
      <c r="M574" s="584"/>
      <c r="N574" s="584"/>
      <c r="O574" s="584"/>
      <c r="P574" s="584"/>
      <c r="Q574" s="584"/>
      <c r="R574" s="584"/>
      <c r="S574" s="584"/>
      <c r="T574" s="584"/>
      <c r="U574" s="584"/>
      <c r="V574" s="1447"/>
      <c r="W574" s="584"/>
      <c r="X574" s="584"/>
      <c r="Y574" s="584"/>
      <c r="Z574" s="81"/>
      <c r="AE574"/>
      <c r="AF574" s="53"/>
      <c r="AG574" s="53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</row>
    <row r="575" spans="1:77" s="80" customFormat="1" ht="12.75" customHeight="1" x14ac:dyDescent="0.2">
      <c r="A575" s="1442" t="s">
        <v>3033</v>
      </c>
      <c r="B575" s="1374" t="s">
        <v>12025</v>
      </c>
      <c r="C575" s="1453">
        <f t="shared" si="103"/>
        <v>2</v>
      </c>
      <c r="D575" s="1370"/>
      <c r="E575" s="1370"/>
      <c r="F575" s="991">
        <f t="shared" si="104"/>
        <v>2</v>
      </c>
      <c r="G575" s="1447"/>
      <c r="H575" s="1393"/>
      <c r="I575" s="1393"/>
      <c r="J575" s="1393"/>
      <c r="K575" s="1447"/>
      <c r="L575" s="1447"/>
      <c r="M575" s="1447"/>
      <c r="N575" s="1447">
        <v>1</v>
      </c>
      <c r="O575" s="1447"/>
      <c r="P575" s="1447"/>
      <c r="Q575" s="1447"/>
      <c r="R575" s="1447"/>
      <c r="S575" s="1447"/>
      <c r="T575" s="1447"/>
      <c r="U575" s="1447"/>
      <c r="V575" s="1447">
        <v>1</v>
      </c>
      <c r="W575" s="1447"/>
      <c r="X575" s="1447"/>
      <c r="Y575" s="1447"/>
      <c r="Z575" s="81"/>
      <c r="AE575"/>
      <c r="AF575" s="53"/>
      <c r="AG575" s="53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</row>
    <row r="576" spans="1:77" s="80" customFormat="1" ht="12.75" customHeight="1" x14ac:dyDescent="0.2">
      <c r="A576" s="1560" t="s">
        <v>9701</v>
      </c>
      <c r="B576" s="1373" t="s">
        <v>9702</v>
      </c>
      <c r="C576" s="1453">
        <f t="shared" si="103"/>
        <v>2</v>
      </c>
      <c r="E576" s="1370"/>
      <c r="F576" s="991">
        <f t="shared" si="104"/>
        <v>2</v>
      </c>
      <c r="G576" s="584"/>
      <c r="H576" s="462"/>
      <c r="I576" s="462"/>
      <c r="J576" s="462"/>
      <c r="K576" s="584">
        <v>1</v>
      </c>
      <c r="L576" s="584"/>
      <c r="M576" s="584"/>
      <c r="N576" s="584"/>
      <c r="O576" s="584"/>
      <c r="P576" s="584"/>
      <c r="Q576" s="584"/>
      <c r="R576" s="584"/>
      <c r="S576" s="584"/>
      <c r="T576" s="584"/>
      <c r="U576" s="584"/>
      <c r="V576" s="584"/>
      <c r="W576" s="584">
        <v>1</v>
      </c>
      <c r="X576" s="584"/>
      <c r="Y576" s="584"/>
      <c r="Z576" s="81"/>
      <c r="AE576"/>
      <c r="AF576" s="53"/>
      <c r="AG576" s="53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</row>
    <row r="577" spans="1:77" s="80" customFormat="1" ht="12.75" customHeight="1" x14ac:dyDescent="0.2">
      <c r="A577" s="1560" t="s">
        <v>3535</v>
      </c>
      <c r="B577" s="1373" t="s">
        <v>4741</v>
      </c>
      <c r="C577" s="1453">
        <f t="shared" si="103"/>
        <v>1</v>
      </c>
      <c r="E577" s="1370"/>
      <c r="F577" s="991">
        <f t="shared" si="104"/>
        <v>1</v>
      </c>
      <c r="G577" s="584"/>
      <c r="H577" s="462"/>
      <c r="I577" s="462"/>
      <c r="J577" s="462"/>
      <c r="K577" s="584"/>
      <c r="L577" s="584"/>
      <c r="M577" s="584"/>
      <c r="N577" s="584"/>
      <c r="O577" s="584"/>
      <c r="P577" s="584"/>
      <c r="Q577" s="584">
        <v>1</v>
      </c>
      <c r="R577" s="584"/>
      <c r="S577" s="584"/>
      <c r="T577" s="584"/>
      <c r="U577" s="584"/>
      <c r="V577" s="584"/>
      <c r="W577" s="584"/>
      <c r="X577" s="584"/>
      <c r="Y577" s="584"/>
      <c r="Z577" s="81"/>
      <c r="AE577"/>
      <c r="AF577" s="53"/>
      <c r="AG577" s="53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</row>
    <row r="578" spans="1:77" s="80" customFormat="1" ht="12.75" customHeight="1" x14ac:dyDescent="0.2">
      <c r="A578" s="1397"/>
      <c r="B578" s="1370"/>
      <c r="C578" s="1383">
        <f>SUM(C561:C577)</f>
        <v>57</v>
      </c>
      <c r="E578" s="1370"/>
      <c r="F578" s="41"/>
      <c r="G578" s="637">
        <f t="shared" ref="G578:W578" si="105">SUM(G561:G577)</f>
        <v>1</v>
      </c>
      <c r="H578" s="637">
        <f t="shared" si="105"/>
        <v>2</v>
      </c>
      <c r="I578" s="637">
        <f t="shared" si="105"/>
        <v>3</v>
      </c>
      <c r="J578" s="637">
        <f t="shared" ref="J578" si="106">SUM(J561:J577)</f>
        <v>1</v>
      </c>
      <c r="K578" s="637">
        <f t="shared" si="105"/>
        <v>2</v>
      </c>
      <c r="L578" s="637">
        <f t="shared" si="105"/>
        <v>2</v>
      </c>
      <c r="M578" s="637">
        <f t="shared" ref="M578" si="107">SUM(M561:M577)</f>
        <v>4</v>
      </c>
      <c r="N578" s="637">
        <f t="shared" si="105"/>
        <v>3</v>
      </c>
      <c r="O578" s="637">
        <f t="shared" si="105"/>
        <v>3</v>
      </c>
      <c r="P578" s="637">
        <f t="shared" si="105"/>
        <v>2</v>
      </c>
      <c r="Q578" s="637">
        <f t="shared" si="105"/>
        <v>4</v>
      </c>
      <c r="R578" s="637">
        <f t="shared" si="105"/>
        <v>2</v>
      </c>
      <c r="S578" s="637">
        <f t="shared" si="105"/>
        <v>3</v>
      </c>
      <c r="T578" s="637">
        <f t="shared" si="105"/>
        <v>2</v>
      </c>
      <c r="U578" s="637">
        <f t="shared" si="105"/>
        <v>15</v>
      </c>
      <c r="V578" s="637">
        <f t="shared" ref="V578" si="108">SUM(V561:V577)</f>
        <v>3</v>
      </c>
      <c r="W578" s="637">
        <f t="shared" si="105"/>
        <v>3</v>
      </c>
      <c r="X578" s="1147"/>
      <c r="Y578" s="637">
        <f>SUM(Y561:Y577)</f>
        <v>2</v>
      </c>
      <c r="Z578" s="81"/>
      <c r="AE578" s="42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</row>
    <row r="579" spans="1:77" s="80" customFormat="1" ht="12.75" customHeight="1" x14ac:dyDescent="0.2">
      <c r="A579" s="1397"/>
      <c r="B579" s="1370"/>
      <c r="C579" s="173"/>
      <c r="E579" s="1381">
        <f>COUNT(G579:Y579)</f>
        <v>18</v>
      </c>
      <c r="F579" s="41"/>
      <c r="G579" s="637">
        <f t="shared" ref="G579:W579" si="109">COUNT(G561:G577)</f>
        <v>1</v>
      </c>
      <c r="H579" s="637">
        <f t="shared" si="109"/>
        <v>2</v>
      </c>
      <c r="I579" s="637">
        <f t="shared" si="109"/>
        <v>3</v>
      </c>
      <c r="J579" s="637">
        <f t="shared" ref="J579" si="110">COUNT(J561:J577)</f>
        <v>1</v>
      </c>
      <c r="K579" s="637">
        <f t="shared" si="109"/>
        <v>2</v>
      </c>
      <c r="L579" s="637">
        <f t="shared" si="109"/>
        <v>2</v>
      </c>
      <c r="M579" s="637">
        <f t="shared" ref="M579" si="111">COUNT(M561:M577)</f>
        <v>1</v>
      </c>
      <c r="N579" s="637">
        <f t="shared" si="109"/>
        <v>3</v>
      </c>
      <c r="O579" s="637">
        <f t="shared" si="109"/>
        <v>2</v>
      </c>
      <c r="P579" s="637">
        <f t="shared" si="109"/>
        <v>2</v>
      </c>
      <c r="Q579" s="637">
        <f t="shared" si="109"/>
        <v>4</v>
      </c>
      <c r="R579" s="637">
        <f t="shared" si="109"/>
        <v>2</v>
      </c>
      <c r="S579" s="637">
        <f t="shared" si="109"/>
        <v>3</v>
      </c>
      <c r="T579" s="637">
        <f t="shared" si="109"/>
        <v>2</v>
      </c>
      <c r="U579" s="637">
        <f t="shared" si="109"/>
        <v>4</v>
      </c>
      <c r="V579" s="637">
        <f t="shared" ref="V579" si="112">COUNT(V561:V577)</f>
        <v>2</v>
      </c>
      <c r="W579" s="637">
        <f t="shared" si="109"/>
        <v>3</v>
      </c>
      <c r="X579" s="1147"/>
      <c r="Y579" s="637">
        <f>COUNT(Y561:Y577)</f>
        <v>2</v>
      </c>
      <c r="Z579" s="81"/>
      <c r="AE579" s="42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</row>
    <row r="580" spans="1:77" s="80" customFormat="1" ht="12.75" customHeight="1" x14ac:dyDescent="0.25">
      <c r="A580" s="1397"/>
      <c r="B580" s="1370"/>
      <c r="C580" s="173"/>
      <c r="E580" s="1370"/>
      <c r="F580" s="41"/>
      <c r="G580" s="538" t="s">
        <v>4575</v>
      </c>
      <c r="H580" s="538"/>
      <c r="I580" s="538" t="s">
        <v>4901</v>
      </c>
      <c r="J580" s="538"/>
      <c r="K580" s="538" t="s">
        <v>3870</v>
      </c>
      <c r="L580" s="538"/>
      <c r="M580" s="538" t="s">
        <v>15991</v>
      </c>
      <c r="N580" s="538"/>
      <c r="O580" s="538" t="s">
        <v>4496</v>
      </c>
      <c r="P580" s="538"/>
      <c r="Q580" s="538" t="s">
        <v>2449</v>
      </c>
      <c r="R580" s="538"/>
      <c r="S580" s="538" t="s">
        <v>10936</v>
      </c>
      <c r="T580" s="538"/>
      <c r="U580" s="538" t="s">
        <v>1696</v>
      </c>
      <c r="V580" s="538"/>
      <c r="W580" s="565" t="s">
        <v>1554</v>
      </c>
      <c r="X580" s="538"/>
      <c r="Y580" s="565" t="s">
        <v>4501</v>
      </c>
      <c r="Z580" s="185"/>
      <c r="AE580" s="42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</row>
    <row r="581" spans="1:77" s="80" customFormat="1" ht="12.75" customHeight="1" x14ac:dyDescent="0.25">
      <c r="A581" s="1397"/>
      <c r="B581" s="1370"/>
      <c r="C581" s="173"/>
      <c r="E581" s="1370"/>
      <c r="F581" s="41"/>
      <c r="G581" s="515"/>
      <c r="H581" s="539" t="s">
        <v>6047</v>
      </c>
      <c r="I581" s="515"/>
      <c r="J581" s="539" t="s">
        <v>13418</v>
      </c>
      <c r="K581" s="539"/>
      <c r="L581" s="539" t="s">
        <v>770</v>
      </c>
      <c r="M581" s="539"/>
      <c r="N581" s="515" t="s">
        <v>3669</v>
      </c>
      <c r="O581" s="515"/>
      <c r="P581" s="515" t="s">
        <v>3174</v>
      </c>
      <c r="Q581" s="515"/>
      <c r="R581" s="515" t="s">
        <v>4498</v>
      </c>
      <c r="S581" s="515"/>
      <c r="T581" s="515" t="s">
        <v>10937</v>
      </c>
      <c r="U581" s="515"/>
      <c r="V581" s="515" t="s">
        <v>16253</v>
      </c>
      <c r="W581" s="515"/>
      <c r="X581" s="515" t="s">
        <v>10575</v>
      </c>
      <c r="Y581" s="515"/>
      <c r="Z581" s="539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</row>
    <row r="582" spans="1:77" s="80" customFormat="1" ht="12.75" customHeight="1" x14ac:dyDescent="0.2">
      <c r="A582" s="1397"/>
      <c r="B582" s="1370"/>
      <c r="C582" s="9"/>
      <c r="E582" s="1370"/>
      <c r="F582" s="41"/>
      <c r="G582" s="1107">
        <f>Parks!L15</f>
        <v>418</v>
      </c>
      <c r="H582" s="1161">
        <f>Parks!L37</f>
        <v>305</v>
      </c>
      <c r="I582" s="1161">
        <f>Parks!L96</f>
        <v>97</v>
      </c>
      <c r="J582" s="1161"/>
      <c r="K582" s="1126">
        <f>Parks!L212</f>
        <v>281</v>
      </c>
      <c r="L582" s="1126">
        <f>Parks!L246</f>
        <v>318</v>
      </c>
      <c r="M582" s="1126"/>
      <c r="N582" s="1126">
        <f>Parks!L345</f>
        <v>197</v>
      </c>
      <c r="O582" s="1126">
        <f>Parks!L353</f>
        <v>289</v>
      </c>
      <c r="P582" s="1126">
        <f>Parks!L355</f>
        <v>200</v>
      </c>
      <c r="Q582" s="1126">
        <f>Parks!L359</f>
        <v>95</v>
      </c>
      <c r="R582" s="1126">
        <f>Parks!L421</f>
        <v>420</v>
      </c>
      <c r="S582" s="1126">
        <f>Parks!L472</f>
        <v>265</v>
      </c>
      <c r="T582" s="1126" t="str">
        <f>Parks!L493</f>
        <v>250=</v>
      </c>
      <c r="U582" s="1126">
        <f>Parks!L496</f>
        <v>268</v>
      </c>
      <c r="V582" s="1126"/>
      <c r="W582" s="1126">
        <f>Parks!L548</f>
        <v>204</v>
      </c>
      <c r="X582" s="870"/>
      <c r="Y582" s="1126">
        <f>Parks!L584</f>
        <v>334</v>
      </c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</row>
    <row r="583" spans="1:77" s="80" customFormat="1" ht="12.75" customHeight="1" x14ac:dyDescent="0.25">
      <c r="A583" s="1397"/>
      <c r="B583" s="1370"/>
      <c r="C583" s="9"/>
      <c r="E583" s="1370"/>
      <c r="F583" s="41"/>
      <c r="G583" s="1107"/>
      <c r="H583" s="1161"/>
      <c r="I583" s="1161"/>
      <c r="J583" s="1126"/>
      <c r="K583" s="1126"/>
      <c r="L583" s="1126"/>
      <c r="M583" s="1126"/>
      <c r="N583" s="1418"/>
      <c r="O583" s="1418"/>
      <c r="P583" s="1418"/>
      <c r="Q583" s="1418"/>
      <c r="R583" s="1418"/>
      <c r="S583" s="1418"/>
      <c r="T583" s="1418"/>
      <c r="U583" s="1418"/>
      <c r="V583" s="1418"/>
      <c r="W583" s="1418"/>
      <c r="X583" s="1418"/>
      <c r="Y583" s="1370"/>
      <c r="AJ583"/>
      <c r="AK583"/>
      <c r="AL583"/>
      <c r="AM583"/>
      <c r="AN583"/>
      <c r="AO583"/>
      <c r="AP583"/>
      <c r="AQ583" s="185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</row>
    <row r="584" spans="1:77" ht="12.75" customHeight="1" x14ac:dyDescent="0.25">
      <c r="A584" s="1667"/>
      <c r="B584" s="1372"/>
      <c r="C584" s="9"/>
      <c r="G584" s="2"/>
      <c r="H584" s="2"/>
      <c r="I584" s="2"/>
      <c r="J584" s="847"/>
      <c r="K584" s="847"/>
      <c r="L584" s="7"/>
      <c r="M584" s="7"/>
      <c r="N584" s="7"/>
      <c r="O584" s="7"/>
      <c r="P584" s="7"/>
      <c r="Q584" s="7"/>
      <c r="R584" s="79"/>
      <c r="S584" s="81"/>
      <c r="T584" s="81"/>
      <c r="U584" s="81"/>
      <c r="V584" s="79"/>
      <c r="W584" s="4"/>
      <c r="X584" s="2"/>
      <c r="Y584" s="2"/>
      <c r="Z584" s="2"/>
      <c r="AA584" s="2"/>
      <c r="AB584" s="2"/>
      <c r="AG584" s="80"/>
      <c r="AR584" s="185"/>
    </row>
    <row r="585" spans="1:77" s="42" customFormat="1" ht="12.75" customHeight="1" x14ac:dyDescent="0.25">
      <c r="A585" s="1667"/>
      <c r="B585" s="1371"/>
      <c r="C585" s="9"/>
      <c r="D585"/>
      <c r="E585" s="1371"/>
      <c r="F585" s="41"/>
      <c r="G585" s="2" t="s">
        <v>12213</v>
      </c>
      <c r="H585"/>
      <c r="I585"/>
      <c r="J585"/>
      <c r="K585"/>
      <c r="L585"/>
      <c r="M585"/>
      <c r="N585" s="2"/>
      <c r="O585"/>
      <c r="P585"/>
      <c r="Q585"/>
      <c r="R585"/>
      <c r="S585"/>
      <c r="T585"/>
      <c r="U585"/>
      <c r="V585"/>
      <c r="W585"/>
      <c r="X585"/>
      <c r="Y585"/>
      <c r="Z585" s="2"/>
      <c r="AA585" s="2"/>
      <c r="AB585" s="2"/>
      <c r="AC585" s="80"/>
      <c r="AD585"/>
      <c r="AE585"/>
      <c r="AG585"/>
      <c r="AH585"/>
      <c r="AI585"/>
      <c r="AJ585"/>
      <c r="AK585"/>
      <c r="AL585"/>
      <c r="AM585"/>
      <c r="AN585" s="185"/>
      <c r="AO585" s="185"/>
      <c r="AP585" s="185"/>
      <c r="AQ585" s="1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</row>
    <row r="586" spans="1:77" ht="12.75" customHeight="1" x14ac:dyDescent="0.25">
      <c r="A586" s="1668"/>
      <c r="B586" s="1567"/>
      <c r="C586" s="181"/>
      <c r="D586" s="107"/>
      <c r="E586" s="1567"/>
      <c r="G586" s="577" t="s">
        <v>3010</v>
      </c>
      <c r="H586" s="516" t="s">
        <v>4034</v>
      </c>
      <c r="I586" s="577" t="s">
        <v>4811</v>
      </c>
      <c r="J586" s="516" t="s">
        <v>1418</v>
      </c>
      <c r="K586" s="537" t="s">
        <v>8376</v>
      </c>
      <c r="L586" s="1018" t="s">
        <v>1903</v>
      </c>
      <c r="M586" s="577" t="s">
        <v>1125</v>
      </c>
      <c r="N586" s="516" t="s">
        <v>3666</v>
      </c>
      <c r="O586" s="537" t="s">
        <v>1879</v>
      </c>
      <c r="P586" s="540" t="s">
        <v>15727</v>
      </c>
      <c r="Q586" s="1238" t="s">
        <v>10547</v>
      </c>
      <c r="R586" s="540" t="s">
        <v>16477</v>
      </c>
      <c r="S586" s="537" t="s">
        <v>5103</v>
      </c>
      <c r="T586" s="516" t="s">
        <v>5117</v>
      </c>
      <c r="U586" s="537" t="s">
        <v>3818</v>
      </c>
      <c r="V586" s="107"/>
      <c r="W586" s="107"/>
      <c r="AA586" s="185"/>
    </row>
    <row r="587" spans="1:77" ht="12.75" customHeight="1" x14ac:dyDescent="0.25">
      <c r="A587" s="1566" t="s">
        <v>481</v>
      </c>
      <c r="B587" s="1567" t="s">
        <v>4575</v>
      </c>
      <c r="C587" s="9">
        <f t="shared" ref="C587:C628" si="113">SUM(G587:U587)</f>
        <v>8</v>
      </c>
      <c r="D587" s="107"/>
      <c r="E587" s="1567"/>
      <c r="F587" s="926">
        <f t="shared" ref="F587:F628" si="114">COUNT(G587:U587)</f>
        <v>1</v>
      </c>
      <c r="G587" s="66"/>
      <c r="H587" s="66"/>
      <c r="I587" s="66">
        <v>8</v>
      </c>
      <c r="J587" s="66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W587" s="80" t="s">
        <v>12214</v>
      </c>
      <c r="Z587" s="80"/>
      <c r="AA587" s="80"/>
      <c r="AB587" s="107"/>
      <c r="AC587" s="80" t="s">
        <v>11811</v>
      </c>
      <c r="AD587" s="42"/>
      <c r="AE587" s="107"/>
      <c r="AF587" s="107"/>
      <c r="AN587" s="185"/>
      <c r="AO587" s="185"/>
      <c r="AP587" s="185"/>
      <c r="AQ587" s="185"/>
    </row>
    <row r="588" spans="1:77" ht="12.75" customHeight="1" x14ac:dyDescent="0.25">
      <c r="A588" s="1564" t="s">
        <v>7908</v>
      </c>
      <c r="B588" s="1565" t="s">
        <v>7907</v>
      </c>
      <c r="C588" s="9">
        <f t="shared" si="113"/>
        <v>1</v>
      </c>
      <c r="D588" s="107"/>
      <c r="E588" s="1567"/>
      <c r="F588" s="926">
        <f t="shared" si="114"/>
        <v>1</v>
      </c>
      <c r="G588" s="66"/>
      <c r="H588" s="66"/>
      <c r="I588" s="66"/>
      <c r="J588" s="66"/>
      <c r="K588" s="23"/>
      <c r="L588" s="23"/>
      <c r="M588" s="23"/>
      <c r="N588" s="23"/>
      <c r="O588" s="23">
        <v>1</v>
      </c>
      <c r="P588" s="1377"/>
      <c r="Q588" s="23"/>
      <c r="R588" s="23"/>
      <c r="S588" s="23"/>
      <c r="T588" s="23"/>
      <c r="U588" s="23"/>
      <c r="W588" t="s">
        <v>12156</v>
      </c>
      <c r="Z588" s="80" t="s">
        <v>10938</v>
      </c>
      <c r="AA588" s="80"/>
      <c r="AB588" s="107"/>
      <c r="AD588" s="42"/>
      <c r="AE588" s="107"/>
      <c r="AF588" s="107"/>
      <c r="AN588" s="185"/>
      <c r="AO588" s="185"/>
      <c r="AP588" s="185"/>
      <c r="AQ588" s="185"/>
    </row>
    <row r="589" spans="1:77" ht="12.75" customHeight="1" x14ac:dyDescent="0.25">
      <c r="A589" s="1564" t="s">
        <v>260</v>
      </c>
      <c r="B589" s="1565" t="s">
        <v>7907</v>
      </c>
      <c r="C589" s="1398">
        <f t="shared" si="113"/>
        <v>2</v>
      </c>
      <c r="D589" s="107"/>
      <c r="E589" s="1567"/>
      <c r="F589" s="926">
        <f t="shared" si="114"/>
        <v>2</v>
      </c>
      <c r="G589" s="66">
        <v>1</v>
      </c>
      <c r="H589" s="66"/>
      <c r="I589" s="66"/>
      <c r="J589" s="66"/>
      <c r="K589" s="23"/>
      <c r="L589" s="455"/>
      <c r="M589" s="455"/>
      <c r="N589" s="455"/>
      <c r="O589" s="455">
        <v>1</v>
      </c>
      <c r="P589" s="1381"/>
      <c r="Q589" s="455"/>
      <c r="R589" s="455"/>
      <c r="S589" s="455"/>
      <c r="T589" s="455"/>
      <c r="U589" s="455"/>
      <c r="V589" s="80"/>
      <c r="W589" t="s">
        <v>12155</v>
      </c>
      <c r="Z589" s="80" t="s">
        <v>10938</v>
      </c>
      <c r="AA589" s="80"/>
      <c r="AB589" s="107"/>
      <c r="AC589" s="107"/>
      <c r="AG589" s="185"/>
    </row>
    <row r="590" spans="1:77" ht="12.75" customHeight="1" x14ac:dyDescent="0.25">
      <c r="A590" s="1564" t="s">
        <v>4264</v>
      </c>
      <c r="B590" s="1565" t="s">
        <v>5239</v>
      </c>
      <c r="C590" s="1398">
        <f t="shared" si="113"/>
        <v>4</v>
      </c>
      <c r="D590" s="107"/>
      <c r="E590" s="1567"/>
      <c r="F590" s="926">
        <f t="shared" si="114"/>
        <v>4</v>
      </c>
      <c r="G590" s="66"/>
      <c r="H590" s="66"/>
      <c r="I590" s="66"/>
      <c r="J590" s="1441">
        <v>1</v>
      </c>
      <c r="K590" s="23"/>
      <c r="L590" s="455">
        <v>1</v>
      </c>
      <c r="M590" s="455"/>
      <c r="N590" s="1381"/>
      <c r="O590" s="1381"/>
      <c r="P590" s="1381">
        <v>1</v>
      </c>
      <c r="Q590" s="1381"/>
      <c r="R590" s="455"/>
      <c r="S590" s="455"/>
      <c r="T590" s="1381">
        <v>1</v>
      </c>
      <c r="U590" s="1381"/>
      <c r="V590" s="80"/>
      <c r="W590" s="80" t="s">
        <v>803</v>
      </c>
      <c r="X590" s="41"/>
      <c r="Y590" s="41"/>
      <c r="Z590" s="79" t="s">
        <v>10938</v>
      </c>
      <c r="AA590" s="871"/>
      <c r="AB590" s="871"/>
      <c r="AC590" s="107"/>
      <c r="AG590" s="185"/>
    </row>
    <row r="591" spans="1:77" ht="12.75" customHeight="1" x14ac:dyDescent="0.25">
      <c r="A591" s="1443" t="s">
        <v>4963</v>
      </c>
      <c r="B591" s="1444" t="s">
        <v>8339</v>
      </c>
      <c r="C591" s="1398">
        <f t="shared" si="113"/>
        <v>2</v>
      </c>
      <c r="D591" s="107"/>
      <c r="E591" s="1567"/>
      <c r="F591" s="926">
        <f t="shared" si="114"/>
        <v>2</v>
      </c>
      <c r="G591" s="66"/>
      <c r="H591" s="1441"/>
      <c r="I591" s="1441"/>
      <c r="J591" s="1441"/>
      <c r="K591" s="1377">
        <v>1</v>
      </c>
      <c r="L591" s="1381"/>
      <c r="M591" s="1381"/>
      <c r="N591" s="1381"/>
      <c r="O591" s="1381"/>
      <c r="P591" s="1381"/>
      <c r="Q591" s="1381"/>
      <c r="R591" s="1381"/>
      <c r="S591" s="455"/>
      <c r="T591" s="1381">
        <v>1</v>
      </c>
      <c r="U591" s="1381"/>
      <c r="V591" s="80"/>
      <c r="W591" s="80" t="s">
        <v>1069</v>
      </c>
      <c r="X591" s="41"/>
      <c r="Y591" s="41"/>
      <c r="Z591" s="79" t="s">
        <v>10938</v>
      </c>
      <c r="AA591" s="871"/>
      <c r="AB591" s="871"/>
      <c r="AC591" s="42" t="s">
        <v>12158</v>
      </c>
      <c r="AG591" s="185"/>
    </row>
    <row r="592" spans="1:77" ht="12.75" customHeight="1" x14ac:dyDescent="0.25">
      <c r="A592" s="1521" t="s">
        <v>726</v>
      </c>
      <c r="B592" s="1522" t="s">
        <v>1295</v>
      </c>
      <c r="C592" s="1398">
        <f t="shared" si="113"/>
        <v>9</v>
      </c>
      <c r="D592" s="107"/>
      <c r="E592" s="1567"/>
      <c r="F592" s="926">
        <f t="shared" si="114"/>
        <v>8</v>
      </c>
      <c r="G592" s="66">
        <v>1</v>
      </c>
      <c r="H592" s="1441">
        <v>1</v>
      </c>
      <c r="I592" s="1441">
        <v>1</v>
      </c>
      <c r="J592" s="1441"/>
      <c r="K592" s="1377"/>
      <c r="L592" s="1377">
        <v>1</v>
      </c>
      <c r="M592" s="1377"/>
      <c r="N592" s="1377"/>
      <c r="O592" s="1377">
        <v>1</v>
      </c>
      <c r="P592" s="1377">
        <v>1</v>
      </c>
      <c r="Q592" s="1377"/>
      <c r="R592" s="1377">
        <v>1</v>
      </c>
      <c r="S592" s="1377">
        <v>2</v>
      </c>
      <c r="T592" s="1377"/>
      <c r="U592" s="1377"/>
      <c r="V592" s="80"/>
      <c r="W592" s="2" t="s">
        <v>11190</v>
      </c>
      <c r="X592" s="2"/>
      <c r="Y592" s="2"/>
      <c r="Z592" s="2" t="s">
        <v>10938</v>
      </c>
      <c r="AA592" s="2"/>
      <c r="AB592" s="57"/>
      <c r="AC592" s="57" t="s">
        <v>11811</v>
      </c>
      <c r="AG592" s="185"/>
    </row>
    <row r="593" spans="1:72" ht="12.75" customHeight="1" x14ac:dyDescent="0.25">
      <c r="A593" s="1521" t="s">
        <v>3508</v>
      </c>
      <c r="B593" s="1522" t="s">
        <v>1295</v>
      </c>
      <c r="C593" s="1398">
        <f t="shared" si="113"/>
        <v>7</v>
      </c>
      <c r="D593" s="107"/>
      <c r="E593" s="1567"/>
      <c r="F593" s="926">
        <f t="shared" si="114"/>
        <v>6</v>
      </c>
      <c r="G593" s="66">
        <v>2</v>
      </c>
      <c r="H593" s="1441">
        <v>1</v>
      </c>
      <c r="I593" s="1441"/>
      <c r="J593" s="1441"/>
      <c r="K593" s="1377"/>
      <c r="L593" s="1377"/>
      <c r="M593" s="1377"/>
      <c r="N593" s="1377"/>
      <c r="O593" s="1377">
        <v>1</v>
      </c>
      <c r="P593" s="1377">
        <v>1</v>
      </c>
      <c r="Q593" s="1377"/>
      <c r="R593" s="1377">
        <v>1</v>
      </c>
      <c r="S593" s="1377">
        <v>1</v>
      </c>
      <c r="T593" s="1377"/>
      <c r="U593" s="1377"/>
      <c r="Z593" s="80"/>
      <c r="AB593" s="107"/>
      <c r="AC593" s="107"/>
      <c r="AD593" s="42"/>
      <c r="AG593" s="185"/>
    </row>
    <row r="594" spans="1:72" ht="12.75" customHeight="1" x14ac:dyDescent="0.25">
      <c r="A594" s="1521" t="s">
        <v>11800</v>
      </c>
      <c r="B594" s="1522" t="s">
        <v>11801</v>
      </c>
      <c r="C594" s="1398">
        <f t="shared" si="113"/>
        <v>46</v>
      </c>
      <c r="D594" s="107"/>
      <c r="E594" s="1567"/>
      <c r="F594" s="926">
        <f t="shared" si="114"/>
        <v>2</v>
      </c>
      <c r="G594" s="66"/>
      <c r="H594" s="1441"/>
      <c r="I594" s="1441"/>
      <c r="J594" s="1441"/>
      <c r="K594" s="1377"/>
      <c r="L594" s="1377"/>
      <c r="M594" s="1377"/>
      <c r="N594" s="1377">
        <v>43</v>
      </c>
      <c r="O594" s="1377"/>
      <c r="P594" s="1377"/>
      <c r="Q594" s="1377"/>
      <c r="R594" s="1377"/>
      <c r="S594" s="1377"/>
      <c r="T594" s="1377">
        <v>3</v>
      </c>
      <c r="U594" s="1377"/>
      <c r="W594" s="80" t="s">
        <v>8373</v>
      </c>
      <c r="X594" s="41"/>
      <c r="Y594" s="41"/>
      <c r="Z594" s="79" t="s">
        <v>10938</v>
      </c>
      <c r="AA594" s="871"/>
      <c r="AB594" s="871"/>
      <c r="AC594" s="107"/>
      <c r="AD594" s="42"/>
      <c r="AG594" s="185"/>
    </row>
    <row r="595" spans="1:72" ht="12.75" customHeight="1" x14ac:dyDescent="0.25">
      <c r="A595" s="1443" t="s">
        <v>3508</v>
      </c>
      <c r="B595" s="1444" t="s">
        <v>3632</v>
      </c>
      <c r="C595" s="1398">
        <f t="shared" si="113"/>
        <v>3</v>
      </c>
      <c r="D595" s="107"/>
      <c r="E595" s="1567"/>
      <c r="F595" s="926">
        <f t="shared" si="114"/>
        <v>3</v>
      </c>
      <c r="G595" s="66"/>
      <c r="H595" s="1441"/>
      <c r="I595" s="1441"/>
      <c r="J595" s="1441"/>
      <c r="K595" s="1377"/>
      <c r="L595" s="1377"/>
      <c r="M595" s="1377"/>
      <c r="N595" s="1377">
        <v>1</v>
      </c>
      <c r="O595" s="1377"/>
      <c r="P595" s="1377"/>
      <c r="Q595" s="1377">
        <v>1</v>
      </c>
      <c r="R595" s="1377"/>
      <c r="S595" s="1377">
        <v>1</v>
      </c>
      <c r="T595" s="1377"/>
      <c r="U595" s="1377"/>
      <c r="W595" s="80" t="s">
        <v>768</v>
      </c>
      <c r="X595" s="41"/>
      <c r="Y595" s="41"/>
      <c r="Z595" s="79" t="s">
        <v>12157</v>
      </c>
      <c r="AA595" s="871"/>
      <c r="AB595" s="871"/>
      <c r="AG595" s="185"/>
    </row>
    <row r="596" spans="1:72" s="42" customFormat="1" ht="12.75" customHeight="1" x14ac:dyDescent="0.2">
      <c r="A596" s="1443" t="s">
        <v>2479</v>
      </c>
      <c r="B596" s="1444" t="s">
        <v>11025</v>
      </c>
      <c r="C596" s="1398">
        <f t="shared" si="113"/>
        <v>4</v>
      </c>
      <c r="D596" s="107"/>
      <c r="E596" s="1567"/>
      <c r="F596" s="926">
        <f t="shared" si="114"/>
        <v>4</v>
      </c>
      <c r="G596" s="66">
        <v>1</v>
      </c>
      <c r="H596" s="66">
        <v>1</v>
      </c>
      <c r="I596" s="66"/>
      <c r="J596" s="66"/>
      <c r="K596" s="23"/>
      <c r="L596" s="23"/>
      <c r="M596" s="1377"/>
      <c r="N596" s="1377"/>
      <c r="O596" s="1377">
        <v>1</v>
      </c>
      <c r="P596" s="1377"/>
      <c r="Q596" s="23"/>
      <c r="R596" s="23"/>
      <c r="S596" s="1377">
        <v>1</v>
      </c>
      <c r="T596" s="1377"/>
      <c r="U596" s="1377"/>
      <c r="V596"/>
      <c r="W596" s="80" t="s">
        <v>475</v>
      </c>
      <c r="X596" s="41"/>
      <c r="Y596" s="41"/>
      <c r="Z596" s="79" t="s">
        <v>12157</v>
      </c>
      <c r="AA596" s="871"/>
      <c r="AB596" s="871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</row>
    <row r="597" spans="1:72" s="42" customFormat="1" ht="12.75" customHeight="1" x14ac:dyDescent="0.2">
      <c r="A597" s="1443" t="s">
        <v>3535</v>
      </c>
      <c r="B597" s="1444" t="s">
        <v>11025</v>
      </c>
      <c r="C597" s="1398">
        <f t="shared" si="113"/>
        <v>1</v>
      </c>
      <c r="D597" s="107"/>
      <c r="E597" s="1567"/>
      <c r="F597" s="926">
        <f t="shared" si="114"/>
        <v>1</v>
      </c>
      <c r="G597" s="66">
        <v>1</v>
      </c>
      <c r="H597" s="66"/>
      <c r="I597" s="66"/>
      <c r="J597" s="66"/>
      <c r="K597" s="23"/>
      <c r="L597" s="23"/>
      <c r="M597" s="1377"/>
      <c r="N597" s="1377"/>
      <c r="O597" s="1377"/>
      <c r="P597" s="1377"/>
      <c r="Q597" s="23"/>
      <c r="R597" s="23"/>
      <c r="S597" s="1377"/>
      <c r="T597" s="1377"/>
      <c r="U597" s="1377"/>
      <c r="V597"/>
      <c r="W597" s="80" t="s">
        <v>840</v>
      </c>
      <c r="X597" s="41"/>
      <c r="Y597" s="41"/>
      <c r="Z597" s="79" t="s">
        <v>10938</v>
      </c>
      <c r="AA597" s="871"/>
      <c r="AB597" s="871"/>
      <c r="AC597" s="10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</row>
    <row r="598" spans="1:72" s="42" customFormat="1" ht="12.75" customHeight="1" x14ac:dyDescent="0.2">
      <c r="A598" s="1566" t="s">
        <v>4576</v>
      </c>
      <c r="B598" s="1567" t="s">
        <v>4577</v>
      </c>
      <c r="C598" s="1398">
        <f t="shared" si="113"/>
        <v>2</v>
      </c>
      <c r="D598" s="1567"/>
      <c r="E598" s="1567"/>
      <c r="F598" s="926">
        <f t="shared" si="114"/>
        <v>2</v>
      </c>
      <c r="G598" s="66"/>
      <c r="H598" s="66">
        <v>1</v>
      </c>
      <c r="I598" s="66"/>
      <c r="J598" s="66"/>
      <c r="K598" s="23"/>
      <c r="L598" s="23"/>
      <c r="M598" s="1377"/>
      <c r="N598" s="1377"/>
      <c r="O598" s="1377">
        <v>1</v>
      </c>
      <c r="P598" s="1377"/>
      <c r="Q598" s="23"/>
      <c r="R598" s="23"/>
      <c r="S598" s="1377"/>
      <c r="T598" s="1377"/>
      <c r="U598" s="1377"/>
      <c r="V598"/>
      <c r="W598" s="80" t="s">
        <v>2699</v>
      </c>
      <c r="X598" s="41"/>
      <c r="Y598" s="41"/>
      <c r="Z598" s="79"/>
      <c r="AA598" s="871"/>
      <c r="AB598" s="871"/>
      <c r="AC598" s="107"/>
      <c r="AE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</row>
    <row r="599" spans="1:72" s="42" customFormat="1" ht="12.75" customHeight="1" x14ac:dyDescent="0.2">
      <c r="A599" s="1521" t="s">
        <v>922</v>
      </c>
      <c r="B599" s="1522" t="s">
        <v>1530</v>
      </c>
      <c r="C599" s="1398">
        <f t="shared" si="113"/>
        <v>2</v>
      </c>
      <c r="D599" s="1567"/>
      <c r="E599" s="1567"/>
      <c r="F599" s="926">
        <f t="shared" si="114"/>
        <v>2</v>
      </c>
      <c r="G599" s="66">
        <v>1</v>
      </c>
      <c r="H599" s="66"/>
      <c r="I599" s="66"/>
      <c r="J599" s="66"/>
      <c r="K599" s="23"/>
      <c r="L599" s="23"/>
      <c r="M599" s="1377"/>
      <c r="N599" s="1377"/>
      <c r="O599" s="1377">
        <v>1</v>
      </c>
      <c r="P599" s="1377"/>
      <c r="Q599" s="23"/>
      <c r="R599" s="23"/>
      <c r="S599" s="23"/>
      <c r="T599" s="1377"/>
      <c r="U599" s="1377"/>
      <c r="V599"/>
      <c r="W599" s="80" t="s">
        <v>10546</v>
      </c>
      <c r="X599"/>
      <c r="Y599"/>
      <c r="Z599" s="80"/>
      <c r="AA599"/>
      <c r="AB599" s="107"/>
      <c r="AC599" s="107"/>
      <c r="AD599"/>
      <c r="AE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</row>
    <row r="600" spans="1:72" s="42" customFormat="1" ht="12.75" customHeight="1" x14ac:dyDescent="0.2">
      <c r="A600" s="1566" t="s">
        <v>1796</v>
      </c>
      <c r="B600" s="1567" t="s">
        <v>1797</v>
      </c>
      <c r="C600" s="1398">
        <f t="shared" si="113"/>
        <v>1</v>
      </c>
      <c r="D600" s="1567"/>
      <c r="E600" s="1567"/>
      <c r="F600" s="926">
        <f t="shared" si="114"/>
        <v>1</v>
      </c>
      <c r="G600" s="66"/>
      <c r="H600" s="66"/>
      <c r="I600" s="66"/>
      <c r="J600" s="66">
        <v>1</v>
      </c>
      <c r="K600" s="23"/>
      <c r="L600" s="23"/>
      <c r="M600" s="1377"/>
      <c r="N600" s="1377"/>
      <c r="O600" s="1377"/>
      <c r="P600" s="1377"/>
      <c r="Q600" s="23"/>
      <c r="R600" s="23"/>
      <c r="S600" s="23"/>
      <c r="T600" s="1377"/>
      <c r="U600" s="1377"/>
      <c r="V600"/>
      <c r="W600" s="80" t="s">
        <v>7861</v>
      </c>
      <c r="X600"/>
      <c r="Y600"/>
      <c r="Z600" s="80"/>
      <c r="AA600"/>
      <c r="AB600" s="107"/>
      <c r="AC600" s="42" t="s">
        <v>11811</v>
      </c>
      <c r="AD600"/>
      <c r="AE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</row>
    <row r="601" spans="1:72" s="42" customFormat="1" ht="12.75" customHeight="1" x14ac:dyDescent="0.2">
      <c r="A601" s="1443" t="s">
        <v>10935</v>
      </c>
      <c r="B601" s="1444" t="s">
        <v>10911</v>
      </c>
      <c r="C601" s="1398">
        <f t="shared" si="113"/>
        <v>1</v>
      </c>
      <c r="D601" s="1567"/>
      <c r="E601" s="1567"/>
      <c r="F601" s="926">
        <f t="shared" si="114"/>
        <v>1</v>
      </c>
      <c r="G601" s="66"/>
      <c r="H601" s="66"/>
      <c r="I601" s="66"/>
      <c r="J601" s="66"/>
      <c r="K601" s="23"/>
      <c r="L601" s="23"/>
      <c r="M601" s="1377"/>
      <c r="N601" s="1377"/>
      <c r="O601" s="1377"/>
      <c r="P601" s="1377"/>
      <c r="Q601" s="23"/>
      <c r="R601" s="23"/>
      <c r="S601" s="23"/>
      <c r="T601" s="1377">
        <v>1</v>
      </c>
      <c r="U601" s="1377"/>
      <c r="V601"/>
      <c r="W601" s="80" t="s">
        <v>539</v>
      </c>
      <c r="X601"/>
      <c r="Y601"/>
      <c r="Z601" s="80"/>
      <c r="AA601"/>
      <c r="AB601" s="107"/>
      <c r="AC601" s="107"/>
      <c r="AD601"/>
      <c r="AE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</row>
    <row r="602" spans="1:72" s="42" customFormat="1" ht="12.75" customHeight="1" x14ac:dyDescent="0.2">
      <c r="A602" s="1564" t="s">
        <v>5980</v>
      </c>
      <c r="B602" s="1565" t="s">
        <v>4818</v>
      </c>
      <c r="C602" s="1398">
        <f t="shared" si="113"/>
        <v>1</v>
      </c>
      <c r="D602" s="1567"/>
      <c r="E602" s="1567"/>
      <c r="F602" s="926">
        <f t="shared" si="114"/>
        <v>1</v>
      </c>
      <c r="G602" s="66"/>
      <c r="H602" s="66"/>
      <c r="I602" s="66"/>
      <c r="J602" s="66"/>
      <c r="K602" s="23"/>
      <c r="L602" s="1377">
        <v>1</v>
      </c>
      <c r="M602" s="1377"/>
      <c r="N602" s="1377"/>
      <c r="O602" s="1377"/>
      <c r="P602" s="1377"/>
      <c r="Q602" s="1377"/>
      <c r="R602" s="1377"/>
      <c r="S602" s="1377"/>
      <c r="T602" s="1377"/>
      <c r="U602" s="1377"/>
      <c r="V602"/>
      <c r="W602" s="80" t="s">
        <v>3009</v>
      </c>
      <c r="X602" s="41"/>
      <c r="Y602" s="41"/>
      <c r="Z602" s="79" t="s">
        <v>10938</v>
      </c>
      <c r="AA602" s="871"/>
      <c r="AB602" s="871"/>
      <c r="AC602" s="107"/>
      <c r="AE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</row>
    <row r="603" spans="1:72" ht="12.75" customHeight="1" x14ac:dyDescent="0.2">
      <c r="A603" s="1511" t="s">
        <v>3011</v>
      </c>
      <c r="B603" s="1375" t="s">
        <v>3012</v>
      </c>
      <c r="C603" s="1398">
        <f t="shared" si="113"/>
        <v>53</v>
      </c>
      <c r="D603" s="1567"/>
      <c r="E603" s="1567"/>
      <c r="F603" s="926">
        <f t="shared" si="114"/>
        <v>5</v>
      </c>
      <c r="G603" s="23">
        <v>3</v>
      </c>
      <c r="H603" s="23"/>
      <c r="I603" s="23"/>
      <c r="J603" s="23"/>
      <c r="K603" s="23"/>
      <c r="L603" s="23"/>
      <c r="M603" s="1377"/>
      <c r="N603" s="1377">
        <v>9</v>
      </c>
      <c r="O603" s="1377"/>
      <c r="P603" s="1381">
        <v>7</v>
      </c>
      <c r="Q603" s="1377"/>
      <c r="R603" s="1377"/>
      <c r="S603" s="1377"/>
      <c r="T603" s="1377">
        <v>33</v>
      </c>
      <c r="U603" s="1377">
        <v>1</v>
      </c>
      <c r="W603" s="80" t="s">
        <v>4368</v>
      </c>
      <c r="Z603" s="79" t="s">
        <v>10938</v>
      </c>
      <c r="AA603" s="80"/>
      <c r="AB603" s="42"/>
      <c r="AC603" s="107"/>
      <c r="AD603" s="42"/>
    </row>
    <row r="604" spans="1:72" ht="12.75" customHeight="1" x14ac:dyDescent="0.2">
      <c r="A604" s="1401" t="s">
        <v>665</v>
      </c>
      <c r="B604" s="1371" t="s">
        <v>666</v>
      </c>
      <c r="C604" s="1398">
        <f t="shared" si="113"/>
        <v>8</v>
      </c>
      <c r="D604" s="1567"/>
      <c r="E604" s="1567"/>
      <c r="F604" s="926">
        <f t="shared" si="114"/>
        <v>7</v>
      </c>
      <c r="G604" s="23">
        <v>1</v>
      </c>
      <c r="H604" s="23"/>
      <c r="I604" s="23"/>
      <c r="J604" s="23"/>
      <c r="K604" s="23">
        <v>1</v>
      </c>
      <c r="L604" s="23"/>
      <c r="M604" s="23">
        <v>1</v>
      </c>
      <c r="N604" s="1377">
        <v>1</v>
      </c>
      <c r="O604" s="1377">
        <v>1</v>
      </c>
      <c r="P604" s="1377"/>
      <c r="Q604" s="1377"/>
      <c r="R604" s="1377"/>
      <c r="S604" s="1377"/>
      <c r="T604" s="1377">
        <v>2</v>
      </c>
      <c r="U604" s="23">
        <v>1</v>
      </c>
      <c r="W604" s="80" t="s">
        <v>12354</v>
      </c>
      <c r="Z604" s="79"/>
      <c r="AA604" s="80"/>
      <c r="AB604" s="42"/>
      <c r="AC604" s="107"/>
      <c r="AD604" s="42"/>
    </row>
    <row r="605" spans="1:72" ht="12.75" customHeight="1" x14ac:dyDescent="0.2">
      <c r="A605" s="1397" t="s">
        <v>16702</v>
      </c>
      <c r="B605" s="1371" t="s">
        <v>16703</v>
      </c>
      <c r="C605" s="1398">
        <f t="shared" si="113"/>
        <v>1</v>
      </c>
      <c r="D605" s="1567"/>
      <c r="E605" s="1567"/>
      <c r="F605" s="926">
        <f t="shared" si="114"/>
        <v>1</v>
      </c>
      <c r="G605" s="23"/>
      <c r="H605" s="23"/>
      <c r="I605" s="23"/>
      <c r="J605" s="23"/>
      <c r="K605" s="23"/>
      <c r="L605" s="23"/>
      <c r="M605" s="23"/>
      <c r="N605" s="1377"/>
      <c r="O605" s="1377"/>
      <c r="P605" s="1377">
        <v>1</v>
      </c>
      <c r="Q605" s="1377"/>
      <c r="R605" s="1377"/>
      <c r="S605" s="1377"/>
      <c r="T605" s="1377"/>
      <c r="U605" s="23"/>
      <c r="W605" s="80"/>
      <c r="Z605" s="79"/>
      <c r="AA605" s="80"/>
      <c r="AB605" s="42"/>
      <c r="AC605" s="107"/>
      <c r="AD605" s="42"/>
    </row>
    <row r="606" spans="1:72" ht="12.75" customHeight="1" x14ac:dyDescent="0.2">
      <c r="A606" s="1397" t="s">
        <v>3014</v>
      </c>
      <c r="B606" s="1370" t="s">
        <v>3015</v>
      </c>
      <c r="C606" s="1398">
        <f t="shared" si="113"/>
        <v>4</v>
      </c>
      <c r="D606" s="1567"/>
      <c r="E606" s="1567"/>
      <c r="F606" s="926">
        <f t="shared" si="114"/>
        <v>3</v>
      </c>
      <c r="G606" s="23"/>
      <c r="H606" s="23"/>
      <c r="I606" s="23"/>
      <c r="J606" s="23"/>
      <c r="K606" s="23"/>
      <c r="L606" s="23">
        <v>1</v>
      </c>
      <c r="M606" s="23"/>
      <c r="N606" s="1377"/>
      <c r="O606" s="1377"/>
      <c r="P606" s="1377">
        <v>1</v>
      </c>
      <c r="Q606" s="1377"/>
      <c r="R606" s="1377"/>
      <c r="S606" s="1377"/>
      <c r="T606" s="1377">
        <v>2</v>
      </c>
      <c r="U606" s="23"/>
      <c r="W606" s="80"/>
      <c r="Z606" s="79"/>
      <c r="AA606" s="80"/>
      <c r="AB606" s="42"/>
      <c r="AC606" s="107"/>
      <c r="AD606" s="42"/>
    </row>
    <row r="607" spans="1:72" ht="12.75" customHeight="1" x14ac:dyDescent="0.2">
      <c r="A607" s="1442" t="s">
        <v>2137</v>
      </c>
      <c r="B607" s="1374" t="s">
        <v>4943</v>
      </c>
      <c r="C607" s="1398">
        <f t="shared" si="113"/>
        <v>1</v>
      </c>
      <c r="D607" s="1567"/>
      <c r="E607" s="1567"/>
      <c r="F607" s="926">
        <f t="shared" si="114"/>
        <v>1</v>
      </c>
      <c r="G607" s="23"/>
      <c r="H607" s="23"/>
      <c r="I607" s="23">
        <v>1</v>
      </c>
      <c r="J607" s="23"/>
      <c r="K607" s="23"/>
      <c r="L607" s="23"/>
      <c r="M607" s="23"/>
      <c r="N607" s="23"/>
      <c r="O607" s="455"/>
      <c r="P607" s="1381"/>
      <c r="Q607" s="1388"/>
      <c r="R607" s="1388"/>
      <c r="S607" s="1377"/>
      <c r="T607" s="1377"/>
      <c r="U607" s="23"/>
    </row>
    <row r="608" spans="1:72" ht="12.75" customHeight="1" x14ac:dyDescent="0.2">
      <c r="A608" s="1426" t="s">
        <v>4878</v>
      </c>
      <c r="B608" s="1389" t="s">
        <v>3250</v>
      </c>
      <c r="C608" s="1398">
        <f t="shared" si="113"/>
        <v>4</v>
      </c>
      <c r="D608" s="1567"/>
      <c r="E608" s="1567"/>
      <c r="F608" s="926">
        <f t="shared" si="114"/>
        <v>1</v>
      </c>
      <c r="G608" s="23"/>
      <c r="H608" s="23"/>
      <c r="I608" s="23"/>
      <c r="J608" s="23"/>
      <c r="K608" s="23"/>
      <c r="L608" s="23"/>
      <c r="M608" s="23"/>
      <c r="N608" s="23"/>
      <c r="O608" s="455"/>
      <c r="P608" s="1381"/>
      <c r="Q608" s="1388"/>
      <c r="R608" s="1388"/>
      <c r="S608" s="1377"/>
      <c r="T608" s="1377">
        <v>4</v>
      </c>
      <c r="U608" s="23"/>
    </row>
    <row r="609" spans="1:22" ht="12.75" customHeight="1" x14ac:dyDescent="0.2">
      <c r="A609" s="1397" t="s">
        <v>10839</v>
      </c>
      <c r="B609" s="1370" t="s">
        <v>10840</v>
      </c>
      <c r="C609" s="1398">
        <f t="shared" si="113"/>
        <v>3</v>
      </c>
      <c r="D609" s="1567"/>
      <c r="E609" s="1567"/>
      <c r="F609" s="926">
        <f t="shared" si="114"/>
        <v>1</v>
      </c>
      <c r="G609" s="23"/>
      <c r="H609" s="23"/>
      <c r="I609" s="23"/>
      <c r="J609" s="23"/>
      <c r="K609" s="23"/>
      <c r="L609" s="23"/>
      <c r="M609" s="1377">
        <v>3</v>
      </c>
      <c r="N609" s="23"/>
      <c r="O609" s="455"/>
      <c r="P609" s="1381"/>
      <c r="Q609" s="1388"/>
      <c r="R609" s="1388"/>
      <c r="S609" s="1377"/>
      <c r="T609" s="1377"/>
      <c r="U609" s="23"/>
    </row>
    <row r="610" spans="1:22" ht="12.75" customHeight="1" x14ac:dyDescent="0.2">
      <c r="A610" s="1442" t="s">
        <v>1798</v>
      </c>
      <c r="B610" s="1374" t="s">
        <v>17201</v>
      </c>
      <c r="C610" s="1398">
        <f t="shared" si="113"/>
        <v>3</v>
      </c>
      <c r="D610" s="1567"/>
      <c r="E610" s="1567"/>
      <c r="F610" s="926">
        <f t="shared" si="114"/>
        <v>3</v>
      </c>
      <c r="G610" s="1377"/>
      <c r="H610" s="1377"/>
      <c r="I610" s="1377"/>
      <c r="J610" s="1377"/>
      <c r="K610" s="1377"/>
      <c r="L610" s="1377"/>
      <c r="M610" s="1377"/>
      <c r="N610" s="1377"/>
      <c r="O610" s="1381"/>
      <c r="P610" s="1381">
        <v>1</v>
      </c>
      <c r="Q610" s="1388"/>
      <c r="R610" s="1388"/>
      <c r="S610" s="663">
        <v>1</v>
      </c>
      <c r="T610" s="663">
        <v>1</v>
      </c>
      <c r="U610" s="1377"/>
    </row>
    <row r="611" spans="1:22" ht="12.75" customHeight="1" x14ac:dyDescent="0.2">
      <c r="A611" s="1442" t="s">
        <v>16990</v>
      </c>
      <c r="B611" s="1374" t="s">
        <v>16991</v>
      </c>
      <c r="C611" s="1398">
        <f t="shared" si="113"/>
        <v>1</v>
      </c>
      <c r="D611" s="1567"/>
      <c r="E611" s="1567"/>
      <c r="F611" s="926">
        <f t="shared" si="114"/>
        <v>1</v>
      </c>
      <c r="G611" s="1377"/>
      <c r="H611" s="663">
        <v>1</v>
      </c>
      <c r="I611" s="1377"/>
      <c r="J611" s="1377"/>
      <c r="K611" s="1377"/>
      <c r="L611" s="1377"/>
      <c r="M611" s="1377"/>
      <c r="N611" s="1377"/>
      <c r="O611" s="1381"/>
      <c r="P611" s="1381"/>
      <c r="Q611" s="1388"/>
      <c r="R611" s="1388"/>
      <c r="S611" s="1377"/>
      <c r="T611" s="1377"/>
      <c r="U611" s="1377"/>
    </row>
    <row r="612" spans="1:22" ht="12.75" customHeight="1" x14ac:dyDescent="0.2">
      <c r="A612" s="1442" t="s">
        <v>2349</v>
      </c>
      <c r="B612" s="1374" t="s">
        <v>2350</v>
      </c>
      <c r="C612" s="1398">
        <f t="shared" si="113"/>
        <v>1</v>
      </c>
      <c r="D612" s="1567"/>
      <c r="E612" s="1567"/>
      <c r="F612" s="926">
        <f t="shared" si="114"/>
        <v>1</v>
      </c>
      <c r="G612" s="23"/>
      <c r="H612" s="23"/>
      <c r="I612" s="23"/>
      <c r="J612" s="23"/>
      <c r="K612" s="23"/>
      <c r="L612" s="23"/>
      <c r="M612" s="23"/>
      <c r="N612" s="23">
        <v>1</v>
      </c>
      <c r="O612" s="455"/>
      <c r="P612" s="455"/>
      <c r="Q612" s="36"/>
      <c r="R612" s="36"/>
      <c r="S612" s="23"/>
      <c r="T612" s="23"/>
      <c r="U612" s="23"/>
    </row>
    <row r="613" spans="1:22" ht="12.75" customHeight="1" x14ac:dyDescent="0.2">
      <c r="A613" s="1397" t="s">
        <v>1794</v>
      </c>
      <c r="B613" s="1371" t="s">
        <v>1795</v>
      </c>
      <c r="C613" s="1398">
        <f t="shared" si="113"/>
        <v>1</v>
      </c>
      <c r="D613" s="1567"/>
      <c r="E613" s="1567"/>
      <c r="F613" s="926">
        <f t="shared" si="114"/>
        <v>1</v>
      </c>
      <c r="G613" s="23"/>
      <c r="H613" s="23"/>
      <c r="I613" s="23"/>
      <c r="J613" s="23"/>
      <c r="K613" s="23">
        <v>1</v>
      </c>
      <c r="L613" s="23"/>
      <c r="M613" s="455"/>
      <c r="N613" s="462"/>
      <c r="O613" s="639"/>
      <c r="P613" s="639"/>
      <c r="Q613" s="1352"/>
      <c r="R613" s="1352"/>
      <c r="S613" s="23"/>
      <c r="T613" s="23"/>
      <c r="U613" s="23"/>
    </row>
    <row r="614" spans="1:22" ht="12.75" customHeight="1" x14ac:dyDescent="0.2">
      <c r="A614" s="1399" t="s">
        <v>9377</v>
      </c>
      <c r="B614" s="1376" t="s">
        <v>9378</v>
      </c>
      <c r="C614" s="1398">
        <f t="shared" si="113"/>
        <v>1</v>
      </c>
      <c r="D614" s="1567"/>
      <c r="E614" s="1567"/>
      <c r="F614" s="926">
        <f t="shared" si="114"/>
        <v>1</v>
      </c>
      <c r="G614" s="23"/>
      <c r="H614" s="23"/>
      <c r="I614" s="23"/>
      <c r="J614" s="23"/>
      <c r="K614" s="23"/>
      <c r="L614" s="23"/>
      <c r="M614" s="455"/>
      <c r="N614" s="462"/>
      <c r="O614" s="639"/>
      <c r="P614" s="639"/>
      <c r="Q614" s="1352"/>
      <c r="R614" s="1352"/>
      <c r="S614" s="23"/>
      <c r="T614" s="23">
        <v>1</v>
      </c>
      <c r="U614" s="23"/>
    </row>
    <row r="615" spans="1:22" ht="12.75" customHeight="1" x14ac:dyDescent="0.2">
      <c r="A615" s="1397" t="s">
        <v>866</v>
      </c>
      <c r="B615" s="1370" t="s">
        <v>2417</v>
      </c>
      <c r="C615" s="1398">
        <f t="shared" si="113"/>
        <v>1</v>
      </c>
      <c r="D615" s="1567"/>
      <c r="E615" s="1567"/>
      <c r="F615" s="926">
        <f t="shared" si="114"/>
        <v>1</v>
      </c>
      <c r="G615" s="23"/>
      <c r="H615" s="23"/>
      <c r="I615" s="23"/>
      <c r="J615" s="23"/>
      <c r="K615" s="23"/>
      <c r="L615" s="23"/>
      <c r="M615" s="455"/>
      <c r="N615" s="462"/>
      <c r="O615" s="1450">
        <v>1</v>
      </c>
      <c r="P615" s="1450"/>
      <c r="Q615" s="1352"/>
      <c r="R615" s="1352"/>
      <c r="S615" s="23"/>
      <c r="T615" s="23"/>
      <c r="U615" s="23"/>
    </row>
    <row r="616" spans="1:22" ht="12.75" customHeight="1" x14ac:dyDescent="0.25">
      <c r="A616" s="1426" t="s">
        <v>3820</v>
      </c>
      <c r="B616" s="1389" t="s">
        <v>3821</v>
      </c>
      <c r="C616" s="1398">
        <f t="shared" si="113"/>
        <v>1</v>
      </c>
      <c r="D616" s="1567"/>
      <c r="E616" s="1567"/>
      <c r="F616" s="926">
        <f t="shared" si="114"/>
        <v>1</v>
      </c>
      <c r="G616" s="23"/>
      <c r="H616" s="23">
        <v>1</v>
      </c>
      <c r="I616" s="23"/>
      <c r="J616" s="23"/>
      <c r="K616" s="23"/>
      <c r="L616" s="23"/>
      <c r="M616" s="455"/>
      <c r="N616" s="462"/>
      <c r="O616" s="639"/>
      <c r="P616" s="639"/>
      <c r="Q616" s="1352"/>
      <c r="R616" s="1352"/>
      <c r="S616" s="23"/>
      <c r="T616" s="23"/>
      <c r="U616" s="23"/>
      <c r="V616" s="185"/>
    </row>
    <row r="617" spans="1:22" ht="12.75" customHeight="1" x14ac:dyDescent="0.25">
      <c r="A617" s="1426" t="s">
        <v>2426</v>
      </c>
      <c r="B617" s="1389" t="s">
        <v>2427</v>
      </c>
      <c r="C617" s="1398">
        <f t="shared" si="113"/>
        <v>1</v>
      </c>
      <c r="D617" s="1567"/>
      <c r="E617" s="1567"/>
      <c r="F617" s="926">
        <f t="shared" si="114"/>
        <v>1</v>
      </c>
      <c r="G617" s="23"/>
      <c r="H617" s="23"/>
      <c r="I617" s="23"/>
      <c r="J617" s="23"/>
      <c r="K617" s="23"/>
      <c r="L617" s="23"/>
      <c r="M617" s="455"/>
      <c r="N617" s="462"/>
      <c r="O617" s="639"/>
      <c r="P617" s="639"/>
      <c r="Q617" s="1352"/>
      <c r="R617" s="1352"/>
      <c r="S617" s="23"/>
      <c r="T617" s="23">
        <v>1</v>
      </c>
      <c r="U617" s="23"/>
      <c r="V617" s="185"/>
    </row>
    <row r="618" spans="1:22" ht="12.75" customHeight="1" x14ac:dyDescent="0.25">
      <c r="A618" s="1426" t="s">
        <v>4893</v>
      </c>
      <c r="B618" s="1389" t="s">
        <v>4894</v>
      </c>
      <c r="C618" s="1398">
        <f t="shared" si="113"/>
        <v>1</v>
      </c>
      <c r="D618" s="1567"/>
      <c r="E618" s="1567"/>
      <c r="F618" s="926">
        <f t="shared" si="114"/>
        <v>1</v>
      </c>
      <c r="G618" s="23"/>
      <c r="H618" s="23"/>
      <c r="I618" s="23"/>
      <c r="J618" s="23"/>
      <c r="K618" s="23"/>
      <c r="L618" s="23">
        <v>1</v>
      </c>
      <c r="M618" s="455"/>
      <c r="N618" s="462"/>
      <c r="O618" s="639"/>
      <c r="P618" s="639"/>
      <c r="Q618" s="1352"/>
      <c r="R618" s="1352"/>
      <c r="S618" s="23"/>
      <c r="T618" s="23"/>
      <c r="U618" s="23"/>
      <c r="V618" s="185"/>
    </row>
    <row r="619" spans="1:22" ht="12.75" customHeight="1" x14ac:dyDescent="0.25">
      <c r="A619" s="1442" t="s">
        <v>3033</v>
      </c>
      <c r="B619" s="1374" t="s">
        <v>12025</v>
      </c>
      <c r="C619" s="1398">
        <f t="shared" si="113"/>
        <v>5</v>
      </c>
      <c r="D619" s="1567"/>
      <c r="E619" s="1567"/>
      <c r="F619" s="926">
        <f t="shared" si="114"/>
        <v>2</v>
      </c>
      <c r="G619" s="1377"/>
      <c r="H619" s="1377"/>
      <c r="I619" s="1377"/>
      <c r="J619" s="1377"/>
      <c r="K619" s="1377"/>
      <c r="L619" s="1377">
        <v>1</v>
      </c>
      <c r="M619" s="1381"/>
      <c r="N619" s="1393"/>
      <c r="O619" s="1450"/>
      <c r="P619" s="1450"/>
      <c r="Q619" s="1713"/>
      <c r="R619" s="1713"/>
      <c r="S619" s="1377"/>
      <c r="T619" s="1377">
        <v>4</v>
      </c>
      <c r="U619" s="1377"/>
      <c r="V619" s="185"/>
    </row>
    <row r="620" spans="1:22" ht="12.75" customHeight="1" x14ac:dyDescent="0.25">
      <c r="A620" s="1426" t="s">
        <v>5668</v>
      </c>
      <c r="B620" s="1389" t="s">
        <v>5669</v>
      </c>
      <c r="C620" s="9">
        <f t="shared" si="113"/>
        <v>4</v>
      </c>
      <c r="D620" s="107"/>
      <c r="E620" s="1567"/>
      <c r="F620" s="926">
        <f t="shared" si="114"/>
        <v>1</v>
      </c>
      <c r="G620" s="23"/>
      <c r="H620" s="1377"/>
      <c r="I620" s="23"/>
      <c r="J620" s="23"/>
      <c r="K620" s="23"/>
      <c r="L620" s="23"/>
      <c r="M620" s="455"/>
      <c r="N620" s="462"/>
      <c r="O620" s="639"/>
      <c r="P620" s="639"/>
      <c r="Q620" s="1352"/>
      <c r="R620" s="1352"/>
      <c r="S620" s="23"/>
      <c r="T620" s="23">
        <v>4</v>
      </c>
      <c r="U620" s="23"/>
      <c r="V620" s="185"/>
    </row>
    <row r="621" spans="1:22" ht="12.75" customHeight="1" x14ac:dyDescent="0.2">
      <c r="A621" s="1397" t="s">
        <v>3962</v>
      </c>
      <c r="B621" s="1370" t="s">
        <v>5543</v>
      </c>
      <c r="C621" s="9">
        <f t="shared" si="113"/>
        <v>2</v>
      </c>
      <c r="D621" s="107"/>
      <c r="E621" s="1567"/>
      <c r="F621" s="926">
        <f t="shared" si="114"/>
        <v>1</v>
      </c>
      <c r="G621" s="23"/>
      <c r="H621" s="1377">
        <v>2</v>
      </c>
      <c r="I621" s="23"/>
      <c r="J621" s="23"/>
      <c r="K621" s="23"/>
      <c r="L621" s="23"/>
      <c r="M621" s="455"/>
      <c r="N621" s="462"/>
      <c r="O621" s="639"/>
      <c r="P621" s="639"/>
      <c r="Q621" s="1352"/>
      <c r="R621" s="1352"/>
      <c r="S621" s="23"/>
      <c r="T621" s="23"/>
      <c r="U621" s="23"/>
      <c r="V621" s="2"/>
    </row>
    <row r="622" spans="1:22" ht="12.75" customHeight="1" x14ac:dyDescent="0.2">
      <c r="A622" s="1397" t="s">
        <v>866</v>
      </c>
      <c r="B622" s="1370" t="s">
        <v>5543</v>
      </c>
      <c r="C622" s="9">
        <f t="shared" si="113"/>
        <v>2</v>
      </c>
      <c r="D622" s="107"/>
      <c r="E622" s="1567"/>
      <c r="F622" s="926">
        <f t="shared" si="114"/>
        <v>1</v>
      </c>
      <c r="G622" s="23"/>
      <c r="H622" s="1377">
        <v>2</v>
      </c>
      <c r="I622" s="23"/>
      <c r="J622" s="23"/>
      <c r="K622" s="23"/>
      <c r="L622" s="23"/>
      <c r="M622" s="455"/>
      <c r="N622" s="462"/>
      <c r="O622" s="639"/>
      <c r="P622" s="639"/>
      <c r="Q622" s="1352"/>
      <c r="R622" s="1352"/>
      <c r="S622" s="23"/>
      <c r="T622" s="23"/>
      <c r="U622" s="23"/>
      <c r="V622" s="2"/>
    </row>
    <row r="623" spans="1:22" ht="12.75" customHeight="1" x14ac:dyDescent="0.2">
      <c r="A623" s="1397" t="s">
        <v>5542</v>
      </c>
      <c r="B623" s="1370" t="s">
        <v>5543</v>
      </c>
      <c r="C623" s="9">
        <f t="shared" si="113"/>
        <v>2</v>
      </c>
      <c r="D623" s="107"/>
      <c r="E623" s="1567"/>
      <c r="F623" s="926">
        <f t="shared" si="114"/>
        <v>1</v>
      </c>
      <c r="G623" s="23"/>
      <c r="H623" s="1377">
        <v>2</v>
      </c>
      <c r="I623" s="23"/>
      <c r="J623" s="23"/>
      <c r="K623" s="23"/>
      <c r="L623" s="23"/>
      <c r="M623" s="455"/>
      <c r="N623" s="462"/>
      <c r="O623" s="639"/>
      <c r="P623" s="639"/>
      <c r="Q623" s="1352"/>
      <c r="R623" s="1352"/>
      <c r="S623" s="23"/>
      <c r="T623" s="23"/>
      <c r="U623" s="23"/>
    </row>
    <row r="624" spans="1:22" ht="12.75" customHeight="1" x14ac:dyDescent="0.2">
      <c r="A624" s="1397" t="s">
        <v>9656</v>
      </c>
      <c r="B624" s="1370" t="s">
        <v>9657</v>
      </c>
      <c r="C624" s="9">
        <f t="shared" si="113"/>
        <v>1</v>
      </c>
      <c r="D624" s="107"/>
      <c r="E624" s="1567"/>
      <c r="F624" s="926">
        <f t="shared" si="114"/>
        <v>1</v>
      </c>
      <c r="G624" s="23"/>
      <c r="H624" s="1377"/>
      <c r="I624" s="23"/>
      <c r="J624" s="23"/>
      <c r="K624" s="23"/>
      <c r="L624" s="23"/>
      <c r="M624" s="455"/>
      <c r="N624" s="462"/>
      <c r="O624" s="639"/>
      <c r="P624" s="639"/>
      <c r="Q624" s="1352"/>
      <c r="R624" s="1352"/>
      <c r="S624" s="23">
        <v>1</v>
      </c>
      <c r="T624" s="23"/>
      <c r="U624" s="23"/>
    </row>
    <row r="625" spans="1:32" ht="12.75" customHeight="1" x14ac:dyDescent="0.2">
      <c r="A625" s="1401" t="s">
        <v>4789</v>
      </c>
      <c r="B625" s="1371" t="s">
        <v>4788</v>
      </c>
      <c r="C625" s="9">
        <f t="shared" si="113"/>
        <v>11</v>
      </c>
      <c r="D625" s="107"/>
      <c r="E625" s="1567"/>
      <c r="F625" s="926">
        <f t="shared" si="114"/>
        <v>2</v>
      </c>
      <c r="G625" s="23"/>
      <c r="H625" s="1377">
        <v>1</v>
      </c>
      <c r="I625" s="23">
        <v>10</v>
      </c>
      <c r="J625" s="23"/>
      <c r="K625" s="23"/>
      <c r="L625" s="23"/>
      <c r="M625" s="23"/>
      <c r="N625" s="23"/>
      <c r="O625" s="455"/>
      <c r="P625" s="455"/>
      <c r="Q625" s="23"/>
      <c r="R625" s="23"/>
      <c r="S625" s="23"/>
      <c r="T625" s="23"/>
      <c r="U625" s="23"/>
    </row>
    <row r="626" spans="1:32" ht="12.75" customHeight="1" x14ac:dyDescent="0.2">
      <c r="A626" s="1401" t="s">
        <v>5542</v>
      </c>
      <c r="B626" s="1371" t="s">
        <v>4788</v>
      </c>
      <c r="C626" s="9">
        <f t="shared" si="113"/>
        <v>9</v>
      </c>
      <c r="D626" s="107"/>
      <c r="E626" s="1567"/>
      <c r="F626" s="926">
        <f t="shared" si="114"/>
        <v>1</v>
      </c>
      <c r="G626" s="23"/>
      <c r="H626" s="1377"/>
      <c r="I626" s="23">
        <v>9</v>
      </c>
      <c r="J626" s="23"/>
      <c r="K626" s="23"/>
      <c r="L626" s="23"/>
      <c r="M626" s="455"/>
      <c r="N626" s="462"/>
      <c r="O626" s="639"/>
      <c r="P626" s="639"/>
      <c r="Q626" s="1352"/>
      <c r="R626" s="1352"/>
      <c r="S626" s="23"/>
      <c r="T626" s="23"/>
      <c r="U626" s="23"/>
    </row>
    <row r="627" spans="1:32" ht="12.75" customHeight="1" x14ac:dyDescent="0.2">
      <c r="A627" s="1397" t="s">
        <v>3535</v>
      </c>
      <c r="B627" s="1370" t="s">
        <v>4741</v>
      </c>
      <c r="C627" s="9">
        <f t="shared" si="113"/>
        <v>4</v>
      </c>
      <c r="D627" s="107"/>
      <c r="E627" s="1567"/>
      <c r="F627" s="926">
        <f t="shared" si="114"/>
        <v>4</v>
      </c>
      <c r="G627" s="23"/>
      <c r="H627" s="1377"/>
      <c r="I627" s="23"/>
      <c r="J627" s="1377">
        <v>1</v>
      </c>
      <c r="K627" s="23"/>
      <c r="L627" s="23">
        <v>1</v>
      </c>
      <c r="M627" s="455"/>
      <c r="N627" s="462"/>
      <c r="O627" s="639"/>
      <c r="P627" s="1450">
        <v>1</v>
      </c>
      <c r="Q627" s="1352"/>
      <c r="R627" s="1352"/>
      <c r="S627" s="23"/>
      <c r="T627" s="1377">
        <v>1</v>
      </c>
      <c r="U627" s="23"/>
    </row>
    <row r="628" spans="1:32" ht="12.75" customHeight="1" x14ac:dyDescent="0.2">
      <c r="A628" s="1397" t="s">
        <v>2703</v>
      </c>
      <c r="B628" s="1371" t="s">
        <v>2704</v>
      </c>
      <c r="C628" s="9">
        <f t="shared" si="113"/>
        <v>2</v>
      </c>
      <c r="D628" s="107"/>
      <c r="E628" s="1567"/>
      <c r="F628" s="926">
        <f t="shared" si="114"/>
        <v>1</v>
      </c>
      <c r="G628" s="23"/>
      <c r="H628" s="1377">
        <v>2</v>
      </c>
      <c r="I628" s="23"/>
      <c r="J628" s="23"/>
      <c r="K628" s="23"/>
      <c r="L628" s="23"/>
      <c r="M628" s="23"/>
      <c r="N628" s="23"/>
      <c r="O628" s="23"/>
      <c r="P628" s="23"/>
      <c r="Q628" s="36"/>
      <c r="R628" s="36"/>
      <c r="S628" s="23"/>
      <c r="T628" s="23"/>
      <c r="U628" s="23"/>
    </row>
    <row r="629" spans="1:32" ht="12.75" customHeight="1" x14ac:dyDescent="0.2">
      <c r="A629" s="1667"/>
      <c r="C629" s="20">
        <f>SUM(C587:C628)</f>
        <v>221</v>
      </c>
      <c r="G629" s="28">
        <f>SUM(G587:G628)</f>
        <v>11</v>
      </c>
      <c r="H629" s="28">
        <f>SUM(H587:H628)</f>
        <v>15</v>
      </c>
      <c r="I629" s="28">
        <f>SUM(I587:I628)</f>
        <v>29</v>
      </c>
      <c r="J629" s="28">
        <f>SUM(J587:J628)</f>
        <v>3</v>
      </c>
      <c r="K629" s="28">
        <f>SUM(K587:K628)</f>
        <v>3</v>
      </c>
      <c r="L629" s="28">
        <f t="shared" ref="L629:Q629" si="115">SUM(L587:L628)</f>
        <v>7</v>
      </c>
      <c r="M629" s="28">
        <f t="shared" si="115"/>
        <v>4</v>
      </c>
      <c r="N629" s="28">
        <f t="shared" si="115"/>
        <v>55</v>
      </c>
      <c r="O629" s="28">
        <f t="shared" si="115"/>
        <v>9</v>
      </c>
      <c r="P629" s="28">
        <f t="shared" ref="P629" si="116">SUM(P587:P628)</f>
        <v>14</v>
      </c>
      <c r="Q629" s="28">
        <f t="shared" si="115"/>
        <v>1</v>
      </c>
      <c r="R629" s="28">
        <f t="shared" ref="R629" si="117">SUM(R587:R628)</f>
        <v>2</v>
      </c>
      <c r="S629" s="28">
        <f t="shared" ref="S629" si="118">SUM(S587:S628)</f>
        <v>7</v>
      </c>
      <c r="T629" s="28">
        <f t="shared" ref="T629" si="119">SUM(T587:T628)</f>
        <v>59</v>
      </c>
      <c r="U629" s="28">
        <f t="shared" ref="U629" si="120">SUM(U587:U628)</f>
        <v>2</v>
      </c>
    </row>
    <row r="630" spans="1:32" ht="12.75" customHeight="1" x14ac:dyDescent="0.2">
      <c r="A630" s="1667"/>
      <c r="C630" s="9"/>
      <c r="E630" s="1377">
        <f>COUNT(G630:U630)</f>
        <v>15</v>
      </c>
      <c r="G630" s="28">
        <f>COUNT(G587:G628)</f>
        <v>8</v>
      </c>
      <c r="H630" s="28">
        <f>COUNT(H587:H628)</f>
        <v>11</v>
      </c>
      <c r="I630" s="28">
        <f>COUNT(I587:I628)</f>
        <v>5</v>
      </c>
      <c r="J630" s="28">
        <f>COUNT(J587:J628)</f>
        <v>3</v>
      </c>
      <c r="K630" s="28">
        <f>COUNT(K587:K628)</f>
        <v>3</v>
      </c>
      <c r="L630" s="28">
        <f t="shared" ref="L630:Q630" si="121">COUNT(L587:L628)</f>
        <v>7</v>
      </c>
      <c r="M630" s="28">
        <f t="shared" si="121"/>
        <v>2</v>
      </c>
      <c r="N630" s="28">
        <f t="shared" si="121"/>
        <v>5</v>
      </c>
      <c r="O630" s="28">
        <f t="shared" si="121"/>
        <v>9</v>
      </c>
      <c r="P630" s="28">
        <f t="shared" ref="P630" si="122">COUNT(P587:P628)</f>
        <v>8</v>
      </c>
      <c r="Q630" s="28">
        <f t="shared" si="121"/>
        <v>1</v>
      </c>
      <c r="R630" s="28">
        <f t="shared" ref="R630" si="123">COUNT(R587:R628)</f>
        <v>2</v>
      </c>
      <c r="S630" s="28">
        <f>COUNT(S587:S628)</f>
        <v>6</v>
      </c>
      <c r="T630" s="28">
        <f>COUNT(T587:T628)</f>
        <v>14</v>
      </c>
      <c r="U630" s="28">
        <f>COUNT(U587:U628)</f>
        <v>2</v>
      </c>
    </row>
    <row r="631" spans="1:32" ht="12.75" customHeight="1" x14ac:dyDescent="0.25">
      <c r="A631" s="1667"/>
      <c r="C631" s="9"/>
      <c r="G631" s="538" t="s">
        <v>8901</v>
      </c>
      <c r="H631" s="538"/>
      <c r="I631" s="538" t="s">
        <v>803</v>
      </c>
      <c r="J631" s="538"/>
      <c r="K631" s="538" t="s">
        <v>8373</v>
      </c>
      <c r="L631" s="627"/>
      <c r="M631" s="538" t="s">
        <v>4875</v>
      </c>
      <c r="N631" s="561"/>
      <c r="O631" s="538" t="s">
        <v>2699</v>
      </c>
      <c r="P631" s="538"/>
      <c r="Q631" s="538" t="s">
        <v>10557</v>
      </c>
      <c r="R631" s="538"/>
      <c r="S631" s="538" t="s">
        <v>3872</v>
      </c>
      <c r="T631" s="538"/>
      <c r="U631" s="561" t="s">
        <v>4368</v>
      </c>
    </row>
    <row r="632" spans="1:32" ht="12.75" customHeight="1" x14ac:dyDescent="0.25">
      <c r="A632" s="1667"/>
      <c r="C632" s="9"/>
      <c r="G632" s="539"/>
      <c r="H632" s="539" t="s">
        <v>802</v>
      </c>
      <c r="I632" s="515"/>
      <c r="J632" s="539" t="s">
        <v>768</v>
      </c>
      <c r="K632" s="539"/>
      <c r="L632" s="515" t="s">
        <v>475</v>
      </c>
      <c r="M632" s="539"/>
      <c r="N632" s="558" t="s">
        <v>840</v>
      </c>
      <c r="O632" s="539"/>
      <c r="P632" s="539" t="s">
        <v>16478</v>
      </c>
      <c r="Q632" s="539"/>
      <c r="R632" s="539" t="s">
        <v>16476</v>
      </c>
      <c r="S632" s="539"/>
      <c r="T632" s="539" t="s">
        <v>3009</v>
      </c>
      <c r="U632" s="558"/>
    </row>
    <row r="633" spans="1:32" ht="12.75" customHeight="1" x14ac:dyDescent="0.2">
      <c r="A633" s="1667"/>
      <c r="C633" s="9"/>
      <c r="G633" s="479">
        <v>90</v>
      </c>
      <c r="H633" s="479">
        <v>158</v>
      </c>
      <c r="I633" s="479">
        <v>131</v>
      </c>
      <c r="J633" s="477">
        <v>245</v>
      </c>
      <c r="K633" s="476">
        <v>366</v>
      </c>
      <c r="L633" s="1126">
        <f>Parks!L273</f>
        <v>392</v>
      </c>
      <c r="M633" s="1126">
        <f>Parks!L116</f>
        <v>88</v>
      </c>
      <c r="N633" s="1126">
        <f>Parks!L293</f>
        <v>130</v>
      </c>
      <c r="O633" s="1126">
        <f>Parks!L295</f>
        <v>319</v>
      </c>
      <c r="P633" s="1126"/>
      <c r="Q633" s="1126">
        <f>Parks!L323</f>
        <v>436</v>
      </c>
      <c r="R633" s="1126"/>
      <c r="S633" s="1126">
        <f>Parks!L438</f>
        <v>431</v>
      </c>
      <c r="T633" s="1126">
        <f>Parks!L545</f>
        <v>40</v>
      </c>
      <c r="U633" s="1126">
        <f>Parks!L599</f>
        <v>400</v>
      </c>
    </row>
    <row r="634" spans="1:32" ht="12.75" customHeight="1" x14ac:dyDescent="0.25">
      <c r="A634" s="1667"/>
      <c r="C634" s="9"/>
      <c r="G634" s="7"/>
      <c r="H634" s="7"/>
      <c r="I634" s="2"/>
      <c r="J634" s="7"/>
      <c r="K634" s="7"/>
      <c r="L634" s="70"/>
      <c r="M634" s="1156"/>
      <c r="O634" s="42"/>
    </row>
    <row r="635" spans="1:32" ht="12.75" customHeight="1" x14ac:dyDescent="0.25">
      <c r="A635" s="1446"/>
      <c r="C635" s="9"/>
      <c r="G635" s="430"/>
      <c r="H635" s="364"/>
      <c r="I635" s="364"/>
      <c r="J635" s="364"/>
      <c r="K635" s="364"/>
      <c r="L635" s="364"/>
      <c r="M635" s="364"/>
      <c r="N635" s="364"/>
      <c r="O635" s="364"/>
      <c r="P635" s="185"/>
      <c r="Q635" s="364"/>
      <c r="R635" s="410"/>
      <c r="S635" s="364"/>
      <c r="T635" s="364"/>
      <c r="U635" s="364"/>
      <c r="V635" s="410"/>
      <c r="W635" s="185"/>
      <c r="X635" s="185"/>
      <c r="Y635" s="185"/>
      <c r="Z635" s="410"/>
      <c r="AB635" s="41"/>
      <c r="AC635" s="41"/>
      <c r="AD635" s="41"/>
      <c r="AE635" s="41"/>
    </row>
    <row r="636" spans="1:32" ht="12.75" customHeight="1" thickBot="1" x14ac:dyDescent="0.3">
      <c r="A636" s="1446"/>
      <c r="C636" s="9"/>
      <c r="G636" s="70" t="s">
        <v>6274</v>
      </c>
      <c r="H636" s="364"/>
      <c r="I636" s="364"/>
      <c r="J636" s="364"/>
      <c r="K636" s="70" t="s">
        <v>11892</v>
      </c>
      <c r="L636" s="364"/>
      <c r="M636" s="364"/>
      <c r="N636" s="364"/>
      <c r="O636" s="364"/>
      <c r="P636" s="430"/>
      <c r="Q636" s="364"/>
      <c r="R636" s="364"/>
      <c r="S636" s="185"/>
      <c r="T636" s="364"/>
      <c r="U636" s="185"/>
      <c r="V636" s="364"/>
      <c r="W636" s="185"/>
      <c r="X636" s="185"/>
      <c r="Y636" s="185"/>
      <c r="Z636" s="410"/>
      <c r="AB636" s="41"/>
      <c r="AC636" s="41"/>
      <c r="AD636" s="41"/>
      <c r="AE636" s="41"/>
    </row>
    <row r="637" spans="1:32" ht="12.75" customHeight="1" x14ac:dyDescent="0.25">
      <c r="A637" s="1446"/>
      <c r="C637" s="9"/>
      <c r="G637" s="586" t="s">
        <v>2030</v>
      </c>
      <c r="H637" s="587" t="s">
        <v>4934</v>
      </c>
      <c r="I637" s="364"/>
      <c r="J637" s="364"/>
      <c r="K637" s="587" t="s">
        <v>17244</v>
      </c>
      <c r="L637" s="2022" t="s">
        <v>11873</v>
      </c>
      <c r="M637" s="364"/>
      <c r="N637" s="364"/>
      <c r="O637" s="364"/>
      <c r="P637" s="364"/>
      <c r="Q637" s="430"/>
      <c r="R637" s="364"/>
      <c r="S637" s="364"/>
      <c r="T637" s="185"/>
      <c r="U637" s="364"/>
      <c r="V637" s="185"/>
      <c r="W637" s="364"/>
      <c r="X637" s="185"/>
      <c r="Y637" s="185"/>
      <c r="Z637" s="185"/>
      <c r="AA637" s="410"/>
      <c r="AC637" s="41"/>
      <c r="AD637" s="41"/>
      <c r="AE637" s="41"/>
      <c r="AF637" s="41"/>
    </row>
    <row r="638" spans="1:32" ht="12.75" customHeight="1" x14ac:dyDescent="0.25">
      <c r="A638" s="1446" t="s">
        <v>3251</v>
      </c>
      <c r="B638" s="1371" t="s">
        <v>3252</v>
      </c>
      <c r="C638" s="9">
        <f t="shared" ref="C638:C655" si="124">SUM(G638:L638)</f>
        <v>1</v>
      </c>
      <c r="F638" s="977">
        <f t="shared" ref="F638:F655" si="125">COUNT(G638:L638)</f>
        <v>1</v>
      </c>
      <c r="G638" s="639"/>
      <c r="H638" s="584">
        <v>1</v>
      </c>
      <c r="I638" s="364"/>
      <c r="J638" s="364"/>
      <c r="K638" s="1355"/>
      <c r="L638" s="2019"/>
      <c r="M638" s="364"/>
      <c r="N638" s="364"/>
      <c r="O638" s="364"/>
      <c r="P638" s="364"/>
      <c r="Q638" s="430"/>
      <c r="R638" s="364"/>
      <c r="S638" s="364"/>
      <c r="T638" s="185"/>
      <c r="U638" s="364"/>
      <c r="V638" s="185"/>
      <c r="W638" s="364"/>
      <c r="X638" s="185"/>
      <c r="Y638" s="185"/>
      <c r="Z638" s="185"/>
      <c r="AA638" s="410"/>
      <c r="AC638" s="41"/>
      <c r="AD638" s="41"/>
      <c r="AE638" s="41"/>
      <c r="AF638" s="41"/>
    </row>
    <row r="639" spans="1:32" ht="12.75" customHeight="1" x14ac:dyDescent="0.25">
      <c r="A639" s="1397" t="s">
        <v>7909</v>
      </c>
      <c r="B639" s="1370" t="s">
        <v>7907</v>
      </c>
      <c r="C639" s="9">
        <f t="shared" si="124"/>
        <v>1</v>
      </c>
      <c r="F639" s="977">
        <f t="shared" si="125"/>
        <v>1</v>
      </c>
      <c r="G639" s="639"/>
      <c r="H639" s="584">
        <v>1</v>
      </c>
      <c r="I639" s="364"/>
      <c r="J639" s="364"/>
      <c r="K639" s="1355"/>
      <c r="L639" s="2019"/>
      <c r="M639" s="364"/>
      <c r="N639" s="364"/>
      <c r="O639" s="364"/>
      <c r="P639" s="364"/>
      <c r="Q639" s="430"/>
      <c r="R639" s="364"/>
      <c r="S639" s="364"/>
      <c r="T639" s="185"/>
      <c r="U639" s="364"/>
      <c r="V639" s="185"/>
      <c r="W639" s="364"/>
      <c r="X639" s="185"/>
      <c r="Y639" s="185"/>
      <c r="Z639" s="185"/>
      <c r="AA639" s="410"/>
      <c r="AC639" s="41"/>
      <c r="AD639" s="41"/>
      <c r="AE639" s="41"/>
      <c r="AF639" s="41"/>
    </row>
    <row r="640" spans="1:32" ht="12.75" customHeight="1" x14ac:dyDescent="0.25">
      <c r="A640" s="1397" t="s">
        <v>260</v>
      </c>
      <c r="B640" s="1370" t="s">
        <v>7907</v>
      </c>
      <c r="C640" s="9">
        <f t="shared" si="124"/>
        <v>1</v>
      </c>
      <c r="F640" s="977">
        <f t="shared" si="125"/>
        <v>1</v>
      </c>
      <c r="G640" s="639"/>
      <c r="H640" s="584">
        <v>1</v>
      </c>
      <c r="I640" s="364"/>
      <c r="J640" s="364"/>
      <c r="K640" s="1355"/>
      <c r="L640" s="2020"/>
      <c r="M640" s="364"/>
      <c r="N640" s="364"/>
      <c r="O640" s="364"/>
      <c r="P640" s="364"/>
      <c r="Q640" s="430"/>
      <c r="R640" s="364"/>
      <c r="S640" s="364"/>
      <c r="T640" s="185"/>
      <c r="U640" s="364"/>
      <c r="V640" s="185"/>
      <c r="W640" s="364"/>
      <c r="X640" s="185"/>
      <c r="Y640" s="185"/>
      <c r="Z640" s="185"/>
      <c r="AA640" s="410"/>
      <c r="AC640" s="41"/>
      <c r="AD640" s="41"/>
      <c r="AE640" s="41"/>
      <c r="AF640" s="41"/>
    </row>
    <row r="641" spans="1:32" ht="12.75" customHeight="1" x14ac:dyDescent="0.25">
      <c r="A641" s="1397" t="s">
        <v>4963</v>
      </c>
      <c r="B641" s="1370" t="s">
        <v>8339</v>
      </c>
      <c r="C641" s="9">
        <f t="shared" si="124"/>
        <v>2</v>
      </c>
      <c r="F641" s="977">
        <f t="shared" si="125"/>
        <v>2</v>
      </c>
      <c r="G641" s="584">
        <v>1</v>
      </c>
      <c r="H641" s="584">
        <v>1</v>
      </c>
      <c r="I641" s="364"/>
      <c r="J641" s="364"/>
      <c r="K641" s="1355"/>
      <c r="L641" s="2020"/>
      <c r="M641" s="364"/>
      <c r="N641" s="364"/>
      <c r="O641" s="364"/>
      <c r="P641" s="364"/>
      <c r="Q641" s="430"/>
      <c r="R641" s="364"/>
      <c r="S641" s="364"/>
      <c r="T641" s="185"/>
      <c r="U641" s="364"/>
      <c r="V641" s="185"/>
      <c r="W641" s="364"/>
      <c r="X641" s="185"/>
      <c r="Y641" s="185"/>
      <c r="Z641" s="185"/>
      <c r="AA641" s="410"/>
      <c r="AC641" s="41"/>
      <c r="AD641" s="41"/>
      <c r="AE641" s="41"/>
      <c r="AF641" s="41"/>
    </row>
    <row r="642" spans="1:32" ht="12.75" customHeight="1" x14ac:dyDescent="0.25">
      <c r="A642" s="1442" t="s">
        <v>726</v>
      </c>
      <c r="B642" s="1374" t="s">
        <v>1295</v>
      </c>
      <c r="C642" s="9">
        <f t="shared" si="124"/>
        <v>4</v>
      </c>
      <c r="F642" s="977">
        <f t="shared" si="125"/>
        <v>2</v>
      </c>
      <c r="G642" s="584"/>
      <c r="H642" s="584">
        <v>1</v>
      </c>
      <c r="I642" s="364"/>
      <c r="J642" s="364"/>
      <c r="K642" s="1355"/>
      <c r="L642" s="2021">
        <v>3</v>
      </c>
      <c r="M642" s="364"/>
      <c r="N642" s="364"/>
      <c r="O642" s="364"/>
      <c r="P642" s="364"/>
      <c r="Q642" s="430"/>
      <c r="R642" s="364"/>
      <c r="S642" s="364"/>
      <c r="T642" s="185"/>
      <c r="U642" s="364"/>
      <c r="V642" s="185"/>
      <c r="W642" s="364"/>
      <c r="X642" s="185"/>
      <c r="Y642" s="185"/>
      <c r="Z642" s="185"/>
      <c r="AA642" s="410"/>
      <c r="AC642" s="41"/>
      <c r="AD642" s="41"/>
      <c r="AE642" s="41"/>
      <c r="AF642" s="41"/>
    </row>
    <row r="643" spans="1:32" ht="12.75" customHeight="1" x14ac:dyDescent="0.25">
      <c r="A643" s="1442" t="s">
        <v>3508</v>
      </c>
      <c r="B643" s="1374" t="s">
        <v>1295</v>
      </c>
      <c r="C643" s="9">
        <f t="shared" si="124"/>
        <v>4</v>
      </c>
      <c r="F643" s="977">
        <f t="shared" si="125"/>
        <v>2</v>
      </c>
      <c r="G643" s="584"/>
      <c r="H643" s="584">
        <v>1</v>
      </c>
      <c r="I643" s="364"/>
      <c r="J643" s="364"/>
      <c r="K643" s="1355"/>
      <c r="L643" s="2021">
        <v>3</v>
      </c>
      <c r="M643" s="364"/>
      <c r="N643" s="364"/>
      <c r="O643" s="364"/>
      <c r="P643" s="364"/>
      <c r="Q643" s="430"/>
      <c r="R643" s="364"/>
      <c r="S643" s="364"/>
      <c r="T643" s="185"/>
      <c r="U643" s="364"/>
      <c r="V643" s="185"/>
      <c r="W643" s="364"/>
      <c r="X643" s="185"/>
      <c r="Y643" s="185"/>
      <c r="Z643" s="185"/>
      <c r="AA643" s="410"/>
      <c r="AC643" s="41"/>
      <c r="AD643" s="41"/>
      <c r="AE643" s="41"/>
      <c r="AF643" s="41"/>
    </row>
    <row r="644" spans="1:32" ht="12.75" customHeight="1" x14ac:dyDescent="0.25">
      <c r="A644" s="1397" t="s">
        <v>11800</v>
      </c>
      <c r="B644" s="1370" t="s">
        <v>11801</v>
      </c>
      <c r="C644" s="9">
        <f t="shared" si="124"/>
        <v>1</v>
      </c>
      <c r="F644" s="977">
        <f t="shared" si="125"/>
        <v>1</v>
      </c>
      <c r="G644" s="584"/>
      <c r="H644" s="584">
        <v>1</v>
      </c>
      <c r="I644" s="364"/>
      <c r="J644" s="364"/>
      <c r="K644" s="1355"/>
      <c r="L644" s="2020"/>
      <c r="M644" s="364"/>
      <c r="N644" s="364"/>
      <c r="O644" s="364"/>
      <c r="P644" s="364"/>
      <c r="Q644" s="430"/>
      <c r="R644" s="364"/>
      <c r="S644" s="364"/>
      <c r="T644" s="185"/>
      <c r="U644" s="364"/>
      <c r="V644" s="185"/>
      <c r="W644" s="364"/>
      <c r="X644" s="185"/>
      <c r="Y644" s="185"/>
      <c r="Z644" s="185"/>
      <c r="AA644" s="410"/>
      <c r="AC644" s="41"/>
      <c r="AD644" s="41"/>
      <c r="AE644" s="41"/>
      <c r="AF644" s="41"/>
    </row>
    <row r="645" spans="1:32" ht="12.75" customHeight="1" x14ac:dyDescent="0.25">
      <c r="A645" s="1442" t="s">
        <v>922</v>
      </c>
      <c r="B645" s="1374" t="s">
        <v>1530</v>
      </c>
      <c r="C645" s="9">
        <f t="shared" si="124"/>
        <v>3</v>
      </c>
      <c r="F645" s="977">
        <f t="shared" si="125"/>
        <v>2</v>
      </c>
      <c r="G645" s="584"/>
      <c r="H645" s="584">
        <v>1</v>
      </c>
      <c r="I645" s="364"/>
      <c r="J645" s="364"/>
      <c r="K645" s="1355"/>
      <c r="L645" s="2021">
        <v>2</v>
      </c>
      <c r="M645" s="364"/>
      <c r="N645" s="364"/>
      <c r="O645" s="364"/>
      <c r="P645" s="364"/>
      <c r="Q645" s="430"/>
      <c r="R645" s="364"/>
      <c r="S645" s="364"/>
      <c r="T645" s="185"/>
      <c r="U645" s="364"/>
      <c r="V645" s="185"/>
      <c r="W645" s="364"/>
      <c r="X645" s="185"/>
      <c r="Y645" s="185"/>
      <c r="Z645" s="185"/>
      <c r="AA645" s="410"/>
      <c r="AC645" s="41"/>
      <c r="AD645" s="41"/>
      <c r="AE645" s="41"/>
      <c r="AF645" s="41"/>
    </row>
    <row r="646" spans="1:32" ht="12.75" customHeight="1" x14ac:dyDescent="0.25">
      <c r="A646" s="1397" t="s">
        <v>665</v>
      </c>
      <c r="B646" s="1370" t="s">
        <v>666</v>
      </c>
      <c r="C646" s="9">
        <f t="shared" si="124"/>
        <v>1</v>
      </c>
      <c r="F646" s="977">
        <f t="shared" si="125"/>
        <v>1</v>
      </c>
      <c r="G646" s="639"/>
      <c r="H646" s="584">
        <v>1</v>
      </c>
      <c r="I646" s="364"/>
      <c r="J646" s="364"/>
      <c r="K646" s="1355"/>
      <c r="L646" s="2020"/>
      <c r="M646" s="364"/>
      <c r="N646" s="364"/>
      <c r="O646" s="364"/>
      <c r="P646" s="364"/>
      <c r="Q646" s="430"/>
      <c r="R646" s="364"/>
      <c r="S646" s="364"/>
      <c r="T646" s="185"/>
      <c r="U646" s="364"/>
      <c r="V646" s="185"/>
      <c r="W646" s="364"/>
      <c r="X646" s="185"/>
      <c r="Y646" s="185"/>
      <c r="Z646" s="185"/>
      <c r="AA646" s="410"/>
      <c r="AC646" s="41"/>
      <c r="AD646" s="41"/>
      <c r="AE646" s="41"/>
      <c r="AF646" s="41"/>
    </row>
    <row r="647" spans="1:32" ht="12.75" customHeight="1" x14ac:dyDescent="0.25">
      <c r="A647" s="1397" t="s">
        <v>5540</v>
      </c>
      <c r="B647" s="1370" t="s">
        <v>5541</v>
      </c>
      <c r="C647" s="9">
        <f t="shared" si="124"/>
        <v>4</v>
      </c>
      <c r="F647" s="977">
        <f t="shared" si="125"/>
        <v>2</v>
      </c>
      <c r="G647" s="584">
        <v>1</v>
      </c>
      <c r="H647" s="584">
        <v>3</v>
      </c>
      <c r="I647" s="81"/>
      <c r="J647" s="81"/>
      <c r="K647" s="1355"/>
      <c r="L647" s="2020"/>
      <c r="M647" s="364"/>
      <c r="N647" s="364"/>
      <c r="O647" s="364"/>
      <c r="P647" s="364"/>
      <c r="Q647" s="430"/>
      <c r="R647" s="364"/>
      <c r="S647" s="364"/>
      <c r="T647" s="185"/>
      <c r="U647" s="364"/>
      <c r="V647" s="185"/>
      <c r="W647" s="364"/>
      <c r="X647" s="185"/>
      <c r="Y647" s="185"/>
      <c r="Z647" s="185"/>
      <c r="AA647" s="410"/>
      <c r="AC647" s="41"/>
      <c r="AD647" s="41"/>
      <c r="AE647" s="41"/>
      <c r="AF647" s="41"/>
    </row>
    <row r="648" spans="1:32" ht="12.75" customHeight="1" x14ac:dyDescent="0.25">
      <c r="A648" s="1442" t="s">
        <v>2342</v>
      </c>
      <c r="B648" s="1374" t="s">
        <v>2343</v>
      </c>
      <c r="C648" s="9">
        <f t="shared" si="124"/>
        <v>1</v>
      </c>
      <c r="F648" s="977">
        <f t="shared" si="125"/>
        <v>1</v>
      </c>
      <c r="G648" s="584"/>
      <c r="H648" s="584"/>
      <c r="I648" s="81"/>
      <c r="J648" s="81"/>
      <c r="K648" s="1355"/>
      <c r="L648" s="2021">
        <v>1</v>
      </c>
      <c r="M648" s="364"/>
      <c r="N648" s="364"/>
      <c r="O648" s="364"/>
      <c r="P648" s="364"/>
      <c r="Q648" s="430"/>
      <c r="R648" s="364"/>
      <c r="S648" s="364"/>
      <c r="T648" s="185"/>
      <c r="U648" s="364"/>
      <c r="V648" s="185"/>
      <c r="W648" s="364"/>
      <c r="X648" s="185"/>
      <c r="Y648" s="185"/>
      <c r="Z648" s="185"/>
      <c r="AA648" s="410"/>
      <c r="AC648" s="41"/>
      <c r="AD648" s="41"/>
      <c r="AE648" s="41"/>
      <c r="AF648" s="41"/>
    </row>
    <row r="649" spans="1:32" ht="12.75" customHeight="1" x14ac:dyDescent="0.25">
      <c r="A649" s="1397" t="s">
        <v>866</v>
      </c>
      <c r="B649" s="1370" t="s">
        <v>4635</v>
      </c>
      <c r="C649" s="9">
        <f t="shared" si="124"/>
        <v>1</v>
      </c>
      <c r="F649" s="977">
        <f t="shared" si="125"/>
        <v>1</v>
      </c>
      <c r="G649" s="584"/>
      <c r="H649" s="584">
        <v>1</v>
      </c>
      <c r="I649" s="81"/>
      <c r="J649" s="81"/>
      <c r="K649" s="1355"/>
      <c r="L649" s="2020"/>
      <c r="M649" s="364"/>
      <c r="N649" s="364"/>
      <c r="O649" s="364"/>
      <c r="P649" s="364"/>
      <c r="Q649" s="430"/>
      <c r="R649" s="364"/>
      <c r="S649" s="364"/>
      <c r="T649" s="185"/>
      <c r="U649" s="364"/>
      <c r="V649" s="185"/>
      <c r="W649" s="364"/>
      <c r="X649" s="185"/>
      <c r="Y649" s="185"/>
      <c r="Z649" s="185"/>
      <c r="AA649" s="410"/>
      <c r="AC649" s="41"/>
      <c r="AD649" s="41"/>
      <c r="AE649" s="41"/>
      <c r="AF649" s="41"/>
    </row>
    <row r="650" spans="1:32" ht="12.75" customHeight="1" x14ac:dyDescent="0.25">
      <c r="A650" s="1442" t="s">
        <v>6275</v>
      </c>
      <c r="B650" s="1374" t="s">
        <v>4562</v>
      </c>
      <c r="C650" s="9">
        <f t="shared" si="124"/>
        <v>1</v>
      </c>
      <c r="F650" s="977">
        <f t="shared" si="125"/>
        <v>1</v>
      </c>
      <c r="G650" s="584"/>
      <c r="H650" s="584">
        <v>1</v>
      </c>
      <c r="I650" s="81"/>
      <c r="J650" s="81"/>
      <c r="K650" s="1355"/>
      <c r="L650" s="2020"/>
      <c r="M650" s="364"/>
      <c r="N650" s="364"/>
      <c r="O650" s="364"/>
      <c r="P650" s="364"/>
      <c r="Q650" s="430"/>
      <c r="R650" s="364"/>
      <c r="S650" s="364"/>
      <c r="T650" s="185"/>
      <c r="U650" s="364"/>
      <c r="V650" s="185"/>
      <c r="W650" s="364"/>
      <c r="X650" s="185"/>
      <c r="Y650" s="185"/>
      <c r="Z650" s="185"/>
      <c r="AA650" s="410"/>
      <c r="AC650" s="41"/>
      <c r="AD650" s="41"/>
      <c r="AE650" s="41"/>
      <c r="AF650" s="41"/>
    </row>
    <row r="651" spans="1:32" ht="12.75" customHeight="1" x14ac:dyDescent="0.25">
      <c r="A651" s="1442" t="s">
        <v>4561</v>
      </c>
      <c r="B651" s="1374" t="s">
        <v>4562</v>
      </c>
      <c r="C651" s="9">
        <f t="shared" si="124"/>
        <v>3</v>
      </c>
      <c r="F651" s="977">
        <f t="shared" si="125"/>
        <v>1</v>
      </c>
      <c r="G651" s="584"/>
      <c r="H651" s="584">
        <v>3</v>
      </c>
      <c r="I651" s="364"/>
      <c r="J651" s="364"/>
      <c r="K651" s="1355"/>
      <c r="L651" s="2019"/>
      <c r="M651" s="364"/>
      <c r="N651" s="364"/>
      <c r="O651" s="364"/>
      <c r="P651" s="364"/>
      <c r="Q651" s="430"/>
      <c r="R651" s="364"/>
      <c r="S651" s="364"/>
      <c r="T651" s="185"/>
      <c r="U651" s="364"/>
      <c r="V651" s="185"/>
      <c r="W651" s="364"/>
      <c r="X651" s="185"/>
      <c r="Y651" s="185"/>
      <c r="Z651" s="185"/>
      <c r="AA651" s="410"/>
      <c r="AC651" s="41"/>
      <c r="AD651" s="41"/>
      <c r="AE651" s="41"/>
      <c r="AF651" s="41"/>
    </row>
    <row r="652" spans="1:32" ht="12.75" customHeight="1" x14ac:dyDescent="0.25">
      <c r="A652" s="1442" t="s">
        <v>9377</v>
      </c>
      <c r="B652" s="1374" t="s">
        <v>9378</v>
      </c>
      <c r="C652" s="9">
        <f t="shared" si="124"/>
        <v>1</v>
      </c>
      <c r="F652" s="977">
        <f t="shared" si="125"/>
        <v>1</v>
      </c>
      <c r="G652" s="584"/>
      <c r="H652" s="584">
        <v>1</v>
      </c>
      <c r="I652" s="364"/>
      <c r="J652" s="364"/>
      <c r="K652" s="1355"/>
      <c r="L652" s="2019"/>
      <c r="M652" s="364"/>
      <c r="N652" s="364"/>
      <c r="O652" s="364"/>
      <c r="P652" s="364"/>
      <c r="Q652" s="430"/>
      <c r="R652" s="364"/>
      <c r="S652" s="364"/>
      <c r="T652" s="185"/>
      <c r="U652" s="364"/>
      <c r="V652" s="185"/>
      <c r="W652" s="364"/>
      <c r="X652" s="185"/>
      <c r="Y652" s="185"/>
      <c r="Z652" s="185"/>
      <c r="AA652" s="410"/>
      <c r="AC652" s="41"/>
      <c r="AD652" s="41"/>
      <c r="AE652" s="41"/>
      <c r="AF652" s="41"/>
    </row>
    <row r="653" spans="1:32" ht="12.75" customHeight="1" x14ac:dyDescent="0.25">
      <c r="A653" s="1397" t="s">
        <v>3535</v>
      </c>
      <c r="B653" s="1370" t="s">
        <v>12648</v>
      </c>
      <c r="C653" s="9">
        <f t="shared" si="124"/>
        <v>1</v>
      </c>
      <c r="F653" s="977">
        <f t="shared" si="125"/>
        <v>1</v>
      </c>
      <c r="G653" s="584"/>
      <c r="H653" s="584">
        <v>1</v>
      </c>
      <c r="I653" s="364"/>
      <c r="J653" s="364"/>
      <c r="K653" s="1355"/>
      <c r="L653" s="2019"/>
      <c r="M653" s="364"/>
      <c r="N653" s="364"/>
      <c r="O653" s="364"/>
      <c r="P653" s="364"/>
      <c r="Q653" s="430"/>
      <c r="R653" s="364"/>
      <c r="S653" s="364"/>
      <c r="T653" s="185"/>
      <c r="U653" s="364"/>
      <c r="V653" s="185"/>
      <c r="W653" s="364"/>
      <c r="X653" s="185"/>
      <c r="Y653" s="185"/>
      <c r="Z653" s="185"/>
      <c r="AA653" s="410"/>
      <c r="AC653" s="41"/>
      <c r="AD653" s="41"/>
      <c r="AE653" s="41"/>
      <c r="AF653" s="41"/>
    </row>
    <row r="654" spans="1:32" ht="12.75" customHeight="1" x14ac:dyDescent="0.25">
      <c r="A654" s="1397" t="s">
        <v>9794</v>
      </c>
      <c r="B654" s="1370" t="s">
        <v>9795</v>
      </c>
      <c r="C654" s="9">
        <f t="shared" si="124"/>
        <v>1</v>
      </c>
      <c r="F654" s="977">
        <f t="shared" si="125"/>
        <v>1</v>
      </c>
      <c r="G654" s="584"/>
      <c r="H654" s="584"/>
      <c r="I654" s="364"/>
      <c r="J654" s="364"/>
      <c r="K654" s="1355">
        <v>1</v>
      </c>
      <c r="L654" s="2019"/>
      <c r="M654" s="364"/>
      <c r="N654" s="364"/>
      <c r="O654" s="364"/>
      <c r="P654" s="364"/>
      <c r="Q654" s="430"/>
      <c r="R654" s="364"/>
      <c r="S654" s="364"/>
      <c r="T654" s="185"/>
      <c r="U654" s="364"/>
      <c r="V654" s="185"/>
      <c r="W654" s="364"/>
      <c r="X654" s="185"/>
      <c r="Y654" s="185"/>
      <c r="Z654" s="185"/>
      <c r="AA654" s="410"/>
      <c r="AC654" s="41"/>
      <c r="AD654" s="41"/>
      <c r="AE654" s="41"/>
      <c r="AF654" s="41"/>
    </row>
    <row r="655" spans="1:32" ht="12.75" customHeight="1" x14ac:dyDescent="0.25">
      <c r="A655" s="1442" t="s">
        <v>3535</v>
      </c>
      <c r="B655" s="1374" t="s">
        <v>1026</v>
      </c>
      <c r="C655" s="9">
        <f t="shared" si="124"/>
        <v>1</v>
      </c>
      <c r="F655" s="977">
        <f t="shared" si="125"/>
        <v>1</v>
      </c>
      <c r="G655" s="584">
        <v>1</v>
      </c>
      <c r="H655" s="584"/>
      <c r="I655" s="364"/>
      <c r="J655" s="364"/>
      <c r="K655" s="1355"/>
      <c r="L655" s="2019"/>
      <c r="M655" s="364"/>
      <c r="N655" s="364"/>
      <c r="O655" s="364"/>
      <c r="P655" s="364"/>
      <c r="Q655" s="430"/>
      <c r="R655" s="364"/>
      <c r="S655" s="364"/>
      <c r="T655" s="185"/>
      <c r="U655" s="364"/>
      <c r="V655" s="185"/>
      <c r="W655" s="364"/>
      <c r="X655" s="185"/>
      <c r="Y655" s="185"/>
      <c r="Z655" s="185"/>
      <c r="AA655" s="410"/>
      <c r="AC655" s="41"/>
      <c r="AD655" s="41"/>
      <c r="AE655" s="41"/>
      <c r="AF655" s="41"/>
    </row>
    <row r="656" spans="1:32" ht="12.75" customHeight="1" x14ac:dyDescent="0.25">
      <c r="A656" s="1442"/>
      <c r="B656" s="1374"/>
      <c r="C656" s="20">
        <f>SUM(C638:C655)</f>
        <v>32</v>
      </c>
      <c r="F656" s="564"/>
      <c r="G656" s="637">
        <f>SUM(G638:G655)</f>
        <v>3</v>
      </c>
      <c r="H656" s="637">
        <f>SUM(H638:H655)</f>
        <v>19</v>
      </c>
      <c r="I656" s="81"/>
      <c r="J656" s="81"/>
      <c r="K656" s="637">
        <f t="shared" ref="K656:L656" si="126">SUM(K638:K655)</f>
        <v>1</v>
      </c>
      <c r="L656" s="2023">
        <f t="shared" si="126"/>
        <v>9</v>
      </c>
      <c r="M656" s="364"/>
      <c r="N656" s="364"/>
      <c r="O656" s="364"/>
      <c r="P656" s="364"/>
      <c r="Q656" s="430"/>
      <c r="R656" s="364"/>
      <c r="S656" s="364"/>
      <c r="T656" s="185"/>
      <c r="U656" s="364"/>
      <c r="V656" s="185"/>
      <c r="W656" s="364"/>
      <c r="X656" s="185"/>
      <c r="Y656" s="185"/>
      <c r="Z656" s="185"/>
      <c r="AA656" s="410"/>
      <c r="AC656" s="41"/>
      <c r="AD656" s="41"/>
      <c r="AE656" s="41"/>
      <c r="AF656" s="41"/>
    </row>
    <row r="657" spans="1:32" ht="12.75" customHeight="1" x14ac:dyDescent="0.25">
      <c r="A657" s="1442"/>
      <c r="B657" s="1374"/>
      <c r="C657" s="9"/>
      <c r="E657" s="1377">
        <f>COUNT(G657:KM657)</f>
        <v>4</v>
      </c>
      <c r="F657" s="564"/>
      <c r="G657" s="637">
        <f>COUNT(G638:G655)</f>
        <v>3</v>
      </c>
      <c r="H657" s="637">
        <f>COUNT(H638:H655)</f>
        <v>15</v>
      </c>
      <c r="I657" s="81"/>
      <c r="J657" s="81"/>
      <c r="K657" s="637">
        <f t="shared" ref="K657:L657" si="127">COUNT(K638:K655)</f>
        <v>1</v>
      </c>
      <c r="L657" s="2023">
        <f t="shared" si="127"/>
        <v>4</v>
      </c>
      <c r="M657" s="364"/>
      <c r="N657" s="364"/>
      <c r="O657" s="364"/>
      <c r="P657" s="364"/>
      <c r="Q657" s="430"/>
      <c r="R657" s="364"/>
      <c r="S657" s="364"/>
      <c r="T657" s="185"/>
      <c r="U657" s="364"/>
      <c r="V657" s="185"/>
      <c r="W657" s="364"/>
      <c r="X657" s="185"/>
      <c r="Y657" s="185"/>
      <c r="Z657" s="185"/>
      <c r="AA657" s="410"/>
      <c r="AC657" s="41"/>
      <c r="AD657" s="41"/>
      <c r="AE657" s="41"/>
      <c r="AF657" s="41"/>
    </row>
    <row r="658" spans="1:32" ht="12.75" customHeight="1" x14ac:dyDescent="0.25">
      <c r="A658" s="1446"/>
      <c r="C658" s="9"/>
      <c r="G658" s="536" t="s">
        <v>4137</v>
      </c>
      <c r="H658" s="562"/>
      <c r="I658" s="364"/>
      <c r="J658" s="364"/>
      <c r="K658" s="364"/>
      <c r="L658" s="538" t="s">
        <v>11874</v>
      </c>
      <c r="M658" s="364"/>
      <c r="N658" s="364"/>
      <c r="O658" s="364"/>
      <c r="P658" s="364"/>
      <c r="Q658" s="430"/>
      <c r="R658" s="364"/>
      <c r="S658" s="364"/>
      <c r="T658" s="185"/>
      <c r="U658" s="364"/>
      <c r="V658" s="185"/>
      <c r="W658" s="364"/>
      <c r="X658" s="185"/>
      <c r="Y658" s="185"/>
      <c r="Z658" s="185"/>
      <c r="AA658" s="410"/>
      <c r="AC658" s="41"/>
      <c r="AD658" s="41"/>
      <c r="AE658" s="41"/>
      <c r="AF658" s="41"/>
    </row>
    <row r="659" spans="1:32" ht="12.75" customHeight="1" x14ac:dyDescent="0.25">
      <c r="A659" s="1446"/>
      <c r="C659" s="9"/>
      <c r="G659" s="563"/>
      <c r="H659" s="539" t="s">
        <v>2596</v>
      </c>
      <c r="I659" s="364"/>
      <c r="J659" s="364"/>
      <c r="K659" s="539" t="s">
        <v>17206</v>
      </c>
      <c r="L659" s="364"/>
      <c r="M659" s="364"/>
      <c r="N659" s="364"/>
      <c r="O659" s="364"/>
      <c r="P659" s="364"/>
      <c r="Q659" s="430"/>
      <c r="R659" s="364"/>
      <c r="S659" s="364"/>
      <c r="T659" s="185"/>
      <c r="U659" s="364"/>
      <c r="V659" s="185"/>
      <c r="W659" s="364"/>
      <c r="X659" s="185"/>
      <c r="Y659" s="185"/>
      <c r="Z659" s="185"/>
      <c r="AA659" s="410"/>
      <c r="AC659" s="41"/>
      <c r="AD659" s="41"/>
      <c r="AE659" s="41"/>
      <c r="AF659" s="41"/>
    </row>
    <row r="660" spans="1:32" ht="12.75" customHeight="1" x14ac:dyDescent="0.25">
      <c r="A660" s="1446"/>
      <c r="C660" s="9"/>
      <c r="G660" s="1106">
        <f>Parks!L252</f>
        <v>261</v>
      </c>
      <c r="H660" s="1107">
        <f>Parks!L308</f>
        <v>202</v>
      </c>
      <c r="I660" s="1320"/>
      <c r="J660" s="1320"/>
      <c r="K660" s="1320"/>
      <c r="L660" s="1107">
        <f>Parks!L206</f>
        <v>472</v>
      </c>
      <c r="M660" s="364"/>
      <c r="N660" s="364"/>
      <c r="O660" s="364"/>
      <c r="P660" s="364"/>
      <c r="Q660" s="430"/>
      <c r="R660" s="364"/>
      <c r="S660" s="364"/>
      <c r="T660" s="185"/>
      <c r="U660" s="364"/>
      <c r="V660" s="185"/>
      <c r="W660" s="364"/>
      <c r="X660" s="185"/>
      <c r="Y660" s="185"/>
      <c r="Z660" s="185"/>
      <c r="AA660" s="410"/>
      <c r="AC660" s="41"/>
      <c r="AD660" s="41"/>
      <c r="AE660" s="41"/>
      <c r="AF660" s="41"/>
    </row>
    <row r="661" spans="1:32" ht="12.75" customHeight="1" x14ac:dyDescent="0.25">
      <c r="A661" s="1446"/>
      <c r="C661" s="9"/>
      <c r="G661" s="1106"/>
      <c r="H661" s="1107"/>
      <c r="I661" s="1320"/>
      <c r="J661" s="1320"/>
      <c r="K661" s="1107"/>
      <c r="L661" s="364"/>
      <c r="M661" s="364"/>
      <c r="N661" s="364"/>
      <c r="O661" s="364"/>
      <c r="P661" s="430"/>
      <c r="Q661" s="364"/>
      <c r="R661" s="364"/>
      <c r="S661" s="185"/>
      <c r="T661" s="364"/>
      <c r="U661" s="185"/>
      <c r="V661" s="364"/>
      <c r="W661" s="185"/>
      <c r="X661" s="185"/>
      <c r="Y661" s="185"/>
      <c r="Z661" s="410"/>
      <c r="AB661" s="41"/>
      <c r="AC661" s="41"/>
      <c r="AD661" s="41"/>
      <c r="AE661" s="41"/>
    </row>
    <row r="662" spans="1:32" ht="12.75" customHeight="1" x14ac:dyDescent="0.25">
      <c r="A662" s="1446"/>
      <c r="C662" s="9"/>
      <c r="G662" s="70" t="s">
        <v>16970</v>
      </c>
      <c r="H662" s="7"/>
      <c r="I662" s="7"/>
      <c r="J662" s="7"/>
      <c r="K662" s="7"/>
      <c r="L662" s="7"/>
      <c r="M662" s="7"/>
      <c r="N662" s="1956"/>
      <c r="O662" s="1957"/>
      <c r="P662" s="1958"/>
      <c r="Q662" s="1956"/>
      <c r="R662" s="1839"/>
      <c r="S662" s="1370"/>
      <c r="T662" s="364"/>
      <c r="U662" s="185"/>
      <c r="V662" s="364"/>
      <c r="W662" s="185"/>
      <c r="X662" s="185"/>
      <c r="Y662" s="185"/>
      <c r="Z662" s="410"/>
      <c r="AB662" s="41"/>
      <c r="AC662" s="41"/>
      <c r="AD662" s="41"/>
      <c r="AE662" s="41"/>
    </row>
    <row r="663" spans="1:32" ht="12.75" customHeight="1" x14ac:dyDescent="0.25">
      <c r="A663" s="1446"/>
      <c r="C663" s="9"/>
      <c r="G663" s="70" t="s">
        <v>1142</v>
      </c>
      <c r="H663" s="81"/>
      <c r="I663" s="1839"/>
      <c r="J663" s="80"/>
      <c r="K663" s="364"/>
      <c r="L663" s="185"/>
      <c r="M663" s="364"/>
      <c r="N663" s="1959"/>
      <c r="O663" s="1402"/>
      <c r="P663" s="1402"/>
      <c r="Q663" s="1402"/>
      <c r="R663" s="1371"/>
      <c r="S663" s="1371"/>
    </row>
    <row r="664" spans="1:32" ht="12.75" customHeight="1" x14ac:dyDescent="0.25">
      <c r="A664" s="1446"/>
      <c r="C664" s="9"/>
      <c r="G664" s="1757" t="s">
        <v>5227</v>
      </c>
      <c r="H664" s="854" t="s">
        <v>3453</v>
      </c>
      <c r="I664" s="560" t="s">
        <v>740</v>
      </c>
      <c r="J664" s="553" t="s">
        <v>4122</v>
      </c>
      <c r="K664" s="540" t="s">
        <v>10281</v>
      </c>
      <c r="L664" s="1758" t="s">
        <v>5002</v>
      </c>
      <c r="M664" s="186"/>
      <c r="N664" s="1370"/>
      <c r="O664" s="1370"/>
      <c r="P664" s="1370"/>
      <c r="Q664" s="1370"/>
      <c r="R664" s="1453"/>
      <c r="S664" s="1453"/>
      <c r="T664" s="173"/>
    </row>
    <row r="665" spans="1:32" ht="12.75" customHeight="1" x14ac:dyDescent="0.2">
      <c r="A665" s="1442" t="s">
        <v>4264</v>
      </c>
      <c r="B665" s="1374" t="s">
        <v>5239</v>
      </c>
      <c r="C665" s="9">
        <f t="shared" ref="C665:C681" si="128">SUM(G665:L665)</f>
        <v>1</v>
      </c>
      <c r="F665" s="1797">
        <f t="shared" ref="F665:F681" si="129">COUNT(G665:L665)</f>
        <v>1</v>
      </c>
      <c r="G665" s="1447"/>
      <c r="H665" s="1447"/>
      <c r="I665" s="1447"/>
      <c r="J665" s="1447">
        <v>1</v>
      </c>
      <c r="K665" s="1689"/>
      <c r="L665" s="1689"/>
      <c r="M665" s="845"/>
      <c r="N665" s="1370" t="s">
        <v>1964</v>
      </c>
      <c r="O665" s="1370"/>
      <c r="P665" s="1370"/>
      <c r="Q665" s="1370"/>
      <c r="R665" s="1453"/>
      <c r="S665" s="1453"/>
      <c r="T665" s="173"/>
    </row>
    <row r="666" spans="1:32" ht="12.75" customHeight="1" x14ac:dyDescent="0.2">
      <c r="A666" s="1442" t="s">
        <v>4269</v>
      </c>
      <c r="B666" s="1374" t="s">
        <v>4270</v>
      </c>
      <c r="C666" s="9">
        <f t="shared" si="128"/>
        <v>1</v>
      </c>
      <c r="F666" s="1797">
        <f t="shared" si="129"/>
        <v>1</v>
      </c>
      <c r="G666" s="1447"/>
      <c r="H666" s="1447"/>
      <c r="I666" s="1447"/>
      <c r="J666" s="1447">
        <v>1</v>
      </c>
      <c r="K666" s="1689"/>
      <c r="L666" s="1689"/>
      <c r="M666" s="845"/>
      <c r="N666" s="1370" t="s">
        <v>8250</v>
      </c>
      <c r="O666" s="1370"/>
      <c r="P666" s="1370"/>
      <c r="Q666" s="1370"/>
      <c r="R666" s="1453"/>
      <c r="S666" s="1453"/>
      <c r="T666" s="173"/>
    </row>
    <row r="667" spans="1:32" ht="12.75" customHeight="1" x14ac:dyDescent="0.2">
      <c r="A667" s="1442" t="s">
        <v>726</v>
      </c>
      <c r="B667" s="1374" t="s">
        <v>1295</v>
      </c>
      <c r="C667" s="9">
        <f t="shared" si="128"/>
        <v>2</v>
      </c>
      <c r="F667" s="1797">
        <f t="shared" si="129"/>
        <v>2</v>
      </c>
      <c r="G667" s="1447"/>
      <c r="H667" s="1447"/>
      <c r="I667" s="1447">
        <v>1</v>
      </c>
      <c r="J667" s="1447"/>
      <c r="K667" s="1689"/>
      <c r="L667" s="1689">
        <v>1</v>
      </c>
      <c r="M667" s="845"/>
      <c r="N667" s="1955" t="s">
        <v>16965</v>
      </c>
      <c r="O667" s="1370"/>
      <c r="P667" s="1370"/>
      <c r="Q667" s="1370"/>
      <c r="R667" s="1453"/>
      <c r="S667" s="1453"/>
      <c r="T667" s="81"/>
    </row>
    <row r="668" spans="1:32" ht="12.75" customHeight="1" x14ac:dyDescent="0.2">
      <c r="A668" s="1442" t="s">
        <v>3508</v>
      </c>
      <c r="B668" s="1374" t="s">
        <v>1295</v>
      </c>
      <c r="C668" s="9">
        <f t="shared" si="128"/>
        <v>2</v>
      </c>
      <c r="F668" s="1797">
        <f t="shared" si="129"/>
        <v>2</v>
      </c>
      <c r="G668" s="1447"/>
      <c r="H668" s="1447"/>
      <c r="I668" s="1447">
        <v>1</v>
      </c>
      <c r="J668" s="1447"/>
      <c r="K668" s="1689"/>
      <c r="L668" s="1689">
        <v>1</v>
      </c>
      <c r="M668" s="845"/>
      <c r="N668" s="1370" t="s">
        <v>2965</v>
      </c>
      <c r="O668" s="1370"/>
      <c r="P668" s="1370"/>
      <c r="Q668" s="1370"/>
      <c r="R668" s="1453"/>
      <c r="S668" s="1453"/>
      <c r="T668" s="173"/>
    </row>
    <row r="669" spans="1:32" ht="12.75" customHeight="1" x14ac:dyDescent="0.2">
      <c r="A669" s="1397" t="s">
        <v>3230</v>
      </c>
      <c r="B669" s="1370" t="s">
        <v>11625</v>
      </c>
      <c r="C669" s="9">
        <f t="shared" si="128"/>
        <v>5</v>
      </c>
      <c r="F669" s="1797">
        <f t="shared" si="129"/>
        <v>1</v>
      </c>
      <c r="G669" s="1447">
        <v>5</v>
      </c>
      <c r="H669" s="1447"/>
      <c r="I669" s="1447"/>
      <c r="J669" s="1447"/>
      <c r="K669" s="1689"/>
      <c r="L669" s="1689"/>
      <c r="M669" s="845"/>
      <c r="N669" s="1415" t="s">
        <v>4120</v>
      </c>
      <c r="O669" s="1839"/>
      <c r="P669" s="1839"/>
      <c r="Q669" s="1839"/>
      <c r="R669" s="1415"/>
      <c r="S669" s="1839"/>
      <c r="T669" s="173"/>
    </row>
    <row r="670" spans="1:32" ht="12.75" customHeight="1" x14ac:dyDescent="0.2">
      <c r="A670" s="1397" t="s">
        <v>5540</v>
      </c>
      <c r="B670" s="1370" t="s">
        <v>5541</v>
      </c>
      <c r="C670" s="9">
        <f t="shared" si="128"/>
        <v>4</v>
      </c>
      <c r="D670" s="1371"/>
      <c r="F670" s="1797">
        <f t="shared" si="129"/>
        <v>1</v>
      </c>
      <c r="G670" s="1447"/>
      <c r="H670" s="1447"/>
      <c r="I670" s="1447"/>
      <c r="J670" s="1447"/>
      <c r="K670" s="1689"/>
      <c r="L670" s="1689">
        <v>4</v>
      </c>
      <c r="M670" s="845"/>
      <c r="N670" s="1370" t="s">
        <v>16966</v>
      </c>
      <c r="O670" s="1371"/>
      <c r="P670" s="1371"/>
      <c r="Q670" s="1371"/>
      <c r="R670" s="1453"/>
      <c r="S670" s="1453"/>
    </row>
    <row r="671" spans="1:32" ht="12.75" customHeight="1" x14ac:dyDescent="0.2">
      <c r="A671" s="1442" t="s">
        <v>5980</v>
      </c>
      <c r="B671" s="1374" t="s">
        <v>4818</v>
      </c>
      <c r="C671" s="9">
        <f t="shared" si="128"/>
        <v>1</v>
      </c>
      <c r="F671" s="1797">
        <f t="shared" si="129"/>
        <v>1</v>
      </c>
      <c r="G671" s="1447"/>
      <c r="H671" s="1447">
        <v>1</v>
      </c>
      <c r="I671" s="1447"/>
      <c r="J671" s="1447"/>
      <c r="K671" s="1689"/>
      <c r="L671" s="1689"/>
      <c r="M671" s="845"/>
      <c r="N671" s="1370" t="s">
        <v>10312</v>
      </c>
      <c r="O671" s="1370"/>
      <c r="P671" s="1370"/>
      <c r="Q671" s="1370"/>
      <c r="R671" s="1453"/>
      <c r="S671" s="1453"/>
      <c r="T671" s="41"/>
      <c r="U671" s="41"/>
      <c r="V671" s="41"/>
    </row>
    <row r="672" spans="1:32" ht="12.75" customHeight="1" x14ac:dyDescent="0.2">
      <c r="A672" s="1442" t="s">
        <v>5369</v>
      </c>
      <c r="B672" s="1374" t="s">
        <v>2117</v>
      </c>
      <c r="C672" s="9">
        <f t="shared" si="128"/>
        <v>2</v>
      </c>
      <c r="F672" s="1797">
        <f t="shared" si="129"/>
        <v>2</v>
      </c>
      <c r="G672" s="1447"/>
      <c r="H672" s="1447">
        <v>1</v>
      </c>
      <c r="I672" s="1447"/>
      <c r="J672" s="1447"/>
      <c r="K672" s="1447">
        <v>1</v>
      </c>
      <c r="L672" s="1689"/>
      <c r="M672" s="845"/>
      <c r="N672" s="1370" t="s">
        <v>3385</v>
      </c>
      <c r="O672" s="1402"/>
      <c r="P672" s="1402"/>
      <c r="Q672" s="1402"/>
      <c r="R672" s="1371"/>
      <c r="S672" s="1371"/>
      <c r="T672" s="41"/>
      <c r="U672" s="41"/>
      <c r="V672" s="41"/>
    </row>
    <row r="673" spans="1:33" ht="12.75" customHeight="1" x14ac:dyDescent="0.25">
      <c r="A673" s="1397" t="s">
        <v>665</v>
      </c>
      <c r="B673" s="1370" t="s">
        <v>666</v>
      </c>
      <c r="C673" s="9">
        <f t="shared" si="128"/>
        <v>1</v>
      </c>
      <c r="F673" s="1797">
        <f t="shared" si="129"/>
        <v>1</v>
      </c>
      <c r="G673" s="1447"/>
      <c r="H673" s="1447"/>
      <c r="I673" s="1447"/>
      <c r="J673" s="1447"/>
      <c r="K673" s="1689"/>
      <c r="L673" s="1689">
        <v>1</v>
      </c>
      <c r="M673" s="845"/>
      <c r="N673" s="185"/>
      <c r="O673" s="185"/>
      <c r="P673" s="185"/>
      <c r="Q673" s="410"/>
      <c r="S673" s="41"/>
      <c r="T673" s="41"/>
      <c r="U673" s="41"/>
      <c r="V673" s="41"/>
    </row>
    <row r="674" spans="1:33" ht="12.75" customHeight="1" x14ac:dyDescent="0.25">
      <c r="A674" s="1442" t="s">
        <v>3014</v>
      </c>
      <c r="B674" s="1374" t="s">
        <v>3015</v>
      </c>
      <c r="C674" s="9">
        <f t="shared" si="128"/>
        <v>1</v>
      </c>
      <c r="F674" s="1797">
        <f t="shared" si="129"/>
        <v>1</v>
      </c>
      <c r="G674" s="1447"/>
      <c r="H674" s="1447"/>
      <c r="I674" s="1447"/>
      <c r="J674" s="1447">
        <v>1</v>
      </c>
      <c r="K674" s="1689"/>
      <c r="L674" s="1689"/>
      <c r="M674" s="845"/>
      <c r="N674" s="185"/>
      <c r="O674" s="185"/>
      <c r="P674" s="185"/>
      <c r="Q674" s="410"/>
      <c r="S674" s="41"/>
      <c r="T674" s="41"/>
      <c r="U674" s="41"/>
      <c r="V674" s="41"/>
    </row>
    <row r="675" spans="1:33" ht="12.75" customHeight="1" x14ac:dyDescent="0.2">
      <c r="A675" s="1397" t="s">
        <v>15155</v>
      </c>
      <c r="B675" s="1370" t="s">
        <v>13368</v>
      </c>
      <c r="C675" s="9">
        <f t="shared" si="128"/>
        <v>2</v>
      </c>
      <c r="F675" s="1797">
        <f t="shared" si="129"/>
        <v>1</v>
      </c>
      <c r="G675" s="1447"/>
      <c r="H675" s="1447"/>
      <c r="I675" s="1447"/>
      <c r="J675" s="1447">
        <v>2</v>
      </c>
      <c r="K675" s="1689"/>
      <c r="L675" s="1689"/>
      <c r="M675" s="845"/>
      <c r="N675" s="1370"/>
      <c r="O675" s="1370"/>
      <c r="P675" s="1370"/>
      <c r="Q675" s="1370"/>
      <c r="R675" s="1453"/>
      <c r="S675" s="1453"/>
      <c r="T675" s="41"/>
      <c r="U675" s="41"/>
      <c r="V675" s="41"/>
    </row>
    <row r="676" spans="1:33" ht="12.75" customHeight="1" x14ac:dyDescent="0.2">
      <c r="A676" s="1397" t="s">
        <v>10186</v>
      </c>
      <c r="B676" s="1370" t="s">
        <v>10187</v>
      </c>
      <c r="C676" s="9">
        <f t="shared" si="128"/>
        <v>1</v>
      </c>
      <c r="F676" s="1797">
        <f t="shared" si="129"/>
        <v>1</v>
      </c>
      <c r="G676" s="1447">
        <v>1</v>
      </c>
      <c r="H676" s="1447"/>
      <c r="I676" s="1447"/>
      <c r="J676" s="1447"/>
      <c r="K676" s="1689"/>
      <c r="L676" s="1689"/>
      <c r="M676" s="845"/>
      <c r="N676" s="1370"/>
      <c r="O676" s="1370"/>
      <c r="P676" s="1370"/>
      <c r="Q676" s="1370"/>
      <c r="R676" s="1453"/>
      <c r="S676" s="1453"/>
      <c r="T676" s="41"/>
      <c r="U676" s="41"/>
      <c r="V676" s="41"/>
    </row>
    <row r="677" spans="1:33" ht="12.75" customHeight="1" x14ac:dyDescent="0.2">
      <c r="A677" s="1397" t="s">
        <v>3960</v>
      </c>
      <c r="B677" s="1370" t="s">
        <v>3961</v>
      </c>
      <c r="C677" s="9">
        <f t="shared" si="128"/>
        <v>1</v>
      </c>
      <c r="F677" s="1797">
        <f t="shared" si="129"/>
        <v>1</v>
      </c>
      <c r="G677" s="1447">
        <v>1</v>
      </c>
      <c r="H677" s="1447"/>
      <c r="I677" s="1447"/>
      <c r="J677" s="1447"/>
      <c r="K677" s="1689"/>
      <c r="L677" s="1689"/>
      <c r="M677" s="845"/>
      <c r="N677" s="1370"/>
      <c r="O677" s="1370"/>
      <c r="P677" s="1370"/>
      <c r="Q677" s="1370"/>
      <c r="R677" s="1453"/>
      <c r="S677" s="1453"/>
      <c r="T677" s="41"/>
      <c r="U677" s="41"/>
      <c r="V677" s="41"/>
    </row>
    <row r="678" spans="1:33" ht="12.75" customHeight="1" x14ac:dyDescent="0.2">
      <c r="A678" s="1442" t="s">
        <v>3033</v>
      </c>
      <c r="B678" s="1374" t="s">
        <v>12025</v>
      </c>
      <c r="C678" s="9">
        <f t="shared" si="128"/>
        <v>1</v>
      </c>
      <c r="F678" s="1797">
        <f t="shared" si="129"/>
        <v>1</v>
      </c>
      <c r="G678" s="1447"/>
      <c r="H678" s="1447"/>
      <c r="I678" s="1447"/>
      <c r="J678" s="1447">
        <v>1</v>
      </c>
      <c r="K678" s="1689"/>
      <c r="L678" s="1689"/>
      <c r="M678" s="845"/>
      <c r="N678" s="1415"/>
      <c r="O678" s="1839"/>
      <c r="P678" s="1839"/>
      <c r="Q678" s="1839"/>
      <c r="R678" s="1415"/>
      <c r="S678" s="1839"/>
      <c r="T678" s="41"/>
      <c r="U678" s="41"/>
      <c r="V678" s="41"/>
    </row>
    <row r="679" spans="1:33" ht="12.75" customHeight="1" x14ac:dyDescent="0.2">
      <c r="A679" s="1442" t="s">
        <v>4259</v>
      </c>
      <c r="B679" s="1374" t="s">
        <v>440</v>
      </c>
      <c r="C679" s="9">
        <f t="shared" si="128"/>
        <v>1</v>
      </c>
      <c r="F679" s="1797">
        <f t="shared" si="129"/>
        <v>1</v>
      </c>
      <c r="G679" s="1447"/>
      <c r="H679" s="1447"/>
      <c r="I679" s="1447"/>
      <c r="J679" s="1447"/>
      <c r="K679" s="1689"/>
      <c r="L679" s="1689">
        <v>1</v>
      </c>
      <c r="M679" s="845"/>
      <c r="N679" s="1370"/>
      <c r="O679" s="1371"/>
      <c r="P679" s="1371"/>
      <c r="Q679" s="1371"/>
      <c r="R679" s="1453"/>
      <c r="S679" s="1453"/>
      <c r="T679" s="41"/>
      <c r="U679" s="41"/>
      <c r="V679" s="41"/>
    </row>
    <row r="680" spans="1:33" ht="14.25" customHeight="1" x14ac:dyDescent="0.2">
      <c r="A680" s="1397" t="s">
        <v>1794</v>
      </c>
      <c r="B680" s="1370" t="s">
        <v>5543</v>
      </c>
      <c r="C680" s="9">
        <f t="shared" si="128"/>
        <v>1</v>
      </c>
      <c r="F680" s="1797">
        <f t="shared" si="129"/>
        <v>1</v>
      </c>
      <c r="G680" s="1447"/>
      <c r="H680" s="1447"/>
      <c r="I680" s="1447"/>
      <c r="J680" s="1447"/>
      <c r="K680" s="1689"/>
      <c r="L680" s="1689">
        <v>1</v>
      </c>
      <c r="M680" s="845"/>
      <c r="N680" s="1370"/>
      <c r="O680" s="1370"/>
      <c r="P680" s="1370"/>
      <c r="Q680" s="1370"/>
      <c r="R680" s="1453"/>
      <c r="S680" s="1453"/>
      <c r="T680" s="41"/>
      <c r="U680" s="41"/>
      <c r="V680" s="41"/>
    </row>
    <row r="681" spans="1:33" ht="12.75" customHeight="1" x14ac:dyDescent="0.25">
      <c r="A681" s="1397" t="s">
        <v>3535</v>
      </c>
      <c r="B681" s="1370" t="s">
        <v>4741</v>
      </c>
      <c r="C681" s="9">
        <f t="shared" si="128"/>
        <v>1</v>
      </c>
      <c r="F681" s="1797">
        <f t="shared" si="129"/>
        <v>1</v>
      </c>
      <c r="G681" s="1447"/>
      <c r="H681" s="1447"/>
      <c r="I681" s="1447"/>
      <c r="J681" s="1447">
        <v>1</v>
      </c>
      <c r="K681" s="1689"/>
      <c r="L681" s="1689"/>
      <c r="M681" s="845"/>
      <c r="N681" s="185"/>
      <c r="O681" s="185"/>
      <c r="P681" s="185"/>
      <c r="Q681" s="410"/>
      <c r="S681" s="41"/>
      <c r="T681" s="41"/>
      <c r="U681" s="41"/>
      <c r="V681" s="41"/>
    </row>
    <row r="682" spans="1:33" ht="12.75" customHeight="1" x14ac:dyDescent="0.25">
      <c r="A682" s="1446"/>
      <c r="C682" s="1952">
        <f>SUM(C665:C681)</f>
        <v>28</v>
      </c>
      <c r="G682" s="637">
        <f t="shared" ref="G682:L682" si="130">SUM(G665:G681)</f>
        <v>7</v>
      </c>
      <c r="H682" s="637">
        <f t="shared" si="130"/>
        <v>2</v>
      </c>
      <c r="I682" s="637">
        <f t="shared" si="130"/>
        <v>2</v>
      </c>
      <c r="J682" s="637">
        <f t="shared" si="130"/>
        <v>7</v>
      </c>
      <c r="K682" s="637">
        <f t="shared" si="130"/>
        <v>1</v>
      </c>
      <c r="L682" s="637">
        <f t="shared" si="130"/>
        <v>9</v>
      </c>
      <c r="M682" s="364"/>
      <c r="N682" s="185"/>
      <c r="O682" s="185"/>
      <c r="P682" s="185"/>
      <c r="Q682" s="410"/>
      <c r="S682" s="41"/>
      <c r="T682" s="41"/>
      <c r="U682" s="41"/>
      <c r="V682" s="41"/>
    </row>
    <row r="683" spans="1:33" ht="12.75" customHeight="1" x14ac:dyDescent="0.25">
      <c r="A683" s="1446"/>
      <c r="C683" s="9"/>
      <c r="E683" s="1377">
        <f>COUNT(G683:L683)</f>
        <v>6</v>
      </c>
      <c r="G683" s="637">
        <f t="shared" ref="G683:L683" si="131">COUNT(G665:G681)</f>
        <v>3</v>
      </c>
      <c r="H683" s="637">
        <f t="shared" si="131"/>
        <v>2</v>
      </c>
      <c r="I683" s="637">
        <f t="shared" si="131"/>
        <v>2</v>
      </c>
      <c r="J683" s="637">
        <f t="shared" si="131"/>
        <v>6</v>
      </c>
      <c r="K683" s="637">
        <f t="shared" si="131"/>
        <v>1</v>
      </c>
      <c r="L683" s="637">
        <f t="shared" si="131"/>
        <v>6</v>
      </c>
      <c r="M683" s="364"/>
      <c r="N683" s="185"/>
      <c r="O683" s="185"/>
      <c r="P683" s="185"/>
      <c r="Q683" s="410"/>
      <c r="S683" s="41"/>
      <c r="T683" s="41"/>
      <c r="U683" s="41"/>
      <c r="V683" s="41"/>
    </row>
    <row r="684" spans="1:33" ht="12.75" customHeight="1" x14ac:dyDescent="0.25">
      <c r="A684" s="1446"/>
      <c r="C684" s="9"/>
      <c r="G684" s="536"/>
      <c r="H684" s="538" t="s">
        <v>8250</v>
      </c>
      <c r="I684" s="538"/>
      <c r="J684" s="565" t="s">
        <v>4120</v>
      </c>
      <c r="K684" s="538"/>
      <c r="L684" s="538" t="s">
        <v>3773</v>
      </c>
      <c r="M684" s="364"/>
      <c r="N684" s="185"/>
      <c r="O684" s="185"/>
      <c r="P684" s="185"/>
      <c r="Q684" s="410"/>
      <c r="S684" s="41"/>
      <c r="T684" s="41"/>
      <c r="U684" s="41"/>
      <c r="V684" s="41"/>
    </row>
    <row r="685" spans="1:33" ht="12.75" customHeight="1" x14ac:dyDescent="0.25">
      <c r="A685" s="1446"/>
      <c r="C685" s="9"/>
      <c r="G685" s="558" t="s">
        <v>1964</v>
      </c>
      <c r="H685" s="535"/>
      <c r="I685" s="539" t="s">
        <v>2965</v>
      </c>
      <c r="J685" s="539"/>
      <c r="K685" s="515" t="s">
        <v>10312</v>
      </c>
      <c r="L685" s="539"/>
      <c r="M685" s="185"/>
      <c r="N685" s="364"/>
      <c r="O685" s="185"/>
      <c r="P685" s="185"/>
      <c r="Q685" s="185"/>
      <c r="R685" s="410"/>
      <c r="T685" s="41"/>
      <c r="U685" s="41"/>
      <c r="V685" s="41"/>
      <c r="W685" s="41"/>
    </row>
    <row r="686" spans="1:33" ht="12.75" customHeight="1" x14ac:dyDescent="0.25">
      <c r="A686" s="1446"/>
      <c r="C686" s="9"/>
      <c r="G686" s="81"/>
      <c r="H686" s="364"/>
      <c r="I686" s="81"/>
      <c r="J686" s="81"/>
      <c r="K686" s="81"/>
      <c r="L686" s="81"/>
      <c r="M686" s="81"/>
      <c r="N686" s="81"/>
      <c r="O686" s="81"/>
      <c r="P686" s="79"/>
      <c r="Q686" s="81"/>
      <c r="R686" s="81"/>
      <c r="S686" s="80"/>
      <c r="T686" s="364"/>
      <c r="U686" s="185"/>
      <c r="V686" s="364"/>
      <c r="W686" s="185"/>
      <c r="X686" s="185"/>
      <c r="Y686" s="185"/>
      <c r="Z686" s="410"/>
      <c r="AB686" s="41"/>
      <c r="AC686" s="41"/>
      <c r="AD686" s="41"/>
      <c r="AE686" s="41"/>
    </row>
    <row r="687" spans="1:33" ht="12.75" customHeight="1" x14ac:dyDescent="0.25">
      <c r="A687" s="1446"/>
      <c r="C687" s="1453"/>
      <c r="D687" s="1371"/>
      <c r="G687" s="81"/>
      <c r="H687" s="81"/>
      <c r="I687" s="81"/>
      <c r="J687" s="81"/>
      <c r="K687" s="1839"/>
      <c r="L687" s="1839"/>
      <c r="M687" s="1839"/>
      <c r="N687" s="1839"/>
      <c r="O687" s="1839"/>
      <c r="P687" s="1415"/>
      <c r="Q687" s="1839"/>
      <c r="R687" s="1839"/>
      <c r="S687" s="1370"/>
      <c r="T687" s="1406"/>
      <c r="U687" s="1418"/>
      <c r="V687" s="1406"/>
      <c r="W687" s="1418"/>
      <c r="X687" s="1418"/>
      <c r="Y687" s="1418"/>
      <c r="Z687" s="1407"/>
      <c r="AA687" s="1371"/>
      <c r="AB687" s="1402"/>
      <c r="AC687" s="1402"/>
      <c r="AD687" s="41"/>
      <c r="AE687" s="41"/>
    </row>
    <row r="688" spans="1:33" ht="12.75" customHeight="1" x14ac:dyDescent="0.25">
      <c r="A688" s="1446"/>
      <c r="C688" s="9"/>
      <c r="G688" s="70" t="s">
        <v>16406</v>
      </c>
      <c r="H688" s="81"/>
      <c r="I688" s="81"/>
      <c r="J688" s="81"/>
      <c r="K688" s="1839"/>
      <c r="L688" s="1839"/>
      <c r="M688" s="70" t="s">
        <v>1137</v>
      </c>
      <c r="N688" s="81"/>
      <c r="O688" s="81"/>
      <c r="P688" s="79"/>
      <c r="Q688" s="79"/>
      <c r="R688" s="79"/>
      <c r="S688" s="81"/>
      <c r="T688" s="81"/>
      <c r="U688" s="80"/>
      <c r="V688" s="364" t="s">
        <v>16408</v>
      </c>
      <c r="W688" s="185"/>
      <c r="X688" s="364"/>
      <c r="Y688" s="185"/>
      <c r="Z688" s="185"/>
      <c r="AA688" s="185"/>
      <c r="AB688" s="410"/>
      <c r="AD688" s="41"/>
      <c r="AE688" s="41"/>
      <c r="AF688" s="41"/>
      <c r="AG688" s="41"/>
    </row>
    <row r="689" spans="1:36" ht="12.75" customHeight="1" x14ac:dyDescent="0.25">
      <c r="A689" s="1446"/>
      <c r="C689" s="9"/>
      <c r="G689" s="1802" t="s">
        <v>4046</v>
      </c>
      <c r="H689" s="587" t="s">
        <v>5593</v>
      </c>
      <c r="I689" s="81" t="s">
        <v>1212</v>
      </c>
      <c r="J689" s="1803" t="s">
        <v>1278</v>
      </c>
      <c r="K689" s="1839"/>
      <c r="L689" s="1839"/>
      <c r="M689" s="587" t="s">
        <v>2029</v>
      </c>
      <c r="N689" s="1802" t="s">
        <v>9762</v>
      </c>
      <c r="O689" s="587" t="s">
        <v>3638</v>
      </c>
      <c r="P689" s="1424" t="s">
        <v>11406</v>
      </c>
      <c r="Q689" s="1678" t="s">
        <v>16582</v>
      </c>
      <c r="R689" s="1424" t="s">
        <v>16583</v>
      </c>
      <c r="S689" s="587" t="s">
        <v>1910</v>
      </c>
      <c r="T689" s="1802" t="s">
        <v>12759</v>
      </c>
      <c r="U689" s="80"/>
      <c r="V689" s="584" t="s">
        <v>1911</v>
      </c>
      <c r="W689" s="185"/>
      <c r="X689" s="364"/>
      <c r="Y689" s="2" t="s">
        <v>2729</v>
      </c>
      <c r="Z689" s="414"/>
      <c r="AA689" s="185"/>
      <c r="AB689" s="410"/>
      <c r="AD689" s="41"/>
      <c r="AE689" s="41"/>
      <c r="AF689" s="41"/>
      <c r="AG689" s="41"/>
    </row>
    <row r="690" spans="1:36" ht="12.75" customHeight="1" x14ac:dyDescent="0.25">
      <c r="A690" s="1442" t="s">
        <v>7908</v>
      </c>
      <c r="B690" s="1374" t="s">
        <v>7907</v>
      </c>
      <c r="C690" s="1398">
        <f>SUM(G690:T690)</f>
        <v>2</v>
      </c>
      <c r="F690" s="1797">
        <f>COUNT(G690:T690)</f>
        <v>1</v>
      </c>
      <c r="G690" s="1447">
        <v>2</v>
      </c>
      <c r="H690" s="1447"/>
      <c r="I690" s="1839"/>
      <c r="J690" s="1447"/>
      <c r="K690" s="1839"/>
      <c r="L690" s="1839"/>
      <c r="M690" s="1447"/>
      <c r="N690" s="1447"/>
      <c r="O690" s="1447"/>
      <c r="P690" s="1447"/>
      <c r="Q690" s="1447"/>
      <c r="R690" s="1447"/>
      <c r="S690" s="1447"/>
      <c r="T690" s="1447"/>
      <c r="U690" s="80"/>
      <c r="V690" s="1796"/>
      <c r="W690" s="185"/>
      <c r="X690" s="364"/>
      <c r="Y690" s="1370" t="s">
        <v>2430</v>
      </c>
      <c r="Z690" s="1370"/>
      <c r="AA690" s="1370"/>
      <c r="AB690" s="207"/>
      <c r="AD690" s="41"/>
      <c r="AE690" s="41"/>
      <c r="AF690" s="41"/>
      <c r="AG690" s="41"/>
    </row>
    <row r="691" spans="1:36" ht="12.75" customHeight="1" x14ac:dyDescent="0.25">
      <c r="A691" s="1442" t="s">
        <v>260</v>
      </c>
      <c r="B691" s="1374" t="s">
        <v>7907</v>
      </c>
      <c r="C691" s="1398">
        <f t="shared" ref="C691:C712" si="132">SUM(G691:T691)</f>
        <v>3</v>
      </c>
      <c r="F691" s="1797">
        <f t="shared" ref="F691:F712" si="133">COUNT(G691:T691)</f>
        <v>1</v>
      </c>
      <c r="G691" s="1447">
        <v>3</v>
      </c>
      <c r="H691" s="1447"/>
      <c r="I691" s="1839"/>
      <c r="J691" s="1447"/>
      <c r="K691" s="1839"/>
      <c r="L691" s="1839"/>
      <c r="M691" s="1447"/>
      <c r="N691" s="1447"/>
      <c r="O691" s="1447"/>
      <c r="P691" s="1447"/>
      <c r="Q691" s="1447"/>
      <c r="R691" s="1447"/>
      <c r="S691" s="1447"/>
      <c r="T691" s="1447"/>
      <c r="U691" s="80"/>
      <c r="V691" s="1796"/>
      <c r="W691" s="185"/>
      <c r="X691" s="364"/>
      <c r="Y691" s="80" t="s">
        <v>16964</v>
      </c>
      <c r="Z691" s="80"/>
      <c r="AA691" s="80"/>
      <c r="AB691" s="207"/>
      <c r="AD691" s="41"/>
      <c r="AE691" s="41"/>
      <c r="AF691" s="41"/>
      <c r="AG691" s="41"/>
    </row>
    <row r="692" spans="1:36" ht="12.75" customHeight="1" x14ac:dyDescent="0.25">
      <c r="A692" s="1442" t="s">
        <v>4264</v>
      </c>
      <c r="B692" s="1374" t="s">
        <v>5239</v>
      </c>
      <c r="C692" s="1398">
        <f t="shared" si="132"/>
        <v>1</v>
      </c>
      <c r="F692" s="1797">
        <f t="shared" si="133"/>
        <v>1</v>
      </c>
      <c r="G692" s="1447"/>
      <c r="H692" s="1447"/>
      <c r="I692" s="1839"/>
      <c r="J692" s="1447"/>
      <c r="K692" s="1839"/>
      <c r="L692" s="1839"/>
      <c r="M692" s="1447"/>
      <c r="N692" s="1447"/>
      <c r="O692" s="1447">
        <v>1</v>
      </c>
      <c r="P692" s="1447"/>
      <c r="Q692" s="1447"/>
      <c r="R692" s="1447"/>
      <c r="S692" s="1447"/>
      <c r="T692" s="1447"/>
      <c r="U692" s="80"/>
      <c r="V692" s="1796"/>
      <c r="W692" s="185"/>
      <c r="X692" s="364"/>
      <c r="Y692" s="1904" t="s">
        <v>2964</v>
      </c>
      <c r="Z692" s="1904"/>
      <c r="AA692" s="1904"/>
      <c r="AB692" s="1370"/>
      <c r="AC692" s="1453"/>
      <c r="AD692" s="173"/>
      <c r="AE692" s="41"/>
      <c r="AF692" s="41"/>
      <c r="AG692" s="41"/>
    </row>
    <row r="693" spans="1:36" ht="12.75" customHeight="1" x14ac:dyDescent="0.25">
      <c r="A693" s="1425" t="s">
        <v>726</v>
      </c>
      <c r="B693" s="1410" t="s">
        <v>1295</v>
      </c>
      <c r="C693" s="1398">
        <f t="shared" si="132"/>
        <v>1</v>
      </c>
      <c r="F693" s="1797">
        <f t="shared" si="133"/>
        <v>1</v>
      </c>
      <c r="G693" s="1447"/>
      <c r="H693" s="1447">
        <v>1</v>
      </c>
      <c r="I693" s="1839"/>
      <c r="J693" s="1447"/>
      <c r="K693" s="1839"/>
      <c r="L693" s="1839"/>
      <c r="M693" s="1447"/>
      <c r="N693" s="1447"/>
      <c r="O693" s="1447"/>
      <c r="P693" s="1447"/>
      <c r="Q693" s="1447"/>
      <c r="R693" s="1447"/>
      <c r="S693" s="1447"/>
      <c r="T693" s="1447"/>
      <c r="U693" s="80"/>
      <c r="V693" s="1796"/>
      <c r="W693" s="185"/>
      <c r="X693" s="364"/>
      <c r="Y693" s="1370" t="s">
        <v>3132</v>
      </c>
      <c r="Z693" s="1370"/>
      <c r="AA693" s="1370"/>
      <c r="AB693" s="1370"/>
      <c r="AC693" s="1453"/>
      <c r="AD693" s="173"/>
      <c r="AE693" s="41"/>
      <c r="AF693" s="41"/>
      <c r="AG693" s="41"/>
    </row>
    <row r="694" spans="1:36" ht="12.75" customHeight="1" x14ac:dyDescent="0.25">
      <c r="A694" s="1425" t="s">
        <v>3508</v>
      </c>
      <c r="B694" s="1410" t="s">
        <v>1295</v>
      </c>
      <c r="C694" s="1398">
        <f t="shared" si="132"/>
        <v>1</v>
      </c>
      <c r="F694" s="1797">
        <f t="shared" si="133"/>
        <v>1</v>
      </c>
      <c r="G694" s="1447"/>
      <c r="H694" s="1447">
        <v>1</v>
      </c>
      <c r="I694" s="1839"/>
      <c r="J694" s="1447"/>
      <c r="K694" s="1839"/>
      <c r="L694" s="1839"/>
      <c r="M694" s="1447"/>
      <c r="N694" s="1447"/>
      <c r="O694" s="1447"/>
      <c r="P694" s="1447"/>
      <c r="Q694" s="1447"/>
      <c r="R694" s="1447"/>
      <c r="S694" s="1447"/>
      <c r="T694" s="1447"/>
      <c r="U694" s="80"/>
      <c r="V694" s="1796"/>
      <c r="W694" s="185"/>
      <c r="X694" s="364"/>
      <c r="Y694" s="414" t="s">
        <v>16068</v>
      </c>
      <c r="Z694" s="80"/>
      <c r="AA694" s="80"/>
      <c r="AB694" s="1904"/>
      <c r="AC694" s="1453"/>
      <c r="AD694" s="173"/>
      <c r="AE694" s="41"/>
      <c r="AF694" s="41"/>
      <c r="AG694" s="41"/>
    </row>
    <row r="695" spans="1:36" ht="12.75" customHeight="1" x14ac:dyDescent="0.25">
      <c r="A695" s="1511" t="s">
        <v>5980</v>
      </c>
      <c r="B695" s="1375" t="s">
        <v>4818</v>
      </c>
      <c r="C695" s="1398">
        <f t="shared" si="132"/>
        <v>1</v>
      </c>
      <c r="F695" s="1797">
        <f t="shared" si="133"/>
        <v>1</v>
      </c>
      <c r="G695" s="1447"/>
      <c r="H695" s="1447"/>
      <c r="I695" s="1839"/>
      <c r="J695" s="1447"/>
      <c r="K695" s="1839"/>
      <c r="L695" s="1839"/>
      <c r="M695" s="1447"/>
      <c r="N695" s="1447"/>
      <c r="O695" s="1447"/>
      <c r="P695" s="1447">
        <v>1</v>
      </c>
      <c r="Q695" s="1447"/>
      <c r="R695" s="1447"/>
      <c r="S695" s="1447"/>
      <c r="T695" s="1447"/>
      <c r="U695" s="80"/>
      <c r="V695" s="1796"/>
      <c r="W695" s="185"/>
      <c r="X695" s="364"/>
      <c r="Y695" s="1370" t="s">
        <v>16969</v>
      </c>
      <c r="Z695" s="80"/>
      <c r="AA695" s="80"/>
      <c r="AB695" s="207"/>
      <c r="AD695" s="41"/>
      <c r="AE695" s="41"/>
      <c r="AF695" s="41"/>
      <c r="AG695" s="41"/>
    </row>
    <row r="696" spans="1:36" ht="12.75" customHeight="1" x14ac:dyDescent="0.25">
      <c r="A696" s="1397" t="s">
        <v>3011</v>
      </c>
      <c r="B696" s="1370" t="s">
        <v>3012</v>
      </c>
      <c r="C696" s="1398">
        <f t="shared" si="132"/>
        <v>1</v>
      </c>
      <c r="F696" s="1797">
        <f t="shared" si="133"/>
        <v>1</v>
      </c>
      <c r="G696" s="1447"/>
      <c r="H696" s="1447"/>
      <c r="I696" s="1839"/>
      <c r="J696" s="1447"/>
      <c r="K696" s="1839"/>
      <c r="L696" s="1839"/>
      <c r="M696" s="1447"/>
      <c r="N696" s="1447"/>
      <c r="O696" s="1447">
        <v>1</v>
      </c>
      <c r="P696" s="1447"/>
      <c r="Q696" s="1447"/>
      <c r="R696" s="1447"/>
      <c r="S696" s="1447"/>
      <c r="T696" s="1447"/>
      <c r="U696" s="80"/>
      <c r="V696" s="1796"/>
      <c r="W696" s="185"/>
      <c r="X696" s="364"/>
      <c r="Y696" s="80" t="s">
        <v>16069</v>
      </c>
      <c r="Z696" s="80"/>
      <c r="AA696" s="80"/>
      <c r="AB696" s="207"/>
      <c r="AD696" s="41"/>
      <c r="AE696" s="41"/>
      <c r="AF696" s="2"/>
      <c r="AG696" s="80"/>
      <c r="AH696" s="80"/>
      <c r="AI696" s="207"/>
    </row>
    <row r="697" spans="1:36" ht="12.75" customHeight="1" x14ac:dyDescent="0.25">
      <c r="A697" s="1397" t="s">
        <v>665</v>
      </c>
      <c r="B697" s="1370" t="s">
        <v>666</v>
      </c>
      <c r="C697" s="1398">
        <f t="shared" si="132"/>
        <v>2</v>
      </c>
      <c r="F697" s="1797">
        <f t="shared" si="133"/>
        <v>2</v>
      </c>
      <c r="G697" s="1447">
        <v>1</v>
      </c>
      <c r="H697" s="1447"/>
      <c r="I697" s="1839"/>
      <c r="J697" s="1890">
        <v>1</v>
      </c>
      <c r="K697" s="1839"/>
      <c r="L697" s="1839"/>
      <c r="M697" s="1447"/>
      <c r="N697" s="1447"/>
      <c r="O697" s="1447"/>
      <c r="P697" s="1447"/>
      <c r="Q697" s="1447"/>
      <c r="R697" s="1447"/>
      <c r="S697" s="1447"/>
      <c r="T697" s="1447"/>
      <c r="U697" s="80"/>
      <c r="V697" s="1796"/>
      <c r="W697" s="185"/>
      <c r="X697" s="364"/>
      <c r="Y697" s="1371"/>
      <c r="Z697" s="1371"/>
      <c r="AA697" s="1371"/>
      <c r="AB697" s="1371"/>
      <c r="AC697" s="173"/>
      <c r="AD697" s="173"/>
      <c r="AE697" s="173"/>
      <c r="AF697" s="1371"/>
      <c r="AG697" s="1371"/>
      <c r="AH697" s="1371"/>
      <c r="AI697" s="1371"/>
      <c r="AJ697" s="173"/>
    </row>
    <row r="698" spans="1:36" ht="12.75" customHeight="1" x14ac:dyDescent="0.25">
      <c r="A698" s="1442" t="s">
        <v>2137</v>
      </c>
      <c r="B698" s="1375" t="s">
        <v>4943</v>
      </c>
      <c r="C698" s="1398">
        <f t="shared" si="132"/>
        <v>9</v>
      </c>
      <c r="F698" s="1797">
        <f t="shared" si="133"/>
        <v>2</v>
      </c>
      <c r="G698" s="1447"/>
      <c r="H698" s="1447"/>
      <c r="I698" s="1839"/>
      <c r="J698" s="1890"/>
      <c r="K698" s="1839"/>
      <c r="L698" s="1839"/>
      <c r="M698" s="1447">
        <v>1</v>
      </c>
      <c r="N698" s="1447"/>
      <c r="O698" s="1447"/>
      <c r="P698" s="1447">
        <v>8</v>
      </c>
      <c r="Q698" s="1447"/>
      <c r="R698" s="1447"/>
      <c r="S698" s="1447"/>
      <c r="T698" s="1447"/>
      <c r="U698" s="80"/>
      <c r="V698" s="1796"/>
      <c r="W698" s="185"/>
      <c r="X698" s="364"/>
      <c r="Y698" s="2" t="s">
        <v>1137</v>
      </c>
      <c r="Z698" s="80"/>
      <c r="AA698" s="80"/>
      <c r="AB698" s="207"/>
      <c r="AJ698" s="173"/>
    </row>
    <row r="699" spans="1:36" ht="12.75" customHeight="1" x14ac:dyDescent="0.25">
      <c r="A699" s="2015" t="s">
        <v>1798</v>
      </c>
      <c r="B699" s="636" t="s">
        <v>17201</v>
      </c>
      <c r="C699" s="1398">
        <f t="shared" si="132"/>
        <v>1</v>
      </c>
      <c r="F699" s="1797">
        <f>COUNT(G699:T699)</f>
        <v>1</v>
      </c>
      <c r="G699" s="1447"/>
      <c r="H699" s="1972">
        <v>1</v>
      </c>
      <c r="I699" s="1839"/>
      <c r="J699" s="1890"/>
      <c r="K699" s="1839"/>
      <c r="L699" s="1839"/>
      <c r="M699" s="1447"/>
      <c r="N699" s="1447"/>
      <c r="O699" s="1447"/>
      <c r="P699" s="1447"/>
      <c r="Q699" s="1447"/>
      <c r="R699" s="1447"/>
      <c r="S699" s="1447"/>
      <c r="T699" s="1447"/>
      <c r="U699" s="80"/>
      <c r="V699" s="1796"/>
      <c r="W699" s="185"/>
      <c r="X699" s="364"/>
      <c r="Y699" s="2"/>
      <c r="Z699" s="80"/>
      <c r="AA699" s="80"/>
      <c r="AB699" s="207"/>
      <c r="AJ699" s="173"/>
    </row>
    <row r="700" spans="1:36" ht="12.75" customHeight="1" x14ac:dyDescent="0.25">
      <c r="A700" s="1442" t="s">
        <v>9377</v>
      </c>
      <c r="B700" s="1375" t="s">
        <v>9378</v>
      </c>
      <c r="C700" s="1398">
        <f>SUM(G700:V700)</f>
        <v>1</v>
      </c>
      <c r="E700" s="1370">
        <f>V700</f>
        <v>1</v>
      </c>
      <c r="F700" s="1797">
        <f t="shared" si="133"/>
        <v>0</v>
      </c>
      <c r="G700" s="1447"/>
      <c r="H700" s="1447"/>
      <c r="I700" s="1839"/>
      <c r="J700" s="1890"/>
      <c r="K700" s="1839"/>
      <c r="L700" s="1839"/>
      <c r="M700" s="1447"/>
      <c r="N700" s="1447"/>
      <c r="O700" s="1447"/>
      <c r="P700" s="1447"/>
      <c r="Q700" s="1447"/>
      <c r="R700" s="1447"/>
      <c r="S700" s="1447"/>
      <c r="T700" s="1447"/>
      <c r="U700" s="80"/>
      <c r="V700" s="587">
        <v>1</v>
      </c>
      <c r="W700" s="185"/>
      <c r="X700" s="364"/>
      <c r="Y700" s="1371" t="s">
        <v>693</v>
      </c>
      <c r="Z700" s="1371"/>
      <c r="AA700" s="1371"/>
      <c r="AB700" s="1371"/>
      <c r="AC700" s="173"/>
      <c r="AG700" s="1370"/>
      <c r="AH700" s="1370"/>
      <c r="AI700" s="1370"/>
      <c r="AJ700" s="173"/>
    </row>
    <row r="701" spans="1:36" ht="12.75" customHeight="1" x14ac:dyDescent="0.25">
      <c r="A701" s="1397" t="s">
        <v>3960</v>
      </c>
      <c r="B701" s="1370" t="s">
        <v>3961</v>
      </c>
      <c r="C701" s="1398">
        <f t="shared" si="132"/>
        <v>2</v>
      </c>
      <c r="F701" s="1797">
        <f t="shared" si="133"/>
        <v>2</v>
      </c>
      <c r="G701" s="1447"/>
      <c r="H701" s="1447">
        <v>1</v>
      </c>
      <c r="I701" s="1839"/>
      <c r="J701" s="1447"/>
      <c r="K701" s="1839"/>
      <c r="L701" s="1839"/>
      <c r="M701" s="1447"/>
      <c r="N701" s="1447"/>
      <c r="O701" s="1447">
        <v>1</v>
      </c>
      <c r="P701" s="1447"/>
      <c r="Q701" s="1447"/>
      <c r="R701" s="1447"/>
      <c r="S701" s="1447"/>
      <c r="T701" s="1447"/>
      <c r="U701" s="80"/>
      <c r="V701" s="1796"/>
      <c r="W701" s="185"/>
      <c r="X701" s="364"/>
      <c r="Y701" s="1660" t="s">
        <v>9760</v>
      </c>
      <c r="AC701" s="173"/>
      <c r="AG701" s="1371"/>
      <c r="AH701" s="1371"/>
      <c r="AI701" s="1371"/>
      <c r="AJ701" s="173"/>
    </row>
    <row r="702" spans="1:36" ht="12.75" customHeight="1" x14ac:dyDescent="0.25">
      <c r="A702" s="1397" t="s">
        <v>3033</v>
      </c>
      <c r="B702" s="1370" t="s">
        <v>12025</v>
      </c>
      <c r="C702" s="1398">
        <f t="shared" si="132"/>
        <v>1</v>
      </c>
      <c r="F702" s="1797">
        <f t="shared" si="133"/>
        <v>1</v>
      </c>
      <c r="G702" s="1447"/>
      <c r="H702" s="1447"/>
      <c r="I702" s="1839"/>
      <c r="J702" s="1447"/>
      <c r="K702" s="1839"/>
      <c r="L702" s="1839"/>
      <c r="M702" s="1447"/>
      <c r="N702" s="1447"/>
      <c r="O702" s="1447">
        <v>1</v>
      </c>
      <c r="P702" s="1447"/>
      <c r="Q702" s="1447"/>
      <c r="R702" s="1447"/>
      <c r="S702" s="1447"/>
      <c r="T702" s="1447"/>
      <c r="U702" s="80"/>
      <c r="V702" s="1796"/>
      <c r="W702" s="185"/>
      <c r="X702" s="364"/>
      <c r="Y702" s="1660" t="s">
        <v>11405</v>
      </c>
      <c r="Z702" s="1370"/>
      <c r="AA702" s="1370"/>
      <c r="AB702" s="1370"/>
      <c r="AC702" s="173"/>
      <c r="AG702" s="1370"/>
      <c r="AH702" s="1370"/>
      <c r="AI702" s="1370"/>
      <c r="AJ702" s="173"/>
    </row>
    <row r="703" spans="1:36" ht="12.75" customHeight="1" x14ac:dyDescent="0.25">
      <c r="A703" s="1442" t="s">
        <v>4259</v>
      </c>
      <c r="B703" s="1374" t="s">
        <v>440</v>
      </c>
      <c r="C703" s="1398">
        <f t="shared" si="132"/>
        <v>1</v>
      </c>
      <c r="F703" s="1797">
        <f t="shared" si="133"/>
        <v>1</v>
      </c>
      <c r="G703" s="1447"/>
      <c r="H703" s="1447"/>
      <c r="I703" s="1839"/>
      <c r="J703" s="1447"/>
      <c r="K703" s="1839"/>
      <c r="L703" s="1839"/>
      <c r="M703" s="1447"/>
      <c r="N703" s="1447"/>
      <c r="O703" s="1447"/>
      <c r="P703" s="1447"/>
      <c r="Q703" s="1447"/>
      <c r="R703" s="1447"/>
      <c r="S703" s="1447">
        <v>1</v>
      </c>
      <c r="T703" s="1447"/>
      <c r="U703" s="80"/>
      <c r="V703" s="1796"/>
      <c r="W703" s="185"/>
      <c r="X703" s="364"/>
      <c r="Y703" s="1370" t="s">
        <v>4530</v>
      </c>
      <c r="Z703" s="1371"/>
      <c r="AA703" s="1371"/>
      <c r="AB703" s="1371"/>
      <c r="AC703" s="173"/>
      <c r="AG703" s="1370"/>
      <c r="AH703" s="1370"/>
      <c r="AI703" s="1370"/>
      <c r="AJ703" s="173"/>
    </row>
    <row r="704" spans="1:36" ht="12.75" customHeight="1" x14ac:dyDescent="0.25">
      <c r="A704" s="1397" t="s">
        <v>10900</v>
      </c>
      <c r="B704" s="1370" t="s">
        <v>10860</v>
      </c>
      <c r="C704" s="1398">
        <f t="shared" si="132"/>
        <v>1</v>
      </c>
      <c r="F704" s="1797">
        <f t="shared" si="133"/>
        <v>1</v>
      </c>
      <c r="G704" s="1447"/>
      <c r="H704" s="1447"/>
      <c r="I704" s="1839"/>
      <c r="J704" s="1447"/>
      <c r="K704" s="1839"/>
      <c r="L704" s="1839"/>
      <c r="M704" s="1447"/>
      <c r="N704" s="1447"/>
      <c r="O704" s="1447"/>
      <c r="P704" s="1447">
        <v>1</v>
      </c>
      <c r="Q704" s="1447"/>
      <c r="R704" s="1447"/>
      <c r="S704" s="1447"/>
      <c r="T704" s="1447"/>
      <c r="U704" s="80"/>
      <c r="V704" s="1796"/>
      <c r="W704" s="185"/>
      <c r="X704" s="364"/>
      <c r="Y704" s="1370" t="s">
        <v>16963</v>
      </c>
      <c r="Z704" s="1370"/>
      <c r="AA704" s="1370"/>
      <c r="AB704" s="1370"/>
      <c r="AC704" s="173"/>
      <c r="AG704" s="1371"/>
      <c r="AH704" s="1371"/>
      <c r="AI704" s="1370"/>
      <c r="AJ704" s="173"/>
    </row>
    <row r="705" spans="1:53" ht="12.75" customHeight="1" x14ac:dyDescent="0.25">
      <c r="A705" s="1397" t="s">
        <v>3962</v>
      </c>
      <c r="B705" s="1370" t="s">
        <v>5543</v>
      </c>
      <c r="C705" s="1398">
        <f t="shared" si="132"/>
        <v>1</v>
      </c>
      <c r="F705" s="1797">
        <f t="shared" si="133"/>
        <v>1</v>
      </c>
      <c r="G705" s="1447"/>
      <c r="H705" s="1447"/>
      <c r="I705" s="1839"/>
      <c r="J705" s="1447"/>
      <c r="K705" s="1839"/>
      <c r="L705" s="1839"/>
      <c r="M705" s="1447">
        <v>1</v>
      </c>
      <c r="N705" s="1447"/>
      <c r="O705" s="1447"/>
      <c r="P705" s="1447"/>
      <c r="Q705" s="1447"/>
      <c r="R705" s="1447"/>
      <c r="S705" s="1447"/>
      <c r="T705" s="1447"/>
      <c r="U705" s="80"/>
      <c r="V705" s="1796"/>
      <c r="W705" s="185"/>
      <c r="X705" s="364"/>
      <c r="Y705" s="1370" t="s">
        <v>3091</v>
      </c>
      <c r="Z705" s="1370"/>
      <c r="AA705" s="1370"/>
      <c r="AB705" s="1370" t="s">
        <v>16968</v>
      </c>
      <c r="AC705" s="173"/>
      <c r="AG705" s="1370"/>
      <c r="AH705" s="1370"/>
      <c r="AI705" s="1370"/>
      <c r="AJ705" s="173"/>
    </row>
    <row r="706" spans="1:53" ht="12.75" customHeight="1" x14ac:dyDescent="0.25">
      <c r="A706" s="1397" t="s">
        <v>866</v>
      </c>
      <c r="B706" s="1370" t="s">
        <v>5543</v>
      </c>
      <c r="C706" s="1398">
        <f t="shared" si="132"/>
        <v>1</v>
      </c>
      <c r="F706" s="1797">
        <f t="shared" si="133"/>
        <v>1</v>
      </c>
      <c r="G706" s="1447"/>
      <c r="H706" s="1447"/>
      <c r="I706" s="1839"/>
      <c r="J706" s="1447"/>
      <c r="K706" s="1839"/>
      <c r="L706" s="1839"/>
      <c r="M706" s="1447">
        <v>1</v>
      </c>
      <c r="N706" s="1447"/>
      <c r="O706" s="1447"/>
      <c r="P706" s="1447"/>
      <c r="Q706" s="1447"/>
      <c r="R706" s="1447"/>
      <c r="S706" s="1447"/>
      <c r="T706" s="1447"/>
      <c r="U706" s="80"/>
      <c r="V706" s="1796"/>
      <c r="W706" s="185"/>
      <c r="X706" s="364"/>
      <c r="Y706" s="1370" t="s">
        <v>8253</v>
      </c>
      <c r="Z706" s="1371"/>
      <c r="AA706" s="1371"/>
      <c r="AB706" s="1370" t="s">
        <v>16968</v>
      </c>
      <c r="AC706" s="173"/>
      <c r="AJ706" s="173"/>
    </row>
    <row r="707" spans="1:53" ht="12.75" customHeight="1" x14ac:dyDescent="0.25">
      <c r="A707" s="1397" t="s">
        <v>5542</v>
      </c>
      <c r="B707" s="1370" t="s">
        <v>5543</v>
      </c>
      <c r="C707" s="1398">
        <f t="shared" si="132"/>
        <v>1</v>
      </c>
      <c r="F707" s="1797">
        <f t="shared" si="133"/>
        <v>1</v>
      </c>
      <c r="G707" s="1447"/>
      <c r="H707" s="1447"/>
      <c r="I707" s="1839"/>
      <c r="J707" s="1447"/>
      <c r="K707" s="1839"/>
      <c r="L707" s="1839"/>
      <c r="M707" s="1447">
        <v>1</v>
      </c>
      <c r="N707" s="1447"/>
      <c r="O707" s="1447"/>
      <c r="P707" s="1447"/>
      <c r="Q707" s="1447"/>
      <c r="R707" s="1447"/>
      <c r="S707" s="1447"/>
      <c r="T707" s="1447"/>
      <c r="U707" s="80"/>
      <c r="V707" s="1796"/>
      <c r="W707" s="185"/>
      <c r="X707" s="364"/>
      <c r="Y707" s="1371" t="s">
        <v>3130</v>
      </c>
      <c r="Z707" s="1370"/>
      <c r="AA707" s="1370"/>
      <c r="AB707" s="1370" t="s">
        <v>16968</v>
      </c>
      <c r="AC707" s="173"/>
      <c r="AG707" s="1370"/>
      <c r="AH707" s="1370"/>
      <c r="AI707" s="1370"/>
      <c r="AJ707" s="173"/>
    </row>
    <row r="708" spans="1:53" ht="12.75" customHeight="1" x14ac:dyDescent="0.25">
      <c r="A708" s="1397" t="s">
        <v>3535</v>
      </c>
      <c r="B708" s="1370" t="s">
        <v>1026</v>
      </c>
      <c r="C708" s="1398">
        <f t="shared" si="132"/>
        <v>29</v>
      </c>
      <c r="F708" s="1797">
        <f t="shared" si="133"/>
        <v>4</v>
      </c>
      <c r="G708" s="1447"/>
      <c r="H708" s="1447"/>
      <c r="I708" s="1839"/>
      <c r="J708" s="1447"/>
      <c r="K708" s="1839"/>
      <c r="L708" s="1839"/>
      <c r="M708" s="1447"/>
      <c r="N708" s="1447">
        <v>25</v>
      </c>
      <c r="O708" s="1447"/>
      <c r="P708" s="1447"/>
      <c r="Q708" s="1447">
        <v>1</v>
      </c>
      <c r="R708" s="1447">
        <v>1</v>
      </c>
      <c r="S708" s="1447"/>
      <c r="T708" s="1447">
        <v>2</v>
      </c>
      <c r="U708" s="80"/>
      <c r="V708" s="1796"/>
      <c r="W708" s="185"/>
      <c r="X708" s="364"/>
      <c r="Y708" s="1370" t="s">
        <v>149</v>
      </c>
      <c r="AC708" s="173"/>
      <c r="AG708" s="1371"/>
      <c r="AH708" s="1371"/>
      <c r="AI708" s="1371"/>
      <c r="AJ708" s="173"/>
    </row>
    <row r="709" spans="1:53" ht="12.75" customHeight="1" x14ac:dyDescent="0.25">
      <c r="A709" s="1442" t="s">
        <v>3535</v>
      </c>
      <c r="B709" s="1374" t="s">
        <v>4741</v>
      </c>
      <c r="C709" s="1398">
        <f t="shared" si="132"/>
        <v>1</v>
      </c>
      <c r="F709" s="1797">
        <f t="shared" si="133"/>
        <v>1</v>
      </c>
      <c r="G709" s="1447"/>
      <c r="H709" s="1447"/>
      <c r="I709" s="1839"/>
      <c r="J709" s="1447"/>
      <c r="K709" s="1839"/>
      <c r="L709" s="1839"/>
      <c r="M709" s="1447"/>
      <c r="N709" s="1447"/>
      <c r="O709" s="1447">
        <v>1</v>
      </c>
      <c r="P709" s="1447"/>
      <c r="Q709" s="1447"/>
      <c r="R709" s="1447"/>
      <c r="S709" s="1447"/>
      <c r="T709" s="1447"/>
      <c r="U709" s="80"/>
      <c r="V709" s="1796"/>
      <c r="W709" s="185"/>
      <c r="X709" s="364"/>
      <c r="Y709" s="1660" t="s">
        <v>16967</v>
      </c>
      <c r="Z709" s="1370"/>
      <c r="AA709" s="1370"/>
      <c r="AB709" s="1370"/>
      <c r="AC709" s="173"/>
      <c r="AG709" s="80"/>
      <c r="AH709" s="80"/>
      <c r="AI709" s="80"/>
      <c r="AJ709" s="173"/>
    </row>
    <row r="710" spans="1:53" ht="12.75" customHeight="1" x14ac:dyDescent="0.25">
      <c r="A710" s="1397" t="s">
        <v>2703</v>
      </c>
      <c r="B710" s="1370" t="s">
        <v>2704</v>
      </c>
      <c r="C710" s="1398">
        <f t="shared" si="132"/>
        <v>1</v>
      </c>
      <c r="F710" s="1797">
        <f t="shared" si="133"/>
        <v>1</v>
      </c>
      <c r="G710" s="1447"/>
      <c r="H710" s="1447"/>
      <c r="I710" s="1839"/>
      <c r="J710" s="1447"/>
      <c r="K710" s="1839"/>
      <c r="L710" s="1839"/>
      <c r="M710" s="1447">
        <v>1</v>
      </c>
      <c r="N710" s="1447"/>
      <c r="O710" s="1447"/>
      <c r="P710" s="1447"/>
      <c r="Q710" s="1447"/>
      <c r="R710" s="1447"/>
      <c r="S710" s="1447"/>
      <c r="T710" s="1447"/>
      <c r="U710" s="80"/>
      <c r="V710" s="1796"/>
      <c r="W710" s="185"/>
      <c r="X710" s="364"/>
      <c r="Y710" s="1660" t="s">
        <v>12698</v>
      </c>
      <c r="Z710" s="1371"/>
      <c r="AA710" s="1371"/>
      <c r="AB710" s="1371"/>
      <c r="AC710" s="173"/>
      <c r="AG710" s="80"/>
      <c r="AH710" s="80"/>
      <c r="AI710" s="79"/>
    </row>
    <row r="711" spans="1:53" ht="12.75" customHeight="1" x14ac:dyDescent="0.25">
      <c r="A711" s="1426" t="s">
        <v>4878</v>
      </c>
      <c r="B711" s="1389" t="s">
        <v>3250</v>
      </c>
      <c r="C711" s="1398">
        <f t="shared" si="132"/>
        <v>1</v>
      </c>
      <c r="F711" s="1797">
        <f t="shared" si="133"/>
        <v>1</v>
      </c>
      <c r="G711" s="1447">
        <v>1</v>
      </c>
      <c r="H711" s="1447"/>
      <c r="I711" s="1839"/>
      <c r="J711" s="1447"/>
      <c r="K711" s="1839"/>
      <c r="L711" s="1839"/>
      <c r="M711" s="1447"/>
      <c r="N711" s="1447"/>
      <c r="O711" s="1447"/>
      <c r="P711" s="1447"/>
      <c r="Q711" s="1447"/>
      <c r="R711" s="1447"/>
      <c r="S711" s="1447"/>
      <c r="T711" s="1447"/>
      <c r="U711" s="80"/>
      <c r="V711" s="1796"/>
      <c r="W711" s="185"/>
      <c r="X711" s="364"/>
      <c r="Y711" s="1370" t="s">
        <v>4040</v>
      </c>
      <c r="Z711" s="80"/>
      <c r="AA711" s="80"/>
      <c r="AB711" s="80"/>
      <c r="AC711" s="173"/>
      <c r="AG711" s="41"/>
    </row>
    <row r="712" spans="1:53" ht="12.75" customHeight="1" x14ac:dyDescent="0.25">
      <c r="A712" s="1426" t="s">
        <v>16407</v>
      </c>
      <c r="B712" s="1389" t="s">
        <v>4894</v>
      </c>
      <c r="C712" s="1398">
        <f t="shared" si="132"/>
        <v>1</v>
      </c>
      <c r="F712" s="1797">
        <f t="shared" si="133"/>
        <v>1</v>
      </c>
      <c r="G712" s="1447"/>
      <c r="H712" s="1447"/>
      <c r="I712" s="1839"/>
      <c r="J712" s="1447"/>
      <c r="K712" s="1839"/>
      <c r="L712" s="1839"/>
      <c r="M712" s="1447"/>
      <c r="N712" s="1447"/>
      <c r="O712" s="1447">
        <v>1</v>
      </c>
      <c r="P712" s="1447"/>
      <c r="Q712" s="1447"/>
      <c r="R712" s="1447"/>
      <c r="S712" s="1447"/>
      <c r="T712" s="1447"/>
      <c r="U712" s="80"/>
      <c r="V712" s="1796"/>
      <c r="W712" s="185"/>
      <c r="X712" s="364"/>
      <c r="Y712" s="1371" t="s">
        <v>3816</v>
      </c>
      <c r="Z712" s="80"/>
      <c r="AA712" s="80"/>
      <c r="AB712" s="79" t="s">
        <v>16968</v>
      </c>
      <c r="AG712" s="41"/>
    </row>
    <row r="713" spans="1:53" ht="12.75" customHeight="1" x14ac:dyDescent="0.25">
      <c r="A713" s="1446"/>
      <c r="C713" s="20">
        <f>SUM(C690:C712)</f>
        <v>64</v>
      </c>
      <c r="G713" s="637">
        <f>SUM(G690:G712)</f>
        <v>7</v>
      </c>
      <c r="H713" s="637">
        <f>SUM(H690:H712)</f>
        <v>4</v>
      </c>
      <c r="I713" s="1695"/>
      <c r="J713" s="637">
        <f>SUM(J690:J712)</f>
        <v>1</v>
      </c>
      <c r="K713" s="1695"/>
      <c r="L713" s="1695"/>
      <c r="M713" s="637">
        <f t="shared" ref="M713:P713" si="134">SUM(M690:M712)</f>
        <v>5</v>
      </c>
      <c r="N713" s="637">
        <f t="shared" si="134"/>
        <v>25</v>
      </c>
      <c r="O713" s="637">
        <f t="shared" si="134"/>
        <v>6</v>
      </c>
      <c r="P713" s="637">
        <f t="shared" si="134"/>
        <v>10</v>
      </c>
      <c r="Q713" s="637">
        <f t="shared" ref="Q713:R713" si="135">SUM(Q690:Q712)</f>
        <v>1</v>
      </c>
      <c r="R713" s="637">
        <f t="shared" si="135"/>
        <v>1</v>
      </c>
      <c r="S713" s="637">
        <f>SUM(S690:S712)</f>
        <v>1</v>
      </c>
      <c r="T713" s="637">
        <f>SUM(T690:T712)</f>
        <v>2</v>
      </c>
      <c r="U713" s="80"/>
      <c r="V713" s="1796"/>
      <c r="W713" s="185"/>
      <c r="X713" s="364"/>
      <c r="Y713" s="80"/>
      <c r="Z713" s="80"/>
      <c r="AA713" s="80"/>
      <c r="AB713" s="207"/>
      <c r="AD713" s="41"/>
      <c r="AE713" s="41"/>
      <c r="AF713" s="41"/>
      <c r="AG713" s="41"/>
    </row>
    <row r="714" spans="1:53" ht="12.75" customHeight="1" x14ac:dyDescent="0.25">
      <c r="A714" s="1446"/>
      <c r="C714" s="9"/>
      <c r="E714" s="1377">
        <f>COUNT(G714:T714)</f>
        <v>11</v>
      </c>
      <c r="G714" s="637">
        <f>COUNT(G690:G712)</f>
        <v>4</v>
      </c>
      <c r="H714" s="637">
        <f>COUNT(H690:H712)</f>
        <v>4</v>
      </c>
      <c r="I714" s="1695"/>
      <c r="J714" s="637">
        <f>COUNT(J690:J712)</f>
        <v>1</v>
      </c>
      <c r="K714" s="1695"/>
      <c r="L714" s="1695"/>
      <c r="M714" s="637">
        <f t="shared" ref="M714:P714" si="136">COUNT(M690:M712)</f>
        <v>5</v>
      </c>
      <c r="N714" s="637">
        <f t="shared" si="136"/>
        <v>1</v>
      </c>
      <c r="O714" s="637">
        <f t="shared" si="136"/>
        <v>6</v>
      </c>
      <c r="P714" s="637">
        <f t="shared" si="136"/>
        <v>3</v>
      </c>
      <c r="Q714" s="637">
        <f t="shared" ref="Q714:R714" si="137">COUNT(Q690:Q712)</f>
        <v>1</v>
      </c>
      <c r="R714" s="637">
        <f t="shared" si="137"/>
        <v>1</v>
      </c>
      <c r="S714" s="637">
        <f>COUNT(S690:S712)</f>
        <v>1</v>
      </c>
      <c r="T714" s="637">
        <f>COUNT(T690:T712)</f>
        <v>1</v>
      </c>
      <c r="U714" s="80"/>
      <c r="V714" s="1796"/>
      <c r="W714" s="185"/>
      <c r="X714" s="364"/>
      <c r="Y714" s="80"/>
      <c r="Z714" s="80"/>
      <c r="AA714" s="80"/>
      <c r="AB714" s="207"/>
      <c r="AD714" s="41"/>
      <c r="AE714" s="41"/>
      <c r="AF714" s="41"/>
      <c r="AG714" s="41"/>
    </row>
    <row r="715" spans="1:53" ht="12.75" customHeight="1" x14ac:dyDescent="0.25">
      <c r="A715" s="1446"/>
      <c r="C715" s="9"/>
      <c r="G715" s="1798" t="s">
        <v>2430</v>
      </c>
      <c r="H715" s="1798"/>
      <c r="I715" s="1798"/>
      <c r="J715" s="1799" t="s">
        <v>2964</v>
      </c>
      <c r="K715" s="1548"/>
      <c r="L715" s="1548"/>
      <c r="M715" s="1798"/>
      <c r="N715" s="1888" t="s">
        <v>9760</v>
      </c>
      <c r="O715" s="1798"/>
      <c r="P715" s="1888" t="s">
        <v>11411</v>
      </c>
      <c r="Q715" s="1798"/>
      <c r="R715" s="1798" t="s">
        <v>16645</v>
      </c>
      <c r="S715" s="1798"/>
      <c r="T715" s="1798" t="s">
        <v>12760</v>
      </c>
      <c r="U715" s="1418"/>
      <c r="V715" s="1548"/>
      <c r="W715" s="185"/>
      <c r="X715" s="364"/>
      <c r="Y715" s="185"/>
      <c r="Z715" s="185"/>
      <c r="AA715" s="185"/>
      <c r="AB715" s="410"/>
      <c r="AD715" s="41"/>
      <c r="AE715" s="41"/>
      <c r="AF715" s="41"/>
      <c r="AG715" s="41"/>
    </row>
    <row r="716" spans="1:53" ht="12.75" customHeight="1" x14ac:dyDescent="0.25">
      <c r="A716" s="1446"/>
      <c r="C716" s="9"/>
      <c r="G716" s="1800"/>
      <c r="H716" s="1800" t="s">
        <v>3132</v>
      </c>
      <c r="I716" s="1800"/>
      <c r="J716" s="1801" t="s">
        <v>16409</v>
      </c>
      <c r="K716" s="1548"/>
      <c r="L716" s="1548"/>
      <c r="M716" s="1800" t="s">
        <v>693</v>
      </c>
      <c r="N716" s="1800"/>
      <c r="O716" s="1800" t="s">
        <v>4530</v>
      </c>
      <c r="P716" s="1800"/>
      <c r="Q716" s="1800" t="s">
        <v>149</v>
      </c>
      <c r="R716" s="1800"/>
      <c r="S716" s="1800" t="s">
        <v>16410</v>
      </c>
      <c r="T716" s="1800"/>
      <c r="U716" s="1418"/>
      <c r="V716" s="1548"/>
      <c r="W716" s="185"/>
      <c r="X716" s="364"/>
      <c r="Y716" s="185"/>
      <c r="Z716" s="185"/>
      <c r="AA716" s="185"/>
      <c r="AB716" s="410"/>
      <c r="AD716" s="41"/>
      <c r="AE716" s="41"/>
      <c r="AF716" s="41"/>
      <c r="AG716" s="41"/>
    </row>
    <row r="717" spans="1:53" ht="12.75" customHeight="1" x14ac:dyDescent="0.25">
      <c r="A717" s="1446"/>
      <c r="C717" s="9"/>
      <c r="G717" s="79"/>
      <c r="H717" s="81"/>
      <c r="I717" s="81"/>
      <c r="J717" s="81"/>
      <c r="K717" s="1839"/>
      <c r="L717" s="1839"/>
      <c r="M717" s="1839"/>
      <c r="N717" s="1839"/>
      <c r="O717" s="1889"/>
      <c r="P717" s="1415"/>
      <c r="Q717" s="1839"/>
      <c r="R717" s="1839"/>
      <c r="S717" s="1370"/>
      <c r="T717" s="1406"/>
      <c r="U717" s="1418"/>
      <c r="V717" s="1406"/>
      <c r="W717" s="185"/>
      <c r="X717" s="185"/>
      <c r="Y717" s="185"/>
      <c r="Z717" s="410"/>
      <c r="AB717" s="41"/>
      <c r="AC717" s="41"/>
      <c r="AD717" s="41"/>
      <c r="AE717" s="41"/>
    </row>
    <row r="718" spans="1:53" ht="12.75" customHeight="1" x14ac:dyDescent="0.25">
      <c r="A718" s="1446"/>
      <c r="C718" s="1398"/>
      <c r="D718" s="1371"/>
      <c r="F718" s="1402"/>
      <c r="G718" s="2" t="s">
        <v>16970</v>
      </c>
      <c r="H718" s="81"/>
      <c r="I718" s="81"/>
      <c r="J718" s="81"/>
      <c r="K718" s="81"/>
      <c r="L718" s="81"/>
      <c r="M718" s="81"/>
      <c r="N718" s="81"/>
      <c r="O718" s="1583"/>
      <c r="P718" s="1415"/>
      <c r="Q718" s="1839"/>
      <c r="R718" s="1839"/>
      <c r="S718" s="1370"/>
      <c r="T718" s="1406"/>
      <c r="U718" s="1418"/>
      <c r="V718" s="1406"/>
      <c r="W718" s="1418"/>
      <c r="X718" s="1418"/>
      <c r="Y718" s="1418"/>
      <c r="Z718" s="1407"/>
      <c r="AA718" s="1371"/>
      <c r="AB718" s="1402"/>
      <c r="AC718" s="1402"/>
      <c r="AD718" s="1402"/>
      <c r="AE718" s="1402"/>
      <c r="AF718" s="1371"/>
      <c r="AG718" s="1371"/>
      <c r="AH718" s="1371"/>
      <c r="AI718" s="1371"/>
      <c r="AJ718" s="1371"/>
      <c r="AK718" s="1371"/>
      <c r="AL718" s="1371"/>
      <c r="AM718" s="1371"/>
      <c r="AN718" s="1371"/>
      <c r="AO718" s="1371"/>
      <c r="AP718" s="1371"/>
      <c r="AQ718" s="1371"/>
      <c r="AR718" s="1371"/>
      <c r="AS718" s="1371"/>
      <c r="AT718" s="1371"/>
      <c r="AU718" s="1371"/>
      <c r="AV718" s="1371"/>
      <c r="AW718" s="1371"/>
      <c r="AX718" s="1371"/>
      <c r="AY718" s="1371"/>
      <c r="AZ718" s="1371"/>
      <c r="BA718" s="1371"/>
    </row>
    <row r="719" spans="1:53" ht="12.75" customHeight="1" x14ac:dyDescent="0.25">
      <c r="A719" s="1446"/>
      <c r="C719" s="9"/>
      <c r="G719" s="2" t="s">
        <v>54</v>
      </c>
      <c r="H719" s="81"/>
      <c r="I719" s="81"/>
      <c r="J719" s="81"/>
      <c r="K719" s="81"/>
      <c r="L719" s="81"/>
      <c r="M719" s="81"/>
      <c r="N719" s="81"/>
      <c r="O719" s="70" t="s">
        <v>1151</v>
      </c>
      <c r="P719" s="41"/>
      <c r="Q719" s="41"/>
      <c r="R719" s="41"/>
      <c r="S719" s="41"/>
      <c r="T719" s="364"/>
      <c r="U719" s="1156" t="s">
        <v>16408</v>
      </c>
      <c r="V719" s="185"/>
      <c r="W719" s="185"/>
      <c r="X719" s="185"/>
      <c r="Y719" s="410"/>
      <c r="AA719" s="41"/>
      <c r="AB719" s="41"/>
      <c r="AC719" s="41"/>
      <c r="AD719" s="41"/>
    </row>
    <row r="720" spans="1:53" ht="12.75" customHeight="1" x14ac:dyDescent="0.2">
      <c r="A720" s="1443"/>
      <c r="B720" s="1444"/>
      <c r="C720" s="180"/>
      <c r="D720" s="42"/>
      <c r="G720" s="540" t="s">
        <v>15943</v>
      </c>
      <c r="H720" s="537" t="s">
        <v>11313</v>
      </c>
      <c r="I720" s="540" t="s">
        <v>8856</v>
      </c>
      <c r="J720" s="537" t="s">
        <v>3159</v>
      </c>
      <c r="K720" s="540" t="s">
        <v>4572</v>
      </c>
      <c r="L720" s="537" t="s">
        <v>5120</v>
      </c>
      <c r="M720" s="540" t="s">
        <v>1909</v>
      </c>
      <c r="O720" s="1424" t="s">
        <v>11806</v>
      </c>
      <c r="P720" s="855" t="s">
        <v>2503</v>
      </c>
      <c r="Q720" s="854" t="s">
        <v>957</v>
      </c>
      <c r="R720" s="854" t="s">
        <v>1789</v>
      </c>
      <c r="S720" s="586" t="s">
        <v>10251</v>
      </c>
      <c r="T720" s="1545"/>
      <c r="U720" s="1453"/>
      <c r="V720" s="2072" t="s">
        <v>4615</v>
      </c>
      <c r="W720" s="1453"/>
      <c r="X720" s="1453"/>
      <c r="Y720" s="173"/>
      <c r="Z720" s="173"/>
      <c r="AA720" s="173"/>
      <c r="AB720" s="41"/>
    </row>
    <row r="721" spans="1:28" ht="12.75" customHeight="1" x14ac:dyDescent="0.2">
      <c r="A721" s="1443" t="s">
        <v>3251</v>
      </c>
      <c r="B721" s="1444" t="s">
        <v>3252</v>
      </c>
      <c r="C721" s="9">
        <f t="shared" ref="C721:C731" si="138">SUM(G721:S721)</f>
        <v>1</v>
      </c>
      <c r="D721" s="42"/>
      <c r="F721" s="960">
        <f t="shared" ref="F721:F743" si="139">COUNT(G721:S721)</f>
        <v>1</v>
      </c>
      <c r="G721" s="1388"/>
      <c r="H721" s="1388">
        <v>1</v>
      </c>
      <c r="I721" s="1388"/>
      <c r="J721" s="1388"/>
      <c r="K721" s="1388"/>
      <c r="L721" s="1388"/>
      <c r="M721" s="1388"/>
      <c r="O721" s="1447"/>
      <c r="P721" s="1447"/>
      <c r="Q721" s="1447"/>
      <c r="R721" s="1447"/>
      <c r="S721" s="1447"/>
      <c r="T721" s="1695"/>
      <c r="U721" s="1453"/>
      <c r="V721" s="2073"/>
      <c r="W721" s="1453"/>
      <c r="X721" s="1453"/>
      <c r="Y721" s="173"/>
      <c r="Z721" s="173"/>
      <c r="AA721" s="173"/>
      <c r="AB721" s="41"/>
    </row>
    <row r="722" spans="1:28" ht="12.75" customHeight="1" x14ac:dyDescent="0.2">
      <c r="A722" s="1443" t="s">
        <v>866</v>
      </c>
      <c r="B722" s="1444" t="s">
        <v>867</v>
      </c>
      <c r="C722" s="9">
        <f t="shared" si="138"/>
        <v>1</v>
      </c>
      <c r="D722" s="42"/>
      <c r="F722" s="960">
        <f t="shared" si="139"/>
        <v>1</v>
      </c>
      <c r="G722" s="1388"/>
      <c r="H722" s="1388"/>
      <c r="I722" s="1388"/>
      <c r="J722" s="1388"/>
      <c r="K722" s="1388"/>
      <c r="L722" s="1388"/>
      <c r="M722" s="1388"/>
      <c r="O722" s="1447"/>
      <c r="P722" s="1447"/>
      <c r="Q722" s="1447"/>
      <c r="R722" s="1447">
        <v>1</v>
      </c>
      <c r="S722" s="1447"/>
      <c r="T722" s="1695"/>
      <c r="U722" s="1453"/>
      <c r="V722" s="2073"/>
      <c r="W722" s="1453"/>
      <c r="X722" s="1453"/>
      <c r="Y722" s="173"/>
      <c r="Z722" s="173"/>
      <c r="AA722" s="173"/>
      <c r="AB722" s="41"/>
    </row>
    <row r="723" spans="1:28" ht="12.75" customHeight="1" x14ac:dyDescent="0.2">
      <c r="A723" s="2075" t="s">
        <v>11800</v>
      </c>
      <c r="B723" s="1672" t="s">
        <v>11801</v>
      </c>
      <c r="C723" s="9">
        <f t="shared" si="138"/>
        <v>1</v>
      </c>
      <c r="D723" s="42"/>
      <c r="F723" s="960">
        <f t="shared" si="139"/>
        <v>1</v>
      </c>
      <c r="G723" s="1388"/>
      <c r="H723" s="1388"/>
      <c r="I723" s="1388"/>
      <c r="J723" s="1388"/>
      <c r="K723" s="1388"/>
      <c r="L723" s="1388"/>
      <c r="M723" s="1388"/>
      <c r="O723" s="1447">
        <v>1</v>
      </c>
      <c r="P723" s="1447"/>
      <c r="Q723" s="1447"/>
      <c r="R723" s="1447"/>
      <c r="S723" s="1447"/>
      <c r="T723" s="1695"/>
      <c r="U723" s="1453"/>
      <c r="V723" s="2073"/>
      <c r="W723" s="1453"/>
      <c r="X723" s="1453"/>
      <c r="Y723" s="173"/>
      <c r="Z723" s="173"/>
      <c r="AA723" s="173"/>
      <c r="AB723" s="41"/>
    </row>
    <row r="724" spans="1:28" ht="12.75" customHeight="1" x14ac:dyDescent="0.2">
      <c r="A724" s="1443" t="s">
        <v>4576</v>
      </c>
      <c r="B724" s="1444" t="s">
        <v>4577</v>
      </c>
      <c r="C724" s="9">
        <f t="shared" si="138"/>
        <v>2</v>
      </c>
      <c r="D724" s="42"/>
      <c r="F724" s="960">
        <f t="shared" si="139"/>
        <v>2</v>
      </c>
      <c r="G724" s="1388"/>
      <c r="H724" s="1388"/>
      <c r="I724" s="1388"/>
      <c r="J724" s="1388"/>
      <c r="K724" s="1388"/>
      <c r="L724" s="1388"/>
      <c r="M724" s="1388"/>
      <c r="O724" s="1447"/>
      <c r="P724" s="1447">
        <v>1</v>
      </c>
      <c r="Q724" s="1447">
        <v>1</v>
      </c>
      <c r="R724" s="1447"/>
      <c r="S724" s="1447"/>
      <c r="T724" s="1695"/>
      <c r="U724" s="1453"/>
      <c r="V724" s="2073"/>
      <c r="W724" s="1453"/>
      <c r="X724" s="1453"/>
      <c r="Y724" s="173"/>
      <c r="Z724" s="173"/>
      <c r="AA724" s="173"/>
      <c r="AB724" s="41"/>
    </row>
    <row r="725" spans="1:28" ht="12.75" customHeight="1" x14ac:dyDescent="0.2">
      <c r="A725" s="1397" t="s">
        <v>3230</v>
      </c>
      <c r="B725" s="1370" t="s">
        <v>11625</v>
      </c>
      <c r="C725" s="9">
        <f t="shared" si="138"/>
        <v>2</v>
      </c>
      <c r="F725" s="960">
        <f t="shared" si="139"/>
        <v>2</v>
      </c>
      <c r="G725" s="1377">
        <v>1</v>
      </c>
      <c r="H725" s="1377"/>
      <c r="I725" s="1377"/>
      <c r="J725" s="1377"/>
      <c r="K725" s="1377"/>
      <c r="L725" s="1377"/>
      <c r="M725" s="1377"/>
      <c r="O725" s="1447"/>
      <c r="P725" s="1447"/>
      <c r="Q725" s="1447"/>
      <c r="R725" s="1447"/>
      <c r="S725" s="1447">
        <v>1</v>
      </c>
      <c r="T725" s="1695"/>
      <c r="U725" s="1453"/>
      <c r="V725" s="2073"/>
      <c r="W725" s="1453"/>
      <c r="X725" s="1453"/>
      <c r="Y725" s="173"/>
      <c r="Z725" s="173"/>
      <c r="AA725" s="173"/>
      <c r="AB725" s="41"/>
    </row>
    <row r="726" spans="1:28" ht="12.75" customHeight="1" x14ac:dyDescent="0.2">
      <c r="A726" s="1446" t="s">
        <v>5540</v>
      </c>
      <c r="B726" s="1371" t="s">
        <v>5541</v>
      </c>
      <c r="C726" s="9">
        <f t="shared" si="138"/>
        <v>56</v>
      </c>
      <c r="F726" s="960">
        <f t="shared" si="139"/>
        <v>4</v>
      </c>
      <c r="G726" s="1377"/>
      <c r="H726" s="1377"/>
      <c r="I726" s="1377"/>
      <c r="J726" s="1377"/>
      <c r="K726" s="1377"/>
      <c r="L726" s="1377"/>
      <c r="M726" s="1377">
        <v>53</v>
      </c>
      <c r="O726" s="1447">
        <v>1</v>
      </c>
      <c r="P726" s="1447">
        <v>1</v>
      </c>
      <c r="Q726" s="1447">
        <v>1</v>
      </c>
      <c r="R726" s="1447"/>
      <c r="S726" s="1447"/>
      <c r="T726" s="1695"/>
      <c r="U726" s="1453"/>
      <c r="V726" s="2073"/>
      <c r="W726" s="1453"/>
      <c r="X726" s="1453"/>
      <c r="Y726" s="173"/>
      <c r="Z726" s="173"/>
      <c r="AA726" s="173"/>
      <c r="AB726" s="41"/>
    </row>
    <row r="727" spans="1:28" ht="12.75" customHeight="1" x14ac:dyDescent="0.2">
      <c r="A727" s="1446" t="s">
        <v>665</v>
      </c>
      <c r="B727" s="1371" t="s">
        <v>666</v>
      </c>
      <c r="C727" s="9">
        <f t="shared" si="138"/>
        <v>3</v>
      </c>
      <c r="F727" s="960">
        <f t="shared" si="139"/>
        <v>3</v>
      </c>
      <c r="G727" s="1377"/>
      <c r="H727" s="1377">
        <v>1</v>
      </c>
      <c r="I727" s="1377"/>
      <c r="J727" s="1377"/>
      <c r="K727" s="1377"/>
      <c r="L727" s="1377">
        <v>1</v>
      </c>
      <c r="M727" s="1377">
        <v>1</v>
      </c>
      <c r="O727" s="1447"/>
      <c r="P727" s="1447"/>
      <c r="Q727" s="1447"/>
      <c r="R727" s="1447"/>
      <c r="S727" s="1447"/>
      <c r="T727" s="1695"/>
      <c r="U727" s="1453"/>
      <c r="V727" s="2073"/>
      <c r="W727" s="1453"/>
      <c r="X727" s="1453"/>
      <c r="Y727" s="173"/>
      <c r="Z727" s="173"/>
      <c r="AA727" s="173"/>
      <c r="AB727" s="41"/>
    </row>
    <row r="728" spans="1:28" ht="12.75" customHeight="1" x14ac:dyDescent="0.2">
      <c r="A728" s="1397" t="s">
        <v>4677</v>
      </c>
      <c r="B728" s="1660" t="s">
        <v>4678</v>
      </c>
      <c r="C728" s="9">
        <f t="shared" si="138"/>
        <v>27</v>
      </c>
      <c r="F728" s="960">
        <f t="shared" si="139"/>
        <v>1</v>
      </c>
      <c r="G728" s="1377"/>
      <c r="H728" s="1377"/>
      <c r="I728" s="1377"/>
      <c r="J728" s="1377"/>
      <c r="K728" s="1377"/>
      <c r="L728" s="1377"/>
      <c r="M728" s="1377"/>
      <c r="O728" s="1447"/>
      <c r="P728" s="1447"/>
      <c r="Q728" s="1447"/>
      <c r="R728" s="1447">
        <v>27</v>
      </c>
      <c r="S728" s="1447"/>
      <c r="T728" s="1695"/>
      <c r="U728" s="1453"/>
      <c r="V728" s="2073"/>
      <c r="W728" s="1453"/>
      <c r="X728" s="1453"/>
      <c r="Y728" s="173"/>
      <c r="Z728" s="173"/>
      <c r="AA728" s="173"/>
      <c r="AB728" s="41"/>
    </row>
    <row r="729" spans="1:28" ht="12.75" customHeight="1" x14ac:dyDescent="0.2">
      <c r="A729" s="1397" t="s">
        <v>2478</v>
      </c>
      <c r="B729" s="1660" t="s">
        <v>2479</v>
      </c>
      <c r="C729" s="9">
        <f t="shared" si="138"/>
        <v>1</v>
      </c>
      <c r="F729" s="960">
        <f t="shared" si="139"/>
        <v>1</v>
      </c>
      <c r="G729" s="1377"/>
      <c r="H729" s="1377"/>
      <c r="I729" s="1377"/>
      <c r="J729" s="1377"/>
      <c r="K729" s="1377"/>
      <c r="L729" s="1377"/>
      <c r="M729" s="1377"/>
      <c r="O729" s="1447"/>
      <c r="P729" s="1447"/>
      <c r="Q729" s="1447">
        <v>1</v>
      </c>
      <c r="R729" s="1447"/>
      <c r="S729" s="1447"/>
      <c r="T729" s="1695"/>
      <c r="U729" s="1453"/>
      <c r="V729" s="2073"/>
      <c r="W729" s="1453"/>
      <c r="X729" s="1453"/>
      <c r="Y729" s="173"/>
      <c r="Z729" s="173"/>
      <c r="AA729" s="173"/>
      <c r="AB729" s="41"/>
    </row>
    <row r="730" spans="1:28" ht="12.75" customHeight="1" x14ac:dyDescent="0.2">
      <c r="A730" s="1397" t="s">
        <v>866</v>
      </c>
      <c r="B730" s="1660" t="s">
        <v>4635</v>
      </c>
      <c r="C730" s="9">
        <f t="shared" si="138"/>
        <v>3</v>
      </c>
      <c r="F730" s="960">
        <f t="shared" si="139"/>
        <v>3</v>
      </c>
      <c r="G730" s="1377"/>
      <c r="H730" s="1377"/>
      <c r="I730" s="1377"/>
      <c r="J730" s="1377"/>
      <c r="K730" s="1377"/>
      <c r="L730" s="1377"/>
      <c r="M730" s="1377"/>
      <c r="O730" s="1447"/>
      <c r="P730" s="1447">
        <v>1</v>
      </c>
      <c r="Q730" s="1447"/>
      <c r="R730" s="1447">
        <v>1</v>
      </c>
      <c r="S730" s="1447">
        <v>1</v>
      </c>
      <c r="T730" s="1695"/>
      <c r="U730" s="1453"/>
      <c r="V730" s="2073"/>
      <c r="W730" s="1453"/>
      <c r="X730" s="1453"/>
      <c r="Y730" s="173"/>
      <c r="Z730" s="173"/>
      <c r="AA730" s="173"/>
      <c r="AB730" s="41"/>
    </row>
    <row r="731" spans="1:28" ht="12.75" customHeight="1" x14ac:dyDescent="0.2">
      <c r="A731" s="1397" t="s">
        <v>1798</v>
      </c>
      <c r="B731" s="1660" t="s">
        <v>17201</v>
      </c>
      <c r="C731" s="9">
        <f t="shared" si="138"/>
        <v>5</v>
      </c>
      <c r="F731" s="960">
        <f t="shared" si="139"/>
        <v>3</v>
      </c>
      <c r="G731" s="1377"/>
      <c r="H731" s="1377">
        <v>1</v>
      </c>
      <c r="I731" s="1377"/>
      <c r="J731" s="1377"/>
      <c r="K731" s="1377"/>
      <c r="L731" s="1377"/>
      <c r="M731" s="1377"/>
      <c r="O731" s="1447"/>
      <c r="P731" s="1447">
        <v>1</v>
      </c>
      <c r="Q731" s="1447">
        <v>3</v>
      </c>
      <c r="R731" s="1447"/>
      <c r="S731" s="1447"/>
      <c r="T731" s="1695"/>
      <c r="U731" s="1453"/>
      <c r="V731" s="2073"/>
      <c r="W731" s="1453"/>
      <c r="X731" s="1453"/>
      <c r="Y731" s="173"/>
      <c r="Z731" s="173"/>
      <c r="AA731" s="173"/>
      <c r="AB731" s="41"/>
    </row>
    <row r="732" spans="1:28" ht="12.75" customHeight="1" x14ac:dyDescent="0.2">
      <c r="A732" s="1397" t="s">
        <v>16990</v>
      </c>
      <c r="B732" s="1660" t="s">
        <v>16991</v>
      </c>
      <c r="C732" s="9">
        <f>SUM(G732:V732)</f>
        <v>7</v>
      </c>
      <c r="E732" s="2079">
        <f>COUNT(V732:V732)</f>
        <v>1</v>
      </c>
      <c r="F732" s="960">
        <f t="shared" si="139"/>
        <v>3</v>
      </c>
      <c r="G732" s="1377"/>
      <c r="H732" s="1377"/>
      <c r="I732" s="1377"/>
      <c r="J732" s="1377"/>
      <c r="K732" s="1377"/>
      <c r="L732" s="1377"/>
      <c r="M732" s="1377"/>
      <c r="O732" s="1447"/>
      <c r="P732" s="1447">
        <v>1</v>
      </c>
      <c r="Q732" s="1447">
        <v>1</v>
      </c>
      <c r="R732" s="1447">
        <v>2</v>
      </c>
      <c r="S732" s="1447"/>
      <c r="T732" s="1695"/>
      <c r="U732" s="1453"/>
      <c r="V732" s="1383">
        <v>3</v>
      </c>
      <c r="W732" s="1453"/>
      <c r="X732" s="1453"/>
      <c r="Y732" s="173"/>
      <c r="Z732" s="173"/>
      <c r="AA732" s="173"/>
      <c r="AB732" s="41"/>
    </row>
    <row r="733" spans="1:28" ht="12.75" customHeight="1" x14ac:dyDescent="0.2">
      <c r="A733" s="1397" t="s">
        <v>1794</v>
      </c>
      <c r="B733" s="1370" t="s">
        <v>1795</v>
      </c>
      <c r="C733" s="9">
        <f t="shared" ref="C733:C743" si="140">SUM(G733:S733)</f>
        <v>1</v>
      </c>
      <c r="F733" s="960">
        <f t="shared" si="139"/>
        <v>1</v>
      </c>
      <c r="G733" s="1377"/>
      <c r="H733" s="1377"/>
      <c r="I733" s="1377"/>
      <c r="J733" s="1377"/>
      <c r="K733" s="1377"/>
      <c r="L733" s="1377"/>
      <c r="M733" s="1377">
        <v>1</v>
      </c>
      <c r="O733" s="1447"/>
      <c r="P733" s="1447"/>
      <c r="Q733" s="1447"/>
      <c r="R733" s="1447"/>
      <c r="S733" s="1447"/>
      <c r="T733" s="1695"/>
      <c r="U733" s="1453"/>
      <c r="V733" s="2073"/>
      <c r="W733" s="1453"/>
      <c r="X733" s="1453"/>
      <c r="Y733" s="173"/>
      <c r="Z733" s="173"/>
      <c r="AA733" s="173"/>
      <c r="AB733" s="41"/>
    </row>
    <row r="734" spans="1:28" ht="12.75" customHeight="1" x14ac:dyDescent="0.2">
      <c r="A734" s="1397" t="s">
        <v>3535</v>
      </c>
      <c r="B734" s="1370" t="s">
        <v>12648</v>
      </c>
      <c r="C734" s="9">
        <f t="shared" si="140"/>
        <v>1</v>
      </c>
      <c r="F734" s="960">
        <f t="shared" si="139"/>
        <v>1</v>
      </c>
      <c r="G734" s="1377"/>
      <c r="H734" s="1377"/>
      <c r="I734" s="1377"/>
      <c r="J734" s="1377"/>
      <c r="K734" s="1377"/>
      <c r="L734" s="1377"/>
      <c r="M734" s="1377"/>
      <c r="O734" s="1447"/>
      <c r="P734" s="1447">
        <v>1</v>
      </c>
      <c r="Q734" s="1447"/>
      <c r="R734" s="1447"/>
      <c r="S734" s="1447"/>
      <c r="T734" s="1695"/>
      <c r="U734" s="1453"/>
      <c r="V734" s="2073"/>
      <c r="W734" s="1453"/>
      <c r="X734" s="1453"/>
      <c r="Y734" s="173"/>
      <c r="Z734" s="173"/>
      <c r="AA734" s="173"/>
      <c r="AB734" s="41"/>
    </row>
    <row r="735" spans="1:28" ht="12.75" customHeight="1" x14ac:dyDescent="0.2">
      <c r="A735" s="1446" t="s">
        <v>3960</v>
      </c>
      <c r="B735" s="1371" t="s">
        <v>3961</v>
      </c>
      <c r="C735" s="9">
        <f t="shared" si="140"/>
        <v>2</v>
      </c>
      <c r="F735" s="960">
        <f t="shared" si="139"/>
        <v>2</v>
      </c>
      <c r="G735" s="1377"/>
      <c r="H735" s="1377"/>
      <c r="I735" s="1377">
        <v>1</v>
      </c>
      <c r="J735" s="1377"/>
      <c r="K735" s="1377">
        <v>1</v>
      </c>
      <c r="L735" s="1377"/>
      <c r="M735" s="1377"/>
      <c r="O735" s="1447"/>
      <c r="P735" s="1447"/>
      <c r="Q735" s="1447"/>
      <c r="R735" s="1447"/>
      <c r="S735" s="1447"/>
      <c r="T735" s="1695"/>
      <c r="U735" s="1453"/>
      <c r="V735" s="1892"/>
      <c r="W735" s="1371"/>
      <c r="X735" s="1453"/>
      <c r="Y735" s="173"/>
      <c r="Z735" s="173"/>
      <c r="AA735" s="173"/>
      <c r="AB735" s="41"/>
    </row>
    <row r="736" spans="1:28" ht="12.75" customHeight="1" x14ac:dyDescent="0.2">
      <c r="A736" s="1397" t="s">
        <v>2416</v>
      </c>
      <c r="B736" s="1660" t="s">
        <v>2417</v>
      </c>
      <c r="C736" s="9">
        <f t="shared" si="140"/>
        <v>1</v>
      </c>
      <c r="F736" s="960">
        <f t="shared" si="139"/>
        <v>1</v>
      </c>
      <c r="G736" s="1377"/>
      <c r="H736" s="1377"/>
      <c r="I736" s="1377"/>
      <c r="J736" s="1377"/>
      <c r="K736" s="1377"/>
      <c r="L736" s="1377"/>
      <c r="M736" s="1377"/>
      <c r="O736" s="1447"/>
      <c r="P736" s="1447"/>
      <c r="Q736" s="1447"/>
      <c r="R736" s="1447"/>
      <c r="S736" s="1447">
        <v>1</v>
      </c>
      <c r="T736" s="1695"/>
      <c r="U736" s="1453"/>
      <c r="V736" s="1892"/>
      <c r="W736" s="1371"/>
      <c r="X736" s="1453"/>
      <c r="Y736" s="173"/>
      <c r="Z736" s="173"/>
      <c r="AA736" s="173"/>
      <c r="AB736" s="41"/>
    </row>
    <row r="737" spans="1:43" ht="12.75" customHeight="1" x14ac:dyDescent="0.2">
      <c r="A737" s="1397" t="s">
        <v>866</v>
      </c>
      <c r="B737" s="1660" t="s">
        <v>2417</v>
      </c>
      <c r="C737" s="9">
        <f t="shared" si="140"/>
        <v>1</v>
      </c>
      <c r="F737" s="960">
        <f t="shared" si="139"/>
        <v>1</v>
      </c>
      <c r="G737" s="1377"/>
      <c r="H737" s="1377"/>
      <c r="I737" s="1377"/>
      <c r="J737" s="1377"/>
      <c r="K737" s="1377"/>
      <c r="L737" s="1377"/>
      <c r="M737" s="1377"/>
      <c r="O737" s="1447"/>
      <c r="P737" s="1447"/>
      <c r="Q737" s="1447"/>
      <c r="R737" s="1447"/>
      <c r="S737" s="1447">
        <v>1</v>
      </c>
      <c r="T737" s="1695"/>
      <c r="U737" s="1453"/>
      <c r="V737" s="1892"/>
      <c r="W737" s="1371"/>
      <c r="X737" s="1453"/>
      <c r="Y737" s="173"/>
      <c r="Z737" s="173"/>
      <c r="AA737" s="173"/>
      <c r="AB737" s="41"/>
    </row>
    <row r="738" spans="1:43" ht="12.75" customHeight="1" x14ac:dyDescent="0.2">
      <c r="A738" s="1397" t="s">
        <v>4259</v>
      </c>
      <c r="B738" s="1660" t="s">
        <v>440</v>
      </c>
      <c r="C738" s="9">
        <f t="shared" si="140"/>
        <v>3</v>
      </c>
      <c r="F738" s="960">
        <f t="shared" si="139"/>
        <v>2</v>
      </c>
      <c r="G738" s="1377"/>
      <c r="H738" s="1377"/>
      <c r="I738" s="1377"/>
      <c r="J738" s="1377"/>
      <c r="K738" s="1377"/>
      <c r="L738" s="1377"/>
      <c r="M738" s="1377"/>
      <c r="O738" s="1447"/>
      <c r="P738" s="1447"/>
      <c r="Q738" s="1447"/>
      <c r="R738" s="1447">
        <v>1</v>
      </c>
      <c r="S738" s="1447">
        <v>2</v>
      </c>
      <c r="T738" s="1695"/>
      <c r="U738" s="1453"/>
      <c r="V738" s="1892"/>
      <c r="W738" s="1371"/>
      <c r="X738" s="1453"/>
      <c r="Y738" s="173"/>
      <c r="Z738" s="173"/>
      <c r="AA738" s="173"/>
      <c r="AB738" s="41"/>
    </row>
    <row r="739" spans="1:43" ht="12.75" customHeight="1" x14ac:dyDescent="0.2">
      <c r="A739" s="1397" t="s">
        <v>1794</v>
      </c>
      <c r="B739" s="1660" t="s">
        <v>5543</v>
      </c>
      <c r="C739" s="9">
        <f t="shared" si="140"/>
        <v>2</v>
      </c>
      <c r="F739" s="960">
        <f t="shared" si="139"/>
        <v>2</v>
      </c>
      <c r="G739" s="1377"/>
      <c r="H739" s="1377"/>
      <c r="I739" s="1377"/>
      <c r="J739" s="1377"/>
      <c r="K739" s="1377"/>
      <c r="L739" s="1377"/>
      <c r="M739" s="1377"/>
      <c r="O739" s="1447"/>
      <c r="P739" s="1447">
        <v>1</v>
      </c>
      <c r="Q739" s="1447"/>
      <c r="R739" s="1447">
        <v>1</v>
      </c>
      <c r="S739" s="1447"/>
      <c r="T739" s="1695"/>
      <c r="U739" s="1453"/>
      <c r="V739" s="1892"/>
      <c r="W739" s="1371"/>
      <c r="X739" s="1453"/>
      <c r="Y739" s="173"/>
      <c r="Z739" s="173"/>
      <c r="AA739" s="173"/>
      <c r="AB739" s="41"/>
    </row>
    <row r="740" spans="1:43" ht="12.75" customHeight="1" x14ac:dyDescent="0.2">
      <c r="A740" s="1442" t="s">
        <v>9701</v>
      </c>
      <c r="B740" s="1374" t="s">
        <v>9702</v>
      </c>
      <c r="C740" s="9">
        <f t="shared" si="140"/>
        <v>1</v>
      </c>
      <c r="F740" s="960">
        <f t="shared" si="139"/>
        <v>1</v>
      </c>
      <c r="G740" s="1377"/>
      <c r="H740" s="1377"/>
      <c r="I740" s="1377"/>
      <c r="J740" s="1377"/>
      <c r="K740" s="1377">
        <v>1</v>
      </c>
      <c r="L740" s="1377"/>
      <c r="M740" s="1377"/>
      <c r="O740" s="1447"/>
      <c r="P740" s="1447"/>
      <c r="Q740" s="1447"/>
      <c r="R740" s="1447"/>
      <c r="S740" s="1447"/>
      <c r="T740" s="1695"/>
      <c r="U740" s="1453"/>
      <c r="V740" s="2073"/>
      <c r="W740" s="1453"/>
      <c r="X740" s="1453"/>
      <c r="Y740" s="173"/>
      <c r="Z740" s="173"/>
      <c r="AA740" s="173"/>
      <c r="AB740" s="41"/>
    </row>
    <row r="741" spans="1:43" ht="12.75" customHeight="1" x14ac:dyDescent="0.2">
      <c r="A741" s="1425" t="s">
        <v>3535</v>
      </c>
      <c r="B741" s="1410" t="s">
        <v>1026</v>
      </c>
      <c r="C741" s="9">
        <f t="shared" si="140"/>
        <v>8</v>
      </c>
      <c r="F741" s="960">
        <f t="shared" si="139"/>
        <v>4</v>
      </c>
      <c r="G741" s="1377"/>
      <c r="H741" s="1377">
        <v>1</v>
      </c>
      <c r="I741" s="1377"/>
      <c r="J741" s="1377">
        <v>1</v>
      </c>
      <c r="K741" s="1377"/>
      <c r="L741" s="1377">
        <v>5</v>
      </c>
      <c r="M741" s="1377"/>
      <c r="O741" s="1447"/>
      <c r="P741" s="1447">
        <v>1</v>
      </c>
      <c r="Q741" s="1447"/>
      <c r="R741" s="1447"/>
      <c r="S741" s="1447"/>
      <c r="T741" s="1695"/>
      <c r="U741" s="1453"/>
      <c r="V741" s="2073"/>
      <c r="W741" s="1453"/>
      <c r="X741" s="1453"/>
      <c r="Y741" s="173"/>
      <c r="Z741" s="173"/>
      <c r="AA741" s="173"/>
      <c r="AB741" s="41"/>
    </row>
    <row r="742" spans="1:43" ht="12.75" customHeight="1" x14ac:dyDescent="0.2">
      <c r="A742" s="1397" t="s">
        <v>864</v>
      </c>
      <c r="B742" s="1370" t="s">
        <v>865</v>
      </c>
      <c r="C742" s="9">
        <f t="shared" si="140"/>
        <v>1</v>
      </c>
      <c r="F742" s="960">
        <f t="shared" si="139"/>
        <v>1</v>
      </c>
      <c r="G742" s="1377"/>
      <c r="H742" s="1377"/>
      <c r="I742" s="1377"/>
      <c r="J742" s="1377"/>
      <c r="K742" s="1377"/>
      <c r="L742" s="1377"/>
      <c r="M742" s="1377">
        <v>1</v>
      </c>
      <c r="O742" s="1447"/>
      <c r="P742" s="1447"/>
      <c r="Q742" s="1447"/>
      <c r="R742" s="1447"/>
      <c r="S742" s="1447"/>
      <c r="T742" s="1695"/>
      <c r="U742" s="1453"/>
      <c r="V742" s="2073"/>
      <c r="W742" s="1453"/>
      <c r="X742" s="1453"/>
      <c r="Y742" s="173"/>
      <c r="Z742" s="173"/>
      <c r="AA742" s="173"/>
      <c r="AB742" s="41"/>
    </row>
    <row r="743" spans="1:43" ht="12.75" customHeight="1" x14ac:dyDescent="0.2">
      <c r="A743" s="1426" t="s">
        <v>4878</v>
      </c>
      <c r="B743" s="1389" t="s">
        <v>3250</v>
      </c>
      <c r="C743" s="9">
        <f t="shared" si="140"/>
        <v>1</v>
      </c>
      <c r="F743" s="960">
        <f t="shared" si="139"/>
        <v>1</v>
      </c>
      <c r="G743" s="1381"/>
      <c r="H743" s="1381"/>
      <c r="I743" s="1377"/>
      <c r="J743" s="1377"/>
      <c r="K743" s="1377"/>
      <c r="L743" s="1377"/>
      <c r="M743" s="1377"/>
      <c r="O743" s="1447"/>
      <c r="P743" s="1447"/>
      <c r="Q743" s="1447"/>
      <c r="R743" s="1447">
        <v>1</v>
      </c>
      <c r="S743" s="1447"/>
      <c r="T743" s="1695"/>
      <c r="U743" s="1453"/>
      <c r="V743" s="2073"/>
      <c r="W743" s="1453"/>
      <c r="X743" s="1453"/>
      <c r="Y743" s="173"/>
      <c r="Z743" s="173"/>
      <c r="AA743" s="173"/>
      <c r="AB743" s="41"/>
    </row>
    <row r="744" spans="1:43" ht="12.75" customHeight="1" x14ac:dyDescent="0.2">
      <c r="A744" s="1397" t="s">
        <v>1212</v>
      </c>
      <c r="C744" s="1378">
        <f>SUM(C721:C742)</f>
        <v>130</v>
      </c>
      <c r="G744" s="28">
        <f t="shared" ref="G744:M744" si="141">SUM(G721:G742)</f>
        <v>1</v>
      </c>
      <c r="H744" s="28">
        <f t="shared" si="141"/>
        <v>4</v>
      </c>
      <c r="I744" s="28">
        <f t="shared" si="141"/>
        <v>1</v>
      </c>
      <c r="J744" s="28">
        <f t="shared" si="141"/>
        <v>1</v>
      </c>
      <c r="K744" s="28">
        <f t="shared" si="141"/>
        <v>2</v>
      </c>
      <c r="L744" s="28">
        <f t="shared" si="141"/>
        <v>6</v>
      </c>
      <c r="M744" s="28">
        <f t="shared" si="141"/>
        <v>56</v>
      </c>
      <c r="O744" s="637">
        <f>SUM(O721:O743)</f>
        <v>2</v>
      </c>
      <c r="P744" s="637">
        <f>SUM(P721:P743)</f>
        <v>8</v>
      </c>
      <c r="Q744" s="637">
        <f>SUM(Q721:Q743)</f>
        <v>7</v>
      </c>
      <c r="R744" s="637">
        <f>SUM(R721:R743)</f>
        <v>34</v>
      </c>
      <c r="S744" s="637">
        <f>SUM(S721:S743)</f>
        <v>6</v>
      </c>
      <c r="T744" s="1695"/>
      <c r="U744" s="1453"/>
      <c r="V744" s="2073"/>
      <c r="W744" s="1453"/>
      <c r="X744" s="1453"/>
      <c r="Y744" s="173"/>
      <c r="Z744" s="173"/>
      <c r="AA744" s="173"/>
      <c r="AB744" s="41"/>
    </row>
    <row r="745" spans="1:43" ht="12.75" customHeight="1" x14ac:dyDescent="0.2">
      <c r="A745" s="1446"/>
      <c r="C745" s="1398"/>
      <c r="E745" s="1377">
        <f>COUNT(G745:S745)</f>
        <v>12</v>
      </c>
      <c r="G745" s="28">
        <f t="shared" ref="G745:M745" si="142">COUNT(G721:G742)</f>
        <v>1</v>
      </c>
      <c r="H745" s="28">
        <f t="shared" si="142"/>
        <v>4</v>
      </c>
      <c r="I745" s="28">
        <f t="shared" si="142"/>
        <v>1</v>
      </c>
      <c r="J745" s="28">
        <f t="shared" si="142"/>
        <v>1</v>
      </c>
      <c r="K745" s="28">
        <f t="shared" si="142"/>
        <v>2</v>
      </c>
      <c r="L745" s="28">
        <f t="shared" si="142"/>
        <v>2</v>
      </c>
      <c r="M745" s="28">
        <f t="shared" si="142"/>
        <v>4</v>
      </c>
      <c r="O745" s="637">
        <f>COUNT(O721:O743)</f>
        <v>2</v>
      </c>
      <c r="P745" s="637">
        <f>COUNT(P721:P743)</f>
        <v>8</v>
      </c>
      <c r="Q745" s="637">
        <f>COUNT(Q721:Q743)</f>
        <v>5</v>
      </c>
      <c r="R745" s="637">
        <f>COUNT(R721:R743)</f>
        <v>7</v>
      </c>
      <c r="S745" s="637">
        <f>COUNT(S721:S743)</f>
        <v>5</v>
      </c>
      <c r="T745" s="1695"/>
      <c r="U745" s="1453"/>
      <c r="V745" s="2073"/>
      <c r="W745" s="1453"/>
      <c r="X745" s="1453"/>
      <c r="Y745" s="173"/>
      <c r="Z745" s="173"/>
      <c r="AA745" s="173"/>
      <c r="AB745" s="41"/>
    </row>
    <row r="746" spans="1:43" ht="12.75" customHeight="1" x14ac:dyDescent="0.25">
      <c r="A746" s="1446"/>
      <c r="C746" s="1398"/>
      <c r="G746" s="538"/>
      <c r="H746" s="538" t="s">
        <v>11314</v>
      </c>
      <c r="I746" s="538"/>
      <c r="J746" s="538" t="s">
        <v>16001</v>
      </c>
      <c r="K746" s="538"/>
      <c r="L746" s="538" t="s">
        <v>16075</v>
      </c>
      <c r="M746" s="538"/>
      <c r="N746" s="41"/>
      <c r="O746" s="1973" t="s">
        <v>4502</v>
      </c>
      <c r="P746" s="2076"/>
      <c r="Q746" s="538" t="s">
        <v>761</v>
      </c>
      <c r="R746" s="2077"/>
      <c r="S746" s="538" t="s">
        <v>8254</v>
      </c>
      <c r="T746" s="2078"/>
      <c r="U746" s="1453"/>
      <c r="V746" s="2074" t="s">
        <v>4047</v>
      </c>
      <c r="W746" s="1453"/>
      <c r="X746" s="1453"/>
      <c r="Y746" s="173"/>
      <c r="Z746" s="173"/>
      <c r="AA746" s="173"/>
    </row>
    <row r="747" spans="1:43" ht="12.75" customHeight="1" x14ac:dyDescent="0.25">
      <c r="A747" s="1446"/>
      <c r="C747" s="1398"/>
      <c r="G747" s="539" t="s">
        <v>694</v>
      </c>
      <c r="H747" s="539"/>
      <c r="I747" s="539" t="s">
        <v>8855</v>
      </c>
      <c r="J747" s="539"/>
      <c r="K747" s="539" t="s">
        <v>1070</v>
      </c>
      <c r="L747" s="539"/>
      <c r="M747" s="539" t="s">
        <v>2627</v>
      </c>
      <c r="N747" s="41"/>
      <c r="O747" s="1800"/>
      <c r="P747" s="857" t="s">
        <v>692</v>
      </c>
      <c r="Q747" s="539"/>
      <c r="R747" s="858" t="s">
        <v>1788</v>
      </c>
      <c r="S747" s="539"/>
      <c r="T747" s="1406"/>
      <c r="U747" s="1453"/>
      <c r="V747" s="1756"/>
      <c r="W747" s="1453"/>
      <c r="X747" s="1453"/>
      <c r="Y747" s="173"/>
      <c r="Z747" s="173"/>
      <c r="AA747" s="173"/>
    </row>
    <row r="748" spans="1:43" ht="12.75" customHeight="1" x14ac:dyDescent="0.25">
      <c r="A748" s="1446"/>
      <c r="C748" s="1398"/>
      <c r="G748" s="41"/>
      <c r="H748" s="41"/>
      <c r="I748" s="41"/>
      <c r="J748" s="41"/>
      <c r="K748" s="41"/>
      <c r="L748" s="41"/>
      <c r="M748" s="41"/>
      <c r="N748" s="1106"/>
      <c r="O748" s="1107"/>
      <c r="P748" s="1106"/>
      <c r="Q748" s="1107"/>
      <c r="R748" s="1107"/>
      <c r="S748" s="1107"/>
      <c r="T748" s="1107"/>
      <c r="U748" s="364"/>
      <c r="V748" s="41"/>
      <c r="W748" s="41"/>
      <c r="X748" s="41"/>
      <c r="Y748" s="41"/>
      <c r="Z748" s="41"/>
      <c r="AA748" s="1453"/>
      <c r="AB748" s="1453"/>
      <c r="AC748" s="1453"/>
      <c r="AD748" s="1453"/>
      <c r="AE748" s="173"/>
      <c r="AF748" s="173"/>
      <c r="AG748" s="173"/>
    </row>
    <row r="749" spans="1:43" ht="12.75" customHeight="1" x14ac:dyDescent="0.25">
      <c r="A749" s="1397"/>
      <c r="B749" s="1370"/>
      <c r="C749" s="1398"/>
      <c r="G749" s="364"/>
      <c r="H749" s="477"/>
      <c r="I749" s="477"/>
      <c r="J749" s="430"/>
      <c r="K749" s="430"/>
      <c r="L749" s="1406"/>
      <c r="M749" s="1500"/>
      <c r="N749" s="1406"/>
      <c r="O749" s="1406"/>
      <c r="P749" s="1640"/>
      <c r="Q749" s="1640"/>
      <c r="R749" s="1406"/>
      <c r="S749" s="1500"/>
      <c r="T749" s="1406"/>
      <c r="U749" s="1406"/>
      <c r="V749" s="1370"/>
      <c r="W749" s="1370"/>
      <c r="X749" s="1370"/>
      <c r="Y749" s="1370"/>
      <c r="Z749" s="1453"/>
      <c r="AA749" s="1453"/>
      <c r="AB749" s="1453"/>
      <c r="AC749" s="1453"/>
      <c r="AD749" s="173"/>
      <c r="AE749" s="173"/>
      <c r="AF749" s="173"/>
    </row>
    <row r="750" spans="1:43" ht="12.75" customHeight="1" x14ac:dyDescent="0.25">
      <c r="A750" s="1397"/>
      <c r="B750" s="1370"/>
      <c r="C750" s="1398"/>
      <c r="F750"/>
      <c r="G750" s="70" t="s">
        <v>8255</v>
      </c>
      <c r="H750" s="845"/>
      <c r="I750" s="476"/>
      <c r="J750" s="476"/>
      <c r="K750" s="846"/>
      <c r="L750" s="846"/>
      <c r="M750" s="364"/>
      <c r="N750" s="364"/>
      <c r="O750" s="70"/>
      <c r="P750" s="7"/>
      <c r="Q750" s="70"/>
      <c r="R750" s="364"/>
      <c r="S750" s="364"/>
      <c r="T750" s="430"/>
      <c r="U750" s="430"/>
      <c r="V750" s="1406"/>
      <c r="W750" s="1370"/>
      <c r="X750" s="1453"/>
      <c r="Y750" s="1453"/>
      <c r="Z750" s="1453"/>
      <c r="AA750" s="173"/>
      <c r="AB750" s="173"/>
      <c r="AC750" s="173"/>
    </row>
    <row r="751" spans="1:43" ht="12.75" customHeight="1" x14ac:dyDescent="0.25">
      <c r="A751" s="1397"/>
      <c r="B751" s="1370"/>
      <c r="C751" s="1398"/>
      <c r="G751" s="70" t="s">
        <v>3081</v>
      </c>
      <c r="H751" s="477"/>
      <c r="I751" s="477"/>
      <c r="J751" s="477"/>
      <c r="K751" s="430"/>
      <c r="L751" s="430"/>
      <c r="M751" s="430"/>
      <c r="N751" s="430"/>
      <c r="O751" s="1655" t="s">
        <v>1147</v>
      </c>
      <c r="P751" s="1655"/>
      <c r="Q751" s="1656"/>
      <c r="R751" s="1656"/>
      <c r="S751" s="1656"/>
      <c r="T751" s="1656"/>
      <c r="U751" s="1656"/>
      <c r="V751" s="1656"/>
      <c r="W751" s="364"/>
      <c r="X751" s="1415"/>
      <c r="Y751" s="1415" t="s">
        <v>17040</v>
      </c>
      <c r="Z751" s="79"/>
      <c r="AA751" s="1695"/>
      <c r="AB751" s="81"/>
      <c r="AC751" s="430"/>
      <c r="AD751" s="430"/>
      <c r="AE751" s="364"/>
      <c r="AF751" s="364"/>
      <c r="AG751" s="364"/>
      <c r="AH751" s="364"/>
      <c r="AI751" s="364"/>
      <c r="AJ751" s="364"/>
      <c r="AK751" s="364"/>
      <c r="AL751" s="364"/>
      <c r="AM751" s="364"/>
      <c r="AN751" s="364"/>
      <c r="AO751" s="364"/>
      <c r="AP751" s="364"/>
    </row>
    <row r="752" spans="1:43" ht="12.75" customHeight="1" x14ac:dyDescent="0.2">
      <c r="A752" s="1397"/>
      <c r="B752" s="1370"/>
      <c r="C752" s="1398"/>
      <c r="G752" s="553" t="s">
        <v>9583</v>
      </c>
      <c r="H752" s="560" t="s">
        <v>10230</v>
      </c>
      <c r="I752" s="853" t="s">
        <v>6181</v>
      </c>
      <c r="J752" s="587" t="s">
        <v>11030</v>
      </c>
      <c r="K752" s="853" t="s">
        <v>80</v>
      </c>
      <c r="L752" s="587" t="s">
        <v>2902</v>
      </c>
      <c r="M752" s="586" t="s">
        <v>7897</v>
      </c>
      <c r="N752" s="1545"/>
      <c r="O752" s="1678" t="s">
        <v>3812</v>
      </c>
      <c r="P752" s="586" t="s">
        <v>12065</v>
      </c>
      <c r="Q752" s="587" t="s">
        <v>501</v>
      </c>
      <c r="R752" s="586" t="s">
        <v>1712</v>
      </c>
      <c r="S752" s="587" t="s">
        <v>2967</v>
      </c>
      <c r="T752" s="853" t="s">
        <v>17247</v>
      </c>
      <c r="U752" s="587" t="s">
        <v>15263</v>
      </c>
      <c r="V752" s="853" t="s">
        <v>12135</v>
      </c>
      <c r="W752" s="79"/>
      <c r="X752" s="1545"/>
      <c r="Y752" s="1450" t="s">
        <v>6389</v>
      </c>
      <c r="Z752" s="2080" t="s">
        <v>17039</v>
      </c>
      <c r="AA752" s="1695"/>
      <c r="AB752" s="81"/>
      <c r="AC752" s="414" t="s">
        <v>8256</v>
      </c>
      <c r="AD752" s="852"/>
      <c r="AE752" s="81"/>
      <c r="AF752" s="80"/>
      <c r="AG752" s="9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</row>
    <row r="753" spans="1:43" ht="12.75" customHeight="1" x14ac:dyDescent="0.2">
      <c r="A753" s="1397" t="s">
        <v>3251</v>
      </c>
      <c r="B753" s="1370" t="s">
        <v>3252</v>
      </c>
      <c r="C753" s="1453">
        <f t="shared" ref="C753:C785" si="143">SUM(G753:V753)</f>
        <v>4</v>
      </c>
      <c r="F753" s="977">
        <f t="shared" ref="F753:F785" si="144">COUNT(G753:V753)</f>
        <v>4</v>
      </c>
      <c r="G753" s="1393">
        <v>1</v>
      </c>
      <c r="H753" s="462"/>
      <c r="I753" s="584"/>
      <c r="J753" s="584"/>
      <c r="K753" s="584"/>
      <c r="L753" s="584"/>
      <c r="M753" s="639"/>
      <c r="N753" s="1545"/>
      <c r="O753" s="639"/>
      <c r="P753" s="639">
        <v>1</v>
      </c>
      <c r="Q753" s="584"/>
      <c r="R753" s="1450">
        <v>1</v>
      </c>
      <c r="S753" s="584"/>
      <c r="T753" s="584">
        <v>1</v>
      </c>
      <c r="U753" s="584"/>
      <c r="V753" s="584"/>
      <c r="W753" s="79"/>
      <c r="X753" s="1545"/>
      <c r="Y753" s="2080"/>
      <c r="Z753" s="2080"/>
      <c r="AA753" s="1695"/>
      <c r="AB753" s="81"/>
      <c r="AC753" s="414"/>
      <c r="AD753" s="852"/>
      <c r="AE753" s="81"/>
      <c r="AF753" s="80"/>
      <c r="AG753" s="9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</row>
    <row r="754" spans="1:43" ht="12.75" customHeight="1" x14ac:dyDescent="0.2">
      <c r="A754" s="1397" t="s">
        <v>4264</v>
      </c>
      <c r="B754" s="1370" t="s">
        <v>5239</v>
      </c>
      <c r="C754" s="1453">
        <f t="shared" si="143"/>
        <v>1</v>
      </c>
      <c r="F754" s="977">
        <f t="shared" si="144"/>
        <v>1</v>
      </c>
      <c r="G754" s="462"/>
      <c r="H754" s="462"/>
      <c r="I754" s="584"/>
      <c r="J754" s="584"/>
      <c r="K754" s="584"/>
      <c r="L754" s="584"/>
      <c r="M754" s="639"/>
      <c r="N754" s="1545"/>
      <c r="O754" s="1501">
        <v>1</v>
      </c>
      <c r="P754" s="639"/>
      <c r="Q754" s="584"/>
      <c r="R754" s="1450"/>
      <c r="S754" s="584"/>
      <c r="T754" s="584"/>
      <c r="U754" s="584"/>
      <c r="V754" s="584"/>
      <c r="W754" s="79"/>
      <c r="X754" s="1545"/>
      <c r="Y754" s="2080"/>
      <c r="Z754" s="2080"/>
      <c r="AA754" s="1695"/>
      <c r="AB754" s="81"/>
      <c r="AC754" s="414"/>
      <c r="AD754" s="852"/>
      <c r="AE754" s="81"/>
      <c r="AF754" s="80"/>
      <c r="AG754" s="9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</row>
    <row r="755" spans="1:43" ht="12.75" customHeight="1" x14ac:dyDescent="0.2">
      <c r="A755" s="1397" t="s">
        <v>4963</v>
      </c>
      <c r="B755" s="1370" t="s">
        <v>8339</v>
      </c>
      <c r="C755" s="1453">
        <f t="shared" si="143"/>
        <v>1</v>
      </c>
      <c r="F755" s="977">
        <f t="shared" si="144"/>
        <v>1</v>
      </c>
      <c r="G755" s="462"/>
      <c r="H755" s="462"/>
      <c r="I755" s="584"/>
      <c r="J755" s="584"/>
      <c r="K755" s="584"/>
      <c r="L755" s="584"/>
      <c r="M755" s="639"/>
      <c r="N755" s="1545"/>
      <c r="O755" s="639"/>
      <c r="P755" s="1450">
        <v>1</v>
      </c>
      <c r="Q755" s="584"/>
      <c r="R755" s="639"/>
      <c r="S755" s="584"/>
      <c r="T755" s="584"/>
      <c r="U755" s="584"/>
      <c r="V755" s="584"/>
      <c r="W755" s="79"/>
      <c r="X755" s="1545"/>
      <c r="Y755" s="2080"/>
      <c r="Z755" s="2080"/>
      <c r="AA755" s="1695"/>
      <c r="AB755" s="81"/>
      <c r="AC755" s="414"/>
      <c r="AD755" s="852"/>
      <c r="AE755" s="81"/>
      <c r="AF755" s="80"/>
      <c r="AG755" s="9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</row>
    <row r="756" spans="1:43" ht="12.75" customHeight="1" x14ac:dyDescent="0.25">
      <c r="A756" s="1397" t="s">
        <v>863</v>
      </c>
      <c r="B756" s="1370" t="s">
        <v>2250</v>
      </c>
      <c r="C756" s="1453">
        <f t="shared" si="143"/>
        <v>3</v>
      </c>
      <c r="D756" s="80"/>
      <c r="E756" s="1370"/>
      <c r="F756" s="977">
        <f t="shared" si="144"/>
        <v>1</v>
      </c>
      <c r="G756" s="584"/>
      <c r="H756" s="584"/>
      <c r="I756" s="455"/>
      <c r="J756" s="455"/>
      <c r="K756" s="850"/>
      <c r="L756" s="850"/>
      <c r="M756" s="455"/>
      <c r="N756" s="1489"/>
      <c r="O756" s="455"/>
      <c r="P756" s="455"/>
      <c r="Q756" s="455"/>
      <c r="R756" s="455">
        <v>3</v>
      </c>
      <c r="S756" s="455"/>
      <c r="T756" s="455"/>
      <c r="U756" s="455"/>
      <c r="V756" s="455"/>
      <c r="W756" s="187"/>
      <c r="X756" s="1974"/>
      <c r="Y756" s="1976"/>
      <c r="Z756" s="1976"/>
      <c r="AA756" s="1974"/>
      <c r="AB756" s="187"/>
      <c r="AC756" s="1371"/>
      <c r="AD756" s="1453"/>
      <c r="AE756" s="364"/>
      <c r="AF756" s="173" t="s">
        <v>1151</v>
      </c>
      <c r="AG756" s="80"/>
      <c r="AH756" s="173"/>
      <c r="AI756" s="173"/>
      <c r="AJ756" s="41"/>
      <c r="AK756" s="41"/>
      <c r="AL756" s="41"/>
      <c r="AM756" s="41"/>
      <c r="AN756" s="41"/>
      <c r="AO756" s="41"/>
      <c r="AP756" s="41"/>
      <c r="AQ756" s="364"/>
    </row>
    <row r="757" spans="1:43" ht="12.75" customHeight="1" x14ac:dyDescent="0.25">
      <c r="A757" s="1426" t="s">
        <v>2984</v>
      </c>
      <c r="B757" s="1389" t="s">
        <v>6326</v>
      </c>
      <c r="C757" s="1453">
        <f>SUM(G757:Y757)</f>
        <v>5</v>
      </c>
      <c r="D757" s="80"/>
      <c r="E757" s="1370">
        <f>Y757</f>
        <v>1</v>
      </c>
      <c r="F757" s="977">
        <f t="shared" si="144"/>
        <v>1</v>
      </c>
      <c r="G757" s="584"/>
      <c r="H757" s="584"/>
      <c r="I757" s="455"/>
      <c r="J757" s="455"/>
      <c r="K757" s="850"/>
      <c r="L757" s="850"/>
      <c r="M757" s="455"/>
      <c r="N757" s="1489"/>
      <c r="O757" s="455"/>
      <c r="P757" s="455"/>
      <c r="Q757" s="455">
        <v>4</v>
      </c>
      <c r="R757" s="455"/>
      <c r="S757" s="455"/>
      <c r="T757" s="455"/>
      <c r="U757" s="455"/>
      <c r="V757" s="455"/>
      <c r="W757" s="187"/>
      <c r="X757" s="1974"/>
      <c r="Y757" s="1451">
        <v>1</v>
      </c>
      <c r="Z757" s="1976"/>
      <c r="AA757" s="1974"/>
      <c r="AB757" s="187"/>
      <c r="AC757" s="80"/>
      <c r="AD757" s="9"/>
      <c r="AE757" s="848"/>
      <c r="AF757" s="9"/>
      <c r="AG757" s="80"/>
      <c r="AH757" s="173"/>
      <c r="AI757" s="173"/>
      <c r="AJ757" s="41"/>
      <c r="AK757" s="41"/>
      <c r="AL757" s="41"/>
      <c r="AM757" s="41"/>
      <c r="AN757" s="41"/>
      <c r="AO757" s="41"/>
      <c r="AP757" s="41"/>
      <c r="AQ757" s="364"/>
    </row>
    <row r="758" spans="1:43" ht="12.75" customHeight="1" x14ac:dyDescent="0.25">
      <c r="A758" s="1442" t="s">
        <v>726</v>
      </c>
      <c r="B758" s="1374" t="s">
        <v>1295</v>
      </c>
      <c r="C758" s="1453">
        <f t="shared" si="143"/>
        <v>3</v>
      </c>
      <c r="D758" s="80"/>
      <c r="E758" s="1370"/>
      <c r="F758" s="977">
        <f t="shared" si="144"/>
        <v>3</v>
      </c>
      <c r="G758" s="584"/>
      <c r="H758" s="584"/>
      <c r="I758" s="455">
        <v>1</v>
      </c>
      <c r="J758" s="455"/>
      <c r="K758" s="851"/>
      <c r="L758" s="455">
        <v>1</v>
      </c>
      <c r="M758" s="455"/>
      <c r="N758" s="1489"/>
      <c r="O758" s="455">
        <v>1</v>
      </c>
      <c r="P758" s="455"/>
      <c r="Q758" s="455"/>
      <c r="R758" s="455"/>
      <c r="S758" s="455"/>
      <c r="T758" s="455"/>
      <c r="U758" s="455"/>
      <c r="V758" s="455"/>
      <c r="W758" s="187"/>
      <c r="X758" s="1974"/>
      <c r="Y758" s="1976"/>
      <c r="Z758" s="1976"/>
      <c r="AA758" s="1974"/>
      <c r="AB758" s="187"/>
      <c r="AC758" s="80" t="s">
        <v>3705</v>
      </c>
      <c r="AD758" s="173"/>
      <c r="AE758" s="364"/>
      <c r="AF758" s="173" t="s">
        <v>1147</v>
      </c>
      <c r="AG758" s="549"/>
      <c r="AH758" s="173"/>
      <c r="AI758" s="173"/>
      <c r="AJ758" s="41"/>
      <c r="AK758" s="41"/>
      <c r="AL758" s="41"/>
      <c r="AM758" s="41"/>
      <c r="AN758" s="41"/>
      <c r="AO758" s="41"/>
      <c r="AP758" s="41"/>
      <c r="AQ758" s="364"/>
    </row>
    <row r="759" spans="1:43" ht="12.75" customHeight="1" x14ac:dyDescent="0.25">
      <c r="A759" s="1442" t="s">
        <v>3508</v>
      </c>
      <c r="B759" s="1374" t="s">
        <v>1295</v>
      </c>
      <c r="C759" s="1453">
        <f t="shared" si="143"/>
        <v>3</v>
      </c>
      <c r="D759" s="80"/>
      <c r="E759" s="1370"/>
      <c r="F759" s="977">
        <f t="shared" si="144"/>
        <v>3</v>
      </c>
      <c r="G759" s="584"/>
      <c r="H759" s="584"/>
      <c r="I759" s="455">
        <v>1</v>
      </c>
      <c r="J759" s="455"/>
      <c r="K759" s="851"/>
      <c r="L759" s="455">
        <v>1</v>
      </c>
      <c r="M759" s="455"/>
      <c r="N759" s="1489"/>
      <c r="O759" s="455">
        <v>1</v>
      </c>
      <c r="P759" s="455"/>
      <c r="Q759" s="455"/>
      <c r="R759" s="455"/>
      <c r="S759" s="455"/>
      <c r="T759" s="455"/>
      <c r="U759" s="455"/>
      <c r="V759" s="455"/>
      <c r="W759" s="187"/>
      <c r="X759" s="1974"/>
      <c r="Y759" s="1976"/>
      <c r="Z759" s="1976"/>
      <c r="AA759" s="1974"/>
      <c r="AB759" s="187"/>
      <c r="AC759" s="80" t="s">
        <v>8252</v>
      </c>
      <c r="AD759" s="173"/>
      <c r="AE759" s="364"/>
      <c r="AF759" s="173" t="s">
        <v>1147</v>
      </c>
      <c r="AG759" s="80"/>
      <c r="AH759" s="173"/>
      <c r="AI759" s="173"/>
      <c r="AJ759" s="41"/>
      <c r="AK759" s="41"/>
      <c r="AL759" s="41"/>
      <c r="AM759" s="41"/>
      <c r="AN759" s="41"/>
      <c r="AO759" s="41"/>
      <c r="AP759" s="41"/>
      <c r="AQ759" s="364"/>
    </row>
    <row r="760" spans="1:43" ht="12.75" customHeight="1" x14ac:dyDescent="0.25">
      <c r="A760" s="1397" t="s">
        <v>866</v>
      </c>
      <c r="B760" s="1370" t="s">
        <v>867</v>
      </c>
      <c r="C760" s="1453">
        <f t="shared" si="143"/>
        <v>1</v>
      </c>
      <c r="D760" s="80"/>
      <c r="E760" s="1370"/>
      <c r="F760" s="977">
        <f t="shared" si="144"/>
        <v>1</v>
      </c>
      <c r="G760" s="584"/>
      <c r="H760" s="584"/>
      <c r="I760" s="455"/>
      <c r="J760" s="455"/>
      <c r="K760" s="851"/>
      <c r="L760" s="851"/>
      <c r="M760" s="455"/>
      <c r="N760" s="1489"/>
      <c r="O760" s="455"/>
      <c r="P760" s="455"/>
      <c r="Q760" s="455">
        <v>1</v>
      </c>
      <c r="R760" s="455"/>
      <c r="S760" s="455"/>
      <c r="T760" s="455"/>
      <c r="U760" s="455"/>
      <c r="V760" s="455"/>
      <c r="W760" s="187"/>
      <c r="X760" s="1974"/>
      <c r="Y760" s="1976"/>
      <c r="Z760" s="1976"/>
      <c r="AA760" s="1974"/>
      <c r="AB760" s="187"/>
      <c r="AC760" s="80" t="s">
        <v>5494</v>
      </c>
      <c r="AD760" s="9"/>
      <c r="AE760" s="364"/>
      <c r="AF760" s="9" t="s">
        <v>1147</v>
      </c>
      <c r="AG760" s="80"/>
      <c r="AH760" s="173"/>
      <c r="AI760" s="173"/>
      <c r="AJ760" s="41"/>
      <c r="AK760" s="41"/>
      <c r="AL760" s="41"/>
      <c r="AM760" s="41"/>
      <c r="AN760" s="41"/>
      <c r="AO760" s="41"/>
      <c r="AP760" s="41"/>
      <c r="AQ760" s="364"/>
    </row>
    <row r="761" spans="1:43" ht="12.75" customHeight="1" x14ac:dyDescent="0.25">
      <c r="A761" s="1397" t="s">
        <v>3508</v>
      </c>
      <c r="B761" s="1370" t="s">
        <v>3632</v>
      </c>
      <c r="C761" s="1453">
        <f t="shared" si="143"/>
        <v>1</v>
      </c>
      <c r="D761" s="80"/>
      <c r="E761" s="1370"/>
      <c r="F761" s="977">
        <f t="shared" si="144"/>
        <v>1</v>
      </c>
      <c r="G761" s="584"/>
      <c r="H761" s="584"/>
      <c r="I761" s="455"/>
      <c r="J761" s="455"/>
      <c r="K761" s="851"/>
      <c r="L761" s="851"/>
      <c r="M761" s="455"/>
      <c r="N761" s="1489"/>
      <c r="O761" s="455">
        <v>1</v>
      </c>
      <c r="P761" s="455"/>
      <c r="Q761" s="455"/>
      <c r="R761" s="455"/>
      <c r="S761" s="455"/>
      <c r="T761" s="455"/>
      <c r="U761" s="455"/>
      <c r="V761" s="455"/>
      <c r="W761" s="187"/>
      <c r="X761" s="1974"/>
      <c r="Y761" s="1976"/>
      <c r="Z761" s="1976"/>
      <c r="AA761" s="1974"/>
      <c r="AB761" s="187"/>
      <c r="AC761" s="80"/>
      <c r="AD761" s="173"/>
      <c r="AE761" s="364"/>
      <c r="AF761" s="173"/>
      <c r="AH761" s="173"/>
      <c r="AI761" s="173"/>
      <c r="AJ761" s="41"/>
      <c r="AK761" s="41"/>
      <c r="AL761" s="41"/>
      <c r="AM761" s="41"/>
      <c r="AN761" s="41"/>
      <c r="AO761" s="41"/>
      <c r="AP761" s="41"/>
      <c r="AQ761" s="364"/>
    </row>
    <row r="762" spans="1:43" ht="12.75" customHeight="1" x14ac:dyDescent="0.25">
      <c r="A762" s="1397" t="s">
        <v>4576</v>
      </c>
      <c r="B762" s="1370" t="s">
        <v>4577</v>
      </c>
      <c r="C762" s="1453">
        <f t="shared" si="143"/>
        <v>0</v>
      </c>
      <c r="D762" s="80"/>
      <c r="E762" s="1370"/>
      <c r="F762" s="977">
        <f t="shared" si="144"/>
        <v>0</v>
      </c>
      <c r="G762" s="584"/>
      <c r="H762" s="584"/>
      <c r="I762" s="455"/>
      <c r="J762" s="455"/>
      <c r="K762" s="851"/>
      <c r="L762" s="851"/>
      <c r="M762" s="455"/>
      <c r="N762" s="1489"/>
      <c r="O762" s="455"/>
      <c r="P762" s="455"/>
      <c r="Q762" s="455"/>
      <c r="R762" s="455"/>
      <c r="S762" s="455"/>
      <c r="T762" s="455"/>
      <c r="U762" s="455"/>
      <c r="V762" s="455"/>
      <c r="W762" s="187"/>
      <c r="X762" s="1974"/>
      <c r="Y762" s="1976"/>
      <c r="Z762" s="1976"/>
      <c r="AA762" s="1974"/>
      <c r="AB762" s="187"/>
      <c r="AC762" s="80"/>
      <c r="AD762" s="173"/>
      <c r="AE762" s="364"/>
      <c r="AF762" s="173"/>
      <c r="AG762" s="80"/>
      <c r="AH762" s="173"/>
      <c r="AI762" s="173"/>
      <c r="AJ762" s="41"/>
      <c r="AK762" s="41"/>
      <c r="AL762" s="41"/>
      <c r="AM762" s="41"/>
      <c r="AN762" s="41"/>
      <c r="AO762" s="41"/>
      <c r="AP762" s="41"/>
      <c r="AQ762" s="364"/>
    </row>
    <row r="763" spans="1:43" ht="12.75" customHeight="1" x14ac:dyDescent="0.25">
      <c r="A763" s="1397" t="s">
        <v>3230</v>
      </c>
      <c r="B763" s="1370" t="s">
        <v>11625</v>
      </c>
      <c r="C763" s="1453">
        <f t="shared" si="143"/>
        <v>0</v>
      </c>
      <c r="D763" s="80"/>
      <c r="E763" s="1370"/>
      <c r="F763" s="977">
        <f t="shared" si="144"/>
        <v>0</v>
      </c>
      <c r="G763" s="584"/>
      <c r="H763" s="584"/>
      <c r="I763" s="455"/>
      <c r="J763" s="455"/>
      <c r="K763" s="851"/>
      <c r="L763" s="851"/>
      <c r="M763" s="455"/>
      <c r="N763" s="1489"/>
      <c r="O763" s="455"/>
      <c r="P763" s="455"/>
      <c r="Q763" s="455"/>
      <c r="R763" s="455"/>
      <c r="S763" s="455"/>
      <c r="T763" s="455"/>
      <c r="U763" s="455"/>
      <c r="V763" s="455"/>
      <c r="W763" s="187"/>
      <c r="X763" s="1974"/>
      <c r="Y763" s="1976"/>
      <c r="Z763" s="1976"/>
      <c r="AA763" s="1974"/>
      <c r="AB763" s="187"/>
      <c r="AC763" s="80"/>
      <c r="AD763" s="173"/>
      <c r="AE763" s="364"/>
      <c r="AF763" s="173"/>
      <c r="AG763" s="80"/>
      <c r="AH763" s="173"/>
      <c r="AI763" s="173"/>
      <c r="AJ763" s="41"/>
      <c r="AK763" s="41"/>
      <c r="AL763" s="41"/>
      <c r="AM763" s="41"/>
      <c r="AN763" s="41"/>
      <c r="AO763" s="41"/>
      <c r="AP763" s="41"/>
      <c r="AQ763" s="364"/>
    </row>
    <row r="764" spans="1:43" ht="12.75" customHeight="1" x14ac:dyDescent="0.25">
      <c r="A764" s="1397" t="s">
        <v>1796</v>
      </c>
      <c r="B764" s="1370" t="s">
        <v>1797</v>
      </c>
      <c r="C764" s="1453">
        <f t="shared" si="143"/>
        <v>1</v>
      </c>
      <c r="D764" s="80"/>
      <c r="E764" s="1370"/>
      <c r="F764" s="977">
        <f t="shared" si="144"/>
        <v>1</v>
      </c>
      <c r="G764" s="584"/>
      <c r="H764" s="584"/>
      <c r="I764" s="455"/>
      <c r="J764" s="455"/>
      <c r="K764" s="851"/>
      <c r="L764" s="851"/>
      <c r="M764" s="455"/>
      <c r="N764" s="1489"/>
      <c r="O764" s="455"/>
      <c r="P764" s="455"/>
      <c r="Q764" s="455"/>
      <c r="R764" s="455"/>
      <c r="S764" s="455">
        <v>1</v>
      </c>
      <c r="T764" s="455"/>
      <c r="U764" s="455"/>
      <c r="V764" s="455"/>
      <c r="W764" s="187"/>
      <c r="X764" s="1974"/>
      <c r="Y764" s="1976"/>
      <c r="Z764" s="1976"/>
      <c r="AA764" s="1974"/>
      <c r="AB764" s="187"/>
      <c r="AC764" s="80"/>
      <c r="AD764" s="173"/>
      <c r="AE764" s="364"/>
      <c r="AF764" s="173"/>
      <c r="AG764" s="80"/>
      <c r="AH764" s="173"/>
      <c r="AI764" s="173"/>
      <c r="AJ764" s="41"/>
      <c r="AK764" s="41"/>
      <c r="AL764" s="41"/>
      <c r="AM764" s="41"/>
      <c r="AN764" s="41"/>
      <c r="AO764" s="41"/>
      <c r="AP764" s="41"/>
      <c r="AQ764" s="364"/>
    </row>
    <row r="765" spans="1:43" ht="12.75" customHeight="1" x14ac:dyDescent="0.25">
      <c r="A765" s="1397" t="s">
        <v>5540</v>
      </c>
      <c r="B765" s="1370" t="s">
        <v>5541</v>
      </c>
      <c r="C765" s="1453">
        <f t="shared" si="143"/>
        <v>0</v>
      </c>
      <c r="D765" s="80"/>
      <c r="E765" s="1370"/>
      <c r="F765" s="977">
        <f t="shared" si="144"/>
        <v>0</v>
      </c>
      <c r="G765" s="584"/>
      <c r="H765" s="584"/>
      <c r="I765" s="455"/>
      <c r="J765" s="455"/>
      <c r="K765" s="851"/>
      <c r="L765" s="851"/>
      <c r="M765" s="455"/>
      <c r="N765" s="1489"/>
      <c r="O765" s="455"/>
      <c r="P765" s="455"/>
      <c r="Q765" s="455"/>
      <c r="R765" s="455"/>
      <c r="S765" s="455"/>
      <c r="T765" s="455"/>
      <c r="U765" s="455"/>
      <c r="V765" s="455"/>
      <c r="W765" s="187"/>
      <c r="X765" s="1974"/>
      <c r="Y765" s="1976"/>
      <c r="Z765" s="1976"/>
      <c r="AA765" s="1974"/>
      <c r="AB765" s="187"/>
      <c r="AC765" s="80"/>
      <c r="AD765" s="173"/>
      <c r="AE765" s="364"/>
      <c r="AF765" s="173"/>
      <c r="AG765" s="80"/>
      <c r="AH765" s="173"/>
      <c r="AI765" s="173"/>
      <c r="AJ765" s="41"/>
      <c r="AK765" s="41"/>
      <c r="AL765" s="41"/>
      <c r="AM765" s="41"/>
      <c r="AN765" s="41"/>
      <c r="AO765" s="41"/>
      <c r="AP765" s="41"/>
      <c r="AQ765" s="364"/>
    </row>
    <row r="766" spans="1:43" ht="12.75" customHeight="1" x14ac:dyDescent="0.25">
      <c r="A766" s="1442" t="s">
        <v>5980</v>
      </c>
      <c r="B766" s="1374" t="s">
        <v>4818</v>
      </c>
      <c r="C766" s="1453">
        <f t="shared" si="143"/>
        <v>3</v>
      </c>
      <c r="D766" s="80"/>
      <c r="E766" s="1370"/>
      <c r="F766" s="977">
        <f t="shared" si="144"/>
        <v>3</v>
      </c>
      <c r="G766" s="584"/>
      <c r="H766" s="584"/>
      <c r="I766" s="455"/>
      <c r="J766" s="455"/>
      <c r="K766" s="851"/>
      <c r="L766" s="851"/>
      <c r="M766" s="455">
        <v>1</v>
      </c>
      <c r="N766" s="1489"/>
      <c r="O766" s="455"/>
      <c r="P766" s="455"/>
      <c r="Q766" s="455"/>
      <c r="R766" s="1381">
        <v>1</v>
      </c>
      <c r="S766" s="455">
        <v>1</v>
      </c>
      <c r="T766" s="455"/>
      <c r="U766" s="455"/>
      <c r="V766" s="455"/>
      <c r="W766" s="187"/>
      <c r="X766" s="1974"/>
      <c r="Y766" s="1976"/>
      <c r="Z766" s="1976"/>
      <c r="AA766" s="1974"/>
      <c r="AB766" s="187"/>
      <c r="AC766" t="s">
        <v>4047</v>
      </c>
      <c r="AD766" s="173"/>
      <c r="AE766" s="364"/>
      <c r="AF766" s="173" t="s">
        <v>1151</v>
      </c>
      <c r="AH766" s="173"/>
      <c r="AI766" s="173"/>
      <c r="AJ766" s="41"/>
      <c r="AK766" s="41"/>
      <c r="AL766" s="41"/>
      <c r="AM766" s="41"/>
      <c r="AN766" s="41"/>
      <c r="AO766" s="41"/>
      <c r="AP766" s="41"/>
      <c r="AQ766" s="364"/>
    </row>
    <row r="767" spans="1:43" ht="12.75" customHeight="1" x14ac:dyDescent="0.25">
      <c r="A767" s="1442" t="s">
        <v>5369</v>
      </c>
      <c r="B767" s="1374" t="s">
        <v>2117</v>
      </c>
      <c r="C767" s="1453">
        <f t="shared" si="143"/>
        <v>2</v>
      </c>
      <c r="D767" s="80"/>
      <c r="E767" s="1370"/>
      <c r="F767" s="977">
        <f t="shared" si="144"/>
        <v>2</v>
      </c>
      <c r="G767" s="584"/>
      <c r="H767" s="584">
        <v>1</v>
      </c>
      <c r="I767" s="455"/>
      <c r="J767" s="455"/>
      <c r="K767" s="455">
        <v>1</v>
      </c>
      <c r="L767" s="851"/>
      <c r="M767" s="455"/>
      <c r="N767" s="1489"/>
      <c r="O767" s="455"/>
      <c r="P767" s="455"/>
      <c r="Q767" s="455"/>
      <c r="R767" s="455"/>
      <c r="S767" s="455"/>
      <c r="T767" s="455"/>
      <c r="U767" s="455"/>
      <c r="V767" s="455"/>
      <c r="W767" s="187"/>
      <c r="X767" s="1974"/>
      <c r="Y767" s="1976"/>
      <c r="Z767" s="1976"/>
      <c r="AA767" s="1974"/>
      <c r="AB767" s="187"/>
      <c r="AC767" s="80"/>
      <c r="AD767" s="9"/>
      <c r="AE767" s="364"/>
      <c r="AF767" s="9"/>
      <c r="AG767" s="80"/>
      <c r="AH767" s="173"/>
      <c r="AI767" s="173"/>
      <c r="AJ767" s="41"/>
      <c r="AK767" s="41"/>
      <c r="AL767" s="41"/>
      <c r="AM767" s="41"/>
      <c r="AN767" s="41"/>
      <c r="AO767" s="41"/>
      <c r="AP767" s="41"/>
      <c r="AQ767" s="364"/>
    </row>
    <row r="768" spans="1:43" ht="12.75" customHeight="1" x14ac:dyDescent="0.25">
      <c r="A768" s="1397" t="s">
        <v>665</v>
      </c>
      <c r="B768" s="1370" t="s">
        <v>666</v>
      </c>
      <c r="C768" s="1453">
        <f t="shared" si="143"/>
        <v>3</v>
      </c>
      <c r="D768" s="80"/>
      <c r="E768" s="1370"/>
      <c r="F768" s="977">
        <f t="shared" si="144"/>
        <v>3</v>
      </c>
      <c r="G768" s="584">
        <v>1</v>
      </c>
      <c r="H768" s="584"/>
      <c r="I768" s="455"/>
      <c r="J768" s="455"/>
      <c r="K768" s="851"/>
      <c r="L768" s="851"/>
      <c r="M768" s="455"/>
      <c r="N768" s="1489"/>
      <c r="O768" s="1381"/>
      <c r="P768" s="1381">
        <v>1</v>
      </c>
      <c r="Q768" s="455"/>
      <c r="R768" s="455"/>
      <c r="S768" s="455">
        <v>1</v>
      </c>
      <c r="T768" s="455"/>
      <c r="U768" s="455"/>
      <c r="V768" s="455"/>
      <c r="W768" s="187"/>
      <c r="X768" s="1974"/>
      <c r="Y768" s="1976"/>
      <c r="Z768" s="1976"/>
      <c r="AA768" s="1974"/>
      <c r="AB768" s="187"/>
      <c r="AC768" s="581" t="s">
        <v>838</v>
      </c>
      <c r="AD768" s="582"/>
      <c r="AE768" s="583"/>
      <c r="AF768" s="9" t="s">
        <v>1147</v>
      </c>
      <c r="AG768" s="80"/>
      <c r="AH768" s="173"/>
      <c r="AI768" s="173"/>
      <c r="AJ768" s="41"/>
      <c r="AK768" s="41"/>
      <c r="AL768" s="41"/>
      <c r="AM768" s="41"/>
      <c r="AN768" s="41"/>
      <c r="AO768" s="41"/>
      <c r="AP768" s="41"/>
      <c r="AQ768" s="364"/>
    </row>
    <row r="769" spans="1:43" ht="12.75" customHeight="1" x14ac:dyDescent="0.25">
      <c r="A769" s="1397" t="s">
        <v>4677</v>
      </c>
      <c r="B769" s="1370" t="s">
        <v>4678</v>
      </c>
      <c r="C769" s="1453">
        <f t="shared" si="143"/>
        <v>0</v>
      </c>
      <c r="D769" s="80"/>
      <c r="E769" s="1370"/>
      <c r="F769" s="977">
        <f t="shared" si="144"/>
        <v>0</v>
      </c>
      <c r="G769" s="584"/>
      <c r="H769" s="584"/>
      <c r="I769" s="455"/>
      <c r="J769" s="455"/>
      <c r="K769" s="851"/>
      <c r="L769" s="851"/>
      <c r="M769" s="455"/>
      <c r="N769" s="1489"/>
      <c r="O769" s="455"/>
      <c r="P769" s="455"/>
      <c r="Q769" s="455"/>
      <c r="R769" s="455"/>
      <c r="S769" s="455"/>
      <c r="T769" s="455"/>
      <c r="U769" s="455"/>
      <c r="V769" s="455"/>
      <c r="W769" s="187"/>
      <c r="X769" s="1974"/>
      <c r="Y769" s="1976"/>
      <c r="Z769" s="1976"/>
      <c r="AA769" s="1974"/>
      <c r="AB769" s="187"/>
      <c r="AC769" s="80"/>
      <c r="AD769" s="9"/>
      <c r="AE769" s="848"/>
      <c r="AF769" s="848"/>
      <c r="AG769" s="848"/>
      <c r="AH769" s="80"/>
      <c r="AI769" s="80"/>
      <c r="AQ769" s="173"/>
    </row>
    <row r="770" spans="1:43" ht="12.75" customHeight="1" x14ac:dyDescent="0.25">
      <c r="A770" s="1397" t="s">
        <v>3014</v>
      </c>
      <c r="B770" s="1370" t="s">
        <v>3015</v>
      </c>
      <c r="C770" s="1453">
        <f t="shared" si="143"/>
        <v>1</v>
      </c>
      <c r="D770" s="80"/>
      <c r="E770" s="1370"/>
      <c r="F770" s="977">
        <f t="shared" si="144"/>
        <v>1</v>
      </c>
      <c r="G770" s="584"/>
      <c r="H770" s="584"/>
      <c r="I770" s="455">
        <v>1</v>
      </c>
      <c r="J770" s="455"/>
      <c r="K770" s="851"/>
      <c r="L770" s="851"/>
      <c r="M770" s="455"/>
      <c r="N770" s="1489"/>
      <c r="O770" s="455"/>
      <c r="P770" s="455"/>
      <c r="Q770" s="455"/>
      <c r="R770" s="455"/>
      <c r="S770" s="455"/>
      <c r="T770" s="455"/>
      <c r="U770" s="455"/>
      <c r="V770" s="455"/>
      <c r="W770" s="187"/>
      <c r="X770" s="1974"/>
      <c r="Y770" s="1976"/>
      <c r="Z770" s="1976"/>
      <c r="AA770" s="1974"/>
      <c r="AB770" s="187"/>
      <c r="AC770" s="80"/>
      <c r="AD770" s="9"/>
      <c r="AE770" s="848"/>
      <c r="AF770" s="848"/>
      <c r="AG770" s="848"/>
      <c r="AH770" s="80"/>
      <c r="AI770" s="80"/>
      <c r="AQ770" s="173"/>
    </row>
    <row r="771" spans="1:43" ht="12.75" customHeight="1" x14ac:dyDescent="0.25">
      <c r="A771" s="1442" t="s">
        <v>2137</v>
      </c>
      <c r="B771" s="1374" t="s">
        <v>4943</v>
      </c>
      <c r="C771" s="1453">
        <f t="shared" si="143"/>
        <v>1</v>
      </c>
      <c r="D771" s="80"/>
      <c r="E771" s="1370"/>
      <c r="F771" s="977">
        <f t="shared" si="144"/>
        <v>1</v>
      </c>
      <c r="G771" s="584"/>
      <c r="H771" s="584"/>
      <c r="I771" s="455"/>
      <c r="J771" s="455"/>
      <c r="K771" s="851"/>
      <c r="L771" s="851"/>
      <c r="M771" s="455"/>
      <c r="N771" s="1489"/>
      <c r="O771" s="455">
        <v>1</v>
      </c>
      <c r="P771" s="455"/>
      <c r="Q771" s="455"/>
      <c r="R771" s="455"/>
      <c r="S771" s="455"/>
      <c r="T771" s="455"/>
      <c r="U771" s="455"/>
      <c r="V771" s="455"/>
      <c r="W771" s="187"/>
      <c r="X771" s="1974"/>
      <c r="Y771" s="1976"/>
      <c r="Z771" s="1976"/>
      <c r="AA771" s="1974"/>
      <c r="AB771" s="185"/>
      <c r="AC771" s="80" t="s">
        <v>11903</v>
      </c>
      <c r="AD771" s="9"/>
      <c r="AE771" s="364"/>
      <c r="AF771" s="79" t="s">
        <v>1147</v>
      </c>
      <c r="AG771" s="364"/>
      <c r="AH771" s="80"/>
      <c r="AI771" s="80"/>
      <c r="AJ771" s="80"/>
      <c r="AK771" s="80"/>
      <c r="AL771" s="80"/>
      <c r="AM771" s="80"/>
      <c r="AN771" s="80"/>
      <c r="AO771" s="80"/>
      <c r="AP771" s="80"/>
      <c r="AQ771" s="173"/>
    </row>
    <row r="772" spans="1:43" ht="12.75" customHeight="1" x14ac:dyDescent="0.25">
      <c r="A772" s="1397" t="s">
        <v>2478</v>
      </c>
      <c r="B772" s="1370" t="s">
        <v>2479</v>
      </c>
      <c r="C772" s="1453">
        <f t="shared" si="143"/>
        <v>1</v>
      </c>
      <c r="D772" s="80"/>
      <c r="E772" s="1370"/>
      <c r="F772" s="977">
        <f t="shared" si="144"/>
        <v>1</v>
      </c>
      <c r="G772" s="584"/>
      <c r="H772" s="584"/>
      <c r="I772" s="455"/>
      <c r="J772" s="455">
        <v>1</v>
      </c>
      <c r="K772" s="851"/>
      <c r="L772" s="851"/>
      <c r="M772" s="455"/>
      <c r="N772" s="1489"/>
      <c r="O772" s="455"/>
      <c r="P772" s="455"/>
      <c r="Q772" s="455"/>
      <c r="R772" s="455"/>
      <c r="S772" s="455"/>
      <c r="T772" s="455"/>
      <c r="U772" s="455"/>
      <c r="V772" s="455"/>
      <c r="W772" s="187"/>
      <c r="X772" s="1974"/>
      <c r="Y772" s="1976"/>
      <c r="Z772" s="1976"/>
      <c r="AA772" s="1974"/>
      <c r="AB772" s="185"/>
      <c r="AC772" s="2"/>
      <c r="AD772" s="99"/>
      <c r="AE772" s="847"/>
      <c r="AF772" s="847"/>
      <c r="AG772" s="847"/>
      <c r="AH772" s="80"/>
      <c r="AI772" s="80"/>
      <c r="AJ772" s="80"/>
      <c r="AK772" s="80"/>
      <c r="AL772" s="80"/>
      <c r="AM772" s="80"/>
      <c r="AN772" s="80"/>
      <c r="AO772" s="80"/>
      <c r="AP772" s="80"/>
      <c r="AQ772" s="173"/>
    </row>
    <row r="773" spans="1:43" ht="12.75" customHeight="1" x14ac:dyDescent="0.25">
      <c r="A773" s="1397" t="s">
        <v>866</v>
      </c>
      <c r="B773" s="1370" t="s">
        <v>4635</v>
      </c>
      <c r="C773" s="1453">
        <f t="shared" si="143"/>
        <v>0</v>
      </c>
      <c r="D773" s="80"/>
      <c r="E773" s="1370"/>
      <c r="F773" s="977">
        <f t="shared" si="144"/>
        <v>0</v>
      </c>
      <c r="G773" s="584"/>
      <c r="H773" s="584"/>
      <c r="I773" s="455"/>
      <c r="J773" s="455"/>
      <c r="K773" s="851"/>
      <c r="L773" s="851"/>
      <c r="M773" s="455"/>
      <c r="N773" s="1489"/>
      <c r="O773" s="455"/>
      <c r="P773" s="455"/>
      <c r="Q773" s="455"/>
      <c r="R773" s="455"/>
      <c r="S773" s="455"/>
      <c r="T773" s="455"/>
      <c r="U773" s="455"/>
      <c r="V773" s="455"/>
      <c r="W773" s="187"/>
      <c r="X773" s="1525"/>
      <c r="Y773" s="597"/>
      <c r="Z773" s="597"/>
      <c r="AA773" s="1525"/>
      <c r="AB773" s="185"/>
      <c r="AC773" s="80"/>
      <c r="AD773" s="9"/>
      <c r="AE773" s="364"/>
      <c r="AF773" s="364"/>
      <c r="AG773" s="364"/>
      <c r="AH773" s="80"/>
      <c r="AI773" s="80"/>
      <c r="AQ773" s="173"/>
    </row>
    <row r="774" spans="1:43" ht="12.75" customHeight="1" x14ac:dyDescent="0.25">
      <c r="A774" s="1426" t="s">
        <v>4878</v>
      </c>
      <c r="B774" s="1389" t="s">
        <v>3250</v>
      </c>
      <c r="C774" s="1453">
        <f t="shared" si="143"/>
        <v>2</v>
      </c>
      <c r="D774" s="80"/>
      <c r="E774" s="1370"/>
      <c r="F774" s="977">
        <f t="shared" si="144"/>
        <v>2</v>
      </c>
      <c r="G774" s="584"/>
      <c r="H774" s="584"/>
      <c r="I774" s="455"/>
      <c r="J774" s="455"/>
      <c r="K774" s="851"/>
      <c r="L774" s="851"/>
      <c r="M774" s="455"/>
      <c r="N774" s="1489"/>
      <c r="O774" s="455">
        <v>1</v>
      </c>
      <c r="P774" s="455"/>
      <c r="Q774" s="455"/>
      <c r="R774" s="455">
        <v>1</v>
      </c>
      <c r="S774" s="455"/>
      <c r="T774" s="455"/>
      <c r="U774" s="455"/>
      <c r="V774" s="455"/>
      <c r="W774" s="187"/>
      <c r="X774" s="1525"/>
      <c r="Y774" s="597"/>
      <c r="Z774" s="597"/>
      <c r="AA774" s="1525"/>
      <c r="AB774" s="185"/>
      <c r="AC774" s="80"/>
      <c r="AD774" s="173"/>
      <c r="AE774" s="364"/>
      <c r="AF774" s="364"/>
      <c r="AG774" s="364"/>
      <c r="AH774" s="80"/>
      <c r="AI774" s="80"/>
      <c r="AJ774" s="80"/>
      <c r="AK774" s="80"/>
      <c r="AL774" s="80"/>
      <c r="AM774" s="80"/>
      <c r="AN774" s="80"/>
      <c r="AO774" s="80"/>
      <c r="AP774" s="80"/>
      <c r="AQ774" s="173"/>
    </row>
    <row r="775" spans="1:43" ht="12.75" customHeight="1" x14ac:dyDescent="0.25">
      <c r="A775" s="2015" t="s">
        <v>1798</v>
      </c>
      <c r="B775" s="2016" t="s">
        <v>17201</v>
      </c>
      <c r="C775" s="1453">
        <f>SUM(G775:V775)</f>
        <v>0</v>
      </c>
      <c r="D775" s="80"/>
      <c r="E775" s="1370"/>
      <c r="F775" s="977">
        <f t="shared" si="144"/>
        <v>0</v>
      </c>
      <c r="G775" s="584"/>
      <c r="H775" s="584"/>
      <c r="I775" s="455"/>
      <c r="J775" s="455"/>
      <c r="K775" s="851"/>
      <c r="L775" s="851"/>
      <c r="M775" s="455"/>
      <c r="N775" s="1489"/>
      <c r="O775" s="455"/>
      <c r="P775" s="455"/>
      <c r="Q775" s="455"/>
      <c r="R775" s="455"/>
      <c r="S775" s="455"/>
      <c r="T775" s="455"/>
      <c r="U775" s="455"/>
      <c r="V775" s="455"/>
      <c r="W775" s="187"/>
      <c r="X775" s="1525"/>
      <c r="Y775" s="597"/>
      <c r="Z775" s="597"/>
      <c r="AA775" s="1525"/>
      <c r="AB775" s="185"/>
      <c r="AC775" s="80"/>
      <c r="AD775" s="173"/>
      <c r="AE775" s="364"/>
      <c r="AF775" s="364"/>
      <c r="AG775" s="364"/>
      <c r="AH775" s="80"/>
      <c r="AI775" s="80"/>
      <c r="AJ775" s="80"/>
      <c r="AK775" s="80"/>
      <c r="AL775" s="80"/>
      <c r="AM775" s="80"/>
      <c r="AN775" s="80"/>
      <c r="AO775" s="80"/>
      <c r="AP775" s="80"/>
      <c r="AQ775" s="173"/>
    </row>
    <row r="776" spans="1:43" ht="12.75" customHeight="1" x14ac:dyDescent="0.25">
      <c r="A776" s="1442" t="s">
        <v>16990</v>
      </c>
      <c r="B776" s="1374" t="s">
        <v>16991</v>
      </c>
      <c r="C776" s="1453">
        <f>SUM(G776:Z776)</f>
        <v>2</v>
      </c>
      <c r="D776" s="80"/>
      <c r="E776" s="2082">
        <f>COUNT(Z776:Z776)</f>
        <v>1</v>
      </c>
      <c r="F776" s="977">
        <f t="shared" si="144"/>
        <v>0</v>
      </c>
      <c r="G776" s="1447"/>
      <c r="H776" s="1447"/>
      <c r="I776" s="1381"/>
      <c r="J776" s="1381"/>
      <c r="K776" s="2085"/>
      <c r="L776" s="2085"/>
      <c r="M776" s="1381"/>
      <c r="N776" s="1489"/>
      <c r="O776" s="1381"/>
      <c r="P776" s="1381"/>
      <c r="Q776" s="1381"/>
      <c r="R776" s="1381"/>
      <c r="S776" s="1381"/>
      <c r="T776" s="1381"/>
      <c r="U776" s="1381"/>
      <c r="V776" s="1381"/>
      <c r="W776" s="1448"/>
      <c r="X776" s="1525"/>
      <c r="Y776" s="597"/>
      <c r="Z776" s="1381">
        <v>2</v>
      </c>
      <c r="AA776" s="1489"/>
      <c r="AB776" s="185"/>
      <c r="AC776" s="80"/>
      <c r="AD776" s="173"/>
      <c r="AE776" s="364"/>
      <c r="AF776" s="364"/>
      <c r="AG776" s="364"/>
      <c r="AH776" s="80"/>
      <c r="AI776" s="80"/>
      <c r="AJ776" s="80"/>
      <c r="AK776" s="80"/>
      <c r="AL776" s="80"/>
      <c r="AM776" s="80"/>
      <c r="AN776" s="80"/>
      <c r="AO776" s="80"/>
      <c r="AP776" s="80"/>
      <c r="AQ776" s="173"/>
    </row>
    <row r="777" spans="1:43" ht="12.75" customHeight="1" x14ac:dyDescent="0.25">
      <c r="A777" s="1442" t="s">
        <v>2349</v>
      </c>
      <c r="B777" s="1374" t="s">
        <v>2350</v>
      </c>
      <c r="C777" s="1453">
        <f t="shared" si="143"/>
        <v>7</v>
      </c>
      <c r="D777" s="80"/>
      <c r="E777" s="1370"/>
      <c r="F777" s="977">
        <f t="shared" si="144"/>
        <v>3</v>
      </c>
      <c r="G777" s="584"/>
      <c r="H777" s="584"/>
      <c r="I777" s="455"/>
      <c r="J777" s="455"/>
      <c r="K777" s="851"/>
      <c r="L777" s="455">
        <v>1</v>
      </c>
      <c r="M777" s="455"/>
      <c r="N777" s="1489"/>
      <c r="O777" s="455"/>
      <c r="P777" s="455"/>
      <c r="Q777" s="1381">
        <v>5</v>
      </c>
      <c r="R777" s="1381"/>
      <c r="S777" s="1381"/>
      <c r="T777" s="1381"/>
      <c r="U777" s="1381"/>
      <c r="V777" s="1381">
        <v>1</v>
      </c>
      <c r="W777" s="1448"/>
      <c r="X777" s="1525"/>
      <c r="Y777" s="597"/>
      <c r="Z777" s="597"/>
      <c r="AA777" s="1525"/>
      <c r="AB777" s="185"/>
      <c r="AC777" s="80"/>
      <c r="AD777" s="173"/>
      <c r="AE777" s="364"/>
      <c r="AF777" s="364"/>
      <c r="AG777" s="364"/>
      <c r="AH777" s="80"/>
      <c r="AI777" s="80"/>
      <c r="AJ777" s="80"/>
      <c r="AK777" s="80"/>
      <c r="AL777" s="80"/>
      <c r="AM777" s="80"/>
      <c r="AN777" s="80"/>
      <c r="AO777" s="80"/>
      <c r="AP777" s="80"/>
      <c r="AQ777" s="173"/>
    </row>
    <row r="778" spans="1:43" ht="12.75" customHeight="1" x14ac:dyDescent="0.25">
      <c r="A778" s="1397" t="s">
        <v>3535</v>
      </c>
      <c r="B778" s="1370" t="s">
        <v>12648</v>
      </c>
      <c r="C778" s="1453">
        <f t="shared" si="143"/>
        <v>0</v>
      </c>
      <c r="D778" s="80"/>
      <c r="E778" s="1370"/>
      <c r="F778" s="977">
        <f t="shared" si="144"/>
        <v>0</v>
      </c>
      <c r="G778" s="584"/>
      <c r="H778" s="584"/>
      <c r="I778" s="455"/>
      <c r="J778" s="455"/>
      <c r="K778" s="851"/>
      <c r="L778" s="455"/>
      <c r="M778" s="455"/>
      <c r="N778" s="1489"/>
      <c r="O778" s="455"/>
      <c r="P778" s="455"/>
      <c r="Q778" s="1381"/>
      <c r="R778" s="1381"/>
      <c r="S778" s="1381"/>
      <c r="T778" s="1381"/>
      <c r="U778" s="1381"/>
      <c r="V778" s="1381"/>
      <c r="W778" s="1448"/>
      <c r="X778" s="1525"/>
      <c r="Y778" s="597"/>
      <c r="Z778" s="597"/>
      <c r="AA778" s="1525"/>
      <c r="AB778" s="185"/>
      <c r="AC778" s="80"/>
      <c r="AD778" s="173"/>
      <c r="AE778" s="364"/>
      <c r="AF778" s="364"/>
      <c r="AG778" s="364"/>
      <c r="AH778" s="80"/>
      <c r="AI778" s="80"/>
      <c r="AJ778" s="80"/>
      <c r="AK778" s="80"/>
      <c r="AL778" s="80"/>
      <c r="AM778" s="80"/>
      <c r="AN778" s="80"/>
      <c r="AO778" s="80"/>
      <c r="AP778" s="80"/>
      <c r="AQ778" s="173"/>
    </row>
    <row r="779" spans="1:43" ht="12.75" customHeight="1" x14ac:dyDescent="0.25">
      <c r="A779" s="1469" t="s">
        <v>2416</v>
      </c>
      <c r="B779" s="1466" t="s">
        <v>2417</v>
      </c>
      <c r="C779" s="1453">
        <f t="shared" si="143"/>
        <v>0</v>
      </c>
      <c r="D779" s="80"/>
      <c r="E779" s="1370"/>
      <c r="F779" s="977">
        <f t="shared" si="144"/>
        <v>0</v>
      </c>
      <c r="G779" s="584"/>
      <c r="H779" s="584"/>
      <c r="I779" s="455"/>
      <c r="J779" s="455"/>
      <c r="K779" s="851"/>
      <c r="L779" s="851"/>
      <c r="M779" s="455"/>
      <c r="N779" s="1489"/>
      <c r="O779" s="455"/>
      <c r="P779" s="455"/>
      <c r="Q779" s="1381"/>
      <c r="R779" s="1381"/>
      <c r="S779" s="1381"/>
      <c r="T779" s="1381"/>
      <c r="U779" s="1381"/>
      <c r="V779" s="1381"/>
      <c r="W779" s="1448"/>
      <c r="X779" s="1525"/>
      <c r="Y779" s="597"/>
      <c r="Z779" s="597"/>
      <c r="AA779" s="1525"/>
      <c r="AB779" s="185"/>
      <c r="AC779" s="80"/>
      <c r="AD779" s="173"/>
      <c r="AE779" s="364"/>
      <c r="AF779" s="364"/>
      <c r="AG779" s="364"/>
      <c r="AH779" s="80"/>
      <c r="AI779" s="80"/>
      <c r="AJ779" s="80"/>
      <c r="AK779" s="80"/>
      <c r="AL779" s="80"/>
      <c r="AM779" s="80"/>
      <c r="AN779" s="80"/>
      <c r="AO779" s="80"/>
      <c r="AP779" s="80"/>
      <c r="AQ779" s="173"/>
    </row>
    <row r="780" spans="1:43" ht="12.75" customHeight="1" x14ac:dyDescent="0.25">
      <c r="A780" s="1469" t="s">
        <v>866</v>
      </c>
      <c r="B780" s="1466" t="s">
        <v>2417</v>
      </c>
      <c r="C780" s="1453">
        <f t="shared" si="143"/>
        <v>0</v>
      </c>
      <c r="D780" s="80"/>
      <c r="E780" s="1370"/>
      <c r="F780" s="977">
        <f t="shared" si="144"/>
        <v>0</v>
      </c>
      <c r="G780" s="584"/>
      <c r="H780" s="584"/>
      <c r="I780" s="455"/>
      <c r="J780" s="455"/>
      <c r="K780" s="851"/>
      <c r="L780" s="851"/>
      <c r="M780" s="455"/>
      <c r="N780" s="1489"/>
      <c r="O780" s="455"/>
      <c r="P780" s="455"/>
      <c r="Q780" s="1381"/>
      <c r="R780" s="1381"/>
      <c r="S780" s="1381"/>
      <c r="T780" s="1381"/>
      <c r="U780" s="1381"/>
      <c r="V780" s="1381"/>
      <c r="W780" s="1448"/>
      <c r="X780" s="1525"/>
      <c r="Y780" s="597"/>
      <c r="Z780" s="597"/>
      <c r="AA780" s="1525"/>
      <c r="AB780" s="185"/>
      <c r="AC780" s="80"/>
      <c r="AD780" s="173"/>
      <c r="AE780" s="364"/>
      <c r="AF780" s="364"/>
      <c r="AG780" s="364"/>
      <c r="AH780" s="80"/>
      <c r="AI780" s="80"/>
      <c r="AJ780" s="80"/>
      <c r="AK780" s="80"/>
      <c r="AL780" s="80"/>
      <c r="AM780" s="80"/>
      <c r="AN780" s="80"/>
      <c r="AO780" s="80"/>
      <c r="AP780" s="80"/>
      <c r="AQ780" s="173"/>
    </row>
    <row r="781" spans="1:43" ht="12.75" customHeight="1" x14ac:dyDescent="0.25">
      <c r="A781" s="1469" t="s">
        <v>4259</v>
      </c>
      <c r="B781" s="1466" t="s">
        <v>440</v>
      </c>
      <c r="C781" s="1453">
        <f t="shared" si="143"/>
        <v>0</v>
      </c>
      <c r="D781" s="80"/>
      <c r="E781" s="1370"/>
      <c r="F781" s="977">
        <f t="shared" si="144"/>
        <v>0</v>
      </c>
      <c r="G781" s="584"/>
      <c r="H781" s="584"/>
      <c r="I781" s="455"/>
      <c r="J781" s="455"/>
      <c r="K781" s="851"/>
      <c r="L781" s="851"/>
      <c r="M781" s="455"/>
      <c r="N781" s="1489"/>
      <c r="O781" s="455"/>
      <c r="P781" s="455"/>
      <c r="Q781" s="1381"/>
      <c r="R781" s="1381"/>
      <c r="S781" s="1381"/>
      <c r="T781" s="1381"/>
      <c r="U781" s="1381"/>
      <c r="V781" s="1381"/>
      <c r="W781" s="1448"/>
      <c r="X781" s="1525"/>
      <c r="Y781" s="597"/>
      <c r="Z781" s="597"/>
      <c r="AA781" s="1525"/>
      <c r="AB781" s="185"/>
      <c r="AC781" s="80"/>
      <c r="AD781" s="173"/>
      <c r="AE781" s="364"/>
      <c r="AF781" s="364"/>
      <c r="AG781" s="364"/>
      <c r="AH781" s="80"/>
      <c r="AI781" s="80"/>
      <c r="AJ781" s="80"/>
      <c r="AK781" s="80"/>
      <c r="AL781" s="80"/>
      <c r="AM781" s="80"/>
      <c r="AN781" s="80"/>
      <c r="AO781" s="80"/>
      <c r="AP781" s="80"/>
      <c r="AQ781" s="173"/>
    </row>
    <row r="782" spans="1:43" ht="12.75" customHeight="1" x14ac:dyDescent="0.25">
      <c r="A782" s="1397" t="s">
        <v>1794</v>
      </c>
      <c r="B782" s="1370" t="s">
        <v>5543</v>
      </c>
      <c r="C782" s="1453">
        <f t="shared" si="143"/>
        <v>0</v>
      </c>
      <c r="D782" s="80"/>
      <c r="E782" s="1370"/>
      <c r="F782" s="977">
        <f t="shared" si="144"/>
        <v>0</v>
      </c>
      <c r="G782" s="584"/>
      <c r="H782" s="584"/>
      <c r="I782" s="455"/>
      <c r="J782" s="455"/>
      <c r="K782" s="851"/>
      <c r="L782" s="851"/>
      <c r="M782" s="455"/>
      <c r="N782" s="1489"/>
      <c r="O782" s="455"/>
      <c r="P782" s="455"/>
      <c r="Q782" s="1381"/>
      <c r="R782" s="1381"/>
      <c r="S782" s="1381"/>
      <c r="T782" s="1381"/>
      <c r="U782" s="1381"/>
      <c r="V782" s="1381"/>
      <c r="W782" s="1448"/>
      <c r="X782" s="1525"/>
      <c r="Y782" s="597"/>
      <c r="Z782" s="597"/>
      <c r="AA782" s="1525"/>
      <c r="AB782" s="185"/>
      <c r="AC782" s="80"/>
      <c r="AD782" s="173"/>
      <c r="AE782" s="364"/>
      <c r="AF782" s="364"/>
      <c r="AG782" s="364"/>
      <c r="AH782" s="80"/>
      <c r="AI782" s="80"/>
      <c r="AJ782" s="80"/>
      <c r="AK782" s="80"/>
      <c r="AL782" s="80"/>
      <c r="AM782" s="80"/>
      <c r="AN782" s="80"/>
      <c r="AO782" s="80"/>
      <c r="AP782" s="80"/>
      <c r="AQ782" s="173"/>
    </row>
    <row r="783" spans="1:43" ht="12.75" customHeight="1" x14ac:dyDescent="0.25">
      <c r="A783" s="1397" t="s">
        <v>3535</v>
      </c>
      <c r="B783" s="1370" t="s">
        <v>1026</v>
      </c>
      <c r="C783" s="1453">
        <f t="shared" si="143"/>
        <v>0</v>
      </c>
      <c r="D783" s="80"/>
      <c r="E783" s="1370"/>
      <c r="F783" s="977">
        <f t="shared" si="144"/>
        <v>0</v>
      </c>
      <c r="G783" s="584"/>
      <c r="H783" s="584"/>
      <c r="I783" s="455"/>
      <c r="J783" s="455"/>
      <c r="K783" s="851"/>
      <c r="L783" s="1620"/>
      <c r="M783" s="455"/>
      <c r="N783" s="1489"/>
      <c r="O783" s="455"/>
      <c r="P783" s="455"/>
      <c r="Q783" s="455"/>
      <c r="R783" s="455"/>
      <c r="S783" s="455"/>
      <c r="T783" s="455"/>
      <c r="U783" s="455"/>
      <c r="V783" s="455"/>
      <c r="W783" s="187"/>
      <c r="X783" s="1525"/>
      <c r="Y783" s="597"/>
      <c r="Z783" s="597"/>
      <c r="AA783" s="1525"/>
      <c r="AB783" s="185"/>
      <c r="AC783" s="80"/>
      <c r="AD783" s="173"/>
      <c r="AE783" s="364"/>
      <c r="AF783" s="364"/>
      <c r="AG783" s="364"/>
      <c r="AH783" s="80"/>
      <c r="AI783" s="80"/>
      <c r="AJ783" s="80"/>
      <c r="AK783" s="80"/>
      <c r="AL783" s="80"/>
      <c r="AM783" s="80"/>
      <c r="AN783" s="80"/>
      <c r="AO783" s="80"/>
      <c r="AP783" s="80"/>
      <c r="AQ783" s="173"/>
    </row>
    <row r="784" spans="1:43" ht="12.75" customHeight="1" x14ac:dyDescent="0.25">
      <c r="A784" s="1426" t="s">
        <v>2929</v>
      </c>
      <c r="B784" s="1389" t="s">
        <v>68</v>
      </c>
      <c r="C784" s="1453">
        <f t="shared" si="143"/>
        <v>1</v>
      </c>
      <c r="D784" s="80"/>
      <c r="E784" s="1370"/>
      <c r="F784" s="977">
        <f t="shared" si="144"/>
        <v>1</v>
      </c>
      <c r="G784" s="584"/>
      <c r="H784" s="584"/>
      <c r="I784" s="455"/>
      <c r="J784" s="455"/>
      <c r="K784" s="851"/>
      <c r="L784" s="1620"/>
      <c r="M784" s="455"/>
      <c r="N784" s="1489"/>
      <c r="O784" s="455"/>
      <c r="P784" s="1342"/>
      <c r="Q784" s="1342"/>
      <c r="R784" s="1342"/>
      <c r="S784" s="1342"/>
      <c r="T784" s="1342"/>
      <c r="U784" s="1342">
        <v>1</v>
      </c>
      <c r="V784" s="455"/>
      <c r="W784" s="187"/>
      <c r="X784" s="1525"/>
      <c r="Y784" s="597"/>
      <c r="Z784" s="597"/>
      <c r="AA784" s="1525"/>
      <c r="AB784" s="185"/>
      <c r="AC784" s="80"/>
      <c r="AD784" s="173"/>
      <c r="AE784" s="364"/>
      <c r="AF784" s="364"/>
      <c r="AG784" s="364"/>
      <c r="AH784" s="80"/>
      <c r="AI784" s="80"/>
      <c r="AJ784" s="80"/>
      <c r="AK784" s="80"/>
      <c r="AL784" s="80"/>
      <c r="AM784" s="80"/>
      <c r="AN784" s="80"/>
      <c r="AO784" s="80"/>
      <c r="AP784" s="80"/>
      <c r="AQ784" s="173"/>
    </row>
    <row r="785" spans="1:82" ht="12.75" customHeight="1" x14ac:dyDescent="0.25">
      <c r="A785" s="1442" t="s">
        <v>3535</v>
      </c>
      <c r="B785" s="1374" t="s">
        <v>4741</v>
      </c>
      <c r="C785" s="1453">
        <f t="shared" si="143"/>
        <v>1</v>
      </c>
      <c r="D785" s="80"/>
      <c r="E785" s="1370"/>
      <c r="F785" s="977">
        <f t="shared" si="144"/>
        <v>1</v>
      </c>
      <c r="G785" s="584"/>
      <c r="H785" s="584"/>
      <c r="I785" s="455"/>
      <c r="J785" s="455"/>
      <c r="K785" s="851"/>
      <c r="L785" s="1620"/>
      <c r="M785" s="455"/>
      <c r="N785" s="1489"/>
      <c r="O785" s="1381">
        <v>1</v>
      </c>
      <c r="P785" s="1342"/>
      <c r="Q785" s="1342"/>
      <c r="R785" s="1342"/>
      <c r="S785" s="1342"/>
      <c r="T785" s="1342"/>
      <c r="U785" s="1342"/>
      <c r="V785" s="455"/>
      <c r="W785" s="187"/>
      <c r="X785" s="1525"/>
      <c r="Y785" s="597"/>
      <c r="Z785" s="597"/>
      <c r="AA785" s="1525"/>
      <c r="AB785" s="185"/>
      <c r="AC785" s="80"/>
      <c r="AD785" s="173"/>
      <c r="AE785" s="364"/>
      <c r="AF785" s="364"/>
      <c r="AG785" s="364"/>
      <c r="AH785" s="80"/>
      <c r="AI785" s="80"/>
      <c r="AJ785" s="80"/>
      <c r="AK785" s="80"/>
      <c r="AL785" s="80"/>
      <c r="AM785" s="80"/>
      <c r="AN785" s="80"/>
      <c r="AO785" s="80"/>
      <c r="AP785" s="80"/>
      <c r="AQ785" s="173"/>
    </row>
    <row r="786" spans="1:82" ht="12.75" customHeight="1" x14ac:dyDescent="0.25">
      <c r="A786" s="1397"/>
      <c r="B786" s="1370"/>
      <c r="C786" s="789">
        <f>SUM(C753:C785)</f>
        <v>47</v>
      </c>
      <c r="D786" s="80"/>
      <c r="E786" s="1370"/>
      <c r="F786" s="81"/>
      <c r="G786" s="1123">
        <f t="shared" ref="G786:M786" si="145">SUM(G753:G785)</f>
        <v>2</v>
      </c>
      <c r="H786" s="1123">
        <f t="shared" si="145"/>
        <v>1</v>
      </c>
      <c r="I786" s="1123">
        <f t="shared" si="145"/>
        <v>3</v>
      </c>
      <c r="J786" s="1123">
        <f t="shared" si="145"/>
        <v>1</v>
      </c>
      <c r="K786" s="1123">
        <f t="shared" si="145"/>
        <v>1</v>
      </c>
      <c r="L786" s="1123">
        <f t="shared" si="145"/>
        <v>3</v>
      </c>
      <c r="M786" s="1123">
        <f t="shared" si="145"/>
        <v>1</v>
      </c>
      <c r="N786" s="1975"/>
      <c r="O786" s="1123">
        <f t="shared" ref="O786:V786" si="146">SUM(O753:O785)</f>
        <v>7</v>
      </c>
      <c r="P786" s="1123">
        <f t="shared" si="146"/>
        <v>3</v>
      </c>
      <c r="Q786" s="1123">
        <f t="shared" si="146"/>
        <v>10</v>
      </c>
      <c r="R786" s="1123">
        <f t="shared" si="146"/>
        <v>6</v>
      </c>
      <c r="S786" s="1123">
        <f t="shared" si="146"/>
        <v>3</v>
      </c>
      <c r="T786" s="1123">
        <f t="shared" si="146"/>
        <v>1</v>
      </c>
      <c r="U786" s="1123">
        <f t="shared" si="146"/>
        <v>1</v>
      </c>
      <c r="V786" s="1123">
        <f t="shared" si="146"/>
        <v>1</v>
      </c>
      <c r="W786" s="1975"/>
      <c r="X786" s="1975"/>
      <c r="Y786" s="1501"/>
      <c r="Z786" s="1501"/>
      <c r="AA786" s="1548"/>
      <c r="AB786" s="364"/>
      <c r="AC786" s="80"/>
      <c r="AD786" s="173"/>
      <c r="AE786" s="364"/>
      <c r="AF786" s="364"/>
      <c r="AG786" s="364"/>
      <c r="AH786" s="80"/>
      <c r="AI786" s="80"/>
      <c r="AJ786" s="80"/>
      <c r="AK786" s="80"/>
      <c r="AL786" s="80"/>
      <c r="AM786" s="80"/>
      <c r="AN786" s="80"/>
      <c r="AO786" s="80"/>
      <c r="AP786" s="80"/>
      <c r="AQ786" s="173"/>
    </row>
    <row r="787" spans="1:82" ht="12.75" customHeight="1" x14ac:dyDescent="0.25">
      <c r="A787" s="1397"/>
      <c r="B787" s="1370"/>
      <c r="C787" s="173"/>
      <c r="D787" s="80"/>
      <c r="E787" s="1381">
        <f>COUNT(G787:V787)</f>
        <v>15</v>
      </c>
      <c r="F787" s="81"/>
      <c r="G787" s="1123">
        <f t="shared" ref="G787:M787" si="147">COUNT(G753:G785)</f>
        <v>2</v>
      </c>
      <c r="H787" s="1123">
        <f t="shared" si="147"/>
        <v>1</v>
      </c>
      <c r="I787" s="1123">
        <f t="shared" si="147"/>
        <v>3</v>
      </c>
      <c r="J787" s="1123">
        <f t="shared" si="147"/>
        <v>1</v>
      </c>
      <c r="K787" s="1123">
        <f t="shared" si="147"/>
        <v>1</v>
      </c>
      <c r="L787" s="1123">
        <f t="shared" si="147"/>
        <v>3</v>
      </c>
      <c r="M787" s="1123">
        <f t="shared" si="147"/>
        <v>1</v>
      </c>
      <c r="N787" s="1975"/>
      <c r="O787" s="1123">
        <f t="shared" ref="O787:V787" si="148">COUNT(O753:O785)</f>
        <v>7</v>
      </c>
      <c r="P787" s="1123">
        <f t="shared" si="148"/>
        <v>3</v>
      </c>
      <c r="Q787" s="1123">
        <f t="shared" si="148"/>
        <v>3</v>
      </c>
      <c r="R787" s="1123">
        <f t="shared" si="148"/>
        <v>4</v>
      </c>
      <c r="S787" s="1123">
        <f t="shared" si="148"/>
        <v>3</v>
      </c>
      <c r="T787" s="1123">
        <f t="shared" si="148"/>
        <v>1</v>
      </c>
      <c r="U787" s="1123">
        <f t="shared" si="148"/>
        <v>1</v>
      </c>
      <c r="V787" s="1123">
        <f t="shared" si="148"/>
        <v>1</v>
      </c>
      <c r="W787" s="1975"/>
      <c r="X787" s="1975"/>
      <c r="Y787" s="1501"/>
      <c r="Z787" s="1501"/>
      <c r="AA787" s="1548"/>
      <c r="AB787" s="364"/>
      <c r="AC787" s="80"/>
      <c r="AD787" s="173"/>
      <c r="AE787" s="364"/>
      <c r="AF787" s="364"/>
      <c r="AG787" s="364"/>
      <c r="AH787" s="80"/>
      <c r="AI787" s="80"/>
      <c r="AQ787" s="173"/>
    </row>
    <row r="788" spans="1:82" ht="12.75" customHeight="1" x14ac:dyDescent="0.25">
      <c r="A788" s="1397"/>
      <c r="B788" s="1370"/>
      <c r="C788" s="173"/>
      <c r="D788" s="80"/>
      <c r="E788" s="1370"/>
      <c r="F788" s="81"/>
      <c r="G788" s="536" t="s">
        <v>9582</v>
      </c>
      <c r="H788" s="1035"/>
      <c r="I788" s="536" t="s">
        <v>4866</v>
      </c>
      <c r="J788" s="536"/>
      <c r="K788" s="561" t="s">
        <v>3706</v>
      </c>
      <c r="L788" s="536"/>
      <c r="M788" s="561" t="s">
        <v>5759</v>
      </c>
      <c r="N788" s="1407"/>
      <c r="O788" s="561"/>
      <c r="P788" s="561" t="s">
        <v>12011</v>
      </c>
      <c r="Q788" s="856"/>
      <c r="R788" s="561" t="s">
        <v>1121</v>
      </c>
      <c r="S788" s="856"/>
      <c r="T788" s="561" t="s">
        <v>8252</v>
      </c>
      <c r="U788" s="538"/>
      <c r="V788" s="538" t="s">
        <v>12137</v>
      </c>
      <c r="W788" s="2083"/>
      <c r="X788" s="1548"/>
      <c r="Y788" s="1548"/>
      <c r="Z788" s="1548" t="s">
        <v>5494</v>
      </c>
      <c r="AA788" s="1867"/>
      <c r="AB788" s="364"/>
      <c r="AC788" s="80"/>
      <c r="AD788" s="173"/>
      <c r="AE788" s="364"/>
      <c r="AF788" s="364"/>
      <c r="AG788" s="364"/>
      <c r="AH788" s="80"/>
      <c r="AI788" s="80"/>
      <c r="AJ788" s="80"/>
      <c r="AK788" s="80"/>
      <c r="AL788" s="80"/>
      <c r="AM788" s="80"/>
      <c r="AN788" s="80"/>
      <c r="AO788" s="80"/>
      <c r="AP788" s="80"/>
      <c r="AQ788" s="173"/>
    </row>
    <row r="789" spans="1:82" ht="12.75" customHeight="1" x14ac:dyDescent="0.25">
      <c r="A789" s="1397"/>
      <c r="B789" s="1370"/>
      <c r="C789" s="173"/>
      <c r="G789" s="535"/>
      <c r="H789" s="539" t="s">
        <v>10229</v>
      </c>
      <c r="I789" s="857"/>
      <c r="J789" s="539" t="s">
        <v>11061</v>
      </c>
      <c r="K789" s="539"/>
      <c r="L789" s="539" t="s">
        <v>2311</v>
      </c>
      <c r="M789" s="539"/>
      <c r="N789" s="1406"/>
      <c r="O789" s="558" t="s">
        <v>1004</v>
      </c>
      <c r="P789" s="857"/>
      <c r="Q789" s="558" t="s">
        <v>7944</v>
      </c>
      <c r="R789" s="857"/>
      <c r="S789" s="539" t="s">
        <v>17248</v>
      </c>
      <c r="T789" s="539"/>
      <c r="U789" s="535" t="s">
        <v>8251</v>
      </c>
      <c r="V789" s="535"/>
      <c r="W789" s="2084"/>
      <c r="X789" s="1548"/>
      <c r="Y789" s="1500" t="s">
        <v>8902</v>
      </c>
      <c r="Z789" s="1370"/>
      <c r="AA789" s="2081"/>
      <c r="AB789" s="364"/>
      <c r="AC789" s="364"/>
      <c r="AD789" s="364"/>
      <c r="AE789" s="80"/>
      <c r="AH789" s="173"/>
      <c r="AI789" s="173"/>
      <c r="AJ789" s="173"/>
      <c r="AK789" s="173"/>
      <c r="AL789" s="173"/>
      <c r="AM789" s="173"/>
      <c r="AN789" s="173"/>
      <c r="AO789" s="41"/>
    </row>
    <row r="790" spans="1:82" ht="12.75" customHeight="1" x14ac:dyDescent="0.25">
      <c r="A790" s="1397"/>
      <c r="B790" s="1370"/>
      <c r="C790" s="173"/>
      <c r="G790" s="1107">
        <f>Parks!L193</f>
        <v>402</v>
      </c>
      <c r="H790" s="1107">
        <f>Parks!L278</f>
        <v>424</v>
      </c>
      <c r="I790" s="1107">
        <f>Parks!L324</f>
        <v>309</v>
      </c>
      <c r="J790" s="1107">
        <f>Parks!L381</f>
        <v>452</v>
      </c>
      <c r="K790" s="1106">
        <f>Parks!L423</f>
        <v>273</v>
      </c>
      <c r="L790" s="1106">
        <f>Parks!L533</f>
        <v>312</v>
      </c>
      <c r="M790" s="1107">
        <f>Parks!L554</f>
        <v>335</v>
      </c>
      <c r="N790" s="1107"/>
      <c r="O790" s="1107">
        <f>Parks!L201</f>
        <v>219</v>
      </c>
      <c r="P790" s="1107">
        <f>Parks!L202</f>
        <v>475</v>
      </c>
      <c r="Q790" s="1106">
        <f>Parks!L53</f>
        <v>337</v>
      </c>
      <c r="R790" s="1107">
        <f>Parks!L315</f>
        <v>35</v>
      </c>
      <c r="S790" s="1107">
        <f>Parks!L417</f>
        <v>128</v>
      </c>
      <c r="T790" s="1107"/>
      <c r="U790" s="1107"/>
      <c r="V790" s="1107">
        <f>Parks!L596</f>
        <v>479</v>
      </c>
      <c r="W790" s="1143"/>
      <c r="X790" s="1107"/>
      <c r="Y790" s="1107"/>
      <c r="Z790" s="1107"/>
      <c r="AA790" s="364"/>
      <c r="AB790" s="364"/>
      <c r="AC790" s="364"/>
      <c r="AD790" s="364"/>
      <c r="AE790" s="364"/>
      <c r="AF790" s="80"/>
      <c r="AG790" s="173"/>
      <c r="AH790" s="41"/>
      <c r="AI790" s="41"/>
    </row>
    <row r="791" spans="1:82" ht="12.75" customHeight="1" x14ac:dyDescent="0.2">
      <c r="C791"/>
      <c r="F791"/>
      <c r="BY791" s="41"/>
      <c r="BZ791" s="69"/>
      <c r="CA791" s="41"/>
      <c r="CC791" s="41"/>
      <c r="CD791" s="41"/>
    </row>
    <row r="792" spans="1:82" ht="12.75" customHeight="1" x14ac:dyDescent="0.25">
      <c r="A792" s="1446"/>
      <c r="C792" s="9"/>
      <c r="F792" s="244"/>
      <c r="G792" s="1319" t="s">
        <v>11904</v>
      </c>
      <c r="H792" s="364"/>
      <c r="I792" s="185"/>
      <c r="J792" s="185"/>
      <c r="K792" s="364"/>
      <c r="L792" s="185"/>
      <c r="M792" s="364"/>
      <c r="N792" s="410"/>
      <c r="O792" s="410"/>
      <c r="P792" s="364"/>
      <c r="Q792" s="364"/>
      <c r="R792" s="410"/>
      <c r="S792" s="185"/>
      <c r="T792" s="410"/>
      <c r="U792" s="185"/>
      <c r="V792" s="185"/>
      <c r="W792" s="185"/>
      <c r="X792" s="185"/>
      <c r="Y792" s="185"/>
      <c r="Z792" s="185"/>
      <c r="AA792" s="410"/>
      <c r="AC792" s="41"/>
      <c r="AD792" s="41"/>
    </row>
    <row r="793" spans="1:82" ht="12.75" customHeight="1" x14ac:dyDescent="0.25">
      <c r="A793" s="1397"/>
      <c r="C793" s="9"/>
      <c r="F793" s="244"/>
      <c r="G793" s="185"/>
      <c r="H793" s="364"/>
      <c r="I793" s="185"/>
      <c r="J793" s="185"/>
      <c r="K793" s="364"/>
      <c r="L793" s="185"/>
      <c r="M793" s="364"/>
      <c r="N793" s="185"/>
      <c r="O793" s="185"/>
      <c r="P793" s="185"/>
      <c r="Q793" s="185"/>
      <c r="R793" s="185"/>
      <c r="S793" s="185"/>
      <c r="T793" s="185"/>
      <c r="U793" s="410"/>
      <c r="V793" s="185"/>
      <c r="W793" s="185"/>
      <c r="X793" s="185"/>
      <c r="Y793" s="185"/>
      <c r="Z793" s="185"/>
      <c r="AA793" s="185"/>
      <c r="AB793" s="410"/>
      <c r="AD793" s="41"/>
      <c r="AE793" s="41"/>
    </row>
    <row r="794" spans="1:82" ht="12.75" customHeight="1" thickBot="1" x14ac:dyDescent="0.3">
      <c r="A794" s="1446"/>
      <c r="C794" s="9"/>
      <c r="F794" s="244"/>
      <c r="G794" s="2" t="s">
        <v>4293</v>
      </c>
      <c r="H794" s="185"/>
      <c r="I794" s="69"/>
      <c r="J794" s="69"/>
      <c r="K794" s="42"/>
      <c r="L794" s="41"/>
      <c r="N794" s="41"/>
      <c r="O794" s="41"/>
      <c r="P794" s="41"/>
      <c r="Q794" s="41"/>
      <c r="R794" s="2" t="s">
        <v>4292</v>
      </c>
      <c r="S794" s="2"/>
      <c r="T794" s="2"/>
      <c r="U794" s="2"/>
      <c r="AA794" s="185"/>
      <c r="AB794" s="410"/>
      <c r="AD794" s="41"/>
      <c r="AE794" s="41"/>
    </row>
    <row r="795" spans="1:82" ht="12.75" customHeight="1" x14ac:dyDescent="0.25">
      <c r="A795" s="1446"/>
      <c r="C795" s="9"/>
      <c r="F795" s="244"/>
      <c r="G795" s="1108" t="s">
        <v>1511</v>
      </c>
      <c r="H795" s="1109" t="s">
        <v>1736</v>
      </c>
      <c r="I795" s="1110" t="s">
        <v>4966</v>
      </c>
      <c r="J795" s="1111" t="s">
        <v>10516</v>
      </c>
      <c r="K795" s="1112" t="s">
        <v>5512</v>
      </c>
      <c r="L795" s="1111" t="s">
        <v>3566</v>
      </c>
      <c r="M795" s="1112" t="s">
        <v>3505</v>
      </c>
      <c r="N795" s="1111" t="s">
        <v>3506</v>
      </c>
      <c r="O795" s="1663" t="s">
        <v>3314</v>
      </c>
      <c r="P795" s="560" t="s">
        <v>15352</v>
      </c>
      <c r="Q795" s="41"/>
      <c r="R795" s="482" t="s">
        <v>2685</v>
      </c>
      <c r="S795" s="472" t="s">
        <v>5217</v>
      </c>
      <c r="T795" s="1113" t="s">
        <v>1625</v>
      </c>
      <c r="U795" s="1780" t="s">
        <v>1268</v>
      </c>
      <c r="V795" s="1113" t="s">
        <v>2998</v>
      </c>
      <c r="W795" s="1114" t="s">
        <v>2657</v>
      </c>
      <c r="X795" s="1115" t="s">
        <v>2033</v>
      </c>
      <c r="Y795" s="1116" t="s">
        <v>956</v>
      </c>
      <c r="Z795" s="1115" t="s">
        <v>10518</v>
      </c>
      <c r="AA795" s="1117" t="s">
        <v>5625</v>
      </c>
      <c r="AB795" s="185"/>
      <c r="AC795" s="207" t="s">
        <v>116</v>
      </c>
      <c r="AE795" s="69"/>
      <c r="AF795" s="41"/>
    </row>
    <row r="796" spans="1:82" ht="12.75" customHeight="1" x14ac:dyDescent="0.25">
      <c r="A796" s="1560" t="s">
        <v>726</v>
      </c>
      <c r="B796" s="1373" t="s">
        <v>1295</v>
      </c>
      <c r="C796" s="9">
        <f>SUM(G796:AA796)</f>
        <v>1</v>
      </c>
      <c r="F796" s="976">
        <f>COUNT(G796:AA796)</f>
        <v>1</v>
      </c>
      <c r="G796" s="36"/>
      <c r="H796" s="36"/>
      <c r="I796" s="36"/>
      <c r="J796" s="36"/>
      <c r="K796" s="36"/>
      <c r="L796" s="36"/>
      <c r="M796" s="36"/>
      <c r="N796" s="36"/>
      <c r="O796" s="506"/>
      <c r="P796" s="462"/>
      <c r="Q796" s="41"/>
      <c r="R796" s="36"/>
      <c r="S796" s="36"/>
      <c r="T796" s="36"/>
      <c r="U796" s="36"/>
      <c r="V796" s="36"/>
      <c r="W796" s="36"/>
      <c r="X796" s="36"/>
      <c r="Y796" s="36">
        <v>1</v>
      </c>
      <c r="Z796" s="36"/>
      <c r="AA796" s="36"/>
      <c r="AB796" s="185"/>
      <c r="AC796" s="79" t="s">
        <v>10876</v>
      </c>
      <c r="AE796" s="69"/>
      <c r="AF796" s="41"/>
    </row>
    <row r="797" spans="1:82" ht="12.75" customHeight="1" x14ac:dyDescent="0.25">
      <c r="A797" s="1397" t="s">
        <v>3508</v>
      </c>
      <c r="B797" s="1370" t="s">
        <v>3632</v>
      </c>
      <c r="C797" s="9">
        <f t="shared" ref="C797:C813" si="149">SUM(G797:AA797)</f>
        <v>1</v>
      </c>
      <c r="F797" s="976">
        <f t="shared" ref="F797:F813" si="150">COUNT(G797:AA797)</f>
        <v>1</v>
      </c>
      <c r="G797" s="36"/>
      <c r="H797" s="36"/>
      <c r="I797" s="36"/>
      <c r="J797" s="36"/>
      <c r="K797" s="36"/>
      <c r="L797" s="36"/>
      <c r="M797" s="36"/>
      <c r="N797" s="36"/>
      <c r="O797" s="506"/>
      <c r="P797" s="462"/>
      <c r="Q797" s="41"/>
      <c r="R797" s="36"/>
      <c r="S797" s="36"/>
      <c r="T797" s="36"/>
      <c r="U797" s="36"/>
      <c r="V797" s="36">
        <v>1</v>
      </c>
      <c r="W797" s="36"/>
      <c r="X797" s="36"/>
      <c r="Y797" s="36"/>
      <c r="Z797" s="36"/>
      <c r="AA797" s="36"/>
      <c r="AB797" s="185"/>
      <c r="AC797" s="79" t="s">
        <v>10875</v>
      </c>
      <c r="AE797" s="69"/>
      <c r="AF797" s="41"/>
    </row>
    <row r="798" spans="1:82" ht="12.75" customHeight="1" x14ac:dyDescent="0.2">
      <c r="A798" s="1397" t="s">
        <v>8457</v>
      </c>
      <c r="B798" s="1370" t="s">
        <v>5239</v>
      </c>
      <c r="C798" s="9">
        <f t="shared" si="149"/>
        <v>1</v>
      </c>
      <c r="F798" s="976">
        <f t="shared" si="150"/>
        <v>1</v>
      </c>
      <c r="G798" s="497"/>
      <c r="H798" s="974"/>
      <c r="I798" s="497"/>
      <c r="J798" s="497"/>
      <c r="K798" s="497">
        <v>1</v>
      </c>
      <c r="L798" s="974"/>
      <c r="M798" s="497"/>
      <c r="N798" s="974"/>
      <c r="O798" s="1664"/>
      <c r="P798" s="497"/>
      <c r="Q798" s="187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45"/>
      <c r="AC798" s="79" t="s">
        <v>10873</v>
      </c>
      <c r="AE798" s="69"/>
      <c r="AF798" s="41"/>
    </row>
    <row r="799" spans="1:82" ht="12.75" customHeight="1" x14ac:dyDescent="0.2">
      <c r="A799" s="1397" t="s">
        <v>922</v>
      </c>
      <c r="B799" s="1370" t="s">
        <v>1530</v>
      </c>
      <c r="C799" s="9">
        <f t="shared" si="149"/>
        <v>1</v>
      </c>
      <c r="F799" s="976">
        <f t="shared" si="150"/>
        <v>1</v>
      </c>
      <c r="G799" s="497"/>
      <c r="H799" s="974"/>
      <c r="I799" s="497"/>
      <c r="J799" s="497"/>
      <c r="K799" s="497"/>
      <c r="L799" s="974"/>
      <c r="M799" s="497"/>
      <c r="N799" s="974"/>
      <c r="O799" s="1664"/>
      <c r="P799" s="497"/>
      <c r="Q799" s="187"/>
      <c r="R799" s="36"/>
      <c r="S799" s="36"/>
      <c r="T799" s="36"/>
      <c r="U799" s="36"/>
      <c r="V799" s="36"/>
      <c r="W799" s="36">
        <v>1</v>
      </c>
      <c r="X799" s="36"/>
      <c r="Y799" s="36"/>
      <c r="Z799" s="36"/>
      <c r="AA799" s="36"/>
      <c r="AB799" s="45"/>
      <c r="AC799" s="207"/>
      <c r="AE799" s="69"/>
      <c r="AF799" s="41"/>
    </row>
    <row r="800" spans="1:82" ht="12.75" customHeight="1" x14ac:dyDescent="0.2">
      <c r="A800" s="1397" t="s">
        <v>1796</v>
      </c>
      <c r="B800" s="1370" t="s">
        <v>1797</v>
      </c>
      <c r="C800" s="9">
        <f t="shared" si="149"/>
        <v>2</v>
      </c>
      <c r="F800" s="976">
        <f t="shared" si="150"/>
        <v>2</v>
      </c>
      <c r="G800" s="497"/>
      <c r="H800" s="974"/>
      <c r="I800" s="497"/>
      <c r="J800" s="497"/>
      <c r="K800" s="497"/>
      <c r="L800" s="974"/>
      <c r="M800" s="497"/>
      <c r="N800" s="974"/>
      <c r="O800" s="1664"/>
      <c r="P800" s="497"/>
      <c r="Q800" s="187"/>
      <c r="R800" s="36"/>
      <c r="S800" s="36">
        <v>1</v>
      </c>
      <c r="T800" s="36">
        <v>1</v>
      </c>
      <c r="U800" s="36"/>
      <c r="V800" s="36"/>
      <c r="W800" s="36"/>
      <c r="X800" s="36"/>
      <c r="Y800" s="36"/>
      <c r="Z800" s="36"/>
      <c r="AA800" s="36"/>
      <c r="AB800" s="45"/>
      <c r="AC800" s="79" t="s">
        <v>10874</v>
      </c>
      <c r="AE800" s="69"/>
      <c r="AF800" s="41"/>
    </row>
    <row r="801" spans="1:42" ht="12.75" customHeight="1" x14ac:dyDescent="0.2">
      <c r="A801" s="1397" t="s">
        <v>665</v>
      </c>
      <c r="B801" s="1370" t="s">
        <v>666</v>
      </c>
      <c r="C801" s="9">
        <f t="shared" si="149"/>
        <v>4</v>
      </c>
      <c r="F801" s="976">
        <f t="shared" si="150"/>
        <v>4</v>
      </c>
      <c r="G801" s="497"/>
      <c r="H801" s="974"/>
      <c r="I801" s="497"/>
      <c r="J801" s="497"/>
      <c r="K801" s="497"/>
      <c r="L801" s="974"/>
      <c r="M801" s="497"/>
      <c r="N801" s="974"/>
      <c r="O801" s="1664"/>
      <c r="P801" s="497"/>
      <c r="Q801" s="187"/>
      <c r="R801" s="36">
        <v>1</v>
      </c>
      <c r="S801" s="36"/>
      <c r="T801" s="36">
        <v>1</v>
      </c>
      <c r="U801" s="36"/>
      <c r="V801" s="36"/>
      <c r="W801" s="36">
        <v>1</v>
      </c>
      <c r="X801" s="36"/>
      <c r="Y801" s="36">
        <v>1</v>
      </c>
      <c r="Z801" s="36"/>
      <c r="AA801" s="36"/>
      <c r="AB801" s="45"/>
      <c r="AC801" s="207"/>
      <c r="AE801" s="69"/>
      <c r="AF801" s="41"/>
    </row>
    <row r="802" spans="1:42" ht="12.75" customHeight="1" x14ac:dyDescent="0.25">
      <c r="A802" s="1397" t="s">
        <v>3014</v>
      </c>
      <c r="B802" s="1370" t="s">
        <v>3015</v>
      </c>
      <c r="C802" s="9">
        <f t="shared" si="149"/>
        <v>1</v>
      </c>
      <c r="F802" s="976">
        <f t="shared" si="150"/>
        <v>1</v>
      </c>
      <c r="G802" s="497"/>
      <c r="H802" s="974"/>
      <c r="I802" s="497"/>
      <c r="J802" s="497"/>
      <c r="K802" s="497">
        <v>1</v>
      </c>
      <c r="L802" s="974"/>
      <c r="M802" s="497"/>
      <c r="N802" s="974"/>
      <c r="O802" s="1664"/>
      <c r="P802" s="497"/>
      <c r="Q802" s="187"/>
      <c r="R802" s="1144"/>
      <c r="S802" s="1144"/>
      <c r="T802" s="1144"/>
      <c r="U802" s="596"/>
      <c r="V802" s="1144"/>
      <c r="W802" s="1144"/>
      <c r="X802" s="1144"/>
      <c r="Y802" s="1144"/>
      <c r="Z802" s="1144"/>
      <c r="AA802" s="1144"/>
      <c r="AB802" s="185"/>
      <c r="AC802" s="1783" t="s">
        <v>16356</v>
      </c>
      <c r="AE802" s="41"/>
      <c r="AF802" s="41"/>
    </row>
    <row r="803" spans="1:42" ht="12.75" customHeight="1" x14ac:dyDescent="0.25">
      <c r="A803" s="1442" t="s">
        <v>2137</v>
      </c>
      <c r="B803" s="1374" t="s">
        <v>4943</v>
      </c>
      <c r="C803" s="9">
        <f t="shared" si="149"/>
        <v>1</v>
      </c>
      <c r="F803" s="976">
        <f t="shared" si="150"/>
        <v>1</v>
      </c>
      <c r="G803" s="497"/>
      <c r="H803" s="974"/>
      <c r="I803" s="497"/>
      <c r="J803" s="497"/>
      <c r="K803" s="497">
        <v>1</v>
      </c>
      <c r="L803" s="974"/>
      <c r="M803" s="497"/>
      <c r="N803" s="974"/>
      <c r="O803" s="1664"/>
      <c r="P803" s="497"/>
      <c r="Q803" s="187"/>
      <c r="R803" s="1144"/>
      <c r="S803" s="1144"/>
      <c r="T803" s="1144"/>
      <c r="U803" s="596"/>
      <c r="V803" s="1144"/>
      <c r="W803" s="1144"/>
      <c r="X803" s="1144"/>
      <c r="Y803" s="1144"/>
      <c r="Z803" s="1144"/>
      <c r="AA803" s="1144"/>
      <c r="AB803" s="185"/>
      <c r="AC803" s="849"/>
      <c r="AE803" s="41"/>
      <c r="AF803" s="41"/>
    </row>
    <row r="804" spans="1:42" ht="12.75" customHeight="1" x14ac:dyDescent="0.25">
      <c r="A804" s="1426" t="s">
        <v>4977</v>
      </c>
      <c r="B804" s="1389" t="s">
        <v>3961</v>
      </c>
      <c r="C804" s="9">
        <f t="shared" si="149"/>
        <v>1</v>
      </c>
      <c r="F804" s="976">
        <f t="shared" si="150"/>
        <v>1</v>
      </c>
      <c r="G804" s="497"/>
      <c r="H804" s="974"/>
      <c r="I804" s="497"/>
      <c r="J804" s="497"/>
      <c r="K804" s="497"/>
      <c r="L804" s="974"/>
      <c r="M804" s="497"/>
      <c r="N804" s="974"/>
      <c r="O804" s="1664"/>
      <c r="P804" s="497"/>
      <c r="Q804" s="187"/>
      <c r="R804" s="455">
        <v>1</v>
      </c>
      <c r="S804" s="455"/>
      <c r="T804" s="455"/>
      <c r="U804" s="646"/>
      <c r="V804" s="455"/>
      <c r="W804" s="455"/>
      <c r="X804" s="455"/>
      <c r="Y804" s="455"/>
      <c r="Z804" s="455"/>
      <c r="AA804" s="455"/>
      <c r="AB804" s="185"/>
      <c r="AC804" s="849"/>
      <c r="AE804" s="41"/>
      <c r="AF804" s="41"/>
    </row>
    <row r="805" spans="1:42" ht="12.75" customHeight="1" x14ac:dyDescent="0.25">
      <c r="A805" s="1397" t="s">
        <v>3960</v>
      </c>
      <c r="B805" s="1370" t="s">
        <v>3961</v>
      </c>
      <c r="C805" s="1398">
        <f t="shared" si="149"/>
        <v>2</v>
      </c>
      <c r="F805" s="976">
        <f t="shared" si="150"/>
        <v>2</v>
      </c>
      <c r="G805" s="497"/>
      <c r="H805" s="974"/>
      <c r="I805" s="497"/>
      <c r="J805" s="497"/>
      <c r="K805" s="497"/>
      <c r="L805" s="974">
        <v>1</v>
      </c>
      <c r="M805" s="497"/>
      <c r="N805" s="974"/>
      <c r="O805" s="1664"/>
      <c r="P805" s="497"/>
      <c r="Q805" s="187"/>
      <c r="R805" s="455">
        <v>1</v>
      </c>
      <c r="S805" s="455"/>
      <c r="T805" s="455"/>
      <c r="U805" s="646"/>
      <c r="V805" s="455"/>
      <c r="W805" s="455"/>
      <c r="X805" s="455"/>
      <c r="Y805" s="455"/>
      <c r="Z805" s="455"/>
      <c r="AA805" s="455"/>
      <c r="AB805" s="185"/>
      <c r="AC805" s="849"/>
      <c r="AE805" s="41"/>
      <c r="AF805" s="41"/>
      <c r="AJ805" s="185"/>
      <c r="AK805" s="185"/>
      <c r="AL805" s="185"/>
      <c r="AM805" s="185"/>
      <c r="AN805" s="185"/>
      <c r="AO805" s="185"/>
      <c r="AP805" s="185"/>
    </row>
    <row r="806" spans="1:42" ht="12.75" customHeight="1" x14ac:dyDescent="0.25">
      <c r="A806" s="1397" t="s">
        <v>2416</v>
      </c>
      <c r="B806" s="1370" t="s">
        <v>2417</v>
      </c>
      <c r="C806" s="1398">
        <f t="shared" si="149"/>
        <v>2</v>
      </c>
      <c r="F806" s="976">
        <f t="shared" si="150"/>
        <v>2</v>
      </c>
      <c r="G806" s="497"/>
      <c r="H806" s="974"/>
      <c r="I806" s="497">
        <v>1</v>
      </c>
      <c r="J806" s="497"/>
      <c r="K806" s="497"/>
      <c r="L806" s="974"/>
      <c r="M806" s="497"/>
      <c r="N806" s="974"/>
      <c r="O806" s="1664"/>
      <c r="P806" s="1451">
        <v>1</v>
      </c>
      <c r="Q806" s="187"/>
      <c r="R806" s="455"/>
      <c r="S806" s="455"/>
      <c r="T806" s="455"/>
      <c r="U806" s="646"/>
      <c r="V806" s="455"/>
      <c r="W806" s="455"/>
      <c r="X806" s="455"/>
      <c r="Y806" s="455"/>
      <c r="Z806" s="455"/>
      <c r="AA806" s="455"/>
      <c r="AB806" s="185"/>
      <c r="AC806" s="849"/>
      <c r="AE806" s="41"/>
      <c r="AF806" s="41"/>
      <c r="AJ806" s="185"/>
      <c r="AK806" s="185"/>
      <c r="AL806" s="185"/>
      <c r="AM806" s="185"/>
      <c r="AN806" s="185"/>
      <c r="AO806" s="185"/>
      <c r="AP806" s="185"/>
    </row>
    <row r="807" spans="1:42" ht="12.75" customHeight="1" x14ac:dyDescent="0.25">
      <c r="A807" s="1397" t="s">
        <v>866</v>
      </c>
      <c r="B807" s="1370" t="s">
        <v>2417</v>
      </c>
      <c r="C807" s="1398">
        <f t="shared" si="149"/>
        <v>16</v>
      </c>
      <c r="F807" s="976">
        <f t="shared" si="150"/>
        <v>8</v>
      </c>
      <c r="G807" s="497">
        <v>1</v>
      </c>
      <c r="H807" s="974">
        <v>1</v>
      </c>
      <c r="I807" s="497">
        <v>6</v>
      </c>
      <c r="J807" s="497"/>
      <c r="K807" s="497"/>
      <c r="L807" s="974"/>
      <c r="M807" s="497">
        <v>1</v>
      </c>
      <c r="N807" s="1689">
        <v>4</v>
      </c>
      <c r="O807" s="1664">
        <v>1</v>
      </c>
      <c r="P807" s="1451">
        <v>1</v>
      </c>
      <c r="Q807" s="187"/>
      <c r="R807" s="455"/>
      <c r="S807" s="455"/>
      <c r="T807" s="455"/>
      <c r="U807" s="1781">
        <v>1</v>
      </c>
      <c r="V807" s="455"/>
      <c r="W807" s="455"/>
      <c r="X807" s="455"/>
      <c r="Y807" s="455"/>
      <c r="Z807" s="455"/>
      <c r="AA807" s="455"/>
      <c r="AB807" s="185"/>
      <c r="AC807" s="849"/>
      <c r="AE807" s="41"/>
      <c r="AF807" s="41"/>
      <c r="AJ807" s="185"/>
      <c r="AK807" s="185"/>
      <c r="AL807" s="185"/>
      <c r="AM807" s="185"/>
      <c r="AN807" s="185"/>
      <c r="AO807" s="185"/>
      <c r="AP807" s="185"/>
    </row>
    <row r="808" spans="1:42" ht="12.75" customHeight="1" x14ac:dyDescent="0.25">
      <c r="A808" s="1397" t="s">
        <v>4259</v>
      </c>
      <c r="B808" s="1370" t="s">
        <v>440</v>
      </c>
      <c r="C808" s="1398">
        <f t="shared" si="149"/>
        <v>1</v>
      </c>
      <c r="F808" s="976">
        <f t="shared" si="150"/>
        <v>1</v>
      </c>
      <c r="G808" s="497"/>
      <c r="H808" s="974"/>
      <c r="I808" s="497"/>
      <c r="J808" s="497"/>
      <c r="K808" s="497"/>
      <c r="L808" s="974"/>
      <c r="M808" s="497"/>
      <c r="N808" s="974">
        <v>1</v>
      </c>
      <c r="O808" s="1664"/>
      <c r="P808" s="1451"/>
      <c r="Q808" s="187"/>
      <c r="R808" s="455"/>
      <c r="S808" s="455"/>
      <c r="T808" s="455"/>
      <c r="U808" s="646"/>
      <c r="V808" s="455"/>
      <c r="W808" s="455"/>
      <c r="X808" s="455"/>
      <c r="Y808" s="455"/>
      <c r="Z808" s="455"/>
      <c r="AA808" s="455"/>
      <c r="AB808" s="185"/>
      <c r="AC808" s="849"/>
      <c r="AE808" s="41"/>
      <c r="AF808" s="41"/>
      <c r="AJ808" s="185"/>
      <c r="AK808" s="185"/>
      <c r="AL808" s="185"/>
      <c r="AM808" s="185"/>
      <c r="AN808" s="185"/>
      <c r="AO808" s="185"/>
      <c r="AP808" s="185"/>
    </row>
    <row r="809" spans="1:42" ht="12.75" customHeight="1" x14ac:dyDescent="0.25">
      <c r="A809" s="1426" t="s">
        <v>4893</v>
      </c>
      <c r="B809" s="1389" t="s">
        <v>9852</v>
      </c>
      <c r="C809" s="1398">
        <f t="shared" si="149"/>
        <v>2</v>
      </c>
      <c r="F809" s="976">
        <f t="shared" si="150"/>
        <v>2</v>
      </c>
      <c r="G809" s="497"/>
      <c r="H809" s="974"/>
      <c r="I809" s="497"/>
      <c r="J809" s="497"/>
      <c r="K809" s="497"/>
      <c r="L809" s="974"/>
      <c r="M809" s="497"/>
      <c r="N809" s="974"/>
      <c r="O809" s="1664">
        <v>1</v>
      </c>
      <c r="P809" s="497"/>
      <c r="Q809" s="187"/>
      <c r="R809" s="455"/>
      <c r="S809" s="455"/>
      <c r="T809" s="455"/>
      <c r="U809" s="646"/>
      <c r="V809" s="455"/>
      <c r="W809" s="455"/>
      <c r="X809" s="455"/>
      <c r="Y809" s="455"/>
      <c r="Z809" s="455"/>
      <c r="AA809" s="455">
        <v>1</v>
      </c>
      <c r="AB809" s="185"/>
      <c r="AC809" s="849"/>
      <c r="AE809" s="41"/>
      <c r="AF809" s="41"/>
    </row>
    <row r="810" spans="1:42" ht="12.75" customHeight="1" x14ac:dyDescent="0.25">
      <c r="A810" s="1442" t="s">
        <v>3033</v>
      </c>
      <c r="B810" s="1374" t="s">
        <v>12025</v>
      </c>
      <c r="C810" s="1398">
        <f t="shared" si="149"/>
        <v>1</v>
      </c>
      <c r="D810" s="1371"/>
      <c r="F810" s="976">
        <f t="shared" si="150"/>
        <v>1</v>
      </c>
      <c r="G810" s="1451"/>
      <c r="H810" s="1689"/>
      <c r="I810" s="1451"/>
      <c r="J810" s="1451"/>
      <c r="K810" s="1451">
        <v>1</v>
      </c>
      <c r="L810" s="1689"/>
      <c r="M810" s="1451"/>
      <c r="N810" s="1689"/>
      <c r="O810" s="1719"/>
      <c r="P810" s="1451"/>
      <c r="Q810" s="1448"/>
      <c r="R810" s="1381"/>
      <c r="S810" s="1381"/>
      <c r="T810" s="1381"/>
      <c r="U810" s="1501"/>
      <c r="V810" s="1381"/>
      <c r="W810" s="1381"/>
      <c r="X810" s="1381"/>
      <c r="Y810" s="1381"/>
      <c r="Z810" s="1381"/>
      <c r="AA810" s="1381"/>
      <c r="AB810" s="185"/>
      <c r="AC810" s="849"/>
      <c r="AE810" s="41"/>
      <c r="AF810" s="41"/>
    </row>
    <row r="811" spans="1:42" ht="12.75" customHeight="1" x14ac:dyDescent="0.25">
      <c r="A811" s="1442" t="s">
        <v>9704</v>
      </c>
      <c r="B811" s="1374" t="s">
        <v>9702</v>
      </c>
      <c r="C811" s="9">
        <f t="shared" si="149"/>
        <v>1</v>
      </c>
      <c r="F811" s="976">
        <f t="shared" si="150"/>
        <v>1</v>
      </c>
      <c r="G811" s="497"/>
      <c r="H811" s="974"/>
      <c r="I811" s="497"/>
      <c r="J811" s="497"/>
      <c r="K811" s="497"/>
      <c r="L811" s="974"/>
      <c r="M811" s="497"/>
      <c r="N811" s="974">
        <v>1</v>
      </c>
      <c r="O811" s="1664"/>
      <c r="P811" s="497"/>
      <c r="Q811" s="187"/>
      <c r="R811" s="455"/>
      <c r="S811" s="455"/>
      <c r="T811" s="455"/>
      <c r="U811" s="646"/>
      <c r="V811" s="455"/>
      <c r="W811" s="455"/>
      <c r="X811" s="455"/>
      <c r="Y811" s="455"/>
      <c r="Z811" s="455"/>
      <c r="AA811" s="455"/>
      <c r="AB811" s="185"/>
      <c r="AC811" s="410"/>
      <c r="AE811" s="41"/>
      <c r="AF811" s="41"/>
    </row>
    <row r="812" spans="1:42" ht="12.75" customHeight="1" x14ac:dyDescent="0.25">
      <c r="A812" s="1426" t="s">
        <v>2929</v>
      </c>
      <c r="B812" s="1389" t="s">
        <v>68</v>
      </c>
      <c r="C812" s="9">
        <f t="shared" si="149"/>
        <v>1</v>
      </c>
      <c r="F812" s="976">
        <f t="shared" si="150"/>
        <v>1</v>
      </c>
      <c r="G812" s="497"/>
      <c r="H812" s="974"/>
      <c r="I812" s="497"/>
      <c r="J812" s="497"/>
      <c r="K812" s="497"/>
      <c r="L812" s="974"/>
      <c r="M812" s="497"/>
      <c r="N812" s="974"/>
      <c r="O812" s="1664"/>
      <c r="P812" s="497"/>
      <c r="Q812" s="187"/>
      <c r="R812" s="455"/>
      <c r="S812" s="455"/>
      <c r="T812" s="455"/>
      <c r="U812" s="646"/>
      <c r="V812" s="455"/>
      <c r="W812" s="455"/>
      <c r="X812" s="455">
        <v>1</v>
      </c>
      <c r="Y812" s="455"/>
      <c r="Z812" s="455"/>
      <c r="AA812" s="455"/>
      <c r="AB812" s="185"/>
      <c r="AC812" s="410"/>
      <c r="AE812" s="41"/>
      <c r="AF812" s="41"/>
    </row>
    <row r="813" spans="1:42" ht="12.75" customHeight="1" x14ac:dyDescent="0.25">
      <c r="A813" s="1397" t="s">
        <v>3535</v>
      </c>
      <c r="B813" s="1370" t="s">
        <v>4741</v>
      </c>
      <c r="C813" s="9">
        <f t="shared" si="149"/>
        <v>1</v>
      </c>
      <c r="F813" s="976">
        <f t="shared" si="150"/>
        <v>1</v>
      </c>
      <c r="G813" s="497"/>
      <c r="H813" s="974"/>
      <c r="I813" s="497"/>
      <c r="J813" s="497"/>
      <c r="K813" s="497">
        <v>1</v>
      </c>
      <c r="L813" s="974"/>
      <c r="M813" s="497"/>
      <c r="N813" s="974"/>
      <c r="O813" s="1664"/>
      <c r="P813" s="497"/>
      <c r="Q813" s="187"/>
      <c r="R813" s="455"/>
      <c r="S813" s="455"/>
      <c r="T813" s="455"/>
      <c r="U813" s="646"/>
      <c r="V813" s="455"/>
      <c r="W813" s="455"/>
      <c r="X813" s="455"/>
      <c r="Y813" s="455"/>
      <c r="Z813" s="455"/>
      <c r="AA813" s="455"/>
      <c r="AB813" s="185"/>
      <c r="AC813" s="410"/>
      <c r="AE813" s="41"/>
      <c r="AF813" s="41"/>
    </row>
    <row r="814" spans="1:42" ht="12.75" customHeight="1" x14ac:dyDescent="0.25">
      <c r="A814" s="1446"/>
      <c r="C814" s="20">
        <f>SUM(C796:C813)</f>
        <v>40</v>
      </c>
      <c r="F814" s="244"/>
      <c r="G814" s="975">
        <f>SUM(G796:G813)</f>
        <v>1</v>
      </c>
      <c r="H814" s="975">
        <f t="shared" ref="H814:AA814" si="151">SUM(H796:H813)</f>
        <v>1</v>
      </c>
      <c r="I814" s="975">
        <f t="shared" si="151"/>
        <v>7</v>
      </c>
      <c r="J814" s="497"/>
      <c r="K814" s="975">
        <f t="shared" si="151"/>
        <v>5</v>
      </c>
      <c r="L814" s="975">
        <f t="shared" si="151"/>
        <v>1</v>
      </c>
      <c r="M814" s="975">
        <f t="shared" si="151"/>
        <v>1</v>
      </c>
      <c r="N814" s="975">
        <f t="shared" si="151"/>
        <v>6</v>
      </c>
      <c r="O814" s="1665">
        <f t="shared" si="151"/>
        <v>2</v>
      </c>
      <c r="P814" s="1665">
        <f t="shared" ref="P814" si="152">SUM(P796:P813)</f>
        <v>2</v>
      </c>
      <c r="Q814" s="187"/>
      <c r="R814" s="975">
        <f t="shared" si="151"/>
        <v>3</v>
      </c>
      <c r="S814" s="975">
        <f t="shared" si="151"/>
        <v>1</v>
      </c>
      <c r="T814" s="975">
        <f t="shared" si="151"/>
        <v>2</v>
      </c>
      <c r="U814" s="1782">
        <f t="shared" si="151"/>
        <v>1</v>
      </c>
      <c r="V814" s="975">
        <f t="shared" si="151"/>
        <v>1</v>
      </c>
      <c r="W814" s="975">
        <f t="shared" si="151"/>
        <v>2</v>
      </c>
      <c r="X814" s="975">
        <f t="shared" si="151"/>
        <v>1</v>
      </c>
      <c r="Y814" s="975">
        <f t="shared" si="151"/>
        <v>2</v>
      </c>
      <c r="Z814" s="497"/>
      <c r="AA814" s="975">
        <f t="shared" si="151"/>
        <v>1</v>
      </c>
      <c r="AB814" s="185"/>
      <c r="AC814" s="410"/>
      <c r="AE814" s="41"/>
      <c r="AF814" s="41"/>
    </row>
    <row r="815" spans="1:42" ht="12.75" customHeight="1" x14ac:dyDescent="0.25">
      <c r="A815" s="1446"/>
      <c r="C815" s="9"/>
      <c r="E815" s="1377">
        <f>COUNT(G815:AA815)</f>
        <v>18</v>
      </c>
      <c r="F815" s="244"/>
      <c r="G815" s="975">
        <f>COUNT(G796:G813)</f>
        <v>1</v>
      </c>
      <c r="H815" s="975">
        <f t="shared" ref="H815:AA815" si="153">COUNT(H796:H813)</f>
        <v>1</v>
      </c>
      <c r="I815" s="975">
        <f t="shared" si="153"/>
        <v>2</v>
      </c>
      <c r="J815" s="497"/>
      <c r="K815" s="975">
        <f t="shared" si="153"/>
        <v>5</v>
      </c>
      <c r="L815" s="975">
        <f t="shared" si="153"/>
        <v>1</v>
      </c>
      <c r="M815" s="975">
        <f t="shared" si="153"/>
        <v>1</v>
      </c>
      <c r="N815" s="975">
        <f t="shared" si="153"/>
        <v>3</v>
      </c>
      <c r="O815" s="1665">
        <f t="shared" si="153"/>
        <v>2</v>
      </c>
      <c r="P815" s="1665">
        <f t="shared" ref="P815" si="154">COUNT(P796:P813)</f>
        <v>2</v>
      </c>
      <c r="Q815" s="187"/>
      <c r="R815" s="975">
        <f t="shared" si="153"/>
        <v>3</v>
      </c>
      <c r="S815" s="975">
        <f t="shared" si="153"/>
        <v>1</v>
      </c>
      <c r="T815" s="975">
        <f t="shared" si="153"/>
        <v>2</v>
      </c>
      <c r="U815" s="1782">
        <f t="shared" si="153"/>
        <v>1</v>
      </c>
      <c r="V815" s="975">
        <f t="shared" si="153"/>
        <v>1</v>
      </c>
      <c r="W815" s="975">
        <f t="shared" si="153"/>
        <v>2</v>
      </c>
      <c r="X815" s="975">
        <f t="shared" si="153"/>
        <v>1</v>
      </c>
      <c r="Y815" s="975">
        <f t="shared" si="153"/>
        <v>2</v>
      </c>
      <c r="Z815" s="497"/>
      <c r="AA815" s="975">
        <f t="shared" si="153"/>
        <v>1</v>
      </c>
      <c r="AB815" s="185"/>
      <c r="AC815" s="410"/>
      <c r="AE815" s="41"/>
      <c r="AF815" s="41"/>
    </row>
    <row r="816" spans="1:42" ht="12.75" customHeight="1" x14ac:dyDescent="0.25">
      <c r="A816" s="1446"/>
      <c r="C816" s="9"/>
      <c r="F816" s="244"/>
      <c r="G816" s="190" t="s">
        <v>41</v>
      </c>
      <c r="H816" s="190"/>
      <c r="I816" s="190" t="s">
        <v>1534</v>
      </c>
      <c r="J816" s="190"/>
      <c r="K816" s="538" t="s">
        <v>4321</v>
      </c>
      <c r="L816" s="565"/>
      <c r="M816" s="561" t="s">
        <v>2634</v>
      </c>
      <c r="N816" s="561"/>
      <c r="O816" s="561" t="s">
        <v>2637</v>
      </c>
      <c r="P816" s="1618"/>
      <c r="Q816" s="41"/>
      <c r="R816" s="190" t="s">
        <v>4242</v>
      </c>
      <c r="S816" s="190"/>
      <c r="T816" s="258" t="s">
        <v>137</v>
      </c>
      <c r="U816" s="190"/>
      <c r="V816" s="258" t="s">
        <v>1536</v>
      </c>
      <c r="W816" s="190"/>
      <c r="X816" s="258" t="s">
        <v>842</v>
      </c>
      <c r="Y816" s="258"/>
      <c r="Z816" s="258" t="s">
        <v>10519</v>
      </c>
      <c r="AA816" s="305"/>
      <c r="AB816" s="185"/>
      <c r="AC816" s="410"/>
      <c r="AE816" s="41"/>
      <c r="AF816" s="41"/>
      <c r="AJ816" s="185"/>
      <c r="AK816" s="185"/>
      <c r="AL816" s="185"/>
      <c r="AM816" s="185"/>
      <c r="AN816" s="185"/>
      <c r="AO816" s="185"/>
      <c r="AP816" s="185"/>
    </row>
    <row r="817" spans="1:66" ht="12.75" customHeight="1" x14ac:dyDescent="0.25">
      <c r="A817" s="1446"/>
      <c r="C817" s="9"/>
      <c r="F817" s="244"/>
      <c r="G817" s="191"/>
      <c r="H817" s="191" t="s">
        <v>2961</v>
      </c>
      <c r="I817" s="191"/>
      <c r="J817" s="247" t="s">
        <v>10521</v>
      </c>
      <c r="K817" s="515"/>
      <c r="L817" s="539" t="s">
        <v>707</v>
      </c>
      <c r="M817" s="515"/>
      <c r="N817" s="539" t="s">
        <v>2635</v>
      </c>
      <c r="O817" s="877"/>
      <c r="P817" s="558" t="s">
        <v>12662</v>
      </c>
      <c r="Q817" s="410"/>
      <c r="R817" s="191"/>
      <c r="S817" s="247" t="s">
        <v>5633</v>
      </c>
      <c r="T817" s="191"/>
      <c r="U817" s="1779" t="s">
        <v>1535</v>
      </c>
      <c r="V817" s="247"/>
      <c r="W817" s="191" t="s">
        <v>2384</v>
      </c>
      <c r="X817" s="191"/>
      <c r="Y817" s="247" t="s">
        <v>762</v>
      </c>
      <c r="Z817" s="247"/>
      <c r="AA817" s="558" t="s">
        <v>135</v>
      </c>
      <c r="AB817" s="185"/>
      <c r="AC817" s="410"/>
      <c r="AE817" s="41"/>
      <c r="AF817" s="41"/>
    </row>
    <row r="818" spans="1:66" ht="12.75" customHeight="1" x14ac:dyDescent="0.25">
      <c r="A818" s="1397"/>
      <c r="C818" s="9"/>
      <c r="F818" s="244"/>
      <c r="G818" s="185"/>
      <c r="H818" s="364"/>
      <c r="I818" s="185"/>
      <c r="J818" s="185"/>
      <c r="K818" s="185"/>
      <c r="L818" s="364"/>
      <c r="M818" s="185"/>
      <c r="N818" s="364"/>
      <c r="O818" s="41"/>
      <c r="P818" s="41"/>
      <c r="Q818" s="185"/>
      <c r="R818" s="185"/>
      <c r="S818" s="185"/>
      <c r="T818" s="410"/>
      <c r="U818" s="185"/>
      <c r="V818" s="185"/>
      <c r="W818" s="185"/>
      <c r="X818" s="185"/>
      <c r="Y818" s="185"/>
      <c r="Z818" s="185"/>
      <c r="AA818" s="410"/>
      <c r="AC818" s="41"/>
      <c r="AD818" s="41"/>
      <c r="AQ818" s="185"/>
    </row>
    <row r="819" spans="1:66" ht="12.75" customHeight="1" thickBot="1" x14ac:dyDescent="0.3">
      <c r="A819" s="1446"/>
      <c r="C819" s="9"/>
      <c r="F819" s="244"/>
      <c r="G819" s="1270" t="s">
        <v>4291</v>
      </c>
      <c r="H819" s="364"/>
      <c r="I819" s="185"/>
      <c r="J819" s="185"/>
      <c r="K819" s="364"/>
      <c r="L819" s="185"/>
      <c r="M819" s="364"/>
      <c r="N819" s="364"/>
      <c r="O819" s="185"/>
      <c r="P819" s="185"/>
      <c r="Q819" s="364"/>
      <c r="R819" s="185"/>
      <c r="S819" s="185"/>
      <c r="T819" s="185"/>
      <c r="U819" s="410"/>
      <c r="V819" s="185"/>
      <c r="W819" s="185"/>
      <c r="X819" s="185"/>
      <c r="Y819" s="185"/>
      <c r="Z819" s="185"/>
      <c r="AA819" s="185"/>
      <c r="AB819" s="410"/>
      <c r="AD819" s="41"/>
      <c r="AE819" s="41"/>
    </row>
    <row r="820" spans="1:66" ht="12.75" customHeight="1" x14ac:dyDescent="0.25">
      <c r="A820" s="1446"/>
      <c r="C820" s="9"/>
      <c r="E820" s="1390"/>
      <c r="F820" s="244"/>
      <c r="G820" s="256" t="s">
        <v>219</v>
      </c>
      <c r="H820" s="613" t="s">
        <v>10791</v>
      </c>
      <c r="I820" s="611" t="s">
        <v>2734</v>
      </c>
      <c r="J820" s="614" t="s">
        <v>10131</v>
      </c>
      <c r="K820" s="611" t="s">
        <v>566</v>
      </c>
      <c r="L820" s="614" t="s">
        <v>10582</v>
      </c>
      <c r="M820" s="611" t="s">
        <v>1628</v>
      </c>
      <c r="N820" s="1516" t="s">
        <v>16311</v>
      </c>
      <c r="O820" s="612" t="s">
        <v>2119</v>
      </c>
      <c r="R820" t="s">
        <v>16125</v>
      </c>
      <c r="BN820" s="410"/>
    </row>
    <row r="821" spans="1:66" ht="12.75" customHeight="1" x14ac:dyDescent="0.25">
      <c r="A821" s="1397" t="s">
        <v>481</v>
      </c>
      <c r="B821" s="1370" t="s">
        <v>4575</v>
      </c>
      <c r="C821" s="9">
        <f t="shared" ref="C821:C830" si="155">SUM(G821:W821)</f>
        <v>1</v>
      </c>
      <c r="E821" s="1390"/>
      <c r="F821" s="992">
        <f t="shared" ref="F821:F830" si="156">COUNT(G821:W821)</f>
        <v>1</v>
      </c>
      <c r="G821" s="860"/>
      <c r="H821" s="966"/>
      <c r="I821" s="474"/>
      <c r="J821" s="474"/>
      <c r="K821" s="474"/>
      <c r="L821" s="474"/>
      <c r="M821" s="474"/>
      <c r="N821" s="1306"/>
      <c r="O821" s="475">
        <v>1</v>
      </c>
      <c r="R821" t="s">
        <v>16124</v>
      </c>
      <c r="BN821" s="410"/>
    </row>
    <row r="822" spans="1:66" ht="12.75" customHeight="1" x14ac:dyDescent="0.25">
      <c r="A822" s="1425" t="s">
        <v>726</v>
      </c>
      <c r="B822" s="1410" t="s">
        <v>1295</v>
      </c>
      <c r="C822" s="9">
        <f t="shared" si="155"/>
        <v>2</v>
      </c>
      <c r="F822" s="992">
        <f t="shared" si="156"/>
        <v>2</v>
      </c>
      <c r="G822" s="405">
        <v>1</v>
      </c>
      <c r="H822" s="198">
        <v>1</v>
      </c>
      <c r="I822" s="23"/>
      <c r="J822" s="23"/>
      <c r="K822" s="23"/>
      <c r="L822" s="23"/>
      <c r="M822" s="23"/>
      <c r="N822" s="344"/>
      <c r="O822" s="406"/>
      <c r="BL822" s="69"/>
      <c r="BN822" s="410"/>
    </row>
    <row r="823" spans="1:66" ht="12.75" customHeight="1" x14ac:dyDescent="0.25">
      <c r="A823" s="1511" t="s">
        <v>3508</v>
      </c>
      <c r="B823" s="1375" t="s">
        <v>1295</v>
      </c>
      <c r="C823" s="9">
        <f t="shared" si="155"/>
        <v>1</v>
      </c>
      <c r="F823" s="992">
        <f t="shared" si="156"/>
        <v>1</v>
      </c>
      <c r="G823" s="405"/>
      <c r="H823" s="198">
        <v>1</v>
      </c>
      <c r="I823" s="23"/>
      <c r="J823" s="23"/>
      <c r="K823" s="23"/>
      <c r="L823" s="23"/>
      <c r="M823" s="23"/>
      <c r="N823" s="344"/>
      <c r="O823" s="406"/>
      <c r="BL823" s="69"/>
      <c r="BN823" s="410"/>
    </row>
    <row r="824" spans="1:66" ht="12.75" customHeight="1" x14ac:dyDescent="0.25">
      <c r="A824" s="1397" t="s">
        <v>3230</v>
      </c>
      <c r="B824" s="1370" t="s">
        <v>11625</v>
      </c>
      <c r="C824" s="9">
        <f t="shared" si="155"/>
        <v>1</v>
      </c>
      <c r="F824" s="992">
        <f t="shared" si="156"/>
        <v>1</v>
      </c>
      <c r="G824" s="405"/>
      <c r="H824" s="198"/>
      <c r="I824" s="23"/>
      <c r="J824" s="23"/>
      <c r="K824" s="23"/>
      <c r="L824" s="23"/>
      <c r="M824" s="23">
        <v>1</v>
      </c>
      <c r="N824" s="344"/>
      <c r="O824" s="406"/>
      <c r="BL824" s="69"/>
      <c r="BN824" s="410"/>
    </row>
    <row r="825" spans="1:66" ht="12.75" customHeight="1" x14ac:dyDescent="0.2">
      <c r="A825" s="1397" t="s">
        <v>1796</v>
      </c>
      <c r="B825" s="1370" t="s">
        <v>1797</v>
      </c>
      <c r="C825" s="9">
        <f t="shared" si="155"/>
        <v>1</v>
      </c>
      <c r="F825" s="992">
        <f t="shared" si="156"/>
        <v>1</v>
      </c>
      <c r="G825" s="405"/>
      <c r="H825" s="198"/>
      <c r="I825" s="23"/>
      <c r="J825" s="23"/>
      <c r="K825" s="23"/>
      <c r="L825" s="23"/>
      <c r="M825" s="23"/>
      <c r="N825" s="344"/>
      <c r="O825" s="406">
        <v>1</v>
      </c>
      <c r="BL825" s="41"/>
    </row>
    <row r="826" spans="1:66" ht="12.75" customHeight="1" x14ac:dyDescent="0.2">
      <c r="A826" s="1425" t="s">
        <v>5980</v>
      </c>
      <c r="B826" s="1410" t="s">
        <v>4818</v>
      </c>
      <c r="C826" s="9">
        <f t="shared" si="155"/>
        <v>2</v>
      </c>
      <c r="F826" s="992">
        <f t="shared" si="156"/>
        <v>2</v>
      </c>
      <c r="G826" s="405">
        <v>1</v>
      </c>
      <c r="H826" s="198"/>
      <c r="I826" s="1377"/>
      <c r="J826" s="23"/>
      <c r="K826" s="23"/>
      <c r="L826" s="1377"/>
      <c r="M826" s="1377">
        <v>1</v>
      </c>
      <c r="N826" s="1438"/>
      <c r="O826" s="406"/>
      <c r="BL826" s="41"/>
    </row>
    <row r="827" spans="1:66" ht="12.75" customHeight="1" x14ac:dyDescent="0.2">
      <c r="A827" s="1446" t="s">
        <v>665</v>
      </c>
      <c r="B827" s="1371" t="s">
        <v>666</v>
      </c>
      <c r="C827" s="9">
        <f t="shared" si="155"/>
        <v>4</v>
      </c>
      <c r="F827" s="992">
        <f t="shared" si="156"/>
        <v>4</v>
      </c>
      <c r="G827" s="405">
        <v>1</v>
      </c>
      <c r="H827" s="198"/>
      <c r="I827" s="1377">
        <v>1</v>
      </c>
      <c r="J827" s="23"/>
      <c r="K827" s="23">
        <v>1</v>
      </c>
      <c r="L827" s="1377"/>
      <c r="M827" s="23"/>
      <c r="N827" s="344"/>
      <c r="O827" s="406">
        <v>1</v>
      </c>
      <c r="BL827" s="41"/>
    </row>
    <row r="828" spans="1:66" ht="12.75" customHeight="1" x14ac:dyDescent="0.2">
      <c r="A828" s="1399" t="s">
        <v>5788</v>
      </c>
      <c r="B828" s="1376" t="s">
        <v>5789</v>
      </c>
      <c r="C828" s="1398">
        <f t="shared" si="155"/>
        <v>96</v>
      </c>
      <c r="F828" s="992">
        <f t="shared" si="156"/>
        <v>5</v>
      </c>
      <c r="G828" s="405"/>
      <c r="H828" s="198"/>
      <c r="I828" s="1377">
        <v>2</v>
      </c>
      <c r="J828" s="23">
        <v>1</v>
      </c>
      <c r="K828" s="1377">
        <v>64</v>
      </c>
      <c r="L828" s="1377">
        <v>28</v>
      </c>
      <c r="M828" s="23">
        <v>1</v>
      </c>
      <c r="N828" s="344"/>
      <c r="O828" s="406"/>
    </row>
    <row r="829" spans="1:66" ht="12.75" customHeight="1" x14ac:dyDescent="0.2">
      <c r="A829" s="1425" t="s">
        <v>4259</v>
      </c>
      <c r="B829" s="1410" t="s">
        <v>440</v>
      </c>
      <c r="C829" s="9">
        <f t="shared" si="155"/>
        <v>8</v>
      </c>
      <c r="F829" s="992">
        <f t="shared" si="156"/>
        <v>1</v>
      </c>
      <c r="G829" s="465"/>
      <c r="H829" s="416"/>
      <c r="I829" s="1559"/>
      <c r="J829" s="358"/>
      <c r="K829" s="358"/>
      <c r="L829" s="1559"/>
      <c r="M829" s="1559">
        <v>8</v>
      </c>
      <c r="N829" s="1439"/>
      <c r="O829" s="481"/>
    </row>
    <row r="830" spans="1:66" ht="12.75" customHeight="1" x14ac:dyDescent="0.2">
      <c r="A830" s="1442" t="s">
        <v>9701</v>
      </c>
      <c r="B830" s="1374" t="s">
        <v>9702</v>
      </c>
      <c r="C830" s="9">
        <f t="shared" si="155"/>
        <v>4</v>
      </c>
      <c r="F830" s="992">
        <f t="shared" si="156"/>
        <v>3</v>
      </c>
      <c r="G830" s="465">
        <v>2</v>
      </c>
      <c r="H830" s="416"/>
      <c r="I830" s="358"/>
      <c r="J830" s="358">
        <v>1</v>
      </c>
      <c r="K830" s="358"/>
      <c r="L830" s="1559"/>
      <c r="M830" s="358"/>
      <c r="N830" s="1439">
        <v>1</v>
      </c>
      <c r="O830" s="481"/>
    </row>
    <row r="831" spans="1:66" ht="12.75" customHeight="1" x14ac:dyDescent="0.2">
      <c r="A831" s="1446"/>
      <c r="C831" s="20">
        <f>SUM(C821:C830)</f>
        <v>120</v>
      </c>
      <c r="G831" s="322">
        <f t="shared" ref="G831:O831" si="157">SUM(G821:G830)</f>
        <v>5</v>
      </c>
      <c r="H831" s="322">
        <f t="shared" ref="H831" si="158">SUM(H821:H830)</f>
        <v>2</v>
      </c>
      <c r="I831" s="322">
        <f t="shared" si="157"/>
        <v>3</v>
      </c>
      <c r="J831" s="322">
        <f t="shared" si="157"/>
        <v>2</v>
      </c>
      <c r="K831" s="322">
        <f t="shared" si="157"/>
        <v>65</v>
      </c>
      <c r="L831" s="322">
        <f t="shared" si="157"/>
        <v>28</v>
      </c>
      <c r="M831" s="322">
        <f t="shared" si="157"/>
        <v>11</v>
      </c>
      <c r="N831" s="322">
        <f t="shared" ref="N831" si="159">SUM(N821:N830)</f>
        <v>1</v>
      </c>
      <c r="O831" s="322">
        <f t="shared" si="157"/>
        <v>3</v>
      </c>
    </row>
    <row r="832" spans="1:66" ht="12.75" customHeight="1" x14ac:dyDescent="0.2">
      <c r="A832" s="1446"/>
      <c r="C832" s="9"/>
      <c r="E832" s="1377">
        <f>COUNT(G832:O832)</f>
        <v>9</v>
      </c>
      <c r="G832" s="322">
        <f t="shared" ref="G832:O832" si="160">COUNT(G821:G830)</f>
        <v>4</v>
      </c>
      <c r="H832" s="322">
        <f t="shared" ref="H832" si="161">COUNT(H821:H830)</f>
        <v>2</v>
      </c>
      <c r="I832" s="322">
        <f t="shared" si="160"/>
        <v>2</v>
      </c>
      <c r="J832" s="322">
        <f t="shared" si="160"/>
        <v>2</v>
      </c>
      <c r="K832" s="322">
        <f t="shared" si="160"/>
        <v>2</v>
      </c>
      <c r="L832" s="322">
        <f t="shared" si="160"/>
        <v>1</v>
      </c>
      <c r="M832" s="322">
        <f t="shared" si="160"/>
        <v>4</v>
      </c>
      <c r="N832" s="322">
        <f t="shared" ref="N832" si="162">COUNT(N821:N830)</f>
        <v>1</v>
      </c>
      <c r="O832" s="322">
        <f t="shared" si="160"/>
        <v>3</v>
      </c>
    </row>
    <row r="833" spans="1:64" ht="12.75" customHeight="1" x14ac:dyDescent="0.25">
      <c r="A833" s="1446"/>
      <c r="C833" s="9"/>
      <c r="G833" s="190" t="s">
        <v>5674</v>
      </c>
      <c r="H833" s="190"/>
      <c r="I833" s="538" t="s">
        <v>2732</v>
      </c>
      <c r="J833" s="561"/>
      <c r="K833" s="536" t="s">
        <v>2464</v>
      </c>
      <c r="L833" s="536"/>
      <c r="M833" s="561" t="s">
        <v>10584</v>
      </c>
      <c r="N833" s="538"/>
      <c r="O833" s="561" t="s">
        <v>3413</v>
      </c>
      <c r="BL833" s="41"/>
    </row>
    <row r="834" spans="1:64" ht="12.75" customHeight="1" x14ac:dyDescent="0.25">
      <c r="A834" s="1446"/>
      <c r="C834" s="9"/>
      <c r="G834" s="515"/>
      <c r="H834" s="539" t="s">
        <v>12655</v>
      </c>
      <c r="I834" s="515"/>
      <c r="J834" s="515" t="s">
        <v>10100</v>
      </c>
      <c r="K834" s="535"/>
      <c r="L834" s="539" t="s">
        <v>10583</v>
      </c>
      <c r="M834" s="539"/>
      <c r="N834" s="539" t="s">
        <v>16312</v>
      </c>
      <c r="O834" s="558"/>
    </row>
    <row r="835" spans="1:64" ht="12.75" customHeight="1" x14ac:dyDescent="0.2">
      <c r="C835" s="1370"/>
      <c r="D835" s="1371"/>
      <c r="F835" s="1371"/>
      <c r="G835" s="1371"/>
      <c r="H835" s="1370"/>
      <c r="I835" s="1371"/>
      <c r="J835" s="1371"/>
      <c r="K835" s="1371"/>
      <c r="L835" s="1371"/>
      <c r="M835" s="1371"/>
      <c r="N835" s="1371"/>
      <c r="O835" s="1371"/>
      <c r="P835" s="1371"/>
      <c r="Q835" s="1371"/>
      <c r="R835" s="1371"/>
      <c r="S835" s="1371"/>
      <c r="T835" s="1371"/>
      <c r="U835" s="1371"/>
      <c r="V835" s="1371"/>
      <c r="W835" s="1371"/>
      <c r="X835" s="1371"/>
      <c r="Y835" s="1371"/>
      <c r="Z835" s="1371"/>
      <c r="AA835" s="1371"/>
    </row>
    <row r="836" spans="1:64" ht="12.75" customHeight="1" x14ac:dyDescent="0.25">
      <c r="C836"/>
      <c r="F836"/>
      <c r="G836" s="1319" t="s">
        <v>16971</v>
      </c>
      <c r="I836" s="1370"/>
      <c r="J836" s="1371"/>
      <c r="K836" s="1371"/>
      <c r="L836" s="1371"/>
      <c r="M836" s="1371"/>
      <c r="N836" s="1371"/>
      <c r="O836" s="1371"/>
      <c r="P836" s="1371"/>
      <c r="Q836" s="1371"/>
      <c r="R836" s="1370"/>
      <c r="S836" s="1371"/>
      <c r="T836" s="1371"/>
      <c r="U836" s="1371"/>
      <c r="V836" s="1371"/>
      <c r="W836" s="1371"/>
      <c r="X836" s="1371"/>
      <c r="Y836" s="1371"/>
      <c r="Z836" s="1371"/>
      <c r="AA836" s="1371"/>
      <c r="AB836" s="1371"/>
      <c r="AC836" s="1371"/>
    </row>
    <row r="837" spans="1:64" ht="12.75" customHeight="1" x14ac:dyDescent="0.2">
      <c r="C837"/>
      <c r="F837"/>
      <c r="G837" s="2" t="s">
        <v>3583</v>
      </c>
      <c r="H837" s="2"/>
      <c r="I837" s="1370"/>
      <c r="J837" s="1390" t="s">
        <v>3584</v>
      </c>
      <c r="K837" s="1371"/>
      <c r="L837" s="1371"/>
      <c r="M837" s="1371"/>
      <c r="N837" s="2" t="s">
        <v>1134</v>
      </c>
      <c r="R837" s="1371"/>
      <c r="S837" s="2" t="s">
        <v>1133</v>
      </c>
      <c r="W837" s="1371"/>
      <c r="X837" s="1371"/>
      <c r="Y837" s="1371"/>
      <c r="Z837" s="1371"/>
      <c r="AA837" s="1371"/>
    </row>
    <row r="838" spans="1:64" ht="12.75" customHeight="1" x14ac:dyDescent="0.2">
      <c r="C838"/>
      <c r="F838"/>
      <c r="G838" s="897" t="s">
        <v>16972</v>
      </c>
      <c r="H838" s="1119" t="s">
        <v>3108</v>
      </c>
      <c r="I838" s="1370"/>
      <c r="J838" s="897" t="s">
        <v>1375</v>
      </c>
      <c r="K838" s="1119" t="s">
        <v>12904</v>
      </c>
      <c r="L838" s="537" t="s">
        <v>9462</v>
      </c>
      <c r="M838" s="1371"/>
      <c r="N838" s="540" t="s">
        <v>9457</v>
      </c>
      <c r="O838" s="897" t="s">
        <v>5124</v>
      </c>
      <c r="P838" s="1119" t="s">
        <v>2205</v>
      </c>
      <c r="Q838" s="537" t="s">
        <v>16074</v>
      </c>
      <c r="R838" s="1371"/>
      <c r="S838" s="1119" t="s">
        <v>10321</v>
      </c>
      <c r="T838" s="897" t="s">
        <v>1184</v>
      </c>
      <c r="U838" s="1119" t="s">
        <v>1359</v>
      </c>
      <c r="W838" s="1371"/>
      <c r="X838" s="1370" t="s">
        <v>17342</v>
      </c>
      <c r="Y838" s="1371"/>
      <c r="Z838" s="1371"/>
      <c r="AA838" s="1371"/>
    </row>
    <row r="839" spans="1:64" ht="12.75" customHeight="1" x14ac:dyDescent="0.2">
      <c r="A839" s="1374" t="s">
        <v>4264</v>
      </c>
      <c r="B839" s="1374" t="s">
        <v>5239</v>
      </c>
      <c r="C839" s="1370">
        <f>SUM(G839:U839)</f>
        <v>1</v>
      </c>
      <c r="F839" s="1431">
        <f>COUNT(G839:U839)</f>
        <v>1</v>
      </c>
      <c r="G839" s="1381"/>
      <c r="H839" s="1381"/>
      <c r="I839" s="1370"/>
      <c r="J839" s="1381"/>
      <c r="K839" s="1381"/>
      <c r="L839" s="1381"/>
      <c r="M839" s="1370"/>
      <c r="N839" s="455"/>
      <c r="O839" s="455"/>
      <c r="P839" s="455">
        <v>1</v>
      </c>
      <c r="Q839" s="455"/>
      <c r="R839" s="1370"/>
      <c r="S839" s="455"/>
      <c r="T839" s="455"/>
      <c r="U839" s="455"/>
      <c r="W839" s="1371"/>
      <c r="X839" s="1371"/>
      <c r="Y839" s="1371"/>
      <c r="Z839" s="1371"/>
      <c r="AA839" s="1371"/>
    </row>
    <row r="840" spans="1:64" ht="12.75" customHeight="1" x14ac:dyDescent="0.2">
      <c r="A840" s="1374" t="s">
        <v>726</v>
      </c>
      <c r="B840" s="1374" t="s">
        <v>1295</v>
      </c>
      <c r="C840" s="1370">
        <f t="shared" ref="C840:C852" si="163">SUM(G840:U840)</f>
        <v>3</v>
      </c>
      <c r="F840" s="1431">
        <f t="shared" ref="F840:F852" si="164">COUNT(G840:U840)</f>
        <v>3</v>
      </c>
      <c r="G840" s="455">
        <v>1</v>
      </c>
      <c r="H840" s="455">
        <v>1</v>
      </c>
      <c r="I840" s="1370"/>
      <c r="J840" s="1381"/>
      <c r="K840" s="1381"/>
      <c r="L840" s="1381"/>
      <c r="M840" s="1370"/>
      <c r="N840" s="455"/>
      <c r="O840" s="455">
        <v>1</v>
      </c>
      <c r="P840" s="455"/>
      <c r="Q840" s="455"/>
      <c r="R840" s="1370"/>
      <c r="S840" s="455"/>
      <c r="T840" s="455"/>
      <c r="U840" s="455"/>
      <c r="W840" s="1371"/>
      <c r="X840" s="1371"/>
      <c r="Y840" s="1371"/>
      <c r="Z840" s="1371"/>
      <c r="AA840" s="1371"/>
    </row>
    <row r="841" spans="1:64" ht="12.75" customHeight="1" x14ac:dyDescent="0.2">
      <c r="A841" s="1374" t="s">
        <v>3508</v>
      </c>
      <c r="B841" s="1374" t="s">
        <v>1295</v>
      </c>
      <c r="C841" s="1370">
        <f t="shared" si="163"/>
        <v>3</v>
      </c>
      <c r="F841" s="1431">
        <f t="shared" si="164"/>
        <v>3</v>
      </c>
      <c r="G841" s="455">
        <v>1</v>
      </c>
      <c r="H841" s="455">
        <v>1</v>
      </c>
      <c r="I841" s="1370"/>
      <c r="J841" s="1381"/>
      <c r="K841" s="1381"/>
      <c r="L841" s="1381"/>
      <c r="M841" s="1370"/>
      <c r="N841" s="455"/>
      <c r="O841" s="455">
        <v>1</v>
      </c>
      <c r="P841" s="455"/>
      <c r="Q841" s="455"/>
      <c r="R841" s="1370"/>
      <c r="S841" s="455"/>
      <c r="T841" s="455"/>
      <c r="U841" s="455"/>
      <c r="W841" s="1371"/>
      <c r="X841" s="1371"/>
      <c r="Y841" s="1371"/>
      <c r="Z841" s="1371"/>
      <c r="AA841" s="1371"/>
    </row>
    <row r="842" spans="1:64" ht="12.75" customHeight="1" x14ac:dyDescent="0.2">
      <c r="A842" s="1374" t="s">
        <v>5980</v>
      </c>
      <c r="B842" s="1374" t="s">
        <v>4818</v>
      </c>
      <c r="C842" s="1370">
        <f t="shared" si="163"/>
        <v>14</v>
      </c>
      <c r="F842" s="1431">
        <f>COUNT(G842:U842)</f>
        <v>10</v>
      </c>
      <c r="G842" s="455">
        <v>1</v>
      </c>
      <c r="H842" s="455"/>
      <c r="I842" s="1370"/>
      <c r="J842" s="1381">
        <v>1</v>
      </c>
      <c r="K842" s="1381"/>
      <c r="L842" s="1381">
        <v>1</v>
      </c>
      <c r="M842" s="1370"/>
      <c r="N842" s="455">
        <v>3</v>
      </c>
      <c r="O842" s="455">
        <v>3</v>
      </c>
      <c r="P842" s="455">
        <v>1</v>
      </c>
      <c r="Q842" s="455">
        <v>1</v>
      </c>
      <c r="R842" s="1370"/>
      <c r="S842" s="455">
        <v>1</v>
      </c>
      <c r="T842" s="455">
        <v>1</v>
      </c>
      <c r="U842" s="455">
        <v>1</v>
      </c>
      <c r="W842" s="1371"/>
      <c r="X842" s="1371"/>
      <c r="Y842" s="1371"/>
      <c r="Z842" s="1371"/>
      <c r="AA842" s="1371"/>
    </row>
    <row r="843" spans="1:64" ht="12.75" customHeight="1" x14ac:dyDescent="0.2">
      <c r="A843" s="1370" t="s">
        <v>665</v>
      </c>
      <c r="B843" s="1370" t="s">
        <v>666</v>
      </c>
      <c r="C843" s="1370">
        <f t="shared" si="163"/>
        <v>9</v>
      </c>
      <c r="F843" s="1431">
        <f t="shared" si="164"/>
        <v>7</v>
      </c>
      <c r="G843" s="455">
        <v>1</v>
      </c>
      <c r="H843" s="455">
        <v>1</v>
      </c>
      <c r="I843" s="1370"/>
      <c r="J843" s="1381"/>
      <c r="K843" s="1381"/>
      <c r="L843" s="1381"/>
      <c r="M843" s="1370"/>
      <c r="N843" s="455">
        <v>2</v>
      </c>
      <c r="O843" s="455">
        <v>2</v>
      </c>
      <c r="P843" s="455">
        <v>1</v>
      </c>
      <c r="Q843" s="455">
        <v>1</v>
      </c>
      <c r="R843" s="1370"/>
      <c r="S843" s="455"/>
      <c r="T843" s="455"/>
      <c r="U843" s="455">
        <v>1</v>
      </c>
      <c r="W843" s="1371"/>
      <c r="X843" s="1371"/>
      <c r="Y843" s="1371"/>
      <c r="Z843" s="1371"/>
      <c r="AA843" s="1371"/>
    </row>
    <row r="844" spans="1:64" ht="12.75" customHeight="1" x14ac:dyDescent="0.2">
      <c r="A844" s="1374" t="s">
        <v>2137</v>
      </c>
      <c r="B844" s="1374" t="s">
        <v>4943</v>
      </c>
      <c r="C844" s="1370">
        <f t="shared" si="163"/>
        <v>11</v>
      </c>
      <c r="F844" s="1431">
        <f t="shared" si="164"/>
        <v>3</v>
      </c>
      <c r="G844" s="455">
        <v>1</v>
      </c>
      <c r="H844" s="455"/>
      <c r="I844" s="1370"/>
      <c r="J844" s="1381"/>
      <c r="K844" s="1381"/>
      <c r="L844" s="1381"/>
      <c r="M844" s="1370"/>
      <c r="N844" s="455"/>
      <c r="O844" s="455"/>
      <c r="P844" s="455">
        <v>2</v>
      </c>
      <c r="Q844" s="455"/>
      <c r="R844" s="1370"/>
      <c r="S844" s="455"/>
      <c r="T844" s="455">
        <v>8</v>
      </c>
      <c r="U844" s="455"/>
      <c r="W844" s="1371"/>
      <c r="X844" s="1371"/>
      <c r="Y844" s="1371"/>
      <c r="Z844" s="1371"/>
      <c r="AA844" s="1371"/>
    </row>
    <row r="845" spans="1:64" ht="12.75" customHeight="1" x14ac:dyDescent="0.2">
      <c r="A845" s="1370" t="s">
        <v>2478</v>
      </c>
      <c r="B845" s="1370" t="s">
        <v>2479</v>
      </c>
      <c r="C845" s="1370">
        <f t="shared" si="163"/>
        <v>2</v>
      </c>
      <c r="F845" s="1431">
        <f t="shared" si="164"/>
        <v>2</v>
      </c>
      <c r="G845" s="455"/>
      <c r="H845" s="455"/>
      <c r="I845" s="1370"/>
      <c r="J845" s="1381">
        <v>1</v>
      </c>
      <c r="K845" s="1381"/>
      <c r="L845" s="1381"/>
      <c r="M845" s="1370"/>
      <c r="N845" s="455"/>
      <c r="O845" s="455">
        <v>1</v>
      </c>
      <c r="P845" s="455"/>
      <c r="Q845" s="455"/>
      <c r="R845" s="1370"/>
      <c r="S845" s="455"/>
      <c r="T845" s="455"/>
      <c r="U845" s="455"/>
      <c r="W845" s="1371"/>
      <c r="X845" s="1371"/>
      <c r="Y845" s="1371"/>
      <c r="Z845" s="1371"/>
      <c r="AA845" s="1371"/>
    </row>
    <row r="846" spans="1:64" ht="12.75" customHeight="1" x14ac:dyDescent="0.2">
      <c r="A846" s="1370" t="s">
        <v>1847</v>
      </c>
      <c r="B846" s="1370" t="s">
        <v>3961</v>
      </c>
      <c r="C846" s="1370">
        <f t="shared" si="163"/>
        <v>2</v>
      </c>
      <c r="F846" s="1431">
        <f t="shared" si="164"/>
        <v>2</v>
      </c>
      <c r="G846" s="455"/>
      <c r="H846" s="455"/>
      <c r="I846" s="1370"/>
      <c r="J846" s="1381">
        <v>1</v>
      </c>
      <c r="K846" s="1381">
        <v>1</v>
      </c>
      <c r="L846" s="1381"/>
      <c r="M846" s="1370"/>
      <c r="N846" s="455"/>
      <c r="O846" s="455"/>
      <c r="P846" s="455"/>
      <c r="Q846" s="455"/>
      <c r="R846" s="1370"/>
      <c r="S846" s="455"/>
      <c r="T846" s="455"/>
      <c r="U846" s="455"/>
      <c r="W846" s="1371"/>
      <c r="X846" s="1371"/>
      <c r="Y846" s="1371"/>
      <c r="Z846" s="1371"/>
      <c r="AA846" s="1371"/>
    </row>
    <row r="847" spans="1:64" ht="12.75" customHeight="1" x14ac:dyDescent="0.2">
      <c r="A847" s="1374" t="s">
        <v>4259</v>
      </c>
      <c r="B847" s="1374" t="s">
        <v>440</v>
      </c>
      <c r="C847" s="1370">
        <f t="shared" si="163"/>
        <v>1</v>
      </c>
      <c r="F847" s="1431">
        <f t="shared" si="164"/>
        <v>1</v>
      </c>
      <c r="G847" s="455"/>
      <c r="H847" s="455">
        <v>1</v>
      </c>
      <c r="I847" s="1370"/>
      <c r="J847" s="1381"/>
      <c r="K847" s="1381"/>
      <c r="L847" s="1381"/>
      <c r="M847" s="1370"/>
      <c r="N847" s="455"/>
      <c r="O847" s="455"/>
      <c r="P847" s="455"/>
      <c r="Q847" s="455"/>
      <c r="R847" s="1370"/>
      <c r="S847" s="455"/>
      <c r="T847" s="455"/>
      <c r="U847" s="455"/>
      <c r="W847" s="1371"/>
      <c r="X847" s="1371"/>
      <c r="Y847" s="1371"/>
      <c r="Z847" s="1371"/>
      <c r="AA847" s="1371"/>
    </row>
    <row r="848" spans="1:64" ht="12.75" customHeight="1" x14ac:dyDescent="0.2">
      <c r="A848" s="1374" t="s">
        <v>3535</v>
      </c>
      <c r="B848" s="1374" t="s">
        <v>4741</v>
      </c>
      <c r="C848" s="1370">
        <f t="shared" si="163"/>
        <v>1</v>
      </c>
      <c r="F848" s="1431">
        <f t="shared" si="164"/>
        <v>1</v>
      </c>
      <c r="G848" s="455"/>
      <c r="H848" s="455"/>
      <c r="I848" s="1370"/>
      <c r="J848" s="1381"/>
      <c r="K848" s="1381"/>
      <c r="L848" s="1381"/>
      <c r="M848" s="1370"/>
      <c r="N848" s="455"/>
      <c r="O848" s="455"/>
      <c r="P848" s="455">
        <v>1</v>
      </c>
      <c r="Q848" s="455"/>
      <c r="R848" s="1370"/>
      <c r="S848" s="455"/>
      <c r="T848" s="455"/>
      <c r="U848" s="455"/>
      <c r="W848" s="1371"/>
      <c r="X848" s="1371"/>
      <c r="Y848" s="1371"/>
      <c r="Z848" s="1371"/>
      <c r="AA848" s="1371"/>
    </row>
    <row r="849" spans="1:44" ht="12.75" customHeight="1" x14ac:dyDescent="0.2">
      <c r="A849" s="1389" t="s">
        <v>3755</v>
      </c>
      <c r="B849" s="1389" t="s">
        <v>3799</v>
      </c>
      <c r="C849" s="1370">
        <f t="shared" si="163"/>
        <v>1</v>
      </c>
      <c r="F849" s="1431">
        <f t="shared" si="164"/>
        <v>1</v>
      </c>
      <c r="G849" s="455"/>
      <c r="H849" s="455"/>
      <c r="I849" s="1370"/>
      <c r="J849" s="1381"/>
      <c r="K849" s="1381"/>
      <c r="L849" s="1381"/>
      <c r="M849" s="1370"/>
      <c r="N849" s="455"/>
      <c r="O849" s="455"/>
      <c r="P849" s="455"/>
      <c r="Q849" s="455"/>
      <c r="R849" s="1370"/>
      <c r="S849" s="455"/>
      <c r="T849" s="455">
        <v>1</v>
      </c>
      <c r="U849" s="455"/>
      <c r="W849" s="1371"/>
      <c r="X849" s="1371"/>
      <c r="Y849" s="1371"/>
      <c r="Z849" s="1371"/>
      <c r="AA849" s="1371"/>
    </row>
    <row r="850" spans="1:44" ht="12.75" customHeight="1" x14ac:dyDescent="0.2">
      <c r="A850" s="1389" t="s">
        <v>1794</v>
      </c>
      <c r="B850" s="1389" t="s">
        <v>3799</v>
      </c>
      <c r="C850" s="1370">
        <f t="shared" si="163"/>
        <v>1</v>
      </c>
      <c r="F850" s="1431">
        <f t="shared" si="164"/>
        <v>1</v>
      </c>
      <c r="G850" s="455"/>
      <c r="H850" s="455"/>
      <c r="I850" s="1370"/>
      <c r="J850" s="1381"/>
      <c r="K850" s="1381"/>
      <c r="L850" s="1381"/>
      <c r="M850" s="1370"/>
      <c r="N850" s="455"/>
      <c r="O850" s="455"/>
      <c r="P850" s="455"/>
      <c r="Q850" s="455"/>
      <c r="R850" s="1370"/>
      <c r="S850" s="455"/>
      <c r="T850" s="455">
        <v>1</v>
      </c>
      <c r="U850" s="455"/>
      <c r="W850" s="1371"/>
      <c r="X850" s="1371"/>
      <c r="Y850" s="1371"/>
      <c r="Z850" s="1371"/>
      <c r="AA850" s="1371"/>
    </row>
    <row r="851" spans="1:44" ht="12.75" customHeight="1" x14ac:dyDescent="0.2">
      <c r="A851" s="1389" t="s">
        <v>4977</v>
      </c>
      <c r="B851" s="1389" t="s">
        <v>3961</v>
      </c>
      <c r="C851" s="1370">
        <f t="shared" si="163"/>
        <v>1</v>
      </c>
      <c r="F851" s="1431">
        <f t="shared" si="164"/>
        <v>1</v>
      </c>
      <c r="G851" s="455"/>
      <c r="H851" s="455"/>
      <c r="I851" s="1370"/>
      <c r="J851" s="1381">
        <v>1</v>
      </c>
      <c r="K851" s="1381"/>
      <c r="L851" s="1381"/>
      <c r="M851" s="1370"/>
      <c r="N851" s="455"/>
      <c r="O851" s="455"/>
      <c r="P851" s="455"/>
      <c r="Q851" s="455"/>
      <c r="R851" s="1370"/>
      <c r="S851" s="455"/>
      <c r="T851" s="455"/>
      <c r="U851" s="455"/>
      <c r="W851" s="1371"/>
      <c r="X851" s="1371"/>
      <c r="Y851" s="1371"/>
      <c r="Z851" s="1371"/>
      <c r="AA851" s="1371"/>
    </row>
    <row r="852" spans="1:44" ht="12.75" customHeight="1" x14ac:dyDescent="0.2">
      <c r="A852" s="1389" t="s">
        <v>2426</v>
      </c>
      <c r="B852" s="1389" t="s">
        <v>2427</v>
      </c>
      <c r="C852" s="1370">
        <f t="shared" si="163"/>
        <v>4</v>
      </c>
      <c r="F852" s="1431">
        <f t="shared" si="164"/>
        <v>1</v>
      </c>
      <c r="G852" s="455"/>
      <c r="H852" s="455"/>
      <c r="I852" s="1370"/>
      <c r="J852" s="1381"/>
      <c r="K852" s="1381"/>
      <c r="L852" s="1381"/>
      <c r="M852" s="1370"/>
      <c r="N852" s="455"/>
      <c r="O852" s="455">
        <v>4</v>
      </c>
      <c r="P852" s="455"/>
      <c r="Q852" s="455"/>
      <c r="R852" s="1370"/>
      <c r="S852" s="455"/>
      <c r="T852" s="455"/>
      <c r="U852" s="455"/>
      <c r="W852" s="1371"/>
      <c r="X852" s="1371"/>
      <c r="Y852" s="1371"/>
      <c r="Z852" s="1371"/>
      <c r="AA852" s="1371"/>
    </row>
    <row r="853" spans="1:44" ht="12.75" customHeight="1" x14ac:dyDescent="0.2">
      <c r="C853" s="1381">
        <f>SUM(C839:C852)</f>
        <v>54</v>
      </c>
      <c r="F853"/>
      <c r="G853" s="666">
        <f>SUM(G839:G852)</f>
        <v>5</v>
      </c>
      <c r="H853" s="666">
        <f t="shared" ref="H853:U853" si="165">SUM(H839:H852)</f>
        <v>4</v>
      </c>
      <c r="I853" s="1514"/>
      <c r="J853" s="666">
        <f t="shared" si="165"/>
        <v>4</v>
      </c>
      <c r="K853" s="666">
        <f t="shared" si="165"/>
        <v>1</v>
      </c>
      <c r="L853" s="666">
        <f t="shared" si="165"/>
        <v>1</v>
      </c>
      <c r="M853" s="1489"/>
      <c r="N853" s="666">
        <f t="shared" si="165"/>
        <v>5</v>
      </c>
      <c r="O853" s="666">
        <f t="shared" si="165"/>
        <v>12</v>
      </c>
      <c r="P853" s="666">
        <f t="shared" si="165"/>
        <v>6</v>
      </c>
      <c r="Q853" s="666">
        <f t="shared" si="165"/>
        <v>2</v>
      </c>
      <c r="R853" s="1489"/>
      <c r="S853" s="666">
        <f t="shared" si="165"/>
        <v>1</v>
      </c>
      <c r="T853" s="666">
        <f t="shared" si="165"/>
        <v>11</v>
      </c>
      <c r="U853" s="666">
        <f t="shared" si="165"/>
        <v>2</v>
      </c>
      <c r="W853" s="1371"/>
      <c r="X853" s="1371"/>
      <c r="Y853" s="1371"/>
      <c r="Z853" s="1371"/>
      <c r="AA853" s="1371"/>
    </row>
    <row r="854" spans="1:44" ht="12.75" customHeight="1" x14ac:dyDescent="0.2">
      <c r="C854"/>
      <c r="E854" s="1381">
        <f>COUNT(G854:U854)</f>
        <v>12</v>
      </c>
      <c r="F854"/>
      <c r="G854" s="666">
        <f>COUNT(G839:G852)</f>
        <v>5</v>
      </c>
      <c r="H854" s="666">
        <f t="shared" ref="H854:T854" si="166">COUNT(H839:H852)</f>
        <v>4</v>
      </c>
      <c r="I854" s="1514"/>
      <c r="J854" s="666">
        <f t="shared" si="166"/>
        <v>4</v>
      </c>
      <c r="K854" s="666">
        <f t="shared" si="166"/>
        <v>1</v>
      </c>
      <c r="L854" s="666">
        <f t="shared" si="166"/>
        <v>1</v>
      </c>
      <c r="M854" s="1489"/>
      <c r="N854" s="666">
        <f t="shared" si="166"/>
        <v>2</v>
      </c>
      <c r="O854" s="666">
        <f t="shared" si="166"/>
        <v>6</v>
      </c>
      <c r="P854" s="666">
        <f t="shared" si="166"/>
        <v>5</v>
      </c>
      <c r="Q854" s="666">
        <f t="shared" si="166"/>
        <v>2</v>
      </c>
      <c r="R854" s="1489"/>
      <c r="S854" s="666">
        <f t="shared" si="166"/>
        <v>1</v>
      </c>
      <c r="T854" s="666">
        <f t="shared" si="166"/>
        <v>4</v>
      </c>
      <c r="U854" s="666">
        <f>COUNT(U839:U852)</f>
        <v>2</v>
      </c>
      <c r="W854" s="1371"/>
      <c r="X854" s="1371"/>
      <c r="Y854" s="1371"/>
      <c r="Z854" s="1371"/>
      <c r="AA854" s="1371"/>
    </row>
    <row r="855" spans="1:44" ht="12.75" customHeight="1" x14ac:dyDescent="0.25">
      <c r="A855" s="1446"/>
      <c r="C855" s="9"/>
      <c r="F855"/>
      <c r="G855" s="536" t="s">
        <v>4179</v>
      </c>
      <c r="H855" s="565"/>
      <c r="I855" s="565"/>
      <c r="J855" s="565" t="s">
        <v>1533</v>
      </c>
      <c r="K855" s="565"/>
      <c r="L855" s="561" t="s">
        <v>16973</v>
      </c>
      <c r="M855" s="1418"/>
      <c r="N855" s="565"/>
      <c r="O855" s="538" t="s">
        <v>1211</v>
      </c>
      <c r="P855" s="536"/>
      <c r="Q855" s="538" t="s">
        <v>16974</v>
      </c>
      <c r="R855" s="565"/>
      <c r="S855" s="565"/>
      <c r="T855" s="538" t="s">
        <v>1183</v>
      </c>
      <c r="U855" s="565"/>
      <c r="W855" s="1500"/>
      <c r="X855" s="1406"/>
      <c r="Y855" s="1407"/>
      <c r="Z855" s="1402"/>
      <c r="AA855" s="1402"/>
      <c r="AB855" s="41"/>
      <c r="AD855" s="41"/>
      <c r="AE855" s="41"/>
      <c r="AK855" s="185"/>
      <c r="AL855" s="185"/>
      <c r="AM855" s="185"/>
      <c r="AN855" s="185"/>
      <c r="AO855" s="185"/>
      <c r="AP855" s="185"/>
      <c r="AQ855" s="185"/>
    </row>
    <row r="856" spans="1:44" ht="12.75" customHeight="1" x14ac:dyDescent="0.25">
      <c r="A856" s="1446"/>
      <c r="C856" s="9"/>
      <c r="F856"/>
      <c r="G856" s="1961"/>
      <c r="H856" s="515" t="s">
        <v>4180</v>
      </c>
      <c r="I856" s="515"/>
      <c r="J856" s="515"/>
      <c r="K856" s="539" t="s">
        <v>12906</v>
      </c>
      <c r="L856" s="515"/>
      <c r="M856" s="1418"/>
      <c r="N856" s="539" t="s">
        <v>9142</v>
      </c>
      <c r="O856" s="515"/>
      <c r="P856" s="539" t="s">
        <v>2465</v>
      </c>
      <c r="Q856" s="515"/>
      <c r="R856" s="515"/>
      <c r="S856" s="539" t="s">
        <v>16975</v>
      </c>
      <c r="T856" s="515"/>
      <c r="U856" s="539" t="s">
        <v>1283</v>
      </c>
      <c r="W856" s="1371"/>
      <c r="X856" s="1371"/>
      <c r="Y856" s="1418"/>
      <c r="Z856" s="1402"/>
      <c r="AA856" s="1402"/>
      <c r="AB856" s="41"/>
      <c r="AD856" s="413"/>
      <c r="AE856" s="41"/>
      <c r="AK856" s="185"/>
      <c r="AL856" s="185"/>
      <c r="AM856" s="185"/>
      <c r="AN856" s="185"/>
      <c r="AO856" s="185"/>
      <c r="AP856" s="185"/>
      <c r="AQ856" s="185"/>
    </row>
    <row r="857" spans="1:44" ht="12.75" customHeight="1" x14ac:dyDescent="0.25">
      <c r="A857" s="1446"/>
      <c r="C857" s="9"/>
      <c r="F857"/>
      <c r="G857" s="1960"/>
      <c r="M857" s="1371"/>
      <c r="P857" s="1371"/>
      <c r="R857" s="1371"/>
      <c r="T857" s="1371"/>
      <c r="U857" s="1418" t="s">
        <v>16976</v>
      </c>
      <c r="V857" s="1371"/>
      <c r="W857" s="1371"/>
      <c r="X857" s="1371"/>
      <c r="Y857" s="1371"/>
      <c r="Z857" s="1418"/>
      <c r="AA857" s="1402"/>
      <c r="AB857" s="41"/>
      <c r="AC857" s="41"/>
      <c r="AE857" s="413"/>
      <c r="AF857" s="41"/>
      <c r="AL857" s="185"/>
      <c r="AM857" s="185"/>
      <c r="AN857" s="185"/>
      <c r="AO857" s="185"/>
      <c r="AP857" s="185"/>
      <c r="AQ857" s="185"/>
      <c r="AR857" s="185"/>
    </row>
    <row r="858" spans="1:44" ht="12.75" customHeight="1" thickBot="1" x14ac:dyDescent="0.25">
      <c r="A858" s="1667"/>
      <c r="B858" s="1390"/>
      <c r="C858" s="9"/>
      <c r="G858" s="2" t="s">
        <v>17072</v>
      </c>
      <c r="H858" s="2"/>
      <c r="I858" s="2"/>
      <c r="O858" s="41"/>
      <c r="P858" s="41"/>
      <c r="Q858" s="41"/>
    </row>
    <row r="859" spans="1:44" ht="12.75" customHeight="1" x14ac:dyDescent="0.25">
      <c r="A859" s="1446"/>
      <c r="C859" s="9"/>
      <c r="G859" s="553" t="s">
        <v>15449</v>
      </c>
      <c r="H859" s="613" t="s">
        <v>1610</v>
      </c>
      <c r="I859" s="1986" t="s">
        <v>6287</v>
      </c>
      <c r="J859" s="613" t="s">
        <v>13413</v>
      </c>
      <c r="K859" s="611" t="s">
        <v>4903</v>
      </c>
      <c r="L859" s="614" t="s">
        <v>4283</v>
      </c>
      <c r="M859" s="611" t="s">
        <v>11893</v>
      </c>
      <c r="N859" s="614" t="s">
        <v>16891</v>
      </c>
      <c r="O859" s="611" t="s">
        <v>1747</v>
      </c>
      <c r="P859" s="614" t="s">
        <v>2562</v>
      </c>
      <c r="Q859" s="611" t="s">
        <v>8963</v>
      </c>
      <c r="R859" s="614" t="s">
        <v>11669</v>
      </c>
      <c r="S859" s="611" t="s">
        <v>3397</v>
      </c>
      <c r="T859" s="1987" t="s">
        <v>5989</v>
      </c>
      <c r="V859" s="57"/>
      <c r="Z859" s="187"/>
      <c r="AA859" s="187"/>
      <c r="AB859" s="187"/>
      <c r="AC859" s="187"/>
      <c r="AD859" s="187"/>
      <c r="AE859" s="187"/>
      <c r="AF859" s="187"/>
      <c r="AH859" s="185"/>
    </row>
    <row r="860" spans="1:44" ht="12.75" customHeight="1" x14ac:dyDescent="0.2">
      <c r="A860" s="1425" t="s">
        <v>726</v>
      </c>
      <c r="B860" s="1410" t="s">
        <v>1295</v>
      </c>
      <c r="C860" s="9">
        <f t="shared" ref="C860:C875" si="167">SUM(G860:T860)</f>
        <v>1</v>
      </c>
      <c r="E860" s="1440"/>
      <c r="F860" s="992">
        <f t="shared" ref="F860:F875" si="168">COUNT(G860:T860)</f>
        <v>1</v>
      </c>
      <c r="G860" s="1496"/>
      <c r="H860" s="327"/>
      <c r="I860" s="327"/>
      <c r="J860" s="327"/>
      <c r="K860" s="36"/>
      <c r="L860" s="36"/>
      <c r="M860" s="36"/>
      <c r="N860" s="36"/>
      <c r="O860" s="1388">
        <v>1</v>
      </c>
      <c r="P860" s="36"/>
      <c r="Q860" s="36"/>
      <c r="R860" s="36"/>
      <c r="S860" s="36"/>
      <c r="T860" s="404"/>
      <c r="V860" s="80"/>
    </row>
    <row r="861" spans="1:44" ht="12.75" customHeight="1" x14ac:dyDescent="0.2">
      <c r="A861" s="1425" t="s">
        <v>3508</v>
      </c>
      <c r="B861" s="1410" t="s">
        <v>1295</v>
      </c>
      <c r="C861" s="9">
        <f t="shared" si="167"/>
        <v>2</v>
      </c>
      <c r="E861" s="1440"/>
      <c r="F861" s="992">
        <f t="shared" si="168"/>
        <v>2</v>
      </c>
      <c r="G861" s="1496"/>
      <c r="H861" s="327"/>
      <c r="I861" s="327"/>
      <c r="J861" s="327"/>
      <c r="K861" s="36"/>
      <c r="L861" s="36"/>
      <c r="M861" s="36"/>
      <c r="N861" s="36"/>
      <c r="O861" s="1388">
        <v>1</v>
      </c>
      <c r="P861" s="36">
        <v>1</v>
      </c>
      <c r="Q861" s="36"/>
      <c r="R861" s="36"/>
      <c r="S861" s="36"/>
      <c r="T861" s="404"/>
      <c r="V861" s="80"/>
    </row>
    <row r="862" spans="1:44" ht="12.75" customHeight="1" x14ac:dyDescent="0.2">
      <c r="A862" s="1426" t="s">
        <v>3837</v>
      </c>
      <c r="B862" s="1389" t="s">
        <v>3838</v>
      </c>
      <c r="C862" s="9">
        <f t="shared" si="167"/>
        <v>6</v>
      </c>
      <c r="F862" s="992">
        <f t="shared" si="168"/>
        <v>1</v>
      </c>
      <c r="G862" s="1496"/>
      <c r="H862" s="327"/>
      <c r="I862" s="327"/>
      <c r="J862" s="327"/>
      <c r="K862" s="36">
        <v>6</v>
      </c>
      <c r="L862" s="36"/>
      <c r="M862" s="36"/>
      <c r="N862" s="36"/>
      <c r="O862" s="36"/>
      <c r="P862" s="36"/>
      <c r="Q862" s="36"/>
      <c r="R862" s="36"/>
      <c r="S862" s="36"/>
      <c r="T862" s="404"/>
      <c r="V862" s="80"/>
    </row>
    <row r="863" spans="1:44" ht="12.75" customHeight="1" x14ac:dyDescent="0.2">
      <c r="A863" s="1446" t="s">
        <v>922</v>
      </c>
      <c r="B863" s="1371" t="s">
        <v>1530</v>
      </c>
      <c r="C863" s="1398">
        <f t="shared" si="167"/>
        <v>2</v>
      </c>
      <c r="D863" s="1371"/>
      <c r="F863" s="992">
        <f t="shared" si="168"/>
        <v>2</v>
      </c>
      <c r="G863" s="1496"/>
      <c r="H863" s="327"/>
      <c r="I863" s="327"/>
      <c r="J863" s="327"/>
      <c r="K863" s="36"/>
      <c r="L863" s="36"/>
      <c r="M863" s="36"/>
      <c r="N863" s="1388">
        <v>1</v>
      </c>
      <c r="O863" s="1388"/>
      <c r="P863" s="1388"/>
      <c r="Q863" s="1388"/>
      <c r="R863" s="1388"/>
      <c r="S863" s="36">
        <v>1</v>
      </c>
      <c r="T863" s="404"/>
    </row>
    <row r="864" spans="1:44" ht="12.75" customHeight="1" x14ac:dyDescent="0.2">
      <c r="A864" s="1425" t="s">
        <v>5980</v>
      </c>
      <c r="B864" s="1410" t="s">
        <v>4818</v>
      </c>
      <c r="C864" s="1398">
        <f t="shared" si="167"/>
        <v>14</v>
      </c>
      <c r="D864" s="1371"/>
      <c r="E864" s="1440"/>
      <c r="F864" s="992">
        <f t="shared" si="168"/>
        <v>12</v>
      </c>
      <c r="G864" s="1393">
        <v>1</v>
      </c>
      <c r="H864" s="1478">
        <v>2</v>
      </c>
      <c r="I864" s="1478">
        <v>1</v>
      </c>
      <c r="J864" s="1478">
        <v>1</v>
      </c>
      <c r="K864" s="1388">
        <v>1</v>
      </c>
      <c r="L864" s="1388">
        <v>2</v>
      </c>
      <c r="M864" s="1388">
        <v>1</v>
      </c>
      <c r="N864" s="1388"/>
      <c r="O864" s="1388">
        <v>1</v>
      </c>
      <c r="P864" s="1388">
        <v>1</v>
      </c>
      <c r="Q864" s="1388">
        <v>1</v>
      </c>
      <c r="R864" s="1388">
        <v>1</v>
      </c>
      <c r="S864" s="1388">
        <v>1</v>
      </c>
      <c r="T864" s="404"/>
    </row>
    <row r="865" spans="1:42" ht="12.75" customHeight="1" x14ac:dyDescent="0.2">
      <c r="A865" s="1446" t="s">
        <v>665</v>
      </c>
      <c r="B865" s="1371" t="s">
        <v>666</v>
      </c>
      <c r="C865" s="1398">
        <f t="shared" si="167"/>
        <v>7</v>
      </c>
      <c r="D865" s="1371"/>
      <c r="F865" s="992">
        <f t="shared" si="168"/>
        <v>7</v>
      </c>
      <c r="G865" s="1393">
        <v>1</v>
      </c>
      <c r="H865" s="198"/>
      <c r="I865" s="198">
        <v>1</v>
      </c>
      <c r="J865" s="1628">
        <v>1</v>
      </c>
      <c r="K865" s="23">
        <v>1</v>
      </c>
      <c r="L865" s="23">
        <v>1</v>
      </c>
      <c r="M865" s="23"/>
      <c r="N865" s="23"/>
      <c r="O865" s="1377">
        <v>1</v>
      </c>
      <c r="P865" s="1377"/>
      <c r="Q865" s="1377"/>
      <c r="R865" s="1377">
        <v>1</v>
      </c>
      <c r="S865" s="23"/>
      <c r="T865" s="406"/>
      <c r="AH865" s="41"/>
    </row>
    <row r="866" spans="1:42" ht="12.75" customHeight="1" x14ac:dyDescent="0.2">
      <c r="A866" s="1425" t="s">
        <v>1046</v>
      </c>
      <c r="B866" s="1410" t="s">
        <v>1047</v>
      </c>
      <c r="C866" s="1398">
        <f t="shared" si="167"/>
        <v>11</v>
      </c>
      <c r="D866" s="1371"/>
      <c r="F866" s="992">
        <f t="shared" si="168"/>
        <v>1</v>
      </c>
      <c r="G866" s="1496"/>
      <c r="H866" s="198"/>
      <c r="I866" s="198"/>
      <c r="J866" s="198"/>
      <c r="K866" s="23"/>
      <c r="L866" s="23"/>
      <c r="M866" s="23"/>
      <c r="N866" s="23"/>
      <c r="O866" s="1377"/>
      <c r="P866" s="1377"/>
      <c r="Q866" s="1377"/>
      <c r="R866" s="1377"/>
      <c r="S866" s="1377">
        <v>11</v>
      </c>
      <c r="T866" s="406"/>
      <c r="AH866" s="41"/>
    </row>
    <row r="867" spans="1:42" ht="12.75" customHeight="1" x14ac:dyDescent="0.2">
      <c r="A867" s="1442" t="s">
        <v>2137</v>
      </c>
      <c r="B867" s="1374" t="s">
        <v>4943</v>
      </c>
      <c r="C867" s="9">
        <f t="shared" si="167"/>
        <v>0</v>
      </c>
      <c r="D867" s="1371"/>
      <c r="F867" s="992">
        <f t="shared" si="168"/>
        <v>0</v>
      </c>
      <c r="G867" s="1496"/>
      <c r="H867" s="198"/>
      <c r="I867" s="198"/>
      <c r="J867" s="198"/>
      <c r="K867" s="23"/>
      <c r="L867" s="23"/>
      <c r="M867" s="23"/>
      <c r="N867" s="23"/>
      <c r="O867" s="23"/>
      <c r="P867" s="23"/>
      <c r="Q867" s="23"/>
      <c r="R867" s="23"/>
      <c r="S867" s="23"/>
      <c r="T867" s="406"/>
      <c r="AH867" s="41"/>
    </row>
    <row r="868" spans="1:42" ht="12.75" customHeight="1" x14ac:dyDescent="0.2">
      <c r="A868" s="1446" t="s">
        <v>2478</v>
      </c>
      <c r="B868" s="1371" t="s">
        <v>2479</v>
      </c>
      <c r="C868" s="9">
        <f t="shared" si="167"/>
        <v>2</v>
      </c>
      <c r="D868" s="1371"/>
      <c r="F868" s="992">
        <f t="shared" si="168"/>
        <v>2</v>
      </c>
      <c r="G868" s="1496"/>
      <c r="H868" s="198">
        <v>1</v>
      </c>
      <c r="I868" s="198"/>
      <c r="J868" s="198"/>
      <c r="K868" s="23"/>
      <c r="L868" s="23"/>
      <c r="M868" s="23"/>
      <c r="N868" s="23"/>
      <c r="O868" s="23"/>
      <c r="P868" s="23"/>
      <c r="Q868" s="23"/>
      <c r="R868" s="23"/>
      <c r="S868" s="23">
        <v>1</v>
      </c>
      <c r="T868" s="406"/>
      <c r="AH868" s="41"/>
    </row>
    <row r="869" spans="1:42" ht="12.75" customHeight="1" x14ac:dyDescent="0.2">
      <c r="A869" s="2015" t="s">
        <v>1798</v>
      </c>
      <c r="B869" s="2016" t="s">
        <v>17201</v>
      </c>
      <c r="C869" s="9">
        <f t="shared" si="167"/>
        <v>1</v>
      </c>
      <c r="D869" s="1371"/>
      <c r="F869" s="992">
        <f t="shared" si="168"/>
        <v>1</v>
      </c>
      <c r="G869" s="1496"/>
      <c r="H869" s="198"/>
      <c r="I869" s="198"/>
      <c r="J869" s="198"/>
      <c r="K869" s="663">
        <v>1</v>
      </c>
      <c r="L869" s="23"/>
      <c r="M869" s="23"/>
      <c r="N869" s="23"/>
      <c r="O869" s="23"/>
      <c r="P869" s="23"/>
      <c r="Q869" s="23"/>
      <c r="R869" s="23"/>
      <c r="S869" s="23"/>
      <c r="T869" s="406"/>
      <c r="AH869" s="41"/>
    </row>
    <row r="870" spans="1:42" ht="12.75" customHeight="1" x14ac:dyDescent="0.2">
      <c r="A870" s="1426" t="s">
        <v>4977</v>
      </c>
      <c r="B870" s="1389" t="s">
        <v>3961</v>
      </c>
      <c r="C870" s="9">
        <f t="shared" si="167"/>
        <v>2</v>
      </c>
      <c r="F870" s="992">
        <f t="shared" si="168"/>
        <v>2</v>
      </c>
      <c r="G870" s="1496"/>
      <c r="H870" s="198"/>
      <c r="I870" s="198"/>
      <c r="J870" s="198"/>
      <c r="K870" s="23"/>
      <c r="L870" s="23"/>
      <c r="M870" s="23"/>
      <c r="N870" s="23"/>
      <c r="O870" s="23"/>
      <c r="P870" s="23"/>
      <c r="Q870" s="23"/>
      <c r="R870" s="23"/>
      <c r="S870" s="23">
        <v>1</v>
      </c>
      <c r="T870" s="406">
        <v>1</v>
      </c>
      <c r="AH870" s="41"/>
    </row>
    <row r="871" spans="1:42" ht="12.75" customHeight="1" x14ac:dyDescent="0.2">
      <c r="A871" s="1446" t="s">
        <v>3960</v>
      </c>
      <c r="B871" s="1371" t="s">
        <v>3961</v>
      </c>
      <c r="C871" s="9">
        <f t="shared" si="167"/>
        <v>4</v>
      </c>
      <c r="F871" s="992">
        <f t="shared" si="168"/>
        <v>4</v>
      </c>
      <c r="G871" s="1496"/>
      <c r="H871" s="198"/>
      <c r="I871" s="198">
        <v>1</v>
      </c>
      <c r="J871" s="198"/>
      <c r="K871" s="23"/>
      <c r="L871" s="23"/>
      <c r="M871" s="23"/>
      <c r="N871" s="23"/>
      <c r="O871" s="23"/>
      <c r="P871" s="23">
        <v>1</v>
      </c>
      <c r="Q871" s="23"/>
      <c r="R871" s="23"/>
      <c r="S871" s="23">
        <v>1</v>
      </c>
      <c r="T871" s="406">
        <v>1</v>
      </c>
      <c r="AH871" s="41"/>
    </row>
    <row r="872" spans="1:42" ht="12.75" customHeight="1" x14ac:dyDescent="0.2">
      <c r="A872" s="1426" t="s">
        <v>3820</v>
      </c>
      <c r="B872" s="1389" t="s">
        <v>3821</v>
      </c>
      <c r="C872" s="9">
        <f t="shared" si="167"/>
        <v>1</v>
      </c>
      <c r="F872" s="992">
        <f t="shared" si="168"/>
        <v>1</v>
      </c>
      <c r="G872" s="1496"/>
      <c r="H872" s="198"/>
      <c r="I872" s="198"/>
      <c r="J872" s="198"/>
      <c r="K872" s="23"/>
      <c r="L872" s="23">
        <v>1</v>
      </c>
      <c r="M872" s="23"/>
      <c r="N872" s="23"/>
      <c r="O872" s="23"/>
      <c r="P872" s="23"/>
      <c r="Q872" s="23"/>
      <c r="R872" s="23"/>
      <c r="S872" s="23"/>
      <c r="T872" s="406"/>
      <c r="AH872" s="41"/>
    </row>
    <row r="873" spans="1:42" ht="12.75" customHeight="1" x14ac:dyDescent="0.2">
      <c r="A873" s="1560" t="s">
        <v>2416</v>
      </c>
      <c r="B873" s="1373" t="s">
        <v>2417</v>
      </c>
      <c r="C873" s="9">
        <f t="shared" si="167"/>
        <v>1</v>
      </c>
      <c r="F873" s="992">
        <f t="shared" si="168"/>
        <v>1</v>
      </c>
      <c r="G873" s="1496"/>
      <c r="H873" s="198">
        <v>1</v>
      </c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AH873" s="41"/>
    </row>
    <row r="874" spans="1:42" ht="12.75" customHeight="1" x14ac:dyDescent="0.2">
      <c r="A874" s="1397" t="s">
        <v>866</v>
      </c>
      <c r="B874" s="1370" t="s">
        <v>2417</v>
      </c>
      <c r="C874" s="9">
        <f t="shared" si="167"/>
        <v>1</v>
      </c>
      <c r="F874" s="992">
        <f t="shared" si="168"/>
        <v>1</v>
      </c>
      <c r="G874" s="1496"/>
      <c r="H874" s="198">
        <v>1</v>
      </c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AH874" s="41"/>
    </row>
    <row r="875" spans="1:42" ht="12.75" customHeight="1" x14ac:dyDescent="0.2">
      <c r="A875" s="1442" t="s">
        <v>4259</v>
      </c>
      <c r="B875" s="1374" t="s">
        <v>440</v>
      </c>
      <c r="C875" s="9">
        <f t="shared" si="167"/>
        <v>2</v>
      </c>
      <c r="F875" s="992">
        <f t="shared" si="168"/>
        <v>2</v>
      </c>
      <c r="G875" s="1496"/>
      <c r="H875" s="198">
        <v>1</v>
      </c>
      <c r="I875" s="23"/>
      <c r="J875" s="23"/>
      <c r="K875" s="23"/>
      <c r="L875" s="23"/>
      <c r="M875" s="23"/>
      <c r="N875" s="23"/>
      <c r="O875" s="23"/>
      <c r="P875" s="1377">
        <v>1</v>
      </c>
      <c r="Q875" s="23"/>
      <c r="R875" s="23"/>
      <c r="S875" s="23"/>
      <c r="T875" s="23"/>
      <c r="AH875" s="41"/>
    </row>
    <row r="876" spans="1:42" ht="12.75" customHeight="1" x14ac:dyDescent="0.2">
      <c r="A876" s="1446"/>
      <c r="C876" s="20">
        <f>SUM(C860:C875)</f>
        <v>57</v>
      </c>
      <c r="G876" s="28">
        <f t="shared" ref="G876:T876" si="169">SUM(G860:G875)</f>
        <v>2</v>
      </c>
      <c r="H876" s="28">
        <f t="shared" si="169"/>
        <v>6</v>
      </c>
      <c r="I876" s="28">
        <f t="shared" si="169"/>
        <v>3</v>
      </c>
      <c r="J876" s="28">
        <f t="shared" si="169"/>
        <v>2</v>
      </c>
      <c r="K876" s="28">
        <f t="shared" si="169"/>
        <v>9</v>
      </c>
      <c r="L876" s="28">
        <f t="shared" si="169"/>
        <v>4</v>
      </c>
      <c r="M876" s="28">
        <f t="shared" si="169"/>
        <v>1</v>
      </c>
      <c r="N876" s="28">
        <f t="shared" si="169"/>
        <v>1</v>
      </c>
      <c r="O876" s="28">
        <f t="shared" si="169"/>
        <v>4</v>
      </c>
      <c r="P876" s="28">
        <f t="shared" si="169"/>
        <v>4</v>
      </c>
      <c r="Q876" s="28">
        <f t="shared" si="169"/>
        <v>1</v>
      </c>
      <c r="R876" s="28">
        <f t="shared" si="169"/>
        <v>2</v>
      </c>
      <c r="S876" s="28">
        <f t="shared" si="169"/>
        <v>16</v>
      </c>
      <c r="T876" s="28">
        <f t="shared" si="169"/>
        <v>2</v>
      </c>
      <c r="AG876" s="453"/>
      <c r="AH876" s="41"/>
    </row>
    <row r="877" spans="1:42" ht="12.75" customHeight="1" x14ac:dyDescent="0.2">
      <c r="A877" s="1446"/>
      <c r="C877" s="9">
        <f>C459+C629+C744+C876+C1199</f>
        <v>616</v>
      </c>
      <c r="D877">
        <f>E877+E745+E630+E460+E1200</f>
        <v>75</v>
      </c>
      <c r="E877" s="1377">
        <f>COUNT(G877:T877)</f>
        <v>14</v>
      </c>
      <c r="G877" s="28">
        <f t="shared" ref="G877:T877" si="170">COUNT(G860:G875)</f>
        <v>2</v>
      </c>
      <c r="H877" s="28">
        <f t="shared" si="170"/>
        <v>5</v>
      </c>
      <c r="I877" s="28">
        <f t="shared" si="170"/>
        <v>3</v>
      </c>
      <c r="J877" s="28">
        <f t="shared" si="170"/>
        <v>2</v>
      </c>
      <c r="K877" s="28">
        <f t="shared" si="170"/>
        <v>4</v>
      </c>
      <c r="L877" s="28">
        <f t="shared" si="170"/>
        <v>3</v>
      </c>
      <c r="M877" s="28">
        <f t="shared" si="170"/>
        <v>1</v>
      </c>
      <c r="N877" s="28">
        <f t="shared" si="170"/>
        <v>1</v>
      </c>
      <c r="O877" s="28">
        <f t="shared" si="170"/>
        <v>4</v>
      </c>
      <c r="P877" s="28">
        <f t="shared" si="170"/>
        <v>4</v>
      </c>
      <c r="Q877" s="28">
        <f t="shared" si="170"/>
        <v>1</v>
      </c>
      <c r="R877" s="28">
        <f t="shared" si="170"/>
        <v>2</v>
      </c>
      <c r="S877" s="28">
        <f t="shared" si="170"/>
        <v>6</v>
      </c>
      <c r="T877" s="28">
        <f t="shared" si="170"/>
        <v>2</v>
      </c>
      <c r="AH877" s="41"/>
    </row>
    <row r="878" spans="1:42" ht="12.75" customHeight="1" x14ac:dyDescent="0.25">
      <c r="C878" s="9"/>
      <c r="G878" s="878" t="s">
        <v>13376</v>
      </c>
      <c r="H878" s="258"/>
      <c r="I878" s="539" t="s">
        <v>3157</v>
      </c>
      <c r="J878" s="538"/>
      <c r="K878" s="538" t="s">
        <v>1811</v>
      </c>
      <c r="L878" s="538"/>
      <c r="M878" s="538" t="s">
        <v>9750</v>
      </c>
      <c r="N878" s="538"/>
      <c r="O878" s="538" t="s">
        <v>1812</v>
      </c>
      <c r="P878" s="538"/>
      <c r="Q878" s="536" t="s">
        <v>8974</v>
      </c>
      <c r="R878" s="536"/>
      <c r="S878" s="536" t="s">
        <v>4876</v>
      </c>
      <c r="T878" s="536"/>
      <c r="AH878" s="41"/>
    </row>
    <row r="879" spans="1:42" ht="12.75" customHeight="1" x14ac:dyDescent="0.25">
      <c r="C879" s="9"/>
      <c r="G879" s="41"/>
      <c r="H879" s="258" t="s">
        <v>1810</v>
      </c>
      <c r="I879" s="539"/>
      <c r="J879" s="539" t="s">
        <v>12938</v>
      </c>
      <c r="K879" s="539"/>
      <c r="L879" s="539" t="s">
        <v>4281</v>
      </c>
      <c r="M879" s="539"/>
      <c r="N879" s="539" t="s">
        <v>16985</v>
      </c>
      <c r="O879" s="539"/>
      <c r="P879" s="539" t="s">
        <v>2563</v>
      </c>
      <c r="Q879" s="539"/>
      <c r="R879" s="539" t="s">
        <v>4543</v>
      </c>
      <c r="S879" s="539"/>
      <c r="T879" s="539" t="s">
        <v>3692</v>
      </c>
      <c r="AH879" s="41"/>
    </row>
    <row r="880" spans="1:42" ht="12.75" customHeight="1" x14ac:dyDescent="0.25">
      <c r="A880" s="510"/>
      <c r="B880" s="510"/>
      <c r="C880" s="2088"/>
      <c r="D880" s="510"/>
      <c r="E880" s="510"/>
      <c r="F880" s="2089"/>
      <c r="G880" s="2090"/>
      <c r="H880" s="2090"/>
      <c r="I880" s="2091"/>
      <c r="J880" s="2091"/>
      <c r="K880" s="2091"/>
      <c r="L880" s="2091"/>
      <c r="M880" s="2091"/>
      <c r="N880" s="2091"/>
      <c r="O880" s="2091"/>
      <c r="P880" s="2091"/>
      <c r="Q880" s="2091"/>
      <c r="R880" s="2091"/>
      <c r="S880" s="2091"/>
      <c r="T880" s="2091"/>
      <c r="U880" s="2091"/>
      <c r="V880" s="2091"/>
      <c r="W880" s="2091"/>
      <c r="X880" s="2091"/>
      <c r="Y880" s="2091"/>
      <c r="Z880" s="2091"/>
      <c r="AA880" s="1406"/>
      <c r="AB880" s="1406"/>
      <c r="AC880" s="1371"/>
      <c r="AJ880" s="41"/>
      <c r="AK880" s="41"/>
      <c r="AL880" s="41"/>
      <c r="AM880" s="41"/>
      <c r="AN880" s="41"/>
      <c r="AO880" s="41"/>
      <c r="AP880" s="41"/>
    </row>
    <row r="881" spans="1:43" ht="12.75" customHeight="1" x14ac:dyDescent="0.25">
      <c r="A881" s="510"/>
      <c r="B881" s="555" t="s">
        <v>17352</v>
      </c>
      <c r="C881" s="2088"/>
      <c r="D881" s="510"/>
      <c r="E881" s="510"/>
      <c r="F881" s="2089"/>
      <c r="G881" s="2092" t="s">
        <v>17336</v>
      </c>
      <c r="H881" s="2090"/>
      <c r="I881" s="2091"/>
      <c r="J881" s="2091"/>
      <c r="K881" s="2091"/>
      <c r="L881" s="2091"/>
      <c r="M881" s="2091"/>
      <c r="N881" s="2091"/>
      <c r="O881" s="2091"/>
      <c r="P881" s="2091"/>
      <c r="Q881" s="2091"/>
      <c r="R881" s="2091"/>
      <c r="S881" s="2091"/>
      <c r="T881" s="2091"/>
      <c r="U881" s="2091"/>
      <c r="V881" s="2091"/>
      <c r="W881" s="2091"/>
      <c r="X881" s="2091"/>
      <c r="Y881" s="2091"/>
      <c r="Z881" s="2091"/>
      <c r="AA881" s="2091"/>
      <c r="AB881" s="2091"/>
      <c r="AC881" s="1371"/>
      <c r="AJ881" s="41"/>
      <c r="AK881" s="41"/>
      <c r="AL881" s="41"/>
      <c r="AM881" s="41"/>
      <c r="AN881" s="41"/>
      <c r="AO881" s="41"/>
      <c r="AP881" s="41"/>
    </row>
    <row r="882" spans="1:43" ht="12.75" customHeight="1" x14ac:dyDescent="0.25">
      <c r="A882" s="510"/>
      <c r="B882" s="510"/>
      <c r="C882" s="2088"/>
      <c r="D882" s="510"/>
      <c r="E882" s="510"/>
      <c r="F882" s="2089"/>
      <c r="G882" s="2090"/>
      <c r="H882" s="2090"/>
      <c r="I882" s="2091"/>
      <c r="J882" s="2091"/>
      <c r="K882" s="2091"/>
      <c r="L882" s="2091"/>
      <c r="M882" s="2091"/>
      <c r="N882" s="2091"/>
      <c r="O882" s="2091"/>
      <c r="P882" s="2091"/>
      <c r="Q882" s="2091"/>
      <c r="R882" s="2091"/>
      <c r="S882" s="2091"/>
      <c r="T882" s="2091"/>
      <c r="U882" s="2091"/>
      <c r="V882" s="2091"/>
      <c r="W882" s="2091"/>
      <c r="X882" s="2091"/>
      <c r="Y882" s="2091"/>
      <c r="Z882" s="2091"/>
      <c r="AA882" s="2091"/>
      <c r="AB882" s="2091"/>
      <c r="AC882" s="1371"/>
      <c r="AJ882" s="41"/>
      <c r="AK882" s="41"/>
      <c r="AL882" s="41"/>
      <c r="AM882" s="41"/>
      <c r="AN882" s="41"/>
      <c r="AO882" s="41"/>
      <c r="AP882" s="41"/>
    </row>
    <row r="883" spans="1:43" ht="12.75" customHeight="1" x14ac:dyDescent="0.25">
      <c r="C883" s="9"/>
      <c r="G883" s="2" t="s">
        <v>1135</v>
      </c>
      <c r="H883" s="185"/>
      <c r="I883" s="364"/>
      <c r="J883" s="364"/>
      <c r="K883" s="1406"/>
      <c r="L883" s="1406"/>
      <c r="M883" s="1406"/>
      <c r="N883" s="1406"/>
      <c r="O883" s="1406"/>
      <c r="P883" s="1406"/>
      <c r="Q883" s="1406"/>
      <c r="R883" s="1958" t="s">
        <v>3585</v>
      </c>
      <c r="S883" s="1406"/>
      <c r="T883" s="1406"/>
      <c r="U883" s="1406"/>
      <c r="V883" s="1406"/>
      <c r="W883" s="1406"/>
      <c r="X883" s="1406"/>
      <c r="Y883" s="1958" t="s">
        <v>3586</v>
      </c>
      <c r="Z883" s="1406"/>
      <c r="AA883" s="1406"/>
      <c r="AB883" s="2091"/>
      <c r="AC883" s="1371"/>
      <c r="AJ883" s="41"/>
      <c r="AK883" s="41"/>
      <c r="AL883" s="41"/>
      <c r="AM883" s="41"/>
      <c r="AN883" s="41"/>
      <c r="AO883" s="41"/>
      <c r="AP883" s="41"/>
    </row>
    <row r="884" spans="1:43" ht="12.75" customHeight="1" x14ac:dyDescent="0.25">
      <c r="C884" s="9"/>
      <c r="G884" s="897" t="s">
        <v>16712</v>
      </c>
      <c r="H884" s="1119" t="s">
        <v>537</v>
      </c>
      <c r="I884" s="853" t="s">
        <v>4597</v>
      </c>
      <c r="J884" s="587" t="s">
        <v>17345</v>
      </c>
      <c r="K884" s="853" t="s">
        <v>5282</v>
      </c>
      <c r="L884" s="587" t="s">
        <v>1619</v>
      </c>
      <c r="M884" s="853" t="s">
        <v>16857</v>
      </c>
      <c r="N884" s="587" t="s">
        <v>4115</v>
      </c>
      <c r="O884" s="853" t="s">
        <v>9210</v>
      </c>
      <c r="P884" s="587" t="s">
        <v>11911</v>
      </c>
      <c r="Q884" s="1406"/>
      <c r="R884" s="897" t="s">
        <v>1277</v>
      </c>
      <c r="S884" s="1119" t="s">
        <v>4284</v>
      </c>
      <c r="T884" s="853" t="s">
        <v>10543</v>
      </c>
      <c r="U884" s="587" t="s">
        <v>359</v>
      </c>
      <c r="V884" s="853" t="s">
        <v>199</v>
      </c>
      <c r="W884" s="560" t="s">
        <v>198</v>
      </c>
      <c r="X884" s="1406"/>
      <c r="Y884" s="854" t="s">
        <v>17346</v>
      </c>
      <c r="Z884" s="1548"/>
      <c r="AA884" s="1406"/>
      <c r="AB884" s="2091"/>
      <c r="AC884" s="1406"/>
      <c r="AD884" s="1371"/>
      <c r="AK884" s="41"/>
      <c r="AL884" s="41"/>
      <c r="AM884" s="41"/>
      <c r="AN884" s="41"/>
      <c r="AO884" s="41"/>
      <c r="AP884" s="41"/>
      <c r="AQ884" s="41"/>
    </row>
    <row r="885" spans="1:43" ht="12.75" customHeight="1" x14ac:dyDescent="0.25">
      <c r="A885" s="1374" t="s">
        <v>726</v>
      </c>
      <c r="B885" s="1374" t="s">
        <v>1295</v>
      </c>
      <c r="C885" s="9">
        <f>SUM(G885:Y885)</f>
        <v>1</v>
      </c>
      <c r="F885" s="1431">
        <f>COUNT(G885:Y885)</f>
        <v>1</v>
      </c>
      <c r="G885" s="584"/>
      <c r="H885" s="584"/>
      <c r="I885" s="584">
        <v>1</v>
      </c>
      <c r="J885" s="2108"/>
      <c r="K885" s="584"/>
      <c r="L885" s="1447"/>
      <c r="M885" s="1447"/>
      <c r="N885" s="1447"/>
      <c r="O885" s="1447"/>
      <c r="P885" s="1447"/>
      <c r="Q885" s="1406"/>
      <c r="R885" s="1447"/>
      <c r="S885" s="1447"/>
      <c r="T885" s="1447"/>
      <c r="U885" s="1447"/>
      <c r="V885" s="1447"/>
      <c r="W885" s="1447"/>
      <c r="X885" s="1406"/>
      <c r="Y885" s="1447"/>
      <c r="Z885" s="1406"/>
      <c r="AA885" s="1406"/>
      <c r="AB885" s="2091"/>
      <c r="AC885" s="1406"/>
      <c r="AD885" s="1371"/>
      <c r="AK885" s="41"/>
      <c r="AL885" s="41"/>
      <c r="AM885" s="41"/>
      <c r="AN885" s="41"/>
      <c r="AO885" s="41"/>
      <c r="AP885" s="41"/>
      <c r="AQ885" s="41"/>
    </row>
    <row r="886" spans="1:43" ht="12.75" customHeight="1" x14ac:dyDescent="0.25">
      <c r="A886" s="1374" t="s">
        <v>3508</v>
      </c>
      <c r="B886" s="1374" t="s">
        <v>1295</v>
      </c>
      <c r="C886" s="9">
        <f t="shared" ref="C886:C896" si="171">SUM(G886:Y886)</f>
        <v>1</v>
      </c>
      <c r="F886" s="1431">
        <f t="shared" ref="F886:F896" si="172">COUNT(G886:Y886)</f>
        <v>1</v>
      </c>
      <c r="G886" s="584"/>
      <c r="H886" s="584"/>
      <c r="I886" s="584">
        <v>1</v>
      </c>
      <c r="J886" s="2108"/>
      <c r="K886" s="584"/>
      <c r="L886" s="1447"/>
      <c r="M886" s="1447"/>
      <c r="N886" s="1447"/>
      <c r="O886" s="1447"/>
      <c r="P886" s="1447"/>
      <c r="Q886" s="1406"/>
      <c r="R886" s="1447"/>
      <c r="S886" s="1447"/>
      <c r="T886" s="1447"/>
      <c r="U886" s="1447"/>
      <c r="V886" s="1447"/>
      <c r="W886" s="1447"/>
      <c r="X886" s="1406"/>
      <c r="Y886" s="1447"/>
      <c r="Z886" s="1406"/>
      <c r="AA886" s="1406"/>
      <c r="AB886" s="2091"/>
      <c r="AC886" s="1406"/>
      <c r="AD886" s="1371"/>
      <c r="AK886" s="41"/>
      <c r="AL886" s="41"/>
      <c r="AM886" s="41"/>
      <c r="AN886" s="41"/>
      <c r="AO886" s="41"/>
      <c r="AP886" s="41"/>
      <c r="AQ886" s="41"/>
    </row>
    <row r="887" spans="1:43" ht="12.75" customHeight="1" x14ac:dyDescent="0.25">
      <c r="A887" s="1370" t="s">
        <v>3508</v>
      </c>
      <c r="B887" s="1370" t="s">
        <v>3632</v>
      </c>
      <c r="C887" s="9">
        <f t="shared" si="171"/>
        <v>1</v>
      </c>
      <c r="F887" s="1431">
        <f t="shared" si="172"/>
        <v>1</v>
      </c>
      <c r="G887" s="584"/>
      <c r="H887" s="584"/>
      <c r="I887" s="584"/>
      <c r="J887" s="2108"/>
      <c r="K887" s="584"/>
      <c r="L887" s="1447"/>
      <c r="M887" s="1447"/>
      <c r="N887" s="1447"/>
      <c r="O887" s="1447">
        <v>1</v>
      </c>
      <c r="P887" s="1447"/>
      <c r="Q887" s="1406"/>
      <c r="R887" s="1447"/>
      <c r="S887" s="1447"/>
      <c r="T887" s="1447"/>
      <c r="U887" s="1447"/>
      <c r="V887" s="1447"/>
      <c r="W887" s="1447"/>
      <c r="X887" s="1406"/>
      <c r="Y887" s="1447"/>
      <c r="Z887" s="1406"/>
      <c r="AA887" s="1406"/>
      <c r="AB887" s="2091"/>
      <c r="AC887" s="1406"/>
      <c r="AD887" s="1371"/>
      <c r="AK887" s="41"/>
      <c r="AL887" s="41"/>
      <c r="AM887" s="41"/>
      <c r="AN887" s="41"/>
      <c r="AO887" s="41"/>
      <c r="AP887" s="41"/>
      <c r="AQ887" s="41"/>
    </row>
    <row r="888" spans="1:43" ht="12.75" customHeight="1" x14ac:dyDescent="0.25">
      <c r="A888" s="1370" t="s">
        <v>5540</v>
      </c>
      <c r="B888" s="1370" t="s">
        <v>5541</v>
      </c>
      <c r="C888" s="9">
        <f t="shared" si="171"/>
        <v>2</v>
      </c>
      <c r="F888" s="1431">
        <f t="shared" si="172"/>
        <v>2</v>
      </c>
      <c r="G888" s="584"/>
      <c r="H888" s="584"/>
      <c r="I888" s="584"/>
      <c r="J888" s="2108"/>
      <c r="K888" s="584"/>
      <c r="L888" s="1447"/>
      <c r="M888" s="1447"/>
      <c r="N888" s="1447"/>
      <c r="O888" s="1447"/>
      <c r="P888" s="1447"/>
      <c r="Q888" s="1406"/>
      <c r="R888" s="1447">
        <v>1</v>
      </c>
      <c r="S888" s="1447"/>
      <c r="T888" s="1447"/>
      <c r="U888" s="1447"/>
      <c r="V888" s="1447"/>
      <c r="W888" s="1447"/>
      <c r="X888" s="1406"/>
      <c r="Y888" s="1447">
        <v>1</v>
      </c>
      <c r="Z888" s="1406"/>
      <c r="AA888" s="1406"/>
      <c r="AB888" s="2091"/>
      <c r="AC888" s="1406"/>
      <c r="AD888" s="1371"/>
      <c r="AK888" s="41"/>
      <c r="AL888" s="41"/>
      <c r="AM888" s="41"/>
      <c r="AN888" s="41"/>
      <c r="AO888" s="41"/>
      <c r="AP888" s="41"/>
      <c r="AQ888" s="41"/>
    </row>
    <row r="889" spans="1:43" ht="12.75" customHeight="1" x14ac:dyDescent="0.25">
      <c r="A889" s="1374" t="s">
        <v>5980</v>
      </c>
      <c r="B889" s="1374" t="s">
        <v>4818</v>
      </c>
      <c r="C889" s="9">
        <f t="shared" si="171"/>
        <v>145</v>
      </c>
      <c r="F889" s="1431">
        <f t="shared" si="172"/>
        <v>15</v>
      </c>
      <c r="G889" s="584">
        <v>1</v>
      </c>
      <c r="H889" s="584">
        <v>1</v>
      </c>
      <c r="I889" s="584">
        <v>12</v>
      </c>
      <c r="J889" s="2108"/>
      <c r="K889" s="1447">
        <v>1</v>
      </c>
      <c r="L889" s="1447">
        <v>1</v>
      </c>
      <c r="M889" s="1447">
        <v>2</v>
      </c>
      <c r="N889" s="1447">
        <v>1</v>
      </c>
      <c r="O889" s="1447">
        <v>1</v>
      </c>
      <c r="P889" s="1447"/>
      <c r="Q889" s="1406"/>
      <c r="R889" s="1447">
        <v>82</v>
      </c>
      <c r="S889" s="1447">
        <v>4</v>
      </c>
      <c r="T889" s="1447">
        <v>1</v>
      </c>
      <c r="U889" s="1447">
        <v>29</v>
      </c>
      <c r="V889" s="1447">
        <v>2</v>
      </c>
      <c r="W889" s="1447">
        <v>5</v>
      </c>
      <c r="X889" s="1406"/>
      <c r="Y889" s="1447">
        <v>2</v>
      </c>
      <c r="Z889" s="1406"/>
      <c r="AA889" s="1406"/>
      <c r="AB889" s="2091"/>
      <c r="AC889" s="1371"/>
      <c r="AJ889" s="41"/>
      <c r="AK889" s="41"/>
      <c r="AL889" s="41"/>
      <c r="AM889" s="41"/>
      <c r="AN889" s="41"/>
      <c r="AO889" s="41"/>
      <c r="AP889" s="41"/>
    </row>
    <row r="890" spans="1:43" ht="12.75" customHeight="1" x14ac:dyDescent="0.25">
      <c r="A890" s="1370" t="s">
        <v>665</v>
      </c>
      <c r="B890" s="1370" t="s">
        <v>666</v>
      </c>
      <c r="C890" s="9">
        <f t="shared" si="171"/>
        <v>13</v>
      </c>
      <c r="F890" s="1431">
        <f t="shared" si="172"/>
        <v>12</v>
      </c>
      <c r="G890" s="584"/>
      <c r="H890" s="584">
        <v>1</v>
      </c>
      <c r="I890" s="584">
        <v>1</v>
      </c>
      <c r="J890" s="2108"/>
      <c r="K890" s="1447">
        <v>1</v>
      </c>
      <c r="L890" s="1447">
        <v>1</v>
      </c>
      <c r="M890" s="1447"/>
      <c r="N890" s="1447"/>
      <c r="O890" s="1447">
        <v>1</v>
      </c>
      <c r="P890" s="1447">
        <v>1</v>
      </c>
      <c r="Q890" s="1406"/>
      <c r="R890" s="1447">
        <v>1</v>
      </c>
      <c r="S890" s="1447">
        <v>1</v>
      </c>
      <c r="T890" s="1447"/>
      <c r="U890" s="1447">
        <v>1</v>
      </c>
      <c r="V890" s="1447">
        <v>1</v>
      </c>
      <c r="W890" s="1447">
        <v>1</v>
      </c>
      <c r="X890" s="1406"/>
      <c r="Y890" s="1447">
        <v>2</v>
      </c>
      <c r="Z890" s="1406"/>
      <c r="AA890" s="1406"/>
      <c r="AB890" s="2091"/>
      <c r="AC890" s="1371"/>
      <c r="AJ890" s="41"/>
      <c r="AK890" s="41"/>
      <c r="AL890" s="41"/>
      <c r="AM890" s="41"/>
      <c r="AN890" s="41"/>
      <c r="AO890" s="41"/>
      <c r="AP890" s="41"/>
    </row>
    <row r="891" spans="1:43" ht="12.75" customHeight="1" x14ac:dyDescent="0.25">
      <c r="A891" s="1370" t="s">
        <v>2342</v>
      </c>
      <c r="B891" s="1370" t="s">
        <v>2343</v>
      </c>
      <c r="C891" s="9">
        <f t="shared" si="171"/>
        <v>4</v>
      </c>
      <c r="F891" s="1431">
        <f t="shared" si="172"/>
        <v>3</v>
      </c>
      <c r="G891" s="584"/>
      <c r="H891" s="584">
        <v>1</v>
      </c>
      <c r="I891" s="584"/>
      <c r="J891" s="2108"/>
      <c r="K891" s="1447"/>
      <c r="L891" s="1447"/>
      <c r="M891" s="1447"/>
      <c r="N891" s="1447"/>
      <c r="O891" s="1447"/>
      <c r="P891" s="1447"/>
      <c r="Q891" s="1406"/>
      <c r="R891" s="1447"/>
      <c r="S891" s="1447"/>
      <c r="T891" s="1447"/>
      <c r="U891" s="1447"/>
      <c r="V891" s="1447"/>
      <c r="W891" s="1447">
        <v>2</v>
      </c>
      <c r="X891" s="1406"/>
      <c r="Y891" s="1447">
        <v>1</v>
      </c>
      <c r="Z891" s="1406"/>
      <c r="AA891" s="1406"/>
      <c r="AB891" s="2091"/>
      <c r="AC891" s="1371"/>
      <c r="AJ891" s="41"/>
      <c r="AK891" s="41"/>
      <c r="AL891" s="41"/>
      <c r="AM891" s="41"/>
      <c r="AN891" s="41"/>
      <c r="AO891" s="41"/>
      <c r="AP891" s="41"/>
    </row>
    <row r="892" spans="1:43" ht="12.75" customHeight="1" x14ac:dyDescent="0.25">
      <c r="A892" s="1370" t="s">
        <v>2478</v>
      </c>
      <c r="B892" s="1370" t="s">
        <v>2479</v>
      </c>
      <c r="C892" s="9">
        <f t="shared" si="171"/>
        <v>1</v>
      </c>
      <c r="F892" s="1431">
        <f t="shared" si="172"/>
        <v>1</v>
      </c>
      <c r="G892" s="584"/>
      <c r="H892" s="584"/>
      <c r="I892" s="584"/>
      <c r="J892" s="2108"/>
      <c r="K892" s="1447"/>
      <c r="L892" s="1447">
        <v>1</v>
      </c>
      <c r="M892" s="1447"/>
      <c r="N892" s="1447"/>
      <c r="O892" s="1447"/>
      <c r="P892" s="1447"/>
      <c r="Q892" s="1406"/>
      <c r="R892" s="1447"/>
      <c r="S892" s="1447"/>
      <c r="T892" s="1447"/>
      <c r="U892" s="1447"/>
      <c r="V892" s="1447"/>
      <c r="W892" s="1447"/>
      <c r="X892" s="1406"/>
      <c r="Y892" s="1447"/>
      <c r="Z892" s="1406"/>
      <c r="AA892" s="1406"/>
      <c r="AB892" s="2091"/>
      <c r="AC892" s="1371"/>
      <c r="AJ892" s="41"/>
      <c r="AK892" s="41"/>
      <c r="AL892" s="41"/>
      <c r="AM892" s="41"/>
      <c r="AN892" s="41"/>
      <c r="AO892" s="41"/>
      <c r="AP892" s="41"/>
    </row>
    <row r="893" spans="1:43" ht="12.75" customHeight="1" x14ac:dyDescent="0.25">
      <c r="A893" s="1370" t="s">
        <v>10186</v>
      </c>
      <c r="B893" s="1370" t="s">
        <v>10187</v>
      </c>
      <c r="C893" s="9">
        <f t="shared" si="171"/>
        <v>1</v>
      </c>
      <c r="F893" s="1431">
        <f t="shared" si="172"/>
        <v>1</v>
      </c>
      <c r="G893" s="584"/>
      <c r="H893" s="584"/>
      <c r="I893" s="584"/>
      <c r="J893" s="2108"/>
      <c r="K893" s="1447"/>
      <c r="L893" s="1447"/>
      <c r="M893" s="1447"/>
      <c r="N893" s="1447"/>
      <c r="O893" s="1447"/>
      <c r="P893" s="1447"/>
      <c r="Q893" s="1406"/>
      <c r="R893" s="1447"/>
      <c r="S893" s="1447"/>
      <c r="T893" s="1447">
        <v>1</v>
      </c>
      <c r="U893" s="1447"/>
      <c r="V893" s="1447"/>
      <c r="W893" s="1447"/>
      <c r="X893" s="1406"/>
      <c r="Y893" s="1447"/>
      <c r="Z893" s="1406"/>
      <c r="AA893" s="1406"/>
      <c r="AB893" s="2091"/>
      <c r="AC893" s="1371"/>
      <c r="AJ893" s="41"/>
      <c r="AK893" s="41"/>
      <c r="AL893" s="41"/>
      <c r="AM893" s="41"/>
      <c r="AN893" s="41"/>
      <c r="AO893" s="41"/>
      <c r="AP893" s="41"/>
    </row>
    <row r="894" spans="1:43" ht="12.75" customHeight="1" x14ac:dyDescent="0.25">
      <c r="A894" s="1370" t="s">
        <v>2349</v>
      </c>
      <c r="B894" s="1370" t="s">
        <v>2350</v>
      </c>
      <c r="C894" s="9">
        <f t="shared" si="171"/>
        <v>1</v>
      </c>
      <c r="F894" s="1431">
        <f t="shared" si="172"/>
        <v>1</v>
      </c>
      <c r="G894" s="584"/>
      <c r="H894" s="584"/>
      <c r="I894" s="584"/>
      <c r="J894" s="2108"/>
      <c r="K894" s="1447"/>
      <c r="L894" s="1447"/>
      <c r="M894" s="1447"/>
      <c r="N894" s="1447"/>
      <c r="O894" s="1447"/>
      <c r="P894" s="1447"/>
      <c r="Q894" s="1406"/>
      <c r="R894" s="1447"/>
      <c r="S894" s="1447"/>
      <c r="T894" s="1447">
        <v>1</v>
      </c>
      <c r="U894" s="1447"/>
      <c r="V894" s="1447"/>
      <c r="W894" s="1447"/>
      <c r="X894" s="1406"/>
      <c r="Y894" s="1447"/>
      <c r="Z894" s="1406"/>
      <c r="AA894" s="1406"/>
      <c r="AB894" s="2091"/>
      <c r="AC894" s="1371"/>
      <c r="AJ894" s="41"/>
      <c r="AK894" s="41"/>
      <c r="AL894" s="41"/>
      <c r="AM894" s="41"/>
      <c r="AN894" s="41"/>
      <c r="AO894" s="41"/>
      <c r="AP894" s="41"/>
    </row>
    <row r="895" spans="1:43" ht="12.75" customHeight="1" x14ac:dyDescent="0.25">
      <c r="A895" s="1370" t="s">
        <v>5788</v>
      </c>
      <c r="B895" s="1370" t="s">
        <v>5789</v>
      </c>
      <c r="C895" s="9">
        <f t="shared" si="171"/>
        <v>3</v>
      </c>
      <c r="F895" s="1431">
        <f t="shared" si="172"/>
        <v>1</v>
      </c>
      <c r="G895" s="584"/>
      <c r="H895" s="584"/>
      <c r="I895" s="584"/>
      <c r="J895" s="2108"/>
      <c r="K895" s="1447"/>
      <c r="L895" s="1447"/>
      <c r="M895" s="1447"/>
      <c r="N895" s="1447"/>
      <c r="O895" s="1447"/>
      <c r="P895" s="1447"/>
      <c r="Q895" s="1406"/>
      <c r="R895" s="1447"/>
      <c r="S895" s="1447"/>
      <c r="T895" s="1447"/>
      <c r="U895" s="1447"/>
      <c r="V895" s="1447"/>
      <c r="W895" s="1447"/>
      <c r="X895" s="1406"/>
      <c r="Y895" s="1447">
        <v>3</v>
      </c>
      <c r="Z895" s="1406"/>
      <c r="AA895" s="1406"/>
      <c r="AB895" s="2091"/>
      <c r="AC895" s="1371"/>
      <c r="AJ895" s="41"/>
      <c r="AK895" s="41"/>
      <c r="AL895" s="41"/>
      <c r="AM895" s="41"/>
      <c r="AN895" s="41"/>
      <c r="AO895" s="41"/>
      <c r="AP895" s="41"/>
    </row>
    <row r="896" spans="1:43" ht="12.75" customHeight="1" x14ac:dyDescent="0.25">
      <c r="A896" s="1370" t="s">
        <v>3960</v>
      </c>
      <c r="B896" s="1370" t="s">
        <v>3961</v>
      </c>
      <c r="C896" s="9">
        <f t="shared" si="171"/>
        <v>3</v>
      </c>
      <c r="F896" s="1431">
        <f t="shared" si="172"/>
        <v>3</v>
      </c>
      <c r="G896" s="584"/>
      <c r="H896" s="584"/>
      <c r="I896" s="584"/>
      <c r="J896" s="2108"/>
      <c r="K896" s="1447"/>
      <c r="L896" s="1447">
        <v>1</v>
      </c>
      <c r="M896" s="1447"/>
      <c r="N896" s="1447"/>
      <c r="O896" s="1447"/>
      <c r="P896" s="1447"/>
      <c r="Q896" s="1406"/>
      <c r="R896" s="1447">
        <v>1</v>
      </c>
      <c r="S896" s="1447"/>
      <c r="T896" s="1447">
        <v>1</v>
      </c>
      <c r="U896" s="1447"/>
      <c r="V896" s="1447"/>
      <c r="W896" s="1447"/>
      <c r="X896" s="1406"/>
      <c r="Y896" s="1447"/>
      <c r="Z896" s="1406"/>
      <c r="AA896" s="1406"/>
      <c r="AB896" s="2091"/>
      <c r="AC896" s="1371"/>
      <c r="AJ896" s="41"/>
      <c r="AK896" s="41"/>
      <c r="AL896" s="41"/>
      <c r="AM896" s="41"/>
      <c r="AN896" s="41"/>
      <c r="AO896" s="41"/>
      <c r="AP896" s="41"/>
    </row>
    <row r="897" spans="1:42" ht="12.75" customHeight="1" x14ac:dyDescent="0.25">
      <c r="A897" s="1370"/>
      <c r="B897" s="1370"/>
      <c r="C897" s="20">
        <f>SUM(C885:C896)</f>
        <v>176</v>
      </c>
      <c r="G897" s="637">
        <f>SUM(G885:G896)</f>
        <v>1</v>
      </c>
      <c r="H897" s="637">
        <f t="shared" ref="H897:W897" si="173">SUM(H885:H896)</f>
        <v>3</v>
      </c>
      <c r="I897" s="637">
        <f t="shared" si="173"/>
        <v>15</v>
      </c>
      <c r="J897" s="637">
        <f t="shared" si="173"/>
        <v>0</v>
      </c>
      <c r="K897" s="637">
        <f t="shared" si="173"/>
        <v>2</v>
      </c>
      <c r="L897" s="637">
        <f t="shared" si="173"/>
        <v>4</v>
      </c>
      <c r="M897" s="637">
        <f t="shared" si="173"/>
        <v>2</v>
      </c>
      <c r="N897" s="637">
        <f t="shared" si="173"/>
        <v>1</v>
      </c>
      <c r="O897" s="637">
        <f t="shared" si="173"/>
        <v>3</v>
      </c>
      <c r="P897" s="637">
        <f t="shared" si="173"/>
        <v>1</v>
      </c>
      <c r="Q897" s="1837"/>
      <c r="R897" s="637">
        <f t="shared" si="173"/>
        <v>85</v>
      </c>
      <c r="S897" s="637">
        <f t="shared" si="173"/>
        <v>5</v>
      </c>
      <c r="T897" s="637">
        <f t="shared" si="173"/>
        <v>4</v>
      </c>
      <c r="U897" s="637">
        <f t="shared" si="173"/>
        <v>30</v>
      </c>
      <c r="V897" s="637">
        <f t="shared" si="173"/>
        <v>3</v>
      </c>
      <c r="W897" s="637">
        <f t="shared" si="173"/>
        <v>8</v>
      </c>
      <c r="X897" s="1695"/>
      <c r="Y897" s="637">
        <f t="shared" ref="Y897" si="174">SUM(Y885:Y896)</f>
        <v>9</v>
      </c>
      <c r="Z897" s="1406"/>
      <c r="AA897" s="1406"/>
      <c r="AB897" s="2091"/>
      <c r="AC897" s="1371"/>
      <c r="AJ897" s="41"/>
      <c r="AK897" s="41"/>
      <c r="AL897" s="41"/>
      <c r="AM897" s="41"/>
      <c r="AN897" s="41"/>
      <c r="AO897" s="41"/>
      <c r="AP897" s="41"/>
    </row>
    <row r="898" spans="1:42" ht="12.75" customHeight="1" x14ac:dyDescent="0.25">
      <c r="A898" s="1370"/>
      <c r="B898" s="1370"/>
      <c r="C898" s="9"/>
      <c r="G898" s="637">
        <f>COUNT(G885:G896)</f>
        <v>1</v>
      </c>
      <c r="H898" s="637">
        <f t="shared" ref="H898:W898" si="175">COUNT(H885:H896)</f>
        <v>3</v>
      </c>
      <c r="I898" s="637">
        <f t="shared" si="175"/>
        <v>4</v>
      </c>
      <c r="J898" s="637">
        <f t="shared" si="175"/>
        <v>0</v>
      </c>
      <c r="K898" s="637">
        <f t="shared" si="175"/>
        <v>2</v>
      </c>
      <c r="L898" s="637">
        <f t="shared" si="175"/>
        <v>4</v>
      </c>
      <c r="M898" s="637">
        <f t="shared" si="175"/>
        <v>1</v>
      </c>
      <c r="N898" s="637">
        <f t="shared" si="175"/>
        <v>1</v>
      </c>
      <c r="O898" s="637">
        <f t="shared" si="175"/>
        <v>3</v>
      </c>
      <c r="P898" s="637">
        <f t="shared" si="175"/>
        <v>1</v>
      </c>
      <c r="Q898" s="1837"/>
      <c r="R898" s="637">
        <f t="shared" si="175"/>
        <v>4</v>
      </c>
      <c r="S898" s="637">
        <f t="shared" si="175"/>
        <v>2</v>
      </c>
      <c r="T898" s="637">
        <f t="shared" si="175"/>
        <v>4</v>
      </c>
      <c r="U898" s="637">
        <f t="shared" si="175"/>
        <v>2</v>
      </c>
      <c r="V898" s="637">
        <f t="shared" si="175"/>
        <v>2</v>
      </c>
      <c r="W898" s="637">
        <f t="shared" si="175"/>
        <v>3</v>
      </c>
      <c r="X898" s="1695"/>
      <c r="Y898" s="637">
        <f t="shared" ref="Y898" si="176">COUNT(Y885:Y896)</f>
        <v>5</v>
      </c>
      <c r="Z898" s="1406"/>
      <c r="AA898" s="1406"/>
      <c r="AB898" s="2091"/>
      <c r="AC898" s="1371"/>
      <c r="AJ898" s="41"/>
      <c r="AK898" s="41"/>
      <c r="AL898" s="41"/>
      <c r="AM898" s="41"/>
      <c r="AN898" s="41"/>
      <c r="AO898" s="41"/>
      <c r="AP898" s="41"/>
    </row>
    <row r="899" spans="1:42" ht="12.75" customHeight="1" x14ac:dyDescent="0.25">
      <c r="A899" s="1370"/>
      <c r="B899" s="1370"/>
      <c r="C899" s="9"/>
      <c r="G899" s="669" t="s">
        <v>17347</v>
      </c>
      <c r="H899" s="669"/>
      <c r="I899" s="996" t="s">
        <v>2312</v>
      </c>
      <c r="J899" s="996"/>
      <c r="K899" s="996" t="s">
        <v>615</v>
      </c>
      <c r="L899" s="996"/>
      <c r="M899" s="996" t="s">
        <v>15901</v>
      </c>
      <c r="N899" s="996"/>
      <c r="O899" s="996" t="s">
        <v>9791</v>
      </c>
      <c r="P899" s="996"/>
      <c r="Q899" s="996"/>
      <c r="R899" s="996" t="s">
        <v>5656</v>
      </c>
      <c r="S899" s="996"/>
      <c r="T899" s="996" t="s">
        <v>10558</v>
      </c>
      <c r="U899" s="996"/>
      <c r="V899" s="996" t="s">
        <v>4339</v>
      </c>
      <c r="W899" s="996"/>
      <c r="X899" s="996"/>
      <c r="Y899" s="996" t="s">
        <v>3595</v>
      </c>
      <c r="Z899" s="996"/>
      <c r="AA899" s="1406"/>
      <c r="AB899" s="2091"/>
      <c r="AC899" s="1371"/>
      <c r="AJ899" s="41"/>
      <c r="AK899" s="41"/>
      <c r="AL899" s="41"/>
      <c r="AM899" s="41"/>
      <c r="AN899" s="41"/>
      <c r="AO899" s="41"/>
      <c r="AP899" s="41"/>
    </row>
    <row r="900" spans="1:42" ht="12.75" customHeight="1" x14ac:dyDescent="0.25">
      <c r="A900" s="1370"/>
      <c r="B900" s="1370"/>
      <c r="C900" s="9"/>
      <c r="G900" s="515"/>
      <c r="H900" s="515" t="s">
        <v>2041</v>
      </c>
      <c r="I900" s="539"/>
      <c r="J900" s="539" t="s">
        <v>17348</v>
      </c>
      <c r="K900" s="539"/>
      <c r="L900" s="539" t="s">
        <v>2588</v>
      </c>
      <c r="M900" s="539"/>
      <c r="N900" s="539" t="s">
        <v>6420</v>
      </c>
      <c r="O900" s="539"/>
      <c r="P900" s="539" t="s">
        <v>12212</v>
      </c>
      <c r="Q900" s="539"/>
      <c r="R900" s="539"/>
      <c r="S900" s="558" t="s">
        <v>4282</v>
      </c>
      <c r="T900" s="558"/>
      <c r="U900" s="558" t="s">
        <v>5366</v>
      </c>
      <c r="V900" s="539"/>
      <c r="W900" s="539" t="s">
        <v>282</v>
      </c>
      <c r="X900" s="539"/>
      <c r="Y900" s="535" t="s">
        <v>1212</v>
      </c>
      <c r="Z900" s="1406"/>
      <c r="AA900" s="1406"/>
      <c r="AB900" s="2091"/>
      <c r="AC900" s="1371"/>
      <c r="AJ900" s="41"/>
      <c r="AK900" s="41"/>
      <c r="AL900" s="41"/>
      <c r="AM900" s="41"/>
      <c r="AN900" s="41"/>
      <c r="AO900" s="41"/>
      <c r="AP900" s="41"/>
    </row>
    <row r="901" spans="1:42" ht="12.75" customHeight="1" x14ac:dyDescent="0.25">
      <c r="A901" s="1370"/>
      <c r="B901" s="1370"/>
      <c r="C901" s="9"/>
      <c r="G901" s="45"/>
      <c r="H901" s="45"/>
      <c r="I901" s="111"/>
      <c r="J901" s="2107" t="s">
        <v>17363</v>
      </c>
      <c r="K901" s="1954"/>
      <c r="L901" s="1954"/>
      <c r="M901" s="1954"/>
      <c r="N901" s="1954"/>
      <c r="O901" s="1954"/>
      <c r="P901" s="1954"/>
      <c r="Q901" s="1406"/>
      <c r="R901" s="1406"/>
      <c r="S901" s="1406"/>
      <c r="T901" s="1406"/>
      <c r="U901" s="1406"/>
      <c r="V901" s="1406"/>
      <c r="W901" s="1406"/>
      <c r="X901" s="1406"/>
      <c r="Y901" s="1406"/>
      <c r="Z901" s="1406"/>
      <c r="AA901" s="1406"/>
      <c r="AB901" s="2091"/>
      <c r="AC901" s="1371"/>
      <c r="AJ901" s="41"/>
      <c r="AK901" s="41"/>
      <c r="AL901" s="41"/>
      <c r="AM901" s="41"/>
      <c r="AN901" s="41"/>
      <c r="AO901" s="41"/>
      <c r="AP901" s="41"/>
    </row>
    <row r="902" spans="1:42" ht="12.75" customHeight="1" x14ac:dyDescent="0.25">
      <c r="C902" s="9"/>
      <c r="G902" s="2" t="s">
        <v>5469</v>
      </c>
      <c r="H902" s="185"/>
      <c r="I902" s="364"/>
      <c r="J902" s="364"/>
      <c r="K902" s="1406"/>
      <c r="L902" s="1406"/>
      <c r="M902" s="1406"/>
      <c r="N902" s="1958" t="s">
        <v>5470</v>
      </c>
      <c r="O902" s="1406"/>
      <c r="P902" s="1406"/>
      <c r="Q902" s="1406"/>
      <c r="R902" s="1406"/>
      <c r="S902" s="1406"/>
      <c r="T902" s="1406"/>
      <c r="U902" s="1406"/>
      <c r="V902" s="1406"/>
      <c r="W902" s="2094" t="s">
        <v>16408</v>
      </c>
      <c r="X902" s="1406"/>
      <c r="Y902" s="1406"/>
      <c r="Z902" s="1406"/>
      <c r="AA902" s="1406"/>
      <c r="AB902" s="2093"/>
      <c r="AC902" s="1371"/>
      <c r="AJ902" s="41"/>
      <c r="AK902" s="41"/>
      <c r="AL902" s="41"/>
      <c r="AM902" s="41"/>
      <c r="AN902" s="41"/>
      <c r="AO902" s="41"/>
      <c r="AP902" s="41"/>
    </row>
    <row r="903" spans="1:42" ht="12.75" customHeight="1" x14ac:dyDescent="0.25">
      <c r="C903" s="9"/>
      <c r="F903" s="81"/>
      <c r="G903" s="1423" t="s">
        <v>12784</v>
      </c>
      <c r="H903" s="1119" t="s">
        <v>6422</v>
      </c>
      <c r="I903" s="1802" t="s">
        <v>5296</v>
      </c>
      <c r="J903" s="587" t="s">
        <v>1331</v>
      </c>
      <c r="K903" s="1802" t="s">
        <v>2917</v>
      </c>
      <c r="L903" s="587" t="s">
        <v>6419</v>
      </c>
      <c r="M903" s="1839"/>
      <c r="N903" s="1802" t="s">
        <v>3032</v>
      </c>
      <c r="O903" s="540" t="s">
        <v>808</v>
      </c>
      <c r="P903" s="1802" t="s">
        <v>17350</v>
      </c>
      <c r="Q903" s="587" t="s">
        <v>11075</v>
      </c>
      <c r="R903" s="1802" t="s">
        <v>197</v>
      </c>
      <c r="S903" s="587" t="s">
        <v>10979</v>
      </c>
      <c r="T903" s="1802" t="s">
        <v>17351</v>
      </c>
      <c r="U903" s="587" t="s">
        <v>12636</v>
      </c>
      <c r="V903" s="1839"/>
      <c r="W903" s="1972" t="s">
        <v>12657</v>
      </c>
      <c r="X903" s="1839"/>
      <c r="Y903" s="2100" t="s">
        <v>16968</v>
      </c>
      <c r="Z903" s="1839"/>
      <c r="AA903" s="1839"/>
      <c r="AB903" s="2093"/>
      <c r="AC903" s="1371"/>
      <c r="AJ903" s="41"/>
      <c r="AK903" s="41"/>
      <c r="AL903" s="41"/>
      <c r="AM903" s="41"/>
      <c r="AN903" s="41"/>
      <c r="AO903" s="41"/>
      <c r="AP903" s="41"/>
    </row>
    <row r="904" spans="1:42" ht="12.75" customHeight="1" x14ac:dyDescent="0.25">
      <c r="A904" s="1374" t="s">
        <v>3230</v>
      </c>
      <c r="B904" s="1374" t="s">
        <v>11625</v>
      </c>
      <c r="C904" s="9">
        <f t="shared" ref="C904:C910" si="177">SUM(G904:W904)</f>
        <v>1</v>
      </c>
      <c r="E904" s="2096">
        <f>COUNT(W904:W904)</f>
        <v>1</v>
      </c>
      <c r="F904" s="2097">
        <f t="shared" ref="F904:F910" si="178">COUNT(G904:U904)</f>
        <v>0</v>
      </c>
      <c r="G904" s="584"/>
      <c r="H904" s="584"/>
      <c r="I904" s="584"/>
      <c r="J904" s="584"/>
      <c r="K904" s="1447"/>
      <c r="L904" s="1447"/>
      <c r="M904" s="1839"/>
      <c r="N904" s="1447"/>
      <c r="O904" s="1447"/>
      <c r="P904" s="1447"/>
      <c r="Q904" s="1447"/>
      <c r="R904" s="1447"/>
      <c r="S904" s="1447"/>
      <c r="T904" s="1447"/>
      <c r="U904" s="1447"/>
      <c r="V904" s="1839"/>
      <c r="W904" s="1447">
        <v>1</v>
      </c>
      <c r="X904" s="1839"/>
      <c r="Y904" s="1415" t="s">
        <v>6426</v>
      </c>
      <c r="Z904" s="1415"/>
      <c r="AA904" s="1415"/>
      <c r="AB904" s="2093"/>
      <c r="AC904" s="1371"/>
      <c r="AJ904" s="41"/>
      <c r="AK904" s="41"/>
      <c r="AL904" s="41"/>
      <c r="AM904" s="41"/>
      <c r="AN904" s="41"/>
      <c r="AO904" s="41"/>
      <c r="AP904" s="41"/>
    </row>
    <row r="905" spans="1:42" ht="12.75" customHeight="1" x14ac:dyDescent="0.25">
      <c r="A905" s="1370" t="s">
        <v>1796</v>
      </c>
      <c r="B905" s="1370" t="s">
        <v>1797</v>
      </c>
      <c r="C905" s="9">
        <f t="shared" si="177"/>
        <v>1</v>
      </c>
      <c r="E905" s="2095"/>
      <c r="F905" s="2097">
        <f t="shared" si="178"/>
        <v>1</v>
      </c>
      <c r="G905" s="584"/>
      <c r="H905" s="584">
        <v>1</v>
      </c>
      <c r="I905" s="584"/>
      <c r="J905" s="584"/>
      <c r="K905" s="1447"/>
      <c r="L905" s="1447"/>
      <c r="M905" s="1839"/>
      <c r="N905" s="1447"/>
      <c r="O905" s="1447"/>
      <c r="P905" s="1447"/>
      <c r="Q905" s="1447"/>
      <c r="R905" s="1447"/>
      <c r="S905" s="1447"/>
      <c r="T905" s="1447"/>
      <c r="U905" s="1447"/>
      <c r="V905" s="1839"/>
      <c r="W905" s="1972"/>
      <c r="X905" s="1839"/>
      <c r="Y905" s="1415" t="s">
        <v>17354</v>
      </c>
      <c r="Z905" s="1415"/>
      <c r="AA905" s="1415"/>
      <c r="AB905" s="2093"/>
      <c r="AC905" s="1371"/>
      <c r="AJ905" s="41"/>
      <c r="AK905" s="41"/>
      <c r="AL905" s="41"/>
      <c r="AM905" s="41"/>
      <c r="AN905" s="41"/>
      <c r="AO905" s="41"/>
      <c r="AP905" s="41"/>
    </row>
    <row r="906" spans="1:42" ht="12.75" customHeight="1" x14ac:dyDescent="0.25">
      <c r="A906" s="1374" t="s">
        <v>5980</v>
      </c>
      <c r="B906" s="1374" t="s">
        <v>4818</v>
      </c>
      <c r="C906" s="9">
        <f t="shared" si="177"/>
        <v>8</v>
      </c>
      <c r="E906" s="2095"/>
      <c r="F906" s="2097">
        <f t="shared" si="178"/>
        <v>7</v>
      </c>
      <c r="G906" s="584">
        <v>1</v>
      </c>
      <c r="H906" s="584"/>
      <c r="I906" s="584">
        <v>2</v>
      </c>
      <c r="J906" s="584">
        <v>1</v>
      </c>
      <c r="K906" s="1447">
        <v>1</v>
      </c>
      <c r="L906" s="1447">
        <v>1</v>
      </c>
      <c r="M906" s="1839"/>
      <c r="N906" s="1447">
        <v>1</v>
      </c>
      <c r="O906" s="1447"/>
      <c r="P906" s="1447"/>
      <c r="Q906" s="1447"/>
      <c r="R906" s="1447">
        <v>1</v>
      </c>
      <c r="S906" s="1447"/>
      <c r="T906" s="1447"/>
      <c r="U906" s="1447"/>
      <c r="V906" s="1839"/>
      <c r="W906" s="1972"/>
      <c r="X906" s="1839"/>
      <c r="Y906" s="1415" t="s">
        <v>10401</v>
      </c>
      <c r="Z906" s="1415"/>
      <c r="AA906" s="1415"/>
      <c r="AB906" s="2093"/>
      <c r="AC906" s="1371"/>
      <c r="AJ906" s="41"/>
      <c r="AK906" s="41"/>
      <c r="AL906" s="41"/>
      <c r="AM906" s="41"/>
      <c r="AN906" s="41"/>
      <c r="AO906" s="41"/>
      <c r="AP906" s="41"/>
    </row>
    <row r="907" spans="1:42" ht="12.75" customHeight="1" x14ac:dyDescent="0.25">
      <c r="A907" s="1370" t="s">
        <v>4640</v>
      </c>
      <c r="B907" s="1370" t="s">
        <v>4641</v>
      </c>
      <c r="C907" s="9">
        <f t="shared" si="177"/>
        <v>1</v>
      </c>
      <c r="E907" s="2095"/>
      <c r="F907" s="2097">
        <f t="shared" si="178"/>
        <v>1</v>
      </c>
      <c r="G907" s="584"/>
      <c r="H907" s="584"/>
      <c r="I907" s="584"/>
      <c r="J907" s="584"/>
      <c r="K907" s="1447"/>
      <c r="L907" s="1447"/>
      <c r="M907" s="1839"/>
      <c r="N907" s="1447"/>
      <c r="O907" s="1447"/>
      <c r="P907" s="1447"/>
      <c r="Q907" s="1447"/>
      <c r="R907" s="1447">
        <v>1</v>
      </c>
      <c r="S907" s="1447"/>
      <c r="T907" s="1447"/>
      <c r="U907" s="1447"/>
      <c r="V907" s="1839"/>
      <c r="W907" s="1972"/>
      <c r="X907" s="1839"/>
      <c r="Y907" s="1415" t="s">
        <v>17355</v>
      </c>
      <c r="Z907" s="1415"/>
      <c r="AA907" s="1415"/>
      <c r="AB907" s="2093"/>
      <c r="AC907" s="1371"/>
      <c r="AJ907" s="41"/>
      <c r="AK907" s="41"/>
      <c r="AL907" s="41"/>
      <c r="AM907" s="41"/>
      <c r="AN907" s="41"/>
      <c r="AO907" s="41"/>
      <c r="AP907" s="41"/>
    </row>
    <row r="908" spans="1:42" ht="12.75" customHeight="1" x14ac:dyDescent="0.25">
      <c r="A908" s="1370" t="s">
        <v>13403</v>
      </c>
      <c r="B908" s="1370" t="s">
        <v>13368</v>
      </c>
      <c r="C908" s="9">
        <f t="shared" si="177"/>
        <v>1</v>
      </c>
      <c r="E908" s="2096">
        <f>COUNT(W908:W908)</f>
        <v>1</v>
      </c>
      <c r="F908" s="2097">
        <f t="shared" si="178"/>
        <v>0</v>
      </c>
      <c r="G908" s="584"/>
      <c r="H908" s="584"/>
      <c r="I908" s="584"/>
      <c r="J908" s="584"/>
      <c r="K908" s="1447"/>
      <c r="L908" s="1447"/>
      <c r="M908" s="1839"/>
      <c r="N908" s="1447"/>
      <c r="O908" s="1447"/>
      <c r="P908" s="1447"/>
      <c r="Q908" s="1447"/>
      <c r="R908" s="1447"/>
      <c r="S908" s="1447"/>
      <c r="T908" s="1447"/>
      <c r="U908" s="1447"/>
      <c r="V908" s="1839"/>
      <c r="W908" s="1447">
        <v>1</v>
      </c>
      <c r="X908" s="1839"/>
      <c r="Y908" s="1415" t="s">
        <v>17356</v>
      </c>
      <c r="Z908" s="1415"/>
      <c r="AA908" s="1415"/>
      <c r="AB908" s="2093"/>
      <c r="AC908" s="1371"/>
      <c r="AJ908" s="41"/>
      <c r="AK908" s="41"/>
      <c r="AL908" s="41"/>
      <c r="AM908" s="41"/>
      <c r="AN908" s="41"/>
      <c r="AO908" s="41"/>
      <c r="AP908" s="41"/>
    </row>
    <row r="909" spans="1:42" ht="12.75" customHeight="1" x14ac:dyDescent="0.25">
      <c r="A909" s="1374" t="s">
        <v>2137</v>
      </c>
      <c r="B909" s="1374" t="s">
        <v>4943</v>
      </c>
      <c r="C909" s="9">
        <f t="shared" si="177"/>
        <v>1</v>
      </c>
      <c r="F909" s="2097">
        <f t="shared" si="178"/>
        <v>1</v>
      </c>
      <c r="G909" s="584"/>
      <c r="H909" s="584">
        <v>1</v>
      </c>
      <c r="I909" s="584"/>
      <c r="J909" s="584"/>
      <c r="K909" s="1447"/>
      <c r="L909" s="1447"/>
      <c r="M909" s="1839"/>
      <c r="N909" s="1447"/>
      <c r="O909" s="1447"/>
      <c r="P909" s="1447"/>
      <c r="Q909" s="1447"/>
      <c r="R909" s="1447"/>
      <c r="S909" s="1447"/>
      <c r="T909" s="1447"/>
      <c r="U909" s="1447"/>
      <c r="V909" s="1839"/>
      <c r="W909" s="1972"/>
      <c r="X909" s="1839"/>
      <c r="Y909" s="1415"/>
      <c r="Z909" s="1415"/>
      <c r="AA909" s="1415"/>
      <c r="AB909" s="2093"/>
      <c r="AC909" s="1371"/>
      <c r="AJ909" s="41"/>
      <c r="AK909" s="41"/>
      <c r="AL909" s="41"/>
      <c r="AM909" s="41"/>
      <c r="AN909" s="41"/>
      <c r="AO909" s="41"/>
      <c r="AP909" s="41"/>
    </row>
    <row r="910" spans="1:42" ht="12.75" customHeight="1" x14ac:dyDescent="0.25">
      <c r="A910" s="1374" t="s">
        <v>5788</v>
      </c>
      <c r="B910" s="1374" t="s">
        <v>5789</v>
      </c>
      <c r="C910" s="9">
        <f t="shared" si="177"/>
        <v>4</v>
      </c>
      <c r="F910" s="2097">
        <f t="shared" si="178"/>
        <v>2</v>
      </c>
      <c r="G910" s="584"/>
      <c r="H910" s="584"/>
      <c r="I910" s="584"/>
      <c r="J910" s="584"/>
      <c r="K910" s="1447"/>
      <c r="L910" s="1447"/>
      <c r="M910" s="1839"/>
      <c r="N910" s="1447">
        <v>1</v>
      </c>
      <c r="O910" s="1447"/>
      <c r="P910" s="1447"/>
      <c r="Q910" s="1447"/>
      <c r="R910" s="1447"/>
      <c r="S910" s="1447"/>
      <c r="T910" s="1447"/>
      <c r="U910" s="1447">
        <v>3</v>
      </c>
      <c r="V910" s="1839"/>
      <c r="W910" s="1972"/>
      <c r="X910" s="1839"/>
      <c r="Y910" s="1415"/>
      <c r="Z910" s="1415"/>
      <c r="AA910" s="1415"/>
      <c r="AB910" s="2093"/>
      <c r="AC910" s="1371"/>
      <c r="AJ910" s="41"/>
      <c r="AK910" s="41"/>
      <c r="AL910" s="41"/>
      <c r="AM910" s="41"/>
      <c r="AN910" s="41"/>
      <c r="AO910" s="41"/>
      <c r="AP910" s="41"/>
    </row>
    <row r="911" spans="1:42" ht="12.75" customHeight="1" x14ac:dyDescent="0.25">
      <c r="C911" s="20">
        <f>SUM(C904:C910)</f>
        <v>17</v>
      </c>
      <c r="F911" s="81"/>
      <c r="G911" s="637">
        <f>SUM(G904:G910)</f>
        <v>1</v>
      </c>
      <c r="H911" s="637">
        <f t="shared" ref="H911:U911" si="179">SUM(H904:H910)</f>
        <v>2</v>
      </c>
      <c r="I911" s="637">
        <f t="shared" si="179"/>
        <v>2</v>
      </c>
      <c r="J911" s="637">
        <f t="shared" si="179"/>
        <v>1</v>
      </c>
      <c r="K911" s="637">
        <f t="shared" si="179"/>
        <v>1</v>
      </c>
      <c r="L911" s="2101">
        <f t="shared" si="179"/>
        <v>1</v>
      </c>
      <c r="M911" s="1695"/>
      <c r="N911" s="637">
        <f t="shared" si="179"/>
        <v>2</v>
      </c>
      <c r="O911" s="1447"/>
      <c r="P911" s="1447"/>
      <c r="Q911" s="1447"/>
      <c r="R911" s="637">
        <f t="shared" si="179"/>
        <v>2</v>
      </c>
      <c r="S911" s="1447"/>
      <c r="T911" s="1447"/>
      <c r="U911" s="637">
        <f t="shared" si="179"/>
        <v>3</v>
      </c>
      <c r="V911" s="1839"/>
      <c r="W911" s="1972"/>
      <c r="X911" s="1839"/>
      <c r="Y911" s="1415"/>
      <c r="Z911" s="1415"/>
      <c r="AA911" s="1415"/>
      <c r="AB911" s="2093"/>
      <c r="AC911" s="1371"/>
      <c r="AJ911" s="41"/>
      <c r="AK911" s="41"/>
      <c r="AL911" s="41"/>
      <c r="AM911" s="41"/>
      <c r="AN911" s="41"/>
      <c r="AO911" s="41"/>
      <c r="AP911" s="41"/>
    </row>
    <row r="912" spans="1:42" ht="12.75" customHeight="1" x14ac:dyDescent="0.25">
      <c r="C912" s="9"/>
      <c r="F912" s="81"/>
      <c r="G912" s="637">
        <f>COUNT(G904:G910)</f>
        <v>1</v>
      </c>
      <c r="H912" s="637">
        <f t="shared" ref="H912:U912" si="180">COUNT(H904:H910)</f>
        <v>2</v>
      </c>
      <c r="I912" s="637">
        <f t="shared" si="180"/>
        <v>1</v>
      </c>
      <c r="J912" s="637">
        <f t="shared" si="180"/>
        <v>1</v>
      </c>
      <c r="K912" s="637">
        <f t="shared" si="180"/>
        <v>1</v>
      </c>
      <c r="L912" s="637">
        <f t="shared" si="180"/>
        <v>1</v>
      </c>
      <c r="M912" s="1695"/>
      <c r="N912" s="637">
        <f t="shared" si="180"/>
        <v>2</v>
      </c>
      <c r="O912" s="1447"/>
      <c r="P912" s="1447"/>
      <c r="Q912" s="1447"/>
      <c r="R912" s="637">
        <f t="shared" si="180"/>
        <v>2</v>
      </c>
      <c r="S912" s="1447"/>
      <c r="T912" s="1447"/>
      <c r="U912" s="637">
        <f t="shared" si="180"/>
        <v>1</v>
      </c>
      <c r="V912" s="1839"/>
      <c r="W912" s="1972"/>
      <c r="X912" s="1839"/>
      <c r="Y912" s="1415"/>
      <c r="Z912" s="1415"/>
      <c r="AA912" s="1415"/>
      <c r="AB912" s="2093"/>
      <c r="AC912" s="1371"/>
      <c r="AJ912" s="41"/>
      <c r="AK912" s="41"/>
      <c r="AL912" s="41"/>
      <c r="AM912" s="41"/>
      <c r="AN912" s="41"/>
      <c r="AO912" s="41"/>
      <c r="AP912" s="41"/>
    </row>
    <row r="913" spans="1:42" ht="12.75" customHeight="1" x14ac:dyDescent="0.25">
      <c r="C913" s="9"/>
      <c r="F913" s="81"/>
      <c r="G913" s="669" t="s">
        <v>17349</v>
      </c>
      <c r="H913" s="669"/>
      <c r="I913" s="996" t="s">
        <v>5289</v>
      </c>
      <c r="J913" s="996"/>
      <c r="K913" s="996" t="s">
        <v>230</v>
      </c>
      <c r="L913" s="996"/>
      <c r="M913" s="996"/>
      <c r="N913" s="996" t="s">
        <v>17353</v>
      </c>
      <c r="O913" s="996"/>
      <c r="P913" s="996" t="s">
        <v>17354</v>
      </c>
      <c r="Q913" s="996"/>
      <c r="R913" s="996" t="s">
        <v>1021</v>
      </c>
      <c r="S913" s="996"/>
      <c r="T913" s="996" t="s">
        <v>17356</v>
      </c>
      <c r="U913" s="996"/>
      <c r="V913" s="1839"/>
      <c r="W913" s="1406" t="s">
        <v>10400</v>
      </c>
      <c r="X913" s="1839"/>
      <c r="Y913" s="1839"/>
      <c r="Z913" s="1839"/>
      <c r="AA913" s="1839"/>
      <c r="AB913" s="2093"/>
      <c r="AC913" s="1371"/>
      <c r="AJ913" s="41"/>
      <c r="AK913" s="41"/>
      <c r="AL913" s="41"/>
      <c r="AM913" s="41"/>
      <c r="AN913" s="41"/>
      <c r="AO913" s="41"/>
      <c r="AP913" s="41"/>
    </row>
    <row r="914" spans="1:42" ht="12.75" customHeight="1" x14ac:dyDescent="0.25">
      <c r="C914" s="9"/>
      <c r="F914" s="81"/>
      <c r="G914" s="515"/>
      <c r="H914" s="515" t="s">
        <v>6284</v>
      </c>
      <c r="I914" s="539"/>
      <c r="J914" s="539" t="s">
        <v>5402</v>
      </c>
      <c r="K914" s="539"/>
      <c r="L914" s="539" t="s">
        <v>6420</v>
      </c>
      <c r="M914" s="539"/>
      <c r="N914" s="539"/>
      <c r="O914" s="539" t="s">
        <v>6426</v>
      </c>
      <c r="P914" s="539"/>
      <c r="Q914" s="539" t="s">
        <v>10401</v>
      </c>
      <c r="R914" s="539"/>
      <c r="S914" s="539" t="s">
        <v>17355</v>
      </c>
      <c r="T914" s="539"/>
      <c r="U914" s="539" t="s">
        <v>17357</v>
      </c>
      <c r="V914" s="1839"/>
      <c r="W914" s="1839"/>
      <c r="X914" s="1839"/>
      <c r="Y914" s="1839"/>
      <c r="Z914" s="1839"/>
      <c r="AA914" s="1839"/>
      <c r="AB914" s="2093"/>
      <c r="AC914" s="1371"/>
      <c r="AJ914" s="41"/>
      <c r="AK914" s="41"/>
      <c r="AL914" s="41"/>
      <c r="AM914" s="41"/>
      <c r="AN914" s="41"/>
      <c r="AO914" s="41"/>
      <c r="AP914" s="41"/>
    </row>
    <row r="915" spans="1:42" ht="12.75" customHeight="1" x14ac:dyDescent="0.25">
      <c r="C915" s="9"/>
      <c r="F915" s="81"/>
      <c r="G915" s="80"/>
      <c r="H915" s="80"/>
      <c r="I915" s="81"/>
      <c r="J915" s="81"/>
      <c r="K915" s="1839"/>
      <c r="L915" s="1839"/>
      <c r="M915" s="1839"/>
      <c r="N915" s="1839"/>
      <c r="O915" s="1839"/>
      <c r="P915" s="1839"/>
      <c r="Q915" s="1839"/>
      <c r="R915" s="1839"/>
      <c r="S915" s="1839"/>
      <c r="T915" s="1839"/>
      <c r="U915" s="1839"/>
      <c r="V915" s="1839"/>
      <c r="W915" s="1839"/>
      <c r="X915" s="1839"/>
      <c r="Y915" s="1839"/>
      <c r="Z915" s="1839"/>
      <c r="AA915" s="1839"/>
      <c r="AB915" s="2093"/>
      <c r="AC915" s="1371"/>
      <c r="AJ915" s="41"/>
      <c r="AK915" s="41"/>
      <c r="AL915" s="41"/>
      <c r="AM915" s="41"/>
      <c r="AN915" s="41"/>
      <c r="AO915" s="41"/>
      <c r="AP915" s="41"/>
    </row>
    <row r="916" spans="1:42" ht="12.75" customHeight="1" x14ac:dyDescent="0.25">
      <c r="C916" s="9"/>
      <c r="F916" s="81"/>
      <c r="G916" s="2" t="s">
        <v>3582</v>
      </c>
      <c r="H916" s="80"/>
      <c r="I916" s="81"/>
      <c r="J916" s="81"/>
      <c r="K916" s="1839"/>
      <c r="L916" s="1839"/>
      <c r="M916" s="1839"/>
      <c r="N916" s="1839"/>
      <c r="O916" s="1839"/>
      <c r="P916" s="1839"/>
      <c r="Q916" s="1839"/>
      <c r="R916" s="1839"/>
      <c r="S916" s="1839"/>
      <c r="T916" s="1839"/>
      <c r="U916" s="1839"/>
      <c r="V916" s="1839"/>
      <c r="W916" s="1839"/>
      <c r="X916" s="1839"/>
      <c r="Y916" s="1839"/>
      <c r="Z916" s="1839"/>
      <c r="AA916" s="1839"/>
      <c r="AB916" s="2093"/>
      <c r="AC916" s="1371"/>
      <c r="AJ916" s="41"/>
      <c r="AK916" s="41"/>
      <c r="AL916" s="41"/>
      <c r="AM916" s="41"/>
      <c r="AN916" s="41"/>
      <c r="AO916" s="41"/>
      <c r="AP916" s="41"/>
    </row>
    <row r="917" spans="1:42" ht="12.75" customHeight="1" x14ac:dyDescent="0.25">
      <c r="C917" s="9"/>
      <c r="F917" s="81"/>
      <c r="G917" s="1423" t="s">
        <v>1455</v>
      </c>
      <c r="H917" s="540" t="s">
        <v>6398</v>
      </c>
      <c r="I917" s="1238" t="s">
        <v>1090</v>
      </c>
      <c r="J917" s="587" t="s">
        <v>9057</v>
      </c>
      <c r="K917" s="1802" t="s">
        <v>1454</v>
      </c>
      <c r="L917" s="587" t="s">
        <v>1623</v>
      </c>
      <c r="M917" s="1802" t="s">
        <v>930</v>
      </c>
      <c r="N917" s="587" t="s">
        <v>196</v>
      </c>
      <c r="O917" s="1802" t="s">
        <v>4987</v>
      </c>
      <c r="P917" s="587" t="s">
        <v>6421</v>
      </c>
      <c r="Q917" s="1802" t="s">
        <v>11729</v>
      </c>
      <c r="R917" s="587" t="s">
        <v>17343</v>
      </c>
      <c r="S917" s="1695"/>
      <c r="T917" s="1892" t="s">
        <v>17344</v>
      </c>
      <c r="U917" s="1839"/>
      <c r="V917" s="2099" t="s">
        <v>16968</v>
      </c>
      <c r="W917" s="2099"/>
      <c r="X917" s="1889"/>
      <c r="Y917" s="1889"/>
      <c r="Z917" s="1889"/>
      <c r="AA917" s="1839"/>
      <c r="AB917" s="2093"/>
      <c r="AC917" s="1371"/>
      <c r="AJ917" s="41"/>
      <c r="AK917" s="41"/>
      <c r="AL917" s="41"/>
      <c r="AM917" s="41"/>
      <c r="AN917" s="41"/>
      <c r="AO917" s="41"/>
      <c r="AP917" s="41"/>
    </row>
    <row r="918" spans="1:42" ht="12.75" customHeight="1" x14ac:dyDescent="0.25">
      <c r="A918" s="1374" t="s">
        <v>726</v>
      </c>
      <c r="B918" s="1374" t="s">
        <v>1295</v>
      </c>
      <c r="C918" s="9">
        <f>SUM(G918:T918)</f>
        <v>1</v>
      </c>
      <c r="F918" s="2098">
        <f>COUNT(G918:R918)</f>
        <v>1</v>
      </c>
      <c r="G918" s="455"/>
      <c r="H918" s="36"/>
      <c r="I918" s="36"/>
      <c r="J918" s="584"/>
      <c r="K918" s="584">
        <v>1</v>
      </c>
      <c r="L918" s="1447"/>
      <c r="M918" s="1447"/>
      <c r="N918" s="1447"/>
      <c r="O918" s="1447"/>
      <c r="P918" s="1447"/>
      <c r="Q918" s="1447"/>
      <c r="R918" s="1447"/>
      <c r="S918" s="1695"/>
      <c r="T918" s="1972"/>
      <c r="U918" s="1839"/>
      <c r="V918" s="1889" t="s">
        <v>1022</v>
      </c>
      <c r="W918" s="1889"/>
      <c r="X918" s="1889"/>
      <c r="Y918" s="1889"/>
      <c r="Z918" s="1889"/>
      <c r="AA918" s="1839"/>
      <c r="AB918" s="2093"/>
      <c r="AC918" s="1371"/>
      <c r="AJ918" s="41"/>
      <c r="AK918" s="41"/>
      <c r="AL918" s="41"/>
      <c r="AM918" s="41"/>
      <c r="AN918" s="41"/>
      <c r="AO918" s="41"/>
      <c r="AP918" s="41"/>
    </row>
    <row r="919" spans="1:42" ht="12.75" customHeight="1" x14ac:dyDescent="0.25">
      <c r="A919" s="1374" t="s">
        <v>3508</v>
      </c>
      <c r="B919" s="1374" t="s">
        <v>1295</v>
      </c>
      <c r="C919" s="9">
        <f t="shared" ref="C919:C926" si="181">SUM(G919:T919)</f>
        <v>2</v>
      </c>
      <c r="F919" s="2098">
        <f t="shared" ref="F919:F926" si="182">COUNT(G919:R919)</f>
        <v>2</v>
      </c>
      <c r="G919" s="455"/>
      <c r="H919" s="36"/>
      <c r="I919" s="36"/>
      <c r="J919" s="584"/>
      <c r="K919" s="584">
        <v>1</v>
      </c>
      <c r="L919" s="1447"/>
      <c r="M919" s="1447">
        <v>1</v>
      </c>
      <c r="N919" s="1447"/>
      <c r="O919" s="1447"/>
      <c r="P919" s="1447"/>
      <c r="Q919" s="1447"/>
      <c r="R919" s="1447"/>
      <c r="S919" s="1695"/>
      <c r="T919" s="1972"/>
      <c r="U919" s="1839"/>
      <c r="V919" s="1889" t="s">
        <v>17358</v>
      </c>
      <c r="W919" s="1889"/>
      <c r="X919" s="1889"/>
      <c r="Y919" s="1889"/>
      <c r="Z919" s="1889"/>
      <c r="AA919" s="1839"/>
      <c r="AB919" s="2093"/>
      <c r="AC919" s="1371"/>
      <c r="AJ919" s="41"/>
      <c r="AK919" s="41"/>
      <c r="AL919" s="41"/>
      <c r="AM919" s="41"/>
      <c r="AN919" s="41"/>
      <c r="AO919" s="41"/>
      <c r="AP919" s="41"/>
    </row>
    <row r="920" spans="1:42" ht="12.75" customHeight="1" x14ac:dyDescent="0.25">
      <c r="A920" s="1370" t="s">
        <v>3508</v>
      </c>
      <c r="B920" s="1370" t="s">
        <v>3632</v>
      </c>
      <c r="C920" s="9">
        <f t="shared" si="181"/>
        <v>1</v>
      </c>
      <c r="F920" s="2098">
        <f t="shared" si="182"/>
        <v>1</v>
      </c>
      <c r="G920" s="455"/>
      <c r="H920" s="36"/>
      <c r="I920" s="36"/>
      <c r="J920" s="584"/>
      <c r="K920" s="584"/>
      <c r="L920" s="1447">
        <v>1</v>
      </c>
      <c r="M920" s="1447"/>
      <c r="N920" s="1447"/>
      <c r="O920" s="1447"/>
      <c r="P920" s="1447"/>
      <c r="Q920" s="1447"/>
      <c r="R920" s="1447"/>
      <c r="S920" s="1695"/>
      <c r="T920" s="1972"/>
      <c r="U920" s="1839"/>
      <c r="V920" s="1889" t="s">
        <v>17359</v>
      </c>
      <c r="W920" s="1889"/>
      <c r="X920" s="1889"/>
      <c r="Y920" s="1889"/>
      <c r="Z920" s="1889"/>
      <c r="AA920" s="1839"/>
      <c r="AB920" s="2093"/>
      <c r="AC920" s="1371"/>
      <c r="AJ920" s="41"/>
      <c r="AK920" s="41"/>
      <c r="AL920" s="41"/>
      <c r="AM920" s="41"/>
      <c r="AN920" s="41"/>
      <c r="AO920" s="41"/>
      <c r="AP920" s="41"/>
    </row>
    <row r="921" spans="1:42" ht="12.75" customHeight="1" x14ac:dyDescent="0.25">
      <c r="A921" s="1374" t="s">
        <v>3230</v>
      </c>
      <c r="B921" s="1374" t="s">
        <v>11625</v>
      </c>
      <c r="C921" s="9">
        <f t="shared" si="181"/>
        <v>2</v>
      </c>
      <c r="F921" s="2098">
        <f t="shared" si="182"/>
        <v>2</v>
      </c>
      <c r="G921" s="455"/>
      <c r="H921" s="36"/>
      <c r="I921" s="36"/>
      <c r="J921" s="584"/>
      <c r="K921" s="584"/>
      <c r="L921" s="1447">
        <v>1</v>
      </c>
      <c r="M921" s="1447"/>
      <c r="N921" s="1447">
        <v>1</v>
      </c>
      <c r="O921" s="1447"/>
      <c r="P921" s="1447"/>
      <c r="Q921" s="1447"/>
      <c r="R921" s="1447"/>
      <c r="S921" s="1695"/>
      <c r="T921" s="1972"/>
      <c r="U921" s="1839"/>
      <c r="V921" s="1889"/>
      <c r="W921" s="1889"/>
      <c r="X921" s="1889"/>
      <c r="Y921" s="1889"/>
      <c r="Z921" s="1889"/>
      <c r="AA921" s="1839"/>
      <c r="AB921" s="2093"/>
      <c r="AC921" s="1371"/>
      <c r="AJ921" s="41"/>
      <c r="AK921" s="41"/>
      <c r="AL921" s="41"/>
      <c r="AM921" s="41"/>
      <c r="AN921" s="41"/>
      <c r="AO921" s="41"/>
      <c r="AP921" s="41"/>
    </row>
    <row r="922" spans="1:42" ht="12.75" customHeight="1" x14ac:dyDescent="0.25">
      <c r="A922" s="1374" t="s">
        <v>5980</v>
      </c>
      <c r="B922" s="1374" t="s">
        <v>4818</v>
      </c>
      <c r="C922" s="9">
        <f t="shared" si="181"/>
        <v>11</v>
      </c>
      <c r="F922" s="2098">
        <f t="shared" si="182"/>
        <v>8</v>
      </c>
      <c r="G922" s="455">
        <v>2</v>
      </c>
      <c r="H922" s="455">
        <v>1</v>
      </c>
      <c r="I922" s="584">
        <v>1</v>
      </c>
      <c r="J922" s="584"/>
      <c r="K922" s="1447">
        <v>1</v>
      </c>
      <c r="L922" s="1447"/>
      <c r="M922" s="1447">
        <v>1</v>
      </c>
      <c r="N922" s="1447">
        <v>1</v>
      </c>
      <c r="O922" s="1447">
        <v>2</v>
      </c>
      <c r="P922" s="1447"/>
      <c r="Q922" s="1447">
        <v>1</v>
      </c>
      <c r="R922" s="1447"/>
      <c r="S922" s="1695"/>
      <c r="T922" s="1447">
        <v>1</v>
      </c>
      <c r="U922" s="1839"/>
      <c r="V922" s="1889"/>
      <c r="W922" s="1889"/>
      <c r="X922" s="1889"/>
      <c r="Y922" s="1889"/>
      <c r="Z922" s="1889"/>
      <c r="AA922" s="1839"/>
      <c r="AB922" s="2093"/>
      <c r="AC922" s="1371"/>
      <c r="AJ922" s="41"/>
      <c r="AK922" s="41"/>
      <c r="AL922" s="41"/>
      <c r="AM922" s="41"/>
      <c r="AN922" s="41"/>
      <c r="AO922" s="41"/>
      <c r="AP922" s="41"/>
    </row>
    <row r="923" spans="1:42" ht="12.75" customHeight="1" x14ac:dyDescent="0.25">
      <c r="A923" s="1370" t="s">
        <v>665</v>
      </c>
      <c r="B923" s="1370" t="s">
        <v>666</v>
      </c>
      <c r="C923" s="9">
        <f t="shared" si="181"/>
        <v>6</v>
      </c>
      <c r="F923" s="2098">
        <f t="shared" si="182"/>
        <v>6</v>
      </c>
      <c r="G923" s="455">
        <v>1</v>
      </c>
      <c r="H923" s="455"/>
      <c r="I923" s="584">
        <v>1</v>
      </c>
      <c r="J923" s="584"/>
      <c r="K923" s="1447">
        <v>1</v>
      </c>
      <c r="L923" s="1447"/>
      <c r="M923" s="1447">
        <v>1</v>
      </c>
      <c r="N923" s="1447">
        <v>1</v>
      </c>
      <c r="O923" s="1447">
        <v>1</v>
      </c>
      <c r="P923" s="1447"/>
      <c r="Q923" s="1447"/>
      <c r="R923" s="1447"/>
      <c r="S923" s="1695"/>
      <c r="T923" s="1972"/>
      <c r="U923" s="1839"/>
      <c r="V923" s="1889"/>
      <c r="W923" s="1889"/>
      <c r="X923" s="1889"/>
      <c r="Y923" s="1889"/>
      <c r="Z923" s="1889"/>
      <c r="AA923" s="1839"/>
      <c r="AB923" s="2093"/>
      <c r="AC923" s="1371"/>
      <c r="AJ923" s="41"/>
      <c r="AK923" s="41"/>
      <c r="AL923" s="41"/>
      <c r="AM923" s="41"/>
      <c r="AN923" s="41"/>
      <c r="AO923" s="41"/>
      <c r="AP923" s="41"/>
    </row>
    <row r="924" spans="1:42" ht="12.75" customHeight="1" x14ac:dyDescent="0.25">
      <c r="A924" s="1374" t="s">
        <v>2137</v>
      </c>
      <c r="B924" s="1374" t="s">
        <v>4943</v>
      </c>
      <c r="C924" s="9">
        <f t="shared" si="181"/>
        <v>1</v>
      </c>
      <c r="F924" s="2098">
        <f t="shared" si="182"/>
        <v>1</v>
      </c>
      <c r="G924" s="455"/>
      <c r="H924" s="455"/>
      <c r="I924" s="584"/>
      <c r="J924" s="584"/>
      <c r="K924" s="1447">
        <v>1</v>
      </c>
      <c r="L924" s="1447"/>
      <c r="M924" s="1447"/>
      <c r="N924" s="1447"/>
      <c r="O924" s="1447"/>
      <c r="P924" s="1447"/>
      <c r="Q924" s="1447"/>
      <c r="R924" s="1447"/>
      <c r="S924" s="1695"/>
      <c r="T924" s="1972"/>
      <c r="U924" s="1839"/>
      <c r="V924" s="1889"/>
      <c r="W924" s="1889"/>
      <c r="X924" s="1889"/>
      <c r="Y924" s="1889"/>
      <c r="Z924" s="1889"/>
      <c r="AA924" s="1839"/>
      <c r="AB924" s="2093"/>
      <c r="AC924" s="1371"/>
      <c r="AJ924" s="41"/>
      <c r="AK924" s="41"/>
      <c r="AL924" s="41"/>
      <c r="AM924" s="41"/>
      <c r="AN924" s="41"/>
      <c r="AO924" s="41"/>
      <c r="AP924" s="41"/>
    </row>
    <row r="925" spans="1:42" ht="12.75" customHeight="1" x14ac:dyDescent="0.25">
      <c r="A925" s="1370" t="s">
        <v>3960</v>
      </c>
      <c r="B925" s="1370" t="s">
        <v>3961</v>
      </c>
      <c r="C925" s="9">
        <f t="shared" si="181"/>
        <v>7</v>
      </c>
      <c r="F925" s="2098">
        <f t="shared" si="182"/>
        <v>7</v>
      </c>
      <c r="G925" s="455">
        <v>1</v>
      </c>
      <c r="H925" s="455"/>
      <c r="I925" s="584"/>
      <c r="J925" s="584">
        <v>1</v>
      </c>
      <c r="K925" s="1447"/>
      <c r="L925" s="1447">
        <v>1</v>
      </c>
      <c r="M925" s="1447">
        <v>1</v>
      </c>
      <c r="N925" s="1447">
        <v>1</v>
      </c>
      <c r="O925" s="1447">
        <v>1</v>
      </c>
      <c r="P925" s="1447"/>
      <c r="Q925" s="1447">
        <v>1</v>
      </c>
      <c r="R925" s="1447"/>
      <c r="S925" s="1695"/>
      <c r="T925" s="1972"/>
      <c r="U925" s="1839"/>
      <c r="V925" s="1889"/>
      <c r="W925" s="1889"/>
      <c r="X925" s="1889"/>
      <c r="Y925" s="1889"/>
      <c r="Z925" s="1889"/>
      <c r="AA925" s="1839"/>
      <c r="AB925" s="2093"/>
      <c r="AC925" s="1371"/>
      <c r="AJ925" s="41"/>
      <c r="AK925" s="41"/>
      <c r="AL925" s="41"/>
      <c r="AM925" s="41"/>
      <c r="AN925" s="41"/>
      <c r="AO925" s="41"/>
      <c r="AP925" s="41"/>
    </row>
    <row r="926" spans="1:42" ht="12.75" customHeight="1" x14ac:dyDescent="0.25">
      <c r="A926" s="1389" t="s">
        <v>1868</v>
      </c>
      <c r="B926" s="1389" t="s">
        <v>1869</v>
      </c>
      <c r="C926" s="9">
        <f t="shared" si="181"/>
        <v>11</v>
      </c>
      <c r="F926" s="2098">
        <f t="shared" si="182"/>
        <v>3</v>
      </c>
      <c r="G926" s="455">
        <v>3</v>
      </c>
      <c r="H926" s="455"/>
      <c r="I926" s="584"/>
      <c r="J926" s="584"/>
      <c r="K926" s="1447" t="s">
        <v>1212</v>
      </c>
      <c r="L926" s="1447">
        <v>2</v>
      </c>
      <c r="M926" s="1447">
        <v>6</v>
      </c>
      <c r="N926" s="1447"/>
      <c r="O926" s="1447"/>
      <c r="P926" s="1447"/>
      <c r="Q926" s="1447"/>
      <c r="R926" s="1447"/>
      <c r="S926" s="1695"/>
      <c r="T926" s="1972"/>
      <c r="U926" s="1839"/>
      <c r="V926" s="1889"/>
      <c r="W926" s="1889"/>
      <c r="X926" s="1889"/>
      <c r="Y926" s="1889"/>
      <c r="Z926" s="1889"/>
      <c r="AA926" s="1839"/>
      <c r="AB926" s="2093"/>
      <c r="AC926" s="1371"/>
      <c r="AJ926" s="41"/>
      <c r="AK926" s="41"/>
      <c r="AL926" s="41"/>
      <c r="AM926" s="41"/>
      <c r="AN926" s="41"/>
      <c r="AO926" s="41"/>
      <c r="AP926" s="41"/>
    </row>
    <row r="927" spans="1:42" ht="12.75" customHeight="1" x14ac:dyDescent="0.25">
      <c r="C927" s="20">
        <f>SUM(C918:C926)</f>
        <v>42</v>
      </c>
      <c r="F927" s="81"/>
      <c r="G927" s="666">
        <f>SUM(G918:G926)</f>
        <v>7</v>
      </c>
      <c r="H927" s="666">
        <f t="shared" ref="H927:Q927" si="183">SUM(H918:H926)</f>
        <v>1</v>
      </c>
      <c r="I927" s="666">
        <f t="shared" si="183"/>
        <v>2</v>
      </c>
      <c r="J927" s="666">
        <f t="shared" si="183"/>
        <v>1</v>
      </c>
      <c r="K927" s="666">
        <f t="shared" si="183"/>
        <v>5</v>
      </c>
      <c r="L927" s="666">
        <f t="shared" si="183"/>
        <v>5</v>
      </c>
      <c r="M927" s="666">
        <f t="shared" si="183"/>
        <v>10</v>
      </c>
      <c r="N927" s="666">
        <f t="shared" si="183"/>
        <v>4</v>
      </c>
      <c r="O927" s="666">
        <f t="shared" si="183"/>
        <v>4</v>
      </c>
      <c r="P927" s="1381"/>
      <c r="Q927" s="666">
        <f t="shared" si="183"/>
        <v>2</v>
      </c>
      <c r="R927" s="1381"/>
      <c r="S927" s="1489"/>
      <c r="T927" s="599"/>
      <c r="U927" s="1839"/>
      <c r="V927" s="1889"/>
      <c r="W927" s="1889"/>
      <c r="X927" s="1889"/>
      <c r="Y927" s="1889"/>
      <c r="Z927" s="1889"/>
      <c r="AA927" s="1839"/>
      <c r="AB927" s="2093"/>
      <c r="AC927" s="1371"/>
      <c r="AJ927" s="41"/>
      <c r="AK927" s="41"/>
      <c r="AL927" s="41"/>
      <c r="AM927" s="41"/>
      <c r="AN927" s="41"/>
      <c r="AO927" s="41"/>
      <c r="AP927" s="41"/>
    </row>
    <row r="928" spans="1:42" ht="12.75" customHeight="1" x14ac:dyDescent="0.25">
      <c r="C928" s="9"/>
      <c r="F928" s="81"/>
      <c r="G928" s="666">
        <f>COUNT(G918:G926)</f>
        <v>4</v>
      </c>
      <c r="H928" s="666">
        <f t="shared" ref="H928:Q928" si="184">COUNT(H918:H926)</f>
        <v>1</v>
      </c>
      <c r="I928" s="666">
        <f t="shared" si="184"/>
        <v>2</v>
      </c>
      <c r="J928" s="666">
        <f t="shared" si="184"/>
        <v>1</v>
      </c>
      <c r="K928" s="666">
        <f t="shared" si="184"/>
        <v>5</v>
      </c>
      <c r="L928" s="666">
        <f t="shared" si="184"/>
        <v>4</v>
      </c>
      <c r="M928" s="666">
        <f t="shared" si="184"/>
        <v>5</v>
      </c>
      <c r="N928" s="666">
        <f t="shared" si="184"/>
        <v>4</v>
      </c>
      <c r="O928" s="666">
        <f t="shared" si="184"/>
        <v>3</v>
      </c>
      <c r="P928" s="1381"/>
      <c r="Q928" s="666">
        <f t="shared" si="184"/>
        <v>2</v>
      </c>
      <c r="R928" s="1381"/>
      <c r="S928" s="1489"/>
      <c r="T928" s="599"/>
      <c r="U928" s="1839"/>
      <c r="V928" s="1889"/>
      <c r="W928" s="1889"/>
      <c r="X928" s="1889"/>
      <c r="Y928" s="1889"/>
      <c r="Z928" s="1889"/>
      <c r="AA928" s="1839"/>
      <c r="AB928" s="2093"/>
      <c r="AC928" s="1371"/>
      <c r="AJ928" s="41"/>
      <c r="AK928" s="41"/>
      <c r="AL928" s="41"/>
      <c r="AM928" s="41"/>
      <c r="AN928" s="41"/>
      <c r="AO928" s="41"/>
      <c r="AP928" s="41"/>
    </row>
    <row r="929" spans="1:44" ht="12.75" customHeight="1" x14ac:dyDescent="0.25">
      <c r="C929" s="9"/>
      <c r="F929" s="81"/>
      <c r="G929" s="2105" t="s">
        <v>1018</v>
      </c>
      <c r="H929" s="2105"/>
      <c r="I929" s="2002" t="s">
        <v>2295</v>
      </c>
      <c r="J929" s="2105"/>
      <c r="K929" s="2105" t="s">
        <v>9792</v>
      </c>
      <c r="L929" s="2105"/>
      <c r="M929" s="2002" t="s">
        <v>1020</v>
      </c>
      <c r="N929" s="2002"/>
      <c r="O929" s="2002" t="s">
        <v>17361</v>
      </c>
      <c r="P929" s="2105"/>
      <c r="Q929" s="2002" t="s">
        <v>2960</v>
      </c>
      <c r="R929" s="2105"/>
      <c r="S929" s="1489"/>
      <c r="T929" s="2104"/>
      <c r="U929" s="1839"/>
      <c r="V929" s="1889"/>
      <c r="W929" s="1889"/>
      <c r="X929" s="1889"/>
      <c r="Y929" s="1889"/>
      <c r="Z929" s="1889"/>
      <c r="AA929" s="1839"/>
      <c r="AB929" s="2093"/>
      <c r="AC929" s="1371"/>
      <c r="AJ929" s="41"/>
      <c r="AK929" s="41"/>
      <c r="AL929" s="41"/>
      <c r="AM929" s="41"/>
      <c r="AN929" s="41"/>
      <c r="AO929" s="41"/>
      <c r="AP929" s="41"/>
    </row>
    <row r="930" spans="1:44" ht="12.75" customHeight="1" x14ac:dyDescent="0.25">
      <c r="C930" s="9"/>
      <c r="F930" s="81"/>
      <c r="G930" s="1712"/>
      <c r="H930" s="1712" t="s">
        <v>17360</v>
      </c>
      <c r="I930" s="1712"/>
      <c r="J930" s="1712" t="s">
        <v>9055</v>
      </c>
      <c r="K930" s="1712"/>
      <c r="L930" s="1712" t="s">
        <v>1624</v>
      </c>
      <c r="M930" s="1712"/>
      <c r="N930" s="1712" t="s">
        <v>283</v>
      </c>
      <c r="O930" s="1712"/>
      <c r="P930" s="1800" t="s">
        <v>1022</v>
      </c>
      <c r="Q930" s="1712"/>
      <c r="R930" s="1800" t="s">
        <v>17362</v>
      </c>
      <c r="S930" s="1489"/>
      <c r="T930" s="2104"/>
      <c r="U930" s="1839"/>
      <c r="V930" s="1889"/>
      <c r="W930" s="1889"/>
      <c r="X930" s="1889"/>
      <c r="Y930" s="1889"/>
      <c r="Z930" s="1889"/>
      <c r="AA930" s="1839"/>
      <c r="AB930" s="2093"/>
      <c r="AC930" s="1371"/>
      <c r="AJ930" s="41"/>
      <c r="AK930" s="41"/>
      <c r="AL930" s="41"/>
      <c r="AM930" s="41"/>
      <c r="AN930" s="41"/>
      <c r="AO930" s="41"/>
      <c r="AP930" s="41"/>
    </row>
    <row r="931" spans="1:44" ht="12.75" customHeight="1" x14ac:dyDescent="0.25">
      <c r="C931" s="9"/>
      <c r="F931" s="81"/>
      <c r="G931" s="185"/>
      <c r="H931" s="185"/>
      <c r="I931" s="364"/>
      <c r="J931" s="364"/>
      <c r="K931" s="1406"/>
      <c r="L931" s="1406"/>
      <c r="M931" s="1406"/>
      <c r="N931" s="1406"/>
      <c r="O931" s="1406"/>
      <c r="P931" s="1406"/>
      <c r="Q931" s="1406"/>
      <c r="R931" s="1406"/>
      <c r="S931" s="1406"/>
      <c r="T931" s="1406"/>
      <c r="U931" s="1839"/>
      <c r="V931" s="1839"/>
      <c r="W931" s="1839"/>
      <c r="X931" s="1839"/>
      <c r="Y931" s="1839"/>
      <c r="Z931" s="1839"/>
      <c r="AA931" s="1839"/>
      <c r="AB931" s="2093"/>
      <c r="AC931" s="1371"/>
      <c r="AJ931" s="41"/>
      <c r="AK931" s="41"/>
      <c r="AL931" s="41"/>
      <c r="AM931" s="41"/>
      <c r="AN931" s="41"/>
      <c r="AO931" s="41"/>
      <c r="AP931" s="41"/>
    </row>
    <row r="932" spans="1:44" ht="12.75" customHeight="1" x14ac:dyDescent="0.25">
      <c r="A932" s="510"/>
      <c r="B932" s="510"/>
      <c r="C932" s="2103" t="s">
        <v>17352</v>
      </c>
      <c r="D932" s="510"/>
      <c r="E932" s="510"/>
      <c r="F932" s="2102"/>
      <c r="G932" s="2090"/>
      <c r="H932" s="2090"/>
      <c r="I932" s="2091"/>
      <c r="J932" s="2091"/>
      <c r="K932" s="2091"/>
      <c r="L932" s="2091"/>
      <c r="M932" s="2091"/>
      <c r="N932" s="2091"/>
      <c r="O932" s="2091"/>
      <c r="P932" s="2091"/>
      <c r="Q932" s="2091"/>
      <c r="R932" s="2091"/>
      <c r="S932" s="2091"/>
      <c r="T932" s="2091"/>
      <c r="U932" s="2102"/>
      <c r="V932" s="2102"/>
      <c r="W932" s="2102"/>
      <c r="X932" s="2102"/>
      <c r="Y932" s="2102"/>
      <c r="Z932" s="2102"/>
      <c r="AA932" s="2102"/>
      <c r="AB932" s="2093"/>
      <c r="AC932" s="1371"/>
      <c r="AJ932" s="41"/>
      <c r="AK932" s="41"/>
      <c r="AL932" s="41"/>
      <c r="AM932" s="41"/>
      <c r="AN932" s="41"/>
      <c r="AO932" s="41"/>
      <c r="AP932" s="41"/>
    </row>
    <row r="933" spans="1:44" ht="12.75" customHeight="1" x14ac:dyDescent="0.25">
      <c r="A933" s="510"/>
      <c r="B933" s="510"/>
      <c r="C933" s="2088"/>
      <c r="D933" s="510"/>
      <c r="E933" s="510"/>
      <c r="F933" s="2102"/>
      <c r="G933" s="555"/>
      <c r="H933" s="555"/>
      <c r="I933" s="2102"/>
      <c r="J933" s="2102"/>
      <c r="K933" s="2102"/>
      <c r="L933" s="2102"/>
      <c r="M933" s="2102"/>
      <c r="N933" s="2102"/>
      <c r="O933" s="2102"/>
      <c r="P933" s="2102"/>
      <c r="Q933" s="2102"/>
      <c r="R933" s="2102"/>
      <c r="S933" s="2102"/>
      <c r="T933" s="2102"/>
      <c r="U933" s="2102"/>
      <c r="V933" s="2102"/>
      <c r="W933" s="2102"/>
      <c r="X933" s="2102"/>
      <c r="Y933" s="2102"/>
      <c r="Z933" s="2102"/>
      <c r="AA933" s="2102"/>
      <c r="AB933" s="2091"/>
      <c r="AC933" s="1371"/>
      <c r="AJ933" s="41"/>
      <c r="AK933" s="41"/>
      <c r="AL933" s="41"/>
      <c r="AM933" s="41"/>
      <c r="AN933" s="41"/>
      <c r="AO933" s="41"/>
      <c r="AP933" s="41"/>
    </row>
    <row r="934" spans="1:44" ht="12.75" customHeight="1" x14ac:dyDescent="0.25">
      <c r="C934" s="9"/>
      <c r="F934" s="81"/>
      <c r="G934" s="80"/>
      <c r="H934" s="80"/>
      <c r="I934" s="81"/>
      <c r="J934" s="81"/>
      <c r="K934" s="1839"/>
      <c r="L934" s="1839"/>
      <c r="M934" s="1839"/>
      <c r="N934" s="1839"/>
      <c r="O934" s="1839"/>
      <c r="P934" s="1839"/>
      <c r="Q934" s="1839"/>
      <c r="R934" s="1839"/>
      <c r="S934" s="1839"/>
      <c r="T934" s="1839"/>
      <c r="U934" s="1839"/>
      <c r="V934" s="1839"/>
      <c r="W934" s="1839"/>
      <c r="X934" s="1839"/>
      <c r="Y934" s="1839"/>
      <c r="Z934" s="1839"/>
      <c r="AA934" s="1839"/>
      <c r="AB934" s="1406"/>
      <c r="AC934" s="1371"/>
      <c r="AJ934" s="41"/>
      <c r="AK934" s="41"/>
      <c r="AL934" s="41"/>
      <c r="AM934" s="41"/>
      <c r="AN934" s="41"/>
      <c r="AO934" s="41"/>
      <c r="AP934" s="41"/>
    </row>
    <row r="935" spans="1:44" ht="12.75" customHeight="1" x14ac:dyDescent="0.25">
      <c r="C935" s="9"/>
      <c r="G935" s="2" t="s">
        <v>17339</v>
      </c>
      <c r="H935" s="2" t="s">
        <v>11205</v>
      </c>
      <c r="I935" s="7" t="s">
        <v>17338</v>
      </c>
      <c r="J935" s="7" t="s">
        <v>11205</v>
      </c>
      <c r="K935" s="1956" t="s">
        <v>17338</v>
      </c>
      <c r="L935" s="1956" t="s">
        <v>11205</v>
      </c>
      <c r="M935" s="1956" t="s">
        <v>17337</v>
      </c>
      <c r="N935" s="1956" t="s">
        <v>17340</v>
      </c>
      <c r="O935" s="1956" t="s">
        <v>11205</v>
      </c>
      <c r="P935" s="1956" t="s">
        <v>11205</v>
      </c>
      <c r="Q935" s="1956" t="s">
        <v>17340</v>
      </c>
      <c r="R935" s="1956" t="s">
        <v>17337</v>
      </c>
      <c r="S935" s="1956" t="s">
        <v>11205</v>
      </c>
      <c r="T935" s="1956" t="s">
        <v>17340</v>
      </c>
      <c r="U935" s="1956" t="s">
        <v>17337</v>
      </c>
      <c r="V935" s="1956" t="s">
        <v>11205</v>
      </c>
      <c r="W935" s="1956" t="s">
        <v>11205</v>
      </c>
      <c r="X935" s="1956" t="s">
        <v>17339</v>
      </c>
      <c r="Y935" s="1956" t="s">
        <v>17340</v>
      </c>
      <c r="Z935" s="1406"/>
      <c r="AA935" s="1956" t="s">
        <v>17339</v>
      </c>
      <c r="AB935" s="1406"/>
      <c r="AC935" s="1371"/>
      <c r="AJ935" s="41"/>
      <c r="AK935" s="41"/>
      <c r="AL935" s="41"/>
      <c r="AM935" s="41"/>
      <c r="AN935" s="41"/>
      <c r="AO935" s="41"/>
      <c r="AP935" s="41"/>
    </row>
    <row r="936" spans="1:44" ht="12.75" customHeight="1" thickBot="1" x14ac:dyDescent="0.3">
      <c r="C936" s="9"/>
      <c r="G936" s="2" t="s">
        <v>5781</v>
      </c>
      <c r="H936" s="2"/>
      <c r="I936" s="2"/>
      <c r="J936" s="2"/>
      <c r="K936" s="185"/>
      <c r="L936" s="185"/>
      <c r="M936" s="2" t="s">
        <v>6424</v>
      </c>
      <c r="N936" s="2"/>
      <c r="O936" s="2"/>
      <c r="P936" s="185"/>
      <c r="Q936" s="185"/>
      <c r="R936" s="185"/>
      <c r="S936" s="185"/>
      <c r="T936" s="185"/>
      <c r="U936" s="185"/>
      <c r="V936" s="185"/>
      <c r="W936" s="185"/>
      <c r="X936" s="185"/>
      <c r="Y936" s="2"/>
      <c r="Z936" s="185"/>
      <c r="AA936" s="185"/>
      <c r="AB936" s="389"/>
      <c r="AC936" s="389"/>
      <c r="AD936" s="389"/>
      <c r="AE936" s="80"/>
      <c r="AF936" s="185"/>
      <c r="AG936" s="185"/>
      <c r="AH936" s="185"/>
      <c r="AI936" s="185"/>
      <c r="AJ936" s="185"/>
      <c r="AK936" s="41"/>
      <c r="AL936" s="41"/>
      <c r="AM936" s="41"/>
      <c r="AN936" s="41"/>
      <c r="AO936" s="41"/>
      <c r="AP936" s="41"/>
      <c r="AQ936" s="41"/>
    </row>
    <row r="937" spans="1:44" ht="12.75" customHeight="1" x14ac:dyDescent="0.2">
      <c r="C937" s="9"/>
      <c r="G937" s="560" t="s">
        <v>12784</v>
      </c>
      <c r="H937" s="1495" t="s">
        <v>1455</v>
      </c>
      <c r="I937" s="472" t="s">
        <v>3032</v>
      </c>
      <c r="J937" s="588" t="s">
        <v>6398</v>
      </c>
      <c r="K937" s="591" t="s">
        <v>808</v>
      </c>
      <c r="L937" s="588" t="s">
        <v>1090</v>
      </c>
      <c r="M937" s="592" t="s">
        <v>1277</v>
      </c>
      <c r="N937" s="592" t="s">
        <v>16712</v>
      </c>
      <c r="O937" s="569" t="s">
        <v>9057</v>
      </c>
      <c r="P937" s="592" t="s">
        <v>1454</v>
      </c>
      <c r="Q937" s="569" t="s">
        <v>537</v>
      </c>
      <c r="R937" s="592" t="s">
        <v>4284</v>
      </c>
      <c r="S937" s="569" t="s">
        <v>1623</v>
      </c>
      <c r="T937" s="592" t="s">
        <v>4597</v>
      </c>
      <c r="U937" s="569" t="s">
        <v>10543</v>
      </c>
      <c r="V937" s="592" t="s">
        <v>930</v>
      </c>
      <c r="W937" s="1120" t="s">
        <v>196</v>
      </c>
      <c r="X937" s="592" t="s">
        <v>6422</v>
      </c>
      <c r="Y937" s="570" t="s">
        <v>5282</v>
      </c>
      <c r="Z937" s="107"/>
      <c r="AA937" s="455" t="s">
        <v>12657</v>
      </c>
      <c r="AB937" s="80" t="s">
        <v>11811</v>
      </c>
      <c r="AC937" s="414" t="s">
        <v>5469</v>
      </c>
      <c r="AD937" s="2041" t="s">
        <v>17268</v>
      </c>
      <c r="AE937" s="2041" t="s">
        <v>17267</v>
      </c>
      <c r="AF937" s="107"/>
      <c r="AR937" s="41"/>
    </row>
    <row r="938" spans="1:44" ht="12.75" customHeight="1" x14ac:dyDescent="0.2">
      <c r="A938" s="1446" t="s">
        <v>3251</v>
      </c>
      <c r="B938" s="1371" t="s">
        <v>3252</v>
      </c>
      <c r="C938" s="9">
        <f>SUM(G938:Y938)</f>
        <v>1</v>
      </c>
      <c r="F938" s="976">
        <f t="shared" ref="F938:F955" si="185">COUNT(G938:Y938)</f>
        <v>1</v>
      </c>
      <c r="G938" s="1496"/>
      <c r="H938" s="1369"/>
      <c r="I938" s="462"/>
      <c r="J938" s="462"/>
      <c r="K938" s="462"/>
      <c r="L938" s="462"/>
      <c r="M938" s="36">
        <v>1</v>
      </c>
      <c r="N938" s="36"/>
      <c r="O938" s="36"/>
      <c r="P938" s="36"/>
      <c r="Q938" s="36"/>
      <c r="R938" s="36"/>
      <c r="S938" s="36"/>
      <c r="T938" s="36"/>
      <c r="U938" s="36"/>
      <c r="V938" s="36"/>
      <c r="W938" s="131"/>
      <c r="X938" s="595"/>
      <c r="Y938" s="131"/>
      <c r="Z938" s="5"/>
      <c r="AA938" s="599"/>
      <c r="AB938" s="80" t="s">
        <v>1212</v>
      </c>
      <c r="AC938" s="80" t="s">
        <v>12775</v>
      </c>
      <c r="AD938" s="5"/>
      <c r="AE938" s="80" t="s">
        <v>1020</v>
      </c>
      <c r="AF938" s="5"/>
      <c r="AR938" s="41"/>
    </row>
    <row r="939" spans="1:44" ht="12.75" customHeight="1" x14ac:dyDescent="0.2">
      <c r="A939" s="1425" t="s">
        <v>726</v>
      </c>
      <c r="B939" s="1410" t="s">
        <v>1295</v>
      </c>
      <c r="C939" s="9">
        <f>SUM(G939:Y939)</f>
        <v>2</v>
      </c>
      <c r="F939" s="976">
        <f t="shared" si="185"/>
        <v>2</v>
      </c>
      <c r="G939" s="1496"/>
      <c r="H939" s="1369"/>
      <c r="I939" s="462"/>
      <c r="J939" s="462"/>
      <c r="K939" s="462"/>
      <c r="L939" s="462"/>
      <c r="M939" s="36"/>
      <c r="N939" s="36"/>
      <c r="O939" s="36"/>
      <c r="P939" s="1388">
        <v>1</v>
      </c>
      <c r="Q939" s="36"/>
      <c r="R939" s="36"/>
      <c r="S939" s="36"/>
      <c r="T939" s="36">
        <v>1</v>
      </c>
      <c r="U939" s="36"/>
      <c r="V939" s="36"/>
      <c r="W939" s="131"/>
      <c r="X939" s="595"/>
      <c r="Y939" s="131"/>
      <c r="Z939" s="5"/>
      <c r="AA939" s="599"/>
      <c r="AB939" s="80"/>
      <c r="AC939" s="80" t="s">
        <v>5289</v>
      </c>
      <c r="AD939" s="5"/>
      <c r="AE939" s="80" t="s">
        <v>1018</v>
      </c>
      <c r="AF939" s="5"/>
    </row>
    <row r="940" spans="1:44" ht="12.75" customHeight="1" x14ac:dyDescent="0.2">
      <c r="A940" s="1425" t="s">
        <v>3508</v>
      </c>
      <c r="B940" s="1410" t="s">
        <v>1295</v>
      </c>
      <c r="C940" s="9">
        <f>SUM(G940:Y940)</f>
        <v>3</v>
      </c>
      <c r="F940" s="976">
        <f t="shared" si="185"/>
        <v>3</v>
      </c>
      <c r="G940" s="1496"/>
      <c r="H940" s="1369"/>
      <c r="I940" s="462"/>
      <c r="J940" s="462"/>
      <c r="K940" s="462"/>
      <c r="L940" s="462"/>
      <c r="M940" s="36"/>
      <c r="N940" s="36"/>
      <c r="O940" s="36"/>
      <c r="P940" s="1388">
        <v>1</v>
      </c>
      <c r="Q940" s="36"/>
      <c r="R940" s="36"/>
      <c r="S940" s="36"/>
      <c r="T940" s="36">
        <v>1</v>
      </c>
      <c r="U940" s="36"/>
      <c r="V940" s="36">
        <v>1</v>
      </c>
      <c r="W940" s="131"/>
      <c r="X940" s="595"/>
      <c r="Y940" s="131"/>
      <c r="Z940" s="5"/>
      <c r="AA940" s="599"/>
      <c r="AB940" s="80" t="s">
        <v>6426</v>
      </c>
      <c r="AC940" s="80"/>
      <c r="AD940" s="5"/>
      <c r="AE940" s="80" t="s">
        <v>5554</v>
      </c>
      <c r="AF940" s="5"/>
    </row>
    <row r="941" spans="1:44" ht="12.75" customHeight="1" x14ac:dyDescent="0.2">
      <c r="A941" s="1446" t="s">
        <v>3508</v>
      </c>
      <c r="B941" s="1371" t="s">
        <v>3632</v>
      </c>
      <c r="C941" s="9">
        <f>SUM(G941:Y941)</f>
        <v>1</v>
      </c>
      <c r="F941" s="976">
        <f t="shared" si="185"/>
        <v>1</v>
      </c>
      <c r="G941" s="1496"/>
      <c r="H941" s="198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>
        <v>1</v>
      </c>
      <c r="T941" s="23"/>
      <c r="U941" s="23"/>
      <c r="V941" s="23"/>
      <c r="W941" s="131"/>
      <c r="X941" s="595"/>
      <c r="Y941" s="131"/>
      <c r="Z941" s="5"/>
      <c r="AA941" s="599"/>
      <c r="AB941" s="80" t="s">
        <v>10401</v>
      </c>
      <c r="AC941" s="80" t="s">
        <v>6420</v>
      </c>
      <c r="AD941" s="5"/>
      <c r="AE941" s="80" t="s">
        <v>17266</v>
      </c>
      <c r="AF941" s="5"/>
    </row>
    <row r="942" spans="1:44" ht="12.75" customHeight="1" x14ac:dyDescent="0.2">
      <c r="A942" s="1397" t="s">
        <v>3230</v>
      </c>
      <c r="B942" s="1370" t="s">
        <v>11625</v>
      </c>
      <c r="C942" s="9">
        <f>SUM(G942:AA942)</f>
        <v>3</v>
      </c>
      <c r="E942" s="1454">
        <f>COUNT(AA942:AA942)</f>
        <v>1</v>
      </c>
      <c r="F942" s="976">
        <f t="shared" si="185"/>
        <v>1</v>
      </c>
      <c r="G942" s="1496"/>
      <c r="H942" s="198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1380">
        <v>1</v>
      </c>
      <c r="X942" s="595"/>
      <c r="Y942" s="131"/>
      <c r="Z942" s="1461"/>
      <c r="AA942" s="455">
        <v>2</v>
      </c>
      <c r="AB942" s="80"/>
      <c r="AC942" s="80"/>
      <c r="AD942" s="1461"/>
      <c r="AE942" s="80" t="s">
        <v>9055</v>
      </c>
      <c r="AF942" s="1461"/>
    </row>
    <row r="943" spans="1:44" ht="12.75" customHeight="1" x14ac:dyDescent="0.2">
      <c r="A943" s="1446" t="s">
        <v>1796</v>
      </c>
      <c r="B943" s="1371" t="s">
        <v>1797</v>
      </c>
      <c r="C943" s="9">
        <f>SUM(G943:Y943)</f>
        <v>1</v>
      </c>
      <c r="E943" s="1454"/>
      <c r="F943" s="976">
        <f t="shared" si="185"/>
        <v>1</v>
      </c>
      <c r="G943" s="1496"/>
      <c r="H943" s="198"/>
      <c r="I943" s="23"/>
      <c r="J943" s="23"/>
      <c r="K943" s="23"/>
      <c r="L943" s="23"/>
      <c r="M943" s="1377"/>
      <c r="N943" s="1377"/>
      <c r="O943" s="23"/>
      <c r="P943" s="23"/>
      <c r="Q943" s="23"/>
      <c r="R943" s="23"/>
      <c r="S943" s="23"/>
      <c r="T943" s="23"/>
      <c r="U943" s="23"/>
      <c r="V943" s="23"/>
      <c r="W943" s="131"/>
      <c r="X943" s="595">
        <v>1</v>
      </c>
      <c r="Y943" s="131"/>
      <c r="Z943" s="5"/>
      <c r="AA943" s="599"/>
      <c r="AB943" s="80"/>
      <c r="AC943" s="80"/>
      <c r="AD943" s="5"/>
      <c r="AE943" s="80" t="s">
        <v>1624</v>
      </c>
      <c r="AF943" s="5"/>
    </row>
    <row r="944" spans="1:44" ht="12.75" customHeight="1" x14ac:dyDescent="0.2">
      <c r="A944" s="1426" t="s">
        <v>1868</v>
      </c>
      <c r="B944" s="1389" t="s">
        <v>1869</v>
      </c>
      <c r="C944" s="9">
        <f>SUM(G944:Y944)</f>
        <v>11</v>
      </c>
      <c r="E944" s="1454"/>
      <c r="F944" s="976">
        <f t="shared" si="185"/>
        <v>3</v>
      </c>
      <c r="G944" s="1496"/>
      <c r="H944" s="198">
        <v>3</v>
      </c>
      <c r="I944" s="23"/>
      <c r="J944" s="23"/>
      <c r="K944" s="23"/>
      <c r="L944" s="23"/>
      <c r="M944" s="1377"/>
      <c r="N944" s="1377"/>
      <c r="O944" s="23"/>
      <c r="P944" s="23"/>
      <c r="Q944" s="23"/>
      <c r="R944" s="23"/>
      <c r="S944" s="23">
        <v>2</v>
      </c>
      <c r="T944" s="23"/>
      <c r="U944" s="23"/>
      <c r="V944" s="23">
        <v>6</v>
      </c>
      <c r="W944" s="131"/>
      <c r="X944" s="595"/>
      <c r="Y944" s="131"/>
      <c r="Z944" s="5"/>
      <c r="AA944" s="599"/>
      <c r="AB944" s="80"/>
      <c r="AC944" s="80"/>
      <c r="AD944" s="80" t="s">
        <v>10558</v>
      </c>
      <c r="AE944" s="80" t="s">
        <v>2960</v>
      </c>
      <c r="AF944" s="5"/>
    </row>
    <row r="945" spans="1:32" ht="12.75" customHeight="1" x14ac:dyDescent="0.2">
      <c r="A945" s="1397" t="s">
        <v>5540</v>
      </c>
      <c r="B945" s="1370" t="s">
        <v>5541</v>
      </c>
      <c r="C945" s="9">
        <f>SUM(G945:Y945)</f>
        <v>1</v>
      </c>
      <c r="E945" s="1454"/>
      <c r="F945" s="976">
        <f t="shared" si="185"/>
        <v>1</v>
      </c>
      <c r="G945" s="1496"/>
      <c r="H945" s="198"/>
      <c r="I945" s="23"/>
      <c r="J945" s="23"/>
      <c r="K945" s="23"/>
      <c r="L945" s="23"/>
      <c r="M945" s="1377">
        <v>1</v>
      </c>
      <c r="N945" s="1377"/>
      <c r="O945" s="1377"/>
      <c r="P945" s="1377"/>
      <c r="Q945" s="1377"/>
      <c r="R945" s="1377"/>
      <c r="S945" s="23"/>
      <c r="T945" s="1377"/>
      <c r="U945" s="23"/>
      <c r="V945" s="23"/>
      <c r="W945" s="131"/>
      <c r="X945" s="595"/>
      <c r="Y945" s="131"/>
      <c r="Z945" s="1681"/>
      <c r="AA945" s="599"/>
      <c r="AB945" s="80"/>
      <c r="AC945" s="80"/>
      <c r="AD945" s="80" t="s">
        <v>4282</v>
      </c>
      <c r="AE945" s="80" t="s">
        <v>283</v>
      </c>
      <c r="AF945" s="1681"/>
    </row>
    <row r="946" spans="1:32" ht="12.75" customHeight="1" x14ac:dyDescent="0.2">
      <c r="A946" s="1560" t="s">
        <v>5980</v>
      </c>
      <c r="B946" s="1373" t="s">
        <v>4818</v>
      </c>
      <c r="C946" s="9">
        <f>SUM(G946:Y946)</f>
        <v>112</v>
      </c>
      <c r="E946" s="1454"/>
      <c r="F946" s="976">
        <f t="shared" si="185"/>
        <v>16</v>
      </c>
      <c r="G946" s="1393">
        <v>1</v>
      </c>
      <c r="H946" s="1628">
        <v>2</v>
      </c>
      <c r="I946" s="1377">
        <v>1</v>
      </c>
      <c r="J946" s="1377">
        <v>1</v>
      </c>
      <c r="K946" s="1377"/>
      <c r="L946" s="1377">
        <v>1</v>
      </c>
      <c r="M946" s="1377">
        <v>82</v>
      </c>
      <c r="N946" s="1377">
        <v>1</v>
      </c>
      <c r="O946" s="1377"/>
      <c r="P946" s="1377">
        <v>1</v>
      </c>
      <c r="Q946" s="1377">
        <v>1</v>
      </c>
      <c r="R946" s="1377">
        <v>4</v>
      </c>
      <c r="S946" s="1377">
        <v>1</v>
      </c>
      <c r="T946" s="1377">
        <v>12</v>
      </c>
      <c r="U946" s="1377">
        <v>1</v>
      </c>
      <c r="V946" s="1377">
        <v>1</v>
      </c>
      <c r="W946" s="1380">
        <v>1</v>
      </c>
      <c r="X946" s="1692"/>
      <c r="Y946" s="1380">
        <v>1</v>
      </c>
      <c r="Z946" s="5"/>
      <c r="AA946" s="599"/>
      <c r="AB946" s="80"/>
      <c r="AC946" s="80"/>
      <c r="AD946" s="5"/>
      <c r="AE946" s="5"/>
      <c r="AF946" s="5"/>
    </row>
    <row r="947" spans="1:32" ht="12.75" customHeight="1" x14ac:dyDescent="0.2">
      <c r="A947" s="1446" t="s">
        <v>665</v>
      </c>
      <c r="B947" s="1371" t="s">
        <v>666</v>
      </c>
      <c r="C947" s="9">
        <f>SUM(G947:Y947)</f>
        <v>9</v>
      </c>
      <c r="E947" s="1454"/>
      <c r="F947" s="976">
        <f t="shared" si="185"/>
        <v>9</v>
      </c>
      <c r="G947" s="1496"/>
      <c r="H947" s="198">
        <v>1</v>
      </c>
      <c r="I947" s="23"/>
      <c r="J947" s="23"/>
      <c r="K947" s="23"/>
      <c r="L947" s="23">
        <v>1</v>
      </c>
      <c r="M947" s="1377">
        <v>1</v>
      </c>
      <c r="N947" s="1377"/>
      <c r="O947" s="23"/>
      <c r="P947" s="23">
        <v>1</v>
      </c>
      <c r="Q947" s="23">
        <v>1</v>
      </c>
      <c r="R947" s="23">
        <v>1</v>
      </c>
      <c r="S947" s="23"/>
      <c r="T947" s="1377">
        <v>1</v>
      </c>
      <c r="U947" s="23"/>
      <c r="V947" s="23"/>
      <c r="W947" s="131">
        <v>1</v>
      </c>
      <c r="X947" s="595"/>
      <c r="Y947" s="131">
        <v>1</v>
      </c>
      <c r="Z947" s="5"/>
      <c r="AA947" s="599"/>
      <c r="AB947" s="5"/>
      <c r="AC947" s="5"/>
      <c r="AD947" s="5"/>
      <c r="AE947" s="5"/>
      <c r="AF947" s="5"/>
    </row>
    <row r="948" spans="1:32" ht="12.75" customHeight="1" x14ac:dyDescent="0.2">
      <c r="A948" s="1446" t="s">
        <v>13403</v>
      </c>
      <c r="B948" s="1371" t="s">
        <v>13368</v>
      </c>
      <c r="C948" s="9">
        <f>SUM(G948:AA948)</f>
        <v>1</v>
      </c>
      <c r="E948" s="1454">
        <f>COUNT(AA948:AA948)</f>
        <v>1</v>
      </c>
      <c r="F948" s="976">
        <f t="shared" si="185"/>
        <v>0</v>
      </c>
      <c r="G948" s="1496"/>
      <c r="H948" s="198"/>
      <c r="I948" s="23"/>
      <c r="J948" s="23"/>
      <c r="K948" s="23"/>
      <c r="L948" s="23"/>
      <c r="M948" s="1377"/>
      <c r="N948" s="1377"/>
      <c r="O948" s="23"/>
      <c r="P948" s="23"/>
      <c r="Q948" s="23"/>
      <c r="R948" s="23"/>
      <c r="S948" s="23"/>
      <c r="T948" s="1377"/>
      <c r="U948" s="23"/>
      <c r="V948" s="23"/>
      <c r="W948" s="131"/>
      <c r="X948" s="595"/>
      <c r="Y948" s="131"/>
      <c r="Z948" s="1631"/>
      <c r="AA948" s="1381">
        <v>1</v>
      </c>
      <c r="AB948" s="1631"/>
      <c r="AC948" s="1631"/>
      <c r="AD948" s="1631"/>
      <c r="AE948" s="1631"/>
      <c r="AF948" s="1631"/>
    </row>
    <row r="949" spans="1:32" ht="12.75" customHeight="1" x14ac:dyDescent="0.2">
      <c r="A949" s="1446" t="s">
        <v>2342</v>
      </c>
      <c r="B949" s="1371" t="s">
        <v>2343</v>
      </c>
      <c r="C949" s="9">
        <f t="shared" ref="C949:C955" si="186">SUM(G949:Y949)</f>
        <v>1</v>
      </c>
      <c r="F949" s="976">
        <f t="shared" si="185"/>
        <v>1</v>
      </c>
      <c r="G949" s="1496"/>
      <c r="H949" s="198"/>
      <c r="I949" s="23"/>
      <c r="J949" s="23"/>
      <c r="K949" s="23"/>
      <c r="L949" s="23"/>
      <c r="M949" s="1377"/>
      <c r="N949" s="1377"/>
      <c r="O949" s="23"/>
      <c r="P949" s="23"/>
      <c r="Q949" s="23">
        <v>1</v>
      </c>
      <c r="R949" s="23"/>
      <c r="S949" s="23"/>
      <c r="T949" s="23"/>
      <c r="U949" s="23"/>
      <c r="V949" s="23"/>
      <c r="W949" s="131"/>
      <c r="X949" s="595"/>
      <c r="Y949" s="131"/>
      <c r="Z949" s="5"/>
      <c r="AA949" s="599"/>
      <c r="AB949" s="5"/>
      <c r="AC949" s="5"/>
      <c r="AD949" s="5"/>
      <c r="AE949" s="5"/>
      <c r="AF949" s="5"/>
    </row>
    <row r="950" spans="1:32" ht="12.75" customHeight="1" x14ac:dyDescent="0.2">
      <c r="A950" s="1442" t="s">
        <v>2137</v>
      </c>
      <c r="B950" s="1374" t="s">
        <v>4943</v>
      </c>
      <c r="C950" s="9">
        <f t="shared" si="186"/>
        <v>2</v>
      </c>
      <c r="F950" s="976">
        <f t="shared" si="185"/>
        <v>2</v>
      </c>
      <c r="G950" s="1496"/>
      <c r="H950" s="198"/>
      <c r="I950" s="23"/>
      <c r="J950" s="23"/>
      <c r="K950" s="23"/>
      <c r="L950" s="23"/>
      <c r="M950" s="23"/>
      <c r="N950" s="23"/>
      <c r="O950" s="23"/>
      <c r="P950" s="1377">
        <v>1</v>
      </c>
      <c r="Q950" s="23"/>
      <c r="R950" s="23"/>
      <c r="S950" s="23"/>
      <c r="T950" s="23"/>
      <c r="U950" s="23"/>
      <c r="V950" s="23"/>
      <c r="W950" s="131"/>
      <c r="X950" s="595">
        <v>1</v>
      </c>
      <c r="Y950" s="131"/>
      <c r="Z950" s="5"/>
      <c r="AA950" s="599"/>
      <c r="AB950" s="5"/>
      <c r="AC950" s="5"/>
      <c r="AD950" s="5"/>
      <c r="AE950" s="5"/>
      <c r="AF950" s="5"/>
    </row>
    <row r="951" spans="1:32" ht="12.75" customHeight="1" x14ac:dyDescent="0.2">
      <c r="A951" s="1446" t="s">
        <v>2478</v>
      </c>
      <c r="B951" s="1371" t="s">
        <v>2479</v>
      </c>
      <c r="C951" s="9">
        <f t="shared" si="186"/>
        <v>0</v>
      </c>
      <c r="F951" s="976">
        <f t="shared" si="185"/>
        <v>0</v>
      </c>
      <c r="G951" s="1496"/>
      <c r="H951" s="198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131"/>
      <c r="X951" s="595"/>
      <c r="Y951" s="131"/>
      <c r="Z951" s="5"/>
      <c r="AA951" s="599"/>
      <c r="AB951" s="5"/>
      <c r="AC951" s="5"/>
      <c r="AD951" s="5"/>
      <c r="AE951" s="5"/>
      <c r="AF951" s="5"/>
    </row>
    <row r="952" spans="1:32" ht="12.75" customHeight="1" x14ac:dyDescent="0.2">
      <c r="A952" s="1397" t="s">
        <v>10186</v>
      </c>
      <c r="B952" s="1370" t="s">
        <v>10187</v>
      </c>
      <c r="C952" s="9">
        <f t="shared" si="186"/>
        <v>1</v>
      </c>
      <c r="F952" s="976">
        <f t="shared" si="185"/>
        <v>1</v>
      </c>
      <c r="G952" s="1496"/>
      <c r="H952" s="198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1377">
        <v>1</v>
      </c>
      <c r="V952" s="23"/>
      <c r="W952" s="131"/>
      <c r="X952" s="595"/>
      <c r="Y952" s="131"/>
      <c r="Z952" s="1677"/>
      <c r="AA952" s="599"/>
      <c r="AB952" s="1677"/>
      <c r="AC952" s="1677"/>
      <c r="AD952" s="1677"/>
      <c r="AE952" s="1677"/>
      <c r="AF952" s="1677"/>
    </row>
    <row r="953" spans="1:32" ht="12.75" customHeight="1" x14ac:dyDescent="0.2">
      <c r="A953" s="1397" t="s">
        <v>2349</v>
      </c>
      <c r="B953" s="1370" t="s">
        <v>2350</v>
      </c>
      <c r="C953" s="9">
        <f t="shared" si="186"/>
        <v>1</v>
      </c>
      <c r="F953" s="976">
        <f t="shared" si="185"/>
        <v>1</v>
      </c>
      <c r="G953" s="1496"/>
      <c r="H953" s="198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1377">
        <v>1</v>
      </c>
      <c r="V953" s="23"/>
      <c r="W953" s="131"/>
      <c r="X953" s="595"/>
      <c r="Y953" s="131"/>
      <c r="Z953" s="1772"/>
      <c r="AA953" s="599"/>
      <c r="AB953" s="1772"/>
      <c r="AC953" s="1772"/>
      <c r="AD953" s="1772"/>
      <c r="AE953" s="1772"/>
      <c r="AF953" s="1772"/>
    </row>
    <row r="954" spans="1:32" ht="12.75" customHeight="1" x14ac:dyDescent="0.2">
      <c r="A954" s="1446" t="s">
        <v>5788</v>
      </c>
      <c r="B954" s="1371" t="s">
        <v>5789</v>
      </c>
      <c r="C954" s="9">
        <f t="shared" si="186"/>
        <v>1</v>
      </c>
      <c r="F954" s="976">
        <f t="shared" si="185"/>
        <v>1</v>
      </c>
      <c r="G954" s="1496"/>
      <c r="H954" s="198"/>
      <c r="I954" s="23">
        <v>1</v>
      </c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1377"/>
      <c r="V954" s="23"/>
      <c r="W954" s="131"/>
      <c r="X954" s="595"/>
      <c r="Y954" s="131"/>
      <c r="Z954" s="5"/>
      <c r="AA954" s="599"/>
      <c r="AB954" s="5"/>
      <c r="AC954" s="5"/>
      <c r="AD954" s="5"/>
      <c r="AE954" s="5"/>
      <c r="AF954" s="5"/>
    </row>
    <row r="955" spans="1:32" ht="12.75" customHeight="1" x14ac:dyDescent="0.2">
      <c r="A955" s="1446" t="s">
        <v>3960</v>
      </c>
      <c r="B955" s="1371" t="s">
        <v>3961</v>
      </c>
      <c r="C955" s="9">
        <f t="shared" si="186"/>
        <v>7</v>
      </c>
      <c r="F955" s="976">
        <f t="shared" si="185"/>
        <v>7</v>
      </c>
      <c r="G955" s="1496"/>
      <c r="H955" s="198">
        <v>1</v>
      </c>
      <c r="I955" s="23"/>
      <c r="J955" s="23"/>
      <c r="K955" s="23"/>
      <c r="L955" s="23"/>
      <c r="M955" s="1377">
        <v>1</v>
      </c>
      <c r="N955" s="1377"/>
      <c r="O955" s="23">
        <v>1</v>
      </c>
      <c r="P955" s="23"/>
      <c r="Q955" s="23"/>
      <c r="R955" s="23"/>
      <c r="S955" s="23">
        <v>1</v>
      </c>
      <c r="T955" s="23"/>
      <c r="U955" s="23">
        <v>1</v>
      </c>
      <c r="V955" s="23">
        <v>1</v>
      </c>
      <c r="W955" s="1380">
        <v>1</v>
      </c>
      <c r="X955" s="595"/>
      <c r="Y955" s="131"/>
      <c r="Z955" s="5"/>
      <c r="AA955" s="599"/>
      <c r="AB955" s="5"/>
      <c r="AC955" s="5"/>
      <c r="AD955" s="5"/>
      <c r="AE955" s="5"/>
      <c r="AF955" s="5"/>
    </row>
    <row r="956" spans="1:32" ht="12.75" customHeight="1" x14ac:dyDescent="0.2">
      <c r="C956" s="20">
        <f>SUM(C938:C955)</f>
        <v>158</v>
      </c>
      <c r="G956" s="28">
        <f>SUM(G938:G955)</f>
        <v>1</v>
      </c>
      <c r="H956" s="449">
        <f>SUM(H938:H955)</f>
        <v>7</v>
      </c>
      <c r="I956" s="28">
        <f>SUM(I938:I955)</f>
        <v>2</v>
      </c>
      <c r="J956" s="28">
        <f>SUM(J938:J955)</f>
        <v>1</v>
      </c>
      <c r="K956" s="23"/>
      <c r="L956" s="28">
        <f>SUM(L938:L955)</f>
        <v>2</v>
      </c>
      <c r="M956" s="28">
        <f t="shared" ref="M956:T956" si="187">SUM(M938:M955)</f>
        <v>86</v>
      </c>
      <c r="N956" s="28">
        <f t="shared" ref="N956" si="188">SUM(N938:N955)</f>
        <v>1</v>
      </c>
      <c r="O956" s="28">
        <f t="shared" si="187"/>
        <v>1</v>
      </c>
      <c r="P956" s="28">
        <f t="shared" ref="P956" si="189">SUM(P938:P955)</f>
        <v>5</v>
      </c>
      <c r="Q956" s="28">
        <f t="shared" si="187"/>
        <v>3</v>
      </c>
      <c r="R956" s="28">
        <f t="shared" si="187"/>
        <v>5</v>
      </c>
      <c r="S956" s="28">
        <f t="shared" si="187"/>
        <v>5</v>
      </c>
      <c r="T956" s="28">
        <f t="shared" si="187"/>
        <v>15</v>
      </c>
      <c r="U956" s="28">
        <f>SUM(U938:U955)</f>
        <v>4</v>
      </c>
      <c r="V956" s="28">
        <f>SUM(V938:V955)</f>
        <v>9</v>
      </c>
      <c r="W956" s="28">
        <f t="shared" ref="W956:Y956" si="190">SUM(W938:W955)</f>
        <v>4</v>
      </c>
      <c r="X956" s="28">
        <f t="shared" si="190"/>
        <v>2</v>
      </c>
      <c r="Y956" s="28">
        <f t="shared" si="190"/>
        <v>2</v>
      </c>
      <c r="Z956" s="5"/>
      <c r="AA956" s="1381"/>
      <c r="AB956" s="5"/>
      <c r="AC956" s="5"/>
      <c r="AD956" s="5"/>
      <c r="AE956" s="5"/>
      <c r="AF956" s="5"/>
    </row>
    <row r="957" spans="1:32" ht="12.75" customHeight="1" x14ac:dyDescent="0.2">
      <c r="C957" s="9"/>
      <c r="E957" s="1377">
        <f>COUNT(G957:Y957)</f>
        <v>18</v>
      </c>
      <c r="G957" s="28">
        <f>COUNT(G938:G955)</f>
        <v>1</v>
      </c>
      <c r="H957" s="449">
        <f>COUNT(H938:H955)</f>
        <v>4</v>
      </c>
      <c r="I957" s="28">
        <f>COUNT(I938:I955)</f>
        <v>2</v>
      </c>
      <c r="J957" s="28">
        <f>COUNT(J938:J955)</f>
        <v>1</v>
      </c>
      <c r="K957" s="23"/>
      <c r="L957" s="28">
        <f t="shared" ref="L957:T957" si="191">COUNT(L938:L955)</f>
        <v>2</v>
      </c>
      <c r="M957" s="28">
        <f t="shared" si="191"/>
        <v>5</v>
      </c>
      <c r="N957" s="28">
        <f t="shared" ref="N957" si="192">COUNT(N938:N955)</f>
        <v>1</v>
      </c>
      <c r="O957" s="28">
        <f t="shared" si="191"/>
        <v>1</v>
      </c>
      <c r="P957" s="28">
        <f t="shared" ref="P957" si="193">COUNT(P938:P955)</f>
        <v>5</v>
      </c>
      <c r="Q957" s="28">
        <f t="shared" si="191"/>
        <v>3</v>
      </c>
      <c r="R957" s="28">
        <f t="shared" si="191"/>
        <v>2</v>
      </c>
      <c r="S957" s="28">
        <f t="shared" si="191"/>
        <v>4</v>
      </c>
      <c r="T957" s="28">
        <f t="shared" si="191"/>
        <v>4</v>
      </c>
      <c r="U957" s="28">
        <f t="shared" ref="U957:Y957" si="194">COUNT(U938:U955)</f>
        <v>4</v>
      </c>
      <c r="V957" s="28">
        <f t="shared" si="194"/>
        <v>4</v>
      </c>
      <c r="W957" s="28">
        <f t="shared" si="194"/>
        <v>4</v>
      </c>
      <c r="X957" s="28">
        <f t="shared" si="194"/>
        <v>2</v>
      </c>
      <c r="Y957" s="28">
        <f t="shared" si="194"/>
        <v>2</v>
      </c>
      <c r="Z957" s="5"/>
      <c r="AA957" s="1381"/>
      <c r="AB957" s="5"/>
      <c r="AC957" s="5"/>
      <c r="AD957" s="5"/>
      <c r="AE957" s="5"/>
      <c r="AF957" s="5"/>
    </row>
    <row r="958" spans="1:32" ht="12.75" customHeight="1" x14ac:dyDescent="0.25">
      <c r="C958" s="9"/>
      <c r="G958" s="41"/>
      <c r="H958" s="190" t="s">
        <v>4592</v>
      </c>
      <c r="I958" s="190"/>
      <c r="J958" s="258" t="s">
        <v>8295</v>
      </c>
      <c r="K958" s="258"/>
      <c r="L958" s="538" t="s">
        <v>6425</v>
      </c>
      <c r="M958" s="565"/>
      <c r="N958" s="565" t="s">
        <v>16714</v>
      </c>
      <c r="O958" s="561" t="s">
        <v>9055</v>
      </c>
      <c r="P958" s="561"/>
      <c r="Q958" s="565" t="s">
        <v>2041</v>
      </c>
      <c r="R958" s="565"/>
      <c r="S958" s="538" t="s">
        <v>1624</v>
      </c>
      <c r="T958" s="561"/>
      <c r="U958" s="538" t="s">
        <v>10558</v>
      </c>
      <c r="V958" s="565"/>
      <c r="W958" s="561" t="s">
        <v>283</v>
      </c>
      <c r="X958" s="565"/>
      <c r="Y958" s="561" t="s">
        <v>615</v>
      </c>
      <c r="Z958" s="185"/>
      <c r="AA958" s="187" t="s">
        <v>10400</v>
      </c>
      <c r="AB958" s="364"/>
      <c r="AC958" s="185"/>
      <c r="AD958" s="185"/>
      <c r="AE958" s="185"/>
      <c r="AF958" s="410"/>
    </row>
    <row r="959" spans="1:32" ht="12.75" customHeight="1" x14ac:dyDescent="0.25">
      <c r="C959" s="9"/>
      <c r="G959" s="539" t="s">
        <v>12775</v>
      </c>
      <c r="H959" s="191"/>
      <c r="I959" s="247" t="s">
        <v>355</v>
      </c>
      <c r="J959" s="558"/>
      <c r="K959" s="539" t="s">
        <v>6426</v>
      </c>
      <c r="L959" s="539"/>
      <c r="M959" s="539" t="s">
        <v>5656</v>
      </c>
      <c r="N959" s="539"/>
      <c r="O959" s="539"/>
      <c r="P959" s="539" t="s">
        <v>5359</v>
      </c>
      <c r="Q959" s="539"/>
      <c r="R959" s="535" t="s">
        <v>4282</v>
      </c>
      <c r="S959" s="515"/>
      <c r="T959" s="539" t="s">
        <v>2312</v>
      </c>
      <c r="U959" s="539"/>
      <c r="V959" s="539" t="s">
        <v>1020</v>
      </c>
      <c r="W959" s="515"/>
      <c r="X959" s="539" t="s">
        <v>6284</v>
      </c>
      <c r="Y959" s="558"/>
      <c r="Z959" s="410"/>
      <c r="AA959" s="185"/>
      <c r="AB959" s="185"/>
      <c r="AC959" s="185"/>
      <c r="AD959" s="185"/>
      <c r="AE959" s="185"/>
      <c r="AF959" s="364"/>
    </row>
    <row r="960" spans="1:32" ht="12.75" customHeight="1" x14ac:dyDescent="0.25">
      <c r="C960" s="9"/>
      <c r="G960" s="1406"/>
      <c r="H960" s="1418"/>
      <c r="I960" s="1406"/>
      <c r="J960" s="1407"/>
      <c r="K960" s="1406"/>
      <c r="L960" s="1406"/>
      <c r="M960" s="1406"/>
      <c r="N960" s="1406"/>
      <c r="O960" s="1406"/>
      <c r="P960" s="1406"/>
      <c r="Q960" s="1406"/>
      <c r="R960" s="1500"/>
      <c r="S960" s="1418"/>
      <c r="T960" s="1406"/>
      <c r="U960" s="1406"/>
      <c r="V960" s="1406"/>
      <c r="W960" s="1418"/>
      <c r="X960" s="1406"/>
      <c r="Y960" s="1407"/>
      <c r="Z960" s="410"/>
      <c r="AA960" s="185"/>
      <c r="AB960" s="185"/>
      <c r="AC960" s="185"/>
      <c r="AD960" s="185"/>
      <c r="AE960" s="185"/>
      <c r="AF960" s="364"/>
    </row>
    <row r="961" spans="1:33" ht="12.75" customHeight="1" x14ac:dyDescent="0.25">
      <c r="C961" s="9"/>
      <c r="G961" s="7" t="s">
        <v>17337</v>
      </c>
      <c r="H961" s="7" t="s">
        <v>17338</v>
      </c>
      <c r="I961" s="7" t="s">
        <v>11205</v>
      </c>
      <c r="J961" s="7" t="s">
        <v>11205</v>
      </c>
      <c r="K961" s="7" t="s">
        <v>17339</v>
      </c>
      <c r="L961" s="7" t="s">
        <v>17337</v>
      </c>
      <c r="M961" s="7" t="s">
        <v>17337</v>
      </c>
      <c r="N961" s="7" t="s">
        <v>17340</v>
      </c>
      <c r="O961" s="7" t="s">
        <v>17339</v>
      </c>
      <c r="P961" s="7" t="s">
        <v>17339</v>
      </c>
      <c r="Q961" s="7" t="s">
        <v>11205</v>
      </c>
      <c r="R961" s="7" t="s">
        <v>17341</v>
      </c>
      <c r="S961" s="7" t="s">
        <v>11201</v>
      </c>
      <c r="T961" s="7" t="s">
        <v>17340</v>
      </c>
      <c r="U961" s="7" t="s">
        <v>17340</v>
      </c>
      <c r="V961" s="7" t="s">
        <v>17340</v>
      </c>
      <c r="W961" s="7" t="s">
        <v>17339</v>
      </c>
      <c r="X961" s="7" t="s">
        <v>17338</v>
      </c>
      <c r="Y961" s="7" t="s">
        <v>17340</v>
      </c>
      <c r="Z961" s="7" t="s">
        <v>17340</v>
      </c>
      <c r="AA961" s="410"/>
    </row>
    <row r="962" spans="1:33" ht="12.75" customHeight="1" x14ac:dyDescent="0.25">
      <c r="A962" s="1446"/>
      <c r="C962" s="9"/>
      <c r="G962" s="2" t="s">
        <v>5781</v>
      </c>
      <c r="H962" s="2"/>
      <c r="I962" s="2"/>
      <c r="J962" s="2"/>
      <c r="K962" s="185"/>
      <c r="L962" s="185"/>
      <c r="M962" s="2" t="s">
        <v>6427</v>
      </c>
      <c r="N962" s="364"/>
      <c r="O962" s="185"/>
      <c r="P962" s="410"/>
      <c r="Q962" s="410"/>
      <c r="R962" s="410"/>
      <c r="S962" s="410"/>
      <c r="T962" s="410"/>
      <c r="U962" s="410"/>
      <c r="V962" s="364"/>
      <c r="W962" s="185"/>
      <c r="X962" s="185"/>
      <c r="Y962" s="2" t="s">
        <v>6423</v>
      </c>
      <c r="Z962" s="7"/>
      <c r="AA962" s="364"/>
      <c r="AB962" s="846"/>
      <c r="AC962" s="1153" t="s">
        <v>11063</v>
      </c>
      <c r="AD962" s="1154"/>
      <c r="AE962" s="410"/>
    </row>
    <row r="963" spans="1:33" ht="12.75" customHeight="1" x14ac:dyDescent="0.25">
      <c r="A963" s="1446"/>
      <c r="C963" s="9"/>
      <c r="G963" s="537" t="s">
        <v>359</v>
      </c>
      <c r="H963" s="540" t="s">
        <v>197</v>
      </c>
      <c r="I963" s="537" t="s">
        <v>4987</v>
      </c>
      <c r="J963" s="540" t="s">
        <v>6421</v>
      </c>
      <c r="K963" s="537" t="s">
        <v>5296</v>
      </c>
      <c r="L963" s="516" t="s">
        <v>199</v>
      </c>
      <c r="M963" s="537" t="s">
        <v>198</v>
      </c>
      <c r="N963" s="540" t="s">
        <v>1619</v>
      </c>
      <c r="O963" s="537" t="s">
        <v>1331</v>
      </c>
      <c r="P963" s="540" t="s">
        <v>2917</v>
      </c>
      <c r="Q963" s="537" t="s">
        <v>11729</v>
      </c>
      <c r="R963" s="516" t="s">
        <v>6076</v>
      </c>
      <c r="S963" s="537" t="s">
        <v>3594</v>
      </c>
      <c r="T963" s="540" t="s">
        <v>16857</v>
      </c>
      <c r="U963" s="537" t="s">
        <v>4115</v>
      </c>
      <c r="V963" s="1119" t="s">
        <v>9210</v>
      </c>
      <c r="W963" s="2086" t="s">
        <v>6419</v>
      </c>
      <c r="X963" s="2087" t="s">
        <v>12636</v>
      </c>
      <c r="Y963" s="553" t="s">
        <v>11911</v>
      </c>
      <c r="Z963" s="516" t="s">
        <v>200</v>
      </c>
      <c r="AA963" s="42"/>
      <c r="AB963" s="79"/>
      <c r="AC963" s="79" t="s">
        <v>10978</v>
      </c>
      <c r="AD963" s="111"/>
      <c r="AE963" s="410"/>
      <c r="AF963" s="410"/>
      <c r="AG963" s="410"/>
    </row>
    <row r="964" spans="1:33" ht="12.75" customHeight="1" x14ac:dyDescent="0.25">
      <c r="A964" s="1397" t="s">
        <v>3508</v>
      </c>
      <c r="B964" s="1370" t="s">
        <v>3632</v>
      </c>
      <c r="C964" s="9">
        <f t="shared" ref="C964:C972" si="195">SUM(G964:Z964)</f>
        <v>1</v>
      </c>
      <c r="F964" s="977">
        <f t="shared" ref="F964:F972" si="196">COUNT(G964:Y964)</f>
        <v>1</v>
      </c>
      <c r="G964" s="1388"/>
      <c r="H964" s="1388"/>
      <c r="I964" s="1388"/>
      <c r="J964" s="1388"/>
      <c r="K964" s="1388"/>
      <c r="L964" s="1441"/>
      <c r="M964" s="1388"/>
      <c r="N964" s="1388"/>
      <c r="O964" s="1388"/>
      <c r="P964" s="1388"/>
      <c r="Q964" s="1388"/>
      <c r="R964" s="1441"/>
      <c r="S964" s="1388"/>
      <c r="T964" s="1388"/>
      <c r="U964" s="1388"/>
      <c r="V964" s="1381">
        <v>1</v>
      </c>
      <c r="W964" s="1619"/>
      <c r="X964" s="1619"/>
      <c r="Y964" s="1393"/>
      <c r="Z964" s="1441"/>
      <c r="AA964" s="42"/>
      <c r="AB964" s="79"/>
      <c r="AC964" s="79"/>
      <c r="AD964" s="111"/>
      <c r="AE964" s="410"/>
      <c r="AF964" s="410"/>
      <c r="AG964" s="410"/>
    </row>
    <row r="965" spans="1:33" ht="12.75" customHeight="1" x14ac:dyDescent="0.25">
      <c r="A965" s="1397" t="s">
        <v>5540</v>
      </c>
      <c r="B965" s="1370" t="s">
        <v>5541</v>
      </c>
      <c r="C965" s="9">
        <f t="shared" si="195"/>
        <v>1</v>
      </c>
      <c r="F965" s="977">
        <f t="shared" si="196"/>
        <v>1</v>
      </c>
      <c r="G965" s="36"/>
      <c r="H965" s="36"/>
      <c r="I965" s="36"/>
      <c r="J965" s="36"/>
      <c r="K965" s="36"/>
      <c r="L965" s="66"/>
      <c r="M965" s="1388"/>
      <c r="N965" s="36"/>
      <c r="O965" s="36"/>
      <c r="P965" s="36"/>
      <c r="Q965" s="36"/>
      <c r="R965" s="66"/>
      <c r="S965" s="36">
        <v>1</v>
      </c>
      <c r="T965" s="1388"/>
      <c r="U965" s="36"/>
      <c r="V965" s="455"/>
      <c r="W965" s="1152"/>
      <c r="X965" s="1152"/>
      <c r="Y965" s="1355"/>
      <c r="Z965" s="1092"/>
      <c r="AA965" s="107"/>
      <c r="AB965" s="79"/>
      <c r="AC965" s="79" t="s">
        <v>1022</v>
      </c>
      <c r="AD965" s="111"/>
      <c r="AE965" s="410"/>
      <c r="AF965" s="410"/>
      <c r="AG965" s="410"/>
    </row>
    <row r="966" spans="1:33" ht="12.75" customHeight="1" x14ac:dyDescent="0.25">
      <c r="A966" s="1425" t="s">
        <v>5980</v>
      </c>
      <c r="B966" s="1410" t="s">
        <v>4818</v>
      </c>
      <c r="C966" s="9">
        <f t="shared" si="195"/>
        <v>55</v>
      </c>
      <c r="E966" s="1371">
        <f>COUNT(Z966:AB966)</f>
        <v>1</v>
      </c>
      <c r="F966" s="977">
        <f t="shared" si="196"/>
        <v>16</v>
      </c>
      <c r="G966" s="1377">
        <v>29</v>
      </c>
      <c r="H966" s="1377">
        <v>1</v>
      </c>
      <c r="I966" s="1377">
        <v>2</v>
      </c>
      <c r="J966" s="1377"/>
      <c r="K966" s="1377">
        <v>2</v>
      </c>
      <c r="L966" s="1380">
        <v>2</v>
      </c>
      <c r="M966" s="1377">
        <v>5</v>
      </c>
      <c r="N966" s="1377">
        <v>1</v>
      </c>
      <c r="O966" s="1438">
        <v>1</v>
      </c>
      <c r="P966" s="1438">
        <v>1</v>
      </c>
      <c r="Q966" s="1438">
        <v>1</v>
      </c>
      <c r="R966" s="1438">
        <v>2</v>
      </c>
      <c r="S966" s="1438">
        <v>2</v>
      </c>
      <c r="T966" s="1438">
        <v>2</v>
      </c>
      <c r="U966" s="1377">
        <v>1</v>
      </c>
      <c r="V966" s="1377">
        <v>1</v>
      </c>
      <c r="W966" s="646">
        <v>1</v>
      </c>
      <c r="X966" s="646"/>
      <c r="Y966" s="1355"/>
      <c r="Z966" s="131">
        <v>1</v>
      </c>
      <c r="AA966" s="5"/>
      <c r="AB966" s="5"/>
      <c r="AC966" s="79"/>
      <c r="AD966" s="364"/>
      <c r="AE966" s="410"/>
      <c r="AF966" s="410"/>
      <c r="AG966" s="410"/>
    </row>
    <row r="967" spans="1:33" ht="12.75" customHeight="1" x14ac:dyDescent="0.25">
      <c r="A967" s="1469" t="s">
        <v>4640</v>
      </c>
      <c r="B967" s="1466" t="s">
        <v>4641</v>
      </c>
      <c r="C967" s="9">
        <f t="shared" si="195"/>
        <v>1</v>
      </c>
      <c r="F967" s="977">
        <f t="shared" si="196"/>
        <v>1</v>
      </c>
      <c r="G967" s="23"/>
      <c r="H967" s="23">
        <v>1</v>
      </c>
      <c r="I967" s="23"/>
      <c r="J967" s="23"/>
      <c r="K967" s="23"/>
      <c r="L967" s="131"/>
      <c r="M967" s="23"/>
      <c r="N967" s="23"/>
      <c r="O967" s="344"/>
      <c r="P967" s="344"/>
      <c r="Q967" s="344"/>
      <c r="R967" s="344"/>
      <c r="S967" s="344"/>
      <c r="T967" s="1438"/>
      <c r="U967" s="23"/>
      <c r="V967" s="23"/>
      <c r="W967" s="646"/>
      <c r="X967" s="646"/>
      <c r="Y967" s="1355"/>
      <c r="Z967" s="1124"/>
      <c r="AA967" s="5"/>
      <c r="AB967" s="5"/>
      <c r="AC967" s="364"/>
      <c r="AD967" s="364"/>
      <c r="AE967" s="410"/>
      <c r="AF967" s="410"/>
      <c r="AG967" s="410"/>
    </row>
    <row r="968" spans="1:33" ht="12.75" customHeight="1" x14ac:dyDescent="0.25">
      <c r="A968" s="1446" t="s">
        <v>665</v>
      </c>
      <c r="B968" s="1371" t="s">
        <v>666</v>
      </c>
      <c r="C968" s="9">
        <f t="shared" si="195"/>
        <v>9</v>
      </c>
      <c r="F968" s="977">
        <f t="shared" si="196"/>
        <v>9</v>
      </c>
      <c r="G968" s="23">
        <v>1</v>
      </c>
      <c r="H968" s="23"/>
      <c r="I968" s="23">
        <v>1</v>
      </c>
      <c r="J968" s="23"/>
      <c r="K968" s="23"/>
      <c r="L968" s="131">
        <v>1</v>
      </c>
      <c r="M968" s="23">
        <v>1</v>
      </c>
      <c r="N968" s="23">
        <v>1</v>
      </c>
      <c r="O968" s="344"/>
      <c r="P968" s="344"/>
      <c r="Q968" s="344"/>
      <c r="R968" s="344">
        <v>1</v>
      </c>
      <c r="S968" s="344">
        <v>1</v>
      </c>
      <c r="T968" s="344"/>
      <c r="U968" s="23"/>
      <c r="V968" s="23">
        <v>1</v>
      </c>
      <c r="W968" s="596"/>
      <c r="X968" s="596"/>
      <c r="Y968" s="462">
        <v>1</v>
      </c>
      <c r="Z968" s="597"/>
      <c r="AA968" s="185"/>
      <c r="AB968" s="364"/>
      <c r="AC968" s="364"/>
      <c r="AD968" s="364"/>
      <c r="AE968" s="410"/>
      <c r="AF968" s="410"/>
      <c r="AG968" s="410"/>
    </row>
    <row r="969" spans="1:33" ht="12.75" customHeight="1" x14ac:dyDescent="0.25">
      <c r="A969" s="1446" t="s">
        <v>2342</v>
      </c>
      <c r="B969" s="1371" t="s">
        <v>2343</v>
      </c>
      <c r="C969" s="9">
        <f t="shared" si="195"/>
        <v>3</v>
      </c>
      <c r="F969" s="977">
        <f t="shared" si="196"/>
        <v>2</v>
      </c>
      <c r="G969" s="23"/>
      <c r="H969" s="23"/>
      <c r="I969" s="23"/>
      <c r="J969" s="23"/>
      <c r="K969" s="23"/>
      <c r="L969" s="131"/>
      <c r="M969" s="23">
        <v>2</v>
      </c>
      <c r="N969" s="23"/>
      <c r="O969" s="344"/>
      <c r="P969" s="344"/>
      <c r="Q969" s="344"/>
      <c r="R969" s="344"/>
      <c r="S969" s="344">
        <v>1</v>
      </c>
      <c r="T969" s="344"/>
      <c r="U969" s="23"/>
      <c r="V969" s="23"/>
      <c r="W969" s="596"/>
      <c r="X969" s="596"/>
      <c r="Y969" s="1355"/>
      <c r="Z969" s="597"/>
      <c r="AA969" s="185"/>
      <c r="AB969" s="364"/>
      <c r="AC969" s="364"/>
      <c r="AD969" s="364"/>
      <c r="AE969" s="410"/>
      <c r="AF969" s="410"/>
      <c r="AG969" s="410"/>
    </row>
    <row r="970" spans="1:33" ht="12.75" customHeight="1" x14ac:dyDescent="0.25">
      <c r="A970" s="1446" t="s">
        <v>2478</v>
      </c>
      <c r="B970" s="1371" t="s">
        <v>2479</v>
      </c>
      <c r="C970" s="9">
        <f t="shared" si="195"/>
        <v>1</v>
      </c>
      <c r="F970" s="977">
        <f t="shared" si="196"/>
        <v>1</v>
      </c>
      <c r="G970" s="23"/>
      <c r="H970" s="23"/>
      <c r="I970" s="23"/>
      <c r="J970" s="23"/>
      <c r="K970" s="23"/>
      <c r="L970" s="131"/>
      <c r="M970" s="23"/>
      <c r="N970" s="23">
        <v>1</v>
      </c>
      <c r="O970" s="344"/>
      <c r="P970" s="344"/>
      <c r="Q970" s="344"/>
      <c r="R970" s="344"/>
      <c r="S970" s="344"/>
      <c r="T970" s="344"/>
      <c r="U970" s="23"/>
      <c r="V970" s="23"/>
      <c r="W970" s="596"/>
      <c r="X970" s="596"/>
      <c r="Y970" s="1355"/>
      <c r="Z970" s="598"/>
      <c r="AA970" s="185"/>
      <c r="AB970" s="410"/>
      <c r="AC970" s="364"/>
      <c r="AD970" s="364"/>
      <c r="AE970" s="410"/>
      <c r="AF970" s="410"/>
      <c r="AG970" s="410"/>
    </row>
    <row r="971" spans="1:33" ht="12.75" customHeight="1" x14ac:dyDescent="0.25">
      <c r="A971" s="1397" t="s">
        <v>5788</v>
      </c>
      <c r="B971" s="1371" t="s">
        <v>5789</v>
      </c>
      <c r="C971" s="9">
        <f t="shared" si="195"/>
        <v>6</v>
      </c>
      <c r="F971" s="977">
        <f t="shared" si="196"/>
        <v>2</v>
      </c>
      <c r="G971" s="23"/>
      <c r="H971" s="23"/>
      <c r="I971" s="23"/>
      <c r="J971" s="23"/>
      <c r="K971" s="23"/>
      <c r="L971" s="131"/>
      <c r="M971" s="23"/>
      <c r="N971" s="23"/>
      <c r="O971" s="344"/>
      <c r="P971" s="344"/>
      <c r="Q971" s="344"/>
      <c r="R971" s="344"/>
      <c r="S971" s="344">
        <v>3</v>
      </c>
      <c r="T971" s="344"/>
      <c r="U971" s="23"/>
      <c r="V971" s="23"/>
      <c r="W971" s="596"/>
      <c r="X971" s="1501">
        <v>3</v>
      </c>
      <c r="Y971" s="1355"/>
      <c r="Z971" s="598"/>
      <c r="AA971" s="185"/>
      <c r="AB971" s="410"/>
      <c r="AC971" s="364"/>
      <c r="AD971" s="364"/>
      <c r="AE971" s="410"/>
      <c r="AF971" s="410"/>
      <c r="AG971" s="410"/>
    </row>
    <row r="972" spans="1:33" ht="12.75" customHeight="1" x14ac:dyDescent="0.25">
      <c r="A972" s="1446" t="s">
        <v>3960</v>
      </c>
      <c r="B972" s="1371" t="s">
        <v>3961</v>
      </c>
      <c r="C972" s="9">
        <f t="shared" si="195"/>
        <v>3</v>
      </c>
      <c r="F972" s="977">
        <f t="shared" si="196"/>
        <v>3</v>
      </c>
      <c r="G972" s="23"/>
      <c r="H972" s="23"/>
      <c r="I972" s="23">
        <v>1</v>
      </c>
      <c r="J972" s="23"/>
      <c r="K972" s="23"/>
      <c r="L972" s="131"/>
      <c r="M972" s="23"/>
      <c r="N972" s="23">
        <v>1</v>
      </c>
      <c r="O972" s="344"/>
      <c r="P972" s="344"/>
      <c r="Q972" s="344">
        <v>1</v>
      </c>
      <c r="R972" s="344"/>
      <c r="S972" s="344"/>
      <c r="T972" s="344"/>
      <c r="U972" s="23"/>
      <c r="V972" s="23"/>
      <c r="W972" s="596"/>
      <c r="X972" s="596"/>
      <c r="Y972" s="1355"/>
      <c r="Z972" s="598"/>
      <c r="AA972" s="185"/>
      <c r="AB972" s="364"/>
      <c r="AC972" s="364"/>
      <c r="AD972" s="364"/>
      <c r="AE972" s="410"/>
      <c r="AF972" s="410"/>
      <c r="AG972" s="410"/>
    </row>
    <row r="973" spans="1:33" ht="12.75" customHeight="1" x14ac:dyDescent="0.25">
      <c r="A973" s="1446"/>
      <c r="C973" s="20">
        <f>SUM(C965:C972)</f>
        <v>79</v>
      </c>
      <c r="G973" s="572">
        <f>SUM(G964:G972)</f>
        <v>30</v>
      </c>
      <c r="H973" s="572">
        <f t="shared" ref="H973:Y973" si="197">SUM(H964:H972)</f>
        <v>2</v>
      </c>
      <c r="I973" s="572">
        <f t="shared" si="197"/>
        <v>4</v>
      </c>
      <c r="J973" s="1377"/>
      <c r="K973" s="572">
        <f t="shared" si="197"/>
        <v>2</v>
      </c>
      <c r="L973" s="572">
        <f t="shared" si="197"/>
        <v>3</v>
      </c>
      <c r="M973" s="572">
        <f t="shared" si="197"/>
        <v>8</v>
      </c>
      <c r="N973" s="572">
        <f t="shared" si="197"/>
        <v>4</v>
      </c>
      <c r="O973" s="572">
        <f t="shared" si="197"/>
        <v>1</v>
      </c>
      <c r="P973" s="572">
        <f t="shared" si="197"/>
        <v>1</v>
      </c>
      <c r="Q973" s="572">
        <f t="shared" si="197"/>
        <v>2</v>
      </c>
      <c r="R973" s="572">
        <f t="shared" si="197"/>
        <v>3</v>
      </c>
      <c r="S973" s="572">
        <f t="shared" si="197"/>
        <v>8</v>
      </c>
      <c r="T973" s="572">
        <f t="shared" ref="T973" si="198">SUM(T964:T972)</f>
        <v>2</v>
      </c>
      <c r="U973" s="572">
        <f t="shared" si="197"/>
        <v>1</v>
      </c>
      <c r="V973" s="572">
        <f t="shared" si="197"/>
        <v>3</v>
      </c>
      <c r="W973" s="572">
        <f t="shared" si="197"/>
        <v>1</v>
      </c>
      <c r="X973" s="572">
        <f t="shared" si="197"/>
        <v>3</v>
      </c>
      <c r="Y973" s="572">
        <f t="shared" si="197"/>
        <v>1</v>
      </c>
      <c r="Z973" s="596"/>
      <c r="AA973" s="185"/>
      <c r="AB973" s="364"/>
      <c r="AC973" s="364"/>
      <c r="AD973" s="364"/>
      <c r="AE973" s="410"/>
      <c r="AF973" s="410"/>
      <c r="AG973" s="410"/>
    </row>
    <row r="974" spans="1:33" ht="12.75" customHeight="1" x14ac:dyDescent="0.25">
      <c r="A974" s="1446"/>
      <c r="C974" s="9"/>
      <c r="E974" s="1377">
        <f>COUNT(G974:Y974)</f>
        <v>18</v>
      </c>
      <c r="G974" s="572">
        <f>COUNT(G964:G972)</f>
        <v>2</v>
      </c>
      <c r="H974" s="572">
        <f t="shared" ref="H974:Y974" si="199">COUNT(H964:H972)</f>
        <v>2</v>
      </c>
      <c r="I974" s="572">
        <f t="shared" si="199"/>
        <v>3</v>
      </c>
      <c r="J974" s="1377"/>
      <c r="K974" s="572">
        <f t="shared" si="199"/>
        <v>1</v>
      </c>
      <c r="L974" s="572">
        <f t="shared" si="199"/>
        <v>2</v>
      </c>
      <c r="M974" s="572">
        <f t="shared" si="199"/>
        <v>3</v>
      </c>
      <c r="N974" s="572">
        <f t="shared" si="199"/>
        <v>4</v>
      </c>
      <c r="O974" s="572">
        <f t="shared" si="199"/>
        <v>1</v>
      </c>
      <c r="P974" s="572">
        <f t="shared" si="199"/>
        <v>1</v>
      </c>
      <c r="Q974" s="572">
        <f t="shared" si="199"/>
        <v>2</v>
      </c>
      <c r="R974" s="572">
        <f t="shared" si="199"/>
        <v>2</v>
      </c>
      <c r="S974" s="572">
        <f t="shared" si="199"/>
        <v>5</v>
      </c>
      <c r="T974" s="572">
        <f t="shared" ref="T974" si="200">COUNT(T964:T972)</f>
        <v>1</v>
      </c>
      <c r="U974" s="572">
        <f t="shared" si="199"/>
        <v>1</v>
      </c>
      <c r="V974" s="572">
        <f t="shared" si="199"/>
        <v>3</v>
      </c>
      <c r="W974" s="572">
        <f t="shared" si="199"/>
        <v>1</v>
      </c>
      <c r="X974" s="572">
        <f t="shared" si="199"/>
        <v>1</v>
      </c>
      <c r="Y974" s="572">
        <f t="shared" si="199"/>
        <v>1</v>
      </c>
      <c r="Z974" s="596"/>
      <c r="AA974" s="185"/>
      <c r="AB974" s="364"/>
      <c r="AC974" s="364"/>
      <c r="AD974" s="364"/>
      <c r="AE974" s="410"/>
      <c r="AF974" s="410"/>
      <c r="AG974" s="410"/>
    </row>
    <row r="975" spans="1:33" ht="12.75" customHeight="1" x14ac:dyDescent="0.25">
      <c r="A975" s="1446"/>
      <c r="C975" s="9"/>
      <c r="G975" s="538" t="s">
        <v>3120</v>
      </c>
      <c r="H975" s="565"/>
      <c r="I975" s="561" t="s">
        <v>5554</v>
      </c>
      <c r="J975" s="561"/>
      <c r="K975" s="561" t="s">
        <v>5289</v>
      </c>
      <c r="L975" s="565"/>
      <c r="M975" s="538" t="s">
        <v>282</v>
      </c>
      <c r="N975" s="538"/>
      <c r="O975" s="536" t="s">
        <v>5402</v>
      </c>
      <c r="P975" s="561"/>
      <c r="Q975" s="538" t="s">
        <v>2960</v>
      </c>
      <c r="R975" s="536"/>
      <c r="S975" s="538" t="s">
        <v>3595</v>
      </c>
      <c r="T975" s="561"/>
      <c r="U975" s="538" t="s">
        <v>4117</v>
      </c>
      <c r="V975" s="538"/>
      <c r="W975" s="565" t="s">
        <v>6420</v>
      </c>
      <c r="X975" s="565"/>
      <c r="Y975" s="538" t="s">
        <v>12212</v>
      </c>
      <c r="Z975" s="561"/>
      <c r="AA975" s="185"/>
      <c r="AB975" s="364"/>
      <c r="AC975" s="364"/>
      <c r="AD975" s="364"/>
      <c r="AE975" s="410"/>
      <c r="AF975" s="410"/>
      <c r="AG975" s="410"/>
    </row>
    <row r="976" spans="1:33" ht="12.75" customHeight="1" x14ac:dyDescent="0.25">
      <c r="A976" s="1667"/>
      <c r="B976" s="1390"/>
      <c r="C976" s="9"/>
      <c r="G976" s="539"/>
      <c r="H976" s="515" t="s">
        <v>1021</v>
      </c>
      <c r="I976" s="515"/>
      <c r="J976" s="558" t="s">
        <v>1022</v>
      </c>
      <c r="K976" s="539"/>
      <c r="L976" s="539" t="s">
        <v>284</v>
      </c>
      <c r="M976" s="539"/>
      <c r="N976" s="535" t="s">
        <v>2588</v>
      </c>
      <c r="O976" s="535"/>
      <c r="P976" s="535" t="s">
        <v>230</v>
      </c>
      <c r="Q976" s="535"/>
      <c r="R976" s="558" t="s">
        <v>6075</v>
      </c>
      <c r="S976" s="558"/>
      <c r="T976" s="558" t="s">
        <v>15901</v>
      </c>
      <c r="U976" s="535"/>
      <c r="V976" s="539" t="s">
        <v>9719</v>
      </c>
      <c r="W976" s="558"/>
      <c r="X976" s="539" t="s">
        <v>12668</v>
      </c>
      <c r="Y976" s="539"/>
      <c r="Z976" s="558" t="s">
        <v>2959</v>
      </c>
      <c r="AA976" s="185"/>
      <c r="AB976" s="364"/>
      <c r="AC976" s="364"/>
      <c r="AD976" s="364"/>
      <c r="AE976" s="410"/>
      <c r="AF976" s="410"/>
      <c r="AG976" s="410"/>
    </row>
    <row r="977" spans="1:35" ht="12.75" customHeight="1" x14ac:dyDescent="0.25">
      <c r="A977" s="1446"/>
      <c r="C977" s="9"/>
      <c r="G977" s="1107">
        <f>Parks!L330</f>
        <v>244</v>
      </c>
      <c r="H977" s="1126">
        <f>Parks!L333</f>
        <v>440</v>
      </c>
      <c r="I977" s="1126">
        <f>Parks!L342</f>
        <v>218</v>
      </c>
      <c r="J977" s="1009"/>
      <c r="K977" s="1107">
        <f>Parks!L360</f>
        <v>284</v>
      </c>
      <c r="L977" s="1107">
        <f>Parks!L361</f>
        <v>270</v>
      </c>
      <c r="M977" s="1106">
        <f>Parks!L367</f>
        <v>263</v>
      </c>
      <c r="N977" s="1106">
        <f>Parks!L403</f>
        <v>43</v>
      </c>
      <c r="O977" s="1106">
        <f>Parks!L432</f>
        <v>282</v>
      </c>
      <c r="P977" s="1106">
        <f>Parks!L467</f>
        <v>254</v>
      </c>
      <c r="Q977" s="1106">
        <f>Parks!L474</f>
        <v>466</v>
      </c>
      <c r="R977" s="1105">
        <f>Parks!L473</f>
        <v>307</v>
      </c>
      <c r="S977" s="1105">
        <f>Parks!L478</f>
        <v>382</v>
      </c>
      <c r="T977" s="1105"/>
      <c r="U977" s="1107">
        <f>Parks!L491</f>
        <v>287</v>
      </c>
      <c r="V977" s="1126">
        <f>Parks!L497</f>
        <v>406</v>
      </c>
      <c r="W977" s="1105">
        <f>Parks!L492</f>
        <v>332</v>
      </c>
      <c r="X977" s="1105"/>
      <c r="Y977" s="1126">
        <f>Parks!L571</f>
        <v>480</v>
      </c>
      <c r="Z977" s="364"/>
      <c r="AA977" s="364"/>
      <c r="AB977" s="364"/>
      <c r="AC977" s="410"/>
      <c r="AD977" s="410"/>
      <c r="AE977" s="410"/>
    </row>
    <row r="978" spans="1:35" ht="12.75" customHeight="1" x14ac:dyDescent="0.25">
      <c r="C978" s="9"/>
      <c r="D978" s="9"/>
      <c r="F978"/>
      <c r="G978" s="41"/>
      <c r="H978" s="80"/>
      <c r="R978" s="410"/>
      <c r="S978" s="410"/>
      <c r="T978" s="364"/>
      <c r="U978" s="1500"/>
      <c r="V978" s="1406"/>
      <c r="W978" s="1407"/>
      <c r="X978" s="1406"/>
      <c r="Y978" s="1406"/>
      <c r="Z978" s="1407"/>
      <c r="AA978" s="1371"/>
    </row>
    <row r="979" spans="1:35" ht="12.75" customHeight="1" x14ac:dyDescent="0.2">
      <c r="A979" s="1390"/>
      <c r="B979" s="1390"/>
      <c r="C979" s="9"/>
      <c r="G979" s="2" t="s">
        <v>5977</v>
      </c>
      <c r="H979" s="2"/>
      <c r="I979" s="2"/>
      <c r="J979" s="2"/>
      <c r="K979" s="2"/>
      <c r="M979" s="2" t="s">
        <v>7936</v>
      </c>
      <c r="N979" s="2"/>
      <c r="O979" s="2"/>
      <c r="P979" s="2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E979" s="2"/>
      <c r="AF979" s="2"/>
      <c r="AG979" s="2"/>
      <c r="AH979" s="2"/>
      <c r="AI979" s="2"/>
    </row>
    <row r="980" spans="1:35" ht="12.75" customHeight="1" x14ac:dyDescent="0.2">
      <c r="C980" s="9"/>
      <c r="G980" s="336" t="s">
        <v>5716</v>
      </c>
      <c r="H980" s="184" t="s">
        <v>2527</v>
      </c>
      <c r="I980" s="204" t="s">
        <v>2390</v>
      </c>
      <c r="J980" s="293" t="s">
        <v>4985</v>
      </c>
      <c r="K980" s="391" t="s">
        <v>2522</v>
      </c>
      <c r="L980" s="184" t="s">
        <v>3922</v>
      </c>
      <c r="M980" s="540" t="s">
        <v>9470</v>
      </c>
      <c r="N980" s="537" t="s">
        <v>186</v>
      </c>
      <c r="O980" s="540" t="s">
        <v>5259</v>
      </c>
      <c r="P980" s="537" t="s">
        <v>4986</v>
      </c>
      <c r="Q980" s="540" t="s">
        <v>2663</v>
      </c>
      <c r="R980" s="537" t="s">
        <v>1566</v>
      </c>
      <c r="S980" s="540" t="s">
        <v>3325</v>
      </c>
      <c r="T980" s="537" t="s">
        <v>15937</v>
      </c>
      <c r="U980" s="540" t="s">
        <v>11409</v>
      </c>
      <c r="V980" s="537" t="s">
        <v>7626</v>
      </c>
      <c r="W980" s="540" t="s">
        <v>7896</v>
      </c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</row>
    <row r="981" spans="1:35" ht="12.75" customHeight="1" x14ac:dyDescent="0.2">
      <c r="A981" s="1371" t="s">
        <v>3251</v>
      </c>
      <c r="B981" s="1371" t="s">
        <v>3252</v>
      </c>
      <c r="C981" s="9">
        <f t="shared" ref="C981:C998" si="201">SUM(G981:AH981)</f>
        <v>1</v>
      </c>
      <c r="F981" s="976">
        <f t="shared" ref="F981:F998" si="202">COUNT(G981:AH981)</f>
        <v>1</v>
      </c>
      <c r="G981" s="1393"/>
      <c r="H981" s="1477"/>
      <c r="I981" s="1388"/>
      <c r="J981" s="1478"/>
      <c r="K981" s="1478"/>
      <c r="L981" s="1388"/>
      <c r="M981" s="1388"/>
      <c r="N981" s="1388"/>
      <c r="O981" s="1388"/>
      <c r="P981" s="1388"/>
      <c r="Q981" s="1388"/>
      <c r="R981" s="1388"/>
      <c r="S981" s="1388">
        <v>1</v>
      </c>
      <c r="T981" s="1388"/>
      <c r="U981" s="1388"/>
      <c r="V981" s="1388"/>
      <c r="W981" s="1388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</row>
    <row r="982" spans="1:35" ht="12.75" customHeight="1" x14ac:dyDescent="0.2">
      <c r="A982" s="1410" t="s">
        <v>4269</v>
      </c>
      <c r="B982" s="1410" t="s">
        <v>4270</v>
      </c>
      <c r="C982" s="9">
        <f t="shared" si="201"/>
        <v>1</v>
      </c>
      <c r="E982" s="2010"/>
      <c r="F982" s="976">
        <f t="shared" si="202"/>
        <v>1</v>
      </c>
      <c r="G982" s="584"/>
      <c r="H982" s="1464"/>
      <c r="I982" s="455"/>
      <c r="J982" s="1249"/>
      <c r="K982" s="1249">
        <v>1</v>
      </c>
      <c r="L982" s="455"/>
      <c r="M982" s="455"/>
      <c r="N982" s="455"/>
      <c r="O982" s="455"/>
      <c r="P982" s="455"/>
      <c r="Q982" s="455"/>
      <c r="R982" s="455"/>
      <c r="S982" s="455"/>
      <c r="T982" s="455"/>
      <c r="U982" s="455"/>
      <c r="V982" s="455"/>
      <c r="W982" s="455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</row>
    <row r="983" spans="1:35" ht="12.75" customHeight="1" x14ac:dyDescent="0.2">
      <c r="A983" s="1370" t="s">
        <v>2479</v>
      </c>
      <c r="B983" s="1370" t="s">
        <v>11025</v>
      </c>
      <c r="C983" s="9">
        <f t="shared" si="201"/>
        <v>1</v>
      </c>
      <c r="E983" s="2010"/>
      <c r="F983" s="976">
        <f t="shared" si="202"/>
        <v>1</v>
      </c>
      <c r="G983" s="584"/>
      <c r="H983" s="1464"/>
      <c r="I983" s="455"/>
      <c r="J983" s="1249"/>
      <c r="K983" s="1249"/>
      <c r="L983" s="455"/>
      <c r="M983" s="455"/>
      <c r="N983" s="455"/>
      <c r="O983" s="455"/>
      <c r="P983" s="455"/>
      <c r="Q983" s="455"/>
      <c r="R983" s="455">
        <v>1</v>
      </c>
      <c r="S983" s="455"/>
      <c r="T983" s="455"/>
      <c r="U983" s="455"/>
      <c r="V983" s="455"/>
      <c r="W983" s="455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</row>
    <row r="984" spans="1:35" ht="12.75" customHeight="1" x14ac:dyDescent="0.2">
      <c r="A984" s="1370" t="s">
        <v>3230</v>
      </c>
      <c r="B984" s="1370" t="s">
        <v>11625</v>
      </c>
      <c r="C984" s="9">
        <f t="shared" si="201"/>
        <v>3</v>
      </c>
      <c r="E984" s="2010"/>
      <c r="F984" s="976">
        <f t="shared" si="202"/>
        <v>1</v>
      </c>
      <c r="G984" s="584"/>
      <c r="H984" s="1464"/>
      <c r="I984" s="455"/>
      <c r="J984" s="1249"/>
      <c r="K984" s="1249"/>
      <c r="L984" s="455"/>
      <c r="M984" s="455"/>
      <c r="N984" s="455"/>
      <c r="O984" s="455"/>
      <c r="P984" s="455"/>
      <c r="Q984" s="455"/>
      <c r="R984" s="455"/>
      <c r="S984" s="455"/>
      <c r="T984" s="455"/>
      <c r="U984" s="455"/>
      <c r="V984" s="1381">
        <v>3</v>
      </c>
      <c r="W984" s="455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</row>
    <row r="985" spans="1:35" ht="12.75" customHeight="1" x14ac:dyDescent="0.2">
      <c r="A985" s="1426" t="s">
        <v>3755</v>
      </c>
      <c r="B985" s="1389" t="s">
        <v>3799</v>
      </c>
      <c r="C985" s="9">
        <f t="shared" si="201"/>
        <v>4</v>
      </c>
      <c r="E985" s="2010"/>
      <c r="F985" s="976">
        <f t="shared" si="202"/>
        <v>3</v>
      </c>
      <c r="G985" s="584"/>
      <c r="H985" s="1465"/>
      <c r="I985" s="455"/>
      <c r="J985" s="1249"/>
      <c r="K985" s="1249"/>
      <c r="L985" s="455"/>
      <c r="M985" s="455"/>
      <c r="N985" s="455">
        <v>1</v>
      </c>
      <c r="O985" s="455"/>
      <c r="P985" s="455"/>
      <c r="Q985" s="455"/>
      <c r="R985" s="455"/>
      <c r="S985" s="455">
        <v>2</v>
      </c>
      <c r="T985" s="455"/>
      <c r="U985" s="455"/>
      <c r="V985" s="455">
        <v>1</v>
      </c>
      <c r="W985" s="455"/>
      <c r="X985" s="42"/>
      <c r="Y985" s="42"/>
      <c r="Z985" s="42"/>
      <c r="AA985" s="80"/>
      <c r="AB985" s="42"/>
      <c r="AC985" s="42"/>
      <c r="AD985" s="42"/>
      <c r="AE985" s="42"/>
      <c r="AF985" s="42"/>
      <c r="AG985" s="42"/>
      <c r="AH985" s="42"/>
      <c r="AI985" s="42"/>
    </row>
    <row r="986" spans="1:35" ht="12.75" customHeight="1" x14ac:dyDescent="0.2">
      <c r="A986" s="1426" t="s">
        <v>1794</v>
      </c>
      <c r="B986" s="1389" t="s">
        <v>3799</v>
      </c>
      <c r="C986" s="9">
        <f t="shared" si="201"/>
        <v>4</v>
      </c>
      <c r="E986" s="2010"/>
      <c r="F986" s="976">
        <f t="shared" si="202"/>
        <v>3</v>
      </c>
      <c r="G986" s="584"/>
      <c r="H986" s="1465"/>
      <c r="I986" s="455"/>
      <c r="J986" s="1249"/>
      <c r="K986" s="1249"/>
      <c r="L986" s="455"/>
      <c r="M986" s="455"/>
      <c r="N986" s="455">
        <v>1</v>
      </c>
      <c r="O986" s="455"/>
      <c r="P986" s="455"/>
      <c r="Q986" s="455"/>
      <c r="R986" s="455"/>
      <c r="S986" s="455">
        <v>2</v>
      </c>
      <c r="T986" s="455"/>
      <c r="U986" s="455"/>
      <c r="V986" s="455">
        <v>1</v>
      </c>
      <c r="W986" s="455"/>
      <c r="X986" s="42"/>
      <c r="Y986" s="42"/>
      <c r="Z986" s="42"/>
      <c r="AA986" s="80"/>
      <c r="AB986" s="42"/>
      <c r="AC986" s="42"/>
      <c r="AD986" s="42"/>
      <c r="AE986" s="42"/>
      <c r="AF986" s="42"/>
      <c r="AG986" s="42"/>
      <c r="AH986" s="42"/>
      <c r="AI986" s="42"/>
    </row>
    <row r="987" spans="1:35" ht="12.75" customHeight="1" x14ac:dyDescent="0.2">
      <c r="A987" s="1446" t="s">
        <v>1589</v>
      </c>
      <c r="B987" s="1371" t="s">
        <v>1590</v>
      </c>
      <c r="C987" s="9">
        <f t="shared" si="201"/>
        <v>1</v>
      </c>
      <c r="E987" s="2010"/>
      <c r="F987" s="976">
        <f t="shared" si="202"/>
        <v>1</v>
      </c>
      <c r="G987" s="584"/>
      <c r="H987" s="1465"/>
      <c r="I987" s="455"/>
      <c r="J987" s="1249">
        <v>1</v>
      </c>
      <c r="K987" s="1249"/>
      <c r="L987" s="455"/>
      <c r="M987" s="455"/>
      <c r="N987" s="455"/>
      <c r="O987" s="455"/>
      <c r="P987" s="455"/>
      <c r="Q987" s="455"/>
      <c r="R987" s="455"/>
      <c r="S987" s="455"/>
      <c r="T987" s="455"/>
      <c r="U987" s="455"/>
      <c r="V987" s="455"/>
      <c r="W987" s="455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</row>
    <row r="988" spans="1:35" ht="12.75" customHeight="1" x14ac:dyDescent="0.2">
      <c r="A988" s="1446" t="s">
        <v>1796</v>
      </c>
      <c r="B988" s="1371" t="s">
        <v>1797</v>
      </c>
      <c r="C988" s="9">
        <f t="shared" si="201"/>
        <v>2</v>
      </c>
      <c r="E988" s="2010"/>
      <c r="F988" s="976">
        <f t="shared" si="202"/>
        <v>2</v>
      </c>
      <c r="G988" s="584"/>
      <c r="H988" s="1465"/>
      <c r="I988" s="455"/>
      <c r="J988" s="1249"/>
      <c r="K988" s="1249"/>
      <c r="L988" s="455"/>
      <c r="M988" s="455"/>
      <c r="N988" s="455"/>
      <c r="O988" s="455"/>
      <c r="P988" s="455">
        <v>1</v>
      </c>
      <c r="Q988" s="455"/>
      <c r="R988" s="455"/>
      <c r="S988" s="455"/>
      <c r="T988" s="455"/>
      <c r="U988" s="1381">
        <v>1</v>
      </c>
      <c r="V988" s="455"/>
      <c r="W988" s="455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</row>
    <row r="989" spans="1:35" ht="12.75" customHeight="1" x14ac:dyDescent="0.2">
      <c r="A989" s="1442" t="s">
        <v>5980</v>
      </c>
      <c r="B989" s="1374" t="s">
        <v>4818</v>
      </c>
      <c r="C989" s="9">
        <f t="shared" si="201"/>
        <v>3</v>
      </c>
      <c r="E989" s="2010"/>
      <c r="F989" s="976">
        <f t="shared" si="202"/>
        <v>3</v>
      </c>
      <c r="G989" s="584"/>
      <c r="H989" s="1465"/>
      <c r="I989" s="455"/>
      <c r="J989" s="1249">
        <v>1</v>
      </c>
      <c r="K989" s="1249"/>
      <c r="L989" s="455">
        <v>1</v>
      </c>
      <c r="M989" s="455"/>
      <c r="N989" s="455">
        <v>1</v>
      </c>
      <c r="O989" s="455"/>
      <c r="P989" s="455"/>
      <c r="Q989" s="455"/>
      <c r="R989" s="455"/>
      <c r="S989" s="455"/>
      <c r="T989" s="455"/>
      <c r="U989" s="455"/>
      <c r="V989" s="455"/>
      <c r="W989" s="455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</row>
    <row r="990" spans="1:35" ht="12.75" customHeight="1" x14ac:dyDescent="0.2">
      <c r="A990" s="1425" t="s">
        <v>5369</v>
      </c>
      <c r="B990" s="1410" t="s">
        <v>2117</v>
      </c>
      <c r="C990" s="9">
        <f t="shared" si="201"/>
        <v>4</v>
      </c>
      <c r="E990" s="2010"/>
      <c r="F990" s="976">
        <f t="shared" si="202"/>
        <v>3</v>
      </c>
      <c r="G990" s="584"/>
      <c r="H990" s="1465">
        <v>2</v>
      </c>
      <c r="I990" s="455"/>
      <c r="J990" s="1249"/>
      <c r="K990" s="1249">
        <v>1</v>
      </c>
      <c r="L990" s="455"/>
      <c r="M990" s="455"/>
      <c r="N990" s="455"/>
      <c r="O990" s="455"/>
      <c r="P990" s="455"/>
      <c r="Q990" s="455">
        <v>1</v>
      </c>
      <c r="R990" s="455"/>
      <c r="S990" s="455"/>
      <c r="T990" s="455"/>
      <c r="U990" s="455"/>
      <c r="V990" s="455"/>
      <c r="W990" s="455"/>
    </row>
    <row r="991" spans="1:35" ht="12.75" customHeight="1" x14ac:dyDescent="0.2">
      <c r="A991" s="1397" t="s">
        <v>665</v>
      </c>
      <c r="B991" s="1370" t="s">
        <v>666</v>
      </c>
      <c r="C991" s="9">
        <f t="shared" si="201"/>
        <v>2</v>
      </c>
      <c r="E991" s="2010"/>
      <c r="F991" s="976">
        <f t="shared" si="202"/>
        <v>2</v>
      </c>
      <c r="G991" s="584"/>
      <c r="H991" s="1465"/>
      <c r="I991" s="455"/>
      <c r="J991" s="1249">
        <v>1</v>
      </c>
      <c r="K991" s="1249"/>
      <c r="L991" s="455"/>
      <c r="M991" s="455">
        <v>1</v>
      </c>
      <c r="N991" s="455"/>
      <c r="O991" s="455"/>
      <c r="P991" s="455"/>
      <c r="Q991" s="455"/>
      <c r="R991" s="455"/>
      <c r="S991" s="455"/>
      <c r="T991" s="455"/>
      <c r="U991" s="455"/>
      <c r="V991" s="455"/>
      <c r="W991" s="455"/>
    </row>
    <row r="992" spans="1:35" ht="12.75" customHeight="1" x14ac:dyDescent="0.2">
      <c r="A992" s="1397" t="s">
        <v>5649</v>
      </c>
      <c r="B992" s="1370" t="s">
        <v>1047</v>
      </c>
      <c r="C992" s="1398">
        <f t="shared" si="201"/>
        <v>1</v>
      </c>
      <c r="E992" s="2010"/>
      <c r="F992" s="976">
        <f t="shared" si="202"/>
        <v>1</v>
      </c>
      <c r="G992" s="584"/>
      <c r="H992" s="1661">
        <v>1</v>
      </c>
      <c r="I992" s="455"/>
      <c r="J992" s="1249"/>
      <c r="K992" s="1249"/>
      <c r="L992" s="455"/>
      <c r="M992" s="455"/>
      <c r="N992" s="455"/>
      <c r="O992" s="455"/>
      <c r="P992" s="455"/>
      <c r="Q992" s="455"/>
      <c r="R992" s="455"/>
      <c r="S992" s="455"/>
      <c r="T992" s="455"/>
      <c r="U992" s="455"/>
      <c r="V992" s="455"/>
      <c r="W992" s="455"/>
    </row>
    <row r="993" spans="1:42" ht="12.75" customHeight="1" x14ac:dyDescent="0.2">
      <c r="A993" s="1446" t="s">
        <v>2478</v>
      </c>
      <c r="B993" s="1371" t="s">
        <v>2479</v>
      </c>
      <c r="C993" s="1398">
        <f t="shared" si="201"/>
        <v>4</v>
      </c>
      <c r="E993" s="2010"/>
      <c r="F993" s="976">
        <f t="shared" si="202"/>
        <v>4</v>
      </c>
      <c r="G993" s="584"/>
      <c r="H993" s="1465">
        <v>1</v>
      </c>
      <c r="I993" s="455">
        <v>1</v>
      </c>
      <c r="J993" s="1249"/>
      <c r="K993" s="1249"/>
      <c r="L993" s="455">
        <v>1</v>
      </c>
      <c r="M993" s="455"/>
      <c r="N993" s="455"/>
      <c r="O993" s="455"/>
      <c r="P993" s="455"/>
      <c r="Q993" s="455"/>
      <c r="R993" s="455"/>
      <c r="S993" s="455"/>
      <c r="T993" s="1381">
        <v>1</v>
      </c>
      <c r="U993" s="455"/>
      <c r="V993" s="455"/>
      <c r="W993" s="455"/>
    </row>
    <row r="994" spans="1:42" ht="12.75" customHeight="1" x14ac:dyDescent="0.2">
      <c r="A994" s="1446" t="s">
        <v>9794</v>
      </c>
      <c r="B994" s="1371" t="s">
        <v>9795</v>
      </c>
      <c r="C994" s="1398">
        <f t="shared" si="201"/>
        <v>1</v>
      </c>
      <c r="E994" s="2010"/>
      <c r="F994" s="976">
        <f t="shared" si="202"/>
        <v>1</v>
      </c>
      <c r="G994" s="584"/>
      <c r="H994" s="1465"/>
      <c r="I994" s="455"/>
      <c r="J994" s="1249"/>
      <c r="K994" s="1249"/>
      <c r="L994" s="455"/>
      <c r="M994" s="455"/>
      <c r="N994" s="455"/>
      <c r="O994" s="455"/>
      <c r="P994" s="455"/>
      <c r="Q994" s="455"/>
      <c r="R994" s="455"/>
      <c r="S994" s="455"/>
      <c r="T994" s="455"/>
      <c r="U994" s="455">
        <v>1</v>
      </c>
      <c r="V994" s="455"/>
      <c r="W994" s="455"/>
    </row>
    <row r="995" spans="1:42" ht="12.75" customHeight="1" x14ac:dyDescent="0.2">
      <c r="A995" s="1426" t="s">
        <v>4977</v>
      </c>
      <c r="B995" s="1389" t="s">
        <v>3961</v>
      </c>
      <c r="C995" s="9">
        <f t="shared" si="201"/>
        <v>2</v>
      </c>
      <c r="E995" s="2010"/>
      <c r="F995" s="976">
        <f t="shared" si="202"/>
        <v>2</v>
      </c>
      <c r="G995" s="584">
        <v>1</v>
      </c>
      <c r="H995" s="1465"/>
      <c r="I995" s="455"/>
      <c r="J995" s="1249"/>
      <c r="K995" s="1249"/>
      <c r="L995" s="455"/>
      <c r="M995" s="455"/>
      <c r="N995" s="455"/>
      <c r="O995" s="455">
        <v>1</v>
      </c>
      <c r="P995" s="455"/>
      <c r="Q995" s="455"/>
      <c r="R995" s="455"/>
      <c r="S995" s="455"/>
      <c r="T995" s="455"/>
      <c r="U995" s="455"/>
      <c r="V995" s="455"/>
      <c r="W995" s="455"/>
    </row>
    <row r="996" spans="1:42" ht="12.75" customHeight="1" x14ac:dyDescent="0.2">
      <c r="A996" s="1446" t="s">
        <v>3960</v>
      </c>
      <c r="B996" s="1371" t="s">
        <v>3961</v>
      </c>
      <c r="C996" s="9">
        <f t="shared" si="201"/>
        <v>4</v>
      </c>
      <c r="E996" s="2010"/>
      <c r="F996" s="976">
        <f t="shared" si="202"/>
        <v>4</v>
      </c>
      <c r="G996" s="584">
        <v>1</v>
      </c>
      <c r="H996" s="1465"/>
      <c r="I996" s="455"/>
      <c r="J996" s="1249"/>
      <c r="K996" s="1249"/>
      <c r="L996" s="455"/>
      <c r="M996" s="455"/>
      <c r="N996" s="455"/>
      <c r="O996" s="455"/>
      <c r="P996" s="455"/>
      <c r="Q996" s="455"/>
      <c r="R996" s="455">
        <v>1</v>
      </c>
      <c r="S996" s="455">
        <v>1</v>
      </c>
      <c r="T996" s="455"/>
      <c r="U996" s="455"/>
      <c r="V996" s="455"/>
      <c r="W996" s="455">
        <v>1</v>
      </c>
    </row>
    <row r="997" spans="1:42" ht="12.75" customHeight="1" x14ac:dyDescent="0.2">
      <c r="A997" s="1446" t="s">
        <v>2416</v>
      </c>
      <c r="B997" s="1371" t="s">
        <v>2417</v>
      </c>
      <c r="C997" s="9">
        <f t="shared" si="201"/>
        <v>2</v>
      </c>
      <c r="E997" s="2010"/>
      <c r="F997" s="976">
        <f t="shared" si="202"/>
        <v>2</v>
      </c>
      <c r="G997" s="1447">
        <v>1</v>
      </c>
      <c r="H997" s="1465"/>
      <c r="I997" s="455"/>
      <c r="J997" s="1249"/>
      <c r="K997" s="1249"/>
      <c r="L997" s="455"/>
      <c r="M997" s="455"/>
      <c r="N997" s="455"/>
      <c r="O997" s="455"/>
      <c r="P997" s="455"/>
      <c r="Q997" s="455"/>
      <c r="R997" s="455"/>
      <c r="S997" s="455">
        <v>1</v>
      </c>
      <c r="T997" s="455"/>
      <c r="U997" s="455"/>
      <c r="V997" s="455"/>
      <c r="W997" s="455"/>
    </row>
    <row r="998" spans="1:42" ht="12.75" customHeight="1" x14ac:dyDescent="0.2">
      <c r="A998" s="1446" t="s">
        <v>866</v>
      </c>
      <c r="B998" s="1371" t="s">
        <v>2417</v>
      </c>
      <c r="C998" s="9">
        <f t="shared" si="201"/>
        <v>2</v>
      </c>
      <c r="E998" s="2010"/>
      <c r="F998" s="976">
        <f t="shared" si="202"/>
        <v>2</v>
      </c>
      <c r="G998" s="1447">
        <v>1</v>
      </c>
      <c r="H998" s="1465"/>
      <c r="I998" s="455"/>
      <c r="J998" s="1249"/>
      <c r="K998" s="1249"/>
      <c r="L998" s="455"/>
      <c r="M998" s="455"/>
      <c r="N998" s="455"/>
      <c r="O998" s="455"/>
      <c r="P998" s="455"/>
      <c r="Q998" s="455"/>
      <c r="R998" s="455"/>
      <c r="S998" s="455">
        <v>1</v>
      </c>
      <c r="T998" s="455"/>
      <c r="U998" s="455"/>
      <c r="V998" s="455"/>
      <c r="W998" s="455"/>
    </row>
    <row r="999" spans="1:42" ht="12.75" customHeight="1" x14ac:dyDescent="0.2">
      <c r="C999" s="20">
        <f>SUM(C981:C998)</f>
        <v>42</v>
      </c>
      <c r="F999" s="244"/>
      <c r="G999" s="28">
        <f>SUM(G981:G998)</f>
        <v>4</v>
      </c>
      <c r="H999" s="28">
        <f t="shared" ref="H999:W999" si="203">SUM(H981:H998)</f>
        <v>4</v>
      </c>
      <c r="I999" s="28">
        <f t="shared" si="203"/>
        <v>1</v>
      </c>
      <c r="J999" s="28">
        <f t="shared" si="203"/>
        <v>3</v>
      </c>
      <c r="K999" s="28">
        <f t="shared" si="203"/>
        <v>2</v>
      </c>
      <c r="L999" s="28">
        <f t="shared" si="203"/>
        <v>2</v>
      </c>
      <c r="M999" s="28">
        <f t="shared" si="203"/>
        <v>1</v>
      </c>
      <c r="N999" s="28">
        <f t="shared" si="203"/>
        <v>3</v>
      </c>
      <c r="O999" s="28">
        <f t="shared" si="203"/>
        <v>1</v>
      </c>
      <c r="P999" s="28">
        <f t="shared" si="203"/>
        <v>1</v>
      </c>
      <c r="Q999" s="28">
        <f t="shared" si="203"/>
        <v>1</v>
      </c>
      <c r="R999" s="28">
        <f t="shared" si="203"/>
        <v>2</v>
      </c>
      <c r="S999" s="28">
        <f t="shared" si="203"/>
        <v>8</v>
      </c>
      <c r="T999" s="28">
        <f t="shared" ref="T999" si="204">SUM(T981:T998)</f>
        <v>1</v>
      </c>
      <c r="U999" s="28">
        <f t="shared" si="203"/>
        <v>2</v>
      </c>
      <c r="V999" s="28">
        <f t="shared" si="203"/>
        <v>5</v>
      </c>
      <c r="W999" s="28">
        <f t="shared" si="203"/>
        <v>1</v>
      </c>
    </row>
    <row r="1000" spans="1:42" ht="12.75" customHeight="1" x14ac:dyDescent="0.2">
      <c r="C1000" s="9"/>
      <c r="E1000" s="1377">
        <f>COUNT(G1000:W1000)</f>
        <v>17</v>
      </c>
      <c r="F1000" s="244"/>
      <c r="G1000" s="449">
        <f>COUNT(G981:G998)</f>
        <v>4</v>
      </c>
      <c r="H1000" s="449">
        <f t="shared" ref="H1000:W1000" si="205">COUNT(H981:H998)</f>
        <v>3</v>
      </c>
      <c r="I1000" s="449">
        <f t="shared" si="205"/>
        <v>1</v>
      </c>
      <c r="J1000" s="449">
        <f t="shared" si="205"/>
        <v>3</v>
      </c>
      <c r="K1000" s="449">
        <f t="shared" si="205"/>
        <v>2</v>
      </c>
      <c r="L1000" s="449">
        <f t="shared" si="205"/>
        <v>2</v>
      </c>
      <c r="M1000" s="449">
        <f t="shared" si="205"/>
        <v>1</v>
      </c>
      <c r="N1000" s="449">
        <f t="shared" si="205"/>
        <v>3</v>
      </c>
      <c r="O1000" s="449">
        <f t="shared" si="205"/>
        <v>1</v>
      </c>
      <c r="P1000" s="449">
        <f t="shared" si="205"/>
        <v>1</v>
      </c>
      <c r="Q1000" s="449">
        <f t="shared" si="205"/>
        <v>1</v>
      </c>
      <c r="R1000" s="449">
        <f t="shared" si="205"/>
        <v>2</v>
      </c>
      <c r="S1000" s="449">
        <f t="shared" si="205"/>
        <v>6</v>
      </c>
      <c r="T1000" s="449">
        <f t="shared" ref="T1000" si="206">COUNT(T981:T998)</f>
        <v>1</v>
      </c>
      <c r="U1000" s="449">
        <f t="shared" si="205"/>
        <v>2</v>
      </c>
      <c r="V1000" s="449">
        <f t="shared" si="205"/>
        <v>3</v>
      </c>
      <c r="W1000" s="449">
        <f t="shared" si="205"/>
        <v>1</v>
      </c>
    </row>
    <row r="1001" spans="1:42" ht="12.75" customHeight="1" x14ac:dyDescent="0.25">
      <c r="C1001" s="9"/>
      <c r="F1001" s="244"/>
      <c r="G1001" s="450"/>
      <c r="H1001" s="190" t="s">
        <v>2526</v>
      </c>
      <c r="I1001" s="190"/>
      <c r="J1001" s="190" t="s">
        <v>972</v>
      </c>
      <c r="K1001" s="190"/>
      <c r="L1001" s="305" t="s">
        <v>468</v>
      </c>
      <c r="M1001" s="305"/>
      <c r="N1001" s="565" t="s">
        <v>353</v>
      </c>
      <c r="O1001" s="538"/>
      <c r="P1001" s="538" t="s">
        <v>9508</v>
      </c>
      <c r="Q1001" s="565"/>
      <c r="R1001" s="538" t="s">
        <v>1563</v>
      </c>
      <c r="S1001" s="565"/>
      <c r="T1001" s="538" t="s">
        <v>15877</v>
      </c>
      <c r="U1001" s="565"/>
      <c r="V1001" s="538" t="s">
        <v>1299</v>
      </c>
      <c r="W1001" s="538"/>
      <c r="X1001" s="364"/>
      <c r="Y1001" s="185"/>
      <c r="Z1001" s="364"/>
      <c r="AA1001" s="185"/>
      <c r="AB1001" s="185"/>
      <c r="AC1001" s="364"/>
      <c r="AD1001" s="364"/>
      <c r="AE1001" s="364"/>
      <c r="AF1001" s="410"/>
      <c r="AG1001" s="185"/>
      <c r="AH1001" s="410"/>
      <c r="AI1001" s="410"/>
    </row>
    <row r="1002" spans="1:42" ht="12.75" customHeight="1" x14ac:dyDescent="0.25">
      <c r="C1002" s="9"/>
      <c r="F1002" s="244"/>
      <c r="G1002" s="246" t="s">
        <v>3259</v>
      </c>
      <c r="H1002" s="191"/>
      <c r="I1002" s="247" t="s">
        <v>341</v>
      </c>
      <c r="J1002" s="191"/>
      <c r="K1002" s="247" t="s">
        <v>2521</v>
      </c>
      <c r="L1002" s="191"/>
      <c r="M1002" s="191" t="s">
        <v>9144</v>
      </c>
      <c r="N1002" s="535"/>
      <c r="O1002" s="539" t="s">
        <v>2213</v>
      </c>
      <c r="P1002" s="539"/>
      <c r="Q1002" s="515" t="s">
        <v>2662</v>
      </c>
      <c r="R1002" s="515"/>
      <c r="S1002" s="515" t="s">
        <v>3323</v>
      </c>
      <c r="T1002" s="515"/>
      <c r="U1002" s="515" t="s">
        <v>11408</v>
      </c>
      <c r="V1002" s="539"/>
      <c r="W1002" s="539" t="s">
        <v>7880</v>
      </c>
      <c r="X1002" s="185"/>
      <c r="Y1002" s="185"/>
      <c r="Z1002" s="185"/>
      <c r="AA1002" s="410"/>
      <c r="AB1002" s="410"/>
      <c r="AC1002" s="364"/>
      <c r="AD1002" s="364"/>
      <c r="AE1002" s="364"/>
      <c r="AF1002" s="410"/>
      <c r="AG1002" s="185"/>
      <c r="AH1002" s="410"/>
      <c r="AI1002" s="410"/>
    </row>
    <row r="1003" spans="1:42" ht="12.75" customHeight="1" x14ac:dyDescent="0.25">
      <c r="C1003" s="9"/>
      <c r="F1003" s="244"/>
      <c r="G1003" s="430"/>
      <c r="H1003" s="430"/>
      <c r="I1003" s="430"/>
      <c r="J1003" s="185"/>
      <c r="K1003" s="364"/>
      <c r="L1003" s="185"/>
      <c r="M1003" s="185"/>
      <c r="N1003" s="430"/>
      <c r="O1003" s="364"/>
      <c r="P1003" s="364"/>
      <c r="Q1003" s="185"/>
      <c r="R1003" s="185"/>
      <c r="S1003" s="185"/>
      <c r="T1003" s="185"/>
      <c r="U1003" s="364"/>
      <c r="V1003" s="185"/>
      <c r="W1003" s="410"/>
      <c r="X1003" s="410"/>
      <c r="Y1003" s="364"/>
      <c r="Z1003" s="364"/>
      <c r="AA1003" s="364"/>
      <c r="AB1003" s="410"/>
      <c r="AC1003" s="185"/>
      <c r="AD1003" s="410"/>
      <c r="AH1003" s="2"/>
      <c r="AI1003" s="2"/>
    </row>
    <row r="1004" spans="1:42" ht="12.75" customHeight="1" x14ac:dyDescent="0.25">
      <c r="A1004" s="1390"/>
      <c r="B1004" s="1390"/>
      <c r="C1004" s="9"/>
      <c r="F1004" s="244"/>
      <c r="G1004" s="70" t="s">
        <v>5977</v>
      </c>
      <c r="H1004" s="70"/>
      <c r="I1004" s="70"/>
      <c r="J1004" s="185"/>
      <c r="K1004" s="364"/>
      <c r="L1004" s="185"/>
      <c r="M1004" s="2" t="s">
        <v>7906</v>
      </c>
      <c r="N1004" s="364"/>
      <c r="O1004" s="185"/>
      <c r="P1004" s="185"/>
      <c r="Q1004" s="185"/>
      <c r="R1004" s="185"/>
      <c r="S1004" s="185"/>
      <c r="T1004" s="364"/>
      <c r="U1004" s="185"/>
      <c r="V1004" s="185"/>
      <c r="W1004" s="185"/>
      <c r="X1004" s="410"/>
      <c r="Y1004" s="410"/>
      <c r="Z1004" s="364"/>
      <c r="AA1004" s="364"/>
      <c r="AB1004" s="364"/>
      <c r="AC1004" s="410"/>
      <c r="AD1004" s="185"/>
      <c r="AE1004" s="410"/>
      <c r="AJ1004" s="2"/>
      <c r="AK1004" s="2"/>
      <c r="AL1004" s="2"/>
      <c r="AM1004" s="2"/>
      <c r="AN1004" s="2"/>
      <c r="AO1004" s="2"/>
      <c r="AP1004" s="2"/>
    </row>
    <row r="1005" spans="1:42" ht="12.75" customHeight="1" x14ac:dyDescent="0.25">
      <c r="A1005" s="1390"/>
      <c r="B1005" s="1390"/>
      <c r="C1005" s="9"/>
      <c r="F1005" s="244"/>
      <c r="G1005" s="854" t="s">
        <v>5360</v>
      </c>
      <c r="H1005" s="855" t="s">
        <v>13181</v>
      </c>
      <c r="I1005" s="854" t="s">
        <v>3138</v>
      </c>
      <c r="J1005" s="855" t="s">
        <v>11613</v>
      </c>
      <c r="K1005" s="854" t="s">
        <v>1581</v>
      </c>
      <c r="L1005" s="540" t="s">
        <v>1613</v>
      </c>
      <c r="M1005" s="537" t="s">
        <v>287</v>
      </c>
      <c r="N1005" s="540" t="s">
        <v>5915</v>
      </c>
      <c r="O1005" s="537" t="s">
        <v>5847</v>
      </c>
      <c r="P1005" s="540" t="s">
        <v>3159</v>
      </c>
      <c r="Q1005" s="537" t="s">
        <v>1614</v>
      </c>
      <c r="R1005" s="540" t="s">
        <v>15431</v>
      </c>
      <c r="S1005" s="1238" t="s">
        <v>5275</v>
      </c>
      <c r="T1005" s="540" t="s">
        <v>4261</v>
      </c>
      <c r="U1005" s="1238" t="s">
        <v>7725</v>
      </c>
      <c r="V1005" s="42"/>
      <c r="W1005" t="s">
        <v>339</v>
      </c>
      <c r="Y1005" s="414"/>
      <c r="Z1005" s="652"/>
      <c r="AA1005" s="652"/>
      <c r="AB1005" s="653"/>
      <c r="AC1005" s="653"/>
      <c r="AD1005" s="651"/>
      <c r="AE1005" s="651"/>
      <c r="AF1005" s="651"/>
      <c r="AG1005" s="410"/>
      <c r="AH1005" s="185"/>
      <c r="AI1005" s="185"/>
      <c r="AJ1005" s="410"/>
      <c r="AK1005" s="410"/>
      <c r="AL1005" s="410"/>
      <c r="AM1005" s="410"/>
      <c r="AN1005" s="410"/>
      <c r="AO1005" s="410"/>
      <c r="AP1005" s="410"/>
    </row>
    <row r="1006" spans="1:42" ht="12.75" customHeight="1" x14ac:dyDescent="0.25">
      <c r="A1006" s="1370" t="s">
        <v>3999</v>
      </c>
      <c r="B1006" s="1370" t="s">
        <v>3632</v>
      </c>
      <c r="C1006" s="9">
        <f t="shared" ref="C1006:C1021" si="207">SUM(G1006:U1006)</f>
        <v>3</v>
      </c>
      <c r="F1006" s="976">
        <f t="shared" ref="F1006:F1021" si="208">COUNT(G1006:U1006)</f>
        <v>3</v>
      </c>
      <c r="G1006" s="584"/>
      <c r="H1006" s="1447">
        <v>1</v>
      </c>
      <c r="I1006" s="584"/>
      <c r="J1006" s="584"/>
      <c r="K1006" s="584"/>
      <c r="L1006" s="584"/>
      <c r="M1006" s="584"/>
      <c r="N1006" s="584">
        <v>1</v>
      </c>
      <c r="O1006" s="584"/>
      <c r="P1006" s="584"/>
      <c r="Q1006" s="584">
        <v>1</v>
      </c>
      <c r="R1006" s="584"/>
      <c r="S1006" s="584"/>
      <c r="T1006" s="584"/>
      <c r="U1006" s="974"/>
      <c r="V1006" s="185"/>
      <c r="W1006" t="s">
        <v>340</v>
      </c>
      <c r="Z1006" s="652"/>
      <c r="AA1006" t="s">
        <v>2672</v>
      </c>
      <c r="AB1006" s="653"/>
      <c r="AC1006" s="651"/>
      <c r="AD1006" s="651"/>
      <c r="AE1006" s="651"/>
      <c r="AF1006" s="410"/>
      <c r="AG1006" s="185"/>
      <c r="AH1006" s="410"/>
      <c r="AI1006" s="410"/>
    </row>
    <row r="1007" spans="1:42" ht="12.75" customHeight="1" x14ac:dyDescent="0.25">
      <c r="A1007" s="1370" t="s">
        <v>3230</v>
      </c>
      <c r="B1007" s="1370" t="s">
        <v>11625</v>
      </c>
      <c r="C1007" s="9">
        <f t="shared" si="207"/>
        <v>1</v>
      </c>
      <c r="F1007" s="976">
        <f t="shared" si="208"/>
        <v>1</v>
      </c>
      <c r="G1007" s="584"/>
      <c r="H1007" s="1447"/>
      <c r="I1007" s="584"/>
      <c r="J1007" s="584"/>
      <c r="K1007" s="584"/>
      <c r="L1007" s="584"/>
      <c r="M1007" s="584"/>
      <c r="N1007" s="584"/>
      <c r="O1007" s="584"/>
      <c r="P1007" s="584"/>
      <c r="Q1007" s="584"/>
      <c r="R1007" s="584">
        <v>1</v>
      </c>
      <c r="S1007" s="584"/>
      <c r="T1007" s="584"/>
      <c r="U1007" s="974"/>
      <c r="V1007" s="185"/>
      <c r="Z1007" s="652"/>
      <c r="AB1007" s="653"/>
      <c r="AC1007" s="651"/>
      <c r="AD1007" s="651"/>
      <c r="AE1007" s="651"/>
      <c r="AF1007" s="410"/>
      <c r="AG1007" s="185"/>
      <c r="AH1007" s="410"/>
      <c r="AI1007" s="410"/>
    </row>
    <row r="1008" spans="1:42" ht="12.75" customHeight="1" x14ac:dyDescent="0.25">
      <c r="A1008" s="1389" t="s">
        <v>3755</v>
      </c>
      <c r="B1008" s="1389" t="s">
        <v>3799</v>
      </c>
      <c r="C1008" s="9">
        <f t="shared" si="207"/>
        <v>4</v>
      </c>
      <c r="F1008" s="976">
        <f t="shared" si="208"/>
        <v>2</v>
      </c>
      <c r="G1008" s="584"/>
      <c r="H1008" s="584"/>
      <c r="I1008" s="584"/>
      <c r="J1008" s="584"/>
      <c r="K1008" s="584"/>
      <c r="L1008" s="584"/>
      <c r="M1008" s="584">
        <v>3</v>
      </c>
      <c r="N1008" s="584"/>
      <c r="O1008" s="584">
        <v>1</v>
      </c>
      <c r="P1008" s="584"/>
      <c r="Q1008" s="584"/>
      <c r="R1008" s="584"/>
      <c r="S1008" s="584"/>
      <c r="T1008" s="584"/>
      <c r="U1008" s="974"/>
      <c r="V1008" s="185"/>
      <c r="W1008" t="s">
        <v>971</v>
      </c>
      <c r="Z1008" s="652"/>
      <c r="AA1008" t="s">
        <v>3953</v>
      </c>
      <c r="AB1008" s="653"/>
      <c r="AC1008" s="651"/>
      <c r="AD1008" s="651"/>
      <c r="AE1008" s="651"/>
      <c r="AF1008" s="410"/>
      <c r="AG1008" s="185"/>
      <c r="AH1008" s="410"/>
      <c r="AI1008" s="410"/>
    </row>
    <row r="1009" spans="1:35" ht="12.75" customHeight="1" x14ac:dyDescent="0.25">
      <c r="A1009" s="1389" t="s">
        <v>1794</v>
      </c>
      <c r="B1009" s="1389" t="s">
        <v>3799</v>
      </c>
      <c r="C1009" s="9">
        <f t="shared" si="207"/>
        <v>5</v>
      </c>
      <c r="F1009" s="976">
        <f t="shared" si="208"/>
        <v>2</v>
      </c>
      <c r="G1009" s="584"/>
      <c r="H1009" s="584"/>
      <c r="I1009" s="584"/>
      <c r="J1009" s="584"/>
      <c r="K1009" s="584"/>
      <c r="L1009" s="584"/>
      <c r="M1009" s="584">
        <v>4</v>
      </c>
      <c r="N1009" s="584"/>
      <c r="O1009" s="584">
        <v>1</v>
      </c>
      <c r="P1009" s="584"/>
      <c r="Q1009" s="584"/>
      <c r="R1009" s="584"/>
      <c r="S1009" s="584"/>
      <c r="T1009" s="584"/>
      <c r="U1009" s="974"/>
      <c r="V1009" s="185"/>
      <c r="W1009" t="s">
        <v>4146</v>
      </c>
      <c r="Z1009" s="652"/>
      <c r="AA1009" t="s">
        <v>1750</v>
      </c>
      <c r="AB1009" s="653"/>
      <c r="AC1009" s="651"/>
      <c r="AD1009" s="651"/>
      <c r="AE1009" s="651"/>
      <c r="AF1009" s="410"/>
      <c r="AG1009" s="185"/>
      <c r="AH1009" s="410"/>
      <c r="AI1009" s="410"/>
    </row>
    <row r="1010" spans="1:35" ht="12.75" customHeight="1" x14ac:dyDescent="0.25">
      <c r="A1010" s="1370" t="s">
        <v>1796</v>
      </c>
      <c r="B1010" s="1370" t="s">
        <v>1797</v>
      </c>
      <c r="C1010" s="9">
        <f t="shared" si="207"/>
        <v>3</v>
      </c>
      <c r="F1010" s="976">
        <f t="shared" si="208"/>
        <v>3</v>
      </c>
      <c r="G1010" s="584"/>
      <c r="H1010" s="584"/>
      <c r="I1010" s="584">
        <v>1</v>
      </c>
      <c r="J1010" s="584"/>
      <c r="K1010" s="584">
        <v>1</v>
      </c>
      <c r="L1010" s="584"/>
      <c r="M1010" s="584"/>
      <c r="N1010" s="584"/>
      <c r="O1010" s="584"/>
      <c r="P1010" s="584"/>
      <c r="Q1010" s="584">
        <v>1</v>
      </c>
      <c r="R1010" s="584"/>
      <c r="S1010" s="584"/>
      <c r="T1010" s="584"/>
      <c r="U1010" s="974"/>
      <c r="V1010" s="185"/>
      <c r="W1010" t="s">
        <v>10366</v>
      </c>
      <c r="Z1010" s="652"/>
      <c r="AA1010" t="s">
        <v>1751</v>
      </c>
      <c r="AB1010" s="653"/>
      <c r="AC1010" s="651"/>
      <c r="AD1010" s="651"/>
      <c r="AE1010" s="651"/>
      <c r="AF1010" s="410"/>
      <c r="AG1010" s="185"/>
      <c r="AH1010" s="410"/>
      <c r="AI1010" s="410"/>
    </row>
    <row r="1011" spans="1:35" ht="12.75" customHeight="1" x14ac:dyDescent="0.25">
      <c r="A1011" s="1374" t="s">
        <v>5369</v>
      </c>
      <c r="B1011" s="1374" t="s">
        <v>2117</v>
      </c>
      <c r="C1011" s="9">
        <f t="shared" si="207"/>
        <v>9</v>
      </c>
      <c r="F1011" s="976">
        <f t="shared" si="208"/>
        <v>3</v>
      </c>
      <c r="G1011" s="584">
        <v>1</v>
      </c>
      <c r="H1011" s="584"/>
      <c r="I1011" s="584"/>
      <c r="J1011" s="584"/>
      <c r="K1011" s="584"/>
      <c r="L1011" s="584"/>
      <c r="M1011" s="584"/>
      <c r="N1011" s="584"/>
      <c r="O1011" s="584"/>
      <c r="P1011" s="584"/>
      <c r="Q1011" s="584">
        <v>7</v>
      </c>
      <c r="R1011" s="584"/>
      <c r="S1011" s="584"/>
      <c r="T1011" s="584">
        <v>1</v>
      </c>
      <c r="U1011" s="974"/>
      <c r="V1011" s="185"/>
      <c r="W1011" t="s">
        <v>1299</v>
      </c>
      <c r="Z1011" s="652"/>
      <c r="AA1011" t="s">
        <v>2673</v>
      </c>
      <c r="AB1011" s="653"/>
      <c r="AC1011" s="651"/>
      <c r="AD1011" s="651"/>
      <c r="AE1011" s="651"/>
      <c r="AF1011" s="410"/>
      <c r="AG1011" s="185"/>
      <c r="AH1011" s="410"/>
      <c r="AI1011" s="410"/>
    </row>
    <row r="1012" spans="1:35" ht="12.75" customHeight="1" x14ac:dyDescent="0.25">
      <c r="A1012" s="1370" t="s">
        <v>665</v>
      </c>
      <c r="B1012" s="1370" t="s">
        <v>666</v>
      </c>
      <c r="C1012" s="9">
        <f t="shared" si="207"/>
        <v>2</v>
      </c>
      <c r="F1012" s="976">
        <f t="shared" si="208"/>
        <v>2</v>
      </c>
      <c r="G1012" s="584">
        <v>1</v>
      </c>
      <c r="H1012" s="584"/>
      <c r="I1012" s="584"/>
      <c r="J1012" s="584">
        <v>1</v>
      </c>
      <c r="K1012" s="584"/>
      <c r="L1012" s="584"/>
      <c r="M1012" s="584"/>
      <c r="N1012" s="584"/>
      <c r="O1012" s="584"/>
      <c r="P1012" s="584"/>
      <c r="Q1012" s="584"/>
      <c r="R1012" s="584"/>
      <c r="S1012" s="584"/>
      <c r="T1012" s="584"/>
      <c r="U1012" s="974"/>
      <c r="V1012" s="185"/>
      <c r="W1012" s="107" t="s">
        <v>594</v>
      </c>
      <c r="Z1012" s="652"/>
      <c r="AB1012" s="653"/>
      <c r="AC1012" s="651"/>
      <c r="AD1012" s="651"/>
      <c r="AE1012" s="651"/>
      <c r="AF1012" s="410"/>
      <c r="AG1012" s="185"/>
      <c r="AH1012" s="410"/>
      <c r="AI1012" s="410"/>
    </row>
    <row r="1013" spans="1:35" ht="12.75" customHeight="1" x14ac:dyDescent="0.25">
      <c r="A1013" s="1370" t="s">
        <v>5649</v>
      </c>
      <c r="B1013" s="1370" t="s">
        <v>1047</v>
      </c>
      <c r="C1013" s="9">
        <f t="shared" si="207"/>
        <v>1</v>
      </c>
      <c r="F1013" s="976">
        <f t="shared" si="208"/>
        <v>1</v>
      </c>
      <c r="G1013" s="584">
        <v>1</v>
      </c>
      <c r="H1013" s="584"/>
      <c r="I1013" s="584"/>
      <c r="J1013" s="584"/>
      <c r="K1013" s="584"/>
      <c r="L1013" s="584"/>
      <c r="M1013" s="584"/>
      <c r="N1013" s="584"/>
      <c r="O1013" s="584"/>
      <c r="P1013" s="584"/>
      <c r="Q1013" s="584"/>
      <c r="R1013" s="584"/>
      <c r="S1013" s="584"/>
      <c r="T1013" s="584"/>
      <c r="U1013" s="974"/>
      <c r="V1013" s="185"/>
      <c r="W1013" t="s">
        <v>1300</v>
      </c>
      <c r="X1013" s="185"/>
      <c r="Z1013" s="652"/>
      <c r="AA1013" s="79" t="s">
        <v>8581</v>
      </c>
      <c r="AB1013" s="653"/>
      <c r="AC1013" s="651"/>
      <c r="AD1013" s="651"/>
      <c r="AE1013" s="651"/>
      <c r="AF1013" s="410"/>
      <c r="AG1013" s="185"/>
      <c r="AH1013" s="410"/>
      <c r="AI1013" s="410"/>
    </row>
    <row r="1014" spans="1:35" ht="12.75" customHeight="1" x14ac:dyDescent="0.25">
      <c r="A1014" s="1370" t="s">
        <v>2478</v>
      </c>
      <c r="B1014" s="1370" t="s">
        <v>2479</v>
      </c>
      <c r="C1014" s="9">
        <f t="shared" si="207"/>
        <v>9</v>
      </c>
      <c r="F1014" s="976">
        <f t="shared" si="208"/>
        <v>5</v>
      </c>
      <c r="G1014" s="1447">
        <v>1</v>
      </c>
      <c r="H1014" s="1447"/>
      <c r="I1014" s="584"/>
      <c r="J1014" s="584"/>
      <c r="K1014" s="584"/>
      <c r="L1014" s="584"/>
      <c r="M1014" s="584"/>
      <c r="N1014" s="584">
        <v>5</v>
      </c>
      <c r="O1014" s="584"/>
      <c r="P1014" s="584">
        <v>1</v>
      </c>
      <c r="Q1014" s="584"/>
      <c r="R1014" s="584"/>
      <c r="S1014" s="584">
        <v>1</v>
      </c>
      <c r="T1014" s="584">
        <v>1</v>
      </c>
      <c r="U1014" s="974"/>
      <c r="V1014" s="185"/>
      <c r="W1014" t="s">
        <v>1301</v>
      </c>
      <c r="Z1014" s="652"/>
      <c r="AA1014" s="653"/>
      <c r="AB1014" s="653"/>
      <c r="AC1014" s="651"/>
      <c r="AD1014" s="651"/>
      <c r="AE1014" s="651"/>
      <c r="AF1014" s="410"/>
      <c r="AG1014" s="185"/>
      <c r="AH1014" s="410"/>
      <c r="AI1014" s="410"/>
    </row>
    <row r="1015" spans="1:35" ht="12.75" customHeight="1" x14ac:dyDescent="0.25">
      <c r="A1015" s="2016" t="s">
        <v>1798</v>
      </c>
      <c r="B1015" s="2016" t="s">
        <v>17201</v>
      </c>
      <c r="C1015" s="9">
        <f t="shared" si="207"/>
        <v>1</v>
      </c>
      <c r="F1015" s="976">
        <f t="shared" si="208"/>
        <v>1</v>
      </c>
      <c r="G1015" s="1447"/>
      <c r="H1015" s="1447"/>
      <c r="I1015" s="584"/>
      <c r="J1015" s="584"/>
      <c r="K1015" s="584"/>
      <c r="L1015" s="584"/>
      <c r="M1015" s="584"/>
      <c r="N1015" s="1972">
        <v>1</v>
      </c>
      <c r="O1015" s="584"/>
      <c r="P1015" s="584"/>
      <c r="Q1015" s="584"/>
      <c r="R1015" s="584"/>
      <c r="S1015" s="584"/>
      <c r="T1015" s="584"/>
      <c r="U1015" s="974"/>
      <c r="V1015" s="185"/>
      <c r="Z1015" s="652"/>
      <c r="AA1015" s="653"/>
      <c r="AB1015" s="653"/>
      <c r="AC1015" s="651"/>
      <c r="AD1015" s="651"/>
      <c r="AE1015" s="651"/>
      <c r="AF1015" s="410"/>
      <c r="AG1015" s="185"/>
      <c r="AH1015" s="410"/>
      <c r="AI1015" s="410"/>
    </row>
    <row r="1016" spans="1:35" ht="12.75" customHeight="1" x14ac:dyDescent="0.25">
      <c r="A1016" s="1370" t="s">
        <v>1794</v>
      </c>
      <c r="B1016" s="1370" t="s">
        <v>1795</v>
      </c>
      <c r="C1016" s="9">
        <f t="shared" si="207"/>
        <v>1</v>
      </c>
      <c r="F1016" s="976">
        <f t="shared" si="208"/>
        <v>1</v>
      </c>
      <c r="G1016" s="584"/>
      <c r="H1016" s="584"/>
      <c r="I1016" s="584"/>
      <c r="J1016" s="584"/>
      <c r="K1016" s="584"/>
      <c r="L1016" s="584">
        <v>1</v>
      </c>
      <c r="M1016" s="584"/>
      <c r="N1016" s="584"/>
      <c r="O1016" s="584"/>
      <c r="P1016" s="584"/>
      <c r="Q1016" s="584"/>
      <c r="R1016" s="584"/>
      <c r="S1016" s="584"/>
      <c r="T1016" s="584"/>
      <c r="U1016" s="974"/>
      <c r="V1016" s="185"/>
      <c r="W1016" t="s">
        <v>2841</v>
      </c>
      <c r="Z1016" s="652"/>
      <c r="AA1016" s="653"/>
      <c r="AB1016" s="653"/>
      <c r="AC1016" s="651"/>
      <c r="AD1016" s="651"/>
      <c r="AE1016" s="651"/>
      <c r="AF1016" s="410"/>
      <c r="AG1016" s="185"/>
      <c r="AH1016" s="410"/>
      <c r="AI1016" s="410"/>
    </row>
    <row r="1017" spans="1:35" ht="12.75" customHeight="1" x14ac:dyDescent="0.25">
      <c r="A1017" s="1370" t="s">
        <v>9794</v>
      </c>
      <c r="B1017" s="1370" t="s">
        <v>9795</v>
      </c>
      <c r="C1017" s="9">
        <f t="shared" si="207"/>
        <v>2</v>
      </c>
      <c r="F1017" s="976">
        <f t="shared" si="208"/>
        <v>2</v>
      </c>
      <c r="G1017" s="584"/>
      <c r="H1017" s="584"/>
      <c r="I1017" s="1447">
        <v>1</v>
      </c>
      <c r="J1017" s="584"/>
      <c r="K1017" s="584"/>
      <c r="L1017" s="584"/>
      <c r="M1017" s="584"/>
      <c r="N1017" s="584">
        <v>1</v>
      </c>
      <c r="O1017" s="584"/>
      <c r="P1017" s="584"/>
      <c r="Q1017" s="584"/>
      <c r="R1017" s="584"/>
      <c r="S1017" s="584"/>
      <c r="T1017" s="584"/>
      <c r="U1017" s="974"/>
      <c r="V1017" s="185"/>
      <c r="W1017" t="s">
        <v>1875</v>
      </c>
      <c r="Z1017" s="652"/>
      <c r="AA1017" s="653"/>
      <c r="AB1017" s="653"/>
      <c r="AC1017" s="651"/>
      <c r="AD1017" s="651"/>
      <c r="AE1017" s="651"/>
      <c r="AF1017" s="410"/>
      <c r="AG1017" s="185"/>
      <c r="AH1017" s="410"/>
      <c r="AI1017" s="410"/>
    </row>
    <row r="1018" spans="1:35" ht="12.75" customHeight="1" x14ac:dyDescent="0.25">
      <c r="A1018" s="1389" t="s">
        <v>4977</v>
      </c>
      <c r="B1018" s="1389" t="s">
        <v>3961</v>
      </c>
      <c r="C1018" s="9">
        <f t="shared" si="207"/>
        <v>12</v>
      </c>
      <c r="F1018" s="976">
        <f t="shared" si="208"/>
        <v>1</v>
      </c>
      <c r="G1018" s="584"/>
      <c r="H1018" s="584"/>
      <c r="I1018" s="584"/>
      <c r="J1018" s="584"/>
      <c r="K1018" s="584"/>
      <c r="L1018" s="584">
        <v>12</v>
      </c>
      <c r="M1018" s="584"/>
      <c r="N1018" s="584"/>
      <c r="O1018" s="584"/>
      <c r="P1018" s="584"/>
      <c r="Q1018" s="584"/>
      <c r="R1018" s="584"/>
      <c r="S1018" s="584"/>
      <c r="T1018" s="584"/>
      <c r="U1018" s="974"/>
      <c r="V1018" s="185"/>
      <c r="W1018" t="s">
        <v>2671</v>
      </c>
      <c r="Z1018" s="652"/>
      <c r="AA1018" s="653"/>
      <c r="AB1018" s="653"/>
      <c r="AC1018" s="651"/>
      <c r="AD1018" s="651"/>
      <c r="AE1018" s="651"/>
      <c r="AF1018" s="410"/>
      <c r="AG1018" s="185"/>
      <c r="AH1018" s="410"/>
      <c r="AI1018" s="410"/>
    </row>
    <row r="1019" spans="1:35" ht="12.75" customHeight="1" x14ac:dyDescent="0.25">
      <c r="A1019" s="1370" t="s">
        <v>3960</v>
      </c>
      <c r="B1019" s="1370" t="s">
        <v>3961</v>
      </c>
      <c r="C1019" s="9">
        <f t="shared" si="207"/>
        <v>2</v>
      </c>
      <c r="F1019" s="976">
        <f t="shared" si="208"/>
        <v>1</v>
      </c>
      <c r="G1019" s="584"/>
      <c r="H1019" s="584"/>
      <c r="I1019" s="584"/>
      <c r="J1019" s="584"/>
      <c r="K1019" s="584"/>
      <c r="L1019" s="584">
        <v>2</v>
      </c>
      <c r="M1019" s="584"/>
      <c r="N1019" s="584"/>
      <c r="O1019" s="584"/>
      <c r="P1019" s="584"/>
      <c r="Q1019" s="584"/>
      <c r="R1019" s="584"/>
      <c r="S1019" s="584"/>
      <c r="T1019" s="584"/>
      <c r="U1019" s="974"/>
      <c r="V1019" s="185"/>
      <c r="W1019" t="s">
        <v>3952</v>
      </c>
      <c r="Z1019" s="652"/>
      <c r="AA1019" s="653"/>
      <c r="AB1019" s="653"/>
      <c r="AC1019" s="651"/>
      <c r="AD1019" s="651"/>
      <c r="AE1019" s="651"/>
      <c r="AF1019" s="410"/>
      <c r="AG1019" s="185"/>
      <c r="AH1019" s="410"/>
      <c r="AI1019" s="410"/>
    </row>
    <row r="1020" spans="1:35" ht="12.75" customHeight="1" x14ac:dyDescent="0.25">
      <c r="A1020" s="1370" t="s">
        <v>2416</v>
      </c>
      <c r="B1020" s="1370" t="s">
        <v>2417</v>
      </c>
      <c r="C1020" s="9">
        <f t="shared" si="207"/>
        <v>2</v>
      </c>
      <c r="F1020" s="976">
        <f t="shared" si="208"/>
        <v>2</v>
      </c>
      <c r="G1020" s="584"/>
      <c r="H1020" s="584"/>
      <c r="I1020" s="584"/>
      <c r="J1020" s="584"/>
      <c r="K1020" s="584"/>
      <c r="L1020" s="584">
        <v>1</v>
      </c>
      <c r="M1020" s="584"/>
      <c r="N1020" s="584"/>
      <c r="O1020" s="584"/>
      <c r="P1020" s="584"/>
      <c r="Q1020" s="584"/>
      <c r="R1020" s="584"/>
      <c r="S1020" s="584"/>
      <c r="T1020" s="584"/>
      <c r="U1020" s="974">
        <v>1</v>
      </c>
      <c r="V1020" s="185"/>
      <c r="W1020" s="414"/>
      <c r="X1020" s="658"/>
      <c r="Z1020" s="652"/>
      <c r="AA1020" s="653"/>
      <c r="AB1020" s="653"/>
      <c r="AC1020" s="651"/>
      <c r="AD1020" s="651"/>
      <c r="AE1020" s="651"/>
      <c r="AF1020" s="410"/>
      <c r="AG1020" s="185"/>
      <c r="AH1020" s="410"/>
      <c r="AI1020" s="410"/>
    </row>
    <row r="1021" spans="1:35" ht="12.75" customHeight="1" x14ac:dyDescent="0.25">
      <c r="A1021" s="1370" t="s">
        <v>866</v>
      </c>
      <c r="B1021" s="1370" t="s">
        <v>2417</v>
      </c>
      <c r="C1021" s="9">
        <f t="shared" si="207"/>
        <v>2</v>
      </c>
      <c r="F1021" s="976">
        <f t="shared" si="208"/>
        <v>2</v>
      </c>
      <c r="G1021" s="584"/>
      <c r="H1021" s="584"/>
      <c r="I1021" s="584"/>
      <c r="J1021" s="584"/>
      <c r="K1021" s="584"/>
      <c r="L1021" s="584">
        <v>1</v>
      </c>
      <c r="M1021" s="584"/>
      <c r="N1021" s="584"/>
      <c r="O1021" s="584"/>
      <c r="P1021" s="584"/>
      <c r="Q1021" s="584"/>
      <c r="R1021" s="584"/>
      <c r="S1021" s="584"/>
      <c r="T1021" s="584"/>
      <c r="U1021" s="974">
        <v>1</v>
      </c>
      <c r="V1021" s="185"/>
      <c r="Z1021" s="652"/>
      <c r="AA1021" s="653"/>
      <c r="AB1021" s="653"/>
      <c r="AC1021" s="651"/>
      <c r="AD1021" s="651"/>
      <c r="AE1021" s="651"/>
      <c r="AF1021" s="410"/>
      <c r="AG1021" s="185"/>
      <c r="AH1021" s="410"/>
      <c r="AI1021" s="410"/>
    </row>
    <row r="1022" spans="1:35" ht="12.75" customHeight="1" x14ac:dyDescent="0.25">
      <c r="C1022" s="20">
        <f>SUM(C1006:C1021)</f>
        <v>59</v>
      </c>
      <c r="F1022" s="244"/>
      <c r="G1022" s="637">
        <f>SUM(G1006:G1021)</f>
        <v>4</v>
      </c>
      <c r="H1022" s="637">
        <f>SUM(H1006:H1021)</f>
        <v>1</v>
      </c>
      <c r="I1022" s="637">
        <f t="shared" ref="I1022:T1022" si="209">SUM(I1006:I1021)</f>
        <v>2</v>
      </c>
      <c r="J1022" s="637">
        <f t="shared" ref="J1022" si="210">SUM(J1006:J1021)</f>
        <v>1</v>
      </c>
      <c r="K1022" s="637">
        <f t="shared" si="209"/>
        <v>1</v>
      </c>
      <c r="L1022" s="637">
        <f t="shared" si="209"/>
        <v>17</v>
      </c>
      <c r="M1022" s="637">
        <f t="shared" si="209"/>
        <v>7</v>
      </c>
      <c r="N1022" s="637">
        <f t="shared" si="209"/>
        <v>8</v>
      </c>
      <c r="O1022" s="637">
        <f t="shared" si="209"/>
        <v>2</v>
      </c>
      <c r="P1022" s="637">
        <f t="shared" si="209"/>
        <v>1</v>
      </c>
      <c r="Q1022" s="637">
        <f t="shared" si="209"/>
        <v>9</v>
      </c>
      <c r="R1022" s="637">
        <f t="shared" ref="R1022" si="211">SUM(R1006:R1021)</f>
        <v>1</v>
      </c>
      <c r="S1022" s="637">
        <f t="shared" si="209"/>
        <v>1</v>
      </c>
      <c r="T1022" s="637">
        <f t="shared" si="209"/>
        <v>2</v>
      </c>
      <c r="U1022" s="637">
        <f t="shared" ref="U1022" si="212">SUM(U1006:U1021)</f>
        <v>2</v>
      </c>
      <c r="V1022" s="185"/>
      <c r="W1022" s="107"/>
      <c r="Z1022" s="652"/>
      <c r="AA1022" s="653"/>
      <c r="AB1022" s="653"/>
      <c r="AC1022" s="651"/>
      <c r="AD1022" s="651"/>
      <c r="AE1022" s="651"/>
      <c r="AF1022" s="410"/>
      <c r="AG1022" s="185"/>
      <c r="AH1022" s="410"/>
      <c r="AI1022" s="410"/>
    </row>
    <row r="1023" spans="1:35" ht="12.75" customHeight="1" x14ac:dyDescent="0.25">
      <c r="C1023" s="9"/>
      <c r="E1023" s="1377">
        <f>COUNT(G1023:U1023)</f>
        <v>15</v>
      </c>
      <c r="F1023" s="244"/>
      <c r="G1023" s="637">
        <f>COUNT(G1006:G1021)</f>
        <v>4</v>
      </c>
      <c r="H1023" s="637">
        <f>COUNT(H1006:H1021)</f>
        <v>1</v>
      </c>
      <c r="I1023" s="637">
        <f t="shared" ref="I1023:T1023" si="213">COUNT(I1006:I1021)</f>
        <v>2</v>
      </c>
      <c r="J1023" s="637">
        <f t="shared" ref="J1023" si="214">COUNT(J1006:J1021)</f>
        <v>1</v>
      </c>
      <c r="K1023" s="637">
        <f t="shared" si="213"/>
        <v>1</v>
      </c>
      <c r="L1023" s="637">
        <f t="shared" si="213"/>
        <v>5</v>
      </c>
      <c r="M1023" s="637">
        <f t="shared" si="213"/>
        <v>2</v>
      </c>
      <c r="N1023" s="637">
        <f t="shared" si="213"/>
        <v>4</v>
      </c>
      <c r="O1023" s="637">
        <f t="shared" si="213"/>
        <v>2</v>
      </c>
      <c r="P1023" s="637">
        <f t="shared" si="213"/>
        <v>1</v>
      </c>
      <c r="Q1023" s="637">
        <f t="shared" si="213"/>
        <v>3</v>
      </c>
      <c r="R1023" s="637">
        <f t="shared" ref="R1023" si="215">COUNT(R1006:R1021)</f>
        <v>1</v>
      </c>
      <c r="S1023" s="637">
        <f t="shared" si="213"/>
        <v>1</v>
      </c>
      <c r="T1023" s="637">
        <f t="shared" si="213"/>
        <v>2</v>
      </c>
      <c r="U1023" s="637">
        <f t="shared" ref="U1023" si="216">COUNT(U1006:U1021)</f>
        <v>2</v>
      </c>
      <c r="V1023" s="185"/>
      <c r="W1023" s="651"/>
      <c r="X1023" s="652"/>
      <c r="Y1023" s="652"/>
      <c r="Z1023" s="652"/>
      <c r="AA1023" s="653"/>
      <c r="AB1023" s="653"/>
      <c r="AC1023" s="651"/>
      <c r="AD1023" s="651"/>
      <c r="AE1023" s="651"/>
      <c r="AF1023" s="410"/>
      <c r="AG1023" s="185"/>
      <c r="AH1023" s="410"/>
      <c r="AI1023" s="410"/>
    </row>
    <row r="1024" spans="1:35" ht="12.75" customHeight="1" x14ac:dyDescent="0.25">
      <c r="C1024" s="9"/>
      <c r="F1024" s="244"/>
      <c r="G1024" s="536" t="s">
        <v>2284</v>
      </c>
      <c r="H1024" s="536"/>
      <c r="I1024" s="561" t="s">
        <v>4049</v>
      </c>
      <c r="J1024" s="561"/>
      <c r="K1024" s="538" t="s">
        <v>1075</v>
      </c>
      <c r="L1024" s="565"/>
      <c r="M1024" s="565" t="s">
        <v>1302</v>
      </c>
      <c r="N1024" s="538"/>
      <c r="O1024" s="538" t="s">
        <v>4367</v>
      </c>
      <c r="P1024" s="538"/>
      <c r="Q1024" s="561" t="s">
        <v>653</v>
      </c>
      <c r="R1024" s="561"/>
      <c r="S1024" s="538" t="s">
        <v>249</v>
      </c>
      <c r="T1024" s="561"/>
      <c r="U1024" s="538" t="s">
        <v>2674</v>
      </c>
      <c r="V1024" s="364"/>
      <c r="W1024" s="185"/>
      <c r="X1024" s="185"/>
      <c r="Y1024" s="185"/>
      <c r="Z1024" s="410"/>
      <c r="AA1024" s="410"/>
      <c r="AB1024" s="364"/>
      <c r="AC1024" s="364"/>
      <c r="AD1024" s="364"/>
      <c r="AE1024" s="410"/>
      <c r="AF1024" s="185"/>
      <c r="AG1024" s="410"/>
    </row>
    <row r="1025" spans="1:42" ht="12.75" customHeight="1" x14ac:dyDescent="0.25">
      <c r="C1025" s="9"/>
      <c r="F1025" s="244"/>
      <c r="G1025" s="515"/>
      <c r="H1025" s="539" t="s">
        <v>13182</v>
      </c>
      <c r="I1025" s="531"/>
      <c r="J1025" s="515" t="s">
        <v>11614</v>
      </c>
      <c r="K1025" s="515"/>
      <c r="L1025" s="558" t="s">
        <v>1496</v>
      </c>
      <c r="M1025" s="558"/>
      <c r="N1025" s="539" t="s">
        <v>2177</v>
      </c>
      <c r="O1025" s="539"/>
      <c r="P1025" s="539" t="s">
        <v>3160</v>
      </c>
      <c r="Q1025" s="558"/>
      <c r="R1025" s="539" t="s">
        <v>15415</v>
      </c>
      <c r="S1025" s="515"/>
      <c r="T1025" s="535" t="s">
        <v>1497</v>
      </c>
      <c r="U1025" s="515"/>
      <c r="V1025" s="1406"/>
      <c r="W1025" s="185"/>
      <c r="X1025" s="185"/>
      <c r="Y1025" s="185"/>
      <c r="Z1025" s="410"/>
      <c r="AA1025" s="410"/>
      <c r="AB1025" s="364"/>
      <c r="AC1025" s="364"/>
      <c r="AD1025" s="430"/>
      <c r="AE1025" s="410"/>
      <c r="AF1025" s="185"/>
      <c r="AG1025" s="410"/>
    </row>
    <row r="1026" spans="1:42" ht="12.75" customHeight="1" x14ac:dyDescent="0.25">
      <c r="C1026" s="9"/>
      <c r="F1026" s="244"/>
      <c r="G1026" s="870"/>
      <c r="H1026" s="1126">
        <f>Parks!L351</f>
        <v>511</v>
      </c>
      <c r="I1026" s="870"/>
      <c r="J1026" s="1541"/>
      <c r="K1026" s="1541"/>
      <c r="L1026" s="1574"/>
      <c r="M1026" s="1574"/>
      <c r="N1026" s="1575"/>
      <c r="O1026" s="1575"/>
      <c r="P1026" s="1575"/>
      <c r="Q1026" s="1574"/>
      <c r="R1026" s="1541"/>
      <c r="S1026" s="1574"/>
      <c r="T1026" s="1407"/>
      <c r="U1026" s="1406"/>
      <c r="V1026" s="1418"/>
      <c r="W1026" s="410"/>
      <c r="X1026" s="410"/>
      <c r="Y1026" s="364"/>
      <c r="Z1026" s="364"/>
      <c r="AA1026" s="364"/>
      <c r="AB1026" s="410"/>
      <c r="AC1026" s="185"/>
      <c r="AD1026" s="410"/>
    </row>
    <row r="1027" spans="1:42" ht="12.75" customHeight="1" x14ac:dyDescent="0.25">
      <c r="A1027" s="1370"/>
      <c r="C1027" s="9"/>
      <c r="F1027" s="244"/>
      <c r="G1027" s="185"/>
      <c r="H1027" s="185"/>
      <c r="J1027" s="10"/>
      <c r="N1027" s="185"/>
      <c r="O1027" s="185"/>
      <c r="P1027" s="185"/>
      <c r="Q1027" s="185"/>
      <c r="R1027" s="364"/>
      <c r="S1027" s="185"/>
      <c r="T1027" s="185"/>
      <c r="U1027" s="185"/>
      <c r="V1027" s="410"/>
      <c r="W1027" s="410"/>
      <c r="X1027" s="364"/>
      <c r="Y1027" s="364"/>
      <c r="Z1027" s="364"/>
      <c r="AA1027" s="410"/>
      <c r="AB1027" s="185"/>
      <c r="AC1027" s="410"/>
    </row>
    <row r="1028" spans="1:42" ht="12.75" customHeight="1" x14ac:dyDescent="0.25">
      <c r="C1028" s="9"/>
      <c r="F1028" s="664"/>
      <c r="G1028" s="80" t="s">
        <v>8042</v>
      </c>
      <c r="H1028" s="80"/>
      <c r="I1028" s="185"/>
      <c r="J1028" s="185"/>
      <c r="L1028" s="10"/>
      <c r="P1028" s="185"/>
      <c r="Q1028" s="185"/>
      <c r="R1028" s="185"/>
      <c r="S1028" s="185"/>
      <c r="T1028" s="185"/>
      <c r="U1028" s="185"/>
      <c r="V1028" s="185"/>
      <c r="W1028" s="185"/>
      <c r="X1028" s="364"/>
      <c r="Y1028" s="185"/>
      <c r="Z1028" s="185"/>
      <c r="AA1028" s="80" t="s">
        <v>8043</v>
      </c>
      <c r="AB1028" s="410"/>
      <c r="AC1028" s="410"/>
      <c r="AD1028" s="364"/>
      <c r="AE1028" s="846" t="s">
        <v>10149</v>
      </c>
      <c r="AF1028" s="364"/>
      <c r="AG1028" s="410"/>
      <c r="AH1028" s="185"/>
      <c r="AI1028" s="185"/>
      <c r="AJ1028" s="410"/>
      <c r="AK1028" s="410"/>
      <c r="AL1028" s="410"/>
      <c r="AM1028" s="410"/>
      <c r="AN1028" s="410"/>
      <c r="AO1028" s="410"/>
      <c r="AP1028" s="410"/>
    </row>
    <row r="1029" spans="1:42" ht="12.75" customHeight="1" x14ac:dyDescent="0.25">
      <c r="C1029" s="9"/>
      <c r="F1029" s="244"/>
      <c r="G1029" s="553" t="s">
        <v>5473</v>
      </c>
      <c r="H1029" s="560" t="s">
        <v>10190</v>
      </c>
      <c r="I1029" s="553" t="s">
        <v>4285</v>
      </c>
      <c r="J1029" s="560" t="s">
        <v>11562</v>
      </c>
      <c r="K1029" s="553" t="s">
        <v>5902</v>
      </c>
      <c r="L1029" s="560" t="s">
        <v>7699</v>
      </c>
      <c r="M1029" s="553" t="s">
        <v>77</v>
      </c>
      <c r="N1029" s="560" t="s">
        <v>6194</v>
      </c>
      <c r="O1029" s="553" t="s">
        <v>2327</v>
      </c>
      <c r="P1029" s="560" t="s">
        <v>7939</v>
      </c>
      <c r="Q1029" s="553" t="s">
        <v>6204</v>
      </c>
      <c r="R1029" s="560" t="s">
        <v>9025</v>
      </c>
      <c r="S1029" s="553" t="s">
        <v>3621</v>
      </c>
      <c r="T1029" s="560" t="s">
        <v>8456</v>
      </c>
      <c r="U1029" s="553" t="s">
        <v>7576</v>
      </c>
      <c r="V1029" s="560" t="s">
        <v>4780</v>
      </c>
      <c r="W1029" s="553" t="s">
        <v>9839</v>
      </c>
      <c r="X1029" s="560" t="s">
        <v>1727</v>
      </c>
      <c r="Y1029" s="553" t="s">
        <v>3200</v>
      </c>
      <c r="Z1029" s="41"/>
      <c r="AA1029" s="590" t="s">
        <v>5521</v>
      </c>
      <c r="AB1029" s="410"/>
      <c r="AC1029" s="364"/>
      <c r="AD1029" s="846"/>
      <c r="AE1029" s="364"/>
      <c r="AF1029" s="410"/>
      <c r="AG1029" s="185"/>
      <c r="AH1029" s="561"/>
      <c r="AI1029" s="561"/>
    </row>
    <row r="1030" spans="1:42" ht="12.75" customHeight="1" x14ac:dyDescent="0.25">
      <c r="A1030" s="1371" t="s">
        <v>3251</v>
      </c>
      <c r="B1030" s="1371" t="s">
        <v>3252</v>
      </c>
      <c r="C1030" s="1398">
        <f t="shared" ref="C1030:C1046" si="217">SUM(G1030:AA1030)</f>
        <v>1</v>
      </c>
      <c r="F1030" s="977">
        <f t="shared" ref="F1030:F1046" si="218">COUNT(G1030:Y1030)</f>
        <v>1</v>
      </c>
      <c r="G1030" s="455">
        <v>1</v>
      </c>
      <c r="H1030" s="455"/>
      <c r="I1030" s="455"/>
      <c r="J1030" s="455"/>
      <c r="K1030" s="1381"/>
      <c r="L1030" s="584"/>
      <c r="M1030" s="455"/>
      <c r="N1030" s="455"/>
      <c r="O1030" s="455"/>
      <c r="P1030" s="455"/>
      <c r="Q1030" s="455"/>
      <c r="R1030" s="455"/>
      <c r="S1030" s="455"/>
      <c r="T1030" s="455"/>
      <c r="U1030" s="455"/>
      <c r="V1030" s="455"/>
      <c r="W1030" s="455"/>
      <c r="X1030" s="584"/>
      <c r="Y1030" s="455"/>
      <c r="Z1030" s="80"/>
      <c r="AA1030" s="665"/>
      <c r="AB1030" s="410"/>
      <c r="AC1030" s="846" t="s">
        <v>10150</v>
      </c>
      <c r="AD1030" s="364"/>
      <c r="AE1030" s="410"/>
      <c r="AF1030" s="185"/>
      <c r="AG1030" s="410"/>
    </row>
    <row r="1031" spans="1:42" ht="12.75" customHeight="1" x14ac:dyDescent="0.25">
      <c r="A1031" s="1410" t="s">
        <v>2754</v>
      </c>
      <c r="B1031" s="1410" t="s">
        <v>1295</v>
      </c>
      <c r="C1031" s="1398">
        <f t="shared" si="217"/>
        <v>2</v>
      </c>
      <c r="F1031" s="977">
        <f t="shared" si="218"/>
        <v>2</v>
      </c>
      <c r="G1031" s="455"/>
      <c r="H1031" s="455"/>
      <c r="I1031" s="455"/>
      <c r="J1031" s="455"/>
      <c r="K1031" s="1381">
        <v>1</v>
      </c>
      <c r="L1031" s="584"/>
      <c r="M1031" s="455"/>
      <c r="N1031" s="455"/>
      <c r="O1031" s="455"/>
      <c r="P1031" s="455"/>
      <c r="Q1031" s="455"/>
      <c r="R1031" s="455"/>
      <c r="S1031" s="455">
        <v>1</v>
      </c>
      <c r="T1031" s="455"/>
      <c r="U1031" s="455"/>
      <c r="V1031" s="455"/>
      <c r="W1031" s="455"/>
      <c r="X1031" s="584"/>
      <c r="Y1031" s="455"/>
      <c r="Z1031" s="80"/>
      <c r="AA1031" s="665"/>
      <c r="AB1031" s="410"/>
      <c r="AC1031" s="364" t="s">
        <v>11458</v>
      </c>
      <c r="AD1031" s="364"/>
      <c r="AE1031" s="410"/>
      <c r="AF1031" s="185"/>
      <c r="AG1031" s="410"/>
    </row>
    <row r="1032" spans="1:42" ht="12.75" customHeight="1" x14ac:dyDescent="0.25">
      <c r="A1032" s="1410" t="s">
        <v>3508</v>
      </c>
      <c r="B1032" s="1410" t="s">
        <v>1295</v>
      </c>
      <c r="C1032" s="1398">
        <f>SUM(G1032:AA1032)</f>
        <v>2</v>
      </c>
      <c r="F1032" s="977">
        <f t="shared" si="218"/>
        <v>2</v>
      </c>
      <c r="G1032" s="455"/>
      <c r="H1032" s="455"/>
      <c r="I1032" s="455"/>
      <c r="J1032" s="455"/>
      <c r="K1032" s="1381">
        <v>1</v>
      </c>
      <c r="L1032" s="584"/>
      <c r="M1032" s="455"/>
      <c r="N1032" s="455"/>
      <c r="O1032" s="455"/>
      <c r="P1032" s="455"/>
      <c r="Q1032" s="455"/>
      <c r="R1032" s="455"/>
      <c r="S1032" s="455">
        <v>1</v>
      </c>
      <c r="T1032" s="455"/>
      <c r="U1032" s="455"/>
      <c r="V1032" s="455"/>
      <c r="W1032" s="455"/>
      <c r="X1032" s="584"/>
      <c r="Y1032" s="455"/>
      <c r="Z1032" s="80"/>
      <c r="AA1032" s="665"/>
      <c r="AB1032" s="410"/>
      <c r="AC1032" s="430" t="s">
        <v>11628</v>
      </c>
      <c r="AD1032" s="364"/>
      <c r="AE1032" s="410"/>
      <c r="AF1032" s="185"/>
      <c r="AG1032" s="410"/>
    </row>
    <row r="1033" spans="1:42" ht="12.75" customHeight="1" x14ac:dyDescent="0.25">
      <c r="A1033" s="1389" t="s">
        <v>3755</v>
      </c>
      <c r="B1033" s="1389" t="s">
        <v>3799</v>
      </c>
      <c r="C1033" s="1398">
        <f t="shared" si="217"/>
        <v>38</v>
      </c>
      <c r="E1033" s="1454"/>
      <c r="F1033" s="977">
        <f t="shared" si="218"/>
        <v>5</v>
      </c>
      <c r="G1033" s="455"/>
      <c r="H1033" s="455"/>
      <c r="I1033" s="455"/>
      <c r="J1033" s="455"/>
      <c r="K1033" s="1381">
        <v>32</v>
      </c>
      <c r="L1033" s="584"/>
      <c r="M1033" s="455"/>
      <c r="N1033" s="455"/>
      <c r="O1033" s="455"/>
      <c r="P1033" s="455"/>
      <c r="Q1033" s="455"/>
      <c r="R1033" s="455"/>
      <c r="S1033" s="455">
        <v>3</v>
      </c>
      <c r="T1033" s="455"/>
      <c r="U1033" s="455">
        <v>1</v>
      </c>
      <c r="V1033" s="455">
        <v>1</v>
      </c>
      <c r="W1033" s="455"/>
      <c r="X1033" s="584"/>
      <c r="Y1033" s="455">
        <v>1</v>
      </c>
      <c r="Z1033" s="80"/>
      <c r="AA1033" s="665"/>
      <c r="AB1033" s="410"/>
      <c r="AC1033" s="846"/>
      <c r="AD1033" s="364"/>
      <c r="AE1033" s="410"/>
      <c r="AF1033" s="185"/>
      <c r="AG1033" s="410"/>
    </row>
    <row r="1034" spans="1:42" ht="12.75" customHeight="1" x14ac:dyDescent="0.25">
      <c r="A1034" s="1389" t="s">
        <v>1794</v>
      </c>
      <c r="B1034" s="1389" t="s">
        <v>3799</v>
      </c>
      <c r="C1034" s="1398">
        <f t="shared" si="217"/>
        <v>39</v>
      </c>
      <c r="E1034" s="1454"/>
      <c r="F1034" s="977">
        <f t="shared" si="218"/>
        <v>5</v>
      </c>
      <c r="G1034" s="455"/>
      <c r="H1034" s="455"/>
      <c r="I1034" s="455"/>
      <c r="J1034" s="455"/>
      <c r="K1034" s="1381">
        <v>33</v>
      </c>
      <c r="L1034" s="584"/>
      <c r="M1034" s="455"/>
      <c r="N1034" s="455"/>
      <c r="O1034" s="455"/>
      <c r="P1034" s="455"/>
      <c r="Q1034" s="455"/>
      <c r="R1034" s="455"/>
      <c r="S1034" s="455">
        <v>3</v>
      </c>
      <c r="T1034" s="455"/>
      <c r="U1034" s="455">
        <v>1</v>
      </c>
      <c r="V1034" s="455">
        <v>1</v>
      </c>
      <c r="W1034" s="455"/>
      <c r="X1034" s="584"/>
      <c r="Y1034" s="455">
        <v>1</v>
      </c>
      <c r="Z1034" s="80"/>
      <c r="AA1034" s="665"/>
      <c r="AB1034" s="410"/>
      <c r="AC1034" s="364"/>
      <c r="AD1034" s="364"/>
      <c r="AE1034" s="364"/>
      <c r="AF1034" s="410"/>
      <c r="AG1034" s="185"/>
      <c r="AH1034" s="410"/>
      <c r="AI1034" s="410"/>
    </row>
    <row r="1035" spans="1:42" ht="12.75" customHeight="1" x14ac:dyDescent="0.25">
      <c r="A1035" s="1370" t="s">
        <v>1796</v>
      </c>
      <c r="B1035" s="1370" t="s">
        <v>1797</v>
      </c>
      <c r="C1035" s="9">
        <f t="shared" si="217"/>
        <v>2</v>
      </c>
      <c r="F1035" s="977">
        <f t="shared" si="218"/>
        <v>2</v>
      </c>
      <c r="G1035" s="455"/>
      <c r="H1035" s="455"/>
      <c r="I1035" s="455"/>
      <c r="J1035" s="455"/>
      <c r="K1035" s="455">
        <v>1</v>
      </c>
      <c r="L1035" s="584">
        <v>1</v>
      </c>
      <c r="M1035" s="455"/>
      <c r="N1035" s="455"/>
      <c r="O1035" s="455"/>
      <c r="P1035" s="455"/>
      <c r="Q1035" s="455"/>
      <c r="R1035" s="455"/>
      <c r="S1035" s="455"/>
      <c r="T1035" s="455"/>
      <c r="U1035" s="455"/>
      <c r="V1035" s="455"/>
      <c r="W1035" s="455"/>
      <c r="X1035" s="584"/>
      <c r="Y1035" s="455"/>
      <c r="Z1035" s="80"/>
      <c r="AA1035" s="665"/>
      <c r="AB1035" s="410"/>
      <c r="AC1035" s="364"/>
      <c r="AD1035" s="364"/>
      <c r="AE1035" s="364"/>
      <c r="AF1035" s="410"/>
      <c r="AG1035" s="185"/>
      <c r="AH1035" s="410"/>
      <c r="AI1035" s="410"/>
    </row>
    <row r="1036" spans="1:42" ht="12.75" customHeight="1" x14ac:dyDescent="0.25">
      <c r="A1036" s="1374" t="s">
        <v>5980</v>
      </c>
      <c r="B1036" s="1374" t="s">
        <v>4818</v>
      </c>
      <c r="C1036" s="9">
        <f t="shared" si="217"/>
        <v>5</v>
      </c>
      <c r="F1036" s="977">
        <f t="shared" si="218"/>
        <v>5</v>
      </c>
      <c r="G1036" s="455"/>
      <c r="H1036" s="455"/>
      <c r="I1036" s="455"/>
      <c r="J1036" s="455"/>
      <c r="K1036" s="455"/>
      <c r="L1036" s="584"/>
      <c r="M1036" s="455"/>
      <c r="N1036" s="455">
        <v>1</v>
      </c>
      <c r="O1036" s="455"/>
      <c r="P1036" s="455">
        <v>1</v>
      </c>
      <c r="Q1036" s="455">
        <v>1</v>
      </c>
      <c r="R1036" s="455">
        <v>1</v>
      </c>
      <c r="S1036" s="455"/>
      <c r="T1036" s="455"/>
      <c r="U1036" s="455"/>
      <c r="V1036" s="455"/>
      <c r="W1036" s="455"/>
      <c r="X1036" s="584"/>
      <c r="Y1036" s="1381">
        <v>1</v>
      </c>
      <c r="Z1036" s="80"/>
      <c r="AA1036" s="665"/>
      <c r="AB1036" s="410"/>
      <c r="AC1036" s="364"/>
      <c r="AD1036" s="364"/>
      <c r="AE1036" s="364"/>
      <c r="AF1036" s="410"/>
      <c r="AG1036" s="185"/>
      <c r="AH1036" s="410"/>
      <c r="AI1036" s="410"/>
    </row>
    <row r="1037" spans="1:42" ht="12.75" customHeight="1" x14ac:dyDescent="0.25">
      <c r="A1037" s="1370" t="s">
        <v>4640</v>
      </c>
      <c r="B1037" s="1370" t="s">
        <v>4641</v>
      </c>
      <c r="C1037" s="9">
        <f t="shared" si="217"/>
        <v>2</v>
      </c>
      <c r="F1037" s="977">
        <f t="shared" si="218"/>
        <v>2</v>
      </c>
      <c r="G1037" s="455"/>
      <c r="H1037" s="455"/>
      <c r="I1037" s="455"/>
      <c r="J1037" s="455"/>
      <c r="K1037" s="455"/>
      <c r="L1037" s="584"/>
      <c r="M1037" s="455"/>
      <c r="N1037" s="455"/>
      <c r="O1037" s="455"/>
      <c r="P1037" s="455"/>
      <c r="Q1037" s="455"/>
      <c r="R1037" s="455"/>
      <c r="S1037" s="455"/>
      <c r="T1037" s="455"/>
      <c r="U1037" s="455"/>
      <c r="V1037" s="455">
        <v>1</v>
      </c>
      <c r="W1037" s="455">
        <v>1</v>
      </c>
      <c r="X1037" s="584"/>
      <c r="Y1037" s="455"/>
      <c r="Z1037" s="80"/>
      <c r="AA1037" s="665"/>
      <c r="AB1037" s="410"/>
      <c r="AC1037" s="364"/>
      <c r="AD1037" s="364"/>
      <c r="AE1037" s="364"/>
      <c r="AF1037" s="410"/>
      <c r="AG1037" s="185"/>
      <c r="AH1037" s="410"/>
      <c r="AI1037" s="410"/>
    </row>
    <row r="1038" spans="1:42" ht="12.75" customHeight="1" x14ac:dyDescent="0.25">
      <c r="A1038" s="1371" t="s">
        <v>665</v>
      </c>
      <c r="B1038" s="1371" t="s">
        <v>666</v>
      </c>
      <c r="C1038" s="9">
        <f t="shared" si="217"/>
        <v>2</v>
      </c>
      <c r="F1038" s="977">
        <f t="shared" si="218"/>
        <v>2</v>
      </c>
      <c r="G1038" s="455"/>
      <c r="H1038" s="455"/>
      <c r="I1038" s="455">
        <v>1</v>
      </c>
      <c r="J1038" s="455"/>
      <c r="K1038" s="455"/>
      <c r="L1038" s="584"/>
      <c r="M1038" s="455"/>
      <c r="N1038" s="455"/>
      <c r="O1038" s="455"/>
      <c r="P1038" s="455">
        <v>1</v>
      </c>
      <c r="Q1038" s="455"/>
      <c r="R1038" s="455"/>
      <c r="S1038" s="455"/>
      <c r="T1038" s="455"/>
      <c r="U1038" s="455"/>
      <c r="V1038" s="455"/>
      <c r="W1038" s="455"/>
      <c r="X1038" s="584"/>
      <c r="Y1038" s="455"/>
      <c r="Z1038" s="80"/>
      <c r="AA1038" s="665"/>
      <c r="AB1038" s="410"/>
      <c r="AC1038" s="364"/>
      <c r="AD1038" s="364"/>
      <c r="AE1038" s="364"/>
      <c r="AF1038" s="410"/>
      <c r="AG1038" s="185"/>
      <c r="AH1038" s="410"/>
      <c r="AI1038" s="410"/>
    </row>
    <row r="1039" spans="1:42" ht="12.75" customHeight="1" x14ac:dyDescent="0.25">
      <c r="A1039" s="1371" t="s">
        <v>4677</v>
      </c>
      <c r="B1039" s="1371" t="s">
        <v>4678</v>
      </c>
      <c r="C1039" s="9">
        <f t="shared" si="217"/>
        <v>1</v>
      </c>
      <c r="F1039" s="977">
        <f t="shared" si="218"/>
        <v>1</v>
      </c>
      <c r="G1039" s="455"/>
      <c r="H1039" s="455"/>
      <c r="I1039" s="455"/>
      <c r="J1039" s="455"/>
      <c r="K1039" s="455"/>
      <c r="L1039" s="584"/>
      <c r="M1039" s="455">
        <v>1</v>
      </c>
      <c r="N1039" s="455"/>
      <c r="O1039" s="455"/>
      <c r="P1039" s="455"/>
      <c r="Q1039" s="455"/>
      <c r="R1039" s="455"/>
      <c r="S1039" s="455"/>
      <c r="T1039" s="455"/>
      <c r="U1039" s="455"/>
      <c r="V1039" s="455"/>
      <c r="W1039" s="455"/>
      <c r="X1039" s="584"/>
      <c r="Y1039" s="455"/>
      <c r="Z1039" s="80"/>
      <c r="AA1039" s="665"/>
      <c r="AB1039" s="410"/>
      <c r="AC1039" s="364"/>
      <c r="AD1039" s="364"/>
      <c r="AE1039" s="364"/>
      <c r="AF1039" s="410"/>
      <c r="AG1039" s="185"/>
      <c r="AH1039" s="410"/>
      <c r="AI1039" s="410"/>
    </row>
    <row r="1040" spans="1:42" ht="12.75" customHeight="1" x14ac:dyDescent="0.25">
      <c r="A1040" s="1374" t="s">
        <v>10186</v>
      </c>
      <c r="B1040" s="1374" t="s">
        <v>10187</v>
      </c>
      <c r="C1040" s="9">
        <f t="shared" si="217"/>
        <v>4</v>
      </c>
      <c r="E1040" s="1454"/>
      <c r="F1040" s="977">
        <f t="shared" si="218"/>
        <v>1</v>
      </c>
      <c r="G1040" s="455"/>
      <c r="H1040" s="1381">
        <v>4</v>
      </c>
      <c r="I1040" s="455"/>
      <c r="J1040" s="455"/>
      <c r="K1040" s="455"/>
      <c r="L1040" s="584"/>
      <c r="M1040" s="455"/>
      <c r="N1040" s="455"/>
      <c r="O1040" s="455"/>
      <c r="P1040" s="455"/>
      <c r="Q1040" s="455"/>
      <c r="R1040" s="455"/>
      <c r="S1040" s="455"/>
      <c r="T1040" s="455"/>
      <c r="U1040" s="455"/>
      <c r="V1040" s="455"/>
      <c r="W1040" s="455"/>
      <c r="X1040" s="584"/>
      <c r="Y1040" s="455"/>
      <c r="Z1040" s="80"/>
      <c r="AA1040" s="665"/>
      <c r="AB1040" s="410"/>
      <c r="AC1040" s="364"/>
      <c r="AD1040" s="364"/>
      <c r="AE1040" s="364"/>
      <c r="AF1040" s="410"/>
      <c r="AG1040" s="185"/>
      <c r="AH1040" s="410"/>
      <c r="AI1040" s="410"/>
    </row>
    <row r="1041" spans="1:42" ht="12.75" customHeight="1" x14ac:dyDescent="0.25">
      <c r="A1041" s="1374" t="s">
        <v>2137</v>
      </c>
      <c r="B1041" s="1374" t="s">
        <v>4943</v>
      </c>
      <c r="C1041" s="9">
        <f t="shared" si="217"/>
        <v>2</v>
      </c>
      <c r="E1041" s="1454"/>
      <c r="F1041" s="977">
        <f t="shared" si="218"/>
        <v>2</v>
      </c>
      <c r="G1041" s="455"/>
      <c r="H1041" s="455"/>
      <c r="I1041" s="455"/>
      <c r="J1041" s="455"/>
      <c r="K1041" s="455"/>
      <c r="L1041" s="584"/>
      <c r="M1041" s="455"/>
      <c r="N1041" s="455"/>
      <c r="O1041" s="455">
        <v>1</v>
      </c>
      <c r="P1041" s="455"/>
      <c r="Q1041" s="455"/>
      <c r="R1041" s="455"/>
      <c r="S1041" s="455"/>
      <c r="T1041" s="455"/>
      <c r="U1041" s="455"/>
      <c r="V1041" s="455"/>
      <c r="W1041" s="455"/>
      <c r="X1041" s="584">
        <v>1</v>
      </c>
      <c r="Y1041" s="455"/>
      <c r="Z1041" s="80"/>
      <c r="AA1041" s="665"/>
      <c r="AB1041" s="410"/>
      <c r="AC1041" s="364"/>
      <c r="AD1041" s="364"/>
      <c r="AE1041" s="364"/>
      <c r="AF1041" s="410"/>
      <c r="AG1041" s="185"/>
      <c r="AH1041" s="410"/>
      <c r="AI1041" s="410"/>
    </row>
    <row r="1042" spans="1:42" ht="12.75" customHeight="1" x14ac:dyDescent="0.25">
      <c r="A1042" s="1374" t="s">
        <v>866</v>
      </c>
      <c r="B1042" s="1374" t="s">
        <v>4635</v>
      </c>
      <c r="C1042" s="9">
        <f>SUM(G1042:AA1042)</f>
        <v>1</v>
      </c>
      <c r="E1042" s="1454">
        <f>COUNT(AA1042:AA1042)</f>
        <v>1</v>
      </c>
      <c r="F1042" s="977">
        <f t="shared" si="218"/>
        <v>0</v>
      </c>
      <c r="G1042" s="455"/>
      <c r="H1042" s="455"/>
      <c r="I1042" s="455"/>
      <c r="J1042" s="455"/>
      <c r="K1042" s="455"/>
      <c r="L1042" s="584"/>
      <c r="M1042" s="455"/>
      <c r="N1042" s="455"/>
      <c r="O1042" s="455"/>
      <c r="P1042" s="455"/>
      <c r="Q1042" s="455"/>
      <c r="R1042" s="455"/>
      <c r="S1042" s="455"/>
      <c r="T1042" s="455"/>
      <c r="U1042" s="455"/>
      <c r="V1042" s="455"/>
      <c r="W1042" s="455"/>
      <c r="X1042" s="584"/>
      <c r="Y1042" s="455"/>
      <c r="Z1042" s="80"/>
      <c r="AA1042" s="646">
        <v>1</v>
      </c>
      <c r="AB1042" s="410"/>
      <c r="AC1042" s="364"/>
      <c r="AD1042" s="364"/>
      <c r="AE1042" s="364"/>
      <c r="AF1042" s="410"/>
      <c r="AG1042" s="185"/>
      <c r="AH1042" s="410"/>
      <c r="AI1042" s="410"/>
    </row>
    <row r="1043" spans="1:42" ht="12.75" customHeight="1" x14ac:dyDescent="0.25">
      <c r="A1043" s="1370" t="s">
        <v>1794</v>
      </c>
      <c r="B1043" s="1370" t="s">
        <v>1795</v>
      </c>
      <c r="C1043" s="9">
        <f t="shared" si="217"/>
        <v>1</v>
      </c>
      <c r="F1043" s="977">
        <f t="shared" si="218"/>
        <v>1</v>
      </c>
      <c r="G1043" s="455"/>
      <c r="H1043" s="455"/>
      <c r="I1043" s="455"/>
      <c r="J1043" s="455"/>
      <c r="K1043" s="455"/>
      <c r="L1043" s="584"/>
      <c r="M1043" s="455"/>
      <c r="N1043" s="455"/>
      <c r="O1043" s="455"/>
      <c r="P1043" s="455"/>
      <c r="Q1043" s="455"/>
      <c r="R1043" s="455"/>
      <c r="S1043" s="455"/>
      <c r="T1043" s="455"/>
      <c r="U1043" s="455"/>
      <c r="V1043" s="455"/>
      <c r="W1043" s="455"/>
      <c r="X1043" s="584">
        <v>1</v>
      </c>
      <c r="Y1043" s="455"/>
      <c r="Z1043" s="80"/>
      <c r="AA1043" s="665"/>
      <c r="AB1043" s="410"/>
      <c r="AC1043" s="364"/>
      <c r="AD1043" s="364"/>
      <c r="AE1043" s="364"/>
      <c r="AF1043" s="410"/>
      <c r="AG1043" s="185"/>
      <c r="AH1043" s="410"/>
      <c r="AI1043" s="410"/>
    </row>
    <row r="1044" spans="1:42" ht="12.75" customHeight="1" x14ac:dyDescent="0.25">
      <c r="A1044" s="1374" t="s">
        <v>5788</v>
      </c>
      <c r="B1044" s="1374" t="s">
        <v>5789</v>
      </c>
      <c r="C1044" s="9">
        <f t="shared" si="217"/>
        <v>1</v>
      </c>
      <c r="F1044" s="977">
        <f t="shared" si="218"/>
        <v>1</v>
      </c>
      <c r="G1044" s="455"/>
      <c r="H1044" s="455"/>
      <c r="I1044" s="455"/>
      <c r="J1044" s="455">
        <v>1</v>
      </c>
      <c r="K1044" s="455"/>
      <c r="L1044" s="584"/>
      <c r="M1044" s="455"/>
      <c r="N1044" s="455"/>
      <c r="O1044" s="455"/>
      <c r="P1044" s="455"/>
      <c r="Q1044" s="455"/>
      <c r="R1044" s="455"/>
      <c r="S1044" s="455"/>
      <c r="T1044" s="455"/>
      <c r="U1044" s="455"/>
      <c r="V1044" s="455"/>
      <c r="W1044" s="455"/>
      <c r="X1044" s="584"/>
      <c r="Y1044" s="455"/>
      <c r="Z1044" s="80"/>
      <c r="AA1044" s="665"/>
      <c r="AB1044" s="410"/>
      <c r="AC1044" s="364"/>
      <c r="AD1044" s="364"/>
      <c r="AE1044" s="364"/>
      <c r="AF1044" s="410"/>
      <c r="AG1044" s="185"/>
      <c r="AH1044" s="410"/>
      <c r="AI1044" s="410"/>
    </row>
    <row r="1045" spans="1:42" ht="12.75" customHeight="1" x14ac:dyDescent="0.25">
      <c r="A1045" s="1371" t="s">
        <v>870</v>
      </c>
      <c r="B1045" s="1371" t="s">
        <v>871</v>
      </c>
      <c r="C1045" s="9">
        <f t="shared" si="217"/>
        <v>1</v>
      </c>
      <c r="F1045" s="977">
        <f t="shared" si="218"/>
        <v>1</v>
      </c>
      <c r="G1045" s="455"/>
      <c r="H1045" s="455"/>
      <c r="I1045" s="455"/>
      <c r="J1045" s="455"/>
      <c r="K1045" s="455"/>
      <c r="L1045" s="584"/>
      <c r="M1045" s="455">
        <v>1</v>
      </c>
      <c r="N1045" s="455"/>
      <c r="O1045" s="455"/>
      <c r="P1045" s="455"/>
      <c r="Q1045" s="455"/>
      <c r="R1045" s="455"/>
      <c r="S1045" s="455"/>
      <c r="T1045" s="455"/>
      <c r="U1045" s="455"/>
      <c r="V1045" s="455"/>
      <c r="W1045" s="455"/>
      <c r="X1045" s="584"/>
      <c r="Y1045" s="455"/>
      <c r="Z1045" s="80"/>
      <c r="AA1045" s="665"/>
      <c r="AB1045" s="410"/>
      <c r="AC1045" s="364"/>
      <c r="AD1045" s="364"/>
      <c r="AE1045" s="364"/>
      <c r="AF1045" s="410"/>
      <c r="AG1045" s="185"/>
      <c r="AH1045" s="410"/>
      <c r="AI1045" s="410"/>
    </row>
    <row r="1046" spans="1:42" ht="12.75" customHeight="1" x14ac:dyDescent="0.25">
      <c r="A1046" s="1374" t="s">
        <v>4259</v>
      </c>
      <c r="B1046" s="1374" t="s">
        <v>440</v>
      </c>
      <c r="C1046" s="9">
        <f t="shared" si="217"/>
        <v>1</v>
      </c>
      <c r="F1046" s="977">
        <f t="shared" si="218"/>
        <v>1</v>
      </c>
      <c r="G1046" s="455"/>
      <c r="H1046" s="455"/>
      <c r="I1046" s="455"/>
      <c r="J1046" s="455"/>
      <c r="K1046" s="455"/>
      <c r="L1046" s="584"/>
      <c r="M1046" s="455"/>
      <c r="N1046" s="455"/>
      <c r="O1046" s="455"/>
      <c r="P1046" s="455"/>
      <c r="Q1046" s="455"/>
      <c r="R1046" s="455"/>
      <c r="S1046" s="455"/>
      <c r="T1046" s="455">
        <v>1</v>
      </c>
      <c r="U1046" s="455"/>
      <c r="V1046" s="455"/>
      <c r="W1046" s="455"/>
      <c r="X1046" s="584"/>
      <c r="Y1046" s="455"/>
      <c r="Z1046" s="80"/>
      <c r="AA1046" s="665"/>
      <c r="AB1046" s="410"/>
      <c r="AC1046" s="364"/>
      <c r="AD1046" s="364"/>
      <c r="AE1046" s="364"/>
      <c r="AF1046" s="410"/>
      <c r="AG1046" s="185"/>
      <c r="AH1046" s="410"/>
      <c r="AI1046" s="410"/>
    </row>
    <row r="1047" spans="1:42" ht="12.75" customHeight="1" x14ac:dyDescent="0.25">
      <c r="C1047" s="20">
        <f>SUM(C1030:C1046)</f>
        <v>105</v>
      </c>
      <c r="F1047" s="670"/>
      <c r="G1047" s="666">
        <f>SUM(G1030:G1046)</f>
        <v>1</v>
      </c>
      <c r="H1047" s="666">
        <f>SUM(H1030:H1046)</f>
        <v>4</v>
      </c>
      <c r="I1047" s="666">
        <f t="shared" ref="I1047:Y1047" si="219">SUM(I1030:I1046)</f>
        <v>1</v>
      </c>
      <c r="J1047" s="666">
        <f t="shared" ref="J1047" si="220">SUM(J1030:J1046)</f>
        <v>1</v>
      </c>
      <c r="K1047" s="666">
        <f t="shared" si="219"/>
        <v>68</v>
      </c>
      <c r="L1047" s="666">
        <f t="shared" si="219"/>
        <v>1</v>
      </c>
      <c r="M1047" s="666">
        <f t="shared" si="219"/>
        <v>2</v>
      </c>
      <c r="N1047" s="666">
        <f t="shared" si="219"/>
        <v>1</v>
      </c>
      <c r="O1047" s="666">
        <f t="shared" si="219"/>
        <v>1</v>
      </c>
      <c r="P1047" s="666">
        <f t="shared" si="219"/>
        <v>2</v>
      </c>
      <c r="Q1047" s="666">
        <f t="shared" si="219"/>
        <v>1</v>
      </c>
      <c r="R1047" s="666">
        <f t="shared" ref="R1047" si="221">SUM(R1030:R1046)</f>
        <v>1</v>
      </c>
      <c r="S1047" s="666">
        <f t="shared" si="219"/>
        <v>8</v>
      </c>
      <c r="T1047" s="666">
        <f t="shared" si="219"/>
        <v>1</v>
      </c>
      <c r="U1047" s="666">
        <f t="shared" si="219"/>
        <v>2</v>
      </c>
      <c r="V1047" s="666">
        <f t="shared" ref="V1047" si="222">SUM(V1030:V1046)</f>
        <v>3</v>
      </c>
      <c r="W1047" s="666">
        <f t="shared" ref="W1047" si="223">SUM(W1030:W1046)</f>
        <v>1</v>
      </c>
      <c r="X1047" s="666">
        <f t="shared" si="219"/>
        <v>2</v>
      </c>
      <c r="Y1047" s="666">
        <f t="shared" si="219"/>
        <v>3</v>
      </c>
      <c r="Z1047" s="80"/>
      <c r="AA1047" s="185"/>
      <c r="AB1047" s="410"/>
      <c r="AC1047" s="410"/>
      <c r="AD1047" s="364"/>
      <c r="AE1047" s="364"/>
      <c r="AF1047" s="364"/>
      <c r="AG1047" s="410"/>
      <c r="AH1047" s="185"/>
      <c r="AI1047" s="185"/>
      <c r="AJ1047" s="410"/>
      <c r="AK1047" s="410"/>
      <c r="AL1047" s="410"/>
      <c r="AM1047" s="410"/>
      <c r="AN1047" s="410"/>
      <c r="AO1047" s="410"/>
      <c r="AP1047" s="410"/>
    </row>
    <row r="1048" spans="1:42" ht="12.75" customHeight="1" x14ac:dyDescent="0.25">
      <c r="C1048" s="9"/>
      <c r="E1048" s="1377">
        <f>COUNT(G1048:Y1048)</f>
        <v>19</v>
      </c>
      <c r="F1048" s="670"/>
      <c r="G1048" s="666">
        <f>COUNT(G1030:G1046)</f>
        <v>1</v>
      </c>
      <c r="H1048" s="666">
        <f>COUNT(H1030:H1046)</f>
        <v>1</v>
      </c>
      <c r="I1048" s="666">
        <f t="shared" ref="I1048:Y1048" si="224">COUNT(I1030:I1046)</f>
        <v>1</v>
      </c>
      <c r="J1048" s="666">
        <f>COUNT(J1030:J1046)</f>
        <v>1</v>
      </c>
      <c r="K1048" s="666">
        <f t="shared" si="224"/>
        <v>5</v>
      </c>
      <c r="L1048" s="666">
        <f t="shared" si="224"/>
        <v>1</v>
      </c>
      <c r="M1048" s="666">
        <f t="shared" si="224"/>
        <v>2</v>
      </c>
      <c r="N1048" s="666">
        <f t="shared" si="224"/>
        <v>1</v>
      </c>
      <c r="O1048" s="666">
        <f t="shared" si="224"/>
        <v>1</v>
      </c>
      <c r="P1048" s="666">
        <f t="shared" si="224"/>
        <v>2</v>
      </c>
      <c r="Q1048" s="666">
        <f t="shared" si="224"/>
        <v>1</v>
      </c>
      <c r="R1048" s="666">
        <f t="shared" ref="R1048" si="225">COUNT(R1030:R1046)</f>
        <v>1</v>
      </c>
      <c r="S1048" s="666">
        <f t="shared" si="224"/>
        <v>4</v>
      </c>
      <c r="T1048" s="666">
        <f t="shared" si="224"/>
        <v>1</v>
      </c>
      <c r="U1048" s="666">
        <f t="shared" si="224"/>
        <v>2</v>
      </c>
      <c r="V1048" s="666">
        <f t="shared" ref="V1048" si="226">COUNT(V1030:V1046)</f>
        <v>3</v>
      </c>
      <c r="W1048" s="666">
        <f t="shared" ref="W1048" si="227">COUNT(W1030:W1046)</f>
        <v>1</v>
      </c>
      <c r="X1048" s="666">
        <f t="shared" si="224"/>
        <v>2</v>
      </c>
      <c r="Y1048" s="666">
        <f t="shared" si="224"/>
        <v>3</v>
      </c>
      <c r="Z1048" s="80"/>
      <c r="AA1048" s="185"/>
      <c r="AB1048" s="410"/>
      <c r="AC1048" s="410"/>
      <c r="AD1048" s="364"/>
      <c r="AE1048" s="364"/>
      <c r="AF1048" s="364"/>
      <c r="AG1048" s="410"/>
      <c r="AH1048" s="185"/>
      <c r="AI1048" s="185"/>
      <c r="AJ1048" s="410"/>
      <c r="AK1048" s="410"/>
      <c r="AL1048" s="410"/>
      <c r="AM1048" s="410"/>
      <c r="AN1048" s="410"/>
      <c r="AO1048" s="410"/>
      <c r="AP1048" s="410"/>
    </row>
    <row r="1049" spans="1:42" ht="12.75" customHeight="1" x14ac:dyDescent="0.25">
      <c r="C1049" s="9"/>
      <c r="F1049" s="670"/>
      <c r="G1049" s="565" t="s">
        <v>2529</v>
      </c>
      <c r="H1049" s="565"/>
      <c r="I1049" s="561" t="s">
        <v>1826</v>
      </c>
      <c r="J1049" s="561"/>
      <c r="K1049" s="667" t="s">
        <v>3225</v>
      </c>
      <c r="L1049" s="896"/>
      <c r="M1049" s="667" t="s">
        <v>3226</v>
      </c>
      <c r="N1049" s="896"/>
      <c r="O1049" s="667" t="s">
        <v>2326</v>
      </c>
      <c r="P1049" s="561"/>
      <c r="Q1049" s="538" t="s">
        <v>4632</v>
      </c>
      <c r="R1049" s="561"/>
      <c r="S1049" s="565" t="s">
        <v>8044</v>
      </c>
      <c r="T1049" s="565"/>
      <c r="U1049" s="538" t="s">
        <v>3856</v>
      </c>
      <c r="V1049" s="538"/>
      <c r="W1049" s="538" t="s">
        <v>9816</v>
      </c>
      <c r="X1049" s="538"/>
      <c r="Y1049" s="565" t="s">
        <v>668</v>
      </c>
      <c r="Z1049" s="185"/>
      <c r="AA1049" s="364"/>
      <c r="AB1049" s="410"/>
      <c r="AC1049" s="410"/>
      <c r="AD1049" s="364"/>
      <c r="AE1049" s="364"/>
      <c r="AF1049" s="364"/>
      <c r="AG1049" s="410"/>
      <c r="AH1049" s="185"/>
      <c r="AI1049" s="185"/>
      <c r="AJ1049" s="410"/>
      <c r="AK1049" s="410"/>
      <c r="AL1049" s="410"/>
      <c r="AM1049" s="410"/>
      <c r="AN1049" s="410"/>
      <c r="AO1049" s="410"/>
      <c r="AP1049" s="410"/>
    </row>
    <row r="1050" spans="1:42" ht="12.75" customHeight="1" x14ac:dyDescent="0.25">
      <c r="C1050" s="9"/>
      <c r="F1050" s="670"/>
      <c r="G1050" s="515"/>
      <c r="H1050" s="558" t="s">
        <v>5834</v>
      </c>
      <c r="I1050" s="606"/>
      <c r="J1050" s="874" t="s">
        <v>11561</v>
      </c>
      <c r="K1050" s="606"/>
      <c r="L1050" s="874" t="s">
        <v>5836</v>
      </c>
      <c r="M1050" s="606"/>
      <c r="N1050" s="668" t="s">
        <v>3227</v>
      </c>
      <c r="O1050" s="606"/>
      <c r="P1050" s="515" t="s">
        <v>7962</v>
      </c>
      <c r="Q1050" s="515"/>
      <c r="R1050" s="558" t="s">
        <v>4633</v>
      </c>
      <c r="S1050" s="558"/>
      <c r="T1050" s="558" t="s">
        <v>4634</v>
      </c>
      <c r="U1050" s="515"/>
      <c r="V1050" s="539" t="s">
        <v>667</v>
      </c>
      <c r="W1050" s="539"/>
      <c r="X1050" s="535" t="s">
        <v>9841</v>
      </c>
      <c r="Y1050" s="515"/>
      <c r="Z1050" s="185"/>
      <c r="AA1050" s="364" t="s">
        <v>5835</v>
      </c>
      <c r="AB1050" s="410"/>
      <c r="AC1050" s="364"/>
      <c r="AD1050" s="364"/>
      <c r="AE1050" s="364"/>
      <c r="AF1050" s="410"/>
      <c r="AG1050" s="185"/>
      <c r="AH1050" s="410"/>
      <c r="AI1050" s="410"/>
    </row>
    <row r="1051" spans="1:42" ht="12.75" customHeight="1" x14ac:dyDescent="0.25">
      <c r="C1051" s="9"/>
      <c r="F1051" s="670"/>
      <c r="G1051" s="870"/>
      <c r="H1051" s="1105">
        <f>Parks!L28</f>
        <v>434</v>
      </c>
      <c r="I1051" s="870"/>
      <c r="J1051" s="1107">
        <f>Parks!L170</f>
        <v>464</v>
      </c>
      <c r="K1051" s="45"/>
      <c r="L1051" s="17"/>
      <c r="M1051" s="45"/>
      <c r="N1051" s="111"/>
      <c r="O1051" s="45"/>
      <c r="P1051" s="185"/>
      <c r="Q1051" s="185"/>
      <c r="R1051" s="410"/>
      <c r="S1051" s="410"/>
      <c r="T1051" s="364"/>
      <c r="U1051" s="185"/>
      <c r="V1051" s="364"/>
      <c r="W1051" s="364"/>
      <c r="X1051" s="185"/>
      <c r="Y1051" s="364"/>
      <c r="Z1051" s="364"/>
      <c r="AA1051" s="410"/>
      <c r="AB1051" s="185"/>
      <c r="AC1051" s="410"/>
    </row>
    <row r="1052" spans="1:42" ht="12.75" customHeight="1" x14ac:dyDescent="0.25">
      <c r="C1052" s="9"/>
      <c r="F1052" s="670"/>
      <c r="G1052" s="870"/>
      <c r="H1052" s="1105"/>
      <c r="I1052" s="870"/>
      <c r="J1052" s="1009"/>
      <c r="K1052" s="870"/>
      <c r="L1052" s="1009"/>
      <c r="M1052" s="870"/>
      <c r="N1052" s="1009"/>
      <c r="O1052" s="1008"/>
      <c r="P1052" s="1009"/>
      <c r="Q1052" s="1008"/>
      <c r="R1052" s="870"/>
      <c r="S1052" s="870"/>
      <c r="T1052" s="1009"/>
      <c r="U1052" s="1009"/>
      <c r="V1052" s="1009"/>
      <c r="W1052" s="870"/>
      <c r="X1052" s="364"/>
      <c r="Y1052" s="364"/>
      <c r="Z1052" s="364"/>
      <c r="AA1052" s="410"/>
      <c r="AB1052" s="185"/>
      <c r="AC1052" s="410"/>
    </row>
    <row r="1053" spans="1:42" ht="12.75" customHeight="1" x14ac:dyDescent="0.25">
      <c r="C1053" s="9"/>
      <c r="F1053" s="670"/>
      <c r="G1053" s="80" t="s">
        <v>8045</v>
      </c>
      <c r="H1053" s="207"/>
      <c r="I1053" s="80"/>
      <c r="J1053" s="207"/>
      <c r="K1053" s="80"/>
      <c r="L1053" s="81"/>
      <c r="M1053" s="80"/>
      <c r="N1053" s="80"/>
      <c r="O1053" s="80"/>
      <c r="P1053" s="80"/>
      <c r="Q1053" s="185"/>
      <c r="R1053" s="185"/>
      <c r="S1053" s="185"/>
      <c r="T1053" s="185"/>
      <c r="U1053" s="185"/>
      <c r="V1053" s="364"/>
      <c r="W1053" s="80" t="s">
        <v>8049</v>
      </c>
      <c r="X1053" s="185"/>
      <c r="Y1053" s="185"/>
      <c r="Z1053" s="410"/>
      <c r="AA1053" s="410"/>
      <c r="AB1053" s="1548"/>
      <c r="AC1053" s="364"/>
      <c r="AD1053" s="364"/>
      <c r="AE1053" s="410"/>
      <c r="AF1053" s="185"/>
      <c r="AG1053" s="410"/>
    </row>
    <row r="1054" spans="1:42" ht="12" customHeight="1" x14ac:dyDescent="0.2">
      <c r="C1054" s="9"/>
      <c r="F1054" s="670"/>
      <c r="G1054" s="553" t="s">
        <v>1675</v>
      </c>
      <c r="H1054" s="560" t="s">
        <v>5007</v>
      </c>
      <c r="I1054" s="1359" t="s">
        <v>13122</v>
      </c>
      <c r="J1054" s="560" t="s">
        <v>2315</v>
      </c>
      <c r="K1054" s="537" t="s">
        <v>4812</v>
      </c>
      <c r="L1054" s="540" t="s">
        <v>2502</v>
      </c>
      <c r="M1054" s="537" t="s">
        <v>2863</v>
      </c>
      <c r="N1054" s="540" t="s">
        <v>1754</v>
      </c>
      <c r="O1054" s="1238" t="s">
        <v>16412</v>
      </c>
      <c r="P1054" s="540" t="s">
        <v>15310</v>
      </c>
      <c r="Q1054" s="1238" t="s">
        <v>4549</v>
      </c>
      <c r="R1054" s="540" t="s">
        <v>2247</v>
      </c>
      <c r="S1054" s="1238" t="s">
        <v>5773</v>
      </c>
      <c r="T1054" s="540" t="s">
        <v>1905</v>
      </c>
      <c r="U1054" s="1238" t="s">
        <v>3111</v>
      </c>
      <c r="V1054" s="540" t="s">
        <v>5893</v>
      </c>
      <c r="W1054" s="1238" t="s">
        <v>1921</v>
      </c>
      <c r="X1054" s="540" t="s">
        <v>3569</v>
      </c>
      <c r="Y1054" s="455" t="s">
        <v>12652</v>
      </c>
      <c r="Z1054" s="1403"/>
      <c r="AA1054" s="42"/>
    </row>
    <row r="1055" spans="1:42" ht="12.75" customHeight="1" x14ac:dyDescent="0.2">
      <c r="A1055" s="1410" t="s">
        <v>2754</v>
      </c>
      <c r="B1055" s="1410" t="s">
        <v>1295</v>
      </c>
      <c r="C1055" s="9">
        <f t="shared" ref="C1055:C1071" si="228">SUM(G1055:AA1055)</f>
        <v>2</v>
      </c>
      <c r="E1055" s="1440">
        <f>COUNT(Y1055:AA1055)</f>
        <v>0</v>
      </c>
      <c r="F1055" s="981">
        <f t="shared" ref="F1055:F1071" si="229">COUNT(G1055:X1055)</f>
        <v>2</v>
      </c>
      <c r="G1055" s="462"/>
      <c r="H1055" s="462"/>
      <c r="I1055" s="462"/>
      <c r="J1055" s="462">
        <v>1</v>
      </c>
      <c r="K1055" s="23"/>
      <c r="L1055" s="23"/>
      <c r="M1055" s="23"/>
      <c r="N1055" s="23"/>
      <c r="O1055" s="23"/>
      <c r="P1055" s="23"/>
      <c r="Q1055" s="23"/>
      <c r="R1055" s="23"/>
      <c r="S1055" s="23"/>
      <c r="T1055" s="23">
        <v>1</v>
      </c>
      <c r="U1055" s="23"/>
      <c r="V1055" s="23"/>
      <c r="W1055" s="23"/>
      <c r="X1055" s="23"/>
      <c r="Y1055" s="1462"/>
      <c r="Z1055" s="1404"/>
      <c r="AC1055" s="80" t="s">
        <v>11609</v>
      </c>
    </row>
    <row r="1056" spans="1:42" ht="12.75" customHeight="1" x14ac:dyDescent="0.2">
      <c r="A1056" s="1410" t="s">
        <v>3508</v>
      </c>
      <c r="B1056" s="1410" t="s">
        <v>1295</v>
      </c>
      <c r="C1056" s="9">
        <f t="shared" si="228"/>
        <v>2</v>
      </c>
      <c r="E1056" s="1440">
        <f>COUNT(Y1056:AA1056)</f>
        <v>0</v>
      </c>
      <c r="F1056" s="981">
        <f t="shared" si="229"/>
        <v>2</v>
      </c>
      <c r="G1056" s="462"/>
      <c r="H1056" s="462"/>
      <c r="I1056" s="462"/>
      <c r="J1056" s="462">
        <v>1</v>
      </c>
      <c r="K1056" s="23"/>
      <c r="L1056" s="23"/>
      <c r="M1056" s="23"/>
      <c r="N1056" s="23"/>
      <c r="O1056" s="23"/>
      <c r="P1056" s="23"/>
      <c r="Q1056" s="23"/>
      <c r="R1056" s="23"/>
      <c r="S1056" s="23"/>
      <c r="T1056" s="23">
        <v>1</v>
      </c>
      <c r="U1056" s="23"/>
      <c r="V1056" s="23"/>
      <c r="W1056" s="23"/>
      <c r="X1056" s="23"/>
      <c r="Y1056" s="1462"/>
      <c r="Z1056" s="1404"/>
    </row>
    <row r="1057" spans="1:43" ht="12.75" customHeight="1" x14ac:dyDescent="0.2">
      <c r="A1057" s="1410" t="s">
        <v>3398</v>
      </c>
      <c r="B1057" s="1410" t="s">
        <v>3399</v>
      </c>
      <c r="C1057" s="9">
        <f t="shared" si="228"/>
        <v>5</v>
      </c>
      <c r="E1057" s="1440"/>
      <c r="F1057" s="981">
        <f t="shared" si="229"/>
        <v>1</v>
      </c>
      <c r="G1057" s="462">
        <v>5</v>
      </c>
      <c r="H1057" s="462"/>
      <c r="I1057" s="462"/>
      <c r="J1057" s="462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1462"/>
      <c r="Z1057" s="1404"/>
    </row>
    <row r="1058" spans="1:43" ht="12.75" customHeight="1" x14ac:dyDescent="0.2">
      <c r="A1058" s="1389" t="s">
        <v>3755</v>
      </c>
      <c r="B1058" s="1389" t="s">
        <v>3799</v>
      </c>
      <c r="C1058" s="9">
        <f t="shared" si="228"/>
        <v>51</v>
      </c>
      <c r="E1058" s="1440"/>
      <c r="F1058" s="981">
        <f t="shared" si="229"/>
        <v>9</v>
      </c>
      <c r="G1058" s="462">
        <v>1</v>
      </c>
      <c r="H1058" s="462"/>
      <c r="I1058" s="462"/>
      <c r="J1058" s="462"/>
      <c r="K1058" s="23">
        <v>2</v>
      </c>
      <c r="L1058" s="23"/>
      <c r="M1058" s="23">
        <v>4</v>
      </c>
      <c r="N1058" s="23">
        <v>1</v>
      </c>
      <c r="O1058" s="23"/>
      <c r="P1058" s="23"/>
      <c r="Q1058" s="23">
        <v>1</v>
      </c>
      <c r="R1058" s="23"/>
      <c r="S1058" s="23">
        <v>1</v>
      </c>
      <c r="T1058" s="23"/>
      <c r="U1058" s="23">
        <v>2</v>
      </c>
      <c r="V1058" s="23">
        <v>38</v>
      </c>
      <c r="W1058" s="23">
        <v>1</v>
      </c>
      <c r="X1058" s="23"/>
      <c r="Y1058" s="1462"/>
      <c r="Z1058" s="1404"/>
    </row>
    <row r="1059" spans="1:43" ht="12.75" customHeight="1" x14ac:dyDescent="0.2">
      <c r="A1059" s="1389" t="s">
        <v>1794</v>
      </c>
      <c r="B1059" s="1389" t="s">
        <v>3799</v>
      </c>
      <c r="C1059" s="9">
        <f t="shared" si="228"/>
        <v>55</v>
      </c>
      <c r="E1059" s="1440"/>
      <c r="F1059" s="981">
        <f t="shared" si="229"/>
        <v>9</v>
      </c>
      <c r="G1059" s="462">
        <v>1</v>
      </c>
      <c r="H1059" s="462"/>
      <c r="I1059" s="462"/>
      <c r="J1059" s="462"/>
      <c r="K1059" s="23">
        <v>2</v>
      </c>
      <c r="L1059" s="23"/>
      <c r="M1059" s="23">
        <v>4</v>
      </c>
      <c r="N1059" s="23">
        <v>1</v>
      </c>
      <c r="O1059" s="23"/>
      <c r="P1059" s="23"/>
      <c r="Q1059" s="23">
        <v>1</v>
      </c>
      <c r="R1059" s="23"/>
      <c r="S1059" s="23">
        <v>1</v>
      </c>
      <c r="T1059" s="23"/>
      <c r="U1059" s="23">
        <v>2</v>
      </c>
      <c r="V1059" s="23">
        <v>42</v>
      </c>
      <c r="W1059" s="23">
        <v>1</v>
      </c>
      <c r="X1059" s="23"/>
      <c r="Y1059" s="1462"/>
      <c r="Z1059" s="1404"/>
    </row>
    <row r="1060" spans="1:43" ht="12.75" customHeight="1" x14ac:dyDescent="0.2">
      <c r="A1060" s="1370" t="s">
        <v>1589</v>
      </c>
      <c r="B1060" s="1370" t="s">
        <v>1590</v>
      </c>
      <c r="C1060" s="9">
        <f t="shared" si="228"/>
        <v>1</v>
      </c>
      <c r="E1060" s="1440"/>
      <c r="F1060" s="981">
        <f t="shared" si="229"/>
        <v>1</v>
      </c>
      <c r="G1060" s="462"/>
      <c r="H1060" s="462"/>
      <c r="I1060" s="462"/>
      <c r="J1060" s="1393">
        <v>1</v>
      </c>
      <c r="K1060" s="1377"/>
      <c r="L1060" s="1377"/>
      <c r="M1060" s="1377"/>
      <c r="N1060" s="1377"/>
      <c r="O1060" s="1377"/>
      <c r="P1060" s="1377"/>
      <c r="Q1060" s="23"/>
      <c r="R1060" s="23"/>
      <c r="S1060" s="23"/>
      <c r="T1060" s="23"/>
      <c r="U1060" s="23"/>
      <c r="V1060" s="23"/>
      <c r="W1060" s="23"/>
      <c r="X1060" s="23"/>
      <c r="Y1060" s="1462"/>
      <c r="Z1060" s="1404"/>
    </row>
    <row r="1061" spans="1:43" ht="12.75" customHeight="1" x14ac:dyDescent="0.2">
      <c r="A1061" s="1370" t="s">
        <v>1796</v>
      </c>
      <c r="B1061" s="1370" t="s">
        <v>1797</v>
      </c>
      <c r="C1061" s="9">
        <f t="shared" si="228"/>
        <v>6</v>
      </c>
      <c r="E1061" s="1440"/>
      <c r="F1061" s="981">
        <f t="shared" si="229"/>
        <v>6</v>
      </c>
      <c r="G1061" s="462"/>
      <c r="H1061" s="462"/>
      <c r="I1061" s="462"/>
      <c r="J1061" s="1393"/>
      <c r="K1061" s="1377"/>
      <c r="L1061" s="1377"/>
      <c r="M1061" s="1377">
        <v>1</v>
      </c>
      <c r="N1061" s="1377"/>
      <c r="O1061" s="1377">
        <v>1</v>
      </c>
      <c r="P1061" s="1377">
        <v>1</v>
      </c>
      <c r="Q1061" s="23">
        <v>1</v>
      </c>
      <c r="R1061" s="23">
        <v>1</v>
      </c>
      <c r="S1061" s="23"/>
      <c r="T1061" s="23"/>
      <c r="U1061" s="23"/>
      <c r="V1061" s="23"/>
      <c r="W1061" s="23"/>
      <c r="X1061" s="23">
        <v>1</v>
      </c>
      <c r="Y1061" s="1462"/>
      <c r="Z1061" s="1404"/>
    </row>
    <row r="1062" spans="1:43" ht="12.75" customHeight="1" x14ac:dyDescent="0.2">
      <c r="A1062" s="1370" t="s">
        <v>5980</v>
      </c>
      <c r="B1062" s="1370" t="s">
        <v>4818</v>
      </c>
      <c r="C1062" s="9">
        <f t="shared" si="228"/>
        <v>1</v>
      </c>
      <c r="E1062" s="1440"/>
      <c r="F1062" s="981">
        <f t="shared" si="229"/>
        <v>1</v>
      </c>
      <c r="G1062" s="462"/>
      <c r="H1062" s="462"/>
      <c r="I1062" s="462"/>
      <c r="J1062" s="462"/>
      <c r="K1062" s="23"/>
      <c r="L1062" s="23"/>
      <c r="M1062" s="23"/>
      <c r="N1062" s="23"/>
      <c r="O1062" s="23"/>
      <c r="P1062" s="23"/>
      <c r="Q1062" s="23"/>
      <c r="R1062" s="23">
        <v>1</v>
      </c>
      <c r="S1062" s="23"/>
      <c r="T1062" s="23"/>
      <c r="U1062" s="23"/>
      <c r="V1062" s="23"/>
      <c r="W1062" s="23"/>
      <c r="X1062" s="23"/>
      <c r="Y1062" s="1462"/>
      <c r="Z1062" s="1404"/>
    </row>
    <row r="1063" spans="1:43" ht="12.75" customHeight="1" x14ac:dyDescent="0.2">
      <c r="A1063" s="1371" t="s">
        <v>665</v>
      </c>
      <c r="B1063" s="1371" t="s">
        <v>666</v>
      </c>
      <c r="C1063" s="9">
        <f t="shared" si="228"/>
        <v>2</v>
      </c>
      <c r="E1063" s="1440"/>
      <c r="F1063" s="981">
        <f t="shared" si="229"/>
        <v>2</v>
      </c>
      <c r="G1063" s="462"/>
      <c r="H1063" s="462"/>
      <c r="I1063" s="462"/>
      <c r="J1063" s="462"/>
      <c r="K1063" s="23"/>
      <c r="L1063" s="23"/>
      <c r="M1063" s="23">
        <v>1</v>
      </c>
      <c r="N1063" s="23"/>
      <c r="O1063" s="23"/>
      <c r="P1063" s="23"/>
      <c r="Q1063" s="23"/>
      <c r="R1063" s="23">
        <v>1</v>
      </c>
      <c r="S1063" s="23"/>
      <c r="T1063" s="23"/>
      <c r="U1063" s="23"/>
      <c r="V1063" s="23"/>
      <c r="W1063" s="23"/>
      <c r="X1063" s="23"/>
      <c r="Y1063" s="1462"/>
      <c r="Z1063" s="1404"/>
    </row>
    <row r="1064" spans="1:43" ht="12.75" customHeight="1" x14ac:dyDescent="0.2">
      <c r="A1064" s="1410" t="s">
        <v>5649</v>
      </c>
      <c r="B1064" s="1410" t="s">
        <v>1047</v>
      </c>
      <c r="C1064" s="9">
        <f t="shared" si="228"/>
        <v>2</v>
      </c>
      <c r="E1064" s="1440"/>
      <c r="F1064" s="981">
        <f t="shared" si="229"/>
        <v>2</v>
      </c>
      <c r="G1064" s="462"/>
      <c r="H1064" s="462"/>
      <c r="I1064" s="462"/>
      <c r="J1064" s="462"/>
      <c r="K1064" s="23"/>
      <c r="L1064" s="23"/>
      <c r="M1064" s="23"/>
      <c r="N1064" s="23">
        <v>1</v>
      </c>
      <c r="O1064" s="23"/>
      <c r="P1064" s="23"/>
      <c r="Q1064" s="23"/>
      <c r="R1064" s="23"/>
      <c r="S1064" s="23"/>
      <c r="T1064" s="23">
        <v>1</v>
      </c>
      <c r="U1064" s="23"/>
      <c r="V1064" s="23"/>
      <c r="W1064" s="23"/>
      <c r="X1064" s="23"/>
      <c r="Y1064" s="1462"/>
      <c r="Z1064" s="1404"/>
    </row>
    <row r="1065" spans="1:43" ht="12.75" customHeight="1" x14ac:dyDescent="0.2">
      <c r="A1065" s="1375" t="s">
        <v>2137</v>
      </c>
      <c r="B1065" s="1375" t="s">
        <v>4943</v>
      </c>
      <c r="C1065" s="9">
        <f t="shared" si="228"/>
        <v>2</v>
      </c>
      <c r="E1065" s="1440"/>
      <c r="F1065" s="981">
        <f t="shared" si="229"/>
        <v>1</v>
      </c>
      <c r="G1065" s="462"/>
      <c r="H1065" s="462"/>
      <c r="I1065" s="462"/>
      <c r="J1065" s="462"/>
      <c r="K1065" s="23"/>
      <c r="L1065" s="23"/>
      <c r="M1065" s="23"/>
      <c r="N1065" s="23"/>
      <c r="O1065" s="23"/>
      <c r="P1065" s="23"/>
      <c r="Q1065" s="23"/>
      <c r="R1065" s="23"/>
      <c r="S1065" s="23"/>
      <c r="T1065" s="1377">
        <v>2</v>
      </c>
      <c r="U1065" s="23"/>
      <c r="V1065" s="23"/>
      <c r="W1065" s="23"/>
      <c r="X1065" s="23"/>
      <c r="Y1065" s="1462"/>
      <c r="Z1065" s="1404"/>
    </row>
    <row r="1066" spans="1:43" ht="12.75" customHeight="1" x14ac:dyDescent="0.25">
      <c r="A1066" s="1374" t="s">
        <v>866</v>
      </c>
      <c r="B1066" s="1374" t="s">
        <v>4635</v>
      </c>
      <c r="C1066" s="9">
        <f t="shared" si="228"/>
        <v>3</v>
      </c>
      <c r="E1066" s="1440"/>
      <c r="F1066" s="981">
        <f t="shared" si="229"/>
        <v>3</v>
      </c>
      <c r="G1066" s="455"/>
      <c r="H1066" s="455">
        <v>1</v>
      </c>
      <c r="I1066" s="455"/>
      <c r="J1066" s="455"/>
      <c r="K1066" s="646"/>
      <c r="L1066" s="455">
        <v>1</v>
      </c>
      <c r="M1066" s="646"/>
      <c r="N1066" s="455"/>
      <c r="O1066" s="455"/>
      <c r="P1066" s="455"/>
      <c r="Q1066" s="1447"/>
      <c r="R1066" s="584"/>
      <c r="S1066" s="455">
        <v>1</v>
      </c>
      <c r="T1066" s="455"/>
      <c r="U1066" s="455"/>
      <c r="V1066" s="455"/>
      <c r="W1066" s="455"/>
      <c r="X1066" s="455"/>
      <c r="Y1066" s="1463"/>
      <c r="Z1066" s="1525"/>
      <c r="AA1066" s="185"/>
      <c r="AB1066" s="185"/>
      <c r="AC1066" s="410"/>
      <c r="AD1066" s="410"/>
      <c r="AE1066" s="364"/>
      <c r="AF1066" s="364"/>
      <c r="AG1066" s="364"/>
      <c r="AH1066" s="410"/>
      <c r="AI1066" s="410"/>
      <c r="AJ1066" s="185"/>
      <c r="AK1066" s="185"/>
      <c r="AL1066" s="185"/>
      <c r="AM1066" s="185"/>
      <c r="AN1066" s="185"/>
      <c r="AO1066" s="185"/>
      <c r="AP1066" s="185"/>
      <c r="AQ1066" s="410"/>
    </row>
    <row r="1067" spans="1:43" ht="12.75" customHeight="1" x14ac:dyDescent="0.25">
      <c r="A1067" s="1370" t="s">
        <v>3535</v>
      </c>
      <c r="B1067" s="1370" t="s">
        <v>12648</v>
      </c>
      <c r="C1067" s="9">
        <f t="shared" si="228"/>
        <v>3</v>
      </c>
      <c r="E1067" s="1440">
        <f>COUNT(Y1067:AA1067)</f>
        <v>1</v>
      </c>
      <c r="F1067" s="981">
        <f t="shared" si="229"/>
        <v>2</v>
      </c>
      <c r="G1067" s="455"/>
      <c r="H1067" s="455"/>
      <c r="I1067" s="455"/>
      <c r="J1067" s="455"/>
      <c r="K1067" s="646"/>
      <c r="L1067" s="455"/>
      <c r="M1067" s="646"/>
      <c r="N1067" s="455"/>
      <c r="O1067" s="455"/>
      <c r="P1067" s="455"/>
      <c r="Q1067" s="1447">
        <v>1</v>
      </c>
      <c r="R1067" s="584"/>
      <c r="S1067" s="455"/>
      <c r="T1067" s="455"/>
      <c r="U1067" s="455"/>
      <c r="V1067" s="455"/>
      <c r="W1067" s="455"/>
      <c r="X1067" s="455">
        <v>1</v>
      </c>
      <c r="Y1067" s="1447">
        <v>1</v>
      </c>
      <c r="Z1067" s="1525"/>
      <c r="AA1067" s="185"/>
      <c r="AB1067" s="185"/>
      <c r="AC1067" s="410"/>
      <c r="AD1067" s="410"/>
      <c r="AE1067" s="364"/>
      <c r="AF1067" s="364"/>
      <c r="AG1067" s="364"/>
      <c r="AH1067" s="410"/>
      <c r="AI1067" s="410"/>
      <c r="AJ1067" s="185"/>
      <c r="AK1067" s="185"/>
      <c r="AL1067" s="185"/>
      <c r="AM1067" s="185"/>
      <c r="AN1067" s="185"/>
      <c r="AO1067" s="185"/>
      <c r="AP1067" s="185"/>
      <c r="AQ1067" s="410"/>
    </row>
    <row r="1068" spans="1:43" ht="12.75" customHeight="1" x14ac:dyDescent="0.25">
      <c r="A1068" s="1370" t="s">
        <v>866</v>
      </c>
      <c r="B1068" s="1370" t="s">
        <v>5543</v>
      </c>
      <c r="C1068" s="9">
        <f t="shared" si="228"/>
        <v>1</v>
      </c>
      <c r="F1068" s="981">
        <f t="shared" si="229"/>
        <v>1</v>
      </c>
      <c r="G1068" s="455"/>
      <c r="H1068" s="455"/>
      <c r="I1068" s="455"/>
      <c r="J1068" s="455"/>
      <c r="K1068" s="646"/>
      <c r="L1068" s="455">
        <v>1</v>
      </c>
      <c r="M1068" s="646"/>
      <c r="N1068" s="455"/>
      <c r="O1068" s="455"/>
      <c r="P1068" s="455"/>
      <c r="Q1068" s="1447"/>
      <c r="R1068" s="584"/>
      <c r="S1068" s="455"/>
      <c r="T1068" s="455"/>
      <c r="U1068" s="455"/>
      <c r="V1068" s="455"/>
      <c r="W1068" s="455"/>
      <c r="X1068" s="455"/>
      <c r="Y1068" s="1463"/>
      <c r="Z1068" s="1525"/>
      <c r="AA1068" s="185"/>
      <c r="AB1068" s="185"/>
      <c r="AC1068" s="410"/>
      <c r="AD1068" s="410"/>
      <c r="AE1068" s="364"/>
      <c r="AF1068" s="364"/>
      <c r="AG1068" s="364"/>
      <c r="AH1068" s="410"/>
      <c r="AI1068" s="410"/>
      <c r="AJ1068" s="185"/>
      <c r="AK1068" s="185"/>
      <c r="AL1068" s="185"/>
      <c r="AM1068" s="185"/>
      <c r="AN1068" s="185"/>
      <c r="AO1068" s="185"/>
      <c r="AP1068" s="185"/>
      <c r="AQ1068" s="410"/>
    </row>
    <row r="1069" spans="1:43" ht="12.75" customHeight="1" x14ac:dyDescent="0.25">
      <c r="A1069" s="1371" t="s">
        <v>864</v>
      </c>
      <c r="B1069" s="1371" t="s">
        <v>865</v>
      </c>
      <c r="C1069" s="9">
        <f t="shared" si="228"/>
        <v>4</v>
      </c>
      <c r="F1069" s="981">
        <f t="shared" si="229"/>
        <v>4</v>
      </c>
      <c r="G1069" s="455"/>
      <c r="H1069" s="455"/>
      <c r="I1069" s="1381">
        <v>1</v>
      </c>
      <c r="J1069" s="1381"/>
      <c r="K1069" s="646"/>
      <c r="L1069" s="455"/>
      <c r="M1069" s="646"/>
      <c r="N1069" s="455"/>
      <c r="O1069" s="455"/>
      <c r="P1069" s="455"/>
      <c r="Q1069" s="1447">
        <v>1</v>
      </c>
      <c r="R1069" s="584">
        <v>1</v>
      </c>
      <c r="S1069" s="455"/>
      <c r="T1069" s="455"/>
      <c r="U1069" s="455"/>
      <c r="V1069" s="455"/>
      <c r="W1069" s="455"/>
      <c r="X1069" s="455">
        <v>1</v>
      </c>
      <c r="Y1069" s="1463"/>
      <c r="Z1069" s="1525"/>
      <c r="AA1069" s="185"/>
      <c r="AB1069" s="185"/>
      <c r="AC1069" s="410"/>
      <c r="AD1069" s="410"/>
      <c r="AE1069" s="364"/>
      <c r="AF1069" s="364"/>
      <c r="AG1069" s="364"/>
      <c r="AH1069" s="410"/>
      <c r="AI1069" s="410"/>
      <c r="AJ1069" s="185"/>
      <c r="AK1069" s="185"/>
      <c r="AL1069" s="185"/>
      <c r="AM1069" s="185"/>
      <c r="AN1069" s="185"/>
      <c r="AO1069" s="185"/>
      <c r="AP1069" s="185"/>
      <c r="AQ1069" s="410"/>
    </row>
    <row r="1070" spans="1:43" ht="12.75" customHeight="1" x14ac:dyDescent="0.25">
      <c r="A1070" s="1389" t="s">
        <v>2929</v>
      </c>
      <c r="B1070" s="1389" t="s">
        <v>68</v>
      </c>
      <c r="C1070" s="9">
        <f t="shared" si="228"/>
        <v>1</v>
      </c>
      <c r="F1070" s="981">
        <f t="shared" si="229"/>
        <v>1</v>
      </c>
      <c r="G1070" s="455"/>
      <c r="H1070" s="455"/>
      <c r="I1070" s="455"/>
      <c r="J1070" s="455"/>
      <c r="K1070" s="646"/>
      <c r="L1070" s="455">
        <v>1</v>
      </c>
      <c r="M1070" s="646"/>
      <c r="N1070" s="455"/>
      <c r="O1070" s="455"/>
      <c r="P1070" s="455"/>
      <c r="Q1070" s="1447"/>
      <c r="R1070" s="584"/>
      <c r="S1070" s="455"/>
      <c r="T1070" s="455"/>
      <c r="U1070" s="455"/>
      <c r="V1070" s="455"/>
      <c r="W1070" s="455"/>
      <c r="X1070" s="455"/>
      <c r="Y1070" s="1463"/>
      <c r="Z1070" s="1525"/>
      <c r="AA1070" s="185"/>
      <c r="AB1070" s="185"/>
      <c r="AC1070" s="410"/>
      <c r="AD1070" s="410"/>
      <c r="AE1070" s="364"/>
      <c r="AF1070" s="364"/>
      <c r="AG1070" s="364"/>
      <c r="AH1070" s="410"/>
      <c r="AI1070" s="410"/>
      <c r="AJ1070" s="185"/>
      <c r="AK1070" s="185"/>
      <c r="AL1070" s="185"/>
      <c r="AM1070" s="185"/>
      <c r="AN1070" s="185"/>
      <c r="AO1070" s="185"/>
      <c r="AP1070" s="185"/>
      <c r="AQ1070" s="410"/>
    </row>
    <row r="1071" spans="1:43" ht="12.75" customHeight="1" x14ac:dyDescent="0.25">
      <c r="A1071" s="1371" t="s">
        <v>2703</v>
      </c>
      <c r="B1071" s="1371" t="s">
        <v>2704</v>
      </c>
      <c r="C1071" s="9">
        <f t="shared" si="228"/>
        <v>1</v>
      </c>
      <c r="F1071" s="981">
        <f t="shared" si="229"/>
        <v>1</v>
      </c>
      <c r="G1071" s="455"/>
      <c r="H1071" s="455"/>
      <c r="I1071" s="455"/>
      <c r="J1071" s="455"/>
      <c r="K1071" s="646"/>
      <c r="L1071" s="455">
        <v>1</v>
      </c>
      <c r="M1071" s="646"/>
      <c r="N1071" s="455"/>
      <c r="O1071" s="455"/>
      <c r="P1071" s="455"/>
      <c r="Q1071" s="584"/>
      <c r="R1071" s="584"/>
      <c r="S1071" s="455"/>
      <c r="T1071" s="455"/>
      <c r="U1071" s="455"/>
      <c r="V1071" s="455"/>
      <c r="W1071" s="455"/>
      <c r="X1071" s="455"/>
      <c r="Y1071" s="1463"/>
      <c r="Z1071" s="1525"/>
      <c r="AA1071" s="185"/>
      <c r="AB1071" s="185"/>
      <c r="AC1071" s="410"/>
      <c r="AD1071" s="410"/>
      <c r="AE1071" s="364"/>
      <c r="AF1071" s="364"/>
      <c r="AG1071" s="364"/>
      <c r="AH1071" s="410"/>
      <c r="AI1071" s="410"/>
      <c r="AJ1071" s="185"/>
      <c r="AK1071" s="185"/>
      <c r="AL1071" s="185"/>
      <c r="AM1071" s="185"/>
      <c r="AN1071" s="185"/>
      <c r="AO1071" s="185"/>
      <c r="AP1071" s="185"/>
      <c r="AQ1071" s="410"/>
    </row>
    <row r="1072" spans="1:43" ht="12.75" customHeight="1" x14ac:dyDescent="0.25">
      <c r="C1072" s="20">
        <f>SUM(C1055:C1071)</f>
        <v>142</v>
      </c>
      <c r="F1072" s="244"/>
      <c r="G1072" s="666">
        <f>SUM(G1055:G1071)</f>
        <v>7</v>
      </c>
      <c r="H1072" s="666">
        <f>SUM(H1055:H1071)</f>
        <v>1</v>
      </c>
      <c r="I1072" s="666">
        <f>SUM(I1055:I1071)</f>
        <v>1</v>
      </c>
      <c r="J1072" s="666">
        <f>SUM(J1055:J1071)</f>
        <v>3</v>
      </c>
      <c r="K1072" s="666">
        <f t="shared" ref="K1072:X1072" si="230">SUM(K1055:K1071)</f>
        <v>4</v>
      </c>
      <c r="L1072" s="666">
        <f t="shared" si="230"/>
        <v>4</v>
      </c>
      <c r="M1072" s="666">
        <f t="shared" si="230"/>
        <v>10</v>
      </c>
      <c r="N1072" s="666">
        <f t="shared" si="230"/>
        <v>3</v>
      </c>
      <c r="O1072" s="666">
        <f t="shared" ref="O1072" si="231">SUM(O1055:O1071)</f>
        <v>1</v>
      </c>
      <c r="P1072" s="666">
        <f t="shared" ref="P1072" si="232">SUM(P1055:P1071)</f>
        <v>1</v>
      </c>
      <c r="Q1072" s="666">
        <f t="shared" si="230"/>
        <v>5</v>
      </c>
      <c r="R1072" s="666">
        <f t="shared" ref="R1072" si="233">SUM(R1055:R1071)</f>
        <v>4</v>
      </c>
      <c r="S1072" s="666">
        <f t="shared" si="230"/>
        <v>3</v>
      </c>
      <c r="T1072" s="666">
        <f t="shared" ref="T1072" si="234">SUM(T1055:T1071)</f>
        <v>5</v>
      </c>
      <c r="U1072" s="666">
        <f t="shared" si="230"/>
        <v>4</v>
      </c>
      <c r="V1072" s="666">
        <f t="shared" si="230"/>
        <v>80</v>
      </c>
      <c r="W1072" s="666">
        <f t="shared" si="230"/>
        <v>2</v>
      </c>
      <c r="X1072" s="666">
        <f t="shared" si="230"/>
        <v>3</v>
      </c>
      <c r="Y1072" s="1463"/>
      <c r="Z1072" s="1525"/>
      <c r="AA1072" s="185"/>
      <c r="AB1072" s="185"/>
      <c r="AC1072" s="410"/>
      <c r="AD1072" s="410"/>
      <c r="AE1072" s="364"/>
      <c r="AF1072" s="364"/>
      <c r="AG1072" s="364"/>
      <c r="AH1072" s="410"/>
      <c r="AI1072" s="410"/>
      <c r="AJ1072" s="185"/>
      <c r="AK1072" s="185"/>
      <c r="AL1072" s="185"/>
      <c r="AM1072" s="185"/>
      <c r="AN1072" s="185"/>
      <c r="AO1072" s="185"/>
      <c r="AP1072" s="185"/>
      <c r="AQ1072" s="410"/>
    </row>
    <row r="1073" spans="1:43" ht="12.75" customHeight="1" x14ac:dyDescent="0.25">
      <c r="C1073" s="9"/>
      <c r="E1073" s="1377">
        <f>COUNT(G1073:X1073)</f>
        <v>18</v>
      </c>
      <c r="F1073" s="244"/>
      <c r="G1073" s="666">
        <f>COUNT(G1055:G1071)</f>
        <v>3</v>
      </c>
      <c r="H1073" s="666">
        <f>COUNT(H1055:H1071)</f>
        <v>1</v>
      </c>
      <c r="I1073" s="666">
        <f>COUNT(I1055:I1071)</f>
        <v>1</v>
      </c>
      <c r="J1073" s="666">
        <f>COUNT(J1055:J1071)</f>
        <v>3</v>
      </c>
      <c r="K1073" s="666">
        <f t="shared" ref="K1073:X1073" si="235">COUNT(K1055:K1071)</f>
        <v>2</v>
      </c>
      <c r="L1073" s="666">
        <f t="shared" si="235"/>
        <v>4</v>
      </c>
      <c r="M1073" s="666">
        <f t="shared" si="235"/>
        <v>4</v>
      </c>
      <c r="N1073" s="666">
        <f t="shared" si="235"/>
        <v>3</v>
      </c>
      <c r="O1073" s="666">
        <f t="shared" ref="O1073" si="236">COUNT(O1055:O1071)</f>
        <v>1</v>
      </c>
      <c r="P1073" s="666">
        <f t="shared" ref="P1073" si="237">COUNT(P1055:P1071)</f>
        <v>1</v>
      </c>
      <c r="Q1073" s="666">
        <f t="shared" si="235"/>
        <v>5</v>
      </c>
      <c r="R1073" s="666">
        <f t="shared" ref="R1073" si="238">COUNT(R1055:R1071)</f>
        <v>4</v>
      </c>
      <c r="S1073" s="666">
        <f t="shared" si="235"/>
        <v>3</v>
      </c>
      <c r="T1073" s="666">
        <f t="shared" ref="T1073" si="239">COUNT(T1055:T1071)</f>
        <v>4</v>
      </c>
      <c r="U1073" s="666">
        <f t="shared" si="235"/>
        <v>2</v>
      </c>
      <c r="V1073" s="666">
        <f t="shared" si="235"/>
        <v>2</v>
      </c>
      <c r="W1073" s="666">
        <f t="shared" si="235"/>
        <v>2</v>
      </c>
      <c r="X1073" s="666">
        <f t="shared" si="235"/>
        <v>3</v>
      </c>
      <c r="Y1073" s="1463"/>
      <c r="Z1073" s="1525"/>
      <c r="AA1073" s="185"/>
      <c r="AB1073" s="185"/>
      <c r="AC1073" s="410"/>
      <c r="AD1073" s="410"/>
      <c r="AE1073" s="364"/>
      <c r="AF1073" s="364"/>
      <c r="AG1073" s="364"/>
      <c r="AH1073" s="410"/>
      <c r="AI1073" s="410"/>
      <c r="AJ1073" s="185"/>
      <c r="AK1073" s="185"/>
      <c r="AL1073" s="185"/>
      <c r="AM1073" s="185"/>
      <c r="AN1073" s="185"/>
      <c r="AO1073" s="185"/>
      <c r="AP1073" s="185"/>
      <c r="AQ1073" s="410"/>
    </row>
    <row r="1074" spans="1:43" ht="12.75" customHeight="1" x14ac:dyDescent="0.25">
      <c r="C1074" s="9"/>
      <c r="F1074" s="244"/>
      <c r="G1074" s="669" t="s">
        <v>8046</v>
      </c>
      <c r="H1074" s="565"/>
      <c r="I1074" s="565" t="s">
        <v>13123</v>
      </c>
      <c r="J1074" s="565"/>
      <c r="K1074" s="538" t="s">
        <v>4834</v>
      </c>
      <c r="L1074" s="538"/>
      <c r="M1074" s="538" t="s">
        <v>4835</v>
      </c>
      <c r="N1074" s="538"/>
      <c r="O1074" s="538" t="s">
        <v>15828</v>
      </c>
      <c r="P1074" s="538"/>
      <c r="Q1074" s="538" t="s">
        <v>8048</v>
      </c>
      <c r="R1074" s="538"/>
      <c r="S1074" s="538" t="s">
        <v>4199</v>
      </c>
      <c r="T1074" s="538"/>
      <c r="U1074" s="538" t="s">
        <v>4201</v>
      </c>
      <c r="V1074" s="538"/>
      <c r="W1074" s="536" t="s">
        <v>5290</v>
      </c>
      <c r="X1074" s="538"/>
      <c r="Y1074" s="364" t="s">
        <v>12653</v>
      </c>
      <c r="Z1074" s="1525"/>
      <c r="AA1074" s="185"/>
      <c r="AB1074" s="185"/>
      <c r="AC1074" s="410"/>
      <c r="AD1074" s="410"/>
      <c r="AE1074" s="364"/>
      <c r="AF1074" s="364"/>
      <c r="AG1074" s="364"/>
      <c r="AH1074" s="410"/>
      <c r="AI1074" s="410"/>
      <c r="AJ1074" s="185"/>
      <c r="AK1074" s="185"/>
      <c r="AL1074" s="185"/>
      <c r="AM1074" s="185"/>
      <c r="AN1074" s="185"/>
      <c r="AO1074" s="185"/>
      <c r="AP1074" s="185"/>
      <c r="AQ1074" s="410"/>
    </row>
    <row r="1075" spans="1:43" ht="12.75" customHeight="1" x14ac:dyDescent="0.25">
      <c r="C1075" s="9"/>
      <c r="F1075" s="244"/>
      <c r="G1075" s="515"/>
      <c r="H1075" s="539" t="s">
        <v>10585</v>
      </c>
      <c r="I1075" s="539"/>
      <c r="J1075" s="539" t="s">
        <v>1032</v>
      </c>
      <c r="K1075" s="515"/>
      <c r="L1075" s="539" t="s">
        <v>8047</v>
      </c>
      <c r="M1075" s="539"/>
      <c r="N1075" s="539" t="s">
        <v>4836</v>
      </c>
      <c r="O1075" s="539"/>
      <c r="P1075" s="539" t="s">
        <v>15205</v>
      </c>
      <c r="Q1075" s="539"/>
      <c r="R1075" s="539" t="s">
        <v>2245</v>
      </c>
      <c r="S1075" s="539"/>
      <c r="T1075" s="539" t="s">
        <v>4200</v>
      </c>
      <c r="U1075" s="558"/>
      <c r="V1075" s="558" t="s">
        <v>4202</v>
      </c>
      <c r="W1075" s="558"/>
      <c r="X1075" s="558" t="s">
        <v>2840</v>
      </c>
      <c r="Y1075" s="364"/>
      <c r="Z1075" s="1525"/>
      <c r="AA1075" s="410"/>
      <c r="AB1075" s="185"/>
      <c r="AC1075" s="410"/>
      <c r="AD1075" s="410"/>
      <c r="AE1075" s="364"/>
      <c r="AF1075" s="364"/>
      <c r="AG1075" s="364"/>
      <c r="AH1075" s="410"/>
      <c r="AI1075" s="410"/>
      <c r="AJ1075" s="185"/>
      <c r="AK1075" s="185"/>
      <c r="AL1075" s="185"/>
      <c r="AM1075" s="185"/>
      <c r="AN1075" s="185"/>
      <c r="AO1075" s="185"/>
      <c r="AP1075" s="185"/>
      <c r="AQ1075" s="410"/>
    </row>
    <row r="1076" spans="1:43" ht="12.75" customHeight="1" x14ac:dyDescent="0.25">
      <c r="C1076" s="9"/>
      <c r="F1076" s="244"/>
      <c r="G1076" s="185"/>
      <c r="H1076" s="185"/>
      <c r="I1076" s="364"/>
      <c r="J1076" s="364"/>
      <c r="K1076" s="364"/>
      <c r="L1076" s="364"/>
      <c r="M1076" s="364"/>
      <c r="N1076" s="364"/>
      <c r="O1076" s="410"/>
      <c r="P1076" s="1406"/>
      <c r="Q1076" s="1406"/>
      <c r="R1076" s="1406"/>
      <c r="S1076" s="1406"/>
      <c r="T1076" s="1406"/>
      <c r="U1076" s="1407"/>
      <c r="V1076" s="1407"/>
      <c r="W1076" s="1407"/>
      <c r="X1076" s="1407"/>
      <c r="Y1076" s="364"/>
      <c r="Z1076" s="364"/>
      <c r="AA1076" s="410"/>
      <c r="AB1076" s="185"/>
      <c r="AC1076" s="410"/>
    </row>
    <row r="1077" spans="1:43" ht="12.75" customHeight="1" x14ac:dyDescent="0.2">
      <c r="C1077" s="9"/>
      <c r="F1077" s="244"/>
    </row>
    <row r="1078" spans="1:43" ht="12.75" customHeight="1" x14ac:dyDescent="0.2">
      <c r="C1078" s="9"/>
      <c r="F1078" s="244"/>
      <c r="G1078" s="2" t="s">
        <v>2753</v>
      </c>
      <c r="H1078" s="2"/>
      <c r="I1078" s="2"/>
      <c r="J1078" s="2"/>
      <c r="K1078" s="2"/>
    </row>
    <row r="1079" spans="1:43" ht="12.75" customHeight="1" x14ac:dyDescent="0.25">
      <c r="C1079" s="9"/>
      <c r="F1079" s="244"/>
      <c r="G1079" s="560" t="s">
        <v>6418</v>
      </c>
      <c r="H1079" s="462"/>
      <c r="I1079" s="200" t="s">
        <v>2931</v>
      </c>
      <c r="J1079" s="201" t="s">
        <v>5629</v>
      </c>
      <c r="K1079" s="200" t="s">
        <v>5680</v>
      </c>
      <c r="L1079" s="516" t="s">
        <v>6097</v>
      </c>
      <c r="M1079" s="508" t="s">
        <v>688</v>
      </c>
      <c r="N1079" s="107"/>
      <c r="O1079" s="356" t="s">
        <v>2756</v>
      </c>
      <c r="P1079" s="356" t="s">
        <v>2946</v>
      </c>
      <c r="Q1079" s="200" t="s">
        <v>684</v>
      </c>
      <c r="R1079" s="540" t="s">
        <v>7918</v>
      </c>
      <c r="S1079" s="577" t="s">
        <v>685</v>
      </c>
      <c r="T1079" s="516" t="s">
        <v>686</v>
      </c>
      <c r="U1079" s="577" t="s">
        <v>690</v>
      </c>
      <c r="V1079" s="656" t="s">
        <v>691</v>
      </c>
      <c r="W1079" s="107"/>
      <c r="X1079" s="186" t="s">
        <v>6454</v>
      </c>
      <c r="Y1079" s="186"/>
      <c r="Z1079" s="186"/>
      <c r="AA1079" s="186"/>
      <c r="AB1079" s="186"/>
      <c r="AC1079" s="186"/>
    </row>
    <row r="1080" spans="1:43" ht="12.75" customHeight="1" x14ac:dyDescent="0.25">
      <c r="A1080" s="1687" t="s">
        <v>3843</v>
      </c>
      <c r="B1080" s="1687" t="s">
        <v>5626</v>
      </c>
      <c r="C1080" s="9">
        <f t="shared" ref="C1080:C1085" si="240">SUM(G1080:V1080)</f>
        <v>40</v>
      </c>
      <c r="E1080" s="2011">
        <f>COUNT(Q1080:V1080)</f>
        <v>6</v>
      </c>
      <c r="F1080" s="976">
        <f t="shared" ref="F1080:F1085" si="241">COUNT(G1080:M1080)</f>
        <v>4</v>
      </c>
      <c r="G1080" s="462"/>
      <c r="H1080" s="462"/>
      <c r="I1080" s="23">
        <v>1</v>
      </c>
      <c r="J1080" s="23">
        <v>1</v>
      </c>
      <c r="K1080" s="23">
        <v>1</v>
      </c>
      <c r="L1080" s="23"/>
      <c r="M1080" s="23">
        <v>8</v>
      </c>
      <c r="O1080" s="356" t="s">
        <v>2755</v>
      </c>
      <c r="P1080" s="356" t="s">
        <v>2946</v>
      </c>
      <c r="Q1080" s="23">
        <v>1</v>
      </c>
      <c r="R1080" s="23">
        <v>1</v>
      </c>
      <c r="S1080" s="23">
        <v>4</v>
      </c>
      <c r="T1080" s="23">
        <v>3</v>
      </c>
      <c r="U1080" s="23">
        <v>1</v>
      </c>
      <c r="V1080" s="23">
        <v>19</v>
      </c>
      <c r="X1080" s="186" t="s">
        <v>4224</v>
      </c>
      <c r="Y1080" s="186"/>
      <c r="Z1080" s="186"/>
      <c r="AA1080" s="186"/>
      <c r="AB1080" s="186"/>
      <c r="AC1080" s="186"/>
    </row>
    <row r="1081" spans="1:43" ht="12.75" customHeight="1" x14ac:dyDescent="0.25">
      <c r="A1081" s="1371" t="s">
        <v>665</v>
      </c>
      <c r="B1081" s="1371" t="s">
        <v>666</v>
      </c>
      <c r="C1081" s="9">
        <f t="shared" si="240"/>
        <v>3</v>
      </c>
      <c r="F1081" s="976">
        <f t="shared" si="241"/>
        <v>3</v>
      </c>
      <c r="G1081" s="462">
        <v>1</v>
      </c>
      <c r="H1081" s="462"/>
      <c r="I1081" s="23">
        <v>1</v>
      </c>
      <c r="J1081" s="23"/>
      <c r="K1081" s="23"/>
      <c r="L1081" s="23">
        <v>1</v>
      </c>
      <c r="M1081" s="23"/>
      <c r="O1081" s="356" t="s">
        <v>2757</v>
      </c>
      <c r="P1081" s="356" t="s">
        <v>2946</v>
      </c>
      <c r="Q1081" s="357"/>
      <c r="R1081" s="357"/>
      <c r="S1081" s="357"/>
      <c r="T1081" s="357"/>
      <c r="U1081" s="357"/>
      <c r="V1081" s="357"/>
      <c r="X1081" s="186" t="s">
        <v>4926</v>
      </c>
      <c r="Y1081" s="186"/>
      <c r="Z1081" s="186"/>
      <c r="AA1081" s="186"/>
      <c r="AB1081" s="186"/>
      <c r="AC1081" s="186"/>
    </row>
    <row r="1082" spans="1:43" ht="12.75" customHeight="1" x14ac:dyDescent="0.25">
      <c r="A1082" s="1370" t="s">
        <v>2416</v>
      </c>
      <c r="B1082" s="1370" t="s">
        <v>2417</v>
      </c>
      <c r="C1082" s="9">
        <f t="shared" si="240"/>
        <v>1</v>
      </c>
      <c r="D1082" s="1371"/>
      <c r="F1082" s="976">
        <f t="shared" si="241"/>
        <v>1</v>
      </c>
      <c r="G1082" s="462"/>
      <c r="H1082" s="462"/>
      <c r="I1082" s="23"/>
      <c r="J1082" s="23">
        <v>1</v>
      </c>
      <c r="K1082" s="23"/>
      <c r="L1082" s="23"/>
      <c r="M1082" s="23"/>
      <c r="O1082" s="356" t="s">
        <v>5566</v>
      </c>
      <c r="P1082" s="356"/>
      <c r="Q1082" s="357"/>
      <c r="R1082" s="357"/>
      <c r="S1082" s="357"/>
      <c r="T1082" s="357"/>
      <c r="U1082" s="357"/>
      <c r="V1082" s="357"/>
      <c r="X1082" s="186"/>
      <c r="Y1082" s="186"/>
      <c r="Z1082" s="186"/>
      <c r="AA1082" s="186"/>
      <c r="AB1082" s="186"/>
      <c r="AC1082" s="186"/>
    </row>
    <row r="1083" spans="1:43" ht="12.75" customHeight="1" x14ac:dyDescent="0.25">
      <c r="A1083" s="1370" t="s">
        <v>866</v>
      </c>
      <c r="B1083" s="1370" t="s">
        <v>2417</v>
      </c>
      <c r="C1083" s="9">
        <f t="shared" si="240"/>
        <v>1</v>
      </c>
      <c r="F1083" s="976">
        <f t="shared" si="241"/>
        <v>1</v>
      </c>
      <c r="G1083" s="462"/>
      <c r="H1083" s="462"/>
      <c r="I1083" s="23"/>
      <c r="J1083" s="23">
        <v>1</v>
      </c>
      <c r="K1083" s="23"/>
      <c r="L1083" s="23"/>
      <c r="M1083" s="23"/>
      <c r="O1083" s="356" t="s">
        <v>4128</v>
      </c>
      <c r="P1083" s="356"/>
      <c r="Q1083" s="357"/>
      <c r="R1083" s="357"/>
      <c r="S1083" s="357"/>
      <c r="T1083" s="357"/>
      <c r="U1083" s="357"/>
      <c r="V1083" s="357"/>
      <c r="X1083" s="186"/>
      <c r="Y1083" s="186"/>
      <c r="Z1083" s="186"/>
      <c r="AA1083" s="186"/>
      <c r="AB1083" s="186"/>
      <c r="AC1083" s="186"/>
    </row>
    <row r="1084" spans="1:43" ht="12.75" customHeight="1" x14ac:dyDescent="0.25">
      <c r="A1084" s="1370" t="s">
        <v>3543</v>
      </c>
      <c r="B1084" s="1370" t="s">
        <v>6122</v>
      </c>
      <c r="C1084" s="9">
        <f t="shared" si="240"/>
        <v>1</v>
      </c>
      <c r="F1084" s="976">
        <f t="shared" si="241"/>
        <v>1</v>
      </c>
      <c r="G1084" s="462"/>
      <c r="H1084" s="462"/>
      <c r="I1084" s="23"/>
      <c r="J1084" s="1377">
        <v>1</v>
      </c>
      <c r="K1084" s="23"/>
      <c r="L1084" s="23"/>
      <c r="M1084" s="23"/>
      <c r="O1084" s="356"/>
      <c r="P1084" s="356"/>
      <c r="Q1084" s="357"/>
      <c r="R1084" s="357"/>
      <c r="S1084" s="357"/>
      <c r="T1084" s="357"/>
      <c r="U1084" s="357"/>
      <c r="V1084" s="357"/>
      <c r="X1084" s="186"/>
      <c r="Y1084" s="186"/>
      <c r="Z1084" s="186"/>
      <c r="AA1084" s="186"/>
      <c r="AB1084" s="186"/>
      <c r="AC1084" s="186"/>
    </row>
    <row r="1085" spans="1:43" ht="12.75" customHeight="1" x14ac:dyDescent="0.25">
      <c r="A1085" s="1687" t="s">
        <v>2754</v>
      </c>
      <c r="B1085" s="1687" t="s">
        <v>5628</v>
      </c>
      <c r="C1085" s="9">
        <f t="shared" si="240"/>
        <v>27</v>
      </c>
      <c r="E1085" s="2011">
        <f>COUNT(Q1085:V1085)</f>
        <v>4</v>
      </c>
      <c r="F1085" s="976">
        <f t="shared" si="241"/>
        <v>4</v>
      </c>
      <c r="G1085" s="462"/>
      <c r="H1085" s="462"/>
      <c r="I1085" s="23">
        <v>1</v>
      </c>
      <c r="J1085" s="23">
        <v>1</v>
      </c>
      <c r="K1085" s="23">
        <v>1</v>
      </c>
      <c r="L1085" s="23"/>
      <c r="M1085" s="23">
        <v>7</v>
      </c>
      <c r="O1085" s="356"/>
      <c r="P1085" s="356"/>
      <c r="Q1085" s="23">
        <v>1</v>
      </c>
      <c r="R1085" s="23"/>
      <c r="S1085" s="23">
        <v>2</v>
      </c>
      <c r="T1085" s="23"/>
      <c r="U1085" s="23">
        <v>1</v>
      </c>
      <c r="V1085" s="23">
        <v>13</v>
      </c>
      <c r="X1085" s="186" t="s">
        <v>8263</v>
      </c>
      <c r="Y1085" s="186"/>
      <c r="Z1085" s="186"/>
      <c r="AA1085" s="186"/>
      <c r="AB1085" s="186"/>
      <c r="AC1085" s="186"/>
    </row>
    <row r="1086" spans="1:43" ht="12.75" customHeight="1" x14ac:dyDescent="0.25">
      <c r="C1086" s="20">
        <f>SUM(C1080:C1085)</f>
        <v>73</v>
      </c>
      <c r="G1086" s="572">
        <f t="shared" ref="G1086:M1086" si="242">SUM(G1080:G1085)</f>
        <v>1</v>
      </c>
      <c r="H1086" s="572"/>
      <c r="I1086" s="572">
        <f t="shared" si="242"/>
        <v>3</v>
      </c>
      <c r="J1086" s="28">
        <f t="shared" si="242"/>
        <v>5</v>
      </c>
      <c r="K1086" s="28">
        <f t="shared" si="242"/>
        <v>2</v>
      </c>
      <c r="L1086" s="28">
        <f t="shared" si="242"/>
        <v>1</v>
      </c>
      <c r="M1086" s="28">
        <f t="shared" si="242"/>
        <v>15</v>
      </c>
      <c r="O1086" s="356"/>
      <c r="P1086" s="356"/>
      <c r="Q1086" s="23"/>
      <c r="R1086" s="23"/>
      <c r="S1086" s="23"/>
      <c r="T1086" s="23"/>
      <c r="U1086" s="23"/>
      <c r="V1086" s="23"/>
      <c r="X1086" s="186"/>
      <c r="Y1086" s="186"/>
      <c r="Z1086" s="186"/>
      <c r="AA1086" s="186"/>
      <c r="AB1086" s="186"/>
      <c r="AC1086" s="186"/>
    </row>
    <row r="1087" spans="1:43" ht="12.75" customHeight="1" x14ac:dyDescent="0.25">
      <c r="C1087" s="9"/>
      <c r="E1087" s="1377">
        <f>COUNT(G1087:M1087)</f>
        <v>6</v>
      </c>
      <c r="G1087" s="572">
        <f t="shared" ref="G1087:M1087" si="243">COUNT(G1080:G1085)</f>
        <v>1</v>
      </c>
      <c r="H1087" s="572"/>
      <c r="I1087" s="572">
        <f t="shared" si="243"/>
        <v>3</v>
      </c>
      <c r="J1087" s="28">
        <f t="shared" si="243"/>
        <v>5</v>
      </c>
      <c r="K1087" s="28">
        <f t="shared" si="243"/>
        <v>2</v>
      </c>
      <c r="L1087" s="28">
        <f t="shared" si="243"/>
        <v>1</v>
      </c>
      <c r="M1087" s="28">
        <f t="shared" si="243"/>
        <v>2</v>
      </c>
      <c r="O1087" s="356"/>
      <c r="P1087" s="356"/>
      <c r="Q1087" s="23"/>
      <c r="R1087" s="23"/>
      <c r="S1087" s="23"/>
      <c r="T1087" s="23"/>
      <c r="U1087" s="23"/>
      <c r="V1087" s="23"/>
      <c r="X1087" s="186" t="s">
        <v>8573</v>
      </c>
      <c r="Y1087" s="186"/>
      <c r="Z1087" s="186"/>
      <c r="AA1087" s="186"/>
      <c r="AB1087" s="186"/>
      <c r="AC1087" s="186"/>
    </row>
    <row r="1088" spans="1:43" ht="12.75" customHeight="1" x14ac:dyDescent="0.25">
      <c r="C1088" s="9"/>
      <c r="G1088" s="41"/>
      <c r="H1088" s="41"/>
      <c r="I1088" s="190" t="s">
        <v>5681</v>
      </c>
      <c r="J1088" s="190"/>
      <c r="K1088" s="190"/>
      <c r="L1088" s="190"/>
      <c r="M1088" s="190" t="s">
        <v>689</v>
      </c>
      <c r="N1088" s="185"/>
      <c r="Q1088" s="565" t="s">
        <v>3083</v>
      </c>
      <c r="R1088" s="565"/>
      <c r="S1088" s="538" t="s">
        <v>2490</v>
      </c>
      <c r="T1088" s="565"/>
      <c r="U1088" s="565" t="s">
        <v>1801</v>
      </c>
      <c r="V1088" s="538"/>
    </row>
    <row r="1089" spans="1:26" ht="12.75" customHeight="1" x14ac:dyDescent="0.25">
      <c r="C1089" s="9"/>
      <c r="G1089" s="535" t="s">
        <v>2079</v>
      </c>
      <c r="H1089" s="535"/>
      <c r="I1089" s="531"/>
      <c r="J1089" s="515" t="s">
        <v>2962</v>
      </c>
      <c r="K1089" s="515"/>
      <c r="L1089" s="539" t="s">
        <v>2963</v>
      </c>
      <c r="M1089" s="191"/>
      <c r="N1089" s="185"/>
      <c r="Q1089" s="191"/>
      <c r="R1089" s="191" t="s">
        <v>1828</v>
      </c>
      <c r="S1089" s="247"/>
      <c r="T1089" s="191" t="s">
        <v>687</v>
      </c>
      <c r="U1089" s="191"/>
      <c r="V1089" s="343" t="s">
        <v>1802</v>
      </c>
    </row>
    <row r="1090" spans="1:26" ht="12.75" customHeight="1" x14ac:dyDescent="0.25">
      <c r="C1090" s="9"/>
      <c r="H1090" s="185"/>
      <c r="I1090" s="185"/>
      <c r="J1090" s="185"/>
      <c r="K1090" s="185"/>
      <c r="N1090" s="185"/>
      <c r="O1090" s="364"/>
      <c r="P1090" s="185"/>
      <c r="Q1090" s="185"/>
      <c r="R1090" s="364"/>
    </row>
    <row r="1091" spans="1:26" ht="12.75" customHeight="1" x14ac:dyDescent="0.25">
      <c r="A1091" s="1390"/>
      <c r="B1091" s="1390"/>
      <c r="C1091" s="9"/>
      <c r="G1091" s="41"/>
      <c r="H1091" s="41"/>
      <c r="I1091" s="41"/>
      <c r="J1091" s="41"/>
      <c r="K1091" s="41"/>
      <c r="L1091" s="41"/>
      <c r="M1091" s="41"/>
      <c r="N1091" s="97"/>
      <c r="P1091" s="185"/>
      <c r="Q1091" s="185"/>
      <c r="R1091" s="185"/>
      <c r="S1091" s="185"/>
      <c r="V1091" s="185"/>
    </row>
    <row r="1092" spans="1:26" ht="12.75" customHeight="1" x14ac:dyDescent="0.25">
      <c r="C1092" s="9"/>
      <c r="G1092" s="97" t="s">
        <v>2179</v>
      </c>
      <c r="H1092" s="41"/>
      <c r="I1092" s="41"/>
      <c r="J1092" s="41"/>
      <c r="K1092" s="41"/>
      <c r="L1092" s="41"/>
      <c r="M1092" s="41"/>
      <c r="N1092" s="41"/>
      <c r="P1092" s="185"/>
      <c r="Q1092" s="185"/>
      <c r="R1092" s="185"/>
      <c r="S1092" s="185"/>
      <c r="V1092" s="185"/>
    </row>
    <row r="1093" spans="1:26" ht="12.75" customHeight="1" x14ac:dyDescent="0.2">
      <c r="C1093" s="9"/>
      <c r="F1093"/>
      <c r="I1093" s="57"/>
      <c r="J1093" s="57"/>
      <c r="L1093" s="57"/>
      <c r="M1093" s="57"/>
      <c r="N1093" s="57"/>
      <c r="O1093" s="57"/>
      <c r="P1093" s="57"/>
      <c r="Q1093" s="57"/>
      <c r="R1093" s="57"/>
      <c r="S1093" s="107"/>
      <c r="T1093" s="107"/>
      <c r="U1093" s="107"/>
      <c r="V1093" s="41"/>
      <c r="W1093" s="41"/>
      <c r="X1093" s="80" t="s">
        <v>8365</v>
      </c>
    </row>
    <row r="1094" spans="1:26" ht="12.75" customHeight="1" x14ac:dyDescent="0.2">
      <c r="C1094" s="9"/>
      <c r="F1094"/>
      <c r="G1094" s="2" t="s">
        <v>10882</v>
      </c>
      <c r="I1094" s="57"/>
      <c r="J1094" s="57"/>
      <c r="K1094" s="57"/>
      <c r="L1094" s="57"/>
      <c r="M1094" s="57"/>
      <c r="N1094" s="57"/>
      <c r="O1094" s="57"/>
      <c r="P1094" s="57"/>
      <c r="Q1094" s="57"/>
      <c r="R1094" s="57"/>
      <c r="S1094" s="107"/>
      <c r="T1094" s="107"/>
      <c r="U1094" s="107"/>
      <c r="V1094" s="41"/>
      <c r="W1094" s="41"/>
    </row>
    <row r="1095" spans="1:26" ht="12.75" customHeight="1" x14ac:dyDescent="0.2">
      <c r="C1095" s="9"/>
      <c r="F1095"/>
      <c r="G1095" s="633" t="s">
        <v>1462</v>
      </c>
      <c r="H1095" s="897" t="s">
        <v>8385</v>
      </c>
      <c r="I1095" s="540" t="s">
        <v>5185</v>
      </c>
      <c r="J1095" s="537" t="s">
        <v>10420</v>
      </c>
      <c r="K1095" s="540" t="s">
        <v>2243</v>
      </c>
      <c r="L1095" s="537" t="s">
        <v>12912</v>
      </c>
      <c r="M1095" s="540" t="s">
        <v>2933</v>
      </c>
      <c r="N1095" s="537" t="s">
        <v>10250</v>
      </c>
      <c r="O1095" s="540" t="s">
        <v>846</v>
      </c>
      <c r="P1095" s="537" t="s">
        <v>5457</v>
      </c>
      <c r="Q1095" s="540" t="s">
        <v>8220</v>
      </c>
      <c r="R1095" s="577" t="s">
        <v>4287</v>
      </c>
      <c r="S1095" s="540" t="s">
        <v>10831</v>
      </c>
      <c r="T1095" s="577" t="s">
        <v>5115</v>
      </c>
      <c r="U1095" s="540" t="s">
        <v>185</v>
      </c>
      <c r="V1095" s="107"/>
      <c r="W1095" s="462" t="s">
        <v>12659</v>
      </c>
      <c r="X1095" s="462" t="s">
        <v>17043</v>
      </c>
      <c r="Y1095" s="1977"/>
      <c r="Z1095" s="80"/>
    </row>
    <row r="1096" spans="1:26" ht="12.75" customHeight="1" x14ac:dyDescent="0.2">
      <c r="A1096" s="1370" t="s">
        <v>3251</v>
      </c>
      <c r="B1096" s="1370" t="s">
        <v>3252</v>
      </c>
      <c r="C1096" s="9">
        <f>SUM(G1096:U1096)</f>
        <v>1</v>
      </c>
      <c r="F1096" s="981">
        <f t="shared" ref="F1096:F1113" si="244">COUNT(G1096:U1096)</f>
        <v>1</v>
      </c>
      <c r="G1096" s="405"/>
      <c r="H1096" s="198">
        <v>1</v>
      </c>
      <c r="I1096" s="36"/>
      <c r="J1096" s="36"/>
      <c r="K1096" s="36"/>
      <c r="L1096" s="36"/>
      <c r="M1096" s="36"/>
      <c r="N1096" s="36"/>
      <c r="O1096" s="36"/>
      <c r="P1096" s="36"/>
      <c r="Q1096" s="473"/>
      <c r="R1096" s="326"/>
      <c r="S1096" s="326"/>
      <c r="T1096" s="326"/>
      <c r="U1096" s="36"/>
      <c r="V1096" s="107"/>
      <c r="W1096" s="1892"/>
      <c r="X1096" s="1892"/>
      <c r="Y1096" s="1697"/>
      <c r="Z1096" s="80" t="s">
        <v>2824</v>
      </c>
    </row>
    <row r="1097" spans="1:26" ht="12.75" customHeight="1" x14ac:dyDescent="0.25">
      <c r="A1097" s="1410" t="s">
        <v>4269</v>
      </c>
      <c r="B1097" s="1410" t="s">
        <v>4270</v>
      </c>
      <c r="C1097" s="9">
        <f>SUM(G1097:U1097)</f>
        <v>3</v>
      </c>
      <c r="F1097" s="981">
        <f t="shared" si="244"/>
        <v>3</v>
      </c>
      <c r="G1097" s="504"/>
      <c r="H1097" s="875"/>
      <c r="I1097" s="23"/>
      <c r="J1097" s="23"/>
      <c r="K1097" s="23"/>
      <c r="L1097" s="23"/>
      <c r="M1097" s="23">
        <v>1</v>
      </c>
      <c r="N1097" s="23"/>
      <c r="O1097" s="23"/>
      <c r="P1097" s="23"/>
      <c r="Q1097" s="344"/>
      <c r="R1097" s="344"/>
      <c r="S1097" s="1438">
        <v>1</v>
      </c>
      <c r="T1097" s="895">
        <v>1</v>
      </c>
      <c r="U1097" s="1555"/>
      <c r="V1097" s="389"/>
      <c r="W1097" s="1968"/>
      <c r="X1097" s="1892"/>
      <c r="Y1097" s="1697"/>
      <c r="Z1097" s="80" t="s">
        <v>8151</v>
      </c>
    </row>
    <row r="1098" spans="1:26" ht="12.75" customHeight="1" x14ac:dyDescent="0.25">
      <c r="A1098" s="1370" t="s">
        <v>3230</v>
      </c>
      <c r="B1098" s="1370" t="s">
        <v>11625</v>
      </c>
      <c r="C1098" s="9">
        <f>SUM(G1098:W1098)</f>
        <v>2</v>
      </c>
      <c r="E1098" s="2012">
        <f>W1098</f>
        <v>1</v>
      </c>
      <c r="F1098" s="981">
        <f t="shared" si="244"/>
        <v>1</v>
      </c>
      <c r="G1098" s="504"/>
      <c r="H1098" s="1249">
        <v>1</v>
      </c>
      <c r="I1098" s="23"/>
      <c r="J1098" s="23"/>
      <c r="K1098" s="23"/>
      <c r="L1098" s="23"/>
      <c r="M1098" s="23"/>
      <c r="N1098" s="23"/>
      <c r="O1098" s="23"/>
      <c r="P1098" s="23"/>
      <c r="Q1098" s="344"/>
      <c r="R1098" s="344"/>
      <c r="S1098" s="344"/>
      <c r="T1098" s="895"/>
      <c r="U1098" s="1555"/>
      <c r="V1098" s="389"/>
      <c r="W1098" s="36">
        <v>1</v>
      </c>
      <c r="X1098" s="1892"/>
      <c r="Y1098" s="1697"/>
      <c r="Z1098" s="80"/>
    </row>
    <row r="1099" spans="1:26" ht="12.75" customHeight="1" x14ac:dyDescent="0.25">
      <c r="A1099" s="1370" t="s">
        <v>859</v>
      </c>
      <c r="B1099" s="1370" t="s">
        <v>860</v>
      </c>
      <c r="C1099" s="9">
        <f>SUM(G1099:W1099)</f>
        <v>2</v>
      </c>
      <c r="E1099" s="1454"/>
      <c r="F1099" s="981">
        <f t="shared" si="244"/>
        <v>1</v>
      </c>
      <c r="G1099" s="504"/>
      <c r="H1099" s="1249"/>
      <c r="I1099" s="23"/>
      <c r="J1099" s="23"/>
      <c r="K1099" s="23"/>
      <c r="L1099" s="1377">
        <v>2</v>
      </c>
      <c r="M1099" s="23"/>
      <c r="N1099" s="23"/>
      <c r="O1099" s="23"/>
      <c r="P1099" s="23"/>
      <c r="Q1099" s="344"/>
      <c r="R1099" s="344"/>
      <c r="S1099" s="344"/>
      <c r="T1099" s="895"/>
      <c r="U1099" s="1555"/>
      <c r="V1099" s="389"/>
      <c r="W1099" s="1968"/>
      <c r="X1099" s="1892"/>
      <c r="Y1099" s="1697"/>
      <c r="Z1099" s="80"/>
    </row>
    <row r="1100" spans="1:26" ht="12.75" customHeight="1" x14ac:dyDescent="0.25">
      <c r="A1100" s="1370" t="s">
        <v>1796</v>
      </c>
      <c r="B1100" s="1370" t="s">
        <v>1797</v>
      </c>
      <c r="C1100" s="9">
        <f t="shared" ref="C1100:C1114" si="245">SUM(G1100:U1100)</f>
        <v>2</v>
      </c>
      <c r="F1100" s="981">
        <f t="shared" si="244"/>
        <v>2</v>
      </c>
      <c r="G1100" s="504"/>
      <c r="H1100" s="875"/>
      <c r="I1100" s="23"/>
      <c r="J1100" s="23"/>
      <c r="K1100" s="23"/>
      <c r="L1100" s="23"/>
      <c r="M1100" s="23"/>
      <c r="N1100" s="23">
        <v>1</v>
      </c>
      <c r="O1100" s="23"/>
      <c r="P1100" s="23"/>
      <c r="Q1100" s="1438">
        <v>1</v>
      </c>
      <c r="R1100" s="344"/>
      <c r="S1100" s="344"/>
      <c r="T1100" s="659"/>
      <c r="U1100" s="1555"/>
      <c r="V1100" s="389"/>
      <c r="W1100" s="1968"/>
      <c r="X1100" s="1892"/>
      <c r="Y1100" s="1697"/>
      <c r="Z1100" s="80" t="s">
        <v>2212</v>
      </c>
    </row>
    <row r="1101" spans="1:26" ht="12.75" customHeight="1" x14ac:dyDescent="0.25">
      <c r="A1101" s="1374" t="s">
        <v>5980</v>
      </c>
      <c r="B1101" s="1374" t="s">
        <v>4818</v>
      </c>
      <c r="C1101" s="9">
        <f t="shared" si="245"/>
        <v>1</v>
      </c>
      <c r="F1101" s="981">
        <f t="shared" si="244"/>
        <v>1</v>
      </c>
      <c r="G1101" s="504"/>
      <c r="H1101" s="875"/>
      <c r="I1101" s="23"/>
      <c r="J1101" s="23"/>
      <c r="K1101" s="23"/>
      <c r="L1101" s="23"/>
      <c r="M1101" s="23"/>
      <c r="N1101" s="23"/>
      <c r="O1101" s="23"/>
      <c r="P1101" s="23"/>
      <c r="Q1101" s="344"/>
      <c r="R1101" s="344"/>
      <c r="S1101" s="344">
        <v>1</v>
      </c>
      <c r="T1101" s="659"/>
      <c r="U1101" s="1555"/>
      <c r="V1101" s="389"/>
      <c r="W1101" s="1968"/>
      <c r="X1101" s="1892"/>
      <c r="Y1101" s="1697"/>
      <c r="Z1101" s="80" t="s">
        <v>8369</v>
      </c>
    </row>
    <row r="1102" spans="1:26" ht="12.75" customHeight="1" x14ac:dyDescent="0.25">
      <c r="A1102" s="1374" t="s">
        <v>5369</v>
      </c>
      <c r="B1102" s="1374" t="s">
        <v>2117</v>
      </c>
      <c r="C1102" s="9">
        <f t="shared" si="245"/>
        <v>1</v>
      </c>
      <c r="F1102" s="981">
        <f t="shared" si="244"/>
        <v>1</v>
      </c>
      <c r="G1102" s="504"/>
      <c r="H1102" s="875"/>
      <c r="I1102" s="23"/>
      <c r="J1102" s="23">
        <v>1</v>
      </c>
      <c r="K1102" s="23"/>
      <c r="L1102" s="23"/>
      <c r="M1102" s="23"/>
      <c r="N1102" s="23"/>
      <c r="O1102" s="23"/>
      <c r="P1102" s="23"/>
      <c r="Q1102" s="344"/>
      <c r="R1102" s="344"/>
      <c r="S1102" s="344"/>
      <c r="T1102" s="659"/>
      <c r="U1102" s="1555"/>
      <c r="V1102" s="389"/>
      <c r="W1102" s="1968"/>
      <c r="X1102" s="1892"/>
      <c r="Y1102" s="1697"/>
      <c r="Z1102" s="80" t="s">
        <v>764</v>
      </c>
    </row>
    <row r="1103" spans="1:26" ht="12.75" customHeight="1" x14ac:dyDescent="0.25">
      <c r="A1103" s="1371" t="s">
        <v>665</v>
      </c>
      <c r="B1103" s="1371" t="s">
        <v>666</v>
      </c>
      <c r="C1103" s="9">
        <f t="shared" si="245"/>
        <v>4</v>
      </c>
      <c r="F1103" s="981">
        <f t="shared" si="244"/>
        <v>4</v>
      </c>
      <c r="G1103" s="504"/>
      <c r="H1103" s="875"/>
      <c r="I1103" s="23">
        <v>1</v>
      </c>
      <c r="J1103" s="23"/>
      <c r="K1103" s="23"/>
      <c r="L1103" s="23"/>
      <c r="M1103" s="23"/>
      <c r="N1103" s="23"/>
      <c r="O1103" s="23">
        <v>1</v>
      </c>
      <c r="P1103" s="23"/>
      <c r="Q1103" s="344">
        <v>1</v>
      </c>
      <c r="R1103" s="344"/>
      <c r="S1103" s="344">
        <v>1</v>
      </c>
      <c r="T1103" s="659"/>
      <c r="U1103" s="1555"/>
      <c r="V1103" s="389"/>
      <c r="W1103" s="1968"/>
      <c r="X1103" s="1892"/>
      <c r="Y1103" s="1697"/>
      <c r="Z1103" s="80" t="s">
        <v>10357</v>
      </c>
    </row>
    <row r="1104" spans="1:26" ht="12.75" customHeight="1" x14ac:dyDescent="0.25">
      <c r="A1104" s="1374" t="s">
        <v>2137</v>
      </c>
      <c r="B1104" s="1374" t="s">
        <v>4943</v>
      </c>
      <c r="C1104" s="9">
        <f t="shared" si="245"/>
        <v>1</v>
      </c>
      <c r="F1104" s="981">
        <f t="shared" si="244"/>
        <v>1</v>
      </c>
      <c r="G1104" s="504"/>
      <c r="H1104" s="875"/>
      <c r="I1104" s="23"/>
      <c r="J1104" s="23"/>
      <c r="K1104" s="23"/>
      <c r="L1104" s="23"/>
      <c r="M1104" s="23"/>
      <c r="N1104" s="23"/>
      <c r="O1104" s="23"/>
      <c r="P1104" s="23"/>
      <c r="Q1104" s="344">
        <v>1</v>
      </c>
      <c r="R1104" s="344"/>
      <c r="S1104" s="344"/>
      <c r="T1104" s="659"/>
      <c r="U1104" s="1555"/>
      <c r="V1104" s="389"/>
      <c r="W1104" s="1968"/>
      <c r="X1104" s="1892"/>
      <c r="Y1104" s="1697"/>
      <c r="Z1104" s="80" t="s">
        <v>8368</v>
      </c>
    </row>
    <row r="1105" spans="1:26" ht="12.75" customHeight="1" x14ac:dyDescent="0.25">
      <c r="A1105" s="1371" t="s">
        <v>2478</v>
      </c>
      <c r="B1105" s="1371" t="s">
        <v>2479</v>
      </c>
      <c r="C1105" s="9">
        <f t="shared" si="245"/>
        <v>2</v>
      </c>
      <c r="F1105" s="981">
        <f t="shared" si="244"/>
        <v>1</v>
      </c>
      <c r="G1105" s="504"/>
      <c r="H1105" s="875"/>
      <c r="I1105" s="23"/>
      <c r="J1105" s="23"/>
      <c r="K1105" s="23"/>
      <c r="L1105" s="23"/>
      <c r="M1105" s="23"/>
      <c r="N1105" s="23"/>
      <c r="O1105" s="23"/>
      <c r="P1105" s="23"/>
      <c r="Q1105" s="344"/>
      <c r="R1105" s="344"/>
      <c r="S1105" s="344"/>
      <c r="T1105" s="895">
        <v>2</v>
      </c>
      <c r="U1105" s="1122"/>
      <c r="V1105" s="185"/>
      <c r="W1105" s="1968"/>
      <c r="X1105" s="1892"/>
      <c r="Y1105" s="1697"/>
      <c r="Z1105" s="80" t="s">
        <v>8367</v>
      </c>
    </row>
    <row r="1106" spans="1:26" ht="12.75" customHeight="1" x14ac:dyDescent="0.25">
      <c r="A1106" s="1389" t="s">
        <v>4878</v>
      </c>
      <c r="B1106" s="1389" t="s">
        <v>3250</v>
      </c>
      <c r="C1106" s="9">
        <f>SUM(G1106:U1106)</f>
        <v>1</v>
      </c>
      <c r="F1106" s="981">
        <f t="shared" si="244"/>
        <v>1</v>
      </c>
      <c r="G1106" s="504"/>
      <c r="H1106" s="875"/>
      <c r="I1106" s="23"/>
      <c r="J1106" s="23"/>
      <c r="K1106" s="23"/>
      <c r="L1106" s="23"/>
      <c r="M1106" s="23"/>
      <c r="N1106" s="23"/>
      <c r="O1106" s="23"/>
      <c r="P1106" s="23"/>
      <c r="Q1106" s="344"/>
      <c r="R1106" s="344">
        <v>1</v>
      </c>
      <c r="S1106" s="344"/>
      <c r="T1106" s="786"/>
      <c r="U1106" s="1556"/>
      <c r="V1106" s="389"/>
      <c r="W1106" s="1968"/>
      <c r="X1106" s="1892"/>
      <c r="Y1106" s="1697"/>
      <c r="Z1106" s="80" t="s">
        <v>1809</v>
      </c>
    </row>
    <row r="1107" spans="1:26" ht="12.75" customHeight="1" x14ac:dyDescent="0.25">
      <c r="A1107" s="1374" t="s">
        <v>16990</v>
      </c>
      <c r="B1107" s="1374" t="s">
        <v>16991</v>
      </c>
      <c r="C1107" s="9">
        <f>SUM(G1107:X1107)</f>
        <v>1</v>
      </c>
      <c r="E1107" s="2012">
        <f>X1107</f>
        <v>1</v>
      </c>
      <c r="F1107" s="981">
        <f t="shared" si="244"/>
        <v>0</v>
      </c>
      <c r="G1107" s="504"/>
      <c r="H1107" s="875"/>
      <c r="I1107" s="23"/>
      <c r="J1107" s="23"/>
      <c r="K1107" s="23"/>
      <c r="L1107" s="23"/>
      <c r="M1107" s="23"/>
      <c r="N1107" s="23"/>
      <c r="O1107" s="23"/>
      <c r="P1107" s="23"/>
      <c r="Q1107" s="344"/>
      <c r="R1107" s="344"/>
      <c r="S1107" s="344"/>
      <c r="T1107" s="786"/>
      <c r="U1107" s="1556"/>
      <c r="V1107" s="389"/>
      <c r="W1107" s="1968"/>
      <c r="X1107" s="462">
        <v>1</v>
      </c>
      <c r="Y1107" s="1697"/>
      <c r="Z1107" s="80"/>
    </row>
    <row r="1108" spans="1:26" ht="12.75" customHeight="1" x14ac:dyDescent="0.25">
      <c r="A1108" s="1371" t="s">
        <v>1794</v>
      </c>
      <c r="B1108" s="1371" t="s">
        <v>1795</v>
      </c>
      <c r="C1108" s="9">
        <f t="shared" si="245"/>
        <v>1</v>
      </c>
      <c r="F1108" s="981">
        <f t="shared" si="244"/>
        <v>1</v>
      </c>
      <c r="G1108" s="504"/>
      <c r="H1108" s="875"/>
      <c r="I1108" s="23"/>
      <c r="J1108" s="23"/>
      <c r="K1108" s="23"/>
      <c r="L1108" s="23"/>
      <c r="M1108" s="23"/>
      <c r="N1108" s="23"/>
      <c r="O1108" s="23"/>
      <c r="P1108" s="23"/>
      <c r="Q1108" s="344"/>
      <c r="R1108" s="344"/>
      <c r="S1108" s="344"/>
      <c r="T1108" s="787"/>
      <c r="U1108" s="455">
        <v>1</v>
      </c>
      <c r="V1108" s="185"/>
      <c r="W1108" s="1968"/>
      <c r="X1108" s="1892"/>
      <c r="Y1108" s="1697"/>
      <c r="Z1108" s="80" t="s">
        <v>4871</v>
      </c>
    </row>
    <row r="1109" spans="1:26" ht="12.75" customHeight="1" x14ac:dyDescent="0.25">
      <c r="A1109" s="1370" t="s">
        <v>3960</v>
      </c>
      <c r="B1109" s="1370" t="s">
        <v>3961</v>
      </c>
      <c r="C1109" s="9">
        <f t="shared" si="245"/>
        <v>1</v>
      </c>
      <c r="F1109" s="981">
        <f t="shared" si="244"/>
        <v>1</v>
      </c>
      <c r="G1109" s="504"/>
      <c r="H1109" s="875"/>
      <c r="I1109" s="23"/>
      <c r="J1109" s="23"/>
      <c r="K1109" s="23">
        <v>1</v>
      </c>
      <c r="L1109" s="23"/>
      <c r="M1109" s="23"/>
      <c r="N1109" s="23"/>
      <c r="O1109" s="23"/>
      <c r="P1109" s="23"/>
      <c r="Q1109" s="127"/>
      <c r="R1109" s="127"/>
      <c r="S1109" s="127"/>
      <c r="T1109" s="660"/>
      <c r="U1109" s="1144"/>
      <c r="V1109" s="185"/>
      <c r="W1109" s="1968"/>
      <c r="X1109" s="1892"/>
      <c r="Y1109" s="1697"/>
      <c r="Z1109" s="80" t="s">
        <v>8366</v>
      </c>
    </row>
    <row r="1110" spans="1:26" ht="12.75" customHeight="1" x14ac:dyDescent="0.25">
      <c r="A1110" s="1389" t="s">
        <v>3820</v>
      </c>
      <c r="B1110" s="1389" t="s">
        <v>3821</v>
      </c>
      <c r="C1110" s="9">
        <f t="shared" si="245"/>
        <v>1</v>
      </c>
      <c r="F1110" s="981">
        <f t="shared" si="244"/>
        <v>1</v>
      </c>
      <c r="G1110" s="504"/>
      <c r="H1110" s="875"/>
      <c r="I1110" s="23">
        <v>1</v>
      </c>
      <c r="J1110" s="23"/>
      <c r="K1110" s="23"/>
      <c r="L1110" s="23"/>
      <c r="M1110" s="23"/>
      <c r="N1110" s="23"/>
      <c r="O1110" s="23"/>
      <c r="P1110" s="23"/>
      <c r="Q1110" s="127"/>
      <c r="R1110" s="127"/>
      <c r="S1110" s="127"/>
      <c r="T1110" s="660"/>
      <c r="U1110" s="1144"/>
      <c r="V1110" s="185"/>
      <c r="W1110" s="1968"/>
      <c r="X1110" s="1892"/>
      <c r="Y1110" s="1697"/>
    </row>
    <row r="1111" spans="1:26" ht="12.75" customHeight="1" x14ac:dyDescent="0.25">
      <c r="A1111" s="1410" t="s">
        <v>3898</v>
      </c>
      <c r="B1111" s="1410" t="s">
        <v>3899</v>
      </c>
      <c r="C1111" s="9">
        <f t="shared" si="245"/>
        <v>19</v>
      </c>
      <c r="F1111" s="981">
        <f t="shared" si="244"/>
        <v>5</v>
      </c>
      <c r="G1111" s="505">
        <v>1</v>
      </c>
      <c r="H1111" s="876"/>
      <c r="I1111" s="1559">
        <v>15</v>
      </c>
      <c r="J1111" s="416"/>
      <c r="K1111" s="416"/>
      <c r="L1111" s="416"/>
      <c r="M1111" s="416"/>
      <c r="N1111" s="416"/>
      <c r="O1111" s="416">
        <v>1</v>
      </c>
      <c r="P1111" s="358">
        <v>1</v>
      </c>
      <c r="Q1111" s="358"/>
      <c r="R1111" s="358">
        <v>1</v>
      </c>
      <c r="S1111" s="127"/>
      <c r="T1111" s="661"/>
      <c r="U1111" s="1144"/>
      <c r="V1111" s="185"/>
      <c r="W1111" s="663"/>
      <c r="X1111" s="1892"/>
      <c r="Y1111" s="1697"/>
    </row>
    <row r="1112" spans="1:26" ht="12.75" customHeight="1" x14ac:dyDescent="0.25">
      <c r="A1112" s="1375" t="s">
        <v>866</v>
      </c>
      <c r="B1112" s="1375" t="s">
        <v>5543</v>
      </c>
      <c r="C1112" s="9">
        <f t="shared" si="245"/>
        <v>1</v>
      </c>
      <c r="F1112" s="981">
        <f t="shared" si="244"/>
        <v>1</v>
      </c>
      <c r="G1112" s="876"/>
      <c r="H1112" s="876"/>
      <c r="I1112" s="1559">
        <v>1</v>
      </c>
      <c r="J1112" s="416"/>
      <c r="K1112" s="416"/>
      <c r="L1112" s="416"/>
      <c r="M1112" s="416"/>
      <c r="N1112" s="416"/>
      <c r="O1112" s="416"/>
      <c r="P1112" s="358"/>
      <c r="Q1112" s="358"/>
      <c r="R1112" s="358"/>
      <c r="S1112" s="127"/>
      <c r="T1112" s="661"/>
      <c r="U1112" s="1144"/>
      <c r="V1112" s="185"/>
      <c r="W1112" s="663"/>
      <c r="X1112" s="1892"/>
      <c r="Y1112" s="1697"/>
    </row>
    <row r="1113" spans="1:26" ht="12.75" customHeight="1" x14ac:dyDescent="0.25">
      <c r="A1113" s="1375" t="s">
        <v>5542</v>
      </c>
      <c r="B1113" s="1375" t="s">
        <v>5543</v>
      </c>
      <c r="C1113" s="9">
        <f t="shared" si="245"/>
        <v>1</v>
      </c>
      <c r="F1113" s="981">
        <f t="shared" si="244"/>
        <v>1</v>
      </c>
      <c r="G1113" s="876"/>
      <c r="H1113" s="876"/>
      <c r="I1113" s="1559">
        <v>1</v>
      </c>
      <c r="J1113" s="416"/>
      <c r="K1113" s="416"/>
      <c r="L1113" s="416"/>
      <c r="M1113" s="416"/>
      <c r="N1113" s="416"/>
      <c r="O1113" s="416"/>
      <c r="P1113" s="358"/>
      <c r="Q1113" s="358"/>
      <c r="R1113" s="358"/>
      <c r="S1113" s="127"/>
      <c r="T1113" s="661"/>
      <c r="U1113" s="1144"/>
      <c r="V1113" s="185"/>
      <c r="W1113" s="663"/>
      <c r="X1113" s="1892"/>
      <c r="Y1113" s="1697"/>
    </row>
    <row r="1114" spans="1:26" ht="12.75" customHeight="1" x14ac:dyDescent="0.25">
      <c r="A1114" s="1375" t="s">
        <v>2703</v>
      </c>
      <c r="B1114" s="1375" t="s">
        <v>2704</v>
      </c>
      <c r="C1114" s="9">
        <f t="shared" si="245"/>
        <v>1</v>
      </c>
      <c r="F1114" s="981">
        <f>COUNT(G1114:U1114)</f>
        <v>1</v>
      </c>
      <c r="G1114" s="876"/>
      <c r="H1114" s="876"/>
      <c r="I1114" s="1559">
        <v>1</v>
      </c>
      <c r="J1114" s="416"/>
      <c r="K1114" s="416"/>
      <c r="L1114" s="416"/>
      <c r="M1114" s="416"/>
      <c r="N1114" s="416"/>
      <c r="O1114" s="416"/>
      <c r="P1114" s="358"/>
      <c r="Q1114" s="358"/>
      <c r="R1114" s="358"/>
      <c r="S1114" s="127"/>
      <c r="T1114" s="661"/>
      <c r="U1114" s="1144"/>
      <c r="V1114" s="185"/>
      <c r="W1114" s="663"/>
      <c r="X1114" s="1892"/>
      <c r="Y1114" s="1697"/>
    </row>
    <row r="1115" spans="1:26" ht="12.75" customHeight="1" x14ac:dyDescent="0.2">
      <c r="C1115" s="20">
        <f>SUM(C1096:C1114)</f>
        <v>46</v>
      </c>
      <c r="F1115"/>
      <c r="G1115" s="28">
        <f>SUM(G1096:G1114)</f>
        <v>1</v>
      </c>
      <c r="H1115" s="28">
        <f t="shared" ref="H1115:U1115" si="246">SUM(H1096:H1114)</f>
        <v>2</v>
      </c>
      <c r="I1115" s="28">
        <f t="shared" si="246"/>
        <v>20</v>
      </c>
      <c r="J1115" s="28">
        <f t="shared" si="246"/>
        <v>1</v>
      </c>
      <c r="K1115" s="28">
        <f t="shared" si="246"/>
        <v>1</v>
      </c>
      <c r="L1115" s="28">
        <f t="shared" si="246"/>
        <v>2</v>
      </c>
      <c r="M1115" s="28">
        <f t="shared" si="246"/>
        <v>1</v>
      </c>
      <c r="N1115" s="28">
        <f t="shared" si="246"/>
        <v>1</v>
      </c>
      <c r="O1115" s="28">
        <f t="shared" si="246"/>
        <v>2</v>
      </c>
      <c r="P1115" s="28">
        <f t="shared" si="246"/>
        <v>1</v>
      </c>
      <c r="Q1115" s="28">
        <f t="shared" si="246"/>
        <v>3</v>
      </c>
      <c r="R1115" s="28">
        <f t="shared" si="246"/>
        <v>2</v>
      </c>
      <c r="S1115" s="28">
        <f t="shared" si="246"/>
        <v>3</v>
      </c>
      <c r="T1115" s="28">
        <f t="shared" si="246"/>
        <v>3</v>
      </c>
      <c r="U1115" s="28">
        <f t="shared" si="246"/>
        <v>1</v>
      </c>
      <c r="W1115" s="663"/>
      <c r="X1115" s="1892"/>
      <c r="Y1115" s="1697"/>
    </row>
    <row r="1116" spans="1:26" ht="12.75" customHeight="1" x14ac:dyDescent="0.2">
      <c r="C1116" s="9"/>
      <c r="E1116" s="1377">
        <f>COUNT(G1116:V1116)</f>
        <v>15</v>
      </c>
      <c r="F1116"/>
      <c r="G1116" s="28">
        <f>COUNT(G1096:G1114)</f>
        <v>1</v>
      </c>
      <c r="H1116" s="28">
        <f t="shared" ref="H1116:U1116" si="247">COUNT(H1096:H1114)</f>
        <v>2</v>
      </c>
      <c r="I1116" s="28">
        <f t="shared" si="247"/>
        <v>6</v>
      </c>
      <c r="J1116" s="28">
        <f t="shared" si="247"/>
        <v>1</v>
      </c>
      <c r="K1116" s="28">
        <f t="shared" si="247"/>
        <v>1</v>
      </c>
      <c r="L1116" s="28">
        <f t="shared" si="247"/>
        <v>1</v>
      </c>
      <c r="M1116" s="28">
        <f t="shared" si="247"/>
        <v>1</v>
      </c>
      <c r="N1116" s="28">
        <f t="shared" si="247"/>
        <v>1</v>
      </c>
      <c r="O1116" s="28">
        <f t="shared" si="247"/>
        <v>2</v>
      </c>
      <c r="P1116" s="28">
        <f t="shared" si="247"/>
        <v>1</v>
      </c>
      <c r="Q1116" s="28">
        <f t="shared" si="247"/>
        <v>3</v>
      </c>
      <c r="R1116" s="28">
        <f t="shared" si="247"/>
        <v>2</v>
      </c>
      <c r="S1116" s="28">
        <f t="shared" si="247"/>
        <v>3</v>
      </c>
      <c r="T1116" s="28">
        <f t="shared" si="247"/>
        <v>2</v>
      </c>
      <c r="U1116" s="28">
        <f t="shared" si="247"/>
        <v>1</v>
      </c>
      <c r="W1116" s="663"/>
      <c r="X1116" s="1892"/>
      <c r="Y1116" s="1978"/>
    </row>
    <row r="1117" spans="1:26" ht="12.75" customHeight="1" x14ac:dyDescent="0.25">
      <c r="C1117" s="9"/>
      <c r="G1117" s="878"/>
      <c r="H1117" s="538" t="s">
        <v>2825</v>
      </c>
      <c r="I1117" s="565"/>
      <c r="J1117" s="565" t="s">
        <v>10419</v>
      </c>
      <c r="K1117" s="565"/>
      <c r="L1117" s="538" t="s">
        <v>12909</v>
      </c>
      <c r="M1117" s="538"/>
      <c r="N1117" s="538" t="s">
        <v>10252</v>
      </c>
      <c r="O1117" s="538"/>
      <c r="P1117" s="561" t="s">
        <v>8410</v>
      </c>
      <c r="Q1117" s="561"/>
      <c r="R1117" s="538" t="s">
        <v>4286</v>
      </c>
      <c r="S1117" s="538"/>
      <c r="T1117" s="538" t="s">
        <v>4535</v>
      </c>
      <c r="U1117" s="561"/>
      <c r="W1117" s="364" t="s">
        <v>12660</v>
      </c>
      <c r="X1117" s="185"/>
    </row>
    <row r="1118" spans="1:26" ht="12.75" customHeight="1" x14ac:dyDescent="0.25">
      <c r="C1118" s="9"/>
      <c r="G1118" s="539" t="s">
        <v>1477</v>
      </c>
      <c r="H1118" s="877"/>
      <c r="I1118" s="515" t="s">
        <v>5186</v>
      </c>
      <c r="J1118" s="515"/>
      <c r="K1118" s="515" t="s">
        <v>8553</v>
      </c>
      <c r="L1118" s="515"/>
      <c r="M1118" s="539" t="s">
        <v>806</v>
      </c>
      <c r="N1118" s="539"/>
      <c r="O1118" s="539" t="s">
        <v>646</v>
      </c>
      <c r="P1118" s="558"/>
      <c r="Q1118" s="558" t="s">
        <v>8223</v>
      </c>
      <c r="R1118" s="558"/>
      <c r="S1118" s="539" t="s">
        <v>10793</v>
      </c>
      <c r="T1118" s="539"/>
      <c r="U1118" s="558" t="s">
        <v>7938</v>
      </c>
      <c r="V1118" s="410"/>
      <c r="W1118" s="410"/>
      <c r="X1118" s="410" t="s">
        <v>8367</v>
      </c>
    </row>
    <row r="1119" spans="1:26" ht="12.75" customHeight="1" x14ac:dyDescent="0.25">
      <c r="A1119" s="1390"/>
      <c r="B1119" s="1390"/>
      <c r="C1119" s="9"/>
      <c r="K1119" s="185"/>
      <c r="L1119" s="1418"/>
      <c r="M1119" s="1406"/>
      <c r="N1119" s="1406"/>
      <c r="O1119" s="1406"/>
      <c r="P1119" s="1407"/>
      <c r="Q1119" s="1407"/>
      <c r="R1119" s="1407"/>
      <c r="S1119" s="1406"/>
      <c r="T1119" s="1406"/>
      <c r="U1119" s="1407"/>
    </row>
    <row r="1120" spans="1:26" ht="12.75" customHeight="1" x14ac:dyDescent="0.25">
      <c r="A1120" s="1390"/>
      <c r="B1120" s="1390"/>
      <c r="C1120" s="9"/>
      <c r="E1120" s="1370"/>
      <c r="L1120" s="185"/>
      <c r="M1120" s="364"/>
      <c r="N1120" s="364"/>
      <c r="O1120" s="410"/>
      <c r="P1120" s="410"/>
      <c r="Q1120" s="364"/>
      <c r="R1120" s="410"/>
      <c r="S1120" s="410"/>
    </row>
    <row r="1121" spans="1:23" ht="12.75" customHeight="1" x14ac:dyDescent="0.25">
      <c r="A1121" s="1390"/>
      <c r="B1121" s="1390"/>
      <c r="C1121" s="9"/>
      <c r="F1121"/>
      <c r="G1121" s="97" t="s">
        <v>10879</v>
      </c>
      <c r="H1121" s="6"/>
      <c r="K1121" s="1348"/>
      <c r="L1121" s="185"/>
      <c r="M1121" s="185"/>
      <c r="N1121" s="185"/>
      <c r="O1121" s="364"/>
      <c r="P1121" s="364"/>
      <c r="Q1121" s="364"/>
      <c r="R1121" s="410"/>
      <c r="S1121" s="410"/>
      <c r="T1121" s="364"/>
      <c r="U1121" s="410"/>
      <c r="V1121" s="410"/>
    </row>
    <row r="1122" spans="1:23" ht="12.75" customHeight="1" x14ac:dyDescent="0.25">
      <c r="A1122" s="1390"/>
      <c r="B1122" s="1390"/>
      <c r="C1122" s="9"/>
      <c r="G1122" s="188" t="s">
        <v>4503</v>
      </c>
      <c r="H1122" s="560" t="s">
        <v>5309</v>
      </c>
      <c r="I1122" s="553" t="s">
        <v>5373</v>
      </c>
      <c r="J1122" s="560" t="s">
        <v>2067</v>
      </c>
      <c r="K1122" s="553" t="s">
        <v>1749</v>
      </c>
      <c r="L1122" s="560" t="s">
        <v>1111</v>
      </c>
      <c r="M1122" s="553" t="s">
        <v>5116</v>
      </c>
      <c r="N1122" s="560" t="s">
        <v>747</v>
      </c>
      <c r="O1122" s="553" t="s">
        <v>5313</v>
      </c>
      <c r="P1122" s="560" t="s">
        <v>10329</v>
      </c>
      <c r="Q1122" s="553" t="s">
        <v>17075</v>
      </c>
      <c r="R1122" s="560" t="s">
        <v>10877</v>
      </c>
      <c r="S1122" s="410"/>
      <c r="T1122" s="410"/>
      <c r="U1122" s="80"/>
      <c r="V1122" s="410"/>
      <c r="W1122" s="410"/>
    </row>
    <row r="1123" spans="1:23" ht="12.75" customHeight="1" x14ac:dyDescent="0.25">
      <c r="A1123" s="1370" t="s">
        <v>481</v>
      </c>
      <c r="B1123" s="1370" t="s">
        <v>4575</v>
      </c>
      <c r="C1123" s="9">
        <f t="shared" ref="C1123:C1136" si="248">SUM(G1123:R1123)</f>
        <v>1</v>
      </c>
      <c r="F1123" s="991">
        <f t="shared" ref="F1123:F1136" si="249">COUNT(G1123:R1123)</f>
        <v>1</v>
      </c>
      <c r="G1123" s="455"/>
      <c r="H1123" s="455"/>
      <c r="I1123" s="455"/>
      <c r="J1123" s="455"/>
      <c r="K1123" s="455"/>
      <c r="L1123" s="455"/>
      <c r="M1123" s="497"/>
      <c r="N1123" s="497"/>
      <c r="O1123" s="497"/>
      <c r="P1123" s="974">
        <v>1</v>
      </c>
      <c r="Q1123" s="974"/>
      <c r="R1123" s="974"/>
      <c r="S1123" s="410"/>
      <c r="T1123" s="410"/>
      <c r="U1123" s="80"/>
      <c r="V1123" s="410"/>
      <c r="W1123" s="410"/>
    </row>
    <row r="1124" spans="1:23" ht="12.75" customHeight="1" x14ac:dyDescent="0.25">
      <c r="A1124" s="1370" t="s">
        <v>7908</v>
      </c>
      <c r="B1124" s="1370" t="s">
        <v>7907</v>
      </c>
      <c r="C1124" s="9">
        <f t="shared" si="248"/>
        <v>1</v>
      </c>
      <c r="F1124" s="991">
        <f t="shared" si="249"/>
        <v>1</v>
      </c>
      <c r="G1124" s="455"/>
      <c r="H1124" s="455"/>
      <c r="I1124" s="455"/>
      <c r="J1124" s="1381">
        <v>1</v>
      </c>
      <c r="K1124" s="1381"/>
      <c r="L1124" s="455"/>
      <c r="M1124" s="497"/>
      <c r="N1124" s="497"/>
      <c r="O1124" s="497"/>
      <c r="P1124" s="974"/>
      <c r="Q1124" s="974"/>
      <c r="R1124" s="974"/>
      <c r="S1124" s="410"/>
      <c r="T1124" s="410"/>
      <c r="U1124" s="80"/>
      <c r="V1124" s="410"/>
      <c r="W1124" s="410"/>
    </row>
    <row r="1125" spans="1:23" ht="12.75" customHeight="1" x14ac:dyDescent="0.25">
      <c r="A1125" s="1370" t="s">
        <v>260</v>
      </c>
      <c r="B1125" s="1370" t="s">
        <v>7907</v>
      </c>
      <c r="C1125" s="9">
        <f t="shared" si="248"/>
        <v>1</v>
      </c>
      <c r="F1125" s="991">
        <f t="shared" si="249"/>
        <v>1</v>
      </c>
      <c r="G1125" s="455"/>
      <c r="H1125" s="455"/>
      <c r="I1125" s="455"/>
      <c r="J1125" s="1381">
        <v>1</v>
      </c>
      <c r="K1125" s="1381"/>
      <c r="L1125" s="455"/>
      <c r="M1125" s="497"/>
      <c r="N1125" s="497"/>
      <c r="O1125" s="497"/>
      <c r="P1125" s="974"/>
      <c r="Q1125" s="974"/>
      <c r="R1125" s="974"/>
      <c r="S1125" s="410"/>
      <c r="T1125" s="410"/>
      <c r="U1125" s="80"/>
      <c r="V1125" s="410"/>
      <c r="W1125" s="410"/>
    </row>
    <row r="1126" spans="1:23" ht="12.75" customHeight="1" x14ac:dyDescent="0.25">
      <c r="A1126" s="1389" t="s">
        <v>3755</v>
      </c>
      <c r="B1126" s="1389" t="s">
        <v>3799</v>
      </c>
      <c r="C1126" s="9">
        <f t="shared" si="248"/>
        <v>1</v>
      </c>
      <c r="F1126" s="991">
        <f t="shared" si="249"/>
        <v>1</v>
      </c>
      <c r="G1126" s="455"/>
      <c r="H1126" s="455"/>
      <c r="I1126" s="455"/>
      <c r="J1126" s="1381">
        <v>1</v>
      </c>
      <c r="K1126" s="1381"/>
      <c r="L1126" s="455"/>
      <c r="M1126" s="497"/>
      <c r="N1126" s="497"/>
      <c r="O1126" s="497"/>
      <c r="P1126" s="974"/>
      <c r="Q1126" s="974"/>
      <c r="R1126" s="974"/>
      <c r="S1126" s="410"/>
      <c r="T1126" s="410"/>
      <c r="U1126" s="80"/>
      <c r="V1126" s="410"/>
      <c r="W1126" s="410"/>
    </row>
    <row r="1127" spans="1:23" ht="12.75" customHeight="1" x14ac:dyDescent="0.25">
      <c r="A1127" s="1389" t="s">
        <v>1794</v>
      </c>
      <c r="B1127" s="1389" t="s">
        <v>3799</v>
      </c>
      <c r="C1127" s="9">
        <f t="shared" si="248"/>
        <v>1</v>
      </c>
      <c r="F1127" s="991">
        <f t="shared" si="249"/>
        <v>1</v>
      </c>
      <c r="G1127" s="455"/>
      <c r="H1127" s="455"/>
      <c r="I1127" s="455"/>
      <c r="J1127" s="1381">
        <v>1</v>
      </c>
      <c r="K1127" s="1381"/>
      <c r="L1127" s="455"/>
      <c r="M1127" s="497"/>
      <c r="N1127" s="497"/>
      <c r="O1127" s="497"/>
      <c r="P1127" s="974"/>
      <c r="Q1127" s="974"/>
      <c r="R1127" s="974"/>
      <c r="S1127" s="410"/>
      <c r="T1127" s="410"/>
      <c r="U1127" s="80"/>
      <c r="V1127" s="410"/>
      <c r="W1127" s="410"/>
    </row>
    <row r="1128" spans="1:23" ht="12.75" customHeight="1" x14ac:dyDescent="0.25">
      <c r="A1128" s="1389" t="s">
        <v>1868</v>
      </c>
      <c r="B1128" s="1389" t="s">
        <v>1869</v>
      </c>
      <c r="C1128" s="9">
        <f t="shared" si="248"/>
        <v>1</v>
      </c>
      <c r="F1128" s="991">
        <f t="shared" si="249"/>
        <v>1</v>
      </c>
      <c r="G1128" s="455"/>
      <c r="H1128" s="455"/>
      <c r="I1128" s="455"/>
      <c r="J1128" s="1381">
        <v>1</v>
      </c>
      <c r="K1128" s="1381"/>
      <c r="L1128" s="455"/>
      <c r="M1128" s="497"/>
      <c r="N1128" s="497"/>
      <c r="O1128" s="497"/>
      <c r="P1128" s="974"/>
      <c r="Q1128" s="974"/>
      <c r="R1128" s="974"/>
      <c r="S1128" s="410"/>
      <c r="T1128" s="410"/>
      <c r="U1128" s="80"/>
      <c r="V1128" s="410"/>
      <c r="W1128" s="410"/>
    </row>
    <row r="1129" spans="1:23" ht="12.75" customHeight="1" x14ac:dyDescent="0.25">
      <c r="A1129" s="1373" t="s">
        <v>5980</v>
      </c>
      <c r="B1129" s="1373" t="s">
        <v>4818</v>
      </c>
      <c r="C1129" s="9">
        <f t="shared" si="248"/>
        <v>2</v>
      </c>
      <c r="F1129" s="991">
        <f t="shared" si="249"/>
        <v>2</v>
      </c>
      <c r="G1129" s="455"/>
      <c r="H1129" s="455"/>
      <c r="I1129" s="455"/>
      <c r="J1129" s="1381">
        <v>1</v>
      </c>
      <c r="K1129" s="1381"/>
      <c r="L1129" s="455">
        <v>1</v>
      </c>
      <c r="M1129" s="497"/>
      <c r="N1129" s="497"/>
      <c r="O1129" s="497"/>
      <c r="P1129" s="974"/>
      <c r="Q1129" s="1689"/>
      <c r="R1129" s="974"/>
      <c r="S1129" s="410"/>
      <c r="T1129" s="410"/>
      <c r="U1129" s="80"/>
      <c r="V1129" s="410"/>
      <c r="W1129" s="410"/>
    </row>
    <row r="1130" spans="1:23" ht="12.75" customHeight="1" x14ac:dyDescent="0.25">
      <c r="A1130" s="1370" t="s">
        <v>665</v>
      </c>
      <c r="B1130" s="1370" t="s">
        <v>666</v>
      </c>
      <c r="C1130" s="9">
        <f t="shared" si="248"/>
        <v>9</v>
      </c>
      <c r="F1130" s="991">
        <f t="shared" si="249"/>
        <v>9</v>
      </c>
      <c r="G1130" s="455">
        <v>1</v>
      </c>
      <c r="H1130" s="1381">
        <v>1</v>
      </c>
      <c r="I1130" s="455">
        <v>1</v>
      </c>
      <c r="J1130" s="1381">
        <v>1</v>
      </c>
      <c r="K1130" s="1381">
        <v>1</v>
      </c>
      <c r="L1130" s="455">
        <v>1</v>
      </c>
      <c r="M1130" s="497">
        <v>1</v>
      </c>
      <c r="N1130" s="497"/>
      <c r="O1130" s="497"/>
      <c r="P1130" s="974"/>
      <c r="Q1130" s="1689">
        <v>1</v>
      </c>
      <c r="R1130" s="974">
        <v>1</v>
      </c>
      <c r="S1130" s="410"/>
      <c r="T1130" s="410"/>
      <c r="U1130" s="80"/>
      <c r="V1130" s="410"/>
      <c r="W1130" s="410"/>
    </row>
    <row r="1131" spans="1:23" ht="12.75" customHeight="1" x14ac:dyDescent="0.25">
      <c r="A1131" s="1370" t="s">
        <v>4561</v>
      </c>
      <c r="B1131" s="1370" t="s">
        <v>4562</v>
      </c>
      <c r="C1131" s="9">
        <f t="shared" si="248"/>
        <v>1</v>
      </c>
      <c r="F1131" s="991">
        <f t="shared" si="249"/>
        <v>1</v>
      </c>
      <c r="G1131" s="455"/>
      <c r="H1131" s="455"/>
      <c r="I1131" s="455"/>
      <c r="J1131" s="1381">
        <v>1</v>
      </c>
      <c r="K1131" s="1381"/>
      <c r="L1131" s="455"/>
      <c r="M1131" s="497"/>
      <c r="N1131" s="497"/>
      <c r="O1131" s="497"/>
      <c r="P1131" s="974"/>
      <c r="Q1131" s="1689"/>
      <c r="R1131" s="974"/>
      <c r="S1131" s="410"/>
      <c r="T1131" s="410"/>
      <c r="U1131" s="80"/>
      <c r="V1131" s="410"/>
      <c r="W1131" s="410"/>
    </row>
    <row r="1132" spans="1:23" ht="12.75" customHeight="1" x14ac:dyDescent="0.25">
      <c r="A1132" s="1370" t="s">
        <v>1794</v>
      </c>
      <c r="B1132" s="1370" t="s">
        <v>1795</v>
      </c>
      <c r="C1132" s="9">
        <f t="shared" si="248"/>
        <v>1</v>
      </c>
      <c r="F1132" s="991">
        <f t="shared" si="249"/>
        <v>1</v>
      </c>
      <c r="G1132" s="455"/>
      <c r="H1132" s="455"/>
      <c r="I1132" s="455"/>
      <c r="J1132" s="1381">
        <v>1</v>
      </c>
      <c r="K1132" s="1381"/>
      <c r="L1132" s="455"/>
      <c r="M1132" s="497"/>
      <c r="N1132" s="497"/>
      <c r="O1132" s="497"/>
      <c r="P1132" s="974"/>
      <c r="Q1132" s="974"/>
      <c r="R1132" s="974"/>
      <c r="S1132" s="410"/>
      <c r="T1132" s="410"/>
      <c r="U1132" s="80"/>
      <c r="V1132" s="410"/>
      <c r="W1132" s="410"/>
    </row>
    <row r="1133" spans="1:23" ht="12.75" customHeight="1" x14ac:dyDescent="0.25">
      <c r="A1133" s="1370" t="s">
        <v>9377</v>
      </c>
      <c r="B1133" s="1370" t="s">
        <v>9378</v>
      </c>
      <c r="C1133" s="9">
        <f t="shared" si="248"/>
        <v>1</v>
      </c>
      <c r="F1133" s="991">
        <f t="shared" si="249"/>
        <v>1</v>
      </c>
      <c r="G1133" s="455"/>
      <c r="H1133" s="455"/>
      <c r="I1133" s="455"/>
      <c r="J1133" s="1381">
        <v>1</v>
      </c>
      <c r="K1133" s="1381"/>
      <c r="L1133" s="455"/>
      <c r="M1133" s="497"/>
      <c r="N1133" s="497"/>
      <c r="O1133" s="497"/>
      <c r="P1133" s="974"/>
      <c r="Q1133" s="974"/>
      <c r="R1133" s="974"/>
      <c r="S1133" s="410"/>
      <c r="T1133" s="410"/>
      <c r="U1133" s="80"/>
      <c r="V1133" s="410"/>
      <c r="W1133" s="410"/>
    </row>
    <row r="1134" spans="1:23" ht="12.75" customHeight="1" x14ac:dyDescent="0.25">
      <c r="A1134" s="1370" t="s">
        <v>9794</v>
      </c>
      <c r="B1134" s="1370" t="s">
        <v>9795</v>
      </c>
      <c r="C1134" s="9">
        <f t="shared" si="248"/>
        <v>1</v>
      </c>
      <c r="F1134" s="991">
        <f t="shared" si="249"/>
        <v>1</v>
      </c>
      <c r="G1134" s="455"/>
      <c r="H1134" s="455"/>
      <c r="I1134" s="455"/>
      <c r="J1134" s="1381"/>
      <c r="K1134" s="1381"/>
      <c r="L1134" s="455"/>
      <c r="M1134" s="497"/>
      <c r="N1134" s="497"/>
      <c r="O1134" s="1451">
        <v>1</v>
      </c>
      <c r="P1134" s="974"/>
      <c r="Q1134" s="974"/>
      <c r="R1134" s="974"/>
      <c r="S1134" s="410"/>
      <c r="T1134" s="410"/>
      <c r="U1134" s="80"/>
      <c r="V1134" s="410"/>
      <c r="W1134" s="410"/>
    </row>
    <row r="1135" spans="1:23" ht="12.75" customHeight="1" x14ac:dyDescent="0.25">
      <c r="A1135" s="1389" t="s">
        <v>4977</v>
      </c>
      <c r="B1135" s="1389" t="s">
        <v>3961</v>
      </c>
      <c r="C1135" s="9">
        <f t="shared" si="248"/>
        <v>1</v>
      </c>
      <c r="F1135" s="991">
        <f t="shared" si="249"/>
        <v>1</v>
      </c>
      <c r="G1135" s="455"/>
      <c r="H1135" s="455"/>
      <c r="I1135" s="455"/>
      <c r="J1135" s="1381">
        <v>1</v>
      </c>
      <c r="K1135" s="1381"/>
      <c r="L1135" s="455"/>
      <c r="M1135" s="497"/>
      <c r="N1135" s="497"/>
      <c r="O1135" s="497"/>
      <c r="P1135" s="974"/>
      <c r="Q1135" s="974"/>
      <c r="R1135" s="974"/>
      <c r="S1135" s="410"/>
      <c r="T1135" s="410"/>
      <c r="U1135" s="80"/>
      <c r="V1135" s="410"/>
      <c r="W1135" s="410"/>
    </row>
    <row r="1136" spans="1:23" ht="12.75" customHeight="1" x14ac:dyDescent="0.25">
      <c r="A1136" s="1373" t="s">
        <v>4259</v>
      </c>
      <c r="B1136" s="1373" t="s">
        <v>440</v>
      </c>
      <c r="C1136" s="9">
        <f t="shared" si="248"/>
        <v>1</v>
      </c>
      <c r="F1136" s="991">
        <f t="shared" si="249"/>
        <v>1</v>
      </c>
      <c r="G1136" s="455"/>
      <c r="H1136" s="455"/>
      <c r="I1136" s="455"/>
      <c r="J1136" s="455"/>
      <c r="K1136" s="455"/>
      <c r="L1136" s="455"/>
      <c r="M1136" s="497"/>
      <c r="N1136" s="497">
        <v>1</v>
      </c>
      <c r="O1136" s="497"/>
      <c r="P1136" s="974"/>
      <c r="Q1136" s="974"/>
      <c r="R1136" s="974"/>
      <c r="S1136" s="410"/>
      <c r="T1136" s="410"/>
      <c r="U1136" s="80"/>
      <c r="V1136" s="410"/>
      <c r="W1136" s="410"/>
    </row>
    <row r="1137" spans="1:33" ht="12.75" customHeight="1" x14ac:dyDescent="0.25">
      <c r="A1137" s="1370"/>
      <c r="B1137" s="1370"/>
      <c r="C1137" s="20">
        <f>SUM(C1123:C1136)</f>
        <v>23</v>
      </c>
      <c r="G1137" s="666">
        <f t="shared" ref="G1137:I1137" si="250">SUM(G1123:G1136)</f>
        <v>1</v>
      </c>
      <c r="H1137" s="666">
        <f t="shared" ref="H1137" si="251">SUM(H1123:H1136)</f>
        <v>1</v>
      </c>
      <c r="I1137" s="666">
        <f t="shared" si="250"/>
        <v>1</v>
      </c>
      <c r="J1137" s="666">
        <f>SUM(J1123:J1136)</f>
        <v>11</v>
      </c>
      <c r="K1137" s="666">
        <f>SUM(K1123:K1136)</f>
        <v>1</v>
      </c>
      <c r="L1137" s="666">
        <f t="shared" ref="L1137:P1137" si="252">SUM(L1123:L1136)</f>
        <v>2</v>
      </c>
      <c r="M1137" s="666">
        <f t="shared" si="252"/>
        <v>1</v>
      </c>
      <c r="N1137" s="666">
        <f t="shared" si="252"/>
        <v>1</v>
      </c>
      <c r="O1137" s="666">
        <f t="shared" ref="O1137" si="253">SUM(O1123:O1136)</f>
        <v>1</v>
      </c>
      <c r="P1137" s="666">
        <f t="shared" si="252"/>
        <v>1</v>
      </c>
      <c r="Q1137" s="666">
        <f t="shared" ref="Q1137" si="254">SUM(Q1123:Q1136)</f>
        <v>1</v>
      </c>
      <c r="R1137" s="666">
        <f t="shared" ref="R1137" si="255">SUM(R1123:R1136)</f>
        <v>1</v>
      </c>
      <c r="S1137" s="410"/>
      <c r="T1137" s="410"/>
      <c r="U1137" s="80"/>
      <c r="V1137" s="410"/>
      <c r="W1137" s="410"/>
    </row>
    <row r="1138" spans="1:33" ht="12.75" customHeight="1" x14ac:dyDescent="0.25">
      <c r="A1138" s="1370"/>
      <c r="B1138" s="1370"/>
      <c r="C1138" s="9"/>
      <c r="E1138" s="1377">
        <f>COUNT(G1138:R1138)</f>
        <v>12</v>
      </c>
      <c r="G1138" s="666">
        <f>COUNT(G1123:G1136)</f>
        <v>1</v>
      </c>
      <c r="H1138" s="666">
        <f>COUNT(H1123:H1136)</f>
        <v>1</v>
      </c>
      <c r="I1138" s="666">
        <f t="shared" ref="I1138:P1138" si="256">COUNT(I1123:I1136)</f>
        <v>1</v>
      </c>
      <c r="J1138" s="666">
        <f t="shared" si="256"/>
        <v>11</v>
      </c>
      <c r="K1138" s="666">
        <f t="shared" ref="K1138" si="257">COUNT(K1123:K1136)</f>
        <v>1</v>
      </c>
      <c r="L1138" s="666">
        <f t="shared" si="256"/>
        <v>2</v>
      </c>
      <c r="M1138" s="666">
        <f t="shared" si="256"/>
        <v>1</v>
      </c>
      <c r="N1138" s="666">
        <f t="shared" si="256"/>
        <v>1</v>
      </c>
      <c r="O1138" s="666">
        <f t="shared" ref="O1138" si="258">COUNT(O1123:O1136)</f>
        <v>1</v>
      </c>
      <c r="P1138" s="666">
        <f t="shared" si="256"/>
        <v>1</v>
      </c>
      <c r="Q1138" s="666">
        <f t="shared" ref="Q1138" si="259">COUNT(Q1123:Q1136)</f>
        <v>1</v>
      </c>
      <c r="R1138" s="666">
        <f t="shared" ref="R1138" si="260">COUNT(R1123:R1136)</f>
        <v>1</v>
      </c>
      <c r="S1138" s="410"/>
      <c r="T1138" s="410"/>
      <c r="U1138" s="364"/>
      <c r="V1138" s="410"/>
      <c r="W1138" s="410"/>
    </row>
    <row r="1139" spans="1:33" ht="12.75" customHeight="1" x14ac:dyDescent="0.25">
      <c r="A1139" s="1370"/>
      <c r="B1139" s="1370"/>
      <c r="C1139" s="9"/>
      <c r="G1139" s="538" t="s">
        <v>841</v>
      </c>
      <c r="H1139" s="538"/>
      <c r="I1139" s="538" t="s">
        <v>5092</v>
      </c>
      <c r="J1139" s="538"/>
      <c r="K1139" s="538" t="s">
        <v>12935</v>
      </c>
      <c r="L1139" s="565"/>
      <c r="M1139" s="538" t="s">
        <v>1005</v>
      </c>
      <c r="N1139" s="538"/>
      <c r="O1139" s="536" t="s">
        <v>15700</v>
      </c>
      <c r="P1139" s="538"/>
      <c r="Q1139" s="538" t="s">
        <v>17077</v>
      </c>
      <c r="R1139" s="538"/>
      <c r="S1139" s="410"/>
      <c r="T1139" s="410"/>
      <c r="U1139" s="364"/>
      <c r="V1139" s="410"/>
      <c r="W1139" s="410"/>
    </row>
    <row r="1140" spans="1:33" ht="12.75" customHeight="1" x14ac:dyDescent="0.25">
      <c r="C1140" s="9"/>
      <c r="G1140" s="515"/>
      <c r="H1140" s="539" t="s">
        <v>15410</v>
      </c>
      <c r="I1140" s="515"/>
      <c r="J1140" s="539" t="s">
        <v>5889</v>
      </c>
      <c r="K1140" s="539"/>
      <c r="L1140" s="515" t="s">
        <v>4491</v>
      </c>
      <c r="M1140" s="515"/>
      <c r="N1140" s="539" t="s">
        <v>4664</v>
      </c>
      <c r="O1140" s="539"/>
      <c r="P1140" s="535" t="s">
        <v>10323</v>
      </c>
      <c r="Q1140" s="515"/>
      <c r="R1140" s="539" t="s">
        <v>10880</v>
      </c>
    </row>
    <row r="1141" spans="1:33" ht="12.75" customHeight="1" x14ac:dyDescent="0.25">
      <c r="C1141" s="9"/>
      <c r="G1141" s="185"/>
      <c r="H1141" s="364"/>
      <c r="I1141" s="1418"/>
      <c r="J1141" s="1406"/>
      <c r="K1141" s="1406"/>
      <c r="L1141" s="1418"/>
      <c r="M1141" s="1418"/>
      <c r="N1141" s="1406"/>
      <c r="O1141" s="1406"/>
      <c r="P1141" s="1500"/>
      <c r="Q1141" s="1418"/>
    </row>
    <row r="1142" spans="1:33" ht="12.75" customHeight="1" x14ac:dyDescent="0.2">
      <c r="C1142" s="9"/>
      <c r="G1142" s="2" t="s">
        <v>8773</v>
      </c>
      <c r="H1142" s="2"/>
      <c r="I1142" s="2"/>
      <c r="J1142" s="2"/>
      <c r="K1142" s="2"/>
      <c r="L1142" s="2"/>
    </row>
    <row r="1143" spans="1:33" ht="12.75" customHeight="1" x14ac:dyDescent="0.2">
      <c r="C1143" s="9"/>
      <c r="G1143" s="4" t="s">
        <v>118</v>
      </c>
      <c r="H1143" s="4"/>
      <c r="I1143" s="4"/>
      <c r="J1143" s="2"/>
      <c r="K1143" s="2"/>
      <c r="L1143" s="2"/>
      <c r="M1143" s="2"/>
      <c r="N1143" s="2"/>
      <c r="O1143" s="2"/>
      <c r="V1143" s="80" t="s">
        <v>1034</v>
      </c>
    </row>
    <row r="1144" spans="1:33" ht="12.75" customHeight="1" x14ac:dyDescent="0.2">
      <c r="C1144" s="9"/>
      <c r="G1144" s="553" t="s">
        <v>8085</v>
      </c>
      <c r="H1144" s="560" t="s">
        <v>17169</v>
      </c>
      <c r="I1144" s="553" t="s">
        <v>15324</v>
      </c>
      <c r="J1144" s="560" t="s">
        <v>10892</v>
      </c>
      <c r="K1144" s="553" t="s">
        <v>1986</v>
      </c>
      <c r="L1144" s="560" t="s">
        <v>8819</v>
      </c>
      <c r="M1144" s="553" t="s">
        <v>15651</v>
      </c>
      <c r="N1144" s="560" t="s">
        <v>15322</v>
      </c>
      <c r="O1144" s="553" t="s">
        <v>16413</v>
      </c>
      <c r="P1144" s="560" t="s">
        <v>162</v>
      </c>
      <c r="Q1144" s="553" t="s">
        <v>1951</v>
      </c>
      <c r="R1144" s="560" t="s">
        <v>2019</v>
      </c>
      <c r="S1144" s="553" t="s">
        <v>15996</v>
      </c>
      <c r="T1144" s="560" t="s">
        <v>12788</v>
      </c>
      <c r="U1144" s="553" t="s">
        <v>8570</v>
      </c>
      <c r="V1144" s="560" t="s">
        <v>10291</v>
      </c>
      <c r="W1144" s="41"/>
      <c r="X1144" s="41"/>
      <c r="Y1144" s="357" t="s">
        <v>457</v>
      </c>
      <c r="Z1144" s="357" t="s">
        <v>4564</v>
      </c>
      <c r="AB1144" s="2"/>
      <c r="AC1144" s="2"/>
      <c r="AD1144" s="2"/>
      <c r="AE1144" s="2"/>
      <c r="AF1144" s="2"/>
      <c r="AG1144" s="2"/>
    </row>
    <row r="1145" spans="1:33" ht="12.75" customHeight="1" x14ac:dyDescent="0.2">
      <c r="A1145" s="1370" t="s">
        <v>435</v>
      </c>
      <c r="B1145" s="1370" t="s">
        <v>436</v>
      </c>
      <c r="C1145" s="9">
        <f t="shared" ref="C1145:C1163" si="261">SUM(G1145:Z1145)</f>
        <v>1</v>
      </c>
      <c r="F1145" s="945">
        <f t="shared" ref="F1145:F1163" si="262">COUNT(G1145:V1145)</f>
        <v>1</v>
      </c>
      <c r="G1145" s="23"/>
      <c r="H1145" s="23"/>
      <c r="I1145" s="23"/>
      <c r="J1145" s="23"/>
      <c r="K1145" s="23"/>
      <c r="L1145" s="23"/>
      <c r="M1145" s="23"/>
      <c r="N1145" s="23"/>
      <c r="O1145" s="23"/>
      <c r="P1145" s="23"/>
      <c r="Q1145" s="23">
        <v>1</v>
      </c>
      <c r="R1145" s="23"/>
      <c r="S1145" s="23"/>
      <c r="T1145" s="23"/>
      <c r="U1145" s="23"/>
      <c r="V1145" s="23"/>
      <c r="Y1145" s="23"/>
      <c r="Z1145" s="23"/>
      <c r="AB1145" s="2"/>
      <c r="AC1145" s="2"/>
      <c r="AD1145" s="2"/>
      <c r="AE1145" s="2"/>
      <c r="AF1145" s="2"/>
      <c r="AG1145" s="2"/>
    </row>
    <row r="1146" spans="1:33" ht="12.75" customHeight="1" x14ac:dyDescent="0.2">
      <c r="A1146" s="1370" t="s">
        <v>4963</v>
      </c>
      <c r="B1146" s="1370" t="s">
        <v>8339</v>
      </c>
      <c r="C1146" s="9">
        <f t="shared" si="261"/>
        <v>1</v>
      </c>
      <c r="F1146" s="945">
        <f t="shared" si="262"/>
        <v>1</v>
      </c>
      <c r="G1146" s="23"/>
      <c r="H1146" s="23"/>
      <c r="I1146" s="23"/>
      <c r="J1146" s="23"/>
      <c r="K1146" s="23"/>
      <c r="L1146" s="23">
        <v>1</v>
      </c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Y1146" s="23"/>
      <c r="Z1146" s="23"/>
    </row>
    <row r="1147" spans="1:33" ht="12.75" customHeight="1" x14ac:dyDescent="0.2">
      <c r="A1147" s="1370" t="s">
        <v>8277</v>
      </c>
      <c r="B1147" s="1370" t="s">
        <v>4270</v>
      </c>
      <c r="C1147" s="9">
        <f t="shared" si="261"/>
        <v>1</v>
      </c>
      <c r="F1147" s="945">
        <f t="shared" si="262"/>
        <v>1</v>
      </c>
      <c r="G1147" s="23"/>
      <c r="H1147" s="23"/>
      <c r="I1147" s="1377">
        <v>1</v>
      </c>
      <c r="J1147" s="1377"/>
      <c r="K1147" s="1377"/>
      <c r="L1147" s="1377"/>
      <c r="M1147" s="1377"/>
      <c r="N1147" s="1377"/>
      <c r="O1147" s="1377"/>
      <c r="P1147" s="23"/>
      <c r="Q1147" s="23"/>
      <c r="R1147" s="23"/>
      <c r="S1147" s="23"/>
      <c r="T1147" s="23"/>
      <c r="U1147" s="23"/>
      <c r="V1147" s="23"/>
      <c r="Y1147" s="23"/>
      <c r="Z1147" s="23"/>
    </row>
    <row r="1148" spans="1:33" ht="12.75" customHeight="1" x14ac:dyDescent="0.2">
      <c r="A1148" s="1370" t="s">
        <v>3508</v>
      </c>
      <c r="B1148" s="1370" t="s">
        <v>3632</v>
      </c>
      <c r="C1148" s="9">
        <f t="shared" si="261"/>
        <v>1</v>
      </c>
      <c r="F1148" s="945">
        <f t="shared" si="262"/>
        <v>1</v>
      </c>
      <c r="G1148" s="23"/>
      <c r="H1148" s="23"/>
      <c r="I1148" s="1377"/>
      <c r="J1148" s="1377">
        <v>1</v>
      </c>
      <c r="K1148" s="1377"/>
      <c r="L1148" s="1377"/>
      <c r="M1148" s="1377"/>
      <c r="N1148" s="1377"/>
      <c r="O1148" s="1377"/>
      <c r="P1148" s="23"/>
      <c r="Q1148" s="23"/>
      <c r="R1148" s="23"/>
      <c r="S1148" s="23"/>
      <c r="T1148" s="23"/>
      <c r="U1148" s="23"/>
      <c r="V1148" s="23"/>
      <c r="Y1148" s="23"/>
      <c r="Z1148" s="23"/>
    </row>
    <row r="1149" spans="1:33" ht="12.75" customHeight="1" x14ac:dyDescent="0.2">
      <c r="A1149" s="1370" t="s">
        <v>859</v>
      </c>
      <c r="B1149" s="1370" t="s">
        <v>860</v>
      </c>
      <c r="C1149" s="9">
        <f t="shared" si="261"/>
        <v>2</v>
      </c>
      <c r="F1149" s="945">
        <f t="shared" si="262"/>
        <v>1</v>
      </c>
      <c r="G1149" s="23"/>
      <c r="H1149" s="23"/>
      <c r="I1149" s="1377"/>
      <c r="J1149" s="1377"/>
      <c r="K1149" s="1377">
        <v>2</v>
      </c>
      <c r="L1149" s="1377"/>
      <c r="M1149" s="1377"/>
      <c r="N1149" s="1377"/>
      <c r="O1149" s="1377"/>
      <c r="P1149" s="23"/>
      <c r="Q1149" s="23"/>
      <c r="R1149" s="23"/>
      <c r="S1149" s="23"/>
      <c r="T1149" s="23"/>
      <c r="U1149" s="23"/>
      <c r="V1149" s="23"/>
      <c r="Y1149" s="23"/>
      <c r="Z1149" s="23"/>
    </row>
    <row r="1150" spans="1:33" ht="12.75" customHeight="1" x14ac:dyDescent="0.2">
      <c r="A1150" s="1389" t="s">
        <v>3755</v>
      </c>
      <c r="B1150" s="1389" t="s">
        <v>3799</v>
      </c>
      <c r="C1150" s="9">
        <f t="shared" si="261"/>
        <v>1</v>
      </c>
      <c r="E1150" s="1371">
        <f>Y1150</f>
        <v>1</v>
      </c>
      <c r="F1150" s="945">
        <f t="shared" si="262"/>
        <v>0</v>
      </c>
      <c r="G1150" s="23"/>
      <c r="H1150" s="23"/>
      <c r="I1150" s="1377"/>
      <c r="J1150" s="1377"/>
      <c r="K1150" s="1377"/>
      <c r="L1150" s="1377"/>
      <c r="M1150" s="1377"/>
      <c r="N1150" s="1377"/>
      <c r="O1150" s="1377"/>
      <c r="P1150" s="23"/>
      <c r="Q1150" s="23"/>
      <c r="R1150" s="23"/>
      <c r="S1150" s="23"/>
      <c r="T1150" s="23"/>
      <c r="U1150" s="23"/>
      <c r="V1150" s="23"/>
      <c r="Y1150" s="23">
        <v>1</v>
      </c>
      <c r="Z1150" s="23"/>
    </row>
    <row r="1151" spans="1:33" ht="12.75" customHeight="1" x14ac:dyDescent="0.2">
      <c r="A1151" s="1389" t="s">
        <v>1794</v>
      </c>
      <c r="B1151" s="1389" t="s">
        <v>3799</v>
      </c>
      <c r="C1151" s="9">
        <f t="shared" si="261"/>
        <v>1</v>
      </c>
      <c r="E1151" s="1371">
        <f>Y1151</f>
        <v>1</v>
      </c>
      <c r="F1151" s="945">
        <f t="shared" si="262"/>
        <v>0</v>
      </c>
      <c r="G1151" s="23"/>
      <c r="H1151" s="23"/>
      <c r="I1151" s="1377"/>
      <c r="J1151" s="1377"/>
      <c r="K1151" s="1377"/>
      <c r="L1151" s="1377"/>
      <c r="M1151" s="1377"/>
      <c r="N1151" s="1377"/>
      <c r="O1151" s="1377"/>
      <c r="P1151" s="23"/>
      <c r="Q1151" s="23"/>
      <c r="R1151" s="23"/>
      <c r="S1151" s="23"/>
      <c r="T1151" s="23"/>
      <c r="U1151" s="23"/>
      <c r="V1151" s="23"/>
      <c r="Y1151" s="23">
        <v>1</v>
      </c>
      <c r="Z1151" s="23"/>
    </row>
    <row r="1152" spans="1:33" ht="12.75" customHeight="1" x14ac:dyDescent="0.2">
      <c r="A1152" s="1374" t="s">
        <v>922</v>
      </c>
      <c r="B1152" s="1374" t="s">
        <v>1530</v>
      </c>
      <c r="C1152" s="9">
        <f t="shared" si="261"/>
        <v>1</v>
      </c>
      <c r="F1152" s="945">
        <f t="shared" si="262"/>
        <v>1</v>
      </c>
      <c r="G1152" s="23"/>
      <c r="H1152" s="23"/>
      <c r="I1152" s="1377"/>
      <c r="J1152" s="1377"/>
      <c r="K1152" s="1377"/>
      <c r="L1152" s="1377"/>
      <c r="M1152" s="1377">
        <v>1</v>
      </c>
      <c r="N1152" s="1377"/>
      <c r="O1152" s="1377"/>
      <c r="P1152" s="23"/>
      <c r="Q1152" s="23"/>
      <c r="R1152" s="23"/>
      <c r="S1152" s="23"/>
      <c r="T1152" s="23"/>
      <c r="U1152" s="23"/>
      <c r="V1152" s="23"/>
      <c r="Y1152" s="23"/>
      <c r="Z1152" s="23"/>
    </row>
    <row r="1153" spans="1:26" ht="12.75" customHeight="1" x14ac:dyDescent="0.2">
      <c r="A1153" s="1370" t="s">
        <v>1589</v>
      </c>
      <c r="B1153" s="1370" t="s">
        <v>1590</v>
      </c>
      <c r="C1153" s="9">
        <f t="shared" si="261"/>
        <v>1</v>
      </c>
      <c r="F1153" s="945">
        <f t="shared" si="262"/>
        <v>1</v>
      </c>
      <c r="G1153" s="23"/>
      <c r="H1153" s="23"/>
      <c r="I1153" s="1377"/>
      <c r="J1153" s="1377"/>
      <c r="K1153" s="1377"/>
      <c r="L1153" s="1377"/>
      <c r="M1153" s="1377"/>
      <c r="N1153" s="1377"/>
      <c r="O1153" s="1377"/>
      <c r="P1153" s="23"/>
      <c r="Q1153" s="23"/>
      <c r="R1153" s="23">
        <v>1</v>
      </c>
      <c r="S1153" s="23"/>
      <c r="T1153" s="23"/>
      <c r="U1153" s="23"/>
      <c r="V1153" s="23"/>
      <c r="Y1153" s="23"/>
      <c r="Z1153" s="23"/>
    </row>
    <row r="1154" spans="1:26" ht="12.75" customHeight="1" x14ac:dyDescent="0.2">
      <c r="A1154" s="1370" t="s">
        <v>1796</v>
      </c>
      <c r="B1154" s="1370" t="s">
        <v>1797</v>
      </c>
      <c r="C1154" s="9">
        <f t="shared" si="261"/>
        <v>1</v>
      </c>
      <c r="F1154" s="945">
        <f t="shared" si="262"/>
        <v>1</v>
      </c>
      <c r="G1154" s="23"/>
      <c r="H1154" s="23"/>
      <c r="I1154" s="1377"/>
      <c r="J1154" s="1377"/>
      <c r="K1154" s="1377"/>
      <c r="L1154" s="1377"/>
      <c r="M1154" s="1377"/>
      <c r="N1154" s="1377"/>
      <c r="O1154" s="1377"/>
      <c r="P1154" s="23">
        <v>1</v>
      </c>
      <c r="Q1154" s="23"/>
      <c r="R1154" s="23"/>
      <c r="S1154" s="1377"/>
      <c r="T1154" s="23"/>
      <c r="U1154" s="23"/>
      <c r="V1154" s="23"/>
      <c r="Y1154" s="23"/>
      <c r="Z1154" s="23"/>
    </row>
    <row r="1155" spans="1:26" ht="12.75" customHeight="1" x14ac:dyDescent="0.2">
      <c r="A1155" s="1370" t="s">
        <v>665</v>
      </c>
      <c r="B1155" s="1370" t="s">
        <v>666</v>
      </c>
      <c r="C1155" s="9">
        <f t="shared" si="261"/>
        <v>6</v>
      </c>
      <c r="F1155" s="945">
        <f t="shared" si="262"/>
        <v>6</v>
      </c>
      <c r="G1155" s="23">
        <v>1</v>
      </c>
      <c r="H1155" s="23"/>
      <c r="I1155" s="1377"/>
      <c r="J1155" s="1377">
        <v>1</v>
      </c>
      <c r="K1155" s="1377"/>
      <c r="L1155" s="1377">
        <v>1</v>
      </c>
      <c r="M1155" s="1377"/>
      <c r="N1155" s="1377"/>
      <c r="O1155" s="1377"/>
      <c r="P1155" s="23">
        <v>1</v>
      </c>
      <c r="Q1155" s="23">
        <v>1</v>
      </c>
      <c r="R1155" s="23"/>
      <c r="S1155" s="1377">
        <v>1</v>
      </c>
      <c r="T1155" s="23"/>
      <c r="U1155" s="23"/>
      <c r="V1155" s="23"/>
      <c r="Y1155" s="23"/>
      <c r="Z1155" s="23"/>
    </row>
    <row r="1156" spans="1:26" ht="12.75" customHeight="1" x14ac:dyDescent="0.2">
      <c r="A1156" s="1370" t="s">
        <v>3673</v>
      </c>
      <c r="B1156" s="1370" t="s">
        <v>4943</v>
      </c>
      <c r="C1156" s="9">
        <f t="shared" si="261"/>
        <v>1</v>
      </c>
      <c r="F1156" s="945">
        <f t="shared" si="262"/>
        <v>1</v>
      </c>
      <c r="G1156" s="23"/>
      <c r="H1156" s="23"/>
      <c r="I1156" s="1377"/>
      <c r="J1156" s="1377"/>
      <c r="K1156" s="1377"/>
      <c r="L1156" s="1377"/>
      <c r="M1156" s="1377"/>
      <c r="N1156" s="1377"/>
      <c r="O1156" s="1377"/>
      <c r="P1156" s="23"/>
      <c r="Q1156" s="23"/>
      <c r="R1156" s="23"/>
      <c r="S1156" s="1377"/>
      <c r="T1156" s="23">
        <v>1</v>
      </c>
      <c r="U1156" s="23"/>
      <c r="V1156" s="23"/>
      <c r="Y1156" s="23"/>
      <c r="Z1156" s="23"/>
    </row>
    <row r="1157" spans="1:26" ht="12.75" customHeight="1" x14ac:dyDescent="0.2">
      <c r="A1157" s="1370" t="s">
        <v>3535</v>
      </c>
      <c r="B1157" s="1370" t="s">
        <v>3536</v>
      </c>
      <c r="C1157" s="9">
        <f t="shared" si="261"/>
        <v>1</v>
      </c>
      <c r="F1157" s="945">
        <f t="shared" si="262"/>
        <v>1</v>
      </c>
      <c r="G1157" s="23"/>
      <c r="H1157" s="1377"/>
      <c r="I1157" s="1377"/>
      <c r="J1157" s="1377"/>
      <c r="K1157" s="1377"/>
      <c r="L1157" s="1377"/>
      <c r="M1157" s="1377"/>
      <c r="N1157" s="1377"/>
      <c r="O1157" s="1377"/>
      <c r="P1157" s="23">
        <v>1</v>
      </c>
      <c r="Q1157" s="23"/>
      <c r="R1157" s="23"/>
      <c r="S1157" s="1377"/>
      <c r="T1157" s="23"/>
      <c r="U1157" s="23"/>
      <c r="V1157" s="23"/>
      <c r="Y1157" s="23"/>
      <c r="Z1157" s="23"/>
    </row>
    <row r="1158" spans="1:26" ht="12.75" customHeight="1" x14ac:dyDescent="0.2">
      <c r="A1158" s="1374" t="s">
        <v>4567</v>
      </c>
      <c r="B1158" s="1374" t="s">
        <v>4562</v>
      </c>
      <c r="C1158" s="9">
        <f t="shared" si="261"/>
        <v>1</v>
      </c>
      <c r="E1158" s="1371">
        <f>Z1158</f>
        <v>1</v>
      </c>
      <c r="F1158" s="945">
        <f t="shared" si="262"/>
        <v>0</v>
      </c>
      <c r="G1158" s="23"/>
      <c r="H1158" s="1377"/>
      <c r="I1158" s="1377"/>
      <c r="J1158" s="1377"/>
      <c r="K1158" s="1377"/>
      <c r="L1158" s="1377"/>
      <c r="M1158" s="1377"/>
      <c r="N1158" s="1377"/>
      <c r="O1158" s="1377"/>
      <c r="P1158" s="23"/>
      <c r="Q1158" s="23"/>
      <c r="R1158" s="23"/>
      <c r="S1158" s="23"/>
      <c r="T1158" s="23"/>
      <c r="U1158" s="23"/>
      <c r="V1158" s="23"/>
      <c r="Y1158" s="23"/>
      <c r="Z1158" s="23">
        <v>1</v>
      </c>
    </row>
    <row r="1159" spans="1:26" ht="12.75" customHeight="1" x14ac:dyDescent="0.2">
      <c r="A1159" s="1374" t="s">
        <v>4561</v>
      </c>
      <c r="B1159" s="1374" t="s">
        <v>4562</v>
      </c>
      <c r="C1159" s="9">
        <f t="shared" si="261"/>
        <v>6</v>
      </c>
      <c r="E1159" s="1371">
        <f>Z1159</f>
        <v>1</v>
      </c>
      <c r="F1159" s="945">
        <f t="shared" si="262"/>
        <v>4</v>
      </c>
      <c r="G1159" s="23"/>
      <c r="H1159" s="1377">
        <v>1</v>
      </c>
      <c r="I1159" s="1377"/>
      <c r="J1159" s="1377"/>
      <c r="K1159" s="1377"/>
      <c r="L1159" s="1377"/>
      <c r="M1159" s="1377"/>
      <c r="N1159" s="1377">
        <v>1</v>
      </c>
      <c r="O1159" s="1377">
        <v>2</v>
      </c>
      <c r="P1159" s="23"/>
      <c r="Q1159" s="23"/>
      <c r="R1159" s="23"/>
      <c r="S1159" s="23"/>
      <c r="T1159" s="23"/>
      <c r="U1159" s="23"/>
      <c r="V1159" s="23">
        <v>1</v>
      </c>
      <c r="Y1159" s="23"/>
      <c r="Z1159" s="23">
        <v>1</v>
      </c>
    </row>
    <row r="1160" spans="1:26" ht="12.75" customHeight="1" x14ac:dyDescent="0.2">
      <c r="A1160" s="1389" t="s">
        <v>4878</v>
      </c>
      <c r="B1160" s="1389" t="s">
        <v>3250</v>
      </c>
      <c r="C1160" s="9">
        <f t="shared" si="261"/>
        <v>1</v>
      </c>
      <c r="F1160" s="945">
        <f t="shared" si="262"/>
        <v>1</v>
      </c>
      <c r="G1160" s="23"/>
      <c r="H1160" s="1377"/>
      <c r="I1160" s="23"/>
      <c r="J1160" s="23"/>
      <c r="K1160" s="23"/>
      <c r="L1160" s="23"/>
      <c r="M1160" s="23"/>
      <c r="N1160" s="23"/>
      <c r="O1160" s="23"/>
      <c r="P1160" s="23">
        <v>1</v>
      </c>
      <c r="Q1160" s="23"/>
      <c r="R1160" s="23"/>
      <c r="S1160" s="23"/>
      <c r="T1160" s="23"/>
      <c r="U1160" s="23"/>
      <c r="V1160" s="23"/>
      <c r="Y1160" s="23"/>
      <c r="Z1160" s="23"/>
    </row>
    <row r="1161" spans="1:26" ht="12.75" customHeight="1" x14ac:dyDescent="0.2">
      <c r="A1161" s="1370" t="s">
        <v>1794</v>
      </c>
      <c r="B1161" s="1370" t="s">
        <v>1795</v>
      </c>
      <c r="C1161" s="9">
        <f t="shared" si="261"/>
        <v>1</v>
      </c>
      <c r="F1161" s="945">
        <f t="shared" si="262"/>
        <v>1</v>
      </c>
      <c r="G1161" s="23"/>
      <c r="H1161" s="1377"/>
      <c r="I1161" s="23"/>
      <c r="J1161" s="23"/>
      <c r="K1161" s="23"/>
      <c r="L1161" s="23"/>
      <c r="M1161" s="23"/>
      <c r="N1161" s="23"/>
      <c r="O1161" s="23"/>
      <c r="P1161" s="23"/>
      <c r="Q1161" s="23">
        <v>1</v>
      </c>
      <c r="R1161" s="23"/>
      <c r="S1161" s="23"/>
      <c r="T1161" s="23"/>
      <c r="U1161" s="23"/>
      <c r="V1161" s="23"/>
      <c r="Y1161" s="23"/>
      <c r="Z1161" s="23"/>
    </row>
    <row r="1162" spans="1:26" ht="12.75" customHeight="1" x14ac:dyDescent="0.2">
      <c r="A1162" s="1370" t="s">
        <v>2416</v>
      </c>
      <c r="B1162" s="1370" t="s">
        <v>2417</v>
      </c>
      <c r="C1162" s="9">
        <f t="shared" si="261"/>
        <v>2</v>
      </c>
      <c r="D1162" s="859"/>
      <c r="F1162" s="945">
        <f t="shared" si="262"/>
        <v>2</v>
      </c>
      <c r="G1162" s="23"/>
      <c r="H1162" s="1377"/>
      <c r="I1162" s="23"/>
      <c r="J1162" s="23"/>
      <c r="K1162" s="23"/>
      <c r="L1162" s="23"/>
      <c r="M1162" s="23"/>
      <c r="N1162" s="23"/>
      <c r="O1162" s="23"/>
      <c r="P1162" s="23"/>
      <c r="Q1162" s="455">
        <v>1</v>
      </c>
      <c r="R1162" s="23"/>
      <c r="S1162" s="23"/>
      <c r="T1162" s="23"/>
      <c r="U1162" s="23">
        <v>1</v>
      </c>
      <c r="V1162" s="23"/>
      <c r="Y1162" s="23"/>
      <c r="Z1162" s="23"/>
    </row>
    <row r="1163" spans="1:26" ht="12.75" customHeight="1" x14ac:dyDescent="0.2">
      <c r="A1163" s="1370" t="s">
        <v>866</v>
      </c>
      <c r="B1163" s="1370" t="s">
        <v>2417</v>
      </c>
      <c r="C1163" s="9">
        <f t="shared" si="261"/>
        <v>2</v>
      </c>
      <c r="F1163" s="945">
        <f t="shared" si="262"/>
        <v>2</v>
      </c>
      <c r="G1163" s="23"/>
      <c r="H1163" s="23"/>
      <c r="I1163" s="23"/>
      <c r="J1163" s="23"/>
      <c r="K1163" s="23"/>
      <c r="L1163" s="23"/>
      <c r="M1163" s="23"/>
      <c r="N1163" s="23"/>
      <c r="O1163" s="23"/>
      <c r="P1163" s="23"/>
      <c r="Q1163" s="455">
        <v>1</v>
      </c>
      <c r="R1163" s="23"/>
      <c r="S1163" s="23"/>
      <c r="T1163" s="23"/>
      <c r="U1163" s="23">
        <v>1</v>
      </c>
      <c r="V1163" s="23"/>
      <c r="Y1163" s="23"/>
      <c r="Z1163" s="23"/>
    </row>
    <row r="1164" spans="1:26" ht="12.75" customHeight="1" thickBot="1" x14ac:dyDescent="0.25">
      <c r="C1164" s="20">
        <f>SUM(C1145:C1163)</f>
        <v>32</v>
      </c>
      <c r="G1164" s="572">
        <f>SUM(G1145:G1163)</f>
        <v>1</v>
      </c>
      <c r="H1164" s="572">
        <f>SUM(H1145:H1163)</f>
        <v>1</v>
      </c>
      <c r="I1164" s="572">
        <f>SUM(I1145:I1163)</f>
        <v>1</v>
      </c>
      <c r="J1164" s="572">
        <f>SUM(J1145:J1163)</f>
        <v>2</v>
      </c>
      <c r="K1164" s="572">
        <f>SUM(K1145:K1163)</f>
        <v>2</v>
      </c>
      <c r="L1164" s="572">
        <f t="shared" ref="L1164:U1164" si="263">SUM(L1145:L1163)</f>
        <v>2</v>
      </c>
      <c r="M1164" s="572">
        <f t="shared" ref="M1164" si="264">SUM(M1145:M1163)</f>
        <v>1</v>
      </c>
      <c r="N1164" s="572">
        <f t="shared" ref="N1164:O1164" si="265">SUM(N1145:N1163)</f>
        <v>1</v>
      </c>
      <c r="O1164" s="572">
        <f t="shared" si="265"/>
        <v>2</v>
      </c>
      <c r="P1164" s="572">
        <f t="shared" si="263"/>
        <v>4</v>
      </c>
      <c r="Q1164" s="572">
        <f t="shared" si="263"/>
        <v>5</v>
      </c>
      <c r="R1164" s="572">
        <f>SUM(R1145:R1163)</f>
        <v>1</v>
      </c>
      <c r="S1164" s="572">
        <f>SUM(S1145:S1163)</f>
        <v>1</v>
      </c>
      <c r="T1164" s="572">
        <f>SUM(T1145:T1163)</f>
        <v>1</v>
      </c>
      <c r="U1164" s="572">
        <f t="shared" si="263"/>
        <v>2</v>
      </c>
      <c r="V1164" s="572">
        <f t="shared" ref="V1164" si="266">SUM(V1145:V1163)</f>
        <v>1</v>
      </c>
      <c r="Y1164" s="23"/>
      <c r="Z1164" s="23"/>
    </row>
    <row r="1165" spans="1:26" ht="12.75" customHeight="1" thickBot="1" x14ac:dyDescent="0.25">
      <c r="C1165" s="9"/>
      <c r="E1165" s="2013">
        <f>COUNT(G1165:V1165)</f>
        <v>16</v>
      </c>
      <c r="G1165" s="572">
        <f>COUNT(G1145:G1163)</f>
        <v>1</v>
      </c>
      <c r="H1165" s="572">
        <f>COUNT(H1145:H1163)</f>
        <v>1</v>
      </c>
      <c r="I1165" s="572">
        <f>COUNT(I1145:I1163)</f>
        <v>1</v>
      </c>
      <c r="J1165" s="572">
        <f>COUNT(J1145:J1163)</f>
        <v>2</v>
      </c>
      <c r="K1165" s="572">
        <f t="shared" ref="K1165:U1165" si="267">COUNT(K1145:K1163)</f>
        <v>1</v>
      </c>
      <c r="L1165" s="572">
        <f t="shared" si="267"/>
        <v>2</v>
      </c>
      <c r="M1165" s="572">
        <f t="shared" ref="M1165" si="268">COUNT(M1145:M1163)</f>
        <v>1</v>
      </c>
      <c r="N1165" s="572">
        <f t="shared" ref="N1165:O1165" si="269">COUNT(N1145:N1163)</f>
        <v>1</v>
      </c>
      <c r="O1165" s="572">
        <f t="shared" si="269"/>
        <v>1</v>
      </c>
      <c r="P1165" s="572">
        <f t="shared" si="267"/>
        <v>4</v>
      </c>
      <c r="Q1165" s="572">
        <f t="shared" si="267"/>
        <v>5</v>
      </c>
      <c r="R1165" s="572">
        <f t="shared" si="267"/>
        <v>1</v>
      </c>
      <c r="S1165" s="572">
        <f t="shared" ref="S1165" si="270">COUNT(S1145:S1163)</f>
        <v>1</v>
      </c>
      <c r="T1165" s="572">
        <f t="shared" ref="T1165" si="271">COUNT(T1145:T1163)</f>
        <v>1</v>
      </c>
      <c r="U1165" s="572">
        <f t="shared" si="267"/>
        <v>2</v>
      </c>
      <c r="V1165" s="572">
        <f t="shared" ref="V1165" si="272">COUNT(V1145:V1163)</f>
        <v>1</v>
      </c>
      <c r="Y1165" s="23"/>
      <c r="Z1165" s="23"/>
    </row>
    <row r="1166" spans="1:26" ht="12.75" customHeight="1" x14ac:dyDescent="0.25">
      <c r="C1166" s="9"/>
      <c r="G1166" s="538" t="s">
        <v>3701</v>
      </c>
      <c r="H1166" s="538"/>
      <c r="I1166" s="538" t="s">
        <v>15267</v>
      </c>
      <c r="J1166" s="538"/>
      <c r="K1166" s="538" t="s">
        <v>4849</v>
      </c>
      <c r="L1166" s="538"/>
      <c r="M1166" s="538" t="s">
        <v>15629</v>
      </c>
      <c r="N1166" s="538"/>
      <c r="O1166" s="538" t="s">
        <v>16460</v>
      </c>
      <c r="P1166" s="538"/>
      <c r="Q1166" s="538" t="s">
        <v>4862</v>
      </c>
      <c r="R1166" s="561"/>
      <c r="S1166" s="538" t="s">
        <v>15998</v>
      </c>
      <c r="T1166" s="561"/>
      <c r="U1166" s="538" t="s">
        <v>3702</v>
      </c>
      <c r="V1166" s="538"/>
      <c r="W1166" s="364"/>
      <c r="X1166" s="410"/>
      <c r="Y1166" s="470" t="s">
        <v>2433</v>
      </c>
      <c r="Z1166" s="469"/>
    </row>
    <row r="1167" spans="1:26" ht="12.75" customHeight="1" x14ac:dyDescent="0.25">
      <c r="C1167" s="9"/>
      <c r="G1167" s="539"/>
      <c r="H1167" s="539" t="s">
        <v>17142</v>
      </c>
      <c r="I1167" s="539"/>
      <c r="J1167" s="539" t="s">
        <v>10894</v>
      </c>
      <c r="K1167" s="539"/>
      <c r="L1167" s="539" t="s">
        <v>8820</v>
      </c>
      <c r="M1167" s="539"/>
      <c r="N1167" s="539" t="s">
        <v>15325</v>
      </c>
      <c r="O1167" s="539"/>
      <c r="P1167" s="535" t="s">
        <v>4865</v>
      </c>
      <c r="Q1167" s="558"/>
      <c r="R1167" s="535" t="s">
        <v>4863</v>
      </c>
      <c r="S1167" s="535"/>
      <c r="T1167" s="558" t="s">
        <v>12779</v>
      </c>
      <c r="U1167" s="539"/>
      <c r="V1167" s="539" t="s">
        <v>10285</v>
      </c>
      <c r="W1167" s="364"/>
      <c r="X1167" s="364"/>
      <c r="Y1167" s="30"/>
      <c r="Z1167" s="469" t="s">
        <v>4563</v>
      </c>
    </row>
    <row r="1168" spans="1:26" ht="12.75" customHeight="1" x14ac:dyDescent="0.25">
      <c r="C1168" s="9"/>
      <c r="G1168" s="1371"/>
      <c r="H1168" s="1406"/>
      <c r="I1168" s="1406"/>
      <c r="J1168" s="1406"/>
      <c r="K1168" s="1406"/>
      <c r="L1168" s="1406"/>
      <c r="M1168" s="1406"/>
      <c r="N1168" s="1406"/>
      <c r="O1168" s="1406"/>
      <c r="P1168" s="1500"/>
      <c r="Q1168" s="1407"/>
      <c r="R1168" s="1500"/>
      <c r="S1168" s="1500"/>
      <c r="T1168" s="1407"/>
      <c r="U1168" s="1406"/>
      <c r="V1168" s="1406"/>
    </row>
    <row r="1169" spans="1:49" ht="12.75" customHeight="1" x14ac:dyDescent="0.25">
      <c r="C1169" s="9"/>
      <c r="G1169" s="1406"/>
      <c r="H1169" s="1406"/>
      <c r="I1169" s="1406"/>
      <c r="J1169" s="1418"/>
      <c r="K1169" s="1406"/>
      <c r="L1169" s="1406"/>
      <c r="M1169" s="1406"/>
      <c r="N1169" s="1371"/>
    </row>
    <row r="1170" spans="1:49" ht="12.75" customHeight="1" x14ac:dyDescent="0.2">
      <c r="C1170" s="9"/>
    </row>
    <row r="1171" spans="1:49" ht="12.75" customHeight="1" x14ac:dyDescent="0.2">
      <c r="C1171" s="9"/>
      <c r="G1171" s="2" t="s">
        <v>12086</v>
      </c>
    </row>
    <row r="1172" spans="1:49" ht="12.75" customHeight="1" x14ac:dyDescent="0.2">
      <c r="C1172" s="9"/>
      <c r="G1172" s="2" t="s">
        <v>10130</v>
      </c>
      <c r="T1172" s="2"/>
    </row>
    <row r="1173" spans="1:49" ht="12.75" customHeight="1" x14ac:dyDescent="0.2">
      <c r="C1173" s="9"/>
      <c r="G1173" s="2"/>
    </row>
    <row r="1174" spans="1:49" ht="12.75" customHeight="1" thickBot="1" x14ac:dyDescent="0.25">
      <c r="C1174" s="9"/>
      <c r="G1174" s="2"/>
      <c r="Y1174" s="2005"/>
    </row>
    <row r="1175" spans="1:49" ht="12.75" customHeight="1" thickBot="1" x14ac:dyDescent="0.25">
      <c r="A1175" s="1390" t="s">
        <v>4434</v>
      </c>
      <c r="C1175" s="9"/>
      <c r="H1175" s="2"/>
      <c r="I1175" s="2"/>
      <c r="J1175" s="2"/>
      <c r="K1175" s="2"/>
      <c r="L1175" s="2"/>
      <c r="M1175" s="2"/>
      <c r="N1175" s="2"/>
      <c r="O1175" s="1364"/>
      <c r="P1175" s="2"/>
      <c r="Q1175" s="41"/>
      <c r="R1175" s="41"/>
      <c r="S1175" s="2"/>
      <c r="T1175" s="2"/>
      <c r="U1175" s="2"/>
      <c r="V1175" s="2"/>
      <c r="W1175" s="2"/>
      <c r="X1175" s="2"/>
      <c r="Y1175" s="2005"/>
      <c r="Z1175" s="2"/>
      <c r="AA1175" s="2"/>
      <c r="AB1175" s="2"/>
    </row>
    <row r="1176" spans="1:49" ht="12.75" customHeight="1" x14ac:dyDescent="0.2">
      <c r="C1176" s="9"/>
      <c r="G1176" s="97" t="s">
        <v>9612</v>
      </c>
      <c r="H1176" s="97"/>
      <c r="I1176" s="97"/>
      <c r="J1176" s="151"/>
      <c r="K1176" s="151"/>
      <c r="L1176" s="97" t="s">
        <v>12085</v>
      </c>
      <c r="M1176" s="151"/>
      <c r="N1176" s="151"/>
      <c r="O1176" s="151"/>
      <c r="P1176" s="97"/>
      <c r="Q1176" s="97"/>
      <c r="R1176" s="151"/>
      <c r="S1176" s="151"/>
      <c r="T1176" s="151"/>
      <c r="U1176" s="97"/>
      <c r="V1176" s="97"/>
      <c r="W1176" s="97"/>
      <c r="AA1176" s="97" t="s">
        <v>1212</v>
      </c>
      <c r="AB1176" s="97"/>
      <c r="AC1176" s="97"/>
      <c r="AD1176" s="97"/>
      <c r="AE1176" s="97"/>
      <c r="AF1176" s="97"/>
      <c r="AG1176" s="151"/>
      <c r="AH1176" s="151"/>
      <c r="AI1176" s="97"/>
      <c r="AJ1176" s="151"/>
      <c r="AK1176" s="151"/>
      <c r="AL1176" s="151"/>
      <c r="AM1176" s="151"/>
      <c r="AN1176" s="151"/>
      <c r="AO1176" s="151"/>
      <c r="AP1176" s="151"/>
      <c r="AQ1176" s="151"/>
      <c r="AR1176" s="151"/>
      <c r="AS1176" s="2"/>
    </row>
    <row r="1177" spans="1:49" ht="12.75" customHeight="1" x14ac:dyDescent="0.25">
      <c r="C1177" s="9"/>
      <c r="G1177" s="1347" t="s">
        <v>4999</v>
      </c>
      <c r="H1177" s="1346"/>
      <c r="I1177" s="1346"/>
      <c r="J1177" s="1347" t="s">
        <v>12084</v>
      </c>
      <c r="K1177" s="1347"/>
      <c r="L1177" s="1349"/>
      <c r="M1177" s="1349"/>
      <c r="N1177" s="1349"/>
      <c r="O1177" s="70" t="s">
        <v>12324</v>
      </c>
      <c r="P1177" s="1349"/>
      <c r="Q1177" s="1349"/>
      <c r="R1177" s="109"/>
      <c r="S1177" s="151" t="s">
        <v>8888</v>
      </c>
      <c r="T1177" s="109"/>
      <c r="U1177" s="109"/>
      <c r="V1177" s="1698"/>
      <c r="W1177" s="1697"/>
      <c r="X1177" s="1697"/>
      <c r="Y1177" s="1697"/>
      <c r="Z1177" s="1699" t="s">
        <v>4678</v>
      </c>
      <c r="AA1177" s="1697"/>
      <c r="AB1177" s="1699" t="s">
        <v>16408</v>
      </c>
      <c r="AC1177" s="1697"/>
      <c r="AD1177" s="1697"/>
      <c r="AE1177" s="1697"/>
      <c r="AF1177" s="41"/>
      <c r="AG1177" s="7"/>
      <c r="AH1177" s="97"/>
      <c r="AI1177" s="434"/>
      <c r="AJ1177" s="151"/>
      <c r="AK1177" s="151"/>
      <c r="AL1177" s="151"/>
      <c r="AM1177" s="151"/>
      <c r="AN1177" s="151"/>
      <c r="AO1177" s="151"/>
      <c r="AP1177" s="151"/>
      <c r="AQ1177" s="151"/>
      <c r="AR1177" s="151"/>
      <c r="AS1177" s="151"/>
    </row>
    <row r="1178" spans="1:49" ht="12.75" customHeight="1" x14ac:dyDescent="0.2">
      <c r="C1178" s="9"/>
      <c r="G1178" s="560" t="s">
        <v>4799</v>
      </c>
      <c r="H1178" s="188" t="s">
        <v>11803</v>
      </c>
      <c r="I1178" s="41"/>
      <c r="J1178" s="1702" t="s">
        <v>9617</v>
      </c>
      <c r="K1178" s="1701"/>
      <c r="L1178" s="553" t="s">
        <v>8792</v>
      </c>
      <c r="M1178" s="560" t="s">
        <v>12262</v>
      </c>
      <c r="N1178" s="1697"/>
      <c r="O1178" s="553" t="s">
        <v>12316</v>
      </c>
      <c r="P1178" s="41"/>
      <c r="Q1178" s="560" t="s">
        <v>12899</v>
      </c>
      <c r="R1178" s="553" t="s">
        <v>8946</v>
      </c>
      <c r="S1178" s="560" t="s">
        <v>15734</v>
      </c>
      <c r="T1178" s="1359" t="s">
        <v>8887</v>
      </c>
      <c r="U1178" s="560" t="s">
        <v>12136</v>
      </c>
      <c r="V1178" s="1359" t="s">
        <v>15694</v>
      </c>
      <c r="W1178" s="560" t="s">
        <v>15733</v>
      </c>
      <c r="X1178" s="553" t="s">
        <v>16249</v>
      </c>
      <c r="Y1178" s="1697"/>
      <c r="Z1178" s="560" t="s">
        <v>17170</v>
      </c>
      <c r="AA1178" s="1697"/>
      <c r="AB1178" s="1892" t="s">
        <v>17264</v>
      </c>
      <c r="AC1178" s="1697"/>
      <c r="AD1178" s="1697"/>
      <c r="AE1178" s="1697"/>
      <c r="AF1178" s="1697"/>
      <c r="AG1178" s="41"/>
      <c r="AH1178" s="41"/>
      <c r="AI1178" s="41"/>
      <c r="AJ1178" s="151"/>
      <c r="AK1178" s="151"/>
      <c r="AL1178" s="41"/>
      <c r="AM1178" s="41"/>
      <c r="AN1178" s="41"/>
      <c r="AO1178" s="41"/>
      <c r="AP1178" s="41"/>
      <c r="AQ1178" s="41"/>
      <c r="AR1178" s="41"/>
      <c r="AS1178" s="41"/>
      <c r="AT1178" s="41"/>
      <c r="AU1178" s="41"/>
    </row>
    <row r="1179" spans="1:49" ht="12.75" customHeight="1" x14ac:dyDescent="0.2">
      <c r="A1179" s="1374" t="s">
        <v>7919</v>
      </c>
      <c r="B1179" s="1374" t="s">
        <v>4270</v>
      </c>
      <c r="C1179" s="9">
        <f t="shared" ref="C1179:C1186" si="273">SUM(G1179:X1179)</f>
        <v>0</v>
      </c>
      <c r="F1179" s="992">
        <f t="shared" ref="F1179:F1198" si="274">COUNT(G1179:X1179)</f>
        <v>0</v>
      </c>
      <c r="G1179" s="463"/>
      <c r="H1179" s="463"/>
      <c r="I1179" s="151"/>
      <c r="J1179" s="463"/>
      <c r="K1179" s="1699"/>
      <c r="L1179" s="462"/>
      <c r="M1179" s="462"/>
      <c r="N1179" s="1697"/>
      <c r="O1179" s="462"/>
      <c r="P1179" s="41"/>
      <c r="Q1179" s="462"/>
      <c r="R1179" s="462"/>
      <c r="S1179" s="462"/>
      <c r="T1179" s="462"/>
      <c r="U1179" s="463"/>
      <c r="V1179" s="463"/>
      <c r="W1179" s="1709"/>
      <c r="X1179" s="1393"/>
      <c r="Y1179" s="1697"/>
      <c r="Z1179" s="1393"/>
      <c r="AA1179" s="1699"/>
      <c r="AB1179" s="1893"/>
      <c r="AC1179" s="1699"/>
      <c r="AD1179" s="1699"/>
      <c r="AE1179" s="1699"/>
      <c r="AF1179" s="1699"/>
      <c r="AG1179" s="151"/>
      <c r="AH1179" s="151"/>
      <c r="AI1179" s="151"/>
      <c r="AJ1179" s="151"/>
      <c r="AK1179" s="151"/>
      <c r="AL1179" s="151"/>
      <c r="AM1179" s="151"/>
      <c r="AN1179" s="151"/>
      <c r="AO1179" s="151"/>
      <c r="AP1179" s="151"/>
      <c r="AQ1179" s="151"/>
      <c r="AR1179" s="151"/>
      <c r="AS1179" s="42"/>
      <c r="AT1179" s="42"/>
      <c r="AU1179" s="42"/>
      <c r="AV1179" s="42"/>
      <c r="AW1179" s="42"/>
    </row>
    <row r="1180" spans="1:49" ht="12.75" customHeight="1" x14ac:dyDescent="0.2">
      <c r="A1180" s="1410" t="s">
        <v>726</v>
      </c>
      <c r="B1180" s="1410" t="s">
        <v>1295</v>
      </c>
      <c r="C1180" s="9">
        <f t="shared" si="273"/>
        <v>0</v>
      </c>
      <c r="F1180" s="992">
        <f t="shared" si="274"/>
        <v>0</v>
      </c>
      <c r="G1180" s="463"/>
      <c r="H1180" s="463"/>
      <c r="I1180" s="151"/>
      <c r="J1180" s="463"/>
      <c r="K1180" s="1699"/>
      <c r="L1180" s="462"/>
      <c r="M1180" s="462"/>
      <c r="N1180" s="1697"/>
      <c r="O1180" s="462"/>
      <c r="P1180" s="41"/>
      <c r="Q1180" s="462"/>
      <c r="R1180" s="462"/>
      <c r="S1180" s="462"/>
      <c r="T1180" s="462"/>
      <c r="U1180" s="463"/>
      <c r="V1180" s="463"/>
      <c r="W1180" s="1710"/>
      <c r="X1180" s="1393"/>
      <c r="Y1180" s="1697"/>
      <c r="Z1180" s="1393"/>
      <c r="AA1180" s="1699"/>
      <c r="AB1180" s="1892"/>
      <c r="AC1180" s="1697"/>
      <c r="AD1180" s="1699"/>
      <c r="AE1180" s="1697"/>
      <c r="AF1180" s="1700"/>
      <c r="AG1180" s="109"/>
      <c r="AH1180" s="109"/>
      <c r="AI1180" s="109"/>
      <c r="AJ1180" s="41"/>
      <c r="AK1180" s="41"/>
      <c r="AL1180" s="151"/>
      <c r="AM1180" s="151"/>
      <c r="AN1180" s="151"/>
      <c r="AO1180" s="151"/>
      <c r="AP1180" s="151"/>
      <c r="AQ1180" s="151"/>
      <c r="AR1180" s="151"/>
      <c r="AS1180" s="42"/>
      <c r="AT1180" s="42"/>
      <c r="AU1180" s="42"/>
      <c r="AV1180" s="42"/>
      <c r="AW1180" s="42"/>
    </row>
    <row r="1181" spans="1:49" ht="12.75" customHeight="1" x14ac:dyDescent="0.2">
      <c r="A1181" s="1410" t="s">
        <v>3508</v>
      </c>
      <c r="B1181" s="1410" t="s">
        <v>1295</v>
      </c>
      <c r="C1181" s="9">
        <f t="shared" si="273"/>
        <v>0</v>
      </c>
      <c r="F1181" s="992">
        <f t="shared" si="274"/>
        <v>0</v>
      </c>
      <c r="G1181" s="463"/>
      <c r="H1181" s="463"/>
      <c r="I1181" s="151"/>
      <c r="J1181" s="463"/>
      <c r="K1181" s="1699"/>
      <c r="L1181" s="462"/>
      <c r="M1181" s="462"/>
      <c r="N1181" s="1697"/>
      <c r="O1181" s="462"/>
      <c r="P1181" s="41"/>
      <c r="Q1181" s="462"/>
      <c r="R1181" s="462"/>
      <c r="S1181" s="462"/>
      <c r="T1181" s="462"/>
      <c r="U1181" s="463"/>
      <c r="V1181" s="463"/>
      <c r="W1181" s="1710"/>
      <c r="X1181" s="1393"/>
      <c r="Y1181" s="1697"/>
      <c r="Z1181" s="1393"/>
      <c r="AA1181" s="1699"/>
      <c r="AB1181" s="1892"/>
      <c r="AC1181" s="1697"/>
      <c r="AD1181" s="1699"/>
      <c r="AE1181" s="1697"/>
      <c r="AF1181" s="1700"/>
      <c r="AG1181" s="109"/>
      <c r="AH1181" s="109"/>
      <c r="AI1181" s="109"/>
      <c r="AJ1181" s="41"/>
      <c r="AK1181" s="41"/>
      <c r="AL1181" s="151"/>
      <c r="AM1181" s="151"/>
      <c r="AN1181" s="151"/>
      <c r="AO1181" s="151"/>
      <c r="AP1181" s="151"/>
      <c r="AQ1181" s="151"/>
      <c r="AR1181" s="151"/>
      <c r="AS1181" s="42"/>
      <c r="AT1181" s="42"/>
      <c r="AU1181" s="42"/>
      <c r="AV1181" s="42"/>
      <c r="AW1181" s="42"/>
    </row>
    <row r="1182" spans="1:49" ht="12.75" customHeight="1" x14ac:dyDescent="0.2">
      <c r="A1182" s="1375" t="s">
        <v>11800</v>
      </c>
      <c r="B1182" s="1375" t="s">
        <v>11801</v>
      </c>
      <c r="C1182" s="9">
        <f t="shared" si="273"/>
        <v>1</v>
      </c>
      <c r="E1182" s="1454"/>
      <c r="F1182" s="992">
        <f t="shared" si="274"/>
        <v>1</v>
      </c>
      <c r="G1182" s="463"/>
      <c r="H1182" s="462">
        <v>1</v>
      </c>
      <c r="I1182" s="41"/>
      <c r="J1182" s="463"/>
      <c r="K1182" s="1699"/>
      <c r="L1182" s="462"/>
      <c r="M1182" s="462"/>
      <c r="N1182" s="1697"/>
      <c r="O1182" s="462"/>
      <c r="P1182" s="41"/>
      <c r="Q1182" s="462"/>
      <c r="R1182" s="462"/>
      <c r="S1182" s="462"/>
      <c r="T1182" s="462"/>
      <c r="U1182" s="463"/>
      <c r="V1182" s="463"/>
      <c r="W1182" s="1710"/>
      <c r="X1182" s="1393"/>
      <c r="Y1182" s="1697"/>
      <c r="Z1182" s="1393"/>
      <c r="AA1182" s="1699"/>
      <c r="AB1182" s="1892"/>
      <c r="AC1182" s="1697"/>
      <c r="AD1182" s="1699"/>
      <c r="AE1182" s="1697"/>
      <c r="AF1182" s="1700"/>
      <c r="AG1182" s="109"/>
      <c r="AH1182" s="109"/>
      <c r="AI1182" s="109"/>
      <c r="AJ1182" s="41"/>
      <c r="AK1182" s="41"/>
      <c r="AL1182" s="151"/>
      <c r="AM1182" s="151"/>
      <c r="AN1182" s="151"/>
      <c r="AO1182" s="151"/>
      <c r="AP1182" s="151"/>
      <c r="AQ1182" s="151"/>
      <c r="AR1182" s="151"/>
      <c r="AS1182" s="42"/>
      <c r="AT1182" s="42"/>
      <c r="AU1182" s="42"/>
      <c r="AV1182" s="42"/>
      <c r="AW1182" s="42"/>
    </row>
    <row r="1183" spans="1:49" ht="12.75" customHeight="1" x14ac:dyDescent="0.2">
      <c r="A1183" s="1370" t="s">
        <v>3508</v>
      </c>
      <c r="B1183" s="1370" t="s">
        <v>3632</v>
      </c>
      <c r="C1183" s="9">
        <f t="shared" si="273"/>
        <v>2</v>
      </c>
      <c r="E1183" s="1454"/>
      <c r="F1183" s="992">
        <f t="shared" si="274"/>
        <v>2</v>
      </c>
      <c r="G1183" s="463"/>
      <c r="H1183" s="462"/>
      <c r="I1183" s="41"/>
      <c r="J1183" s="463"/>
      <c r="K1183" s="1699"/>
      <c r="L1183" s="462"/>
      <c r="M1183" s="462"/>
      <c r="N1183" s="1697"/>
      <c r="O1183" s="1393"/>
      <c r="P1183" s="1402"/>
      <c r="Q1183" s="1393"/>
      <c r="R1183" s="1393">
        <v>1</v>
      </c>
      <c r="S1183" s="1393"/>
      <c r="T1183" s="1393">
        <v>1</v>
      </c>
      <c r="U1183" s="463"/>
      <c r="V1183" s="463"/>
      <c r="W1183" s="1710"/>
      <c r="X1183" s="1393"/>
      <c r="Y1183" s="1697"/>
      <c r="Z1183" s="1393"/>
      <c r="AA1183" s="1699"/>
      <c r="AB1183" s="1892"/>
      <c r="AC1183" s="1697"/>
      <c r="AD1183" s="1699"/>
      <c r="AE1183" s="1697"/>
      <c r="AF1183" s="1700"/>
      <c r="AG1183" s="109"/>
      <c r="AH1183" s="109"/>
      <c r="AI1183" s="109"/>
      <c r="AJ1183" s="41"/>
      <c r="AK1183" s="41"/>
      <c r="AL1183" s="151"/>
      <c r="AM1183" s="151"/>
      <c r="AN1183" s="151"/>
      <c r="AO1183" s="151"/>
      <c r="AP1183" s="151"/>
      <c r="AQ1183" s="151"/>
      <c r="AR1183" s="151"/>
      <c r="AS1183" s="42"/>
      <c r="AT1183" s="42"/>
      <c r="AU1183" s="42"/>
      <c r="AV1183" s="42"/>
      <c r="AW1183" s="42"/>
    </row>
    <row r="1184" spans="1:49" ht="12.75" customHeight="1" x14ac:dyDescent="0.2">
      <c r="A1184" s="1375" t="s">
        <v>922</v>
      </c>
      <c r="B1184" s="1375" t="s">
        <v>1530</v>
      </c>
      <c r="C1184" s="9">
        <f t="shared" si="273"/>
        <v>2</v>
      </c>
      <c r="E1184" s="1454"/>
      <c r="F1184" s="992">
        <f t="shared" si="274"/>
        <v>2</v>
      </c>
      <c r="G1184" s="463"/>
      <c r="H1184" s="462"/>
      <c r="I1184" s="41"/>
      <c r="J1184" s="463"/>
      <c r="K1184" s="1699"/>
      <c r="L1184" s="462"/>
      <c r="M1184" s="462"/>
      <c r="N1184" s="1697"/>
      <c r="O1184" s="1393"/>
      <c r="P1184" s="1402"/>
      <c r="Q1184" s="1393"/>
      <c r="R1184" s="1393"/>
      <c r="S1184" s="1393"/>
      <c r="T1184" s="1393"/>
      <c r="U1184" s="1393">
        <v>1</v>
      </c>
      <c r="V1184" s="1709"/>
      <c r="W1184" s="1710">
        <v>1</v>
      </c>
      <c r="X1184" s="1393"/>
      <c r="Y1184" s="1697"/>
      <c r="Z1184" s="1393"/>
      <c r="AA1184" s="1699"/>
      <c r="AB1184" s="1892"/>
      <c r="AC1184" s="1697"/>
      <c r="AD1184" s="1699"/>
      <c r="AE1184" s="1697"/>
      <c r="AF1184" s="1700"/>
      <c r="AG1184" s="109"/>
      <c r="AH1184" s="109"/>
      <c r="AI1184" s="109"/>
      <c r="AJ1184" s="41"/>
      <c r="AK1184" s="41"/>
      <c r="AL1184" s="151"/>
      <c r="AM1184" s="151"/>
      <c r="AN1184" s="151"/>
      <c r="AO1184" s="151"/>
      <c r="AP1184" s="151"/>
      <c r="AQ1184" s="151"/>
      <c r="AR1184" s="151"/>
      <c r="AS1184" s="42"/>
      <c r="AT1184" s="42"/>
      <c r="AU1184" s="42"/>
      <c r="AV1184" s="42"/>
      <c r="AW1184" s="42"/>
    </row>
    <row r="1185" spans="1:50" ht="12.75" customHeight="1" x14ac:dyDescent="0.2">
      <c r="A1185" s="1371" t="s">
        <v>5980</v>
      </c>
      <c r="B1185" s="1371" t="s">
        <v>4818</v>
      </c>
      <c r="C1185" s="9">
        <f t="shared" si="273"/>
        <v>3</v>
      </c>
      <c r="E1185" s="1440"/>
      <c r="F1185" s="992">
        <f t="shared" si="274"/>
        <v>3</v>
      </c>
      <c r="G1185" s="337">
        <v>1</v>
      </c>
      <c r="H1185" s="337"/>
      <c r="I1185" s="109"/>
      <c r="J1185" s="463"/>
      <c r="K1185" s="1699"/>
      <c r="L1185" s="462">
        <v>1</v>
      </c>
      <c r="M1185" s="462"/>
      <c r="N1185" s="1697"/>
      <c r="O1185" s="1393"/>
      <c r="P1185" s="1402"/>
      <c r="Q1185" s="1393"/>
      <c r="R1185" s="1393"/>
      <c r="S1185" s="1393"/>
      <c r="T1185" s="1393"/>
      <c r="U1185" s="1709"/>
      <c r="V1185" s="1709"/>
      <c r="W1185" s="1709"/>
      <c r="X1185" s="1393">
        <v>1</v>
      </c>
      <c r="Y1185" s="1697"/>
      <c r="Z1185" s="1393"/>
      <c r="AA1185" s="1699"/>
      <c r="AB1185" s="1893"/>
      <c r="AC1185" s="1699"/>
      <c r="AD1185" s="1699"/>
      <c r="AE1185" s="1699"/>
      <c r="AF1185" s="1699"/>
      <c r="AG1185" s="151"/>
      <c r="AH1185" s="151"/>
      <c r="AI1185" s="151"/>
      <c r="AJ1185" s="151"/>
      <c r="AK1185" s="151"/>
      <c r="AL1185" s="151"/>
      <c r="AM1185" s="151"/>
      <c r="AN1185" s="151"/>
      <c r="AO1185" s="151"/>
      <c r="AP1185" s="151"/>
      <c r="AQ1185" s="151"/>
      <c r="AR1185" s="151"/>
      <c r="AS1185" s="42"/>
      <c r="AT1185" s="42"/>
      <c r="AU1185" s="42"/>
      <c r="AV1185" s="42"/>
      <c r="AW1185" s="42"/>
      <c r="AX1185" s="42"/>
    </row>
    <row r="1186" spans="1:50" ht="12.75" customHeight="1" x14ac:dyDescent="0.2">
      <c r="A1186" s="1371" t="s">
        <v>3011</v>
      </c>
      <c r="B1186" s="1371" t="s">
        <v>3012</v>
      </c>
      <c r="C1186" s="9">
        <f t="shared" si="273"/>
        <v>0</v>
      </c>
      <c r="E1186" s="1440"/>
      <c r="F1186" s="992">
        <f t="shared" si="274"/>
        <v>0</v>
      </c>
      <c r="G1186" s="463"/>
      <c r="H1186" s="463"/>
      <c r="I1186" s="151"/>
      <c r="J1186" s="463"/>
      <c r="K1186" s="1699"/>
      <c r="L1186" s="462"/>
      <c r="M1186" s="462"/>
      <c r="N1186" s="1697"/>
      <c r="O1186" s="1393"/>
      <c r="P1186" s="1402"/>
      <c r="Q1186" s="1393"/>
      <c r="R1186" s="1393"/>
      <c r="S1186" s="1393"/>
      <c r="T1186" s="1393"/>
      <c r="U1186" s="1709"/>
      <c r="V1186" s="1709"/>
      <c r="W1186" s="1709"/>
      <c r="X1186" s="1393"/>
      <c r="Y1186" s="1697"/>
      <c r="Z1186" s="1393"/>
      <c r="AA1186" s="1700"/>
      <c r="AB1186" s="1894"/>
      <c r="AC1186" s="1700"/>
      <c r="AD1186" s="1700"/>
      <c r="AE1186" s="1700"/>
      <c r="AF1186" s="1699"/>
      <c r="AG1186" s="151"/>
      <c r="AH1186" s="151"/>
      <c r="AI1186" s="151"/>
      <c r="AJ1186" s="151"/>
      <c r="AK1186" s="151"/>
      <c r="AL1186" s="151"/>
      <c r="AM1186" s="151"/>
      <c r="AN1186" s="151"/>
      <c r="AO1186" s="151"/>
      <c r="AP1186" s="151"/>
      <c r="AQ1186" s="151"/>
      <c r="AR1186" s="151"/>
      <c r="AS1186" s="42"/>
      <c r="AT1186" s="42"/>
      <c r="AU1186" s="42"/>
      <c r="AV1186" s="42"/>
      <c r="AW1186" s="42"/>
    </row>
    <row r="1187" spans="1:50" ht="12.75" customHeight="1" x14ac:dyDescent="0.2">
      <c r="A1187" s="1371" t="s">
        <v>665</v>
      </c>
      <c r="B1187" s="1371" t="s">
        <v>666</v>
      </c>
      <c r="C1187" s="9">
        <f>SUM(G1187:Z1187)</f>
        <v>14</v>
      </c>
      <c r="E1187" s="1440"/>
      <c r="F1187" s="992">
        <f>COUNT(G1187:Z1187)</f>
        <v>13</v>
      </c>
      <c r="G1187" s="337">
        <v>1</v>
      </c>
      <c r="H1187" s="337">
        <v>1</v>
      </c>
      <c r="I1187" s="109"/>
      <c r="J1187" s="462">
        <v>2</v>
      </c>
      <c r="K1187" s="1697"/>
      <c r="L1187" s="462">
        <v>1</v>
      </c>
      <c r="M1187" s="462">
        <v>1</v>
      </c>
      <c r="N1187" s="1697"/>
      <c r="O1187" s="1393">
        <v>1</v>
      </c>
      <c r="P1187" s="1402"/>
      <c r="Q1187" s="1393"/>
      <c r="R1187" s="1393">
        <v>1</v>
      </c>
      <c r="S1187" s="1393">
        <v>1</v>
      </c>
      <c r="T1187" s="1393">
        <v>1</v>
      </c>
      <c r="U1187" s="1393">
        <v>1</v>
      </c>
      <c r="V1187" s="1393">
        <v>1</v>
      </c>
      <c r="W1187" s="1710"/>
      <c r="X1187" s="1393">
        <v>1</v>
      </c>
      <c r="Y1187" s="1697"/>
      <c r="Z1187" s="1393">
        <v>1</v>
      </c>
      <c r="AA1187" s="1700"/>
      <c r="AB1187" s="1894"/>
      <c r="AC1187" s="1700"/>
      <c r="AD1187" s="1700"/>
      <c r="AE1187" s="1700"/>
      <c r="AF1187" s="1700"/>
      <c r="AG1187" s="109"/>
      <c r="AH1187" s="109"/>
      <c r="AI1187" s="109"/>
      <c r="AJ1187" s="109"/>
      <c r="AK1187" s="109"/>
      <c r="AL1187" s="109"/>
      <c r="AM1187" s="109"/>
      <c r="AN1187" s="109"/>
      <c r="AO1187" s="109"/>
      <c r="AP1187" s="109"/>
      <c r="AQ1187" s="109"/>
      <c r="AR1187" s="109"/>
      <c r="AS1187" s="42"/>
      <c r="AT1187" s="42"/>
      <c r="AU1187" s="42"/>
      <c r="AV1187" s="42"/>
      <c r="AW1187" s="42"/>
    </row>
    <row r="1188" spans="1:50" ht="12.75" customHeight="1" x14ac:dyDescent="0.2">
      <c r="A1188" s="1660" t="s">
        <v>16702</v>
      </c>
      <c r="B1188" s="1660" t="s">
        <v>16703</v>
      </c>
      <c r="C1188" s="9">
        <f>SUM(G1188:AB1188)</f>
        <v>1</v>
      </c>
      <c r="E1188" s="2040">
        <f>AB1188</f>
        <v>1</v>
      </c>
      <c r="F1188" s="992">
        <f t="shared" si="274"/>
        <v>0</v>
      </c>
      <c r="G1188" s="337"/>
      <c r="H1188" s="337"/>
      <c r="I1188" s="109"/>
      <c r="J1188" s="462"/>
      <c r="K1188" s="1697"/>
      <c r="L1188" s="462"/>
      <c r="M1188" s="462"/>
      <c r="N1188" s="1697"/>
      <c r="O1188" s="1393"/>
      <c r="P1188" s="1402"/>
      <c r="Q1188" s="1393"/>
      <c r="R1188" s="1393"/>
      <c r="S1188" s="1393"/>
      <c r="T1188" s="1393"/>
      <c r="U1188" s="1393"/>
      <c r="V1188" s="1393"/>
      <c r="W1188" s="1710"/>
      <c r="X1188" s="1393"/>
      <c r="Y1188" s="1697"/>
      <c r="Z1188" s="1393"/>
      <c r="AA1188" s="1700"/>
      <c r="AB1188" s="1710">
        <v>1</v>
      </c>
      <c r="AC1188" s="1700"/>
      <c r="AD1188" s="1700"/>
      <c r="AE1188" s="1700"/>
      <c r="AF1188" s="1700"/>
      <c r="AG1188" s="109"/>
      <c r="AH1188" s="109"/>
      <c r="AI1188" s="109"/>
      <c r="AJ1188" s="109"/>
      <c r="AK1188" s="109"/>
      <c r="AL1188" s="109"/>
      <c r="AM1188" s="109"/>
      <c r="AN1188" s="109"/>
      <c r="AO1188" s="109"/>
      <c r="AP1188" s="109"/>
      <c r="AQ1188" s="109"/>
      <c r="AR1188" s="109"/>
      <c r="AS1188" s="42"/>
      <c r="AT1188" s="42"/>
      <c r="AU1188" s="42"/>
      <c r="AV1188" s="42"/>
      <c r="AW1188" s="42"/>
    </row>
    <row r="1189" spans="1:50" ht="12.75" customHeight="1" x14ac:dyDescent="0.2">
      <c r="A1189" s="1374" t="s">
        <v>2342</v>
      </c>
      <c r="B1189" s="1374" t="s">
        <v>2343</v>
      </c>
      <c r="C1189" s="9">
        <f t="shared" ref="C1189:C1198" si="275">SUM(G1189:X1189)</f>
        <v>0</v>
      </c>
      <c r="E1189" s="1440"/>
      <c r="F1189" s="992">
        <f t="shared" si="274"/>
        <v>0</v>
      </c>
      <c r="G1189" s="337"/>
      <c r="H1189" s="337"/>
      <c r="I1189" s="109"/>
      <c r="J1189" s="462"/>
      <c r="K1189" s="1697"/>
      <c r="L1189" s="462"/>
      <c r="M1189" s="462"/>
      <c r="N1189" s="1697"/>
      <c r="O1189" s="462"/>
      <c r="P1189" s="41"/>
      <c r="Q1189" s="462"/>
      <c r="R1189" s="1393"/>
      <c r="S1189" s="1393"/>
      <c r="T1189" s="462"/>
      <c r="U1189" s="463"/>
      <c r="V1189" s="463"/>
      <c r="W1189" s="1710"/>
      <c r="X1189" s="1393"/>
      <c r="Y1189" s="1697"/>
      <c r="Z1189" s="1393"/>
      <c r="AA1189" s="1700"/>
      <c r="AB1189" s="1894"/>
      <c r="AC1189" s="1700"/>
      <c r="AD1189" s="1700"/>
      <c r="AE1189" s="1700"/>
      <c r="AF1189" s="1700"/>
      <c r="AG1189" s="109"/>
      <c r="AH1189" s="109"/>
      <c r="AI1189" s="109"/>
      <c r="AJ1189" s="109"/>
      <c r="AK1189" s="109"/>
      <c r="AL1189" s="109"/>
      <c r="AM1189" s="109"/>
      <c r="AN1189" s="109"/>
      <c r="AO1189" s="109"/>
      <c r="AP1189" s="109"/>
      <c r="AQ1189" s="109"/>
      <c r="AR1189" s="109"/>
      <c r="AS1189" s="42"/>
      <c r="AT1189" s="42"/>
      <c r="AU1189" s="42"/>
      <c r="AV1189" s="42"/>
      <c r="AW1189" s="42"/>
    </row>
    <row r="1190" spans="1:50" ht="12.75" customHeight="1" x14ac:dyDescent="0.2">
      <c r="A1190" s="1374" t="s">
        <v>2137</v>
      </c>
      <c r="B1190" s="1374" t="s">
        <v>4943</v>
      </c>
      <c r="C1190" s="9">
        <f t="shared" si="275"/>
        <v>1</v>
      </c>
      <c r="E1190" s="1440"/>
      <c r="F1190" s="992">
        <f t="shared" si="274"/>
        <v>1</v>
      </c>
      <c r="G1190" s="337"/>
      <c r="H1190" s="337"/>
      <c r="I1190" s="109"/>
      <c r="J1190" s="462"/>
      <c r="K1190" s="1697"/>
      <c r="L1190" s="462"/>
      <c r="M1190" s="462"/>
      <c r="N1190" s="1697"/>
      <c r="O1190" s="462"/>
      <c r="P1190" s="41"/>
      <c r="Q1190" s="462"/>
      <c r="R1190" s="1393">
        <v>1</v>
      </c>
      <c r="S1190" s="1393"/>
      <c r="T1190" s="462"/>
      <c r="U1190" s="463"/>
      <c r="V1190" s="463"/>
      <c r="W1190" s="1710"/>
      <c r="X1190" s="1393"/>
      <c r="Y1190" s="1697"/>
      <c r="Z1190" s="1393"/>
      <c r="AA1190" s="1700"/>
      <c r="AB1190" s="1894"/>
      <c r="AC1190" s="1700"/>
      <c r="AD1190" s="1700"/>
      <c r="AE1190" s="1700"/>
      <c r="AF1190" s="1700"/>
      <c r="AG1190" s="109"/>
      <c r="AH1190" s="109"/>
      <c r="AI1190" s="109"/>
      <c r="AJ1190" s="109"/>
      <c r="AK1190" s="109"/>
      <c r="AL1190" s="109"/>
      <c r="AM1190" s="109"/>
      <c r="AN1190" s="109"/>
      <c r="AO1190" s="109"/>
      <c r="AP1190" s="109"/>
      <c r="AQ1190" s="109"/>
      <c r="AR1190" s="109"/>
      <c r="AS1190" s="42"/>
      <c r="AT1190" s="42"/>
      <c r="AU1190" s="42"/>
      <c r="AV1190" s="42"/>
      <c r="AW1190" s="42"/>
    </row>
    <row r="1191" spans="1:50" ht="12.75" customHeight="1" x14ac:dyDescent="0.2">
      <c r="A1191" s="1374" t="s">
        <v>4561</v>
      </c>
      <c r="B1191" s="1374" t="s">
        <v>4562</v>
      </c>
      <c r="C1191" s="9">
        <f t="shared" si="275"/>
        <v>0</v>
      </c>
      <c r="E1191" s="1440"/>
      <c r="F1191" s="992">
        <f t="shared" si="274"/>
        <v>0</v>
      </c>
      <c r="G1191" s="463"/>
      <c r="H1191" s="463"/>
      <c r="I1191" s="151"/>
      <c r="J1191" s="463"/>
      <c r="K1191" s="1699"/>
      <c r="L1191" s="462"/>
      <c r="M1191" s="462"/>
      <c r="N1191" s="1697"/>
      <c r="O1191" s="462"/>
      <c r="P1191" s="41"/>
      <c r="Q1191" s="462"/>
      <c r="R1191" s="1393"/>
      <c r="S1191" s="1393"/>
      <c r="T1191" s="462"/>
      <c r="U1191" s="463"/>
      <c r="V1191" s="463"/>
      <c r="W1191" s="1710"/>
      <c r="X1191" s="1709"/>
      <c r="Y1191" s="1699"/>
      <c r="Z1191" s="1709"/>
      <c r="AA1191" s="1699"/>
      <c r="AB1191" s="1893"/>
      <c r="AC1191" s="1699"/>
      <c r="AD1191" s="1699"/>
      <c r="AE1191" s="1699"/>
      <c r="AF1191" s="1699"/>
      <c r="AG1191" s="151"/>
      <c r="AH1191" s="151"/>
      <c r="AI1191" s="151"/>
      <c r="AJ1191" s="151"/>
      <c r="AK1191" s="151"/>
      <c r="AL1191" s="151"/>
      <c r="AM1191" s="151"/>
      <c r="AN1191" s="151"/>
      <c r="AO1191" s="151"/>
      <c r="AP1191" s="151"/>
      <c r="AQ1191" s="151"/>
      <c r="AR1191" s="151"/>
      <c r="AS1191" s="42"/>
      <c r="AT1191" s="42"/>
      <c r="AU1191" s="42"/>
      <c r="AV1191" s="42"/>
      <c r="AW1191" s="42"/>
    </row>
    <row r="1192" spans="1:50" ht="12.75" customHeight="1" x14ac:dyDescent="0.2">
      <c r="A1192" s="1374" t="s">
        <v>1798</v>
      </c>
      <c r="B1192" s="1374" t="s">
        <v>17201</v>
      </c>
      <c r="C1192" s="9">
        <f t="shared" si="275"/>
        <v>1</v>
      </c>
      <c r="E1192" s="1440"/>
      <c r="F1192" s="992">
        <f t="shared" si="274"/>
        <v>1</v>
      </c>
      <c r="G1192" s="463"/>
      <c r="H1192" s="463"/>
      <c r="I1192" s="151"/>
      <c r="J1192" s="463"/>
      <c r="K1192" s="1699"/>
      <c r="L1192" s="462"/>
      <c r="M1192" s="462">
        <v>1</v>
      </c>
      <c r="N1192" s="1697"/>
      <c r="O1192" s="462"/>
      <c r="P1192" s="41"/>
      <c r="Q1192" s="462"/>
      <c r="R1192" s="1393"/>
      <c r="S1192" s="1393"/>
      <c r="T1192" s="462"/>
      <c r="U1192" s="463"/>
      <c r="V1192" s="463"/>
      <c r="W1192" s="1710"/>
      <c r="X1192" s="1709"/>
      <c r="Y1192" s="1699"/>
      <c r="Z1192" s="1709"/>
      <c r="AA1192" s="1699"/>
      <c r="AB1192" s="1893"/>
      <c r="AC1192" s="1699"/>
      <c r="AD1192" s="1699"/>
      <c r="AE1192" s="1699"/>
      <c r="AF1192" s="1699"/>
      <c r="AG1192" s="151"/>
      <c r="AH1192" s="151"/>
      <c r="AI1192" s="151"/>
      <c r="AJ1192" s="151"/>
      <c r="AK1192" s="151"/>
      <c r="AL1192" s="151"/>
      <c r="AM1192" s="151"/>
      <c r="AN1192" s="151"/>
      <c r="AO1192" s="151"/>
      <c r="AP1192" s="151"/>
      <c r="AQ1192" s="151"/>
      <c r="AR1192" s="151"/>
      <c r="AS1192" s="42"/>
      <c r="AT1192" s="42"/>
      <c r="AU1192" s="42"/>
      <c r="AV1192" s="42"/>
      <c r="AW1192" s="42"/>
    </row>
    <row r="1193" spans="1:50" ht="12.75" customHeight="1" x14ac:dyDescent="0.2">
      <c r="A1193" s="1374" t="s">
        <v>2349</v>
      </c>
      <c r="B1193" s="1374" t="s">
        <v>2350</v>
      </c>
      <c r="C1193" s="9">
        <f t="shared" si="275"/>
        <v>0</v>
      </c>
      <c r="F1193" s="992">
        <f t="shared" si="274"/>
        <v>0</v>
      </c>
      <c r="G1193" s="463"/>
      <c r="H1193" s="463"/>
      <c r="I1193" s="151"/>
      <c r="J1193" s="463"/>
      <c r="K1193" s="1699"/>
      <c r="L1193" s="462"/>
      <c r="M1193" s="462"/>
      <c r="N1193" s="1697"/>
      <c r="O1193" s="462"/>
      <c r="P1193" s="41"/>
      <c r="Q1193" s="462"/>
      <c r="R1193" s="1393"/>
      <c r="S1193" s="1393"/>
      <c r="T1193" s="462"/>
      <c r="U1193" s="463"/>
      <c r="V1193" s="463"/>
      <c r="W1193" s="1709"/>
      <c r="X1193" s="1709"/>
      <c r="Y1193" s="1699"/>
      <c r="Z1193" s="1709"/>
      <c r="AA1193" s="1697"/>
      <c r="AB1193" s="1893"/>
      <c r="AC1193" s="1699"/>
      <c r="AD1193" s="1699"/>
      <c r="AE1193" s="1699"/>
      <c r="AF1193" s="1699"/>
      <c r="AG1193" s="151"/>
      <c r="AH1193" s="151"/>
      <c r="AI1193" s="151"/>
      <c r="AJ1193" s="151"/>
      <c r="AK1193" s="151"/>
      <c r="AL1193" s="151"/>
      <c r="AM1193" s="151"/>
      <c r="AN1193" s="151"/>
      <c r="AO1193" s="151"/>
      <c r="AP1193" s="151"/>
      <c r="AQ1193" s="151"/>
      <c r="AR1193" s="151"/>
      <c r="AS1193" s="42"/>
      <c r="AT1193" s="42"/>
      <c r="AU1193" s="42"/>
      <c r="AV1193" s="42"/>
      <c r="AW1193" s="42"/>
    </row>
    <row r="1194" spans="1:50" ht="12.75" customHeight="1" x14ac:dyDescent="0.2">
      <c r="A1194" s="1374" t="s">
        <v>9377</v>
      </c>
      <c r="B1194" s="1374" t="s">
        <v>9378</v>
      </c>
      <c r="C1194" s="9">
        <f t="shared" si="275"/>
        <v>0</v>
      </c>
      <c r="F1194" s="992">
        <f t="shared" si="274"/>
        <v>0</v>
      </c>
      <c r="G1194" s="463"/>
      <c r="H1194" s="463"/>
      <c r="I1194" s="151"/>
      <c r="J1194" s="463"/>
      <c r="K1194" s="1699"/>
      <c r="L1194" s="462"/>
      <c r="M1194" s="462"/>
      <c r="N1194" s="1697"/>
      <c r="O1194" s="462"/>
      <c r="P1194" s="41"/>
      <c r="Q1194" s="462"/>
      <c r="R1194" s="1393"/>
      <c r="S1194" s="1393"/>
      <c r="T1194" s="462"/>
      <c r="U1194" s="463"/>
      <c r="V1194" s="463"/>
      <c r="W1194" s="1393"/>
      <c r="X1194" s="1709"/>
      <c r="Y1194" s="1699"/>
      <c r="Z1194" s="1709"/>
      <c r="AA1194" s="1699"/>
      <c r="AB1194" s="1893"/>
      <c r="AC1194" s="1699"/>
      <c r="AD1194" s="1699"/>
      <c r="AE1194" s="1699"/>
      <c r="AF1194" s="1699"/>
      <c r="AG1194" s="151"/>
      <c r="AH1194" s="151"/>
      <c r="AI1194" s="151"/>
      <c r="AJ1194" s="151"/>
      <c r="AK1194" s="151"/>
      <c r="AL1194" s="151"/>
      <c r="AM1194" s="151"/>
      <c r="AN1194" s="151"/>
      <c r="AO1194" s="151"/>
      <c r="AP1194" s="151"/>
      <c r="AQ1194" s="151"/>
      <c r="AR1194" s="151"/>
      <c r="AS1194" s="42"/>
      <c r="AT1194" s="42"/>
      <c r="AU1194" s="42"/>
      <c r="AV1194" s="42"/>
      <c r="AW1194" s="42"/>
    </row>
    <row r="1195" spans="1:50" ht="12.75" customHeight="1" x14ac:dyDescent="0.2">
      <c r="A1195" s="1374" t="s">
        <v>5788</v>
      </c>
      <c r="B1195" s="1374" t="s">
        <v>5789</v>
      </c>
      <c r="C1195" s="9">
        <f t="shared" si="275"/>
        <v>8</v>
      </c>
      <c r="F1195" s="992">
        <f t="shared" si="274"/>
        <v>3</v>
      </c>
      <c r="G1195" s="463"/>
      <c r="H1195" s="463"/>
      <c r="I1195" s="151"/>
      <c r="J1195" s="463"/>
      <c r="K1195" s="1699"/>
      <c r="L1195" s="462"/>
      <c r="M1195" s="462"/>
      <c r="N1195" s="1697"/>
      <c r="O1195" s="462"/>
      <c r="P1195" s="41"/>
      <c r="Q1195" s="1393">
        <v>1</v>
      </c>
      <c r="R1195" s="1393">
        <v>6</v>
      </c>
      <c r="S1195" s="1393"/>
      <c r="T1195" s="462"/>
      <c r="U1195" s="1393">
        <v>1</v>
      </c>
      <c r="V1195" s="463"/>
      <c r="W1195" s="1709"/>
      <c r="X1195" s="1709"/>
      <c r="Y1195" s="1699"/>
      <c r="Z1195" s="1709"/>
      <c r="AA1195" s="1699"/>
      <c r="AB1195" s="1893"/>
      <c r="AC1195" s="1699"/>
      <c r="AD1195" s="1699"/>
      <c r="AE1195" s="1699"/>
      <c r="AF1195" s="1699"/>
      <c r="AG1195" s="151"/>
      <c r="AH1195" s="151"/>
      <c r="AI1195" s="151"/>
      <c r="AJ1195" s="151"/>
      <c r="AK1195" s="151"/>
      <c r="AL1195" s="151"/>
      <c r="AM1195" s="151"/>
      <c r="AN1195" s="151"/>
      <c r="AO1195" s="151"/>
      <c r="AP1195" s="151"/>
      <c r="AQ1195" s="151"/>
      <c r="AR1195" s="151"/>
      <c r="AS1195" s="42"/>
      <c r="AT1195" s="42"/>
      <c r="AU1195" s="42"/>
      <c r="AV1195" s="42"/>
      <c r="AW1195" s="42"/>
    </row>
    <row r="1196" spans="1:50" ht="12.75" customHeight="1" x14ac:dyDescent="0.2">
      <c r="A1196" s="1370" t="s">
        <v>9794</v>
      </c>
      <c r="B1196" s="1370" t="s">
        <v>9795</v>
      </c>
      <c r="C1196" s="9">
        <f t="shared" si="275"/>
        <v>1</v>
      </c>
      <c r="F1196" s="992">
        <f t="shared" si="274"/>
        <v>1</v>
      </c>
      <c r="G1196" s="463"/>
      <c r="H1196" s="463"/>
      <c r="I1196" s="151"/>
      <c r="J1196" s="463"/>
      <c r="K1196" s="1699"/>
      <c r="L1196" s="462"/>
      <c r="M1196" s="462"/>
      <c r="N1196" s="1697"/>
      <c r="O1196" s="462"/>
      <c r="P1196" s="41"/>
      <c r="Q1196" s="1393"/>
      <c r="R1196" s="1393">
        <v>1</v>
      </c>
      <c r="S1196" s="1393"/>
      <c r="T1196" s="462"/>
      <c r="U1196" s="1393"/>
      <c r="V1196" s="463"/>
      <c r="W1196" s="1709"/>
      <c r="X1196" s="1709"/>
      <c r="Y1196" s="1699"/>
      <c r="Z1196" s="1709"/>
      <c r="AA1196" s="1699"/>
      <c r="AB1196" s="1893"/>
      <c r="AC1196" s="1699"/>
      <c r="AD1196" s="1699"/>
      <c r="AE1196" s="1699"/>
      <c r="AF1196" s="1699"/>
      <c r="AG1196" s="151"/>
      <c r="AH1196" s="151"/>
      <c r="AI1196" s="151"/>
      <c r="AJ1196" s="151"/>
      <c r="AK1196" s="151"/>
      <c r="AL1196" s="151"/>
      <c r="AM1196" s="151"/>
      <c r="AN1196" s="151"/>
      <c r="AO1196" s="151"/>
      <c r="AP1196" s="151"/>
      <c r="AQ1196" s="151"/>
      <c r="AR1196" s="151"/>
      <c r="AS1196" s="42"/>
      <c r="AT1196" s="42"/>
      <c r="AU1196" s="42"/>
      <c r="AV1196" s="42"/>
      <c r="AW1196" s="42"/>
    </row>
    <row r="1197" spans="1:50" ht="12.75" customHeight="1" x14ac:dyDescent="0.2">
      <c r="A1197" s="1389" t="s">
        <v>4977</v>
      </c>
      <c r="B1197" s="1389" t="s">
        <v>3961</v>
      </c>
      <c r="C1197" s="9">
        <f t="shared" si="275"/>
        <v>1</v>
      </c>
      <c r="F1197" s="992">
        <f t="shared" si="274"/>
        <v>1</v>
      </c>
      <c r="G1197" s="337">
        <v>1</v>
      </c>
      <c r="H1197" s="337"/>
      <c r="I1197" s="109"/>
      <c r="J1197" s="463"/>
      <c r="K1197" s="1699"/>
      <c r="L1197" s="462"/>
      <c r="M1197" s="462"/>
      <c r="N1197" s="1697"/>
      <c r="O1197" s="462"/>
      <c r="P1197" s="41"/>
      <c r="Q1197" s="462"/>
      <c r="R1197" s="1393"/>
      <c r="S1197" s="1393"/>
      <c r="T1197" s="462"/>
      <c r="U1197" s="463"/>
      <c r="V1197" s="463"/>
      <c r="W1197" s="1709"/>
      <c r="X1197" s="1709"/>
      <c r="Y1197" s="1699"/>
      <c r="Z1197" s="1709"/>
      <c r="AA1197" s="1699"/>
      <c r="AB1197" s="1893"/>
      <c r="AC1197" s="1699"/>
      <c r="AD1197" s="1699"/>
      <c r="AE1197" s="1699"/>
      <c r="AF1197" s="1699"/>
      <c r="AG1197" s="151"/>
      <c r="AH1197" s="151"/>
      <c r="AI1197" s="151"/>
      <c r="AJ1197" s="151"/>
      <c r="AK1197" s="151"/>
      <c r="AL1197" s="151"/>
      <c r="AM1197" s="151"/>
      <c r="AN1197" s="151"/>
      <c r="AO1197" s="151"/>
      <c r="AP1197" s="151"/>
      <c r="AQ1197" s="151"/>
      <c r="AR1197" s="151"/>
      <c r="AS1197" s="42"/>
      <c r="AT1197" s="42"/>
      <c r="AU1197" s="42"/>
      <c r="AV1197" s="42"/>
      <c r="AW1197" s="57"/>
    </row>
    <row r="1198" spans="1:50" ht="12.75" customHeight="1" x14ac:dyDescent="0.2">
      <c r="A1198" s="1374" t="s">
        <v>4259</v>
      </c>
      <c r="B1198" s="1374" t="s">
        <v>440</v>
      </c>
      <c r="C1198" s="9">
        <f t="shared" si="275"/>
        <v>1</v>
      </c>
      <c r="F1198" s="992">
        <f t="shared" si="274"/>
        <v>1</v>
      </c>
      <c r="G1198" s="337"/>
      <c r="H1198" s="337"/>
      <c r="I1198" s="109"/>
      <c r="J1198" s="462">
        <v>1</v>
      </c>
      <c r="K1198" s="1699"/>
      <c r="L1198" s="462"/>
      <c r="M1198" s="462"/>
      <c r="N1198" s="1697"/>
      <c r="O1198" s="462"/>
      <c r="P1198" s="41"/>
      <c r="Q1198" s="462"/>
      <c r="R1198" s="1393"/>
      <c r="S1198" s="1393"/>
      <c r="T1198" s="462"/>
      <c r="U1198" s="463"/>
      <c r="V1198" s="463"/>
      <c r="W1198" s="1709"/>
      <c r="X1198" s="1709"/>
      <c r="Y1198" s="1699"/>
      <c r="Z1198" s="1709"/>
      <c r="AA1198" s="1699"/>
      <c r="AB1198" s="1893"/>
      <c r="AC1198" s="1699"/>
      <c r="AD1198" s="1699"/>
      <c r="AE1198" s="1699"/>
      <c r="AF1198" s="1699"/>
      <c r="AG1198" s="151"/>
      <c r="AH1198" s="151"/>
      <c r="AI1198" s="151"/>
      <c r="AJ1198" s="151"/>
      <c r="AK1198" s="151"/>
      <c r="AL1198" s="151"/>
      <c r="AM1198" s="151"/>
      <c r="AN1198" s="151"/>
      <c r="AO1198" s="151"/>
      <c r="AP1198" s="151"/>
      <c r="AQ1198" s="151"/>
      <c r="AR1198" s="151"/>
      <c r="AS1198" s="42"/>
      <c r="AT1198" s="42"/>
      <c r="AU1198" s="42"/>
      <c r="AV1198" s="42"/>
      <c r="AW1198" s="57"/>
    </row>
    <row r="1199" spans="1:50" ht="12.75" customHeight="1" x14ac:dyDescent="0.2">
      <c r="C1199" s="20">
        <f>SUM(C1179:C1198)</f>
        <v>36</v>
      </c>
      <c r="F1199" s="1408"/>
      <c r="G1199" s="28">
        <f>SUM(G1179:G1198)</f>
        <v>3</v>
      </c>
      <c r="H1199" s="28">
        <f t="shared" ref="H1199:W1199" si="276">SUM(H1179:H1198)</f>
        <v>2</v>
      </c>
      <c r="I1199" s="1404"/>
      <c r="J1199" s="28">
        <f t="shared" si="276"/>
        <v>3</v>
      </c>
      <c r="K1199" s="1404"/>
      <c r="L1199" s="28">
        <f t="shared" si="276"/>
        <v>2</v>
      </c>
      <c r="M1199" s="28">
        <f t="shared" si="276"/>
        <v>2</v>
      </c>
      <c r="N1199" s="1404"/>
      <c r="O1199" s="28">
        <f t="shared" si="276"/>
        <v>1</v>
      </c>
      <c r="P1199" s="1404"/>
      <c r="Q1199" s="28">
        <f t="shared" si="276"/>
        <v>1</v>
      </c>
      <c r="R1199" s="28">
        <f t="shared" si="276"/>
        <v>10</v>
      </c>
      <c r="S1199" s="28">
        <f t="shared" si="276"/>
        <v>1</v>
      </c>
      <c r="T1199" s="28">
        <f t="shared" si="276"/>
        <v>2</v>
      </c>
      <c r="U1199" s="28">
        <f t="shared" si="276"/>
        <v>3</v>
      </c>
      <c r="V1199" s="28">
        <f t="shared" si="276"/>
        <v>1</v>
      </c>
      <c r="W1199" s="28">
        <f t="shared" si="276"/>
        <v>1</v>
      </c>
      <c r="X1199" s="28">
        <f t="shared" ref="X1199" si="277">SUM(X1179:X1198)</f>
        <v>2</v>
      </c>
      <c r="Y1199" s="28"/>
      <c r="Z1199" s="28">
        <f>SUM(Z1179:Z1198)</f>
        <v>1</v>
      </c>
      <c r="AA1199" s="1404"/>
      <c r="AB1199" s="1377"/>
      <c r="AC1199" s="1404"/>
      <c r="AD1199" s="1404"/>
      <c r="AE1199" s="1404"/>
      <c r="AF1199" s="1404"/>
    </row>
    <row r="1200" spans="1:50" ht="12.75" customHeight="1" x14ac:dyDescent="0.2">
      <c r="C1200" s="9"/>
      <c r="E1200" s="1377">
        <f>COUNT(G1200:Z1200)</f>
        <v>15</v>
      </c>
      <c r="F1200" s="244"/>
      <c r="G1200" s="28">
        <f>COUNT(G1179:G1198)</f>
        <v>3</v>
      </c>
      <c r="H1200" s="28">
        <f t="shared" ref="H1200:W1200" si="278">COUNT(H1179:H1198)</f>
        <v>2</v>
      </c>
      <c r="I1200" s="1404"/>
      <c r="J1200" s="28">
        <f t="shared" si="278"/>
        <v>2</v>
      </c>
      <c r="K1200" s="1404"/>
      <c r="L1200" s="28">
        <f t="shared" si="278"/>
        <v>2</v>
      </c>
      <c r="M1200" s="28">
        <f t="shared" si="278"/>
        <v>2</v>
      </c>
      <c r="N1200" s="1404"/>
      <c r="O1200" s="28">
        <f t="shared" si="278"/>
        <v>1</v>
      </c>
      <c r="P1200" s="1404"/>
      <c r="Q1200" s="28">
        <f t="shared" si="278"/>
        <v>1</v>
      </c>
      <c r="R1200" s="28">
        <f t="shared" si="278"/>
        <v>5</v>
      </c>
      <c r="S1200" s="28">
        <f t="shared" si="278"/>
        <v>1</v>
      </c>
      <c r="T1200" s="28">
        <f t="shared" si="278"/>
        <v>2</v>
      </c>
      <c r="U1200" s="28">
        <f t="shared" si="278"/>
        <v>3</v>
      </c>
      <c r="V1200" s="28">
        <f t="shared" si="278"/>
        <v>1</v>
      </c>
      <c r="W1200" s="28">
        <f t="shared" si="278"/>
        <v>1</v>
      </c>
      <c r="X1200" s="28">
        <f t="shared" ref="X1200" si="279">COUNT(X1179:X1198)</f>
        <v>2</v>
      </c>
      <c r="Y1200" s="28"/>
      <c r="Z1200" s="28">
        <f>COUNT(Z1179:Z1198)</f>
        <v>1</v>
      </c>
      <c r="AA1200" s="1404"/>
      <c r="AB1200" s="1377"/>
      <c r="AC1200" s="1404"/>
      <c r="AD1200" s="1404"/>
      <c r="AE1200" s="1404"/>
      <c r="AF1200" s="1404"/>
    </row>
    <row r="1201" spans="1:50" ht="12.75" customHeight="1" x14ac:dyDescent="0.25">
      <c r="C1201" s="9"/>
      <c r="F1201" s="244"/>
      <c r="G1201" s="538"/>
      <c r="H1201" s="538" t="s">
        <v>11804</v>
      </c>
      <c r="I1201" s="364"/>
      <c r="J1201" s="565"/>
      <c r="K1201" s="565"/>
      <c r="L1201" s="565" t="s">
        <v>8775</v>
      </c>
      <c r="M1201" s="565"/>
      <c r="N1201" s="1525"/>
      <c r="O1201" s="538" t="s">
        <v>12304</v>
      </c>
      <c r="P1201" s="185"/>
      <c r="Q1201" s="669"/>
      <c r="R1201" s="669" t="s">
        <v>8947</v>
      </c>
      <c r="S1201" s="669"/>
      <c r="T1201" s="669" t="s">
        <v>8889</v>
      </c>
      <c r="U1201" s="669"/>
      <c r="V1201" s="561" t="s">
        <v>15783</v>
      </c>
      <c r="W1201" s="1711"/>
      <c r="X1201" s="2002" t="s">
        <v>16250</v>
      </c>
      <c r="Y1201" s="1525"/>
      <c r="Z1201" s="1525"/>
      <c r="AA1201" s="1525"/>
      <c r="AB1201" s="1525"/>
      <c r="AC1201" s="1525"/>
      <c r="AD1201" s="1548"/>
      <c r="AE1201" s="1548"/>
      <c r="AF1201" s="1549"/>
      <c r="AG1201" s="410"/>
      <c r="AH1201" s="430"/>
      <c r="AI1201" s="430"/>
      <c r="AJ1201" s="185"/>
      <c r="AK1201" s="185"/>
      <c r="AL1201" s="185"/>
      <c r="AM1201" s="185"/>
      <c r="AN1201" s="185"/>
      <c r="AO1201" s="185"/>
      <c r="AP1201" s="185"/>
      <c r="AQ1201" s="185"/>
      <c r="AR1201" s="185"/>
      <c r="AS1201" s="185"/>
      <c r="AT1201" s="410"/>
      <c r="AU1201" s="410"/>
      <c r="AV1201" s="410"/>
      <c r="AW1201" s="185"/>
      <c r="AX1201" s="430"/>
    </row>
    <row r="1202" spans="1:50" ht="12.75" customHeight="1" x14ac:dyDescent="0.25">
      <c r="C1202" s="9"/>
      <c r="F1202" s="244"/>
      <c r="G1202" s="535" t="s">
        <v>3375</v>
      </c>
      <c r="H1202" s="515"/>
      <c r="I1202" s="185"/>
      <c r="J1202" s="515" t="s">
        <v>9629</v>
      </c>
      <c r="K1202" s="515"/>
      <c r="L1202" s="515"/>
      <c r="M1202" s="515" t="s">
        <v>12234</v>
      </c>
      <c r="N1202" s="1525"/>
      <c r="O1202" s="515"/>
      <c r="P1202" s="185"/>
      <c r="Q1202" s="515" t="s">
        <v>12898</v>
      </c>
      <c r="R1202" s="515"/>
      <c r="S1202" s="515" t="s">
        <v>15757</v>
      </c>
      <c r="T1202" s="539"/>
      <c r="U1202" s="515" t="s">
        <v>12080</v>
      </c>
      <c r="V1202" s="515"/>
      <c r="W1202" s="1712" t="s">
        <v>15758</v>
      </c>
      <c r="X1202" s="2003"/>
      <c r="Y1202" s="2003"/>
      <c r="Z1202" s="2004" t="s">
        <v>17177</v>
      </c>
      <c r="AA1202" s="1548"/>
      <c r="AB1202" s="1549" t="s">
        <v>16704</v>
      </c>
      <c r="AC1202" s="1549"/>
      <c r="AD1202" s="1548"/>
      <c r="AE1202" s="1548"/>
      <c r="AF1202" s="1549"/>
      <c r="AG1202" s="410"/>
      <c r="AH1202" s="410"/>
      <c r="AI1202" s="410"/>
      <c r="AJ1202" s="410"/>
      <c r="AK1202" s="410"/>
      <c r="AL1202" s="410"/>
      <c r="AM1202" s="410"/>
      <c r="AN1202" s="410"/>
      <c r="AO1202" s="410"/>
      <c r="AP1202" s="410"/>
      <c r="AQ1202" s="410"/>
      <c r="AR1202" s="410"/>
      <c r="AS1202" s="185"/>
      <c r="AT1202" s="364"/>
      <c r="AU1202" s="185"/>
      <c r="AV1202" s="364"/>
      <c r="AW1202" s="364"/>
      <c r="AX1202" s="185"/>
    </row>
    <row r="1203" spans="1:50" ht="12.75" customHeight="1" x14ac:dyDescent="0.25">
      <c r="C1203" s="9"/>
      <c r="F1203" s="244"/>
      <c r="G1203" s="1126">
        <f>Parks!L139</f>
        <v>145</v>
      </c>
      <c r="H1203" s="1126">
        <f>Parks!L138</f>
        <v>470</v>
      </c>
      <c r="I1203" s="1126"/>
      <c r="J1203" s="1126">
        <f>Parks!L553</f>
        <v>403</v>
      </c>
      <c r="K1203" s="1126"/>
      <c r="L1203" s="1126">
        <f>Parks!L242</f>
        <v>370</v>
      </c>
      <c r="M1203" s="1126">
        <f>Parks!L258</f>
        <v>481</v>
      </c>
      <c r="N1203" s="1126"/>
      <c r="O1203" s="1126">
        <f>Parks!L547</f>
        <v>485</v>
      </c>
      <c r="P1203" s="1126"/>
      <c r="Q1203" s="1126"/>
      <c r="R1203" s="1126">
        <f>Parks!L46</f>
        <v>378</v>
      </c>
      <c r="S1203" s="1126"/>
      <c r="T1203" s="1126">
        <f>Parks!L264</f>
        <v>372</v>
      </c>
      <c r="U1203" s="1126">
        <f>Parks!L385</f>
        <v>478</v>
      </c>
      <c r="V1203" s="1139"/>
      <c r="W1203" s="364"/>
      <c r="X1203" s="410"/>
      <c r="Y1203" s="185"/>
      <c r="Z1203" s="185"/>
      <c r="AA1203" s="410"/>
      <c r="AB1203" s="364"/>
      <c r="AC1203" s="364"/>
      <c r="AD1203" s="410"/>
      <c r="AE1203" s="185"/>
      <c r="AF1203" s="410"/>
      <c r="AG1203" s="185"/>
      <c r="AH1203" s="364"/>
      <c r="AI1203" s="364"/>
      <c r="AJ1203" s="185"/>
      <c r="AK1203" s="185"/>
      <c r="AL1203" s="185"/>
      <c r="AM1203" s="185"/>
      <c r="AN1203" s="185"/>
      <c r="AO1203" s="185"/>
      <c r="AP1203" s="185"/>
      <c r="AQ1203" s="364"/>
      <c r="AR1203" s="185"/>
      <c r="AS1203" s="364"/>
    </row>
    <row r="1204" spans="1:50" ht="12.75" customHeight="1" x14ac:dyDescent="0.25">
      <c r="C1204" s="9"/>
      <c r="F1204" s="244"/>
      <c r="G1204" s="1126"/>
      <c r="H1204" s="1126"/>
      <c r="I1204" s="1126"/>
      <c r="J1204" s="1126"/>
      <c r="K1204" s="1126"/>
      <c r="L1204" s="1126"/>
      <c r="M1204" s="1126"/>
      <c r="N1204" s="1126"/>
      <c r="O1204" s="1126"/>
      <c r="P1204" s="1126"/>
      <c r="Q1204" s="1126"/>
      <c r="R1204" s="1126"/>
      <c r="S1204" s="1126"/>
      <c r="T1204" s="1139"/>
      <c r="U1204" s="364"/>
      <c r="V1204" s="410"/>
      <c r="W1204" s="185"/>
      <c r="X1204" s="185"/>
      <c r="Y1204" s="410"/>
      <c r="Z1204" s="364"/>
      <c r="AA1204" s="364"/>
      <c r="AB1204" s="410"/>
      <c r="AC1204" s="185"/>
      <c r="AD1204" s="410"/>
      <c r="AE1204" s="185"/>
      <c r="AF1204" s="364"/>
      <c r="AG1204" s="185"/>
      <c r="AH1204" s="364"/>
      <c r="AI1204" s="364"/>
      <c r="AJ1204" s="364"/>
      <c r="AK1204" s="364"/>
      <c r="AL1204" s="364"/>
      <c r="AM1204" s="364"/>
      <c r="AN1204" s="364"/>
      <c r="AO1204" s="364"/>
      <c r="AP1204" s="364"/>
      <c r="AQ1204" s="185"/>
    </row>
    <row r="1205" spans="1:50" ht="12.75" customHeight="1" x14ac:dyDescent="0.25">
      <c r="A1205" s="1370"/>
      <c r="C1205" s="9"/>
      <c r="F1205" s="244"/>
      <c r="G1205" s="2"/>
      <c r="H1205" s="2"/>
      <c r="I1205" s="2"/>
      <c r="J1205" s="2"/>
      <c r="K1205" s="2"/>
      <c r="L1205" s="185"/>
      <c r="M1205" s="185"/>
      <c r="N1205" s="185"/>
      <c r="O1205" s="1139"/>
      <c r="P1205" s="364"/>
      <c r="Q1205" s="410"/>
      <c r="R1205" s="185"/>
      <c r="S1205" s="185"/>
      <c r="T1205" s="410"/>
      <c r="U1205" s="410"/>
      <c r="V1205" s="410"/>
      <c r="W1205" s="410"/>
      <c r="X1205" s="185"/>
      <c r="Y1205" s="185"/>
      <c r="Z1205" s="410"/>
      <c r="AA1205" s="185"/>
      <c r="AB1205" s="364"/>
      <c r="AC1205" s="185"/>
      <c r="AD1205" s="364"/>
      <c r="AE1205" s="364"/>
      <c r="AF1205" s="185"/>
      <c r="AG1205" s="410"/>
      <c r="AH1205" s="185"/>
      <c r="AI1205" s="185"/>
      <c r="AJ1205" s="364"/>
      <c r="AK1205" s="364"/>
      <c r="AL1205" s="364"/>
      <c r="AM1205" s="364"/>
      <c r="AN1205" s="364"/>
      <c r="AO1205" s="364"/>
      <c r="AP1205" s="364"/>
    </row>
    <row r="1206" spans="1:50" ht="12.75" customHeight="1" x14ac:dyDescent="0.25">
      <c r="B1206" s="1370"/>
      <c r="C1206" s="9"/>
      <c r="F1206" s="244"/>
      <c r="G1206" s="97" t="s">
        <v>3736</v>
      </c>
      <c r="I1206" s="97"/>
      <c r="J1206" s="97"/>
      <c r="L1206" s="1371"/>
      <c r="M1206" s="1371"/>
      <c r="N1206" s="1371"/>
      <c r="O1206" s="2" t="s">
        <v>320</v>
      </c>
      <c r="Q1206" s="1139"/>
      <c r="S1206" s="410"/>
      <c r="T1206" s="185"/>
      <c r="U1206" s="185"/>
      <c r="V1206" s="410"/>
      <c r="W1206" s="410"/>
      <c r="X1206" s="1407"/>
      <c r="Y1206" s="1407"/>
      <c r="Z1206" s="1418"/>
      <c r="AA1206" s="1418"/>
      <c r="AB1206" s="410"/>
      <c r="AC1206" s="185"/>
      <c r="AD1206" s="364"/>
      <c r="AE1206" s="185"/>
      <c r="AF1206" s="364"/>
      <c r="AG1206" s="364"/>
      <c r="AH1206" s="185"/>
      <c r="AI1206" s="185"/>
      <c r="AJ1206" s="410"/>
      <c r="AK1206" s="410"/>
      <c r="AL1206" s="410"/>
      <c r="AM1206" s="410"/>
      <c r="AN1206" s="410"/>
      <c r="AO1206" s="410"/>
      <c r="AP1206" s="410"/>
    </row>
    <row r="1207" spans="1:50" ht="12.75" customHeight="1" x14ac:dyDescent="0.25">
      <c r="C1207" s="9"/>
      <c r="F1207" s="244"/>
      <c r="G1207" s="41"/>
      <c r="H1207" s="41"/>
      <c r="I1207" s="41"/>
      <c r="J1207" s="7"/>
      <c r="L1207" s="1371"/>
      <c r="M1207" s="1371"/>
      <c r="N1207" s="1371"/>
      <c r="Q1207" s="1139"/>
      <c r="S1207" s="410"/>
      <c r="T1207" s="185"/>
      <c r="U1207" s="185"/>
      <c r="V1207" s="410"/>
      <c r="W1207" s="410"/>
      <c r="X1207" s="1407"/>
      <c r="Y1207" s="1407"/>
      <c r="Z1207" s="1418"/>
      <c r="AA1207" s="1418"/>
      <c r="AB1207" s="410"/>
      <c r="AC1207" s="185"/>
      <c r="AD1207" s="364"/>
      <c r="AE1207" s="185"/>
      <c r="AF1207" s="364"/>
      <c r="AG1207" s="364"/>
      <c r="AH1207" s="185"/>
      <c r="AI1207" s="185"/>
      <c r="AJ1207" s="410"/>
      <c r="AK1207" s="410"/>
      <c r="AL1207" s="410"/>
      <c r="AM1207" s="410"/>
      <c r="AN1207" s="410"/>
      <c r="AO1207" s="410"/>
      <c r="AP1207" s="410"/>
    </row>
    <row r="1208" spans="1:50" ht="12.75" customHeight="1" x14ac:dyDescent="0.25">
      <c r="C1208" s="9"/>
      <c r="F1208" s="244"/>
      <c r="G1208" s="553" t="s">
        <v>10116</v>
      </c>
      <c r="H1208" s="560" t="s">
        <v>12576</v>
      </c>
      <c r="I1208" s="553" t="s">
        <v>11915</v>
      </c>
      <c r="J1208" s="560" t="s">
        <v>3737</v>
      </c>
      <c r="K1208" s="553" t="s">
        <v>12381</v>
      </c>
      <c r="L1208" s="560" t="s">
        <v>12379</v>
      </c>
      <c r="N1208" s="1371"/>
      <c r="O1208" s="188" t="s">
        <v>12074</v>
      </c>
      <c r="P1208" s="1350" t="s">
        <v>2039</v>
      </c>
      <c r="Q1208" s="188" t="s">
        <v>321</v>
      </c>
      <c r="R1208" s="961" t="s">
        <v>8175</v>
      </c>
      <c r="S1208" s="1720" t="s">
        <v>15932</v>
      </c>
      <c r="T1208" s="560" t="s">
        <v>12006</v>
      </c>
      <c r="U1208" s="553" t="s">
        <v>1478</v>
      </c>
      <c r="V1208" s="560" t="s">
        <v>10743</v>
      </c>
      <c r="W1208" s="553" t="s">
        <v>784</v>
      </c>
      <c r="X1208" s="185"/>
      <c r="Y1208" s="1407"/>
      <c r="Z1208" s="1407"/>
      <c r="AA1208" s="1407"/>
      <c r="AB1208" s="1407"/>
      <c r="AC1208" s="185"/>
      <c r="AD1208" s="185"/>
      <c r="AE1208" s="410"/>
      <c r="AF1208" s="185"/>
      <c r="AG1208" s="364"/>
      <c r="AH1208" s="185"/>
      <c r="AI1208" s="185"/>
      <c r="AJ1208" s="364"/>
      <c r="AK1208" s="364"/>
      <c r="AL1208" s="364"/>
      <c r="AM1208" s="364"/>
      <c r="AN1208" s="364"/>
      <c r="AO1208" s="364"/>
      <c r="AP1208" s="364"/>
      <c r="AQ1208" s="364"/>
    </row>
    <row r="1209" spans="1:50" ht="12.75" customHeight="1" x14ac:dyDescent="0.25">
      <c r="A1209" s="1374" t="s">
        <v>4269</v>
      </c>
      <c r="B1209" s="1374" t="s">
        <v>4270</v>
      </c>
      <c r="C1209" s="9">
        <f t="shared" ref="C1209:C1223" si="280">SUM(G1209:W1209)</f>
        <v>1</v>
      </c>
      <c r="F1209" s="992">
        <f t="shared" ref="F1209:F1223" si="281">COUNT(G1209:W1209)</f>
        <v>1</v>
      </c>
      <c r="G1209" s="1393"/>
      <c r="H1209" s="1393"/>
      <c r="I1209" s="1393"/>
      <c r="J1209" s="1393"/>
      <c r="K1209" s="1393"/>
      <c r="L1209" s="1393"/>
      <c r="M1209" s="1371"/>
      <c r="N1209" s="1371"/>
      <c r="O1209" s="1393"/>
      <c r="P1209" s="1693">
        <v>1</v>
      </c>
      <c r="Q1209" s="1393"/>
      <c r="R1209" s="1393"/>
      <c r="S1209" s="1393"/>
      <c r="T1209" s="1393"/>
      <c r="U1209" s="1393"/>
      <c r="V1209" s="1393"/>
      <c r="W1209" s="1393"/>
      <c r="X1209" s="185"/>
      <c r="Y1209" s="1407"/>
      <c r="Z1209" s="1407"/>
      <c r="AA1209" s="1407"/>
      <c r="AB1209" s="1407"/>
      <c r="AC1209" s="185"/>
      <c r="AD1209" s="185"/>
      <c r="AE1209" s="410"/>
      <c r="AF1209" s="185"/>
      <c r="AG1209" s="364"/>
      <c r="AH1209" s="185"/>
      <c r="AI1209" s="185"/>
      <c r="AJ1209" s="364"/>
      <c r="AK1209" s="364"/>
      <c r="AL1209" s="364"/>
      <c r="AM1209" s="364"/>
      <c r="AN1209" s="364"/>
      <c r="AO1209" s="364"/>
      <c r="AP1209" s="364"/>
      <c r="AQ1209" s="364"/>
    </row>
    <row r="1210" spans="1:50" ht="12.75" customHeight="1" x14ac:dyDescent="0.25">
      <c r="A1210" s="1410" t="s">
        <v>726</v>
      </c>
      <c r="B1210" s="1410" t="s">
        <v>1295</v>
      </c>
      <c r="C1210" s="9">
        <f t="shared" si="280"/>
        <v>10</v>
      </c>
      <c r="F1210" s="992">
        <f t="shared" si="281"/>
        <v>7</v>
      </c>
      <c r="G1210" s="584">
        <v>2</v>
      </c>
      <c r="H1210" s="584"/>
      <c r="I1210" s="584"/>
      <c r="J1210" s="584">
        <v>1</v>
      </c>
      <c r="K1210" s="584"/>
      <c r="L1210" s="584"/>
      <c r="N1210" s="1371"/>
      <c r="O1210" s="337">
        <v>1</v>
      </c>
      <c r="P1210" s="1357"/>
      <c r="Q1210" s="463"/>
      <c r="R1210" s="1393">
        <v>3</v>
      </c>
      <c r="S1210" s="1393"/>
      <c r="T1210" s="1393">
        <v>1</v>
      </c>
      <c r="U1210" s="463"/>
      <c r="V1210" s="462">
        <v>1</v>
      </c>
      <c r="W1210" s="337">
        <v>1</v>
      </c>
      <c r="X1210" s="185"/>
      <c r="Y1210" s="1407"/>
      <c r="Z1210" s="1407"/>
      <c r="AA1210" s="1407"/>
      <c r="AB1210" s="1407"/>
      <c r="AC1210" s="185"/>
      <c r="AD1210" s="185"/>
      <c r="AE1210" s="410"/>
      <c r="AF1210" s="185"/>
      <c r="AG1210" s="364"/>
      <c r="AH1210" s="185"/>
      <c r="AI1210" s="185"/>
      <c r="AJ1210" s="364"/>
      <c r="AK1210" s="364"/>
      <c r="AL1210" s="364"/>
      <c r="AM1210" s="364"/>
      <c r="AN1210" s="364"/>
      <c r="AO1210" s="364"/>
      <c r="AP1210" s="364"/>
      <c r="AQ1210" s="364"/>
    </row>
    <row r="1211" spans="1:50" ht="12.75" customHeight="1" x14ac:dyDescent="0.25">
      <c r="A1211" s="1410" t="s">
        <v>3508</v>
      </c>
      <c r="B1211" s="1410" t="s">
        <v>1295</v>
      </c>
      <c r="C1211" s="9">
        <f t="shared" si="280"/>
        <v>10</v>
      </c>
      <c r="F1211" s="992">
        <f t="shared" si="281"/>
        <v>7</v>
      </c>
      <c r="G1211" s="584">
        <v>2</v>
      </c>
      <c r="H1211" s="584"/>
      <c r="I1211" s="584"/>
      <c r="J1211" s="584">
        <v>1</v>
      </c>
      <c r="K1211" s="584"/>
      <c r="L1211" s="584"/>
      <c r="N1211" s="1371"/>
      <c r="O1211" s="337">
        <v>1</v>
      </c>
      <c r="P1211" s="1357"/>
      <c r="Q1211" s="463"/>
      <c r="R1211" s="1393">
        <v>3</v>
      </c>
      <c r="S1211" s="1393"/>
      <c r="T1211" s="1393">
        <v>1</v>
      </c>
      <c r="U1211" s="463"/>
      <c r="V1211" s="462">
        <v>1</v>
      </c>
      <c r="W1211" s="337">
        <v>1</v>
      </c>
      <c r="X1211" s="185"/>
      <c r="Y1211" s="1407"/>
      <c r="Z1211" s="1407"/>
      <c r="AA1211" s="1407"/>
      <c r="AB1211" s="1407"/>
      <c r="AC1211" s="185"/>
      <c r="AD1211" s="185"/>
      <c r="AE1211" s="410"/>
      <c r="AF1211" s="185"/>
      <c r="AG1211" s="364"/>
      <c r="AH1211" s="185"/>
      <c r="AI1211" s="185"/>
      <c r="AJ1211" s="364"/>
      <c r="AK1211" s="364"/>
      <c r="AL1211" s="364"/>
      <c r="AM1211" s="364"/>
      <c r="AN1211" s="364"/>
      <c r="AO1211" s="364"/>
      <c r="AP1211" s="364"/>
      <c r="AQ1211" s="364"/>
    </row>
    <row r="1212" spans="1:50" ht="12.75" customHeight="1" x14ac:dyDescent="0.25">
      <c r="A1212" s="1370" t="s">
        <v>3508</v>
      </c>
      <c r="B1212" s="1370" t="s">
        <v>3632</v>
      </c>
      <c r="C1212" s="9">
        <f t="shared" si="280"/>
        <v>1</v>
      </c>
      <c r="F1212" s="992">
        <f t="shared" si="281"/>
        <v>1</v>
      </c>
      <c r="G1212" s="584">
        <v>1</v>
      </c>
      <c r="H1212" s="584"/>
      <c r="I1212" s="584"/>
      <c r="J1212" s="584"/>
      <c r="K1212" s="584"/>
      <c r="L1212" s="584"/>
      <c r="N1212" s="1371"/>
      <c r="O1212" s="23"/>
      <c r="P1212" s="1984"/>
      <c r="Q1212" s="23"/>
      <c r="R1212" s="23"/>
      <c r="S1212" s="23"/>
      <c r="T1212" s="1694"/>
      <c r="U1212" s="23"/>
      <c r="V1212" s="596"/>
      <c r="W1212" s="1144"/>
      <c r="X1212" s="185"/>
      <c r="Y1212" s="1407"/>
      <c r="Z1212" s="1407"/>
      <c r="AA1212" s="1407"/>
      <c r="AB1212" s="1407"/>
      <c r="AC1212" s="185"/>
      <c r="AD1212" s="185"/>
      <c r="AE1212" s="410"/>
      <c r="AF1212" s="185"/>
      <c r="AG1212" s="364"/>
      <c r="AH1212" s="185"/>
      <c r="AI1212" s="185"/>
      <c r="AJ1212" s="364"/>
      <c r="AK1212" s="364"/>
      <c r="AL1212" s="364"/>
      <c r="AM1212" s="364"/>
      <c r="AN1212" s="364"/>
      <c r="AO1212" s="364"/>
      <c r="AP1212" s="364"/>
      <c r="AQ1212" s="364"/>
    </row>
    <row r="1213" spans="1:50" ht="12.75" customHeight="1" x14ac:dyDescent="0.25">
      <c r="A1213" s="1374" t="s">
        <v>922</v>
      </c>
      <c r="B1213" s="1374" t="s">
        <v>1530</v>
      </c>
      <c r="C1213" s="9">
        <f t="shared" si="280"/>
        <v>2</v>
      </c>
      <c r="F1213" s="992">
        <f t="shared" si="281"/>
        <v>2</v>
      </c>
      <c r="G1213" s="584"/>
      <c r="H1213" s="1447">
        <v>1</v>
      </c>
      <c r="I1213" s="1447"/>
      <c r="J1213" s="584"/>
      <c r="K1213" s="584"/>
      <c r="L1213" s="584"/>
      <c r="N1213" s="1371"/>
      <c r="O1213" s="23"/>
      <c r="P1213" s="1984"/>
      <c r="Q1213" s="23"/>
      <c r="R1213" s="23"/>
      <c r="S1213" s="1377">
        <v>1</v>
      </c>
      <c r="T1213" s="1694"/>
      <c r="U1213" s="23"/>
      <c r="V1213" s="596"/>
      <c r="W1213" s="1144"/>
      <c r="X1213" s="185"/>
      <c r="Y1213" s="1407"/>
      <c r="Z1213" s="1407"/>
      <c r="AA1213" s="1407"/>
      <c r="AB1213" s="1407"/>
      <c r="AC1213" s="185"/>
      <c r="AD1213" s="185"/>
      <c r="AE1213" s="410"/>
      <c r="AF1213" s="185"/>
      <c r="AG1213" s="364"/>
      <c r="AH1213" s="185"/>
      <c r="AI1213" s="185"/>
      <c r="AJ1213" s="364"/>
      <c r="AK1213" s="364"/>
      <c r="AL1213" s="364"/>
      <c r="AM1213" s="364"/>
      <c r="AN1213" s="364"/>
      <c r="AO1213" s="364"/>
      <c r="AP1213" s="364"/>
      <c r="AQ1213" s="364"/>
    </row>
    <row r="1214" spans="1:50" ht="12.75" customHeight="1" x14ac:dyDescent="0.25">
      <c r="A1214" s="1370" t="s">
        <v>3011</v>
      </c>
      <c r="B1214" s="1370" t="s">
        <v>3012</v>
      </c>
      <c r="C1214" s="9">
        <f t="shared" si="280"/>
        <v>2</v>
      </c>
      <c r="F1214" s="992">
        <f t="shared" si="281"/>
        <v>2</v>
      </c>
      <c r="G1214" s="584"/>
      <c r="H1214" s="1447"/>
      <c r="I1214" s="1447"/>
      <c r="J1214" s="584"/>
      <c r="K1214" s="584"/>
      <c r="L1214" s="584"/>
      <c r="N1214" s="1371"/>
      <c r="O1214" s="23"/>
      <c r="P1214" s="1985">
        <v>1</v>
      </c>
      <c r="Q1214" s="23">
        <v>1</v>
      </c>
      <c r="R1214" s="23"/>
      <c r="S1214" s="23"/>
      <c r="T1214" s="1694"/>
      <c r="U1214" s="23"/>
      <c r="V1214" s="596"/>
      <c r="W1214" s="1144"/>
      <c r="X1214" s="185"/>
      <c r="Y1214" s="1407"/>
      <c r="Z1214" s="1407"/>
      <c r="AA1214" s="1407"/>
      <c r="AB1214" s="1407"/>
      <c r="AC1214" s="185"/>
      <c r="AD1214" s="185"/>
      <c r="AE1214" s="410"/>
      <c r="AF1214" s="185"/>
      <c r="AG1214" s="364"/>
      <c r="AH1214" s="185"/>
      <c r="AI1214" s="185"/>
      <c r="AJ1214" s="364"/>
      <c r="AK1214" s="364"/>
      <c r="AL1214" s="364"/>
      <c r="AM1214" s="364"/>
      <c r="AN1214" s="364"/>
      <c r="AO1214" s="364"/>
      <c r="AP1214" s="364"/>
      <c r="AQ1214" s="364"/>
    </row>
    <row r="1215" spans="1:50" ht="12.75" customHeight="1" x14ac:dyDescent="0.25">
      <c r="A1215" s="1371" t="s">
        <v>665</v>
      </c>
      <c r="B1215" s="1371" t="s">
        <v>666</v>
      </c>
      <c r="C1215" s="9">
        <f t="shared" si="280"/>
        <v>8</v>
      </c>
      <c r="F1215" s="992">
        <f t="shared" si="281"/>
        <v>8</v>
      </c>
      <c r="G1215" s="584"/>
      <c r="H1215" s="584"/>
      <c r="I1215" s="584"/>
      <c r="J1215" s="584">
        <v>1</v>
      </c>
      <c r="K1215" s="584"/>
      <c r="L1215" s="584">
        <v>1</v>
      </c>
      <c r="N1215" s="1371"/>
      <c r="O1215" s="337">
        <v>1</v>
      </c>
      <c r="P1215" s="1357">
        <v>1</v>
      </c>
      <c r="Q1215" s="337">
        <v>1</v>
      </c>
      <c r="R1215" s="337"/>
      <c r="S1215" s="337"/>
      <c r="T1215" s="337">
        <v>1</v>
      </c>
      <c r="U1215" s="337">
        <v>1</v>
      </c>
      <c r="V1215" s="337"/>
      <c r="W1215" s="337">
        <v>1</v>
      </c>
      <c r="X1215" s="185"/>
      <c r="Y1215" s="1407"/>
      <c r="Z1215" s="1407"/>
      <c r="AA1215" s="1407"/>
      <c r="AB1215" s="1407"/>
      <c r="AC1215" s="185"/>
      <c r="AD1215" s="185"/>
      <c r="AE1215" s="410"/>
      <c r="AF1215" s="185"/>
      <c r="AG1215" s="364"/>
      <c r="AH1215" s="185"/>
      <c r="AI1215" s="185"/>
      <c r="AJ1215" s="364"/>
      <c r="AK1215" s="364"/>
      <c r="AL1215" s="364"/>
      <c r="AM1215" s="364"/>
      <c r="AN1215" s="364"/>
      <c r="AO1215" s="364"/>
      <c r="AP1215" s="364"/>
      <c r="AQ1215" s="364"/>
    </row>
    <row r="1216" spans="1:50" ht="12.75" customHeight="1" x14ac:dyDescent="0.25">
      <c r="A1216" s="1370" t="s">
        <v>1796</v>
      </c>
      <c r="B1216" s="1370" t="s">
        <v>1797</v>
      </c>
      <c r="C1216" s="9">
        <f t="shared" si="280"/>
        <v>1</v>
      </c>
      <c r="F1216" s="992">
        <f t="shared" si="281"/>
        <v>1</v>
      </c>
      <c r="G1216" s="584"/>
      <c r="H1216" s="584"/>
      <c r="I1216" s="1447">
        <v>1</v>
      </c>
      <c r="J1216" s="584"/>
      <c r="K1216" s="584"/>
      <c r="L1216" s="584"/>
      <c r="N1216" s="1371"/>
      <c r="O1216" s="23"/>
      <c r="P1216" s="23"/>
      <c r="Q1216" s="23"/>
      <c r="R1216" s="23"/>
      <c r="S1216" s="23"/>
      <c r="T1216" s="1694"/>
      <c r="U1216" s="23"/>
      <c r="V1216" s="596"/>
      <c r="W1216" s="1144"/>
      <c r="X1216" s="185"/>
      <c r="Y1216" s="1407"/>
      <c r="Z1216" s="1407"/>
      <c r="AA1216" s="1407"/>
      <c r="AB1216" s="1407"/>
      <c r="AC1216" s="185"/>
      <c r="AD1216" s="185"/>
      <c r="AE1216" s="410"/>
      <c r="AF1216" s="185"/>
      <c r="AG1216" s="364"/>
      <c r="AH1216" s="185"/>
      <c r="AI1216" s="185"/>
      <c r="AJ1216" s="364"/>
      <c r="AK1216" s="364"/>
      <c r="AL1216" s="364"/>
      <c r="AM1216" s="364"/>
      <c r="AN1216" s="364"/>
      <c r="AO1216" s="364"/>
      <c r="AP1216" s="364"/>
      <c r="AQ1216" s="364"/>
    </row>
    <row r="1217" spans="1:45" ht="12.75" customHeight="1" x14ac:dyDescent="0.25">
      <c r="A1217" s="1374" t="s">
        <v>2342</v>
      </c>
      <c r="B1217" s="1374" t="s">
        <v>2343</v>
      </c>
      <c r="C1217" s="9">
        <f t="shared" si="280"/>
        <v>2</v>
      </c>
      <c r="F1217" s="992">
        <f t="shared" si="281"/>
        <v>2</v>
      </c>
      <c r="G1217" s="584"/>
      <c r="H1217" s="584"/>
      <c r="I1217" s="584"/>
      <c r="J1217" s="584"/>
      <c r="K1217" s="584">
        <v>1</v>
      </c>
      <c r="L1217" s="584">
        <v>1</v>
      </c>
      <c r="N1217" s="1371"/>
      <c r="O1217" s="23"/>
      <c r="P1217" s="23"/>
      <c r="Q1217" s="23"/>
      <c r="R1217" s="23"/>
      <c r="S1217" s="23"/>
      <c r="T1217" s="1694"/>
      <c r="U1217" s="23"/>
      <c r="V1217" s="596"/>
      <c r="W1217" s="1144"/>
      <c r="X1217" s="185"/>
      <c r="Y1217" s="1407"/>
      <c r="Z1217" s="1407"/>
      <c r="AA1217" s="1407"/>
      <c r="AB1217" s="1407"/>
      <c r="AC1217" s="185"/>
      <c r="AD1217" s="185"/>
      <c r="AE1217" s="410"/>
      <c r="AF1217" s="185"/>
      <c r="AG1217" s="364"/>
      <c r="AH1217" s="185"/>
      <c r="AI1217" s="185"/>
      <c r="AJ1217" s="364"/>
      <c r="AK1217" s="364"/>
      <c r="AL1217" s="364"/>
      <c r="AM1217" s="364"/>
      <c r="AN1217" s="364"/>
      <c r="AO1217" s="364"/>
      <c r="AP1217" s="364"/>
      <c r="AQ1217" s="364"/>
    </row>
    <row r="1218" spans="1:45" ht="12.75" customHeight="1" x14ac:dyDescent="0.25">
      <c r="A1218" s="1374" t="s">
        <v>2137</v>
      </c>
      <c r="B1218" s="1374" t="s">
        <v>4943</v>
      </c>
      <c r="C1218" s="9">
        <f t="shared" si="280"/>
        <v>1</v>
      </c>
      <c r="F1218" s="992">
        <f t="shared" si="281"/>
        <v>1</v>
      </c>
      <c r="G1218" s="1447">
        <v>1</v>
      </c>
      <c r="H1218" s="584"/>
      <c r="I1218" s="584"/>
      <c r="J1218" s="584"/>
      <c r="K1218" s="584"/>
      <c r="L1218" s="584"/>
      <c r="N1218" s="1371"/>
      <c r="O1218" s="23"/>
      <c r="P1218" s="23"/>
      <c r="Q1218" s="23"/>
      <c r="R1218" s="23"/>
      <c r="S1218" s="23"/>
      <c r="T1218" s="1694"/>
      <c r="U1218" s="23"/>
      <c r="V1218" s="596"/>
      <c r="W1218" s="1144"/>
      <c r="X1218" s="185"/>
      <c r="Y1218" s="1407"/>
      <c r="Z1218" s="1407"/>
      <c r="AA1218" s="1407"/>
      <c r="AB1218" s="1407"/>
      <c r="AC1218" s="185"/>
      <c r="AD1218" s="185"/>
      <c r="AE1218" s="410"/>
      <c r="AF1218" s="185"/>
      <c r="AG1218" s="364"/>
      <c r="AH1218" s="185"/>
      <c r="AI1218" s="185"/>
      <c r="AJ1218" s="364"/>
      <c r="AK1218" s="364"/>
      <c r="AL1218" s="364"/>
      <c r="AM1218" s="364"/>
      <c r="AN1218" s="364"/>
      <c r="AO1218" s="364"/>
      <c r="AP1218" s="364"/>
      <c r="AQ1218" s="364"/>
    </row>
    <row r="1219" spans="1:45" ht="12.75" customHeight="1" x14ac:dyDescent="0.25">
      <c r="A1219" s="1370" t="s">
        <v>2478</v>
      </c>
      <c r="B1219" s="1370" t="s">
        <v>2479</v>
      </c>
      <c r="C1219" s="9">
        <f t="shared" si="280"/>
        <v>1</v>
      </c>
      <c r="F1219" s="992">
        <f t="shared" si="281"/>
        <v>1</v>
      </c>
      <c r="G1219" s="1447"/>
      <c r="H1219" s="584"/>
      <c r="I1219" s="584"/>
      <c r="J1219" s="584"/>
      <c r="K1219" s="584"/>
      <c r="L1219" s="584"/>
      <c r="N1219" s="1371"/>
      <c r="O1219" s="23"/>
      <c r="P1219" s="23"/>
      <c r="Q1219" s="23"/>
      <c r="R1219" s="23"/>
      <c r="S1219" s="23"/>
      <c r="T1219" s="1447">
        <v>1</v>
      </c>
      <c r="U1219" s="23"/>
      <c r="V1219" s="596"/>
      <c r="W1219" s="1144"/>
      <c r="X1219" s="185"/>
      <c r="Y1219" s="1407"/>
      <c r="Z1219" s="1407"/>
      <c r="AA1219" s="1407"/>
      <c r="AB1219" s="1407"/>
      <c r="AC1219" s="185"/>
      <c r="AD1219" s="185"/>
      <c r="AE1219" s="410"/>
      <c r="AF1219" s="185"/>
      <c r="AG1219" s="364"/>
      <c r="AH1219" s="185"/>
      <c r="AI1219" s="185"/>
      <c r="AJ1219" s="364"/>
      <c r="AK1219" s="364"/>
      <c r="AL1219" s="364"/>
      <c r="AM1219" s="364"/>
      <c r="AN1219" s="364"/>
      <c r="AO1219" s="364"/>
      <c r="AP1219" s="364"/>
      <c r="AQ1219" s="364"/>
    </row>
    <row r="1220" spans="1:45" ht="12.75" customHeight="1" x14ac:dyDescent="0.25">
      <c r="A1220" s="1374" t="s">
        <v>4561</v>
      </c>
      <c r="B1220" s="1374" t="s">
        <v>4562</v>
      </c>
      <c r="C1220" s="9">
        <f t="shared" si="280"/>
        <v>1</v>
      </c>
      <c r="F1220" s="992">
        <f t="shared" si="281"/>
        <v>1</v>
      </c>
      <c r="G1220" s="584"/>
      <c r="H1220" s="584"/>
      <c r="I1220" s="584"/>
      <c r="J1220" s="584"/>
      <c r="K1220" s="584"/>
      <c r="L1220" s="584"/>
      <c r="N1220" s="1371"/>
      <c r="O1220" s="23">
        <v>1</v>
      </c>
      <c r="P1220" s="23"/>
      <c r="Q1220" s="23"/>
      <c r="R1220" s="23"/>
      <c r="S1220" s="23"/>
      <c r="T1220" s="1694"/>
      <c r="U1220" s="23"/>
      <c r="V1220" s="596"/>
      <c r="W1220" s="1144"/>
      <c r="X1220" s="185"/>
      <c r="Y1220" s="1407"/>
      <c r="Z1220" s="1407"/>
      <c r="AA1220" s="1407"/>
      <c r="AB1220" s="1407"/>
      <c r="AC1220" s="185"/>
      <c r="AD1220" s="185"/>
      <c r="AE1220" s="410"/>
      <c r="AF1220" s="185"/>
      <c r="AG1220" s="364"/>
      <c r="AH1220" s="185"/>
      <c r="AI1220" s="185"/>
      <c r="AJ1220" s="364"/>
      <c r="AK1220" s="364"/>
      <c r="AL1220" s="364"/>
      <c r="AM1220" s="364"/>
      <c r="AN1220" s="364"/>
      <c r="AO1220" s="364"/>
      <c r="AP1220" s="364"/>
      <c r="AQ1220" s="364"/>
    </row>
    <row r="1221" spans="1:45" ht="12.75" customHeight="1" x14ac:dyDescent="0.25">
      <c r="A1221" s="2016" t="s">
        <v>1798</v>
      </c>
      <c r="B1221" s="2016" t="s">
        <v>17201</v>
      </c>
      <c r="C1221" s="9">
        <f t="shared" si="280"/>
        <v>1</v>
      </c>
      <c r="F1221" s="992">
        <f t="shared" si="281"/>
        <v>1</v>
      </c>
      <c r="G1221" s="584"/>
      <c r="H1221" s="584"/>
      <c r="I1221" s="584"/>
      <c r="J1221" s="1972">
        <v>1</v>
      </c>
      <c r="K1221" s="584"/>
      <c r="L1221" s="584"/>
      <c r="N1221" s="1371"/>
      <c r="O1221" s="23"/>
      <c r="P1221" s="23"/>
      <c r="Q1221" s="23"/>
      <c r="R1221" s="23"/>
      <c r="S1221" s="23"/>
      <c r="T1221" s="1694"/>
      <c r="U1221" s="23"/>
      <c r="V1221" s="596"/>
      <c r="W1221" s="1144"/>
      <c r="X1221" s="185"/>
      <c r="Y1221" s="1407"/>
      <c r="Z1221" s="1407"/>
      <c r="AA1221" s="1407"/>
      <c r="AB1221" s="1407"/>
      <c r="AC1221" s="185"/>
      <c r="AD1221" s="185"/>
      <c r="AE1221" s="410"/>
      <c r="AF1221" s="185"/>
      <c r="AG1221" s="364"/>
      <c r="AH1221" s="185"/>
      <c r="AI1221" s="185"/>
      <c r="AJ1221" s="364"/>
      <c r="AK1221" s="364"/>
      <c r="AL1221" s="364"/>
      <c r="AM1221" s="364"/>
      <c r="AN1221" s="364"/>
      <c r="AO1221" s="364"/>
      <c r="AP1221" s="364"/>
      <c r="AQ1221" s="364"/>
    </row>
    <row r="1222" spans="1:45" ht="12.75" customHeight="1" x14ac:dyDescent="0.25">
      <c r="A1222" s="1374" t="s">
        <v>2349</v>
      </c>
      <c r="B1222" s="1374" t="s">
        <v>2350</v>
      </c>
      <c r="C1222" s="9">
        <f t="shared" si="280"/>
        <v>1</v>
      </c>
      <c r="F1222" s="992">
        <f t="shared" si="281"/>
        <v>1</v>
      </c>
      <c r="G1222" s="584"/>
      <c r="H1222" s="584"/>
      <c r="I1222" s="584"/>
      <c r="J1222" s="584"/>
      <c r="K1222" s="584"/>
      <c r="L1222" s="584"/>
      <c r="N1222" s="1371"/>
      <c r="O1222" s="23"/>
      <c r="P1222" s="23"/>
      <c r="Q1222" s="23">
        <v>1</v>
      </c>
      <c r="R1222" s="23"/>
      <c r="S1222" s="23"/>
      <c r="T1222" s="1694"/>
      <c r="U1222" s="23"/>
      <c r="V1222" s="596"/>
      <c r="W1222" s="1144"/>
      <c r="X1222" s="185"/>
      <c r="Y1222" s="1407"/>
      <c r="Z1222" s="1407"/>
      <c r="AA1222" s="1407"/>
      <c r="AB1222" s="1407"/>
      <c r="AC1222" s="185"/>
      <c r="AD1222" s="185"/>
      <c r="AE1222" s="410"/>
      <c r="AF1222" s="185"/>
      <c r="AG1222" s="364"/>
      <c r="AH1222" s="185"/>
      <c r="AI1222" s="185"/>
      <c r="AJ1222" s="364"/>
      <c r="AK1222" s="364"/>
      <c r="AL1222" s="364"/>
      <c r="AM1222" s="364"/>
      <c r="AN1222" s="364"/>
      <c r="AO1222" s="364"/>
      <c r="AP1222" s="364"/>
      <c r="AQ1222" s="364"/>
    </row>
    <row r="1223" spans="1:45" ht="12.75" customHeight="1" x14ac:dyDescent="0.25">
      <c r="A1223" s="1374" t="s">
        <v>9377</v>
      </c>
      <c r="B1223" s="1374" t="s">
        <v>9378</v>
      </c>
      <c r="C1223" s="9">
        <f t="shared" si="280"/>
        <v>1</v>
      </c>
      <c r="F1223" s="992">
        <f t="shared" si="281"/>
        <v>1</v>
      </c>
      <c r="G1223" s="584"/>
      <c r="H1223" s="584"/>
      <c r="I1223" s="584"/>
      <c r="J1223" s="584"/>
      <c r="K1223" s="584"/>
      <c r="L1223" s="584"/>
      <c r="N1223" s="1371"/>
      <c r="O1223" s="23">
        <v>1</v>
      </c>
      <c r="P1223" s="23"/>
      <c r="Q1223" s="23"/>
      <c r="R1223" s="23"/>
      <c r="S1223" s="23"/>
      <c r="T1223" s="1694"/>
      <c r="U1223" s="23"/>
      <c r="V1223" s="596"/>
      <c r="W1223" s="1144"/>
      <c r="X1223" s="185"/>
      <c r="Y1223" s="1407"/>
      <c r="Z1223" s="1407"/>
      <c r="AA1223" s="1407"/>
      <c r="AB1223" s="1407"/>
      <c r="AC1223" s="185"/>
      <c r="AD1223" s="185"/>
      <c r="AE1223" s="410"/>
      <c r="AF1223" s="185"/>
      <c r="AG1223" s="364"/>
      <c r="AH1223" s="185"/>
      <c r="AI1223" s="185"/>
      <c r="AJ1223" s="364"/>
      <c r="AK1223" s="364"/>
      <c r="AL1223" s="364"/>
      <c r="AM1223" s="364"/>
      <c r="AN1223" s="364"/>
      <c r="AO1223" s="364"/>
      <c r="AP1223" s="364"/>
      <c r="AQ1223" s="364"/>
    </row>
    <row r="1224" spans="1:45" ht="12.75" customHeight="1" x14ac:dyDescent="0.25">
      <c r="C1224" s="20">
        <f>SUM(C1209:C1223)</f>
        <v>43</v>
      </c>
      <c r="F1224" s="244"/>
      <c r="G1224" s="637">
        <f>SUM(G1209:G1223)</f>
        <v>6</v>
      </c>
      <c r="H1224" s="637">
        <f t="shared" ref="H1224:W1224" si="282">SUM(H1209:H1223)</f>
        <v>1</v>
      </c>
      <c r="I1224" s="637">
        <f t="shared" si="282"/>
        <v>1</v>
      </c>
      <c r="J1224" s="637">
        <f t="shared" si="282"/>
        <v>4</v>
      </c>
      <c r="K1224" s="637">
        <f t="shared" si="282"/>
        <v>1</v>
      </c>
      <c r="L1224" s="637">
        <f t="shared" si="282"/>
        <v>2</v>
      </c>
      <c r="M1224" s="1695"/>
      <c r="N1224" s="1695"/>
      <c r="O1224" s="637">
        <f t="shared" si="282"/>
        <v>5</v>
      </c>
      <c r="P1224" s="637">
        <f t="shared" si="282"/>
        <v>3</v>
      </c>
      <c r="Q1224" s="637">
        <f t="shared" si="282"/>
        <v>3</v>
      </c>
      <c r="R1224" s="637">
        <f t="shared" si="282"/>
        <v>6</v>
      </c>
      <c r="S1224" s="637">
        <f t="shared" ref="S1224" si="283">SUM(S1209:S1223)</f>
        <v>1</v>
      </c>
      <c r="T1224" s="637">
        <f t="shared" si="282"/>
        <v>4</v>
      </c>
      <c r="U1224" s="637">
        <f t="shared" si="282"/>
        <v>1</v>
      </c>
      <c r="V1224" s="637">
        <f t="shared" si="282"/>
        <v>2</v>
      </c>
      <c r="W1224" s="637">
        <f t="shared" si="282"/>
        <v>3</v>
      </c>
      <c r="X1224" s="185"/>
      <c r="Y1224" s="1407"/>
      <c r="Z1224" s="1407"/>
      <c r="AA1224" s="1407"/>
      <c r="AB1224" s="1407"/>
      <c r="AC1224" s="185"/>
      <c r="AD1224" s="185"/>
      <c r="AE1224" s="410"/>
      <c r="AF1224" s="185"/>
      <c r="AG1224" s="364"/>
      <c r="AH1224" s="185"/>
      <c r="AI1224" s="185"/>
      <c r="AJ1224" s="364"/>
      <c r="AK1224" s="364"/>
      <c r="AL1224" s="364"/>
      <c r="AM1224" s="364"/>
      <c r="AN1224" s="364"/>
      <c r="AO1224" s="364"/>
      <c r="AP1224" s="364"/>
      <c r="AQ1224" s="364"/>
    </row>
    <row r="1225" spans="1:45" ht="12.75" customHeight="1" x14ac:dyDescent="0.25">
      <c r="C1225" s="9"/>
      <c r="E1225" s="1377">
        <f>COUNT(G1225:W1225)</f>
        <v>15</v>
      </c>
      <c r="F1225" s="244"/>
      <c r="G1225" s="637">
        <f>COUNT(G1209:G1223)</f>
        <v>4</v>
      </c>
      <c r="H1225" s="637">
        <f t="shared" ref="H1225:W1225" si="284">COUNT(H1209:H1223)</f>
        <v>1</v>
      </c>
      <c r="I1225" s="637">
        <f t="shared" si="284"/>
        <v>1</v>
      </c>
      <c r="J1225" s="637">
        <f t="shared" si="284"/>
        <v>4</v>
      </c>
      <c r="K1225" s="637">
        <f t="shared" si="284"/>
        <v>1</v>
      </c>
      <c r="L1225" s="637">
        <f t="shared" si="284"/>
        <v>2</v>
      </c>
      <c r="M1225" s="1695"/>
      <c r="N1225" s="1695"/>
      <c r="O1225" s="637">
        <f t="shared" si="284"/>
        <v>5</v>
      </c>
      <c r="P1225" s="637">
        <f t="shared" si="284"/>
        <v>3</v>
      </c>
      <c r="Q1225" s="637">
        <f t="shared" si="284"/>
        <v>3</v>
      </c>
      <c r="R1225" s="637">
        <f t="shared" si="284"/>
        <v>2</v>
      </c>
      <c r="S1225" s="637">
        <f t="shared" ref="S1225" si="285">COUNT(S1209:S1223)</f>
        <v>1</v>
      </c>
      <c r="T1225" s="637">
        <f t="shared" si="284"/>
        <v>4</v>
      </c>
      <c r="U1225" s="637">
        <f t="shared" si="284"/>
        <v>1</v>
      </c>
      <c r="V1225" s="637">
        <f t="shared" si="284"/>
        <v>2</v>
      </c>
      <c r="W1225" s="637">
        <f t="shared" si="284"/>
        <v>3</v>
      </c>
      <c r="X1225" s="185"/>
      <c r="Y1225" s="1407"/>
      <c r="Z1225" s="1407"/>
      <c r="AA1225" s="1407"/>
      <c r="AB1225" s="1407"/>
      <c r="AC1225" s="185"/>
      <c r="AD1225" s="185"/>
      <c r="AE1225" s="410"/>
      <c r="AF1225" s="185"/>
      <c r="AG1225" s="364"/>
      <c r="AH1225" s="185"/>
      <c r="AI1225" s="185"/>
      <c r="AJ1225" s="364"/>
      <c r="AK1225" s="364"/>
      <c r="AL1225" s="364"/>
      <c r="AM1225" s="364"/>
      <c r="AN1225" s="364"/>
      <c r="AO1225" s="364"/>
      <c r="AP1225" s="364"/>
      <c r="AQ1225" s="364"/>
    </row>
    <row r="1226" spans="1:45" ht="12.75" customHeight="1" x14ac:dyDescent="0.25">
      <c r="C1226" s="9"/>
      <c r="F1226" s="244"/>
      <c r="G1226" s="1367" t="s">
        <v>10111</v>
      </c>
      <c r="H1226" s="565"/>
      <c r="I1226" s="538" t="s">
        <v>13030</v>
      </c>
      <c r="J1226" s="565"/>
      <c r="K1226" s="538" t="s">
        <v>12382</v>
      </c>
      <c r="L1226" s="565"/>
      <c r="N1226" s="1371"/>
      <c r="O1226" s="190" t="s">
        <v>279</v>
      </c>
      <c r="P1226" s="190"/>
      <c r="Q1226" s="190" t="s">
        <v>783</v>
      </c>
      <c r="R1226" s="190"/>
      <c r="S1226" s="258" t="s">
        <v>15933</v>
      </c>
      <c r="T1226" s="561"/>
      <c r="U1226" s="538" t="s">
        <v>1479</v>
      </c>
      <c r="V1226" s="538"/>
      <c r="W1226" s="561" t="s">
        <v>785</v>
      </c>
      <c r="X1226" s="185"/>
      <c r="Y1226" s="1407"/>
      <c r="Z1226" s="1407"/>
      <c r="AA1226" s="1407"/>
      <c r="AB1226" s="1407"/>
      <c r="AC1226" s="185"/>
      <c r="AD1226" s="185"/>
      <c r="AE1226" s="410"/>
      <c r="AF1226" s="185"/>
      <c r="AG1226" s="364"/>
      <c r="AH1226" s="185"/>
      <c r="AI1226" s="185"/>
      <c r="AJ1226" s="364"/>
      <c r="AK1226" s="364"/>
      <c r="AL1226" s="364"/>
      <c r="AM1226" s="364"/>
      <c r="AN1226" s="364"/>
      <c r="AO1226" s="364"/>
      <c r="AP1226" s="364"/>
      <c r="AQ1226" s="364"/>
    </row>
    <row r="1227" spans="1:45" ht="12.75" customHeight="1" x14ac:dyDescent="0.25">
      <c r="C1227" s="9"/>
      <c r="F1227" s="244"/>
      <c r="G1227" s="1368"/>
      <c r="H1227" s="539" t="s">
        <v>12577</v>
      </c>
      <c r="I1227" s="539"/>
      <c r="J1227" s="515" t="s">
        <v>12351</v>
      </c>
      <c r="K1227" s="539"/>
      <c r="L1227" s="515" t="s">
        <v>12380</v>
      </c>
      <c r="N1227" s="1371"/>
      <c r="O1227" s="191"/>
      <c r="P1227" s="1075" t="s">
        <v>280</v>
      </c>
      <c r="Q1227" s="247"/>
      <c r="R1227" s="343" t="s">
        <v>8176</v>
      </c>
      <c r="S1227" s="558"/>
      <c r="T1227" s="539" t="s">
        <v>17071</v>
      </c>
      <c r="U1227" s="539"/>
      <c r="V1227" s="539" t="s">
        <v>10744</v>
      </c>
      <c r="W1227" s="558"/>
      <c r="X1227" s="185"/>
      <c r="Y1227" s="1407"/>
      <c r="Z1227" s="1407"/>
      <c r="AA1227" s="1407"/>
      <c r="AB1227" s="1407"/>
      <c r="AC1227" s="185"/>
      <c r="AD1227" s="185"/>
      <c r="AE1227" s="410"/>
      <c r="AF1227" s="185"/>
      <c r="AG1227" s="364"/>
      <c r="AH1227" s="185"/>
      <c r="AI1227" s="185"/>
      <c r="AJ1227" s="364"/>
      <c r="AK1227" s="364"/>
      <c r="AL1227" s="364"/>
      <c r="AM1227" s="364"/>
      <c r="AN1227" s="364"/>
      <c r="AO1227" s="364"/>
      <c r="AP1227" s="364"/>
      <c r="AQ1227" s="364"/>
    </row>
    <row r="1228" spans="1:45" ht="12.75" customHeight="1" x14ac:dyDescent="0.25">
      <c r="C1228" s="9"/>
      <c r="F1228" s="244"/>
      <c r="G1228" s="1126">
        <f>Parks!L209</f>
        <v>414</v>
      </c>
      <c r="H1228" s="1126">
        <f>Parks!L217</f>
        <v>492</v>
      </c>
      <c r="I1228" s="1126">
        <f>Parks!L386</f>
        <v>507</v>
      </c>
      <c r="J1228" s="1126">
        <f>Parks!L372</f>
        <v>292</v>
      </c>
      <c r="K1228" s="1126">
        <f>Parks!L461</f>
        <v>488</v>
      </c>
      <c r="L1228" s="1126">
        <f>Parks!L462</f>
        <v>411</v>
      </c>
      <c r="N1228" s="1371"/>
      <c r="R1228" s="1139"/>
      <c r="T1228" s="1418"/>
      <c r="U1228" s="1406"/>
      <c r="V1228" s="1406"/>
      <c r="W1228" s="1407"/>
      <c r="X1228" s="1407"/>
      <c r="Y1228" s="1407"/>
      <c r="Z1228" s="1407"/>
      <c r="AA1228" s="1418"/>
      <c r="AB1228" s="185"/>
      <c r="AC1228" s="410"/>
      <c r="AD1228" s="185"/>
      <c r="AE1228" s="364"/>
      <c r="AF1228" s="185"/>
      <c r="AG1228" s="364"/>
      <c r="AH1228" s="364"/>
      <c r="AI1228" s="364"/>
      <c r="AJ1228" s="185"/>
      <c r="AK1228" s="185"/>
      <c r="AL1228" s="185"/>
      <c r="AM1228" s="185"/>
      <c r="AN1228" s="185"/>
      <c r="AO1228" s="185"/>
      <c r="AP1228" s="185"/>
      <c r="AQ1228" s="410"/>
    </row>
    <row r="1229" spans="1:45" ht="12.75" customHeight="1" x14ac:dyDescent="0.25">
      <c r="C1229" s="9"/>
      <c r="F1229" s="244"/>
      <c r="G1229" s="1126"/>
      <c r="H1229" s="1126"/>
      <c r="I1229" s="1126"/>
      <c r="J1229" s="1126"/>
      <c r="K1229" s="1126"/>
      <c r="L1229" s="1126"/>
      <c r="N1229" s="1371"/>
      <c r="R1229" s="1139"/>
      <c r="T1229" s="1418"/>
      <c r="U1229" s="1406"/>
      <c r="V1229" s="1406"/>
      <c r="W1229" s="1407"/>
      <c r="X1229" s="1407"/>
      <c r="Y1229" s="1407"/>
      <c r="Z1229" s="1407"/>
      <c r="AA1229" s="1418"/>
      <c r="AB1229" s="185"/>
      <c r="AC1229" s="410"/>
      <c r="AD1229" s="185"/>
      <c r="AE1229" s="364"/>
      <c r="AF1229" s="185"/>
      <c r="AG1229" s="364"/>
      <c r="AH1229" s="364"/>
      <c r="AI1229" s="364"/>
      <c r="AJ1229" s="185"/>
      <c r="AK1229" s="185"/>
      <c r="AL1229" s="185"/>
      <c r="AM1229" s="185"/>
      <c r="AN1229" s="185"/>
      <c r="AO1229" s="185"/>
      <c r="AP1229" s="185"/>
      <c r="AQ1229" s="410"/>
    </row>
    <row r="1230" spans="1:45" ht="12.75" customHeight="1" x14ac:dyDescent="0.25">
      <c r="C1230" s="9"/>
      <c r="F1230" s="244"/>
      <c r="G1230" s="2" t="s">
        <v>12087</v>
      </c>
      <c r="H1230" s="2"/>
      <c r="I1230" s="2"/>
      <c r="J1230" s="2"/>
      <c r="K1230" s="185"/>
      <c r="L1230" s="185"/>
      <c r="M1230" s="185"/>
      <c r="N1230" s="1696"/>
      <c r="O1230" s="364"/>
      <c r="P1230" s="410"/>
      <c r="Q1230" s="185"/>
      <c r="R1230" s="185"/>
      <c r="S1230" s="410"/>
      <c r="T1230" s="185"/>
      <c r="U1230" s="185"/>
      <c r="V1230" s="410"/>
      <c r="W1230" s="410"/>
      <c r="X1230" s="1407"/>
      <c r="Y1230" s="1407"/>
      <c r="Z1230" s="1418"/>
      <c r="AA1230" s="1418"/>
      <c r="AB1230" s="410"/>
      <c r="AC1230" s="185"/>
      <c r="AD1230" s="364"/>
      <c r="AE1230" s="185"/>
      <c r="AF1230" s="364"/>
      <c r="AG1230" s="364"/>
      <c r="AH1230" s="185"/>
      <c r="AI1230" s="185"/>
      <c r="AJ1230" s="410"/>
      <c r="AK1230" s="410"/>
      <c r="AL1230" s="410"/>
      <c r="AM1230" s="410"/>
      <c r="AN1230" s="410"/>
      <c r="AO1230" s="410"/>
      <c r="AP1230" s="410"/>
    </row>
    <row r="1231" spans="1:45" ht="12.75" customHeight="1" x14ac:dyDescent="0.25">
      <c r="C1231" s="9"/>
      <c r="F1231"/>
      <c r="G1231" s="434"/>
      <c r="H1231" s="97"/>
      <c r="I1231" s="151"/>
      <c r="K1231" s="151"/>
      <c r="L1231" s="151"/>
      <c r="M1231" s="151"/>
      <c r="N1231" s="151"/>
      <c r="O1231" s="151"/>
      <c r="P1231" s="151"/>
      <c r="Q1231" s="151"/>
      <c r="R1231" s="97" t="s">
        <v>4682</v>
      </c>
      <c r="S1231" s="151"/>
      <c r="T1231" s="151"/>
      <c r="U1231" s="1139"/>
      <c r="V1231" s="364"/>
      <c r="W1231" s="410"/>
      <c r="X1231" s="185"/>
      <c r="Y1231" s="185"/>
      <c r="Z1231" s="410"/>
      <c r="AA1231" s="410"/>
      <c r="AB1231" s="410"/>
      <c r="AC1231" s="410"/>
      <c r="AD1231" s="185"/>
      <c r="AE1231" s="185"/>
      <c r="AF1231" s="410"/>
      <c r="AG1231" s="185"/>
      <c r="AH1231" s="364"/>
      <c r="AI1231" s="185"/>
      <c r="AJ1231" s="185"/>
      <c r="AK1231" s="185"/>
      <c r="AL1231" s="185"/>
      <c r="AM1231" s="185"/>
      <c r="AN1231" s="364"/>
      <c r="AO1231" s="364"/>
      <c r="AP1231" s="364"/>
      <c r="AQ1231" s="364"/>
      <c r="AR1231" s="364"/>
    </row>
    <row r="1232" spans="1:45" ht="12.75" customHeight="1" x14ac:dyDescent="0.25">
      <c r="C1232" s="9"/>
      <c r="F1232"/>
      <c r="G1232" s="434"/>
      <c r="H1232" s="97"/>
      <c r="I1232" s="151"/>
      <c r="K1232" s="151"/>
      <c r="L1232" s="151"/>
      <c r="M1232" s="151"/>
      <c r="N1232" s="151"/>
      <c r="O1232" s="151"/>
      <c r="P1232" s="151"/>
      <c r="Q1232" s="151"/>
      <c r="R1232" s="151"/>
      <c r="S1232" s="97"/>
      <c r="T1232" s="151"/>
      <c r="U1232" s="151"/>
      <c r="V1232" s="1139"/>
      <c r="W1232" s="364"/>
      <c r="X1232" s="410"/>
      <c r="Y1232" s="185"/>
      <c r="Z1232" s="185"/>
      <c r="AA1232" s="410"/>
      <c r="AB1232" s="410"/>
      <c r="AC1232" s="410"/>
      <c r="AD1232" s="410"/>
      <c r="AE1232" s="185"/>
      <c r="AF1232" s="185"/>
      <c r="AG1232" s="410"/>
      <c r="AH1232" s="185"/>
      <c r="AI1232" s="364"/>
      <c r="AJ1232" s="185"/>
      <c r="AK1232" s="185"/>
      <c r="AL1232" s="185"/>
      <c r="AM1232" s="185"/>
      <c r="AN1232" s="185"/>
      <c r="AO1232" s="364"/>
      <c r="AP1232" s="364"/>
      <c r="AQ1232" s="364"/>
      <c r="AR1232" s="364"/>
      <c r="AS1232" s="364"/>
    </row>
    <row r="1233" spans="1:44" ht="12.75" customHeight="1" x14ac:dyDescent="0.25">
      <c r="C1233" s="9"/>
      <c r="F1233" s="244"/>
      <c r="G1233" s="434" t="s">
        <v>4565</v>
      </c>
      <c r="H1233" s="7"/>
      <c r="I1233" s="7"/>
      <c r="J1233" s="97" t="s">
        <v>5000</v>
      </c>
      <c r="K1233" s="434"/>
      <c r="L1233" s="161"/>
      <c r="M1233" s="1876"/>
      <c r="N1233" s="151"/>
      <c r="O1233" s="151"/>
      <c r="P1233" s="151"/>
      <c r="Q1233" s="151"/>
      <c r="R1233" s="97" t="s">
        <v>4682</v>
      </c>
      <c r="S1233" s="151"/>
      <c r="T1233" s="41"/>
      <c r="U1233" s="1139"/>
      <c r="V1233" s="364"/>
      <c r="W1233" s="410"/>
      <c r="X1233" s="185"/>
      <c r="Y1233" s="185"/>
      <c r="Z1233" s="410"/>
      <c r="AA1233" s="410"/>
      <c r="AB1233" s="410"/>
      <c r="AC1233" s="410"/>
      <c r="AD1233" s="185"/>
      <c r="AE1233" s="185"/>
      <c r="AF1233" s="410"/>
      <c r="AG1233" s="185"/>
      <c r="AH1233" s="364"/>
      <c r="AI1233" s="185"/>
      <c r="AJ1233" s="185"/>
      <c r="AK1233" s="185"/>
      <c r="AL1233" s="185"/>
      <c r="AM1233" s="185"/>
      <c r="AN1233" s="364"/>
      <c r="AO1233" s="364"/>
      <c r="AP1233" s="364"/>
      <c r="AQ1233" s="364"/>
      <c r="AR1233" s="364"/>
    </row>
    <row r="1234" spans="1:44" ht="12.75" customHeight="1" x14ac:dyDescent="0.25">
      <c r="A1234" s="1373"/>
      <c r="B1234" s="1373"/>
      <c r="C1234" s="9"/>
      <c r="F1234" s="244"/>
      <c r="G1234" s="553" t="s">
        <v>4251</v>
      </c>
      <c r="H1234" s="41"/>
      <c r="I1234" s="41"/>
      <c r="J1234" s="560" t="s">
        <v>4982</v>
      </c>
      <c r="K1234" s="553" t="s">
        <v>4838</v>
      </c>
      <c r="L1234" s="560" t="s">
        <v>1681</v>
      </c>
      <c r="M1234" s="1359" t="s">
        <v>16481</v>
      </c>
      <c r="N1234" s="560" t="s">
        <v>12263</v>
      </c>
      <c r="O1234" s="1359" t="s">
        <v>11870</v>
      </c>
      <c r="P1234" s="41"/>
      <c r="Q1234" s="41"/>
      <c r="R1234" s="553" t="s">
        <v>3031</v>
      </c>
      <c r="S1234" s="560" t="s">
        <v>8001</v>
      </c>
      <c r="T1234" s="41"/>
      <c r="U1234" s="1139"/>
      <c r="V1234" s="364"/>
      <c r="W1234" s="410"/>
      <c r="X1234" s="185"/>
      <c r="Y1234" s="185"/>
      <c r="Z1234" s="410"/>
      <c r="AA1234" s="410"/>
      <c r="AB1234" s="410"/>
      <c r="AC1234" s="410"/>
      <c r="AD1234" s="185"/>
      <c r="AE1234" s="185"/>
      <c r="AF1234" s="410"/>
      <c r="AG1234" s="185"/>
      <c r="AH1234" s="364"/>
      <c r="AI1234" s="185"/>
      <c r="AJ1234" s="185"/>
      <c r="AK1234" s="185"/>
      <c r="AL1234" s="185"/>
      <c r="AM1234" s="185"/>
      <c r="AN1234" s="364"/>
      <c r="AO1234" s="364"/>
      <c r="AP1234" s="364"/>
      <c r="AQ1234" s="364"/>
      <c r="AR1234" s="364"/>
    </row>
    <row r="1235" spans="1:44" ht="12.75" customHeight="1" x14ac:dyDescent="0.25">
      <c r="A1235" s="1373" t="s">
        <v>4264</v>
      </c>
      <c r="B1235" s="1373" t="s">
        <v>5239</v>
      </c>
      <c r="C1235" s="9">
        <f t="shared" ref="C1235:C1243" si="286">SUM(G1235:S1235)</f>
        <v>2</v>
      </c>
      <c r="F1235" s="991">
        <f t="shared" ref="F1235:F1243" si="287">COUNT(G1235:S1235)</f>
        <v>2</v>
      </c>
      <c r="G1235" s="455"/>
      <c r="H1235" s="80"/>
      <c r="I1235" s="80"/>
      <c r="J1235" s="455"/>
      <c r="K1235" s="455"/>
      <c r="L1235" s="455">
        <v>1</v>
      </c>
      <c r="M1235" s="1381">
        <v>1</v>
      </c>
      <c r="N1235" s="455"/>
      <c r="O1235" s="455"/>
      <c r="P1235" s="80"/>
      <c r="Q1235" s="80"/>
      <c r="R1235" s="455"/>
      <c r="S1235" s="455"/>
      <c r="T1235" s="80"/>
      <c r="U1235" s="430" t="s">
        <v>12088</v>
      </c>
      <c r="V1235" s="364"/>
      <c r="W1235" s="410"/>
      <c r="X1235" s="185"/>
      <c r="Y1235" s="185"/>
      <c r="Z1235" s="410"/>
      <c r="AA1235" s="410"/>
      <c r="AB1235" s="410"/>
      <c r="AC1235" s="410"/>
      <c r="AD1235" s="185"/>
      <c r="AE1235" s="185"/>
      <c r="AF1235" s="410"/>
      <c r="AG1235" s="185"/>
      <c r="AH1235" s="364"/>
      <c r="AI1235" s="185"/>
      <c r="AJ1235" s="185"/>
      <c r="AK1235" s="185"/>
      <c r="AL1235" s="185"/>
      <c r="AM1235" s="185"/>
      <c r="AN1235" s="364"/>
      <c r="AO1235" s="364"/>
      <c r="AP1235" s="364"/>
      <c r="AQ1235" s="364"/>
      <c r="AR1235" s="364"/>
    </row>
    <row r="1236" spans="1:44" ht="12.75" customHeight="1" x14ac:dyDescent="0.25">
      <c r="A1236" s="1370" t="s">
        <v>3508</v>
      </c>
      <c r="B1236" s="1370" t="s">
        <v>3632</v>
      </c>
      <c r="C1236" s="9">
        <f t="shared" si="286"/>
        <v>1</v>
      </c>
      <c r="F1236" s="991">
        <f t="shared" si="287"/>
        <v>1</v>
      </c>
      <c r="G1236" s="455"/>
      <c r="H1236" s="80"/>
      <c r="I1236" s="80"/>
      <c r="J1236" s="455"/>
      <c r="K1236" s="455"/>
      <c r="L1236" s="455">
        <v>1</v>
      </c>
      <c r="M1236" s="1381"/>
      <c r="N1236" s="455"/>
      <c r="O1236" s="455"/>
      <c r="P1236" s="80"/>
      <c r="Q1236" s="80"/>
      <c r="R1236" s="455"/>
      <c r="S1236" s="455"/>
      <c r="T1236" s="80"/>
      <c r="U1236" s="430" t="s">
        <v>12089</v>
      </c>
      <c r="V1236" s="364"/>
      <c r="W1236" s="410"/>
      <c r="X1236" s="185"/>
      <c r="Y1236" s="185"/>
      <c r="Z1236" s="410"/>
      <c r="AA1236" s="410"/>
      <c r="AB1236" s="410"/>
      <c r="AC1236" s="410"/>
      <c r="AD1236" s="185"/>
      <c r="AE1236" s="185"/>
      <c r="AF1236" s="410"/>
      <c r="AG1236" s="185"/>
      <c r="AH1236" s="364"/>
      <c r="AI1236" s="185"/>
      <c r="AJ1236" s="185"/>
      <c r="AK1236" s="185"/>
      <c r="AL1236" s="185"/>
      <c r="AM1236" s="185"/>
      <c r="AN1236" s="364"/>
      <c r="AO1236" s="364"/>
      <c r="AP1236" s="364"/>
      <c r="AQ1236" s="364"/>
      <c r="AR1236" s="364"/>
    </row>
    <row r="1237" spans="1:44" ht="12.75" customHeight="1" x14ac:dyDescent="0.25">
      <c r="A1237" s="1370" t="s">
        <v>665</v>
      </c>
      <c r="B1237" s="1370" t="s">
        <v>666</v>
      </c>
      <c r="C1237" s="9">
        <f t="shared" si="286"/>
        <v>5</v>
      </c>
      <c r="F1237" s="991">
        <f t="shared" si="287"/>
        <v>5</v>
      </c>
      <c r="G1237" s="455">
        <v>1</v>
      </c>
      <c r="H1237" s="80"/>
      <c r="I1237" s="80"/>
      <c r="J1237" s="455">
        <v>1</v>
      </c>
      <c r="K1237" s="455">
        <v>1</v>
      </c>
      <c r="L1237" s="455">
        <v>1</v>
      </c>
      <c r="M1237" s="1381"/>
      <c r="N1237" s="455"/>
      <c r="O1237" s="455">
        <v>1</v>
      </c>
      <c r="P1237" s="80"/>
      <c r="Q1237" s="80"/>
      <c r="R1237" s="455"/>
      <c r="S1237" s="455"/>
      <c r="T1237" s="80"/>
      <c r="U1237" s="1139"/>
      <c r="V1237" s="364"/>
      <c r="W1237" s="410"/>
      <c r="X1237" s="185"/>
      <c r="Y1237" s="185"/>
      <c r="Z1237" s="410"/>
      <c r="AA1237" s="410"/>
      <c r="AB1237" s="410"/>
      <c r="AC1237" s="410"/>
      <c r="AD1237" s="185"/>
      <c r="AE1237" s="185"/>
      <c r="AF1237" s="410"/>
      <c r="AG1237" s="185"/>
      <c r="AH1237" s="364"/>
      <c r="AI1237" s="185"/>
      <c r="AJ1237" s="185"/>
      <c r="AK1237" s="185"/>
      <c r="AL1237" s="185"/>
      <c r="AM1237" s="185"/>
      <c r="AN1237" s="364"/>
      <c r="AO1237" s="364"/>
      <c r="AP1237" s="364"/>
      <c r="AQ1237" s="364"/>
      <c r="AR1237" s="364"/>
    </row>
    <row r="1238" spans="1:44" ht="12.75" customHeight="1" x14ac:dyDescent="0.25">
      <c r="A1238" s="1389" t="s">
        <v>4878</v>
      </c>
      <c r="B1238" s="1389" t="s">
        <v>3250</v>
      </c>
      <c r="C1238" s="9">
        <f t="shared" si="286"/>
        <v>2</v>
      </c>
      <c r="F1238" s="991">
        <f t="shared" si="287"/>
        <v>2</v>
      </c>
      <c r="G1238" s="455">
        <v>1</v>
      </c>
      <c r="H1238" s="80"/>
      <c r="I1238" s="80"/>
      <c r="J1238" s="455"/>
      <c r="K1238" s="455"/>
      <c r="L1238" s="455"/>
      <c r="M1238" s="1381"/>
      <c r="N1238" s="455"/>
      <c r="O1238" s="455"/>
      <c r="P1238" s="80"/>
      <c r="Q1238" s="80"/>
      <c r="R1238" s="455">
        <v>1</v>
      </c>
      <c r="S1238" s="455"/>
      <c r="T1238" s="80"/>
      <c r="U1238" s="1139"/>
      <c r="V1238" s="364"/>
      <c r="W1238" s="410"/>
      <c r="X1238" s="185"/>
      <c r="Y1238" s="185"/>
      <c r="Z1238" s="410"/>
      <c r="AA1238" s="410"/>
      <c r="AB1238" s="410"/>
      <c r="AC1238" s="410"/>
      <c r="AD1238" s="185"/>
      <c r="AE1238" s="185"/>
      <c r="AF1238" s="410"/>
      <c r="AG1238" s="185"/>
      <c r="AH1238" s="364"/>
      <c r="AI1238" s="185"/>
      <c r="AJ1238" s="185"/>
      <c r="AK1238" s="185"/>
      <c r="AL1238" s="185"/>
      <c r="AM1238" s="185"/>
      <c r="AN1238" s="364"/>
      <c r="AO1238" s="364"/>
      <c r="AP1238" s="364"/>
      <c r="AQ1238" s="364"/>
      <c r="AR1238" s="364"/>
    </row>
    <row r="1239" spans="1:44" ht="12.75" customHeight="1" x14ac:dyDescent="0.25">
      <c r="A1239" s="1370" t="s">
        <v>2416</v>
      </c>
      <c r="B1239" s="1370" t="s">
        <v>2417</v>
      </c>
      <c r="C1239" s="9">
        <f t="shared" si="286"/>
        <v>1</v>
      </c>
      <c r="F1239" s="991">
        <f t="shared" si="287"/>
        <v>1</v>
      </c>
      <c r="G1239" s="455"/>
      <c r="H1239" s="80"/>
      <c r="I1239" s="80"/>
      <c r="J1239" s="455"/>
      <c r="K1239" s="455"/>
      <c r="L1239" s="455">
        <v>1</v>
      </c>
      <c r="M1239" s="1381"/>
      <c r="N1239" s="455"/>
      <c r="O1239" s="455"/>
      <c r="P1239" s="80"/>
      <c r="Q1239" s="80"/>
      <c r="R1239" s="455"/>
      <c r="S1239" s="455"/>
      <c r="T1239" s="80"/>
      <c r="U1239" s="1139"/>
      <c r="V1239" s="364"/>
      <c r="W1239" s="410"/>
      <c r="X1239" s="185"/>
      <c r="Y1239" s="185"/>
      <c r="Z1239" s="410"/>
      <c r="AA1239" s="410"/>
      <c r="AB1239" s="410"/>
      <c r="AC1239" s="410"/>
      <c r="AD1239" s="185"/>
      <c r="AE1239" s="185"/>
      <c r="AF1239" s="410"/>
      <c r="AG1239" s="185"/>
      <c r="AH1239" s="364"/>
      <c r="AI1239" s="185"/>
      <c r="AJ1239" s="185"/>
      <c r="AK1239" s="185"/>
      <c r="AL1239" s="185"/>
      <c r="AM1239" s="185"/>
      <c r="AN1239" s="364"/>
      <c r="AO1239" s="364"/>
      <c r="AP1239" s="364"/>
      <c r="AQ1239" s="364"/>
      <c r="AR1239" s="364"/>
    </row>
    <row r="1240" spans="1:44" ht="12.75" customHeight="1" x14ac:dyDescent="0.25">
      <c r="A1240" s="1370" t="s">
        <v>866</v>
      </c>
      <c r="B1240" s="1370" t="s">
        <v>2417</v>
      </c>
      <c r="C1240" s="9">
        <f t="shared" si="286"/>
        <v>1</v>
      </c>
      <c r="F1240" s="991">
        <f t="shared" si="287"/>
        <v>1</v>
      </c>
      <c r="G1240" s="455"/>
      <c r="H1240" s="80"/>
      <c r="I1240" s="80"/>
      <c r="J1240" s="455"/>
      <c r="K1240" s="455"/>
      <c r="L1240" s="455">
        <v>1</v>
      </c>
      <c r="M1240" s="1381"/>
      <c r="N1240" s="455"/>
      <c r="O1240" s="455"/>
      <c r="P1240" s="80"/>
      <c r="Q1240" s="80"/>
      <c r="R1240" s="455"/>
      <c r="S1240" s="455"/>
      <c r="T1240" s="80"/>
      <c r="U1240" s="1139"/>
      <c r="V1240" s="364"/>
      <c r="W1240" s="410"/>
      <c r="X1240" s="185"/>
      <c r="Y1240" s="185"/>
      <c r="Z1240" s="410"/>
      <c r="AA1240" s="410"/>
      <c r="AB1240" s="410"/>
      <c r="AC1240" s="410"/>
      <c r="AD1240" s="185"/>
      <c r="AE1240" s="185"/>
      <c r="AF1240" s="410"/>
      <c r="AG1240" s="185"/>
      <c r="AH1240" s="364"/>
      <c r="AI1240" s="185"/>
      <c r="AJ1240" s="185"/>
      <c r="AK1240" s="185"/>
      <c r="AL1240" s="185"/>
      <c r="AM1240" s="185"/>
      <c r="AN1240" s="364"/>
      <c r="AO1240" s="364"/>
      <c r="AP1240" s="364"/>
      <c r="AQ1240" s="364"/>
      <c r="AR1240" s="364"/>
    </row>
    <row r="1241" spans="1:44" ht="12.75" customHeight="1" x14ac:dyDescent="0.25">
      <c r="A1241" s="1374" t="s">
        <v>4259</v>
      </c>
      <c r="B1241" s="1374" t="s">
        <v>440</v>
      </c>
      <c r="C1241" s="9">
        <f t="shared" si="286"/>
        <v>1</v>
      </c>
      <c r="F1241" s="991">
        <f t="shared" si="287"/>
        <v>1</v>
      </c>
      <c r="G1241" s="455"/>
      <c r="H1241" s="80"/>
      <c r="I1241" s="80"/>
      <c r="J1241" s="455"/>
      <c r="K1241" s="455"/>
      <c r="L1241" s="455"/>
      <c r="M1241" s="1381"/>
      <c r="N1241" s="455">
        <v>1</v>
      </c>
      <c r="O1241" s="455"/>
      <c r="P1241" s="80"/>
      <c r="Q1241" s="80"/>
      <c r="R1241" s="455"/>
      <c r="S1241" s="455"/>
      <c r="T1241" s="80"/>
      <c r="U1241" s="1139"/>
      <c r="V1241" s="364"/>
      <c r="W1241" s="410"/>
      <c r="X1241" s="185"/>
      <c r="Y1241" s="185"/>
      <c r="Z1241" s="410"/>
      <c r="AA1241" s="410"/>
      <c r="AB1241" s="410"/>
      <c r="AC1241" s="410"/>
      <c r="AD1241" s="185"/>
      <c r="AE1241" s="185"/>
      <c r="AF1241" s="410"/>
      <c r="AG1241" s="185"/>
      <c r="AH1241" s="364"/>
      <c r="AI1241" s="185"/>
      <c r="AJ1241" s="185"/>
      <c r="AK1241" s="185"/>
      <c r="AL1241" s="185"/>
      <c r="AM1241" s="185"/>
      <c r="AN1241" s="364"/>
      <c r="AO1241" s="364"/>
      <c r="AP1241" s="364"/>
      <c r="AQ1241" s="364"/>
      <c r="AR1241" s="364"/>
    </row>
    <row r="1242" spans="1:44" ht="12.75" customHeight="1" x14ac:dyDescent="0.25">
      <c r="A1242" s="1370" t="s">
        <v>3898</v>
      </c>
      <c r="B1242" s="1370" t="s">
        <v>3899</v>
      </c>
      <c r="C1242" s="9">
        <f t="shared" si="286"/>
        <v>1</v>
      </c>
      <c r="F1242" s="991">
        <f t="shared" si="287"/>
        <v>1</v>
      </c>
      <c r="G1242" s="455"/>
      <c r="H1242" s="80"/>
      <c r="I1242" s="80"/>
      <c r="J1242" s="455"/>
      <c r="K1242" s="455"/>
      <c r="L1242" s="455"/>
      <c r="M1242" s="1381"/>
      <c r="N1242" s="455"/>
      <c r="O1242" s="455"/>
      <c r="P1242" s="80"/>
      <c r="Q1242" s="80"/>
      <c r="R1242" s="455"/>
      <c r="S1242" s="455">
        <v>1</v>
      </c>
      <c r="T1242" s="80"/>
      <c r="U1242" s="1139"/>
      <c r="V1242" s="364"/>
      <c r="W1242" s="410"/>
      <c r="X1242" s="185"/>
      <c r="Y1242" s="185"/>
      <c r="Z1242" s="410"/>
      <c r="AA1242" s="410"/>
      <c r="AB1242" s="410"/>
      <c r="AC1242" s="410"/>
      <c r="AD1242" s="185"/>
      <c r="AE1242" s="185"/>
      <c r="AF1242" s="410"/>
      <c r="AG1242" s="185"/>
      <c r="AH1242" s="364"/>
      <c r="AI1242" s="185"/>
      <c r="AJ1242" s="185"/>
      <c r="AK1242" s="185"/>
      <c r="AL1242" s="185"/>
      <c r="AM1242" s="185"/>
      <c r="AN1242" s="364"/>
      <c r="AO1242" s="364"/>
      <c r="AP1242" s="364"/>
      <c r="AQ1242" s="364"/>
      <c r="AR1242" s="364"/>
    </row>
    <row r="1243" spans="1:44" ht="12.75" customHeight="1" x14ac:dyDescent="0.25">
      <c r="A1243" s="1374" t="s">
        <v>3535</v>
      </c>
      <c r="B1243" s="1374" t="s">
        <v>4741</v>
      </c>
      <c r="C1243" s="9">
        <f t="shared" si="286"/>
        <v>1</v>
      </c>
      <c r="F1243" s="991">
        <f t="shared" si="287"/>
        <v>1</v>
      </c>
      <c r="G1243" s="455"/>
      <c r="H1243" s="80"/>
      <c r="I1243" s="80"/>
      <c r="J1243" s="455"/>
      <c r="K1243" s="455"/>
      <c r="L1243" s="455"/>
      <c r="M1243" s="1381">
        <v>1</v>
      </c>
      <c r="N1243" s="455"/>
      <c r="O1243" s="455"/>
      <c r="P1243" s="80"/>
      <c r="Q1243" s="80"/>
      <c r="R1243" s="455"/>
      <c r="S1243" s="455"/>
      <c r="T1243" s="80"/>
      <c r="U1243" s="1139"/>
      <c r="V1243" s="364"/>
      <c r="W1243" s="410"/>
      <c r="X1243" s="185"/>
      <c r="Y1243" s="185"/>
      <c r="Z1243" s="410"/>
      <c r="AA1243" s="410"/>
      <c r="AB1243" s="410"/>
      <c r="AC1243" s="410"/>
      <c r="AD1243" s="185"/>
      <c r="AE1243" s="185"/>
      <c r="AF1243" s="410"/>
      <c r="AG1243" s="185"/>
      <c r="AH1243" s="364"/>
      <c r="AI1243" s="185"/>
      <c r="AJ1243" s="185"/>
      <c r="AK1243" s="185"/>
      <c r="AL1243" s="185"/>
      <c r="AM1243" s="185"/>
      <c r="AN1243" s="364"/>
      <c r="AO1243" s="364"/>
      <c r="AP1243" s="364"/>
      <c r="AQ1243" s="364"/>
      <c r="AR1243" s="364"/>
    </row>
    <row r="1244" spans="1:44" ht="12.75" customHeight="1" x14ac:dyDescent="0.25">
      <c r="C1244" s="20">
        <f>SUM(C1235:C1243)</f>
        <v>15</v>
      </c>
      <c r="F1244" s="244"/>
      <c r="G1244" s="666">
        <f>SUM(G1235:G1243)</f>
        <v>2</v>
      </c>
      <c r="H1244" s="80"/>
      <c r="I1244" s="80"/>
      <c r="J1244" s="666">
        <f>SUM(J1235:J1243)</f>
        <v>1</v>
      </c>
      <c r="K1244" s="666">
        <f t="shared" ref="K1244:O1244" si="288">SUM(K1235:K1243)</f>
        <v>1</v>
      </c>
      <c r="L1244" s="666">
        <f t="shared" si="288"/>
        <v>5</v>
      </c>
      <c r="M1244" s="666">
        <f t="shared" si="288"/>
        <v>2</v>
      </c>
      <c r="N1244" s="666">
        <f t="shared" si="288"/>
        <v>1</v>
      </c>
      <c r="O1244" s="666">
        <f t="shared" si="288"/>
        <v>1</v>
      </c>
      <c r="P1244" s="80"/>
      <c r="Q1244" s="80"/>
      <c r="R1244" s="666">
        <f>SUM(R1235:R1243)</f>
        <v>1</v>
      </c>
      <c r="S1244" s="666">
        <f>SUM(S1235:S1243)</f>
        <v>1</v>
      </c>
      <c r="T1244" s="364"/>
      <c r="U1244" s="410"/>
      <c r="V1244" s="185"/>
      <c r="W1244" s="185"/>
      <c r="X1244" s="410"/>
      <c r="Y1244" s="410"/>
      <c r="Z1244" s="410"/>
      <c r="AA1244" s="410"/>
      <c r="AB1244" s="185"/>
      <c r="AC1244" s="185"/>
      <c r="AD1244" s="410"/>
      <c r="AE1244" s="185"/>
      <c r="AF1244" s="364"/>
      <c r="AG1244" s="185"/>
      <c r="AH1244" s="364"/>
      <c r="AI1244" s="364"/>
      <c r="AJ1244" s="364"/>
      <c r="AK1244" s="364"/>
      <c r="AL1244" s="364"/>
      <c r="AM1244" s="364"/>
      <c r="AN1244" s="185"/>
      <c r="AO1244" s="185"/>
      <c r="AP1244" s="185"/>
      <c r="AQ1244" s="185"/>
      <c r="AR1244" s="410"/>
    </row>
    <row r="1245" spans="1:44" ht="12.75" customHeight="1" x14ac:dyDescent="0.25">
      <c r="C1245" s="9"/>
      <c r="E1245" s="1377">
        <f>COUNT(G1245:S1245)</f>
        <v>9</v>
      </c>
      <c r="F1245" s="244"/>
      <c r="G1245" s="666">
        <f>COUNT(G1235:G1243)</f>
        <v>2</v>
      </c>
      <c r="H1245" s="80"/>
      <c r="I1245" s="80"/>
      <c r="J1245" s="666">
        <f>COUNT(J1235:J1243)</f>
        <v>1</v>
      </c>
      <c r="K1245" s="666">
        <f t="shared" ref="K1245:O1245" si="289">COUNT(K1235:K1243)</f>
        <v>1</v>
      </c>
      <c r="L1245" s="666">
        <f t="shared" si="289"/>
        <v>5</v>
      </c>
      <c r="M1245" s="666">
        <f t="shared" si="289"/>
        <v>2</v>
      </c>
      <c r="N1245" s="666">
        <f t="shared" si="289"/>
        <v>1</v>
      </c>
      <c r="O1245" s="666">
        <f t="shared" si="289"/>
        <v>1</v>
      </c>
      <c r="P1245" s="80"/>
      <c r="Q1245" s="80"/>
      <c r="R1245" s="666">
        <f>COUNT(R1235:R1243)</f>
        <v>1</v>
      </c>
      <c r="S1245" s="666">
        <f>COUNT(S1235:S1243)</f>
        <v>1</v>
      </c>
      <c r="T1245" s="364"/>
      <c r="U1245" s="410"/>
      <c r="V1245" s="185"/>
      <c r="W1245" s="185"/>
      <c r="X1245" s="410"/>
      <c r="Y1245" s="410"/>
      <c r="Z1245" s="410"/>
      <c r="AA1245" s="410"/>
      <c r="AB1245" s="185"/>
      <c r="AC1245" s="185"/>
      <c r="AD1245" s="410"/>
      <c r="AE1245" s="185"/>
      <c r="AF1245" s="364"/>
      <c r="AG1245" s="185"/>
      <c r="AH1245" s="364"/>
      <c r="AI1245" s="364"/>
      <c r="AJ1245" s="364"/>
      <c r="AK1245" s="364"/>
      <c r="AL1245" s="364"/>
      <c r="AM1245" s="364"/>
      <c r="AN1245" s="185"/>
      <c r="AO1245" s="185"/>
      <c r="AP1245" s="185"/>
      <c r="AQ1245" s="185"/>
      <c r="AR1245" s="410"/>
    </row>
    <row r="1246" spans="1:44" ht="12.75" customHeight="1" x14ac:dyDescent="0.25">
      <c r="C1246" s="9"/>
      <c r="F1246" s="244"/>
      <c r="G1246" s="538" t="s">
        <v>5955</v>
      </c>
      <c r="H1246" s="364"/>
      <c r="I1246" s="364"/>
      <c r="J1246" s="538"/>
      <c r="K1246" s="538" t="s">
        <v>4981</v>
      </c>
      <c r="L1246" s="538"/>
      <c r="M1246" s="538" t="s">
        <v>16483</v>
      </c>
      <c r="N1246" s="538"/>
      <c r="O1246" s="996" t="s">
        <v>11872</v>
      </c>
      <c r="P1246" s="185"/>
      <c r="Q1246" s="185"/>
      <c r="R1246" s="538" t="s">
        <v>2897</v>
      </c>
      <c r="S1246" s="1140"/>
      <c r="T1246" s="364"/>
      <c r="U1246" s="410"/>
      <c r="V1246" s="185"/>
      <c r="W1246" s="185"/>
      <c r="X1246" s="410"/>
      <c r="Y1246" s="410"/>
      <c r="Z1246" s="410"/>
      <c r="AA1246" s="410"/>
      <c r="AB1246" s="185"/>
      <c r="AC1246" s="185"/>
      <c r="AD1246" s="410"/>
      <c r="AE1246" s="185"/>
      <c r="AF1246" s="364"/>
      <c r="AG1246" s="185"/>
      <c r="AH1246" s="364"/>
      <c r="AI1246" s="364"/>
      <c r="AJ1246" s="364"/>
      <c r="AK1246" s="364"/>
      <c r="AL1246" s="364"/>
      <c r="AM1246" s="364"/>
      <c r="AN1246" s="185"/>
      <c r="AO1246" s="185"/>
      <c r="AP1246" s="185"/>
      <c r="AQ1246" s="185"/>
      <c r="AR1246" s="410"/>
    </row>
    <row r="1247" spans="1:44" ht="12.75" customHeight="1" x14ac:dyDescent="0.25">
      <c r="C1247" s="9"/>
      <c r="F1247" s="244"/>
      <c r="G1247" s="539"/>
      <c r="H1247" s="364"/>
      <c r="I1247" s="364"/>
      <c r="J1247" s="539" t="s">
        <v>4839</v>
      </c>
      <c r="K1247" s="539"/>
      <c r="L1247" s="539" t="s">
        <v>3869</v>
      </c>
      <c r="M1247" s="539"/>
      <c r="N1247" s="539" t="s">
        <v>12244</v>
      </c>
      <c r="O1247" s="539"/>
      <c r="P1247" s="185"/>
      <c r="Q1247" s="185"/>
      <c r="R1247" s="515"/>
      <c r="S1247" s="539" t="s">
        <v>8005</v>
      </c>
      <c r="T1247" s="364"/>
      <c r="U1247" s="410"/>
      <c r="V1247" s="185"/>
      <c r="W1247" s="185"/>
      <c r="X1247" s="410"/>
      <c r="Y1247" s="410"/>
      <c r="Z1247" s="410"/>
      <c r="AA1247" s="410"/>
      <c r="AB1247" s="185"/>
      <c r="AC1247" s="185"/>
      <c r="AD1247" s="410"/>
      <c r="AE1247" s="185"/>
      <c r="AF1247" s="364"/>
      <c r="AG1247" s="185"/>
      <c r="AH1247" s="364"/>
      <c r="AI1247" s="364"/>
      <c r="AJ1247" s="364"/>
      <c r="AK1247" s="364"/>
      <c r="AL1247" s="364"/>
      <c r="AM1247" s="364"/>
      <c r="AN1247" s="185"/>
      <c r="AO1247" s="185"/>
      <c r="AP1247" s="185"/>
      <c r="AQ1247" s="185"/>
      <c r="AR1247" s="410"/>
    </row>
    <row r="1248" spans="1:44" ht="12.75" customHeight="1" x14ac:dyDescent="0.25">
      <c r="C1248" s="9"/>
      <c r="F1248" s="244"/>
      <c r="G1248" s="1360"/>
      <c r="H1248" s="1360"/>
      <c r="I1248" s="1360"/>
      <c r="J1248" s="1360"/>
      <c r="K1248" s="1360"/>
      <c r="L1248" s="1360"/>
      <c r="M1248" s="1360"/>
      <c r="N1248" s="1363">
        <f>Parks!L569</f>
        <v>482</v>
      </c>
      <c r="O1248" s="1360"/>
      <c r="P1248" s="1360"/>
      <c r="Q1248" s="1361"/>
      <c r="R1248" s="1362"/>
      <c r="S1248" s="1361"/>
      <c r="T1248" s="1360"/>
      <c r="U1248" s="185"/>
      <c r="V1248" s="410"/>
      <c r="W1248" s="410"/>
      <c r="X1248" s="410"/>
      <c r="Y1248" s="410"/>
      <c r="Z1248" s="185"/>
      <c r="AA1248" s="185"/>
      <c r="AB1248" s="410"/>
      <c r="AC1248" s="185"/>
      <c r="AD1248" s="364"/>
      <c r="AE1248" s="185"/>
      <c r="AF1248" s="364"/>
      <c r="AG1248" s="364"/>
      <c r="AH1248" s="185"/>
      <c r="AI1248" s="410"/>
      <c r="AJ1248" s="410"/>
      <c r="AK1248" s="410"/>
      <c r="AL1248" s="410"/>
      <c r="AM1248" s="410"/>
      <c r="AN1248" s="185"/>
      <c r="AO1248" s="185"/>
      <c r="AP1248" s="185"/>
      <c r="AQ1248" s="185"/>
      <c r="AR1248" s="364"/>
    </row>
    <row r="1249" spans="1:43" ht="12.75" customHeight="1" x14ac:dyDescent="0.25">
      <c r="C1249" s="9"/>
      <c r="F1249" s="244"/>
      <c r="G1249" s="2" t="s">
        <v>12353</v>
      </c>
      <c r="H1249" s="1360"/>
      <c r="I1249" s="1360"/>
      <c r="J1249" s="1360"/>
      <c r="K1249" s="1360"/>
      <c r="L1249" s="1360"/>
      <c r="M1249" s="1363"/>
      <c r="N1249" s="1360"/>
      <c r="O1249" s="1360"/>
      <c r="P1249" s="1361"/>
      <c r="Q1249" s="1362"/>
      <c r="R1249" s="1361"/>
      <c r="S1249" s="1360"/>
      <c r="T1249" s="185"/>
      <c r="U1249" s="410"/>
      <c r="V1249" s="410"/>
      <c r="W1249" s="410"/>
      <c r="X1249" s="410"/>
      <c r="Y1249" s="185"/>
      <c r="Z1249" s="185"/>
      <c r="AA1249" s="410"/>
      <c r="AB1249" s="185"/>
      <c r="AC1249" s="364"/>
      <c r="AD1249" s="185"/>
      <c r="AE1249" s="364"/>
      <c r="AF1249" s="364"/>
      <c r="AG1249" s="185"/>
      <c r="AH1249" s="410"/>
      <c r="AI1249" s="410"/>
      <c r="AJ1249" s="185"/>
      <c r="AK1249" s="185"/>
      <c r="AL1249" s="185"/>
      <c r="AM1249" s="185"/>
      <c r="AN1249" s="185"/>
      <c r="AO1249" s="185"/>
      <c r="AP1249" s="185"/>
      <c r="AQ1249" s="364"/>
    </row>
    <row r="1250" spans="1:43" ht="12.75" customHeight="1" x14ac:dyDescent="0.25">
      <c r="A1250" s="1390" t="s">
        <v>422</v>
      </c>
      <c r="C1250" s="9"/>
      <c r="F1250" s="244"/>
      <c r="G1250" s="185"/>
      <c r="H1250" s="185"/>
      <c r="I1250" s="185"/>
      <c r="J1250" s="185"/>
      <c r="K1250" s="185"/>
      <c r="L1250" s="185"/>
      <c r="N1250" s="185"/>
      <c r="O1250" s="185"/>
      <c r="P1250" s="410"/>
      <c r="Q1250" s="364"/>
      <c r="R1250" s="410"/>
      <c r="S1250" s="185"/>
      <c r="T1250" s="410"/>
      <c r="U1250" s="410"/>
      <c r="V1250" s="410"/>
      <c r="W1250" s="185"/>
      <c r="X1250" s="185"/>
      <c r="Y1250" s="410"/>
      <c r="Z1250" s="185"/>
      <c r="AA1250" s="364"/>
      <c r="AB1250" s="185"/>
      <c r="AC1250" s="364"/>
      <c r="AE1250" s="185"/>
      <c r="AF1250" s="410"/>
      <c r="AG1250" s="185"/>
      <c r="AH1250" s="364"/>
      <c r="AI1250" s="364"/>
      <c r="AJ1250" s="364"/>
      <c r="AK1250" s="364"/>
      <c r="AL1250" s="364"/>
      <c r="AM1250" s="364"/>
      <c r="AN1250" s="364"/>
      <c r="AO1250" s="364"/>
      <c r="AP1250" s="364"/>
    </row>
    <row r="1251" spans="1:43" ht="12.75" customHeight="1" x14ac:dyDescent="0.25">
      <c r="A1251" s="1370"/>
      <c r="C1251" s="9"/>
      <c r="F1251" s="244"/>
      <c r="G1251" s="2"/>
      <c r="H1251" s="2"/>
      <c r="I1251" s="2"/>
      <c r="J1251" s="2"/>
      <c r="K1251" s="2"/>
      <c r="L1251" s="2"/>
      <c r="M1251" s="2"/>
      <c r="N1251" s="2"/>
      <c r="P1251" s="2" t="s">
        <v>9261</v>
      </c>
      <c r="Q1251" s="185"/>
      <c r="R1251" s="410"/>
      <c r="S1251" s="185"/>
      <c r="T1251" s="185"/>
      <c r="U1251" s="185"/>
      <c r="V1251" s="410"/>
      <c r="W1251" s="185"/>
      <c r="X1251" s="185"/>
      <c r="Y1251" s="410"/>
      <c r="AA1251" s="410"/>
    </row>
    <row r="1252" spans="1:43" ht="12.75" customHeight="1" thickBot="1" x14ac:dyDescent="0.3">
      <c r="C1252" s="9"/>
      <c r="F1252" s="244"/>
      <c r="G1252" s="2" t="s">
        <v>2112</v>
      </c>
      <c r="J1252" s="2" t="s">
        <v>12352</v>
      </c>
      <c r="M1252" s="2" t="s">
        <v>11074</v>
      </c>
      <c r="P1252" s="2" t="s">
        <v>8691</v>
      </c>
      <c r="Q1252" s="185"/>
      <c r="R1252" s="410"/>
      <c r="S1252" s="2" t="s">
        <v>3161</v>
      </c>
      <c r="T1252" s="185"/>
      <c r="U1252" s="185"/>
      <c r="V1252" s="410"/>
      <c r="W1252" s="185"/>
      <c r="X1252" s="185"/>
      <c r="Y1252" s="410"/>
      <c r="AA1252" s="410"/>
      <c r="AB1252" s="399" t="s">
        <v>2256</v>
      </c>
      <c r="AC1252" s="9"/>
    </row>
    <row r="1253" spans="1:43" ht="12.75" customHeight="1" x14ac:dyDescent="0.25">
      <c r="C1253" s="9"/>
      <c r="F1253" s="244"/>
      <c r="G1253" s="553" t="s">
        <v>5662</v>
      </c>
      <c r="H1253" s="540" t="s">
        <v>6263</v>
      </c>
      <c r="I1253" s="1403"/>
      <c r="J1253" s="537" t="s">
        <v>16770</v>
      </c>
      <c r="K1253" s="1371"/>
      <c r="M1253" s="897" t="s">
        <v>12162</v>
      </c>
      <c r="P1253" s="897" t="s">
        <v>8689</v>
      </c>
      <c r="Q1253" s="185"/>
      <c r="R1253" s="410"/>
      <c r="S1253" s="984" t="s">
        <v>2927</v>
      </c>
      <c r="T1253" s="979" t="s">
        <v>9151</v>
      </c>
      <c r="U1253" s="1076" t="s">
        <v>10196</v>
      </c>
      <c r="V1253" s="993" t="s">
        <v>8703</v>
      </c>
      <c r="W1253" s="410"/>
      <c r="X1253" s="185"/>
      <c r="Y1253" s="185"/>
      <c r="Z1253" s="410"/>
      <c r="AB1253" s="398" t="s">
        <v>561</v>
      </c>
    </row>
    <row r="1254" spans="1:43" ht="12.75" customHeight="1" x14ac:dyDescent="0.25">
      <c r="A1254" s="1371" t="s">
        <v>3251</v>
      </c>
      <c r="B1254" s="1371" t="s">
        <v>3252</v>
      </c>
      <c r="C1254" s="9">
        <f t="shared" ref="C1254:C1269" si="290">SUM(G1254:V1254)</f>
        <v>1</v>
      </c>
      <c r="F1254" s="991">
        <f t="shared" ref="F1254:F1269" si="291">SUM(G1254:V1254)</f>
        <v>1</v>
      </c>
      <c r="G1254" s="462"/>
      <c r="H1254" s="36"/>
      <c r="I1254" s="1403"/>
      <c r="J1254" s="1388"/>
      <c r="K1254" s="1371"/>
      <c r="M1254" s="455">
        <v>1</v>
      </c>
      <c r="P1254" s="455"/>
      <c r="Q1254" s="185"/>
      <c r="R1254" s="410"/>
      <c r="S1254" s="337"/>
      <c r="T1254" s="462"/>
      <c r="U1254" s="462"/>
      <c r="V1254" s="462"/>
      <c r="W1254" s="410"/>
      <c r="X1254" s="185"/>
      <c r="Y1254" s="185"/>
      <c r="Z1254" s="410"/>
      <c r="AB1254" s="398"/>
    </row>
    <row r="1255" spans="1:43" ht="12" customHeight="1" x14ac:dyDescent="0.25">
      <c r="A1255" s="1371" t="s">
        <v>4963</v>
      </c>
      <c r="B1255" s="1371" t="s">
        <v>8339</v>
      </c>
      <c r="C1255" s="9">
        <f t="shared" si="290"/>
        <v>1</v>
      </c>
      <c r="F1255" s="991">
        <f t="shared" si="291"/>
        <v>1</v>
      </c>
      <c r="G1255" s="646">
        <v>1</v>
      </c>
      <c r="H1255" s="36"/>
      <c r="I1255" s="1403"/>
      <c r="J1255" s="1388"/>
      <c r="K1255" s="1371"/>
      <c r="M1255" s="23"/>
      <c r="P1255" s="23"/>
      <c r="Q1255" s="185"/>
      <c r="R1255" s="410"/>
      <c r="S1255" s="455"/>
      <c r="T1255" s="455"/>
      <c r="U1255" s="455"/>
      <c r="V1255" s="455"/>
      <c r="W1255" s="410"/>
      <c r="X1255" s="185"/>
      <c r="Y1255" s="185"/>
      <c r="Z1255" s="410"/>
      <c r="AB1255" t="s">
        <v>1376</v>
      </c>
      <c r="AC1255" s="16"/>
      <c r="AD1255" s="6" t="s">
        <v>4192</v>
      </c>
    </row>
    <row r="1256" spans="1:43" ht="12" customHeight="1" x14ac:dyDescent="0.25">
      <c r="A1256" s="1370" t="s">
        <v>3508</v>
      </c>
      <c r="B1256" s="1370" t="s">
        <v>3632</v>
      </c>
      <c r="C1256" s="9">
        <f t="shared" si="290"/>
        <v>1</v>
      </c>
      <c r="F1256" s="991">
        <f t="shared" si="291"/>
        <v>1</v>
      </c>
      <c r="G1256" s="646">
        <v>1</v>
      </c>
      <c r="H1256" s="36"/>
      <c r="I1256" s="1403"/>
      <c r="J1256" s="1388"/>
      <c r="K1256" s="1371"/>
      <c r="M1256" s="23"/>
      <c r="P1256" s="23"/>
      <c r="Q1256" s="185"/>
      <c r="R1256" s="410"/>
      <c r="S1256" s="455"/>
      <c r="T1256" s="455"/>
      <c r="U1256" s="455"/>
      <c r="V1256" s="455"/>
      <c r="W1256" s="410"/>
      <c r="X1256" s="185"/>
      <c r="Y1256" s="185"/>
      <c r="Z1256" s="410"/>
      <c r="AB1256" s="2" t="s">
        <v>2003</v>
      </c>
      <c r="AC1256" s="4"/>
      <c r="AD1256" s="6" t="s">
        <v>4193</v>
      </c>
    </row>
    <row r="1257" spans="1:43" ht="12" customHeight="1" x14ac:dyDescent="0.25">
      <c r="A1257" s="1389" t="s">
        <v>3755</v>
      </c>
      <c r="B1257" s="1389" t="s">
        <v>3799</v>
      </c>
      <c r="C1257" s="9">
        <f t="shared" si="290"/>
        <v>2</v>
      </c>
      <c r="F1257" s="991">
        <f t="shared" si="291"/>
        <v>2</v>
      </c>
      <c r="G1257" s="646">
        <v>2</v>
      </c>
      <c r="H1257" s="23"/>
      <c r="I1257" s="1404"/>
      <c r="J1257" s="1377"/>
      <c r="K1257" s="1371"/>
      <c r="M1257" s="23"/>
      <c r="P1257" s="23"/>
      <c r="Q1257" s="185"/>
      <c r="R1257" s="410"/>
      <c r="S1257" s="455"/>
      <c r="T1257" s="455"/>
      <c r="U1257" s="455"/>
      <c r="V1257" s="455"/>
      <c r="W1257" s="410"/>
      <c r="X1257" s="185"/>
      <c r="Y1257" s="185"/>
      <c r="Z1257" s="410"/>
      <c r="AB1257" t="s">
        <v>562</v>
      </c>
      <c r="AC1257" s="16"/>
      <c r="AD1257" s="6" t="s">
        <v>4195</v>
      </c>
    </row>
    <row r="1258" spans="1:43" ht="12" customHeight="1" x14ac:dyDescent="0.25">
      <c r="A1258" s="1389" t="s">
        <v>1794</v>
      </c>
      <c r="B1258" s="1389" t="s">
        <v>3799</v>
      </c>
      <c r="C1258" s="9">
        <f t="shared" si="290"/>
        <v>1</v>
      </c>
      <c r="F1258" s="991">
        <f t="shared" si="291"/>
        <v>1</v>
      </c>
      <c r="G1258" s="646">
        <v>1</v>
      </c>
      <c r="H1258" s="23"/>
      <c r="I1258" s="1404"/>
      <c r="J1258" s="1377"/>
      <c r="K1258" s="1371"/>
      <c r="M1258" s="23"/>
      <c r="P1258" s="23"/>
      <c r="Q1258" s="185"/>
      <c r="R1258" s="410"/>
      <c r="S1258" s="455"/>
      <c r="T1258" s="455"/>
      <c r="U1258" s="455"/>
      <c r="V1258" s="455"/>
      <c r="W1258" s="410"/>
      <c r="X1258" s="185"/>
      <c r="Y1258" s="185"/>
      <c r="Z1258" s="410"/>
      <c r="AB1258" s="52" t="s">
        <v>1161</v>
      </c>
      <c r="AD1258" t="s">
        <v>4194</v>
      </c>
    </row>
    <row r="1259" spans="1:43" ht="12" customHeight="1" x14ac:dyDescent="0.25">
      <c r="A1259" s="1410" t="s">
        <v>5980</v>
      </c>
      <c r="B1259" s="1410" t="s">
        <v>4818</v>
      </c>
      <c r="C1259" s="9">
        <f t="shared" si="290"/>
        <v>1</v>
      </c>
      <c r="F1259" s="991">
        <f t="shared" si="291"/>
        <v>1</v>
      </c>
      <c r="G1259" s="646">
        <v>1</v>
      </c>
      <c r="H1259" s="23"/>
      <c r="I1259" s="1404"/>
      <c r="J1259" s="1377"/>
      <c r="K1259" s="1371"/>
      <c r="M1259" s="23"/>
      <c r="P1259" s="23"/>
      <c r="Q1259" s="185"/>
      <c r="R1259" s="410"/>
      <c r="S1259" s="455"/>
      <c r="T1259" s="455"/>
      <c r="U1259" s="455"/>
      <c r="V1259" s="455"/>
      <c r="W1259" s="410"/>
      <c r="X1259" s="185"/>
      <c r="Y1259" s="185"/>
      <c r="Z1259" s="410"/>
      <c r="AB1259" s="1250"/>
      <c r="AC1259" s="115"/>
      <c r="AD1259" s="115"/>
    </row>
    <row r="1260" spans="1:43" ht="12" customHeight="1" x14ac:dyDescent="0.25">
      <c r="A1260" s="1375" t="s">
        <v>3011</v>
      </c>
      <c r="B1260" s="1375" t="s">
        <v>3012</v>
      </c>
      <c r="C1260" s="9">
        <f t="shared" si="290"/>
        <v>1</v>
      </c>
      <c r="F1260" s="991">
        <f t="shared" si="291"/>
        <v>1</v>
      </c>
      <c r="G1260" s="646">
        <v>1</v>
      </c>
      <c r="H1260" s="23"/>
      <c r="I1260" s="1404"/>
      <c r="J1260" s="1377"/>
      <c r="K1260" s="1371"/>
      <c r="M1260" s="23"/>
      <c r="P1260" s="23"/>
      <c r="Q1260" s="185"/>
      <c r="R1260" s="410"/>
      <c r="S1260" s="455"/>
      <c r="T1260" s="455"/>
      <c r="U1260" s="455"/>
      <c r="V1260" s="455"/>
      <c r="W1260" s="410"/>
      <c r="X1260" s="185"/>
      <c r="Y1260" s="185"/>
      <c r="Z1260" s="410"/>
      <c r="AB1260" t="s">
        <v>1159</v>
      </c>
      <c r="AC1260" s="16"/>
      <c r="AD1260" s="6" t="s">
        <v>1160</v>
      </c>
    </row>
    <row r="1261" spans="1:43" ht="12.75" customHeight="1" x14ac:dyDescent="0.25">
      <c r="A1261" s="1371" t="s">
        <v>665</v>
      </c>
      <c r="B1261" s="1371" t="s">
        <v>666</v>
      </c>
      <c r="C1261" s="9">
        <f t="shared" si="290"/>
        <v>3</v>
      </c>
      <c r="F1261" s="991">
        <f t="shared" si="291"/>
        <v>3</v>
      </c>
      <c r="G1261" s="646">
        <v>1</v>
      </c>
      <c r="H1261" s="23"/>
      <c r="I1261" s="1404"/>
      <c r="J1261" s="1377">
        <v>1</v>
      </c>
      <c r="K1261" s="1371"/>
      <c r="M1261" s="23"/>
      <c r="P1261" s="23"/>
      <c r="Q1261" s="185"/>
      <c r="R1261" s="410"/>
      <c r="S1261" s="455"/>
      <c r="T1261" s="455"/>
      <c r="U1261" s="455"/>
      <c r="V1261" s="455">
        <v>1</v>
      </c>
      <c r="W1261" s="410"/>
      <c r="X1261" s="185"/>
      <c r="Y1261" s="185"/>
      <c r="Z1261" s="410"/>
      <c r="AB1261" s="2" t="s">
        <v>3042</v>
      </c>
      <c r="AC1261" s="4"/>
      <c r="AD1261" s="6" t="s">
        <v>4196</v>
      </c>
    </row>
    <row r="1262" spans="1:43" ht="13.5" customHeight="1" x14ac:dyDescent="0.25">
      <c r="A1262" s="1374" t="s">
        <v>2137</v>
      </c>
      <c r="B1262" s="1374" t="s">
        <v>4943</v>
      </c>
      <c r="C1262" s="9">
        <f t="shared" si="290"/>
        <v>1</v>
      </c>
      <c r="F1262" s="991">
        <f t="shared" si="291"/>
        <v>1</v>
      </c>
      <c r="G1262" s="646">
        <v>1</v>
      </c>
      <c r="H1262" s="23"/>
      <c r="I1262" s="1404"/>
      <c r="J1262" s="1377"/>
      <c r="K1262" s="1371"/>
      <c r="M1262" s="23"/>
      <c r="P1262" s="23"/>
      <c r="Q1262" s="185"/>
      <c r="R1262" s="410"/>
      <c r="S1262" s="455"/>
      <c r="T1262" s="455"/>
      <c r="U1262" s="455"/>
      <c r="V1262" s="455"/>
      <c r="W1262" s="410"/>
      <c r="X1262" s="185"/>
      <c r="Y1262" s="185"/>
      <c r="Z1262" s="410"/>
      <c r="AB1262" s="5" t="s">
        <v>869</v>
      </c>
      <c r="AC1262" s="16"/>
      <c r="AD1262" s="6" t="s">
        <v>202</v>
      </c>
    </row>
    <row r="1263" spans="1:43" ht="12.75" customHeight="1" x14ac:dyDescent="0.25">
      <c r="A1263" s="1374" t="s">
        <v>4567</v>
      </c>
      <c r="B1263" s="1374" t="s">
        <v>4562</v>
      </c>
      <c r="C1263" s="9">
        <f t="shared" si="290"/>
        <v>1</v>
      </c>
      <c r="F1263" s="991">
        <f t="shared" si="291"/>
        <v>1</v>
      </c>
      <c r="G1263" s="646"/>
      <c r="H1263" s="23"/>
      <c r="I1263" s="1404"/>
      <c r="J1263" s="1377"/>
      <c r="K1263" s="1371"/>
      <c r="M1263" s="23"/>
      <c r="P1263" s="23"/>
      <c r="Q1263" s="185"/>
      <c r="R1263" s="410"/>
      <c r="S1263" s="455"/>
      <c r="T1263" s="455">
        <v>1</v>
      </c>
      <c r="U1263" s="455"/>
      <c r="V1263" s="455"/>
      <c r="W1263" s="410"/>
      <c r="X1263" s="185"/>
      <c r="Y1263" s="185"/>
      <c r="Z1263" s="410"/>
      <c r="AB1263" s="399" t="s">
        <v>3155</v>
      </c>
      <c r="AC1263" s="16"/>
      <c r="AD1263" s="185"/>
    </row>
    <row r="1264" spans="1:43" ht="12.75" customHeight="1" x14ac:dyDescent="0.25">
      <c r="A1264" s="1374" t="s">
        <v>4561</v>
      </c>
      <c r="B1264" s="1374" t="s">
        <v>4562</v>
      </c>
      <c r="C1264" s="9">
        <f t="shared" si="290"/>
        <v>1</v>
      </c>
      <c r="F1264" s="991">
        <f t="shared" si="291"/>
        <v>1</v>
      </c>
      <c r="G1264" s="646"/>
      <c r="H1264" s="23"/>
      <c r="I1264" s="1404"/>
      <c r="J1264" s="1377"/>
      <c r="K1264" s="1371"/>
      <c r="M1264" s="23"/>
      <c r="P1264" s="23"/>
      <c r="Q1264" s="185"/>
      <c r="R1264" s="410"/>
      <c r="S1264" s="455"/>
      <c r="T1264" s="455">
        <v>1</v>
      </c>
      <c r="U1264" s="455"/>
      <c r="V1264" s="455"/>
      <c r="W1264" s="410"/>
      <c r="X1264" s="185"/>
      <c r="Y1264" s="185"/>
      <c r="Z1264" s="410"/>
      <c r="AB1264" t="s">
        <v>4191</v>
      </c>
      <c r="AC1264" s="16"/>
      <c r="AD1264" s="6" t="s">
        <v>5043</v>
      </c>
    </row>
    <row r="1265" spans="1:35" ht="12.75" customHeight="1" x14ac:dyDescent="0.25">
      <c r="A1265" s="1389" t="s">
        <v>4878</v>
      </c>
      <c r="B1265" s="1389" t="s">
        <v>3250</v>
      </c>
      <c r="C1265" s="9">
        <f t="shared" si="290"/>
        <v>2</v>
      </c>
      <c r="F1265" s="991">
        <f t="shared" si="291"/>
        <v>2</v>
      </c>
      <c r="G1265" s="646">
        <v>1</v>
      </c>
      <c r="H1265" s="23"/>
      <c r="I1265" s="1404"/>
      <c r="J1265" s="1377"/>
      <c r="K1265" s="1371"/>
      <c r="M1265" s="23"/>
      <c r="P1265" s="23"/>
      <c r="Q1265" s="185"/>
      <c r="R1265" s="410"/>
      <c r="S1265" s="455">
        <v>1</v>
      </c>
      <c r="T1265" s="455"/>
      <c r="U1265" s="455"/>
      <c r="V1265" s="455"/>
      <c r="W1265" s="410"/>
      <c r="X1265" s="185"/>
      <c r="Y1265" s="185"/>
      <c r="Z1265" s="410"/>
      <c r="AB1265" t="s">
        <v>3957</v>
      </c>
      <c r="AC1265" s="16"/>
      <c r="AD1265" s="6" t="s">
        <v>5044</v>
      </c>
    </row>
    <row r="1266" spans="1:35" ht="12.75" customHeight="1" x14ac:dyDescent="0.25">
      <c r="A1266" s="1374" t="s">
        <v>9064</v>
      </c>
      <c r="B1266" s="1374" t="s">
        <v>5789</v>
      </c>
      <c r="C1266" s="9">
        <f t="shared" si="290"/>
        <v>1</v>
      </c>
      <c r="F1266" s="991">
        <f t="shared" si="291"/>
        <v>1</v>
      </c>
      <c r="G1266" s="646"/>
      <c r="H1266" s="23"/>
      <c r="I1266" s="1404"/>
      <c r="J1266" s="1377"/>
      <c r="K1266" s="1371"/>
      <c r="M1266" s="23"/>
      <c r="P1266" s="23"/>
      <c r="Q1266" s="185"/>
      <c r="R1266" s="410"/>
      <c r="S1266" s="455"/>
      <c r="T1266" s="455"/>
      <c r="U1266" s="455">
        <v>1</v>
      </c>
      <c r="V1266" s="455"/>
      <c r="W1266" s="410"/>
      <c r="X1266" s="185"/>
      <c r="Y1266" s="185"/>
      <c r="Z1266" s="410"/>
      <c r="AB1266" t="s">
        <v>3156</v>
      </c>
      <c r="AC1266" s="16"/>
      <c r="AD1266" s="6" t="s">
        <v>5045</v>
      </c>
    </row>
    <row r="1267" spans="1:35" ht="12.75" customHeight="1" x14ac:dyDescent="0.25">
      <c r="A1267" s="1371" t="s">
        <v>2416</v>
      </c>
      <c r="B1267" s="1371" t="s">
        <v>2417</v>
      </c>
      <c r="C1267" s="9">
        <f t="shared" si="290"/>
        <v>2</v>
      </c>
      <c r="F1267" s="991">
        <f t="shared" si="291"/>
        <v>2</v>
      </c>
      <c r="G1267" s="646">
        <v>1</v>
      </c>
      <c r="H1267" s="23"/>
      <c r="I1267" s="1404"/>
      <c r="J1267" s="1377"/>
      <c r="K1267" s="1371"/>
      <c r="M1267" s="23"/>
      <c r="P1267" s="23">
        <v>1</v>
      </c>
      <c r="Q1267" s="185"/>
      <c r="R1267" s="410"/>
      <c r="S1267" s="455"/>
      <c r="T1267" s="455"/>
      <c r="U1267" s="455"/>
      <c r="V1267" s="455"/>
      <c r="W1267" s="410"/>
      <c r="X1267" s="185"/>
      <c r="Y1267" s="185"/>
      <c r="Z1267" s="410"/>
      <c r="AB1267" s="399" t="s">
        <v>3041</v>
      </c>
      <c r="AC1267" s="16"/>
      <c r="AD1267" s="6"/>
    </row>
    <row r="1268" spans="1:35" ht="12.75" customHeight="1" x14ac:dyDescent="0.25">
      <c r="A1268" s="1371" t="s">
        <v>866</v>
      </c>
      <c r="B1268" s="1371" t="s">
        <v>2417</v>
      </c>
      <c r="C1268" s="9">
        <f t="shared" si="290"/>
        <v>2</v>
      </c>
      <c r="F1268" s="991">
        <f t="shared" si="291"/>
        <v>2</v>
      </c>
      <c r="G1268" s="646">
        <v>1</v>
      </c>
      <c r="H1268" s="23"/>
      <c r="I1268" s="1404"/>
      <c r="J1268" s="1377"/>
      <c r="K1268" s="1371"/>
      <c r="M1268" s="23"/>
      <c r="P1268" s="23">
        <v>1</v>
      </c>
      <c r="Q1268" s="185"/>
      <c r="R1268" s="410"/>
      <c r="S1268" s="455"/>
      <c r="T1268" s="455"/>
      <c r="U1268" s="455"/>
      <c r="V1268" s="455"/>
      <c r="W1268" s="410"/>
      <c r="X1268" s="185"/>
      <c r="Y1268" s="185"/>
      <c r="Z1268" s="410"/>
      <c r="AB1268" s="5" t="s">
        <v>1158</v>
      </c>
      <c r="AC1268" s="16"/>
      <c r="AD1268" s="6" t="s">
        <v>1162</v>
      </c>
    </row>
    <row r="1269" spans="1:35" ht="12.75" customHeight="1" x14ac:dyDescent="0.25">
      <c r="A1269" s="1410" t="s">
        <v>3535</v>
      </c>
      <c r="B1269" s="1410" t="s">
        <v>1026</v>
      </c>
      <c r="C1269" s="9">
        <f t="shared" si="290"/>
        <v>2</v>
      </c>
      <c r="F1269" s="991">
        <f t="shared" si="291"/>
        <v>2</v>
      </c>
      <c r="G1269" s="646">
        <v>2</v>
      </c>
      <c r="H1269" s="23"/>
      <c r="I1269" s="1404"/>
      <c r="J1269" s="1377"/>
      <c r="K1269" s="1371"/>
      <c r="M1269" s="23"/>
      <c r="P1269" s="23"/>
      <c r="Q1269" s="185"/>
      <c r="R1269" s="410"/>
      <c r="S1269" s="455"/>
      <c r="T1269" s="455"/>
      <c r="U1269" s="455"/>
      <c r="V1269" s="455"/>
      <c r="W1269" s="410"/>
      <c r="X1269" s="185"/>
      <c r="Y1269" s="185"/>
      <c r="Z1269" s="410"/>
      <c r="AB1269" t="s">
        <v>1378</v>
      </c>
      <c r="AC1269" s="16"/>
      <c r="AD1269" s="6" t="s">
        <v>4718</v>
      </c>
    </row>
    <row r="1270" spans="1:35" ht="12.75" customHeight="1" x14ac:dyDescent="0.25">
      <c r="C1270" s="20">
        <f>SUM(C1254:C1269)</f>
        <v>23</v>
      </c>
      <c r="F1270" s="244"/>
      <c r="G1270" s="322">
        <f>SUM(G1254:G1269)</f>
        <v>14</v>
      </c>
      <c r="H1270" s="322"/>
      <c r="I1270" s="1405"/>
      <c r="J1270" s="322">
        <f t="shared" ref="J1270" si="292">SUM(J1254:J1269)</f>
        <v>1</v>
      </c>
      <c r="K1270" s="1372"/>
      <c r="L1270" s="5"/>
      <c r="M1270" s="322">
        <f t="shared" ref="M1270:V1270" si="293">SUM(M1254:M1269)</f>
        <v>1</v>
      </c>
      <c r="N1270" s="5"/>
      <c r="O1270" s="5"/>
      <c r="P1270" s="322">
        <f t="shared" si="293"/>
        <v>2</v>
      </c>
      <c r="Q1270" s="5"/>
      <c r="R1270" s="5"/>
      <c r="S1270" s="322">
        <f t="shared" si="293"/>
        <v>1</v>
      </c>
      <c r="T1270" s="322">
        <f t="shared" si="293"/>
        <v>2</v>
      </c>
      <c r="U1270" s="322">
        <f t="shared" si="293"/>
        <v>1</v>
      </c>
      <c r="V1270" s="322">
        <f t="shared" si="293"/>
        <v>1</v>
      </c>
      <c r="W1270" s="410"/>
      <c r="X1270" s="185"/>
      <c r="Y1270" s="185"/>
      <c r="Z1270" s="410"/>
      <c r="AB1270" s="2" t="s">
        <v>563</v>
      </c>
      <c r="AC1270" s="16"/>
      <c r="AD1270" s="79" t="s">
        <v>6262</v>
      </c>
    </row>
    <row r="1271" spans="1:35" ht="12.75" customHeight="1" x14ac:dyDescent="0.25">
      <c r="C1271" s="9"/>
      <c r="E1271" s="1377">
        <f>COUNT(G1271:V1271)</f>
        <v>8</v>
      </c>
      <c r="F1271" s="244"/>
      <c r="G1271" s="322">
        <f>COUNT(G1254:G1269)</f>
        <v>12</v>
      </c>
      <c r="H1271" s="322"/>
      <c r="I1271" s="1405"/>
      <c r="J1271" s="322">
        <f t="shared" ref="J1271" si="294">COUNT(J1254:J1269)</f>
        <v>1</v>
      </c>
      <c r="K1271" s="1372"/>
      <c r="L1271" s="5"/>
      <c r="M1271" s="322">
        <f t="shared" ref="M1271:V1271" si="295">COUNT(M1254:M1269)</f>
        <v>1</v>
      </c>
      <c r="N1271" s="5"/>
      <c r="O1271" s="5"/>
      <c r="P1271" s="322">
        <f t="shared" si="295"/>
        <v>2</v>
      </c>
      <c r="Q1271" s="5"/>
      <c r="R1271" s="5"/>
      <c r="S1271" s="322">
        <f t="shared" si="295"/>
        <v>1</v>
      </c>
      <c r="T1271" s="322">
        <f t="shared" si="295"/>
        <v>2</v>
      </c>
      <c r="U1271" s="322">
        <f t="shared" si="295"/>
        <v>1</v>
      </c>
      <c r="V1271" s="322">
        <f t="shared" si="295"/>
        <v>1</v>
      </c>
      <c r="W1271" s="410"/>
      <c r="X1271" s="185"/>
      <c r="Y1271" s="185"/>
      <c r="Z1271" s="410"/>
      <c r="AB1271" t="s">
        <v>1157</v>
      </c>
      <c r="AC1271" s="16"/>
      <c r="AD1271" s="79" t="s">
        <v>2908</v>
      </c>
    </row>
    <row r="1272" spans="1:35" ht="12.75" customHeight="1" x14ac:dyDescent="0.25">
      <c r="C1272" s="9"/>
      <c r="F1272" s="244"/>
      <c r="G1272" s="536" t="s">
        <v>4817</v>
      </c>
      <c r="H1272" s="627"/>
      <c r="I1272" s="1371"/>
      <c r="J1272" s="1371"/>
      <c r="K1272" s="1371"/>
      <c r="L1272" s="896"/>
      <c r="M1272" s="538" t="s">
        <v>12161</v>
      </c>
      <c r="N1272" s="896"/>
      <c r="P1272" s="565" t="s">
        <v>4473</v>
      </c>
      <c r="Q1272" s="410"/>
      <c r="R1272" s="185"/>
      <c r="S1272" s="258"/>
      <c r="T1272" s="258" t="s">
        <v>9147</v>
      </c>
      <c r="U1272" s="258"/>
      <c r="V1272" s="538" t="s">
        <v>8702</v>
      </c>
      <c r="W1272" s="185"/>
      <c r="X1272" s="185"/>
      <c r="Y1272" s="410"/>
      <c r="AA1272" s="410"/>
    </row>
    <row r="1273" spans="1:35" ht="12.75" customHeight="1" x14ac:dyDescent="0.25">
      <c r="A1273" s="1390"/>
      <c r="C1273" s="9"/>
      <c r="F1273" s="244"/>
      <c r="G1273" s="990"/>
      <c r="H1273" s="539" t="s">
        <v>16771</v>
      </c>
      <c r="I1273" s="1406"/>
      <c r="J1273" s="1406"/>
      <c r="K1273" s="1407"/>
      <c r="L1273" s="410"/>
      <c r="M1273" s="410"/>
      <c r="N1273" s="410"/>
      <c r="S1273" s="558" t="s">
        <v>2925</v>
      </c>
      <c r="T1273" s="558"/>
      <c r="U1273" s="539" t="s">
        <v>10197</v>
      </c>
      <c r="V1273" s="539"/>
      <c r="Y1273" s="185"/>
      <c r="Z1273" s="185"/>
      <c r="AH1273" s="185"/>
      <c r="AI1273" s="185"/>
    </row>
    <row r="1274" spans="1:35" ht="12.75" customHeight="1" x14ac:dyDescent="0.25">
      <c r="A1274" s="1390"/>
      <c r="C1274" s="9"/>
      <c r="F1274" s="244"/>
      <c r="G1274" s="1408"/>
      <c r="H1274" s="1406"/>
      <c r="I1274" s="1406"/>
      <c r="J1274" s="1406"/>
      <c r="K1274" s="1407"/>
      <c r="L1274" s="1407"/>
      <c r="M1274" s="1407"/>
      <c r="N1274" s="1407"/>
      <c r="O1274" s="1371"/>
      <c r="P1274" s="1371"/>
      <c r="Q1274" s="1371"/>
      <c r="R1274" s="1371"/>
      <c r="S1274" s="1407"/>
      <c r="T1274" s="1407"/>
      <c r="U1274" s="1406"/>
      <c r="V1274" s="1406"/>
      <c r="Y1274" s="185"/>
      <c r="Z1274" s="185"/>
      <c r="AH1274" s="185"/>
      <c r="AI1274" s="185"/>
    </row>
    <row r="1275" spans="1:35" ht="12.75" customHeight="1" x14ac:dyDescent="0.25">
      <c r="A1275" s="1390"/>
      <c r="C1275" s="9"/>
      <c r="F1275" s="244"/>
      <c r="G1275" s="430"/>
      <c r="H1275" s="410"/>
      <c r="U1275" s="185"/>
      <c r="V1275" s="185"/>
      <c r="X1275" s="185"/>
      <c r="Y1275" s="185"/>
      <c r="AG1275" s="185"/>
      <c r="AH1275" s="185"/>
      <c r="AI1275" s="185"/>
    </row>
    <row r="1276" spans="1:35" ht="12.75" customHeight="1" x14ac:dyDescent="0.2">
      <c r="A1276" s="1390"/>
      <c r="C1276" s="9"/>
      <c r="F1276" s="244"/>
      <c r="G1276" s="2" t="s">
        <v>5892</v>
      </c>
      <c r="X1276" s="2"/>
      <c r="Y1276" s="2" t="s">
        <v>2256</v>
      </c>
      <c r="Z1276" s="2"/>
      <c r="AA1276" s="2"/>
      <c r="AB1276" s="414" t="s">
        <v>8731</v>
      </c>
      <c r="AC1276" s="414"/>
    </row>
    <row r="1277" spans="1:35" ht="12.75" customHeight="1" x14ac:dyDescent="0.2">
      <c r="A1277" s="1390"/>
      <c r="C1277" s="9"/>
      <c r="F1277" s="244"/>
      <c r="G1277" s="431" t="s">
        <v>4320</v>
      </c>
      <c r="H1277" s="325" t="s">
        <v>2545</v>
      </c>
      <c r="I1277" s="324" t="s">
        <v>5891</v>
      </c>
      <c r="J1277" s="325" t="s">
        <v>907</v>
      </c>
      <c r="K1277" s="553" t="s">
        <v>8294</v>
      </c>
      <c r="L1277" s="554" t="s">
        <v>3734</v>
      </c>
      <c r="M1277" s="553" t="s">
        <v>8378</v>
      </c>
      <c r="N1277" s="554" t="s">
        <v>3202</v>
      </c>
      <c r="O1277" s="864" t="s">
        <v>911</v>
      </c>
      <c r="P1277" s="554" t="s">
        <v>5665</v>
      </c>
      <c r="Q1277" s="864" t="s">
        <v>3695</v>
      </c>
      <c r="R1277" s="554" t="s">
        <v>3657</v>
      </c>
      <c r="S1277" s="873" t="s">
        <v>292</v>
      </c>
      <c r="T1277" s="785" t="s">
        <v>8338</v>
      </c>
      <c r="U1277" s="864" t="s">
        <v>2397</v>
      </c>
      <c r="V1277" s="560" t="s">
        <v>8261</v>
      </c>
      <c r="X1277" s="80"/>
      <c r="Y1277" s="897" t="s">
        <v>4193</v>
      </c>
      <c r="Z1277" s="1119" t="s">
        <v>4196</v>
      </c>
      <c r="AA1277" s="897" t="s">
        <v>6262</v>
      </c>
      <c r="AB1277" s="80" t="s">
        <v>8733</v>
      </c>
      <c r="AC1277">
        <v>968</v>
      </c>
    </row>
    <row r="1278" spans="1:35" ht="12.75" customHeight="1" x14ac:dyDescent="0.2">
      <c r="A1278" s="1370" t="s">
        <v>11800</v>
      </c>
      <c r="B1278" s="1371" t="s">
        <v>11801</v>
      </c>
      <c r="C1278" s="9">
        <f>SUM(G1278:AA1278)</f>
        <v>1</v>
      </c>
      <c r="F1278" s="992">
        <f>COUNT(G1278:AA1278)</f>
        <v>1</v>
      </c>
      <c r="G1278" s="579"/>
      <c r="H1278" s="337"/>
      <c r="I1278" s="580"/>
      <c r="J1278" s="337"/>
      <c r="K1278" s="462"/>
      <c r="L1278" s="337"/>
      <c r="M1278" s="462"/>
      <c r="N1278" s="337"/>
      <c r="O1278" s="337"/>
      <c r="P1278" s="337"/>
      <c r="Q1278" s="337">
        <v>1</v>
      </c>
      <c r="R1278" s="337"/>
      <c r="S1278" s="507"/>
      <c r="T1278" s="506"/>
      <c r="U1278" s="337"/>
      <c r="V1278" s="462"/>
      <c r="X1278" s="80"/>
      <c r="Y1278" s="455"/>
      <c r="Z1278" s="455"/>
      <c r="AA1278" s="455"/>
      <c r="AB1278" s="80"/>
    </row>
    <row r="1279" spans="1:35" ht="12.75" customHeight="1" x14ac:dyDescent="0.2">
      <c r="A1279" s="1376" t="s">
        <v>5980</v>
      </c>
      <c r="B1279" s="1376" t="s">
        <v>4818</v>
      </c>
      <c r="C1279" s="9">
        <f>SUM(G1279:AA1279)</f>
        <v>1</v>
      </c>
      <c r="F1279" s="992">
        <f>COUNT(G1279:AA1279)</f>
        <v>1</v>
      </c>
      <c r="G1279" s="579"/>
      <c r="H1279" s="337"/>
      <c r="I1279" s="580"/>
      <c r="J1279" s="337"/>
      <c r="K1279" s="462"/>
      <c r="L1279" s="337"/>
      <c r="M1279" s="462"/>
      <c r="N1279" s="337"/>
      <c r="O1279" s="337"/>
      <c r="P1279" s="337"/>
      <c r="Q1279" s="337"/>
      <c r="R1279" s="337"/>
      <c r="S1279" s="507"/>
      <c r="T1279" s="506"/>
      <c r="U1279" s="337"/>
      <c r="V1279" s="462"/>
      <c r="X1279" s="80"/>
      <c r="Y1279" s="455"/>
      <c r="Z1279" s="455">
        <v>1</v>
      </c>
      <c r="AA1279" s="455"/>
      <c r="AB1279" s="80" t="s">
        <v>8732</v>
      </c>
      <c r="AC1279">
        <v>1547</v>
      </c>
    </row>
    <row r="1280" spans="1:35" ht="12.75" customHeight="1" x14ac:dyDescent="0.2">
      <c r="A1280" s="1370" t="s">
        <v>1308</v>
      </c>
      <c r="B1280" s="1370" t="s">
        <v>428</v>
      </c>
      <c r="C1280" s="9">
        <f t="shared" ref="C1280:C1287" si="296">SUM(G1280:AA1280)</f>
        <v>1</v>
      </c>
      <c r="F1280" s="992">
        <f t="shared" ref="F1280:F1287" si="297">COUNT(G1280:AA1280)</f>
        <v>1</v>
      </c>
      <c r="G1280" s="579"/>
      <c r="H1280" s="337"/>
      <c r="I1280" s="580"/>
      <c r="J1280" s="337"/>
      <c r="K1280" s="337"/>
      <c r="L1280" s="337"/>
      <c r="M1280" s="337"/>
      <c r="N1280" s="337"/>
      <c r="O1280" s="337"/>
      <c r="P1280" s="337"/>
      <c r="Q1280" s="589">
        <v>1</v>
      </c>
      <c r="R1280" s="337"/>
      <c r="S1280" s="507"/>
      <c r="T1280" s="507"/>
      <c r="U1280" s="337"/>
      <c r="V1280" s="23"/>
      <c r="Y1280" s="455"/>
      <c r="Z1280" s="455"/>
      <c r="AA1280" s="455"/>
      <c r="AB1280" s="80"/>
    </row>
    <row r="1281" spans="1:36" ht="12.75" customHeight="1" x14ac:dyDescent="0.2">
      <c r="A1281" s="1370" t="s">
        <v>665</v>
      </c>
      <c r="B1281" s="1370" t="s">
        <v>666</v>
      </c>
      <c r="C1281" s="9">
        <f t="shared" si="296"/>
        <v>4</v>
      </c>
      <c r="F1281" s="992">
        <f t="shared" si="297"/>
        <v>4</v>
      </c>
      <c r="G1281" s="579"/>
      <c r="H1281" s="337"/>
      <c r="I1281" s="580"/>
      <c r="J1281" s="337">
        <v>1</v>
      </c>
      <c r="K1281" s="1710">
        <v>1</v>
      </c>
      <c r="L1281" s="337"/>
      <c r="M1281" s="337"/>
      <c r="N1281" s="337"/>
      <c r="O1281" s="337"/>
      <c r="P1281" s="337"/>
      <c r="Q1281" s="589"/>
      <c r="R1281" s="337"/>
      <c r="S1281" s="507"/>
      <c r="T1281" s="507"/>
      <c r="U1281" s="337"/>
      <c r="V1281" s="23"/>
      <c r="Y1281" s="455">
        <v>1</v>
      </c>
      <c r="Z1281" s="455">
        <v>1</v>
      </c>
      <c r="AA1281" s="455"/>
    </row>
    <row r="1282" spans="1:36" ht="12.75" customHeight="1" x14ac:dyDescent="0.2">
      <c r="A1282" s="1374" t="s">
        <v>2137</v>
      </c>
      <c r="B1282" s="1374" t="s">
        <v>4943</v>
      </c>
      <c r="C1282" s="9">
        <f t="shared" si="296"/>
        <v>2</v>
      </c>
      <c r="F1282" s="992">
        <f t="shared" si="297"/>
        <v>2</v>
      </c>
      <c r="G1282" s="428"/>
      <c r="H1282" s="66"/>
      <c r="I1282" s="365"/>
      <c r="J1282" s="66"/>
      <c r="K1282" s="66"/>
      <c r="L1282" s="66"/>
      <c r="M1282" s="66"/>
      <c r="N1282" s="66"/>
      <c r="O1282" s="66"/>
      <c r="P1282" s="66"/>
      <c r="Q1282" s="66">
        <v>1</v>
      </c>
      <c r="R1282" s="66"/>
      <c r="S1282" s="326"/>
      <c r="T1282" s="326"/>
      <c r="U1282" s="23"/>
      <c r="V1282" s="23">
        <v>1</v>
      </c>
      <c r="Y1282" s="455"/>
      <c r="Z1282" s="455"/>
      <c r="AA1282" s="455"/>
    </row>
    <row r="1283" spans="1:36" ht="12.75" customHeight="1" x14ac:dyDescent="0.2">
      <c r="A1283" s="1374" t="s">
        <v>4567</v>
      </c>
      <c r="B1283" s="1374" t="s">
        <v>4562</v>
      </c>
      <c r="C1283" s="9">
        <f t="shared" si="296"/>
        <v>1</v>
      </c>
      <c r="F1283" s="992">
        <f t="shared" si="297"/>
        <v>1</v>
      </c>
      <c r="G1283" s="428"/>
      <c r="H1283" s="66"/>
      <c r="I1283" s="365"/>
      <c r="J1283" s="66"/>
      <c r="K1283" s="66"/>
      <c r="L1283" s="66"/>
      <c r="M1283" s="66"/>
      <c r="N1283" s="66"/>
      <c r="O1283" s="66"/>
      <c r="P1283" s="66"/>
      <c r="Q1283" s="66">
        <v>1</v>
      </c>
      <c r="R1283" s="66"/>
      <c r="S1283" s="326"/>
      <c r="T1283" s="326"/>
      <c r="U1283" s="23"/>
      <c r="V1283" s="23"/>
      <c r="Y1283" s="455"/>
      <c r="Z1283" s="455"/>
      <c r="AA1283" s="455"/>
    </row>
    <row r="1284" spans="1:36" ht="12.75" customHeight="1" x14ac:dyDescent="0.2">
      <c r="A1284" s="1374" t="s">
        <v>4561</v>
      </c>
      <c r="B1284" s="1374" t="s">
        <v>4562</v>
      </c>
      <c r="C1284" s="9">
        <f t="shared" si="296"/>
        <v>2</v>
      </c>
      <c r="F1284" s="992">
        <f t="shared" si="297"/>
        <v>1</v>
      </c>
      <c r="G1284" s="428"/>
      <c r="H1284" s="66"/>
      <c r="I1284" s="365"/>
      <c r="J1284" s="66"/>
      <c r="K1284" s="66"/>
      <c r="L1284" s="66"/>
      <c r="M1284" s="66"/>
      <c r="N1284" s="66"/>
      <c r="O1284" s="66"/>
      <c r="P1284" s="66"/>
      <c r="Q1284" s="66">
        <v>2</v>
      </c>
      <c r="R1284" s="66"/>
      <c r="S1284" s="326"/>
      <c r="T1284" s="326"/>
      <c r="U1284" s="23"/>
      <c r="V1284" s="23"/>
      <c r="Y1284" s="455"/>
      <c r="Z1284" s="455"/>
      <c r="AA1284" s="455"/>
    </row>
    <row r="1285" spans="1:36" ht="12.75" customHeight="1" x14ac:dyDescent="0.2">
      <c r="A1285" s="1389" t="s">
        <v>4977</v>
      </c>
      <c r="B1285" s="1389" t="s">
        <v>3961</v>
      </c>
      <c r="C1285" s="9">
        <f t="shared" si="296"/>
        <v>1</v>
      </c>
      <c r="F1285" s="992">
        <f t="shared" si="297"/>
        <v>1</v>
      </c>
      <c r="G1285" s="428"/>
      <c r="H1285" s="66"/>
      <c r="I1285" s="365"/>
      <c r="J1285" s="66"/>
      <c r="K1285" s="66"/>
      <c r="L1285" s="66"/>
      <c r="M1285" s="66"/>
      <c r="N1285" s="66"/>
      <c r="O1285" s="66"/>
      <c r="P1285" s="66"/>
      <c r="Q1285" s="66"/>
      <c r="R1285" s="66"/>
      <c r="S1285" s="326"/>
      <c r="T1285" s="326"/>
      <c r="U1285" s="23"/>
      <c r="V1285" s="23"/>
      <c r="Y1285" s="455"/>
      <c r="Z1285" s="455"/>
      <c r="AA1285" s="455">
        <v>1</v>
      </c>
    </row>
    <row r="1286" spans="1:36" ht="12.75" customHeight="1" x14ac:dyDescent="0.2">
      <c r="A1286" s="1371" t="s">
        <v>2416</v>
      </c>
      <c r="B1286" s="1371" t="s">
        <v>2417</v>
      </c>
      <c r="C1286" s="9">
        <f t="shared" si="296"/>
        <v>16</v>
      </c>
      <c r="F1286" s="992">
        <f t="shared" si="297"/>
        <v>16</v>
      </c>
      <c r="G1286" s="428">
        <v>1</v>
      </c>
      <c r="H1286" s="66">
        <v>1</v>
      </c>
      <c r="I1286" s="365">
        <v>1</v>
      </c>
      <c r="J1286" s="66">
        <v>1</v>
      </c>
      <c r="K1286" s="66">
        <v>1</v>
      </c>
      <c r="L1286" s="66">
        <v>1</v>
      </c>
      <c r="M1286" s="66">
        <v>1</v>
      </c>
      <c r="N1286" s="66">
        <v>1</v>
      </c>
      <c r="O1286" s="66">
        <v>1</v>
      </c>
      <c r="P1286" s="66">
        <v>1</v>
      </c>
      <c r="Q1286" s="66">
        <v>1</v>
      </c>
      <c r="R1286" s="66">
        <v>1</v>
      </c>
      <c r="S1286" s="326">
        <v>1</v>
      </c>
      <c r="T1286" s="326">
        <v>1</v>
      </c>
      <c r="U1286" s="23">
        <v>1</v>
      </c>
      <c r="V1286" s="23">
        <v>1</v>
      </c>
      <c r="Y1286" s="455"/>
      <c r="Z1286" s="455"/>
      <c r="AA1286" s="455"/>
    </row>
    <row r="1287" spans="1:36" ht="12.75" customHeight="1" x14ac:dyDescent="0.2">
      <c r="A1287" s="1371" t="s">
        <v>866</v>
      </c>
      <c r="B1287" s="1371" t="s">
        <v>2417</v>
      </c>
      <c r="C1287" s="9">
        <f t="shared" si="296"/>
        <v>16</v>
      </c>
      <c r="F1287" s="992">
        <f t="shared" si="297"/>
        <v>16</v>
      </c>
      <c r="G1287" s="428">
        <v>1</v>
      </c>
      <c r="H1287" s="66">
        <v>1</v>
      </c>
      <c r="I1287" s="365">
        <v>1</v>
      </c>
      <c r="J1287" s="66">
        <v>1</v>
      </c>
      <c r="K1287" s="66">
        <v>1</v>
      </c>
      <c r="L1287" s="66">
        <v>1</v>
      </c>
      <c r="M1287" s="66">
        <v>1</v>
      </c>
      <c r="N1287" s="66">
        <v>1</v>
      </c>
      <c r="O1287" s="66">
        <v>1</v>
      </c>
      <c r="P1287" s="66">
        <v>1</v>
      </c>
      <c r="Q1287" s="66">
        <v>1</v>
      </c>
      <c r="R1287" s="66">
        <v>1</v>
      </c>
      <c r="S1287" s="326">
        <v>1</v>
      </c>
      <c r="T1287" s="326">
        <v>1</v>
      </c>
      <c r="U1287" s="23">
        <v>1</v>
      </c>
      <c r="V1287" s="23">
        <v>1</v>
      </c>
      <c r="Y1287" s="455"/>
      <c r="Z1287" s="455"/>
      <c r="AA1287" s="455"/>
    </row>
    <row r="1288" spans="1:36" ht="12.75" customHeight="1" x14ac:dyDescent="0.2">
      <c r="A1288" s="1390"/>
      <c r="C1288" s="20">
        <f>SUM(C1278:C1287)</f>
        <v>45</v>
      </c>
      <c r="G1288" s="322">
        <f>SUM(G1278:G1287)</f>
        <v>2</v>
      </c>
      <c r="H1288" s="322">
        <f t="shared" ref="H1288:V1288" si="298">SUM(H1278:H1287)</f>
        <v>2</v>
      </c>
      <c r="I1288" s="322">
        <f t="shared" si="298"/>
        <v>2</v>
      </c>
      <c r="J1288" s="322">
        <f t="shared" si="298"/>
        <v>3</v>
      </c>
      <c r="K1288" s="322">
        <f t="shared" si="298"/>
        <v>3</v>
      </c>
      <c r="L1288" s="322">
        <f t="shared" si="298"/>
        <v>2</v>
      </c>
      <c r="M1288" s="322">
        <f t="shared" si="298"/>
        <v>2</v>
      </c>
      <c r="N1288" s="322">
        <f t="shared" si="298"/>
        <v>2</v>
      </c>
      <c r="O1288" s="322">
        <f t="shared" si="298"/>
        <v>2</v>
      </c>
      <c r="P1288" s="322">
        <f t="shared" si="298"/>
        <v>2</v>
      </c>
      <c r="Q1288" s="322">
        <f t="shared" si="298"/>
        <v>8</v>
      </c>
      <c r="R1288" s="322">
        <f t="shared" si="298"/>
        <v>2</v>
      </c>
      <c r="S1288" s="322">
        <f t="shared" si="298"/>
        <v>2</v>
      </c>
      <c r="T1288" s="322">
        <f t="shared" si="298"/>
        <v>2</v>
      </c>
      <c r="U1288" s="322">
        <f t="shared" si="298"/>
        <v>2</v>
      </c>
      <c r="V1288" s="322">
        <f t="shared" si="298"/>
        <v>3</v>
      </c>
      <c r="W1288" s="5"/>
      <c r="X1288" s="5"/>
      <c r="Y1288" s="322">
        <f>SUM(Y1278:Y1287)</f>
        <v>1</v>
      </c>
      <c r="Z1288" s="322">
        <f t="shared" ref="Z1288:AA1288" si="299">SUM(Z1278:Z1287)</f>
        <v>2</v>
      </c>
      <c r="AA1288" s="322">
        <f t="shared" si="299"/>
        <v>1</v>
      </c>
    </row>
    <row r="1289" spans="1:36" ht="12.75" customHeight="1" x14ac:dyDescent="0.2">
      <c r="A1289" s="1390"/>
      <c r="C1289" s="9"/>
      <c r="E1289" s="1377">
        <f>COUNT(G1289:AA1289)</f>
        <v>19</v>
      </c>
      <c r="G1289" s="322">
        <f>COUNT(G1278:G1287)</f>
        <v>2</v>
      </c>
      <c r="H1289" s="322">
        <f t="shared" ref="H1289:V1289" si="300">COUNT(H1278:H1287)</f>
        <v>2</v>
      </c>
      <c r="I1289" s="322">
        <f t="shared" si="300"/>
        <v>2</v>
      </c>
      <c r="J1289" s="322">
        <f t="shared" si="300"/>
        <v>3</v>
      </c>
      <c r="K1289" s="322">
        <f t="shared" si="300"/>
        <v>3</v>
      </c>
      <c r="L1289" s="322">
        <f t="shared" si="300"/>
        <v>2</v>
      </c>
      <c r="M1289" s="322">
        <f t="shared" si="300"/>
        <v>2</v>
      </c>
      <c r="N1289" s="322">
        <f t="shared" si="300"/>
        <v>2</v>
      </c>
      <c r="O1289" s="322">
        <f t="shared" si="300"/>
        <v>2</v>
      </c>
      <c r="P1289" s="322">
        <f t="shared" si="300"/>
        <v>2</v>
      </c>
      <c r="Q1289" s="322">
        <f t="shared" si="300"/>
        <v>7</v>
      </c>
      <c r="R1289" s="322">
        <f t="shared" si="300"/>
        <v>2</v>
      </c>
      <c r="S1289" s="322">
        <f t="shared" si="300"/>
        <v>2</v>
      </c>
      <c r="T1289" s="322">
        <f t="shared" si="300"/>
        <v>2</v>
      </c>
      <c r="U1289" s="322">
        <f t="shared" si="300"/>
        <v>2</v>
      </c>
      <c r="V1289" s="322">
        <f t="shared" si="300"/>
        <v>3</v>
      </c>
      <c r="W1289" s="5"/>
      <c r="X1289" s="5"/>
      <c r="Y1289" s="322">
        <f>COUNT(Y1278:Y1287)</f>
        <v>1</v>
      </c>
      <c r="Z1289" s="322">
        <f t="shared" ref="Z1289:AA1289" si="301">COUNT(Z1278:Z1287)</f>
        <v>2</v>
      </c>
      <c r="AA1289" s="322">
        <f t="shared" si="301"/>
        <v>1</v>
      </c>
    </row>
    <row r="1290" spans="1:36" ht="12.75" customHeight="1" x14ac:dyDescent="0.25">
      <c r="A1290" s="1390"/>
      <c r="C1290" s="9"/>
      <c r="G1290" s="190" t="s">
        <v>652</v>
      </c>
      <c r="H1290" s="258"/>
      <c r="I1290" s="258" t="s">
        <v>3860</v>
      </c>
      <c r="J1290" s="258"/>
      <c r="K1290" s="258" t="s">
        <v>8290</v>
      </c>
      <c r="L1290" s="536"/>
      <c r="M1290" s="536" t="s">
        <v>8377</v>
      </c>
      <c r="N1290" s="538"/>
      <c r="O1290" s="538" t="s">
        <v>910</v>
      </c>
      <c r="P1290" s="536"/>
      <c r="Q1290" s="538" t="s">
        <v>2291</v>
      </c>
      <c r="R1290" s="565"/>
      <c r="S1290" s="561" t="s">
        <v>291</v>
      </c>
      <c r="T1290" s="561"/>
      <c r="U1290" s="538" t="s">
        <v>2395</v>
      </c>
      <c r="V1290" s="538"/>
      <c r="W1290" s="364"/>
      <c r="X1290" s="364"/>
      <c r="Y1290" s="565" t="s">
        <v>3081</v>
      </c>
      <c r="Z1290" s="565"/>
      <c r="AA1290" s="565" t="s">
        <v>563</v>
      </c>
      <c r="AB1290" s="16"/>
    </row>
    <row r="1291" spans="1:36" ht="12.75" customHeight="1" x14ac:dyDescent="0.25">
      <c r="A1291" s="1390"/>
      <c r="C1291" s="9"/>
      <c r="G1291" s="191"/>
      <c r="H1291" s="191" t="s">
        <v>2544</v>
      </c>
      <c r="I1291" s="247"/>
      <c r="J1291" s="246" t="s">
        <v>444</v>
      </c>
      <c r="K1291" s="535"/>
      <c r="L1291" s="539" t="s">
        <v>1980</v>
      </c>
      <c r="M1291" s="539"/>
      <c r="N1291" s="539" t="s">
        <v>4968</v>
      </c>
      <c r="O1291" s="535"/>
      <c r="P1291" s="539" t="s">
        <v>5663</v>
      </c>
      <c r="Q1291" s="535"/>
      <c r="R1291" s="539" t="s">
        <v>5492</v>
      </c>
      <c r="S1291" s="558"/>
      <c r="T1291" s="558" t="s">
        <v>8335</v>
      </c>
      <c r="U1291" s="558"/>
      <c r="V1291" s="874" t="s">
        <v>8262</v>
      </c>
      <c r="W1291" s="45"/>
      <c r="X1291" s="45"/>
      <c r="Y1291" s="515"/>
      <c r="Z1291" s="539" t="s">
        <v>3042</v>
      </c>
      <c r="AA1291" s="515"/>
    </row>
    <row r="1292" spans="1:36" ht="12.75" customHeight="1" x14ac:dyDescent="0.25">
      <c r="A1292" s="1390"/>
      <c r="C1292" s="9"/>
      <c r="G1292" s="2"/>
      <c r="H1292" s="2"/>
      <c r="I1292" s="2"/>
      <c r="J1292" s="2"/>
      <c r="K1292" s="364"/>
      <c r="L1292" s="364"/>
      <c r="M1292" s="364"/>
      <c r="N1292" s="364"/>
      <c r="O1292" s="430"/>
      <c r="P1292" s="364"/>
      <c r="Q1292" s="430"/>
      <c r="R1292" s="364"/>
      <c r="S1292" s="410"/>
      <c r="T1292" s="410"/>
      <c r="U1292" s="410"/>
      <c r="V1292" s="17"/>
      <c r="AA1292" s="2"/>
      <c r="AB1292" s="2"/>
    </row>
    <row r="1293" spans="1:36" ht="12.75" customHeight="1" x14ac:dyDescent="0.2">
      <c r="C1293" s="9"/>
      <c r="G1293" s="2" t="s">
        <v>5661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1524"/>
      <c r="Z1293" s="1524"/>
      <c r="AA1293" s="1524"/>
      <c r="AB1293" s="2" t="s">
        <v>8636</v>
      </c>
      <c r="AC1293" s="2"/>
      <c r="AD1293" s="2"/>
      <c r="AI1293" s="398"/>
      <c r="AJ1293" s="398"/>
    </row>
    <row r="1294" spans="1:36" ht="12.75" customHeight="1" x14ac:dyDescent="0.25">
      <c r="C1294" s="9"/>
      <c r="G1294" s="431" t="s">
        <v>509</v>
      </c>
      <c r="H1294" s="325" t="s">
        <v>122</v>
      </c>
      <c r="I1294" s="336" t="s">
        <v>16648</v>
      </c>
      <c r="J1294" s="553" t="s">
        <v>16465</v>
      </c>
      <c r="K1294" s="336" t="s">
        <v>16469</v>
      </c>
      <c r="L1294" s="324" t="s">
        <v>5309</v>
      </c>
      <c r="M1294" s="560" t="s">
        <v>11844</v>
      </c>
      <c r="N1294" s="864" t="s">
        <v>5550</v>
      </c>
      <c r="O1294" s="554" t="s">
        <v>849</v>
      </c>
      <c r="P1294" s="838" t="s">
        <v>11155</v>
      </c>
      <c r="Q1294" s="785" t="s">
        <v>8663</v>
      </c>
      <c r="R1294" s="838" t="s">
        <v>11018</v>
      </c>
      <c r="S1294" s="785" t="s">
        <v>11735</v>
      </c>
      <c r="T1294" s="838" t="s">
        <v>9158</v>
      </c>
      <c r="U1294" s="838" t="s">
        <v>16657</v>
      </c>
      <c r="V1294" s="1311" t="s">
        <v>4454</v>
      </c>
      <c r="W1294" s="553" t="s">
        <v>9273</v>
      </c>
      <c r="X1294" s="1697"/>
      <c r="Y1294" s="1697"/>
      <c r="Z1294" s="1697"/>
      <c r="AA1294" s="1697"/>
      <c r="AB1294" s="80" t="s">
        <v>1212</v>
      </c>
      <c r="AD1294" s="16"/>
      <c r="AE1294" s="6"/>
      <c r="AF1294" s="6"/>
      <c r="AG1294" s="6"/>
      <c r="AH1294" s="6"/>
      <c r="AI1294" s="185"/>
      <c r="AJ1294" s="185"/>
    </row>
    <row r="1295" spans="1:36" ht="12.75" customHeight="1" x14ac:dyDescent="0.25">
      <c r="A1295" s="1376" t="s">
        <v>11800</v>
      </c>
      <c r="B1295" s="1376" t="s">
        <v>11801</v>
      </c>
      <c r="C1295" s="9">
        <f>SUM(G1295:W1295)</f>
        <v>1</v>
      </c>
      <c r="F1295" s="992">
        <f>COUNT(G1295:W1295)</f>
        <v>1</v>
      </c>
      <c r="G1295" s="1301">
        <v>1</v>
      </c>
      <c r="H1295" s="337"/>
      <c r="I1295" s="337"/>
      <c r="J1295" s="337"/>
      <c r="K1295" s="337"/>
      <c r="L1295" s="337"/>
      <c r="M1295" s="507"/>
      <c r="N1295" s="507"/>
      <c r="O1295" s="507"/>
      <c r="P1295" s="506"/>
      <c r="Q1295" s="506"/>
      <c r="R1295" s="506"/>
      <c r="S1295" s="506"/>
      <c r="T1295" s="506"/>
      <c r="U1295" s="506"/>
      <c r="V1295" s="507"/>
      <c r="W1295" s="462"/>
      <c r="X1295" s="1697"/>
      <c r="Y1295" s="1697"/>
      <c r="Z1295" s="1697"/>
      <c r="AA1295" s="1697"/>
      <c r="AB1295" s="80" t="s">
        <v>8642</v>
      </c>
      <c r="AD1295" s="16"/>
      <c r="AE1295" s="6"/>
      <c r="AF1295" s="6"/>
      <c r="AG1295" s="6"/>
      <c r="AH1295" s="6"/>
      <c r="AI1295" s="185"/>
      <c r="AJ1295" s="185"/>
    </row>
    <row r="1296" spans="1:36" ht="12.75" customHeight="1" x14ac:dyDescent="0.25">
      <c r="A1296" s="1374" t="s">
        <v>922</v>
      </c>
      <c r="B1296" s="1374" t="s">
        <v>1530</v>
      </c>
      <c r="C1296" s="9">
        <f t="shared" ref="C1296:C1302" si="302">SUM(G1296:W1296)</f>
        <v>5</v>
      </c>
      <c r="F1296" s="992">
        <f t="shared" ref="F1296:F1302" si="303">COUNT(G1296:W1296)</f>
        <v>4</v>
      </c>
      <c r="G1296" s="323"/>
      <c r="H1296" s="66"/>
      <c r="I1296" s="66"/>
      <c r="J1296" s="66"/>
      <c r="K1296" s="66"/>
      <c r="L1296" s="66"/>
      <c r="M1296" s="326">
        <v>1</v>
      </c>
      <c r="N1296" s="326"/>
      <c r="O1296" s="326"/>
      <c r="P1296" s="326"/>
      <c r="Q1296" s="326"/>
      <c r="R1296" s="326"/>
      <c r="S1296" s="326">
        <v>1</v>
      </c>
      <c r="T1296" s="326">
        <v>2</v>
      </c>
      <c r="U1296" s="326"/>
      <c r="V1296" s="326"/>
      <c r="W1296" s="66">
        <v>1</v>
      </c>
      <c r="X1296" s="1866"/>
      <c r="Y1296" s="1866"/>
      <c r="Z1296" s="1866"/>
      <c r="AA1296" s="1866"/>
      <c r="AB1296" s="80" t="s">
        <v>8645</v>
      </c>
      <c r="AD1296" s="16"/>
      <c r="AE1296" s="6"/>
      <c r="AF1296" s="6"/>
      <c r="AG1296" s="6"/>
      <c r="AH1296" s="6"/>
      <c r="AI1296" s="185"/>
      <c r="AJ1296" s="185"/>
    </row>
    <row r="1297" spans="1:38" ht="12.75" customHeight="1" x14ac:dyDescent="0.25">
      <c r="A1297" s="1410" t="s">
        <v>5980</v>
      </c>
      <c r="B1297" s="1410" t="s">
        <v>4818</v>
      </c>
      <c r="C1297" s="9">
        <f t="shared" si="302"/>
        <v>2</v>
      </c>
      <c r="F1297" s="992">
        <f t="shared" si="303"/>
        <v>2</v>
      </c>
      <c r="G1297" s="323"/>
      <c r="H1297" s="1441"/>
      <c r="I1297" s="1441"/>
      <c r="J1297" s="1441"/>
      <c r="K1297" s="1441"/>
      <c r="L1297" s="1441"/>
      <c r="M1297" s="326"/>
      <c r="N1297" s="326">
        <v>1</v>
      </c>
      <c r="O1297" s="326"/>
      <c r="P1297" s="326"/>
      <c r="Q1297" s="326"/>
      <c r="R1297" s="326"/>
      <c r="S1297" s="326"/>
      <c r="T1297" s="326"/>
      <c r="U1297" s="1932"/>
      <c r="V1297" s="326">
        <v>1</v>
      </c>
      <c r="W1297" s="66"/>
      <c r="X1297" s="1866"/>
      <c r="Y1297" s="1866"/>
      <c r="Z1297" s="1866"/>
      <c r="AA1297" s="1866"/>
      <c r="AB1297" s="80" t="s">
        <v>8644</v>
      </c>
      <c r="AD1297" s="16"/>
      <c r="AE1297" s="6"/>
      <c r="AF1297" s="6"/>
      <c r="AG1297" s="6"/>
      <c r="AH1297" s="6"/>
      <c r="AI1297" s="185"/>
      <c r="AJ1297" s="185"/>
    </row>
    <row r="1298" spans="1:38" ht="12.75" customHeight="1" x14ac:dyDescent="0.2">
      <c r="A1298" s="1371" t="s">
        <v>665</v>
      </c>
      <c r="B1298" s="1371" t="s">
        <v>666</v>
      </c>
      <c r="C1298" s="9">
        <f t="shared" si="302"/>
        <v>12</v>
      </c>
      <c r="F1298" s="992">
        <f t="shared" si="303"/>
        <v>12</v>
      </c>
      <c r="G1298" s="323">
        <v>1</v>
      </c>
      <c r="H1298" s="1441">
        <v>1</v>
      </c>
      <c r="I1298" s="1441">
        <v>1</v>
      </c>
      <c r="J1298" s="1441">
        <v>1</v>
      </c>
      <c r="K1298" s="1441">
        <v>1</v>
      </c>
      <c r="L1298" s="1441">
        <v>1</v>
      </c>
      <c r="M1298" s="326"/>
      <c r="N1298" s="326">
        <v>1</v>
      </c>
      <c r="O1298" s="326"/>
      <c r="P1298" s="326">
        <v>1</v>
      </c>
      <c r="Q1298" s="326">
        <v>1</v>
      </c>
      <c r="R1298" s="326">
        <v>1</v>
      </c>
      <c r="S1298" s="326"/>
      <c r="T1298" s="326"/>
      <c r="U1298" s="1932">
        <v>1</v>
      </c>
      <c r="V1298" s="326">
        <v>1</v>
      </c>
      <c r="W1298" s="66"/>
      <c r="X1298" s="1866"/>
      <c r="Y1298" s="1866"/>
      <c r="Z1298" s="1866"/>
      <c r="AA1298" s="1866"/>
      <c r="AB1298" s="80" t="s">
        <v>8646</v>
      </c>
      <c r="AD1298" s="16"/>
      <c r="AE1298" s="6"/>
      <c r="AF1298" s="6"/>
      <c r="AG1298" s="6"/>
      <c r="AH1298" s="6"/>
    </row>
    <row r="1299" spans="1:38" ht="12.75" customHeight="1" x14ac:dyDescent="0.2">
      <c r="A1299" s="1370" t="s">
        <v>16702</v>
      </c>
      <c r="B1299" s="1370" t="s">
        <v>16703</v>
      </c>
      <c r="C1299" s="9">
        <f t="shared" si="302"/>
        <v>1</v>
      </c>
      <c r="F1299" s="992">
        <f t="shared" si="303"/>
        <v>1</v>
      </c>
      <c r="G1299" s="323">
        <v>1</v>
      </c>
      <c r="H1299" s="1441"/>
      <c r="I1299" s="1441"/>
      <c r="J1299" s="1441"/>
      <c r="K1299" s="1441"/>
      <c r="L1299" s="1441"/>
      <c r="M1299" s="326"/>
      <c r="N1299" s="326"/>
      <c r="O1299" s="326"/>
      <c r="P1299" s="326"/>
      <c r="Q1299" s="326"/>
      <c r="R1299" s="326"/>
      <c r="S1299" s="326"/>
      <c r="T1299" s="326"/>
      <c r="U1299" s="1932"/>
      <c r="V1299" s="326"/>
      <c r="W1299" s="66"/>
      <c r="X1299" s="1866"/>
      <c r="Y1299" s="1866"/>
      <c r="Z1299" s="1866"/>
      <c r="AA1299" s="1866"/>
      <c r="AB1299" s="80" t="s">
        <v>8641</v>
      </c>
      <c r="AD1299" s="16"/>
      <c r="AE1299" s="6"/>
      <c r="AF1299" s="6"/>
      <c r="AG1299" s="6"/>
      <c r="AH1299" s="6"/>
    </row>
    <row r="1300" spans="1:38" ht="12.75" customHeight="1" x14ac:dyDescent="0.2">
      <c r="A1300" s="1374" t="s">
        <v>2137</v>
      </c>
      <c r="B1300" s="1374" t="s">
        <v>4943</v>
      </c>
      <c r="C1300" s="9">
        <f t="shared" si="302"/>
        <v>0</v>
      </c>
      <c r="F1300" s="992">
        <f t="shared" si="303"/>
        <v>0</v>
      </c>
      <c r="G1300" s="323"/>
      <c r="H1300" s="1441"/>
      <c r="I1300" s="1441"/>
      <c r="J1300" s="1441"/>
      <c r="K1300" s="1441"/>
      <c r="L1300" s="1441"/>
      <c r="M1300" s="326"/>
      <c r="N1300" s="326"/>
      <c r="O1300" s="326"/>
      <c r="P1300" s="326"/>
      <c r="Q1300" s="326"/>
      <c r="R1300" s="326"/>
      <c r="S1300" s="326"/>
      <c r="T1300" s="326"/>
      <c r="U1300" s="326"/>
      <c r="V1300" s="326"/>
      <c r="W1300" s="66"/>
      <c r="X1300" s="1866"/>
      <c r="Y1300" s="1866"/>
      <c r="Z1300" s="1866"/>
      <c r="AA1300" s="1866"/>
      <c r="AB1300" s="80" t="s">
        <v>9164</v>
      </c>
      <c r="AD1300" s="16"/>
      <c r="AE1300" s="6"/>
      <c r="AF1300" s="6"/>
      <c r="AG1300" s="6"/>
      <c r="AH1300" s="6"/>
    </row>
    <row r="1301" spans="1:38" ht="12.75" customHeight="1" x14ac:dyDescent="0.2">
      <c r="A1301" s="1389" t="s">
        <v>4878</v>
      </c>
      <c r="B1301" s="1389" t="s">
        <v>3250</v>
      </c>
      <c r="C1301" s="9">
        <f t="shared" si="302"/>
        <v>1</v>
      </c>
      <c r="F1301" s="992">
        <f t="shared" si="303"/>
        <v>1</v>
      </c>
      <c r="G1301" s="323"/>
      <c r="H1301" s="66"/>
      <c r="I1301" s="66"/>
      <c r="J1301" s="66"/>
      <c r="K1301" s="66"/>
      <c r="L1301" s="66"/>
      <c r="M1301" s="326"/>
      <c r="N1301" s="326"/>
      <c r="O1301" s="326">
        <v>1</v>
      </c>
      <c r="P1301" s="326"/>
      <c r="Q1301" s="326"/>
      <c r="R1301" s="326"/>
      <c r="S1301" s="326"/>
      <c r="T1301" s="326"/>
      <c r="U1301" s="326"/>
      <c r="V1301" s="326"/>
      <c r="W1301" s="66"/>
      <c r="X1301" s="1866"/>
      <c r="Y1301" s="1866"/>
      <c r="Z1301" s="1866"/>
      <c r="AA1301" s="1866"/>
      <c r="AB1301" s="80" t="s">
        <v>8638</v>
      </c>
      <c r="AC1301" s="399"/>
      <c r="AD1301" s="16"/>
      <c r="AE1301" s="6"/>
      <c r="AF1301" s="6"/>
      <c r="AG1301" s="6"/>
      <c r="AH1301" s="6"/>
    </row>
    <row r="1302" spans="1:38" ht="12.75" customHeight="1" x14ac:dyDescent="0.2">
      <c r="A1302" s="1371" t="s">
        <v>1794</v>
      </c>
      <c r="B1302" s="1371" t="s">
        <v>1795</v>
      </c>
      <c r="C1302" s="9">
        <f t="shared" si="302"/>
        <v>1</v>
      </c>
      <c r="F1302" s="992">
        <f t="shared" si="303"/>
        <v>1</v>
      </c>
      <c r="G1302" s="323">
        <v>1</v>
      </c>
      <c r="H1302" s="66"/>
      <c r="I1302" s="66"/>
      <c r="J1302" s="66"/>
      <c r="K1302" s="66"/>
      <c r="L1302" s="66"/>
      <c r="M1302" s="326"/>
      <c r="N1302" s="326"/>
      <c r="O1302" s="326"/>
      <c r="P1302" s="326"/>
      <c r="Q1302" s="326"/>
      <c r="R1302" s="326"/>
      <c r="S1302" s="326"/>
      <c r="T1302" s="326"/>
      <c r="U1302" s="326"/>
      <c r="V1302" s="326"/>
      <c r="W1302" s="66"/>
      <c r="X1302" s="1866"/>
      <c r="Y1302" s="1866"/>
      <c r="Z1302" s="1866"/>
      <c r="AA1302" s="1866"/>
      <c r="AB1302" s="80" t="s">
        <v>8639</v>
      </c>
      <c r="AD1302" s="16"/>
      <c r="AE1302" s="6"/>
      <c r="AF1302" s="6"/>
      <c r="AG1302" s="6"/>
      <c r="AH1302" s="6"/>
    </row>
    <row r="1303" spans="1:38" ht="12.75" customHeight="1" x14ac:dyDescent="0.2">
      <c r="C1303" s="20">
        <f>SUM(C1295:C1302)</f>
        <v>23</v>
      </c>
      <c r="G1303" s="322">
        <f>SUM(G1295:G1302)</f>
        <v>4</v>
      </c>
      <c r="H1303" s="322">
        <f t="shared" ref="H1303:W1303" si="304">SUM(H1295:H1302)</f>
        <v>1</v>
      </c>
      <c r="I1303" s="322">
        <f t="shared" ref="I1303" si="305">SUM(I1295:I1302)</f>
        <v>1</v>
      </c>
      <c r="J1303" s="322">
        <f t="shared" ref="J1303:K1303" si="306">SUM(J1295:J1302)</f>
        <v>1</v>
      </c>
      <c r="K1303" s="322">
        <f t="shared" si="306"/>
        <v>1</v>
      </c>
      <c r="L1303" s="322">
        <f t="shared" si="304"/>
        <v>1</v>
      </c>
      <c r="M1303" s="322">
        <f t="shared" ref="M1303" si="307">SUM(M1295:M1302)</f>
        <v>1</v>
      </c>
      <c r="N1303" s="322">
        <f t="shared" si="304"/>
        <v>2</v>
      </c>
      <c r="O1303" s="322">
        <f t="shared" si="304"/>
        <v>1</v>
      </c>
      <c r="P1303" s="322">
        <f t="shared" si="304"/>
        <v>1</v>
      </c>
      <c r="Q1303" s="322">
        <f t="shared" si="304"/>
        <v>1</v>
      </c>
      <c r="R1303" s="322">
        <f t="shared" si="304"/>
        <v>1</v>
      </c>
      <c r="S1303" s="322">
        <f t="shared" si="304"/>
        <v>1</v>
      </c>
      <c r="T1303" s="322">
        <f t="shared" si="304"/>
        <v>2</v>
      </c>
      <c r="U1303" s="322">
        <f t="shared" ref="U1303" si="308">SUM(U1295:U1302)</f>
        <v>1</v>
      </c>
      <c r="V1303" s="322">
        <f t="shared" si="304"/>
        <v>2</v>
      </c>
      <c r="W1303" s="322">
        <f t="shared" si="304"/>
        <v>1</v>
      </c>
      <c r="X1303" s="1405"/>
      <c r="Y1303" s="1405"/>
      <c r="Z1303" s="1405"/>
      <c r="AA1303" s="1405"/>
      <c r="AB1303" s="80" t="s">
        <v>8647</v>
      </c>
    </row>
    <row r="1304" spans="1:38" ht="12.75" customHeight="1" x14ac:dyDescent="0.25">
      <c r="C1304" s="9"/>
      <c r="E1304" s="1377">
        <f>COUNT(G1304:W1304)</f>
        <v>17</v>
      </c>
      <c r="G1304" s="322">
        <f>COUNT(G1295:G1302)</f>
        <v>4</v>
      </c>
      <c r="H1304" s="322">
        <f t="shared" ref="H1304:W1304" si="309">COUNT(H1295:H1302)</f>
        <v>1</v>
      </c>
      <c r="I1304" s="322">
        <f t="shared" ref="I1304" si="310">COUNT(I1295:I1302)</f>
        <v>1</v>
      </c>
      <c r="J1304" s="322">
        <f t="shared" ref="J1304:K1304" si="311">COUNT(J1295:J1302)</f>
        <v>1</v>
      </c>
      <c r="K1304" s="322">
        <f t="shared" si="311"/>
        <v>1</v>
      </c>
      <c r="L1304" s="322">
        <f t="shared" si="309"/>
        <v>1</v>
      </c>
      <c r="M1304" s="322">
        <f t="shared" ref="M1304" si="312">COUNT(M1295:M1302)</f>
        <v>1</v>
      </c>
      <c r="N1304" s="322">
        <f t="shared" si="309"/>
        <v>2</v>
      </c>
      <c r="O1304" s="322">
        <f t="shared" si="309"/>
        <v>1</v>
      </c>
      <c r="P1304" s="322">
        <f t="shared" si="309"/>
        <v>1</v>
      </c>
      <c r="Q1304" s="322">
        <f t="shared" si="309"/>
        <v>1</v>
      </c>
      <c r="R1304" s="322">
        <f t="shared" si="309"/>
        <v>1</v>
      </c>
      <c r="S1304" s="322">
        <f t="shared" si="309"/>
        <v>1</v>
      </c>
      <c r="T1304" s="322">
        <f t="shared" si="309"/>
        <v>1</v>
      </c>
      <c r="U1304" s="322">
        <f t="shared" ref="U1304" si="313">COUNT(U1295:U1302)</f>
        <v>1</v>
      </c>
      <c r="V1304" s="322">
        <f t="shared" si="309"/>
        <v>2</v>
      </c>
      <c r="W1304" s="322">
        <f t="shared" si="309"/>
        <v>1</v>
      </c>
      <c r="X1304" s="1405"/>
      <c r="Y1304" s="1405"/>
      <c r="Z1304" s="1405"/>
      <c r="AA1304" s="1405"/>
      <c r="AB1304" s="80" t="s">
        <v>8637</v>
      </c>
      <c r="AC1304" s="185"/>
    </row>
    <row r="1305" spans="1:38" ht="12.75" customHeight="1" x14ac:dyDescent="0.25">
      <c r="C1305" s="9"/>
      <c r="G1305" s="190" t="s">
        <v>706</v>
      </c>
      <c r="H1305" s="190"/>
      <c r="I1305" s="996" t="s">
        <v>16650</v>
      </c>
      <c r="J1305" s="669"/>
      <c r="K1305" s="669" t="s">
        <v>8643</v>
      </c>
      <c r="L1305" s="669"/>
      <c r="M1305" s="996" t="s">
        <v>9165</v>
      </c>
      <c r="N1305" s="1618"/>
      <c r="O1305" s="996" t="s">
        <v>11845</v>
      </c>
      <c r="P1305" s="669"/>
      <c r="Q1305" s="996" t="s">
        <v>9163</v>
      </c>
      <c r="R1305" s="1618"/>
      <c r="S1305" s="996" t="s">
        <v>11733</v>
      </c>
      <c r="T1305" s="996"/>
      <c r="U1305" s="996" t="s">
        <v>16658</v>
      </c>
      <c r="V1305" s="996"/>
      <c r="W1305" s="558" t="s">
        <v>9272</v>
      </c>
      <c r="X1305" s="1549"/>
      <c r="Y1305" s="1549"/>
      <c r="Z1305" s="1867"/>
      <c r="AA1305" s="1548"/>
      <c r="AB1305" s="80" t="s">
        <v>8648</v>
      </c>
      <c r="AD1305" s="185"/>
      <c r="AE1305" s="185"/>
      <c r="AF1305" s="185"/>
      <c r="AG1305" s="185"/>
      <c r="AH1305" s="185"/>
    </row>
    <row r="1306" spans="1:38" ht="12.75" customHeight="1" x14ac:dyDescent="0.25">
      <c r="C1306" s="9"/>
      <c r="G1306" s="515"/>
      <c r="H1306" s="539" t="s">
        <v>16649</v>
      </c>
      <c r="I1306" s="515"/>
      <c r="J1306" s="515" t="s">
        <v>8640</v>
      </c>
      <c r="K1306" s="515"/>
      <c r="L1306" s="539" t="s">
        <v>4422</v>
      </c>
      <c r="M1306" s="515"/>
      <c r="N1306" s="535" t="s">
        <v>5039</v>
      </c>
      <c r="O1306" s="515"/>
      <c r="P1306" s="515" t="s">
        <v>11154</v>
      </c>
      <c r="Q1306" s="558"/>
      <c r="R1306" s="515" t="s">
        <v>9164</v>
      </c>
      <c r="S1306" s="515"/>
      <c r="T1306" s="539" t="s">
        <v>9156</v>
      </c>
      <c r="U1306" s="539"/>
      <c r="V1306" s="539" t="s">
        <v>470</v>
      </c>
      <c r="W1306" s="558"/>
      <c r="X1306" s="1549"/>
      <c r="Y1306" s="1867"/>
      <c r="Z1306" s="1548"/>
      <c r="AA1306" s="1548"/>
      <c r="AB1306" s="80"/>
    </row>
    <row r="1307" spans="1:38" ht="12.75" customHeight="1" x14ac:dyDescent="0.25">
      <c r="C1307" s="9"/>
      <c r="G1307" s="1418"/>
      <c r="H1307" s="1418"/>
      <c r="I1307" s="1418"/>
      <c r="J1307" s="1418"/>
      <c r="K1307" s="1418"/>
      <c r="L1307" s="1406"/>
      <c r="M1307" s="1418"/>
      <c r="N1307" s="1500"/>
      <c r="O1307" s="1418"/>
      <c r="P1307" s="1418"/>
      <c r="Q1307" s="1407"/>
      <c r="R1307" s="1418"/>
      <c r="S1307" s="1418"/>
      <c r="T1307" s="1406"/>
      <c r="U1307" s="1406"/>
      <c r="V1307" s="1407"/>
      <c r="W1307" s="1407"/>
      <c r="X1307" s="1407"/>
      <c r="Y1307" s="1500"/>
      <c r="Z1307" s="1406"/>
      <c r="AA1307" s="1548"/>
      <c r="AB1307" s="1370"/>
    </row>
    <row r="1308" spans="1:38" ht="12.75" customHeight="1" x14ac:dyDescent="0.25">
      <c r="C1308" s="9"/>
      <c r="G1308" s="70" t="s">
        <v>9299</v>
      </c>
      <c r="H1308" s="41"/>
      <c r="I1308" s="41"/>
      <c r="J1308" s="41"/>
      <c r="K1308" s="41"/>
      <c r="L1308" s="41"/>
      <c r="M1308" s="41"/>
      <c r="N1308" s="1390" t="s">
        <v>3162</v>
      </c>
      <c r="O1308" s="1418"/>
      <c r="P1308" s="1418"/>
      <c r="Q1308" s="1418"/>
      <c r="R1308" s="1406"/>
      <c r="S1308" s="1407"/>
      <c r="T1308" s="1406"/>
      <c r="U1308" s="1406"/>
      <c r="V1308" s="1406"/>
      <c r="W1308" s="1407"/>
      <c r="X1308" s="1407"/>
      <c r="Y1308" s="1407"/>
      <c r="Z1308" s="1407"/>
      <c r="AA1308" s="1500"/>
      <c r="AB1308" s="1370"/>
    </row>
    <row r="1309" spans="1:38" ht="12.75" customHeight="1" x14ac:dyDescent="0.25">
      <c r="C1309" s="9"/>
      <c r="G1309" s="553" t="s">
        <v>11784</v>
      </c>
      <c r="H1309" s="560" t="s">
        <v>9225</v>
      </c>
      <c r="I1309" s="553" t="s">
        <v>9186</v>
      </c>
      <c r="J1309" s="554" t="s">
        <v>297</v>
      </c>
      <c r="K1309" s="864" t="s">
        <v>4735</v>
      </c>
      <c r="L1309" s="41"/>
      <c r="M1309" s="41"/>
      <c r="N1309" s="1423" t="s">
        <v>2871</v>
      </c>
      <c r="O1309" s="1119" t="s">
        <v>11078</v>
      </c>
      <c r="P1309" s="1418"/>
      <c r="Q1309" s="2" t="s">
        <v>17074</v>
      </c>
      <c r="R1309" s="1406"/>
      <c r="S1309" s="1407"/>
      <c r="T1309" s="1406"/>
      <c r="U1309" s="1406"/>
      <c r="V1309" s="1406"/>
      <c r="W1309" s="1407"/>
      <c r="X1309" s="1407"/>
      <c r="Y1309" s="1407"/>
      <c r="Z1309" s="1407"/>
      <c r="AA1309" s="1500"/>
      <c r="AB1309" s="1370"/>
      <c r="AD1309" s="185"/>
    </row>
    <row r="1310" spans="1:38" ht="12.75" customHeight="1" x14ac:dyDescent="0.25">
      <c r="A1310" s="1374" t="s">
        <v>922</v>
      </c>
      <c r="B1310" s="1374" t="s">
        <v>1530</v>
      </c>
      <c r="C1310" s="9">
        <f>SUM(G1310:O1310)</f>
        <v>3</v>
      </c>
      <c r="F1310" s="1431">
        <f>COUNT(G1310:O1310)</f>
        <v>3</v>
      </c>
      <c r="G1310" s="1393">
        <v>1</v>
      </c>
      <c r="H1310" s="1393">
        <v>1</v>
      </c>
      <c r="I1310" s="1393">
        <v>1</v>
      </c>
      <c r="J1310" s="1393"/>
      <c r="K1310" s="1393"/>
      <c r="L1310" s="41"/>
      <c r="M1310" s="41"/>
      <c r="N1310" s="1381"/>
      <c r="O1310" s="1381"/>
      <c r="P1310" s="1418"/>
      <c r="Q1310" s="2"/>
      <c r="R1310" s="1406"/>
      <c r="S1310" s="1407"/>
      <c r="T1310" s="1406"/>
      <c r="U1310" s="1406"/>
      <c r="V1310" s="1406"/>
      <c r="W1310" s="1407"/>
      <c r="X1310" s="1407"/>
      <c r="Y1310" s="1407"/>
      <c r="Z1310" s="1407"/>
      <c r="AA1310" s="1500"/>
      <c r="AB1310" s="1500"/>
      <c r="AC1310" s="1406"/>
      <c r="AD1310" s="1548"/>
      <c r="AE1310" s="1548"/>
      <c r="AF1310" s="1407"/>
      <c r="AG1310" s="1407"/>
      <c r="AH1310" s="80"/>
      <c r="AJ1310" s="185"/>
    </row>
    <row r="1311" spans="1:38" ht="12.75" customHeight="1" x14ac:dyDescent="0.25">
      <c r="A1311" s="1370" t="s">
        <v>665</v>
      </c>
      <c r="B1311" s="1370" t="s">
        <v>666</v>
      </c>
      <c r="C1311" s="9">
        <f t="shared" ref="C1311:C1313" si="314">SUM(G1311:O1311)</f>
        <v>1</v>
      </c>
      <c r="F1311" s="1431">
        <f t="shared" ref="F1311:F1313" si="315">COUNT(G1311:O1311)</f>
        <v>1</v>
      </c>
      <c r="G1311" s="1989"/>
      <c r="H1311" s="1989"/>
      <c r="I1311" s="1989"/>
      <c r="J1311" s="1989"/>
      <c r="K1311" s="1989"/>
      <c r="L1311" s="1988"/>
      <c r="M1311" s="1988"/>
      <c r="N1311" s="1381"/>
      <c r="O1311" s="1381">
        <v>1</v>
      </c>
      <c r="P1311" s="1418"/>
      <c r="Q1311" s="109"/>
      <c r="R1311" s="1406"/>
      <c r="S1311" s="1407"/>
      <c r="T1311" s="1406"/>
      <c r="U1311" s="1406"/>
      <c r="V1311" s="1406"/>
      <c r="W1311" s="1407"/>
      <c r="X1311" s="1500"/>
      <c r="Y1311" s="1406"/>
      <c r="Z1311" s="1548"/>
      <c r="AA1311" s="1548"/>
      <c r="AB1311" s="1407"/>
      <c r="AC1311" s="1407"/>
      <c r="AD1311" s="1406"/>
      <c r="AE1311" s="1406"/>
      <c r="AF1311" s="364"/>
      <c r="AG1311" s="364"/>
      <c r="AH1311" s="1404"/>
      <c r="AI1311" s="1404"/>
      <c r="AK1311" s="41"/>
      <c r="AL1311" s="41"/>
    </row>
    <row r="1312" spans="1:38" ht="12.75" customHeight="1" x14ac:dyDescent="0.25">
      <c r="A1312" s="1374" t="s">
        <v>2137</v>
      </c>
      <c r="B1312" s="1374" t="s">
        <v>4943</v>
      </c>
      <c r="C1312" s="9">
        <f t="shared" si="314"/>
        <v>2</v>
      </c>
      <c r="F1312" s="1431">
        <f t="shared" si="315"/>
        <v>1</v>
      </c>
      <c r="G1312" s="1989"/>
      <c r="H1312" s="1989"/>
      <c r="I1312" s="1989"/>
      <c r="J1312" s="1989"/>
      <c r="K1312" s="1989"/>
      <c r="L1312" s="1988"/>
      <c r="M1312" s="1988"/>
      <c r="N1312" s="1381">
        <v>2</v>
      </c>
      <c r="O1312" s="1381"/>
      <c r="P1312" s="1418"/>
      <c r="Q1312" s="109"/>
      <c r="R1312" s="1406"/>
      <c r="S1312" s="1407"/>
      <c r="T1312" s="1406"/>
      <c r="U1312" s="1406"/>
      <c r="V1312" s="1406"/>
      <c r="W1312" s="1407"/>
      <c r="X1312" s="1500"/>
      <c r="Y1312" s="1406"/>
      <c r="Z1312" s="1548"/>
      <c r="AA1312" s="1548"/>
      <c r="AB1312" s="1407"/>
      <c r="AC1312" s="1407"/>
      <c r="AD1312" s="1406"/>
      <c r="AE1312" s="1406"/>
      <c r="AF1312" s="364"/>
      <c r="AG1312" s="364"/>
      <c r="AH1312" s="1545"/>
      <c r="AI1312" s="1489"/>
      <c r="AJ1312" s="1514"/>
      <c r="AL1312" s="185"/>
    </row>
    <row r="1313" spans="1:43" ht="12.75" customHeight="1" x14ac:dyDescent="0.25">
      <c r="A1313" s="1389" t="s">
        <v>4878</v>
      </c>
      <c r="B1313" s="1389" t="s">
        <v>3250</v>
      </c>
      <c r="C1313" s="9">
        <f t="shared" si="314"/>
        <v>3</v>
      </c>
      <c r="F1313" s="1431">
        <f t="shared" si="315"/>
        <v>2</v>
      </c>
      <c r="G1313" s="1989"/>
      <c r="H1313" s="1989"/>
      <c r="I1313" s="1989"/>
      <c r="J1313" s="1447">
        <v>2</v>
      </c>
      <c r="K1313" s="1447">
        <v>1</v>
      </c>
      <c r="L1313" s="1988"/>
      <c r="M1313" s="1988"/>
      <c r="N1313" s="1381"/>
      <c r="O1313" s="1381"/>
      <c r="P1313" s="1418"/>
      <c r="Q1313" s="109"/>
      <c r="R1313" s="1406"/>
      <c r="S1313" s="1407"/>
      <c r="T1313" s="1406"/>
      <c r="U1313" s="1406"/>
      <c r="V1313" s="1406"/>
      <c r="W1313" s="1407"/>
      <c r="X1313" s="1500"/>
      <c r="Y1313" s="1406"/>
      <c r="Z1313" s="1548"/>
      <c r="AA1313" s="1548"/>
      <c r="AB1313" s="1407"/>
      <c r="AC1313" s="1407"/>
      <c r="AD1313" s="1406"/>
      <c r="AE1313" s="1406"/>
      <c r="AF1313" s="364"/>
      <c r="AG1313" s="364"/>
      <c r="AH1313" s="1545"/>
      <c r="AI1313" s="1489"/>
      <c r="AJ1313" s="1514"/>
      <c r="AL1313" s="185"/>
    </row>
    <row r="1314" spans="1:43" ht="12.75" customHeight="1" x14ac:dyDescent="0.25">
      <c r="C1314" s="20">
        <f>SUM(G1311:O1312)</f>
        <v>3</v>
      </c>
      <c r="G1314" s="1344">
        <f>SUM(G1310:G1313)</f>
        <v>1</v>
      </c>
      <c r="H1314" s="1344">
        <f t="shared" ref="H1314:K1314" si="316">SUM(H1310:H1313)</f>
        <v>1</v>
      </c>
      <c r="I1314" s="1344">
        <f t="shared" si="316"/>
        <v>1</v>
      </c>
      <c r="J1314" s="1344">
        <f>SUM(J1310:J1313)</f>
        <v>2</v>
      </c>
      <c r="K1314" s="1344">
        <f t="shared" si="316"/>
        <v>1</v>
      </c>
      <c r="L1314" s="41"/>
      <c r="M1314" s="41"/>
      <c r="N1314" s="666">
        <f>SUM(N1310:N1313)</f>
        <v>2</v>
      </c>
      <c r="O1314" s="666">
        <f>SUM(O1310:O1313)</f>
        <v>1</v>
      </c>
      <c r="P1314" s="1418"/>
      <c r="Q1314" s="80" t="s">
        <v>11785</v>
      </c>
      <c r="R1314" s="1406"/>
      <c r="S1314" s="1407"/>
      <c r="T1314" s="1406"/>
      <c r="U1314" s="1406"/>
      <c r="V1314" s="1406"/>
      <c r="W1314" s="1407"/>
      <c r="X1314" s="1500"/>
      <c r="Y1314" s="1406"/>
      <c r="Z1314" s="1548"/>
      <c r="AA1314" s="1548"/>
      <c r="AB1314" s="1407"/>
      <c r="AC1314" s="1407"/>
      <c r="AD1314" s="1406"/>
      <c r="AE1314" s="1406"/>
      <c r="AF1314" s="364"/>
      <c r="AG1314" s="364"/>
      <c r="AH1314" s="1545"/>
      <c r="AI1314" s="1489"/>
      <c r="AJ1314" s="80"/>
      <c r="AL1314" s="185"/>
    </row>
    <row r="1315" spans="1:43" ht="12.75" customHeight="1" x14ac:dyDescent="0.25">
      <c r="C1315" s="9"/>
      <c r="E1315" s="1377">
        <f>COUNT(G1315:O1315)</f>
        <v>7</v>
      </c>
      <c r="G1315" s="1344">
        <f>COUNT(G1310:G1313)</f>
        <v>1</v>
      </c>
      <c r="H1315" s="1344">
        <f t="shared" ref="H1315:J1315" si="317">COUNT(H1310:H1313)</f>
        <v>1</v>
      </c>
      <c r="I1315" s="1344">
        <f t="shared" si="317"/>
        <v>1</v>
      </c>
      <c r="J1315" s="1344">
        <f t="shared" si="317"/>
        <v>1</v>
      </c>
      <c r="K1315" s="1344">
        <f>COUNT(K1310:K1313)</f>
        <v>1</v>
      </c>
      <c r="L1315" s="41"/>
      <c r="M1315" s="41"/>
      <c r="N1315" s="666">
        <f>COUNT(N1310:N1313)</f>
        <v>1</v>
      </c>
      <c r="O1315" s="666">
        <f>COUNT(O1310:O1313)</f>
        <v>1</v>
      </c>
      <c r="P1315" s="1418"/>
      <c r="Q1315" s="80" t="s">
        <v>11756</v>
      </c>
      <c r="R1315" s="1406"/>
      <c r="S1315" s="1407"/>
      <c r="T1315" s="1406"/>
      <c r="U1315" s="1406"/>
      <c r="V1315" s="1406"/>
      <c r="W1315" s="1407"/>
      <c r="X1315" s="1500"/>
      <c r="Y1315" s="1406"/>
      <c r="Z1315" s="1548"/>
      <c r="AA1315" s="1548"/>
      <c r="AB1315" s="1407"/>
      <c r="AC1315" s="1407"/>
      <c r="AD1315" s="1406"/>
      <c r="AE1315" s="1406"/>
      <c r="AF1315" s="364"/>
      <c r="AG1315" s="364"/>
      <c r="AH1315" s="1546"/>
      <c r="AI1315" s="1404"/>
      <c r="AL1315" s="185"/>
    </row>
    <row r="1316" spans="1:43" ht="12.75" customHeight="1" x14ac:dyDescent="0.25">
      <c r="C1316" s="9"/>
      <c r="G1316" s="538" t="s">
        <v>11786</v>
      </c>
      <c r="H1316" s="538"/>
      <c r="I1316" s="538" t="s">
        <v>9317</v>
      </c>
      <c r="J1316" s="538"/>
      <c r="K1316" s="538" t="s">
        <v>17073</v>
      </c>
      <c r="L1316" s="41"/>
      <c r="M1316" s="41"/>
      <c r="N1316" s="258" t="s">
        <v>2869</v>
      </c>
      <c r="O1316" s="538"/>
      <c r="P1316" s="1418"/>
      <c r="Q1316" s="1406"/>
      <c r="R1316" s="1407"/>
      <c r="S1316" s="1406"/>
      <c r="T1316" s="1418"/>
      <c r="U1316" s="1406"/>
      <c r="V1316" s="1407"/>
      <c r="W1316" s="1406"/>
      <c r="X1316" s="1406"/>
      <c r="Y1316" s="1406"/>
      <c r="Z1316" s="1407"/>
      <c r="AA1316" s="1500"/>
      <c r="AB1316" s="1406"/>
      <c r="AC1316" s="1548"/>
      <c r="AD1316" s="1548"/>
      <c r="AE1316" s="1407"/>
      <c r="AF1316" s="1407"/>
      <c r="AG1316" s="1406"/>
      <c r="AH1316" s="1406"/>
      <c r="AI1316" s="364"/>
      <c r="AJ1316" s="364"/>
      <c r="AK1316" s="1487"/>
      <c r="AL1316" s="1404"/>
      <c r="AO1316" s="185"/>
    </row>
    <row r="1317" spans="1:43" ht="12.75" customHeight="1" x14ac:dyDescent="0.25">
      <c r="C1317" s="9"/>
      <c r="G1317" s="539"/>
      <c r="H1317" s="539" t="s">
        <v>9316</v>
      </c>
      <c r="I1317" s="539"/>
      <c r="J1317" s="539" t="s">
        <v>2424</v>
      </c>
      <c r="K1317" s="539"/>
      <c r="L1317" s="41"/>
      <c r="M1317" s="41"/>
      <c r="N1317" s="247"/>
      <c r="O1317" s="539" t="s">
        <v>11077</v>
      </c>
      <c r="P1317" s="1418"/>
      <c r="Q1317" s="1406"/>
      <c r="R1317" s="1407"/>
      <c r="S1317" s="1406"/>
      <c r="T1317" s="1418"/>
      <c r="U1317" s="1406"/>
      <c r="V1317" s="1407"/>
      <c r="W1317" s="1406"/>
      <c r="X1317" s="1406"/>
      <c r="Y1317" s="1406"/>
      <c r="Z1317" s="1407"/>
      <c r="AA1317" s="1500"/>
      <c r="AB1317" s="1406"/>
      <c r="AC1317" s="1548"/>
      <c r="AD1317" s="1548"/>
      <c r="AE1317" s="1407"/>
      <c r="AF1317" s="1407"/>
      <c r="AG1317" s="1406"/>
      <c r="AH1317" s="1406"/>
      <c r="AI1317" s="364"/>
      <c r="AJ1317" s="364"/>
      <c r="AK1317" s="1404"/>
      <c r="AL1317" s="1404"/>
      <c r="AO1317" s="185"/>
    </row>
    <row r="1318" spans="1:43" ht="12.75" customHeight="1" x14ac:dyDescent="0.25">
      <c r="C1318" s="9"/>
      <c r="G1318" s="1418"/>
      <c r="H1318" s="1418"/>
      <c r="I1318" s="1418"/>
      <c r="J1318" s="1406"/>
      <c r="K1318" s="1407"/>
      <c r="L1318" s="1406"/>
      <c r="M1318" s="1418"/>
      <c r="N1318" s="1406"/>
      <c r="O1318" s="1407"/>
      <c r="P1318" s="1406"/>
      <c r="Q1318" s="1406"/>
      <c r="R1318" s="1406"/>
      <c r="S1318" s="1407"/>
      <c r="T1318" s="1500"/>
      <c r="U1318" s="1406"/>
      <c r="V1318" s="1548"/>
      <c r="W1318" s="1548"/>
      <c r="X1318" s="1407"/>
      <c r="Y1318" s="1407"/>
      <c r="Z1318" s="1406"/>
      <c r="AA1318" s="1406"/>
      <c r="AB1318" s="364"/>
      <c r="AC1318" s="364"/>
      <c r="AD1318" s="1404"/>
      <c r="AE1318" s="1404"/>
      <c r="AH1318" s="185"/>
    </row>
    <row r="1319" spans="1:43" ht="12.75" customHeight="1" x14ac:dyDescent="0.25">
      <c r="C1319" s="9"/>
      <c r="G1319" s="1418"/>
      <c r="H1319" s="1418"/>
      <c r="I1319" s="1418"/>
      <c r="J1319" s="1406"/>
      <c r="K1319" s="1407"/>
      <c r="L1319" s="1406"/>
      <c r="M1319" s="1418"/>
      <c r="N1319" s="1406"/>
      <c r="O1319" s="1407"/>
      <c r="P1319" s="1406"/>
      <c r="Q1319" s="1406"/>
      <c r="R1319" s="1406"/>
      <c r="S1319" s="1407"/>
      <c r="T1319" s="1500"/>
      <c r="U1319" s="1406"/>
      <c r="V1319" s="1548"/>
      <c r="W1319" s="1548"/>
      <c r="X1319" s="1407"/>
      <c r="Y1319" s="1407"/>
      <c r="Z1319" s="1406"/>
      <c r="AA1319" s="1406"/>
      <c r="AB1319" s="364"/>
      <c r="AC1319" s="364"/>
      <c r="AD1319" s="1404"/>
      <c r="AE1319" s="1404"/>
      <c r="AH1319" s="185"/>
    </row>
    <row r="1320" spans="1:43" ht="12.75" customHeight="1" x14ac:dyDescent="0.25">
      <c r="C1320"/>
      <c r="F1320"/>
      <c r="J1320" s="10"/>
      <c r="N1320" s="185"/>
      <c r="O1320" s="185"/>
      <c r="P1320" s="364"/>
      <c r="Q1320" s="364"/>
      <c r="T1320" s="430"/>
      <c r="U1320" s="364"/>
      <c r="V1320" s="1656"/>
      <c r="W1320" s="1656"/>
      <c r="X1320" s="410"/>
      <c r="Y1320" s="185"/>
      <c r="Z1320" s="185"/>
      <c r="AA1320" s="41"/>
      <c r="AB1320" s="41"/>
      <c r="AC1320" s="41"/>
      <c r="AD1320" s="1404"/>
      <c r="AE1320" s="1404"/>
      <c r="AH1320" s="185"/>
    </row>
    <row r="1321" spans="1:43" ht="12.75" customHeight="1" x14ac:dyDescent="0.25">
      <c r="C1321"/>
      <c r="F1321"/>
      <c r="M1321" s="185"/>
      <c r="N1321" s="185"/>
      <c r="O1321" s="185"/>
      <c r="P1321" s="364"/>
      <c r="Q1321" s="364"/>
      <c r="R1321" s="410"/>
      <c r="S1321" s="364"/>
      <c r="T1321" s="364"/>
      <c r="U1321" s="430"/>
      <c r="V1321" s="185"/>
      <c r="W1321" s="185"/>
      <c r="X1321" s="185"/>
      <c r="Y1321" s="185"/>
      <c r="Z1321" s="185"/>
      <c r="AA1321" s="41"/>
      <c r="AB1321" s="41"/>
      <c r="AC1321" s="41"/>
      <c r="AD1321" s="1404"/>
      <c r="AE1321" s="1404"/>
      <c r="AH1321" s="185"/>
    </row>
    <row r="1322" spans="1:43" ht="12.75" customHeight="1" thickBot="1" x14ac:dyDescent="0.3">
      <c r="A1322" s="1390"/>
      <c r="C1322"/>
      <c r="F1322"/>
      <c r="G1322" s="2" t="s">
        <v>1038</v>
      </c>
      <c r="X1322" s="1486"/>
      <c r="Y1322" s="1486"/>
      <c r="Z1322" s="1486"/>
      <c r="AA1322" s="1486"/>
      <c r="AB1322" s="1486"/>
      <c r="AD1322" s="1404"/>
      <c r="AE1322" s="1404"/>
      <c r="AH1322" s="185"/>
      <c r="AI1322" s="185"/>
    </row>
    <row r="1323" spans="1:43" ht="12.75" customHeight="1" x14ac:dyDescent="0.25">
      <c r="C1323"/>
      <c r="F1323"/>
      <c r="G1323" s="1136" t="s">
        <v>1115</v>
      </c>
      <c r="H1323" s="1137" t="s">
        <v>9312</v>
      </c>
      <c r="I1323" s="1138" t="s">
        <v>418</v>
      </c>
      <c r="J1323" s="1138"/>
      <c r="K1323" s="1138" t="s">
        <v>8489</v>
      </c>
      <c r="L1323" s="1138" t="s">
        <v>13043</v>
      </c>
      <c r="M1323" s="1138" t="s">
        <v>1114</v>
      </c>
      <c r="N1323" s="1138" t="s">
        <v>4643</v>
      </c>
      <c r="O1323" s="1155"/>
      <c r="P1323" s="1155"/>
      <c r="Q1323" s="1155" t="s">
        <v>12068</v>
      </c>
      <c r="R1323" s="1155" t="s">
        <v>13086</v>
      </c>
      <c r="S1323" s="1155"/>
      <c r="T1323" s="1135" t="s">
        <v>9503</v>
      </c>
      <c r="U1323" s="898"/>
      <c r="V1323" s="898" t="s">
        <v>9437</v>
      </c>
      <c r="W1323" s="898" t="s">
        <v>5750</v>
      </c>
      <c r="X1323" s="1524"/>
      <c r="Y1323" s="1524"/>
      <c r="Z1323" s="1524"/>
      <c r="AA1323" s="1524"/>
      <c r="AB1323" s="1544"/>
      <c r="AC1323" s="1404"/>
      <c r="AD1323" s="1404"/>
      <c r="AE1323" s="1404"/>
      <c r="AH1323" s="185"/>
      <c r="AI1323" s="41"/>
      <c r="AJ1323" s="185"/>
      <c r="AK1323" s="185"/>
      <c r="AL1323" s="185"/>
      <c r="AM1323" s="185"/>
      <c r="AN1323" s="185"/>
      <c r="AO1323" s="185"/>
      <c r="AP1323" s="185"/>
      <c r="AQ1323" s="80"/>
    </row>
    <row r="1324" spans="1:43" ht="12.75" customHeight="1" x14ac:dyDescent="0.25">
      <c r="C1324"/>
      <c r="F1324"/>
      <c r="G1324" s="429" t="s">
        <v>5595</v>
      </c>
      <c r="H1324" s="995" t="s">
        <v>9310</v>
      </c>
      <c r="I1324" s="912" t="s">
        <v>3641</v>
      </c>
      <c r="J1324" s="1119" t="s">
        <v>7753</v>
      </c>
      <c r="K1324" s="897" t="s">
        <v>8453</v>
      </c>
      <c r="L1324" s="1119" t="s">
        <v>13042</v>
      </c>
      <c r="M1324" s="912" t="s">
        <v>6030</v>
      </c>
      <c r="N1324" s="633" t="s">
        <v>3310</v>
      </c>
      <c r="O1324" s="1652" t="s">
        <v>11095</v>
      </c>
      <c r="P1324" s="1018" t="s">
        <v>15681</v>
      </c>
      <c r="Q1324" s="1652" t="s">
        <v>12069</v>
      </c>
      <c r="R1324" s="1018" t="s">
        <v>13084</v>
      </c>
      <c r="S1324" s="1651"/>
      <c r="T1324" s="1018" t="s">
        <v>10430</v>
      </c>
      <c r="U1324" s="1651" t="s">
        <v>9502</v>
      </c>
      <c r="V1324" s="1018" t="s">
        <v>9435</v>
      </c>
      <c r="W1324" s="912" t="s">
        <v>4930</v>
      </c>
      <c r="X1324" s="1404"/>
      <c r="Y1324" s="1489"/>
      <c r="Z1324" s="1489"/>
      <c r="AA1324" s="1489"/>
      <c r="AB1324" s="1489"/>
      <c r="AC1324" s="1489"/>
      <c r="AD1324" s="1404"/>
      <c r="AE1324" s="1404"/>
      <c r="AH1324" s="185"/>
      <c r="AI1324" s="185"/>
      <c r="AJ1324" s="41"/>
      <c r="AK1324" s="41"/>
      <c r="AL1324" s="41"/>
      <c r="AM1324" s="41"/>
      <c r="AN1324" s="41"/>
      <c r="AO1324" s="41"/>
      <c r="AP1324" s="41"/>
      <c r="AQ1324" s="41"/>
    </row>
    <row r="1325" spans="1:43" ht="12.75" customHeight="1" x14ac:dyDescent="0.25">
      <c r="A1325" s="1370" t="s">
        <v>4580</v>
      </c>
      <c r="B1325" s="1370" t="s">
        <v>4581</v>
      </c>
      <c r="C1325">
        <f t="shared" ref="C1325:C1352" si="318">SUM(G1325:W1325)</f>
        <v>1</v>
      </c>
      <c r="F1325" s="1141">
        <f t="shared" ref="F1325:F1352" si="319">COUNT(G1325:V1325)+COUNT(X1325:AE1325)</f>
        <v>1</v>
      </c>
      <c r="G1325" s="405">
        <v>1</v>
      </c>
      <c r="H1325" s="1249"/>
      <c r="I1325" s="23"/>
      <c r="J1325" s="23"/>
      <c r="K1325" s="455"/>
      <c r="L1325" s="455"/>
      <c r="M1325" s="23"/>
      <c r="N1325" s="23"/>
      <c r="O1325" s="344"/>
      <c r="P1325" s="344"/>
      <c r="Q1325" s="344"/>
      <c r="R1325" s="344"/>
      <c r="S1325" s="344"/>
      <c r="T1325" s="895"/>
      <c r="U1325" s="895"/>
      <c r="V1325" s="1437"/>
      <c r="W1325" s="23"/>
      <c r="X1325" s="1404"/>
      <c r="Y1325" s="1489"/>
      <c r="Z1325" s="1489"/>
      <c r="AA1325" s="1489"/>
      <c r="AB1325" s="1489"/>
      <c r="AC1325" s="1489"/>
      <c r="AD1325" s="1404"/>
      <c r="AE1325" s="1404"/>
      <c r="AH1325" s="185"/>
      <c r="AI1325" s="185"/>
      <c r="AJ1325" s="41"/>
      <c r="AK1325" s="41"/>
      <c r="AL1325" s="41"/>
      <c r="AM1325" s="41"/>
      <c r="AN1325" s="41"/>
      <c r="AO1325" s="41"/>
      <c r="AP1325" s="41"/>
      <c r="AQ1325" s="41"/>
    </row>
    <row r="1326" spans="1:43" ht="12.75" customHeight="1" x14ac:dyDescent="0.25">
      <c r="A1326" s="1371" t="s">
        <v>3251</v>
      </c>
      <c r="B1326" s="1371" t="s">
        <v>3252</v>
      </c>
      <c r="C1326">
        <f t="shared" si="318"/>
        <v>2</v>
      </c>
      <c r="F1326" s="1141">
        <f t="shared" si="319"/>
        <v>2</v>
      </c>
      <c r="G1326" s="405">
        <v>1</v>
      </c>
      <c r="H1326" s="198"/>
      <c r="I1326" s="23"/>
      <c r="J1326" s="23"/>
      <c r="K1326" s="23"/>
      <c r="L1326" s="23"/>
      <c r="M1326" s="23"/>
      <c r="N1326" s="23"/>
      <c r="O1326" s="344"/>
      <c r="P1326" s="344"/>
      <c r="Q1326" s="344"/>
      <c r="R1326" s="344"/>
      <c r="S1326" s="344"/>
      <c r="T1326" s="344"/>
      <c r="U1326" s="344">
        <v>1</v>
      </c>
      <c r="V1326" s="1438"/>
      <c r="W1326" s="610"/>
      <c r="X1326" s="1404"/>
      <c r="Y1326" s="1404"/>
      <c r="Z1326" s="1404"/>
      <c r="AA1326" s="1404"/>
      <c r="AB1326" s="1404"/>
      <c r="AC1326" s="1404"/>
      <c r="AD1326" s="1404"/>
      <c r="AE1326" s="1404"/>
      <c r="AH1326" s="185"/>
      <c r="AI1326" s="185"/>
      <c r="AJ1326" s="41"/>
      <c r="AK1326" s="41"/>
      <c r="AL1326" s="41"/>
      <c r="AM1326" s="41"/>
      <c r="AN1326" s="41"/>
      <c r="AO1326" s="41"/>
      <c r="AP1326" s="41"/>
      <c r="AQ1326" s="41"/>
    </row>
    <row r="1327" spans="1:43" ht="12.75" customHeight="1" x14ac:dyDescent="0.25">
      <c r="A1327" s="1410" t="s">
        <v>4264</v>
      </c>
      <c r="B1327" s="1410" t="s">
        <v>5239</v>
      </c>
      <c r="C1327">
        <f t="shared" si="318"/>
        <v>2</v>
      </c>
      <c r="F1327" s="1141">
        <f t="shared" si="319"/>
        <v>2</v>
      </c>
      <c r="G1327" s="405">
        <v>1</v>
      </c>
      <c r="H1327" s="198"/>
      <c r="I1327" s="23"/>
      <c r="J1327" s="23"/>
      <c r="K1327" s="23"/>
      <c r="L1327" s="23"/>
      <c r="M1327" s="23"/>
      <c r="N1327" s="23">
        <v>1</v>
      </c>
      <c r="O1327" s="344"/>
      <c r="P1327" s="344"/>
      <c r="Q1327" s="344"/>
      <c r="R1327" s="344"/>
      <c r="S1327" s="344"/>
      <c r="T1327" s="344"/>
      <c r="U1327" s="344"/>
      <c r="V1327" s="1438"/>
      <c r="W1327" s="610"/>
      <c r="X1327" s="1404"/>
      <c r="Y1327" s="1404"/>
      <c r="Z1327" s="1404"/>
      <c r="AA1327" s="1404"/>
      <c r="AB1327" s="1404"/>
      <c r="AC1327" s="1404"/>
      <c r="AD1327" s="1404"/>
      <c r="AE1327" s="1404"/>
      <c r="AH1327" s="185"/>
      <c r="AI1327" s="185"/>
      <c r="AJ1327" s="41"/>
      <c r="AK1327" s="41"/>
      <c r="AL1327" s="41"/>
      <c r="AM1327" s="41"/>
      <c r="AN1327" s="41"/>
      <c r="AO1327" s="41"/>
      <c r="AP1327" s="41"/>
      <c r="AQ1327" s="41"/>
    </row>
    <row r="1328" spans="1:43" ht="12.75" customHeight="1" x14ac:dyDescent="0.25">
      <c r="A1328" s="1375" t="s">
        <v>7919</v>
      </c>
      <c r="B1328" s="1375" t="s">
        <v>4270</v>
      </c>
      <c r="C1328">
        <f t="shared" si="318"/>
        <v>1</v>
      </c>
      <c r="F1328" s="1141">
        <f t="shared" si="319"/>
        <v>1</v>
      </c>
      <c r="G1328" s="405"/>
      <c r="H1328" s="198"/>
      <c r="I1328" s="23"/>
      <c r="J1328" s="23"/>
      <c r="K1328" s="23"/>
      <c r="L1328" s="23"/>
      <c r="M1328" s="23"/>
      <c r="N1328" s="23"/>
      <c r="O1328" s="344"/>
      <c r="P1328" s="344"/>
      <c r="Q1328" s="344"/>
      <c r="R1328" s="344"/>
      <c r="S1328" s="344"/>
      <c r="T1328" s="344"/>
      <c r="U1328" s="1438">
        <v>1</v>
      </c>
      <c r="V1328" s="1438"/>
      <c r="W1328" s="610"/>
      <c r="X1328" s="1404"/>
      <c r="Y1328" s="1404"/>
      <c r="Z1328" s="1404"/>
      <c r="AA1328" s="1404"/>
      <c r="AB1328" s="1404"/>
      <c r="AC1328" s="1404"/>
      <c r="AD1328" s="1404"/>
      <c r="AE1328" s="1404"/>
      <c r="AH1328" s="185"/>
      <c r="AI1328" s="185"/>
      <c r="AJ1328" s="41"/>
      <c r="AK1328" s="41"/>
      <c r="AL1328" s="41"/>
      <c r="AM1328" s="41"/>
      <c r="AN1328" s="41"/>
      <c r="AO1328" s="41"/>
      <c r="AP1328" s="41"/>
      <c r="AQ1328" s="41"/>
    </row>
    <row r="1329" spans="1:43" ht="12.75" customHeight="1" x14ac:dyDescent="0.25">
      <c r="A1329" s="1410" t="s">
        <v>726</v>
      </c>
      <c r="B1329" s="1410" t="s">
        <v>1295</v>
      </c>
      <c r="C1329">
        <f t="shared" si="318"/>
        <v>3</v>
      </c>
      <c r="F1329" s="1141">
        <f t="shared" si="319"/>
        <v>1</v>
      </c>
      <c r="G1329" s="405">
        <v>3</v>
      </c>
      <c r="H1329" s="198"/>
      <c r="I1329" s="23"/>
      <c r="J1329" s="23"/>
      <c r="K1329" s="23"/>
      <c r="L1329" s="23"/>
      <c r="M1329" s="23"/>
      <c r="N1329" s="23"/>
      <c r="O1329" s="344"/>
      <c r="P1329" s="344"/>
      <c r="Q1329" s="344"/>
      <c r="R1329" s="344"/>
      <c r="S1329" s="344"/>
      <c r="T1329" s="344"/>
      <c r="U1329" s="344"/>
      <c r="V1329" s="1438"/>
      <c r="W1329" s="610"/>
      <c r="X1329" s="1404"/>
      <c r="Y1329" s="1404"/>
      <c r="Z1329" s="1404"/>
      <c r="AA1329" s="1404"/>
      <c r="AB1329" s="1404"/>
      <c r="AC1329" s="1404"/>
      <c r="AD1329" s="1404"/>
      <c r="AE1329" s="1404"/>
      <c r="AH1329" s="185"/>
      <c r="AI1329" s="185"/>
      <c r="AJ1329" s="41"/>
      <c r="AK1329" s="41"/>
      <c r="AL1329" s="41"/>
      <c r="AM1329" s="41"/>
      <c r="AN1329" s="41"/>
      <c r="AO1329" s="41"/>
      <c r="AP1329" s="41"/>
      <c r="AQ1329" s="41"/>
    </row>
    <row r="1330" spans="1:43" ht="12.75" customHeight="1" x14ac:dyDescent="0.25">
      <c r="A1330" s="1410" t="s">
        <v>3508</v>
      </c>
      <c r="B1330" s="1410" t="s">
        <v>1295</v>
      </c>
      <c r="C1330">
        <f t="shared" si="318"/>
        <v>3</v>
      </c>
      <c r="F1330" s="1141">
        <f t="shared" si="319"/>
        <v>1</v>
      </c>
      <c r="G1330" s="405">
        <v>3</v>
      </c>
      <c r="H1330" s="198"/>
      <c r="I1330" s="23"/>
      <c r="J1330" s="23"/>
      <c r="K1330" s="23"/>
      <c r="L1330" s="23"/>
      <c r="M1330" s="23"/>
      <c r="N1330" s="23"/>
      <c r="O1330" s="344"/>
      <c r="P1330" s="344"/>
      <c r="Q1330" s="344"/>
      <c r="R1330" s="344"/>
      <c r="S1330" s="344"/>
      <c r="T1330" s="344"/>
      <c r="U1330" s="344"/>
      <c r="V1330" s="1438"/>
      <c r="W1330" s="610"/>
      <c r="X1330" s="1404"/>
      <c r="Y1330" s="1404"/>
      <c r="Z1330" s="1404"/>
      <c r="AA1330" s="1404"/>
      <c r="AB1330" s="1404"/>
      <c r="AC1330" s="1404"/>
      <c r="AD1330" s="1404"/>
      <c r="AE1330" s="1404"/>
      <c r="AH1330" s="185"/>
      <c r="AI1330" s="185"/>
      <c r="AJ1330" s="41"/>
      <c r="AK1330" s="41"/>
      <c r="AL1330" s="41"/>
      <c r="AM1330" s="41"/>
      <c r="AN1330" s="41"/>
      <c r="AO1330" s="41"/>
      <c r="AP1330" s="41"/>
      <c r="AQ1330" s="41"/>
    </row>
    <row r="1331" spans="1:43" ht="12.75" customHeight="1" x14ac:dyDescent="0.25">
      <c r="A1331" s="1375" t="s">
        <v>11800</v>
      </c>
      <c r="B1331" s="1375" t="s">
        <v>11801</v>
      </c>
      <c r="C1331">
        <f t="shared" si="318"/>
        <v>1</v>
      </c>
      <c r="F1331" s="1141">
        <f t="shared" si="319"/>
        <v>1</v>
      </c>
      <c r="G1331" s="405">
        <v>1</v>
      </c>
      <c r="H1331" s="198"/>
      <c r="I1331" s="23"/>
      <c r="J1331" s="23"/>
      <c r="K1331" s="23"/>
      <c r="L1331" s="23"/>
      <c r="M1331" s="23"/>
      <c r="N1331" s="23"/>
      <c r="O1331" s="344"/>
      <c r="P1331" s="344"/>
      <c r="Q1331" s="344"/>
      <c r="R1331" s="344"/>
      <c r="S1331" s="344"/>
      <c r="T1331" s="344"/>
      <c r="U1331" s="344"/>
      <c r="V1331" s="1438"/>
      <c r="W1331" s="610"/>
      <c r="X1331" s="1404"/>
      <c r="Y1331" s="1404"/>
      <c r="Z1331" s="1404"/>
      <c r="AA1331" s="1404"/>
      <c r="AB1331" s="1404"/>
      <c r="AC1331" s="1404"/>
      <c r="AD1331" s="1404"/>
      <c r="AE1331" s="1404"/>
      <c r="AH1331" s="185"/>
      <c r="AI1331" s="185"/>
      <c r="AJ1331" s="41"/>
      <c r="AK1331" s="41"/>
      <c r="AL1331" s="41"/>
      <c r="AM1331" s="41"/>
      <c r="AN1331" s="41"/>
      <c r="AO1331" s="41"/>
      <c r="AP1331" s="41"/>
      <c r="AQ1331" s="41"/>
    </row>
    <row r="1332" spans="1:43" ht="12.75" customHeight="1" x14ac:dyDescent="0.25">
      <c r="A1332" s="1370" t="s">
        <v>3508</v>
      </c>
      <c r="B1332" s="1370" t="s">
        <v>3632</v>
      </c>
      <c r="C1332">
        <f t="shared" si="318"/>
        <v>0</v>
      </c>
      <c r="F1332" s="1141">
        <f t="shared" si="319"/>
        <v>0</v>
      </c>
      <c r="G1332" s="405"/>
      <c r="H1332" s="198"/>
      <c r="I1332" s="23"/>
      <c r="J1332" s="23"/>
      <c r="K1332" s="23"/>
      <c r="L1332" s="23"/>
      <c r="M1332" s="23"/>
      <c r="N1332" s="23"/>
      <c r="O1332" s="344"/>
      <c r="P1332" s="344"/>
      <c r="Q1332" s="344"/>
      <c r="R1332" s="344"/>
      <c r="S1332" s="344"/>
      <c r="T1332" s="344"/>
      <c r="U1332" s="344"/>
      <c r="V1332" s="1438"/>
      <c r="W1332" s="610"/>
      <c r="X1332" s="1404"/>
      <c r="Y1332" s="1404"/>
      <c r="Z1332" s="1404"/>
      <c r="AA1332" s="1404"/>
      <c r="AB1332" s="1404"/>
      <c r="AC1332" s="1404"/>
      <c r="AD1332" s="1404"/>
      <c r="AE1332" s="1404"/>
      <c r="AH1332" s="185"/>
      <c r="AI1332" s="185"/>
      <c r="AJ1332" s="41"/>
      <c r="AK1332" s="41"/>
      <c r="AL1332" s="41"/>
      <c r="AM1332" s="41"/>
      <c r="AN1332" s="41"/>
      <c r="AO1332" s="41"/>
      <c r="AP1332" s="41"/>
      <c r="AQ1332" s="41"/>
    </row>
    <row r="1333" spans="1:43" ht="12.75" customHeight="1" x14ac:dyDescent="0.25">
      <c r="A1333" s="1410" t="s">
        <v>922</v>
      </c>
      <c r="B1333" s="1410" t="s">
        <v>1530</v>
      </c>
      <c r="C1333">
        <f t="shared" si="318"/>
        <v>18</v>
      </c>
      <c r="E1333" s="1440">
        <f>W1333</f>
        <v>1</v>
      </c>
      <c r="F1333" s="1141">
        <f t="shared" si="319"/>
        <v>10</v>
      </c>
      <c r="G1333" s="405">
        <v>1</v>
      </c>
      <c r="H1333" s="198"/>
      <c r="I1333" s="1377">
        <v>1</v>
      </c>
      <c r="J1333" s="23">
        <v>1</v>
      </c>
      <c r="K1333" s="23">
        <v>1</v>
      </c>
      <c r="L1333" s="1377">
        <v>1</v>
      </c>
      <c r="M1333" s="1377">
        <v>2</v>
      </c>
      <c r="N1333" s="1377">
        <v>7</v>
      </c>
      <c r="O1333" s="1438">
        <v>1</v>
      </c>
      <c r="P1333" s="1438">
        <v>1</v>
      </c>
      <c r="Q1333" s="1438"/>
      <c r="R1333" s="1438">
        <v>1</v>
      </c>
      <c r="S1333" s="1438"/>
      <c r="T1333" s="344"/>
      <c r="U1333" s="344"/>
      <c r="V1333" s="1438"/>
      <c r="W1333" s="23">
        <v>1</v>
      </c>
      <c r="X1333" s="1404"/>
      <c r="Y1333" s="1404"/>
      <c r="Z1333" s="1404"/>
      <c r="AA1333" s="1404"/>
      <c r="AB1333" s="1404"/>
      <c r="AC1333" s="1404"/>
      <c r="AD1333" s="1404"/>
      <c r="AE1333" s="1404"/>
      <c r="AH1333" s="185"/>
      <c r="AI1333" s="185"/>
      <c r="AJ1333" s="41"/>
      <c r="AK1333" s="41"/>
      <c r="AL1333" s="41"/>
      <c r="AM1333" s="41"/>
      <c r="AN1333" s="41"/>
      <c r="AO1333" s="41"/>
      <c r="AP1333" s="41"/>
      <c r="AQ1333" s="41"/>
    </row>
    <row r="1334" spans="1:43" ht="12.75" customHeight="1" x14ac:dyDescent="0.25">
      <c r="A1334" s="1370" t="s">
        <v>1796</v>
      </c>
      <c r="B1334" s="1370" t="s">
        <v>1797</v>
      </c>
      <c r="C1334">
        <f t="shared" si="318"/>
        <v>0</v>
      </c>
      <c r="E1334" s="1440"/>
      <c r="F1334" s="1141">
        <f t="shared" si="319"/>
        <v>0</v>
      </c>
      <c r="G1334" s="405"/>
      <c r="H1334" s="198"/>
      <c r="I1334" s="23"/>
      <c r="J1334" s="23"/>
      <c r="K1334" s="23"/>
      <c r="L1334" s="23"/>
      <c r="M1334" s="23"/>
      <c r="N1334" s="23"/>
      <c r="O1334" s="344"/>
      <c r="P1334" s="344"/>
      <c r="Q1334" s="344"/>
      <c r="R1334" s="344"/>
      <c r="S1334" s="344"/>
      <c r="T1334" s="344"/>
      <c r="U1334" s="344"/>
      <c r="V1334" s="1438"/>
      <c r="W1334" s="610"/>
      <c r="X1334" s="1404"/>
      <c r="Y1334" s="1404"/>
      <c r="Z1334" s="1404"/>
      <c r="AA1334" s="1404"/>
      <c r="AB1334" s="1404"/>
      <c r="AC1334" s="1404"/>
      <c r="AD1334" s="1404"/>
      <c r="AE1334" s="1404"/>
      <c r="AH1334" s="185"/>
      <c r="AI1334" s="185"/>
      <c r="AJ1334" s="41"/>
      <c r="AK1334" s="41"/>
      <c r="AL1334" s="41"/>
      <c r="AM1334" s="41"/>
      <c r="AN1334" s="41"/>
      <c r="AO1334" s="41"/>
      <c r="AP1334" s="41"/>
      <c r="AQ1334" s="41"/>
    </row>
    <row r="1335" spans="1:43" ht="12.75" customHeight="1" x14ac:dyDescent="0.25">
      <c r="A1335" s="1370" t="s">
        <v>10935</v>
      </c>
      <c r="B1335" s="1370" t="s">
        <v>10911</v>
      </c>
      <c r="C1335">
        <f t="shared" si="318"/>
        <v>1</v>
      </c>
      <c r="E1335" s="1440"/>
      <c r="F1335" s="1141">
        <f t="shared" si="319"/>
        <v>1</v>
      </c>
      <c r="G1335" s="405"/>
      <c r="H1335" s="198"/>
      <c r="I1335" s="23"/>
      <c r="J1335" s="23"/>
      <c r="K1335" s="23"/>
      <c r="L1335" s="23"/>
      <c r="M1335" s="23"/>
      <c r="N1335" s="23">
        <v>1</v>
      </c>
      <c r="O1335" s="344"/>
      <c r="P1335" s="344"/>
      <c r="Q1335" s="344"/>
      <c r="R1335" s="344"/>
      <c r="S1335" s="344"/>
      <c r="T1335" s="344"/>
      <c r="U1335" s="344"/>
      <c r="V1335" s="1438"/>
      <c r="W1335" s="610"/>
      <c r="X1335" s="1404"/>
      <c r="Y1335" s="1404"/>
      <c r="Z1335" s="1404"/>
      <c r="AA1335" s="1404"/>
      <c r="AB1335" s="1404"/>
      <c r="AC1335" s="1404"/>
      <c r="AD1335" s="1404"/>
      <c r="AE1335" s="1404"/>
      <c r="AH1335" s="185"/>
      <c r="AI1335" s="185"/>
      <c r="AJ1335" s="41"/>
      <c r="AK1335" s="41"/>
      <c r="AL1335" s="41"/>
      <c r="AM1335" s="41"/>
      <c r="AN1335" s="41"/>
      <c r="AO1335" s="41"/>
      <c r="AP1335" s="41"/>
      <c r="AQ1335" s="41"/>
    </row>
    <row r="1336" spans="1:43" ht="12.75" customHeight="1" x14ac:dyDescent="0.25">
      <c r="A1336" s="1410" t="s">
        <v>5980</v>
      </c>
      <c r="B1336" s="1410" t="s">
        <v>4818</v>
      </c>
      <c r="C1336">
        <f t="shared" si="318"/>
        <v>1</v>
      </c>
      <c r="E1336" s="1440"/>
      <c r="F1336" s="1141">
        <f t="shared" si="319"/>
        <v>1</v>
      </c>
      <c r="G1336" s="405">
        <v>1</v>
      </c>
      <c r="H1336" s="198"/>
      <c r="I1336" s="23"/>
      <c r="J1336" s="23"/>
      <c r="K1336" s="23"/>
      <c r="L1336" s="23"/>
      <c r="M1336" s="23"/>
      <c r="N1336" s="23"/>
      <c r="O1336" s="344"/>
      <c r="P1336" s="344"/>
      <c r="Q1336" s="344"/>
      <c r="R1336" s="344"/>
      <c r="S1336" s="344"/>
      <c r="T1336" s="344"/>
      <c r="U1336" s="344"/>
      <c r="V1336" s="1438"/>
      <c r="W1336" s="357"/>
      <c r="X1336" s="1404"/>
      <c r="Y1336" s="1404"/>
      <c r="Z1336" s="1404"/>
      <c r="AA1336" s="1404"/>
      <c r="AB1336" s="1404"/>
      <c r="AC1336" s="1404"/>
      <c r="AD1336" s="1404"/>
      <c r="AE1336" s="1404"/>
      <c r="AH1336" s="185"/>
      <c r="AI1336" s="185"/>
      <c r="AJ1336" s="41"/>
      <c r="AK1336" s="41"/>
      <c r="AL1336" s="41"/>
      <c r="AM1336" s="41"/>
      <c r="AN1336" s="41"/>
      <c r="AO1336" s="41"/>
      <c r="AP1336" s="41"/>
      <c r="AQ1336" s="41"/>
    </row>
    <row r="1337" spans="1:43" ht="12.75" customHeight="1" x14ac:dyDescent="0.25">
      <c r="A1337" s="1370" t="s">
        <v>665</v>
      </c>
      <c r="B1337" s="1370" t="s">
        <v>666</v>
      </c>
      <c r="C1337">
        <f t="shared" si="318"/>
        <v>6</v>
      </c>
      <c r="E1337" s="1440"/>
      <c r="F1337" s="1141">
        <f t="shared" si="319"/>
        <v>6</v>
      </c>
      <c r="G1337" s="405">
        <v>1</v>
      </c>
      <c r="H1337" s="198">
        <v>1</v>
      </c>
      <c r="I1337" s="23">
        <v>1</v>
      </c>
      <c r="J1337" s="23"/>
      <c r="K1337" s="23"/>
      <c r="L1337" s="23"/>
      <c r="M1337" s="23">
        <v>1</v>
      </c>
      <c r="N1337" s="23"/>
      <c r="O1337" s="344"/>
      <c r="P1337" s="344"/>
      <c r="Q1337" s="344"/>
      <c r="R1337" s="344"/>
      <c r="S1337" s="344"/>
      <c r="T1337" s="344">
        <v>1</v>
      </c>
      <c r="U1337" s="344"/>
      <c r="V1337" s="1438">
        <v>1</v>
      </c>
      <c r="W1337" s="357"/>
      <c r="X1337" s="1404"/>
      <c r="Y1337" s="1404"/>
      <c r="Z1337" s="1404"/>
      <c r="AA1337" s="1404"/>
      <c r="AB1337" s="1404"/>
      <c r="AC1337" s="1404"/>
      <c r="AD1337" s="1404"/>
      <c r="AE1337" s="1404"/>
      <c r="AH1337" s="185"/>
      <c r="AI1337" s="185"/>
      <c r="AJ1337" s="41"/>
      <c r="AK1337" s="41"/>
      <c r="AL1337" s="41"/>
      <c r="AM1337" s="41"/>
      <c r="AN1337" s="41"/>
      <c r="AO1337" s="41"/>
      <c r="AP1337" s="41"/>
      <c r="AQ1337" s="41"/>
    </row>
    <row r="1338" spans="1:43" ht="12.75" customHeight="1" x14ac:dyDescent="0.25">
      <c r="A1338" s="1410" t="s">
        <v>5649</v>
      </c>
      <c r="B1338" s="1410" t="s">
        <v>1047</v>
      </c>
      <c r="C1338">
        <f t="shared" si="318"/>
        <v>2</v>
      </c>
      <c r="E1338" s="1440"/>
      <c r="F1338" s="1141">
        <f t="shared" si="319"/>
        <v>1</v>
      </c>
      <c r="G1338" s="405"/>
      <c r="H1338" s="198"/>
      <c r="I1338" s="23"/>
      <c r="J1338" s="23"/>
      <c r="K1338" s="23"/>
      <c r="L1338" s="23"/>
      <c r="M1338" s="23"/>
      <c r="N1338" s="23">
        <v>2</v>
      </c>
      <c r="O1338" s="344"/>
      <c r="P1338" s="344"/>
      <c r="Q1338" s="344"/>
      <c r="R1338" s="344"/>
      <c r="S1338" s="344"/>
      <c r="T1338" s="344"/>
      <c r="U1338" s="344"/>
      <c r="V1338" s="1438"/>
      <c r="W1338" s="357"/>
      <c r="X1338" s="1404"/>
      <c r="Y1338" s="1404"/>
      <c r="Z1338" s="1404"/>
      <c r="AA1338" s="1404"/>
      <c r="AB1338" s="1404"/>
      <c r="AC1338" s="1404"/>
      <c r="AD1338" s="1404"/>
      <c r="AE1338" s="1404"/>
      <c r="AI1338" s="185"/>
      <c r="AJ1338" s="41"/>
      <c r="AK1338" s="41"/>
      <c r="AL1338" s="41"/>
      <c r="AM1338" s="41"/>
      <c r="AN1338" s="41"/>
      <c r="AO1338" s="41"/>
      <c r="AP1338" s="41"/>
      <c r="AQ1338" s="41"/>
    </row>
    <row r="1339" spans="1:43" ht="12.75" customHeight="1" x14ac:dyDescent="0.25">
      <c r="A1339" s="1375" t="s">
        <v>2137</v>
      </c>
      <c r="B1339" s="1375" t="s">
        <v>4943</v>
      </c>
      <c r="C1339">
        <f t="shared" si="318"/>
        <v>2</v>
      </c>
      <c r="E1339" s="1440"/>
      <c r="F1339" s="1141">
        <f t="shared" si="319"/>
        <v>1</v>
      </c>
      <c r="G1339" s="405"/>
      <c r="H1339" s="198"/>
      <c r="I1339" s="23"/>
      <c r="J1339" s="23"/>
      <c r="K1339" s="23"/>
      <c r="L1339" s="23"/>
      <c r="M1339" s="23"/>
      <c r="N1339" s="23"/>
      <c r="O1339" s="344"/>
      <c r="P1339" s="344"/>
      <c r="Q1339" s="344"/>
      <c r="R1339" s="344"/>
      <c r="S1339" s="344"/>
      <c r="T1339" s="344"/>
      <c r="U1339" s="344"/>
      <c r="V1339" s="1438">
        <v>2</v>
      </c>
      <c r="W1339" s="357"/>
      <c r="X1339" s="1404"/>
      <c r="Y1339" s="1404"/>
      <c r="Z1339" s="1404"/>
      <c r="AA1339" s="1404"/>
      <c r="AB1339" s="1404"/>
      <c r="AC1339" s="1404"/>
      <c r="AD1339" s="1404"/>
      <c r="AE1339" s="1404"/>
      <c r="AI1339" s="185"/>
      <c r="AJ1339" s="41"/>
      <c r="AK1339" s="41"/>
      <c r="AL1339" s="41"/>
      <c r="AM1339" s="41"/>
      <c r="AN1339" s="41"/>
      <c r="AO1339" s="41"/>
      <c r="AP1339" s="41"/>
      <c r="AQ1339" s="41"/>
    </row>
    <row r="1340" spans="1:43" ht="12.75" customHeight="1" x14ac:dyDescent="0.25">
      <c r="A1340" s="1375" t="s">
        <v>5540</v>
      </c>
      <c r="B1340" s="1375" t="s">
        <v>7672</v>
      </c>
      <c r="C1340">
        <f t="shared" si="318"/>
        <v>1</v>
      </c>
      <c r="E1340" s="1440"/>
      <c r="F1340" s="1141">
        <f t="shared" si="319"/>
        <v>1</v>
      </c>
      <c r="G1340" s="405"/>
      <c r="H1340" s="198"/>
      <c r="I1340" s="23"/>
      <c r="J1340" s="23"/>
      <c r="K1340" s="23"/>
      <c r="L1340" s="23"/>
      <c r="M1340" s="23"/>
      <c r="N1340" s="23"/>
      <c r="O1340" s="344"/>
      <c r="P1340" s="344">
        <v>1</v>
      </c>
      <c r="Q1340" s="344"/>
      <c r="R1340" s="344"/>
      <c r="S1340" s="344"/>
      <c r="T1340" s="344"/>
      <c r="U1340" s="344"/>
      <c r="V1340" s="1438"/>
      <c r="W1340" s="357"/>
      <c r="X1340" s="1404"/>
      <c r="Y1340" s="1404"/>
      <c r="Z1340" s="1404"/>
      <c r="AA1340" s="1404"/>
      <c r="AB1340" s="1404"/>
      <c r="AC1340" s="1404"/>
      <c r="AD1340" s="1547"/>
      <c r="AE1340" s="1404"/>
      <c r="AI1340" s="185"/>
      <c r="AJ1340" s="41"/>
      <c r="AK1340" s="41"/>
      <c r="AL1340" s="41"/>
      <c r="AM1340" s="41"/>
      <c r="AN1340" s="41"/>
      <c r="AO1340" s="41"/>
      <c r="AP1340" s="41"/>
      <c r="AQ1340" s="41"/>
    </row>
    <row r="1341" spans="1:43" ht="12.75" customHeight="1" x14ac:dyDescent="0.25">
      <c r="A1341" s="1370" t="s">
        <v>2478</v>
      </c>
      <c r="B1341" s="1370" t="s">
        <v>2479</v>
      </c>
      <c r="C1341">
        <f t="shared" si="318"/>
        <v>1</v>
      </c>
      <c r="E1341" s="1440"/>
      <c r="F1341" s="1141">
        <f t="shared" si="319"/>
        <v>1</v>
      </c>
      <c r="G1341" s="405"/>
      <c r="H1341" s="198"/>
      <c r="I1341" s="23"/>
      <c r="J1341" s="23"/>
      <c r="K1341" s="23">
        <v>1</v>
      </c>
      <c r="L1341" s="23"/>
      <c r="M1341" s="23"/>
      <c r="N1341" s="23"/>
      <c r="O1341" s="344"/>
      <c r="P1341" s="344"/>
      <c r="Q1341" s="344"/>
      <c r="R1341" s="344"/>
      <c r="S1341" s="344"/>
      <c r="T1341" s="344"/>
      <c r="U1341" s="344"/>
      <c r="V1341" s="1438"/>
      <c r="W1341" s="357"/>
      <c r="X1341" s="1404"/>
      <c r="Y1341" s="1404"/>
      <c r="Z1341" s="1404"/>
      <c r="AA1341" s="1404"/>
      <c r="AB1341" s="1404"/>
      <c r="AC1341" s="1404"/>
      <c r="AD1341" s="1404"/>
      <c r="AE1341" s="1404"/>
      <c r="AI1341" s="185"/>
      <c r="AJ1341" s="41"/>
      <c r="AK1341" s="41"/>
      <c r="AL1341" s="41"/>
      <c r="AM1341" s="41"/>
      <c r="AN1341" s="41"/>
      <c r="AO1341" s="41"/>
      <c r="AP1341" s="41"/>
      <c r="AQ1341" s="41"/>
    </row>
    <row r="1342" spans="1:43" ht="12.75" customHeight="1" x14ac:dyDescent="0.25">
      <c r="A1342" s="1375" t="s">
        <v>4561</v>
      </c>
      <c r="B1342" s="1375" t="s">
        <v>4562</v>
      </c>
      <c r="C1342">
        <f t="shared" si="318"/>
        <v>0</v>
      </c>
      <c r="E1342" s="1440"/>
      <c r="F1342" s="1141">
        <f t="shared" si="319"/>
        <v>0</v>
      </c>
      <c r="G1342" s="405"/>
      <c r="H1342" s="198"/>
      <c r="I1342" s="23"/>
      <c r="J1342" s="23"/>
      <c r="K1342" s="23"/>
      <c r="L1342" s="23"/>
      <c r="M1342" s="23"/>
      <c r="N1342" s="23"/>
      <c r="O1342" s="344"/>
      <c r="P1342" s="344"/>
      <c r="Q1342" s="1438"/>
      <c r="R1342" s="344"/>
      <c r="S1342" s="1438"/>
      <c r="T1342" s="344"/>
      <c r="U1342" s="344"/>
      <c r="V1342" s="1438"/>
      <c r="W1342" s="357"/>
      <c r="X1342" s="1404"/>
      <c r="Y1342" s="1404"/>
      <c r="Z1342" s="1404"/>
      <c r="AA1342" s="1404"/>
      <c r="AB1342" s="1404"/>
      <c r="AC1342" s="1404"/>
      <c r="AD1342" s="1404"/>
      <c r="AE1342" s="1404"/>
      <c r="AI1342" s="185"/>
      <c r="AJ1342" s="41"/>
      <c r="AK1342" s="41"/>
      <c r="AL1342" s="41"/>
      <c r="AM1342" s="41"/>
      <c r="AN1342" s="41"/>
      <c r="AO1342" s="41"/>
      <c r="AP1342" s="41"/>
      <c r="AQ1342" s="41"/>
    </row>
    <row r="1343" spans="1:43" ht="12.75" customHeight="1" x14ac:dyDescent="0.25">
      <c r="A1343" s="1375" t="s">
        <v>16990</v>
      </c>
      <c r="B1343" s="1375" t="s">
        <v>16991</v>
      </c>
      <c r="C1343">
        <f t="shared" si="318"/>
        <v>1</v>
      </c>
      <c r="E1343" s="1440"/>
      <c r="F1343" s="1141">
        <f t="shared" si="319"/>
        <v>1</v>
      </c>
      <c r="G1343" s="1979"/>
      <c r="H1343" s="1980"/>
      <c r="I1343" s="663"/>
      <c r="J1343" s="663"/>
      <c r="K1343" s="663"/>
      <c r="L1343" s="663"/>
      <c r="M1343" s="663"/>
      <c r="N1343" s="663">
        <v>1</v>
      </c>
      <c r="O1343" s="1981"/>
      <c r="P1343" s="1981"/>
      <c r="Q1343" s="1981"/>
      <c r="R1343" s="1981"/>
      <c r="S1343" s="1981"/>
      <c r="T1343" s="1981"/>
      <c r="U1343" s="344"/>
      <c r="V1343" s="1438"/>
      <c r="W1343" s="357"/>
      <c r="X1343" s="1404"/>
      <c r="Y1343" s="1404"/>
      <c r="Z1343" s="1404"/>
      <c r="AA1343" s="1404"/>
      <c r="AB1343" s="1404"/>
      <c r="AC1343" s="1404"/>
      <c r="AD1343" s="1404"/>
      <c r="AE1343" s="1404"/>
      <c r="AI1343" s="185"/>
      <c r="AJ1343" s="41"/>
      <c r="AK1343" s="41"/>
      <c r="AL1343" s="41"/>
      <c r="AM1343" s="41"/>
      <c r="AN1343" s="41"/>
      <c r="AO1343" s="41"/>
      <c r="AP1343" s="41"/>
      <c r="AQ1343" s="41"/>
    </row>
    <row r="1344" spans="1:43" ht="12.75" customHeight="1" x14ac:dyDescent="0.25">
      <c r="A1344" s="1370" t="s">
        <v>870</v>
      </c>
      <c r="B1344" s="1370" t="s">
        <v>871</v>
      </c>
      <c r="C1344">
        <f t="shared" si="318"/>
        <v>1</v>
      </c>
      <c r="F1344" s="1141">
        <f t="shared" si="319"/>
        <v>1</v>
      </c>
      <c r="G1344" s="405">
        <v>1</v>
      </c>
      <c r="H1344" s="198"/>
      <c r="I1344" s="23"/>
      <c r="J1344" s="23"/>
      <c r="K1344" s="23"/>
      <c r="L1344" s="23"/>
      <c r="M1344" s="23"/>
      <c r="N1344" s="23"/>
      <c r="O1344" s="344"/>
      <c r="P1344" s="344"/>
      <c r="Q1344" s="1438"/>
      <c r="R1344" s="344"/>
      <c r="S1344" s="344"/>
      <c r="T1344" s="344"/>
      <c r="U1344" s="344"/>
      <c r="V1344" s="1438"/>
      <c r="W1344" s="357"/>
      <c r="X1344" s="1404"/>
      <c r="Y1344" s="1404"/>
      <c r="Z1344" s="1404"/>
      <c r="AA1344" s="1404"/>
      <c r="AB1344" s="1404"/>
      <c r="AC1344" s="1404"/>
      <c r="AD1344" s="1548"/>
      <c r="AE1344" s="1549"/>
      <c r="AI1344" s="185"/>
      <c r="AJ1344" s="41"/>
      <c r="AK1344" s="41"/>
      <c r="AL1344" s="41"/>
      <c r="AM1344" s="41"/>
      <c r="AN1344" s="41"/>
      <c r="AO1344" s="41"/>
      <c r="AP1344" s="41"/>
      <c r="AQ1344" s="41"/>
    </row>
    <row r="1345" spans="1:44" ht="12.75" customHeight="1" x14ac:dyDescent="0.25">
      <c r="A1345" s="1370" t="s">
        <v>2416</v>
      </c>
      <c r="B1345" s="1370" t="s">
        <v>2417</v>
      </c>
      <c r="C1345">
        <f t="shared" si="318"/>
        <v>4</v>
      </c>
      <c r="F1345" s="1141">
        <f t="shared" si="319"/>
        <v>3</v>
      </c>
      <c r="G1345" s="405"/>
      <c r="H1345" s="198"/>
      <c r="I1345" s="23"/>
      <c r="J1345" s="23"/>
      <c r="K1345" s="23">
        <v>1</v>
      </c>
      <c r="L1345" s="23"/>
      <c r="M1345" s="23">
        <v>1</v>
      </c>
      <c r="N1345" s="23"/>
      <c r="O1345" s="344"/>
      <c r="P1345" s="344"/>
      <c r="Q1345" s="1438">
        <v>2</v>
      </c>
      <c r="R1345" s="344"/>
      <c r="S1345" s="344"/>
      <c r="T1345" s="344"/>
      <c r="U1345" s="344"/>
      <c r="V1345" s="1438"/>
      <c r="W1345" s="357"/>
      <c r="X1345" s="1404"/>
      <c r="Y1345" s="1404"/>
      <c r="Z1345" s="1404"/>
      <c r="AA1345" s="1404"/>
      <c r="AB1345" s="1404"/>
      <c r="AC1345" s="1404"/>
      <c r="AD1345" s="1548"/>
      <c r="AE1345" s="1549"/>
      <c r="AI1345" s="185"/>
      <c r="AJ1345" s="41"/>
      <c r="AK1345" s="41"/>
      <c r="AL1345" s="41"/>
      <c r="AM1345" s="41"/>
      <c r="AN1345" s="41"/>
      <c r="AO1345" s="41"/>
      <c r="AP1345" s="41"/>
      <c r="AQ1345" s="41"/>
    </row>
    <row r="1346" spans="1:44" ht="12.75" customHeight="1" x14ac:dyDescent="0.25">
      <c r="A1346" s="1370" t="s">
        <v>866</v>
      </c>
      <c r="B1346" s="1370" t="s">
        <v>2417</v>
      </c>
      <c r="C1346">
        <f t="shared" si="318"/>
        <v>4</v>
      </c>
      <c r="F1346" s="1141">
        <f t="shared" si="319"/>
        <v>3</v>
      </c>
      <c r="G1346" s="405"/>
      <c r="H1346" s="198"/>
      <c r="I1346" s="23"/>
      <c r="J1346" s="23"/>
      <c r="K1346" s="23">
        <v>1</v>
      </c>
      <c r="L1346" s="23"/>
      <c r="M1346" s="23">
        <v>1</v>
      </c>
      <c r="N1346" s="23"/>
      <c r="O1346" s="344"/>
      <c r="P1346" s="344"/>
      <c r="Q1346" s="1438">
        <v>2</v>
      </c>
      <c r="R1346" s="344"/>
      <c r="S1346" s="344"/>
      <c r="T1346" s="344"/>
      <c r="U1346" s="344"/>
      <c r="V1346" s="1438"/>
      <c r="W1346" s="357"/>
      <c r="X1346" s="1404"/>
      <c r="Y1346" s="1404"/>
      <c r="Z1346" s="1404"/>
      <c r="AA1346" s="1404"/>
      <c r="AB1346" s="1404"/>
      <c r="AC1346" s="1404"/>
      <c r="AD1346" s="1552"/>
      <c r="AE1346" s="1550"/>
      <c r="AF1346" s="16"/>
      <c r="AG1346" s="79"/>
      <c r="AI1346" s="185"/>
      <c r="AJ1346" s="41"/>
      <c r="AK1346" s="41"/>
      <c r="AL1346" s="41"/>
      <c r="AM1346" s="41"/>
      <c r="AN1346" s="41"/>
      <c r="AO1346" s="41"/>
      <c r="AP1346" s="41"/>
      <c r="AQ1346" s="41"/>
    </row>
    <row r="1347" spans="1:44" ht="12.75" customHeight="1" x14ac:dyDescent="0.25">
      <c r="A1347" s="1370" t="s">
        <v>10900</v>
      </c>
      <c r="B1347" s="1370" t="s">
        <v>10860</v>
      </c>
      <c r="C1347">
        <f t="shared" si="318"/>
        <v>4</v>
      </c>
      <c r="F1347" s="1141">
        <f t="shared" si="319"/>
        <v>2</v>
      </c>
      <c r="G1347" s="405">
        <v>2</v>
      </c>
      <c r="H1347" s="198"/>
      <c r="I1347" s="23"/>
      <c r="J1347" s="23"/>
      <c r="K1347" s="23"/>
      <c r="L1347" s="23"/>
      <c r="M1347" s="23"/>
      <c r="N1347" s="23">
        <v>2</v>
      </c>
      <c r="O1347" s="344"/>
      <c r="P1347" s="344"/>
      <c r="Q1347" s="1438"/>
      <c r="R1347" s="344"/>
      <c r="S1347" s="344"/>
      <c r="T1347" s="344"/>
      <c r="U1347" s="344"/>
      <c r="V1347" s="1438"/>
      <c r="W1347" s="357"/>
      <c r="X1347" s="1404"/>
      <c r="Y1347" s="1404"/>
      <c r="Z1347" s="1404"/>
      <c r="AA1347" s="1404"/>
      <c r="AB1347" s="1404"/>
      <c r="AC1347" s="1404"/>
      <c r="AG1347" s="41"/>
      <c r="AI1347" s="185"/>
      <c r="AJ1347" s="41"/>
      <c r="AK1347" s="41"/>
      <c r="AL1347" s="41"/>
      <c r="AM1347" s="41"/>
      <c r="AN1347" s="41"/>
      <c r="AO1347" s="41"/>
      <c r="AP1347" s="41"/>
      <c r="AQ1347" s="41"/>
    </row>
    <row r="1348" spans="1:44" ht="12.75" customHeight="1" x14ac:dyDescent="0.25">
      <c r="A1348" s="1370" t="s">
        <v>9656</v>
      </c>
      <c r="B1348" s="1370" t="s">
        <v>9657</v>
      </c>
      <c r="C1348">
        <f t="shared" si="318"/>
        <v>0</v>
      </c>
      <c r="F1348" s="1141">
        <f t="shared" si="319"/>
        <v>0</v>
      </c>
      <c r="G1348" s="1512"/>
      <c r="H1348" s="198"/>
      <c r="I1348" s="23"/>
      <c r="J1348" s="23"/>
      <c r="K1348" s="23"/>
      <c r="L1348" s="23"/>
      <c r="M1348" s="23"/>
      <c r="N1348" s="23"/>
      <c r="O1348" s="344"/>
      <c r="P1348" s="344"/>
      <c r="Q1348" s="1438"/>
      <c r="R1348" s="344"/>
      <c r="S1348" s="344"/>
      <c r="T1348" s="344"/>
      <c r="U1348" s="344"/>
      <c r="V1348" s="1438"/>
      <c r="W1348" s="357"/>
      <c r="X1348" s="1404"/>
      <c r="Y1348" s="1404"/>
      <c r="Z1348" s="1404"/>
      <c r="AA1348" s="1404"/>
      <c r="AB1348" s="1404"/>
      <c r="AC1348" s="1404"/>
      <c r="AF1348" s="41"/>
      <c r="AI1348" s="185"/>
      <c r="AJ1348" s="41"/>
      <c r="AK1348" s="41"/>
      <c r="AL1348" s="41"/>
      <c r="AM1348" s="41"/>
      <c r="AN1348" s="41"/>
      <c r="AO1348" s="41"/>
      <c r="AP1348" s="41"/>
      <c r="AQ1348" s="41"/>
    </row>
    <row r="1349" spans="1:44" ht="12.75" customHeight="1" x14ac:dyDescent="0.25">
      <c r="A1349" s="1410" t="s">
        <v>3535</v>
      </c>
      <c r="B1349" s="1410" t="s">
        <v>1026</v>
      </c>
      <c r="C1349">
        <f t="shared" si="318"/>
        <v>5</v>
      </c>
      <c r="F1349" s="1141">
        <f t="shared" si="319"/>
        <v>1</v>
      </c>
      <c r="G1349" s="1512">
        <v>5</v>
      </c>
      <c r="H1349" s="198"/>
      <c r="I1349" s="23"/>
      <c r="J1349" s="23"/>
      <c r="K1349" s="23"/>
      <c r="L1349" s="23"/>
      <c r="M1349" s="23"/>
      <c r="N1349" s="23"/>
      <c r="O1349" s="344"/>
      <c r="P1349" s="344"/>
      <c r="Q1349" s="344"/>
      <c r="R1349" s="344"/>
      <c r="S1349" s="344"/>
      <c r="T1349" s="344"/>
      <c r="U1349" s="344"/>
      <c r="V1349" s="1438"/>
      <c r="W1349" s="357"/>
      <c r="X1349" s="1404"/>
      <c r="Y1349" s="1404"/>
      <c r="Z1349" s="1404"/>
      <c r="AA1349" s="1404"/>
      <c r="AB1349" s="1404"/>
      <c r="AC1349" s="1404"/>
      <c r="AF1349" s="41"/>
      <c r="AI1349" s="185"/>
      <c r="AJ1349" s="41"/>
      <c r="AK1349" s="41"/>
      <c r="AL1349" s="41"/>
      <c r="AM1349" s="41"/>
      <c r="AN1349" s="41"/>
      <c r="AO1349" s="41"/>
      <c r="AP1349" s="41"/>
      <c r="AQ1349" s="41"/>
    </row>
    <row r="1350" spans="1:44" ht="12.75" customHeight="1" x14ac:dyDescent="0.2">
      <c r="A1350" s="1389" t="s">
        <v>4789</v>
      </c>
      <c r="B1350" s="1389" t="s">
        <v>4788</v>
      </c>
      <c r="C1350">
        <f t="shared" si="318"/>
        <v>0</v>
      </c>
      <c r="F1350" s="1141">
        <f t="shared" si="319"/>
        <v>0</v>
      </c>
      <c r="G1350" s="1936"/>
      <c r="H1350" s="416"/>
      <c r="I1350" s="358"/>
      <c r="J1350" s="358"/>
      <c r="K1350" s="358"/>
      <c r="L1350" s="358"/>
      <c r="M1350" s="358"/>
      <c r="N1350" s="358"/>
      <c r="O1350" s="127"/>
      <c r="P1350" s="127"/>
      <c r="Q1350" s="127"/>
      <c r="R1350" s="127"/>
      <c r="S1350" s="127"/>
      <c r="T1350" s="127"/>
      <c r="U1350" s="127"/>
      <c r="V1350" s="1439"/>
      <c r="W1350" s="357"/>
      <c r="X1350" s="1404"/>
      <c r="Y1350" s="1404"/>
      <c r="Z1350" s="1404"/>
      <c r="AA1350" s="1404"/>
      <c r="AB1350" s="1404"/>
      <c r="AC1350" s="1404"/>
      <c r="AF1350" s="41"/>
      <c r="AQ1350" s="41"/>
      <c r="AR1350" s="41"/>
    </row>
    <row r="1351" spans="1:44" ht="12.75" customHeight="1" x14ac:dyDescent="0.2">
      <c r="A1351" s="1389" t="s">
        <v>5542</v>
      </c>
      <c r="B1351" s="1389" t="s">
        <v>4788</v>
      </c>
      <c r="C1351">
        <f t="shared" si="318"/>
        <v>0</v>
      </c>
      <c r="F1351" s="1141">
        <f t="shared" si="319"/>
        <v>0</v>
      </c>
      <c r="G1351" s="465"/>
      <c r="H1351" s="416"/>
      <c r="I1351" s="358"/>
      <c r="J1351" s="358"/>
      <c r="K1351" s="358"/>
      <c r="L1351" s="358"/>
      <c r="M1351" s="358"/>
      <c r="N1351" s="358"/>
      <c r="O1351" s="127"/>
      <c r="P1351" s="127"/>
      <c r="Q1351" s="127"/>
      <c r="R1351" s="127"/>
      <c r="S1351" s="127"/>
      <c r="T1351" s="127"/>
      <c r="U1351" s="127"/>
      <c r="V1351" s="1439"/>
      <c r="W1351" s="357"/>
      <c r="X1351" s="1404"/>
      <c r="Y1351" s="1404"/>
      <c r="Z1351" s="1404"/>
      <c r="AA1351" s="1404"/>
      <c r="AB1351" s="1404"/>
      <c r="AC1351" s="1404"/>
      <c r="AD1351" s="41"/>
      <c r="AG1351" s="41"/>
      <c r="AQ1351" s="41"/>
      <c r="AR1351" s="41"/>
    </row>
    <row r="1352" spans="1:44" ht="12.75" customHeight="1" x14ac:dyDescent="0.2">
      <c r="A1352" s="1410" t="s">
        <v>3535</v>
      </c>
      <c r="B1352" s="1410" t="s">
        <v>4741</v>
      </c>
      <c r="C1352">
        <f t="shared" si="318"/>
        <v>1</v>
      </c>
      <c r="F1352" s="1141">
        <f t="shared" si="319"/>
        <v>1</v>
      </c>
      <c r="G1352" s="465"/>
      <c r="H1352" s="416"/>
      <c r="I1352" s="358"/>
      <c r="J1352" s="358"/>
      <c r="K1352" s="358"/>
      <c r="L1352" s="358"/>
      <c r="M1352" s="358"/>
      <c r="N1352" s="358">
        <v>1</v>
      </c>
      <c r="O1352" s="127"/>
      <c r="P1352" s="127"/>
      <c r="Q1352" s="127"/>
      <c r="R1352" s="127"/>
      <c r="S1352" s="127"/>
      <c r="T1352" s="127"/>
      <c r="U1352" s="127"/>
      <c r="V1352" s="1439"/>
      <c r="W1352" s="357"/>
      <c r="X1352" s="1404"/>
      <c r="Y1352" s="1404"/>
      <c r="Z1352" s="1404"/>
      <c r="AA1352" s="1404"/>
      <c r="AB1352" s="1404"/>
      <c r="AC1352" s="1404"/>
      <c r="AD1352" s="41"/>
      <c r="AG1352" s="41"/>
      <c r="AQ1352" s="41"/>
      <c r="AR1352" s="41"/>
    </row>
    <row r="1353" spans="1:44" ht="12.75" customHeight="1" x14ac:dyDescent="0.2">
      <c r="C1353" s="23">
        <f>SUM(C1325:C1352)</f>
        <v>65</v>
      </c>
      <c r="F1353"/>
      <c r="G1353" s="28">
        <f t="shared" ref="G1353:W1353" si="320">SUM(G1325:G1352)</f>
        <v>21</v>
      </c>
      <c r="H1353" s="28">
        <f t="shared" si="320"/>
        <v>1</v>
      </c>
      <c r="I1353" s="28">
        <f t="shared" si="320"/>
        <v>2</v>
      </c>
      <c r="J1353" s="28">
        <f t="shared" si="320"/>
        <v>1</v>
      </c>
      <c r="K1353" s="28">
        <f t="shared" si="320"/>
        <v>4</v>
      </c>
      <c r="L1353" s="28">
        <f t="shared" ref="L1353" si="321">SUM(L1325:L1352)</f>
        <v>1</v>
      </c>
      <c r="M1353" s="28">
        <f t="shared" si="320"/>
        <v>5</v>
      </c>
      <c r="N1353" s="28">
        <f t="shared" si="320"/>
        <v>15</v>
      </c>
      <c r="O1353" s="28">
        <f t="shared" si="320"/>
        <v>1</v>
      </c>
      <c r="P1353" s="28">
        <f t="shared" ref="P1353" si="322">SUM(P1325:P1352)</f>
        <v>2</v>
      </c>
      <c r="Q1353" s="28">
        <f t="shared" si="320"/>
        <v>4</v>
      </c>
      <c r="R1353" s="28">
        <f t="shared" ref="R1353" si="323">SUM(R1325:R1352)</f>
        <v>1</v>
      </c>
      <c r="S1353" s="28"/>
      <c r="T1353" s="28">
        <f t="shared" si="320"/>
        <v>1</v>
      </c>
      <c r="U1353" s="28">
        <f t="shared" si="320"/>
        <v>2</v>
      </c>
      <c r="V1353" s="28">
        <f t="shared" si="320"/>
        <v>3</v>
      </c>
      <c r="W1353" s="663">
        <f t="shared" si="320"/>
        <v>1</v>
      </c>
      <c r="X1353" s="1404"/>
      <c r="Y1353" s="1404"/>
      <c r="Z1353" s="1404"/>
      <c r="AA1353" s="1404"/>
      <c r="AB1353" s="1404"/>
      <c r="AC1353" s="1404"/>
      <c r="AD1353" s="41"/>
      <c r="AG1353" s="41"/>
      <c r="AQ1353" s="41"/>
      <c r="AR1353" s="41"/>
    </row>
    <row r="1354" spans="1:44" ht="12.75" customHeight="1" x14ac:dyDescent="0.2">
      <c r="C1354"/>
      <c r="E1354" s="1377">
        <f>COUNT(G1354:V1354)</f>
        <v>15</v>
      </c>
      <c r="F1354"/>
      <c r="G1354" s="28">
        <f t="shared" ref="G1354:W1354" si="324">COUNT(G1325:G1352)</f>
        <v>12</v>
      </c>
      <c r="H1354" s="28">
        <f t="shared" si="324"/>
        <v>1</v>
      </c>
      <c r="I1354" s="28">
        <f t="shared" si="324"/>
        <v>2</v>
      </c>
      <c r="J1354" s="28">
        <f t="shared" si="324"/>
        <v>1</v>
      </c>
      <c r="K1354" s="28">
        <f t="shared" si="324"/>
        <v>4</v>
      </c>
      <c r="L1354" s="28">
        <f t="shared" ref="L1354" si="325">COUNT(L1325:L1352)</f>
        <v>1</v>
      </c>
      <c r="M1354" s="28">
        <f t="shared" si="324"/>
        <v>4</v>
      </c>
      <c r="N1354" s="28">
        <f t="shared" si="324"/>
        <v>7</v>
      </c>
      <c r="O1354" s="28">
        <f t="shared" si="324"/>
        <v>1</v>
      </c>
      <c r="P1354" s="28">
        <f t="shared" ref="P1354" si="326">COUNT(P1325:P1352)</f>
        <v>2</v>
      </c>
      <c r="Q1354" s="28">
        <f t="shared" si="324"/>
        <v>2</v>
      </c>
      <c r="R1354" s="28">
        <f t="shared" ref="R1354" si="327">COUNT(R1325:R1352)</f>
        <v>1</v>
      </c>
      <c r="S1354" s="28"/>
      <c r="T1354" s="28">
        <f t="shared" si="324"/>
        <v>1</v>
      </c>
      <c r="U1354" s="28">
        <f t="shared" si="324"/>
        <v>2</v>
      </c>
      <c r="V1354" s="28">
        <f t="shared" si="324"/>
        <v>2</v>
      </c>
      <c r="W1354" s="663">
        <f t="shared" si="324"/>
        <v>1</v>
      </c>
      <c r="X1354" s="1404"/>
      <c r="Y1354" s="1404"/>
      <c r="Z1354" s="1404"/>
      <c r="AA1354" s="1404"/>
      <c r="AB1354" s="1404"/>
      <c r="AC1354" s="1404"/>
      <c r="AD1354" s="41"/>
      <c r="AG1354" s="41"/>
      <c r="AQ1354" s="41"/>
      <c r="AR1354" s="41"/>
    </row>
    <row r="1355" spans="1:44" ht="12.75" customHeight="1" x14ac:dyDescent="0.25">
      <c r="C1355"/>
      <c r="F1355"/>
      <c r="G1355" s="1618" t="s">
        <v>9313</v>
      </c>
      <c r="H1355" s="669"/>
      <c r="I1355" s="1618" t="s">
        <v>9314</v>
      </c>
      <c r="J1355" s="1618"/>
      <c r="K1355" s="1618" t="s">
        <v>10669</v>
      </c>
      <c r="L1355" s="1618"/>
      <c r="M1355" s="669" t="s">
        <v>1040</v>
      </c>
      <c r="N1355" s="996"/>
      <c r="O1355" s="996" t="s">
        <v>11097</v>
      </c>
      <c r="P1355" s="996"/>
      <c r="Q1355" s="996" t="s">
        <v>12071</v>
      </c>
      <c r="R1355" s="996"/>
      <c r="S1355" s="996"/>
      <c r="T1355" s="996"/>
      <c r="U1355" s="669" t="s">
        <v>9500</v>
      </c>
      <c r="V1355" s="669"/>
      <c r="W1355" s="669" t="s">
        <v>16414</v>
      </c>
      <c r="X1355" s="1525"/>
      <c r="Y1355" s="1525"/>
      <c r="Z1355" s="1548"/>
      <c r="AA1355" s="1548"/>
      <c r="AB1355" s="1548"/>
      <c r="AC1355" s="1525"/>
      <c r="AD1355" s="41"/>
      <c r="AG1355" s="41"/>
      <c r="AQ1355" s="41"/>
    </row>
    <row r="1356" spans="1:44" ht="12.75" customHeight="1" x14ac:dyDescent="0.25">
      <c r="C1356"/>
      <c r="F1356"/>
      <c r="G1356" s="515"/>
      <c r="H1356" s="539" t="s">
        <v>9315</v>
      </c>
      <c r="I1356" s="558"/>
      <c r="J1356" s="539" t="s">
        <v>12264</v>
      </c>
      <c r="K1356" s="558"/>
      <c r="L1356" s="558" t="s">
        <v>13033</v>
      </c>
      <c r="M1356" s="515"/>
      <c r="N1356" s="558" t="s">
        <v>15210</v>
      </c>
      <c r="O1356" s="539"/>
      <c r="P1356" s="539" t="s">
        <v>15686</v>
      </c>
      <c r="Q1356" s="558"/>
      <c r="R1356" s="539" t="s">
        <v>15209</v>
      </c>
      <c r="S1356" s="539"/>
      <c r="T1356" s="539" t="s">
        <v>10668</v>
      </c>
      <c r="U1356" s="515"/>
      <c r="V1356" s="515" t="s">
        <v>10737</v>
      </c>
      <c r="W1356" s="531"/>
      <c r="X1356" s="1525"/>
      <c r="Y1356" s="1548"/>
      <c r="Z1356" s="1404"/>
      <c r="AA1356" s="1525"/>
      <c r="AB1356" s="1525"/>
      <c r="AC1356" s="1525"/>
      <c r="AD1356" s="41"/>
      <c r="AG1356" s="41"/>
      <c r="AQ1356" s="41"/>
    </row>
    <row r="1357" spans="1:44" ht="12.75" customHeight="1" x14ac:dyDescent="0.2">
      <c r="C1357"/>
      <c r="F1357"/>
      <c r="G1357" s="1126">
        <f>Parks!L144</f>
        <v>177</v>
      </c>
      <c r="H1357" s="1105">
        <f>Parks!L504</f>
        <v>390</v>
      </c>
      <c r="I1357" s="1105">
        <f>Parks!L211</f>
        <v>331</v>
      </c>
      <c r="J1357" s="1105">
        <f>Parks!L464</f>
        <v>483</v>
      </c>
      <c r="K1357" s="1107">
        <f>Parks!L281</f>
        <v>362</v>
      </c>
      <c r="L1357" s="1107">
        <f>Parks!L365</f>
        <v>508</v>
      </c>
      <c r="M1357" s="1107">
        <f>Parks!L338</f>
        <v>174</v>
      </c>
      <c r="N1357" s="1126">
        <f>Parks!L118</f>
        <v>231</v>
      </c>
      <c r="O1357" s="1126">
        <f>Parks!L162</f>
        <v>455</v>
      </c>
      <c r="P1357" s="1126"/>
      <c r="Q1357" s="1126">
        <f>Parks!L161</f>
        <v>477</v>
      </c>
      <c r="R1357" s="1126">
        <f>Parks!L495</f>
        <v>509</v>
      </c>
      <c r="S1357" s="1126"/>
      <c r="T1357" s="1126">
        <f>Parks!L163</f>
        <v>442</v>
      </c>
      <c r="U1357" s="1126">
        <f>Parks!L449</f>
        <v>396</v>
      </c>
      <c r="V1357" s="1105">
        <f>Parks!L306</f>
        <v>490</v>
      </c>
      <c r="W1357" s="870"/>
      <c r="X1357" s="1550"/>
      <c r="Y1357" s="1551"/>
      <c r="Z1357" s="1552"/>
      <c r="AA1357" s="1552"/>
      <c r="AB1357" s="1552"/>
      <c r="AC1357" s="1552"/>
      <c r="AD1357" s="41"/>
      <c r="AG1357" s="41"/>
      <c r="AQ1357" s="41"/>
    </row>
    <row r="1358" spans="1:44" ht="12.75" customHeight="1" x14ac:dyDescent="0.25">
      <c r="A1358" s="1390"/>
      <c r="B1358" s="1390"/>
      <c r="C1358"/>
      <c r="F1358"/>
      <c r="G1358" t="s">
        <v>2313</v>
      </c>
      <c r="L1358" s="16"/>
      <c r="M1358" s="6"/>
      <c r="N1358" s="6"/>
      <c r="R1358" s="41"/>
      <c r="S1358" s="185"/>
      <c r="T1358" s="185"/>
      <c r="U1358" s="41"/>
      <c r="V1358" s="41"/>
      <c r="W1358" s="185"/>
      <c r="X1358" s="45"/>
      <c r="Y1358" s="185"/>
      <c r="Z1358" s="1418"/>
      <c r="AA1358" s="1406"/>
      <c r="AB1358" s="1407"/>
      <c r="AD1358" s="41"/>
      <c r="AG1358" s="41"/>
    </row>
    <row r="1359" spans="1:44" ht="12.75" customHeight="1" x14ac:dyDescent="0.25">
      <c r="A1359" s="1390"/>
      <c r="B1359" s="1390"/>
      <c r="C1359"/>
      <c r="F1359"/>
      <c r="J1359" s="410"/>
      <c r="K1359" s="410"/>
      <c r="L1359" s="1418"/>
      <c r="M1359" s="1418"/>
      <c r="N1359" s="1407"/>
      <c r="O1359" s="1406"/>
      <c r="P1359" s="1407"/>
      <c r="Q1359" s="1406"/>
      <c r="R1359" s="1406"/>
      <c r="S1359" s="1418"/>
      <c r="T1359" s="1418"/>
      <c r="U1359" s="1371"/>
      <c r="V1359" s="16"/>
      <c r="W1359" s="6"/>
      <c r="Z1359" s="41"/>
      <c r="AA1359" s="185"/>
      <c r="AB1359" s="185"/>
      <c r="AC1359" s="41"/>
      <c r="AD1359" s="41"/>
      <c r="AG1359" s="41"/>
    </row>
    <row r="1360" spans="1:44" ht="12.75" customHeight="1" x14ac:dyDescent="0.25">
      <c r="A1360" s="1390"/>
      <c r="B1360" s="1390"/>
      <c r="C1360"/>
      <c r="F1360"/>
      <c r="H1360" s="9"/>
      <c r="K1360" s="41"/>
      <c r="L1360" s="185"/>
      <c r="M1360" s="185"/>
      <c r="N1360" s="41"/>
      <c r="O1360" s="430"/>
      <c r="P1360" s="1500"/>
      <c r="Q1360" s="1418"/>
      <c r="R1360" s="185"/>
      <c r="S1360" s="185"/>
      <c r="T1360" s="185"/>
      <c r="V1360" s="16"/>
      <c r="W1360" s="6"/>
      <c r="Z1360" s="41"/>
      <c r="AA1360" s="185"/>
      <c r="AB1360" s="185"/>
      <c r="AC1360" s="41"/>
      <c r="AD1360" s="41"/>
      <c r="AG1360" s="41"/>
    </row>
    <row r="1361" spans="1:34" ht="12.75" customHeight="1" thickBot="1" x14ac:dyDescent="0.3">
      <c r="A1361" s="1390"/>
      <c r="B1361" s="1390"/>
      <c r="C1361"/>
      <c r="F1361"/>
      <c r="G1361" s="2" t="s">
        <v>4908</v>
      </c>
      <c r="I1361" s="88"/>
      <c r="J1361" s="88"/>
      <c r="K1361" s="88"/>
      <c r="L1361" s="88"/>
      <c r="M1361" s="88"/>
      <c r="N1361" s="88"/>
      <c r="O1361" s="430"/>
      <c r="P1361" s="1500"/>
      <c r="Q1361" s="1418"/>
      <c r="R1361" s="185"/>
      <c r="S1361" s="185"/>
      <c r="T1361" s="185"/>
      <c r="V1361" s="16"/>
      <c r="W1361" s="6"/>
      <c r="Z1361" s="41"/>
      <c r="AA1361" s="185"/>
      <c r="AB1361" s="185"/>
      <c r="AC1361" s="41"/>
      <c r="AD1361" s="41"/>
      <c r="AG1361" s="41"/>
    </row>
    <row r="1362" spans="1:34" ht="12.75" customHeight="1" x14ac:dyDescent="0.25">
      <c r="A1362" s="1390"/>
      <c r="B1362" s="1390"/>
      <c r="C1362"/>
      <c r="F1362"/>
      <c r="G1362" s="409" t="s">
        <v>4915</v>
      </c>
      <c r="H1362" s="898" t="s">
        <v>4909</v>
      </c>
      <c r="I1362" s="2"/>
      <c r="J1362" s="2"/>
      <c r="K1362" s="70" t="s">
        <v>10129</v>
      </c>
      <c r="L1362" s="70"/>
      <c r="P1362" s="430"/>
      <c r="Q1362" s="1500"/>
      <c r="R1362" s="1418"/>
      <c r="S1362" s="185"/>
      <c r="T1362" s="185"/>
      <c r="U1362" s="185"/>
      <c r="W1362" s="16"/>
      <c r="X1362" s="6"/>
      <c r="AA1362" s="41"/>
      <c r="AB1362" s="185"/>
      <c r="AC1362" s="185"/>
      <c r="AD1362" s="41"/>
      <c r="AG1362" s="41"/>
    </row>
    <row r="1363" spans="1:34" ht="12.75" customHeight="1" x14ac:dyDescent="0.25">
      <c r="A1363" s="1390"/>
      <c r="B1363" s="1390"/>
      <c r="C1363"/>
      <c r="F1363"/>
      <c r="G1363" s="429" t="s">
        <v>4910</v>
      </c>
      <c r="H1363" s="905" t="s">
        <v>8408</v>
      </c>
      <c r="I1363" s="897" t="s">
        <v>5499</v>
      </c>
      <c r="J1363" s="1119" t="s">
        <v>10776</v>
      </c>
      <c r="K1363" s="1423" t="s">
        <v>12427</v>
      </c>
      <c r="L1363" s="1119" t="s">
        <v>15486</v>
      </c>
      <c r="M1363" s="897" t="s">
        <v>10733</v>
      </c>
      <c r="N1363" s="1678" t="s">
        <v>10114</v>
      </c>
      <c r="O1363" s="897" t="s">
        <v>10670</v>
      </c>
      <c r="P1363" s="430"/>
      <c r="Q1363" s="1500"/>
      <c r="R1363" s="1418"/>
      <c r="S1363" s="185"/>
      <c r="T1363" s="185"/>
      <c r="U1363" s="185"/>
      <c r="W1363" s="16"/>
      <c r="X1363" s="6"/>
      <c r="AA1363" s="41"/>
      <c r="AB1363" s="185"/>
      <c r="AC1363" s="185"/>
      <c r="AD1363" s="41"/>
      <c r="AG1363" s="41"/>
    </row>
    <row r="1364" spans="1:34" ht="12.75" customHeight="1" x14ac:dyDescent="0.25">
      <c r="A1364" s="1370" t="s">
        <v>4963</v>
      </c>
      <c r="B1364" s="1370" t="s">
        <v>8339</v>
      </c>
      <c r="C1364">
        <f t="shared" ref="C1364:C1376" si="328">SUM(G1364:O1364)</f>
        <v>1</v>
      </c>
      <c r="F1364" s="1431">
        <f t="shared" ref="F1364:F1376" si="329">COUNT(G1364:O1364)</f>
        <v>1</v>
      </c>
      <c r="G1364" s="1628"/>
      <c r="H1364" s="1437"/>
      <c r="I1364" s="1381"/>
      <c r="J1364" s="1381"/>
      <c r="K1364" s="1381"/>
      <c r="L1364" s="1381">
        <v>1</v>
      </c>
      <c r="M1364" s="1381"/>
      <c r="N1364" s="1450"/>
      <c r="O1364" s="1381"/>
      <c r="P1364" s="430"/>
      <c r="Q1364" s="1500"/>
      <c r="R1364" s="1418"/>
      <c r="S1364" s="185"/>
      <c r="T1364" s="185"/>
      <c r="U1364" s="185"/>
      <c r="W1364" s="16"/>
      <c r="X1364" s="6"/>
      <c r="AA1364" s="41"/>
      <c r="AB1364" s="185"/>
      <c r="AC1364" s="185"/>
      <c r="AD1364" s="41"/>
      <c r="AG1364" s="41"/>
    </row>
    <row r="1365" spans="1:34" ht="12.75" customHeight="1" x14ac:dyDescent="0.25">
      <c r="A1365" s="1374" t="s">
        <v>11800</v>
      </c>
      <c r="B1365" s="1374" t="s">
        <v>11801</v>
      </c>
      <c r="C1365">
        <f t="shared" si="328"/>
        <v>1</v>
      </c>
      <c r="F1365" s="1431">
        <f t="shared" si="329"/>
        <v>1</v>
      </c>
      <c r="G1365" s="462">
        <v>1</v>
      </c>
      <c r="H1365" s="462"/>
      <c r="I1365" s="1393"/>
      <c r="J1365" s="1680"/>
      <c r="K1365" s="1680"/>
      <c r="L1365" s="1680"/>
      <c r="M1365" s="1680"/>
      <c r="N1365" s="1356"/>
      <c r="O1365" s="1356"/>
      <c r="P1365" s="430"/>
      <c r="Q1365" s="1500"/>
      <c r="R1365" s="1418"/>
      <c r="S1365" s="185"/>
      <c r="T1365" s="185"/>
      <c r="U1365" s="185"/>
      <c r="W1365" s="16"/>
      <c r="X1365" s="6"/>
      <c r="AA1365" s="41"/>
      <c r="AB1365" s="185"/>
      <c r="AC1365" s="185"/>
      <c r="AD1365" s="41"/>
      <c r="AG1365" s="41"/>
    </row>
    <row r="1366" spans="1:34" ht="12.75" customHeight="1" x14ac:dyDescent="0.25">
      <c r="A1366" s="1370" t="s">
        <v>3508</v>
      </c>
      <c r="B1366" s="1370" t="s">
        <v>3632</v>
      </c>
      <c r="C1366">
        <f t="shared" si="328"/>
        <v>2</v>
      </c>
      <c r="F1366" s="1431">
        <f t="shared" si="329"/>
        <v>2</v>
      </c>
      <c r="G1366" s="462"/>
      <c r="H1366" s="462">
        <v>1</v>
      </c>
      <c r="I1366" s="1393"/>
      <c r="J1366" s="1680">
        <v>1</v>
      </c>
      <c r="K1366" s="1680"/>
      <c r="L1366" s="1680"/>
      <c r="M1366" s="1680"/>
      <c r="N1366" s="1356"/>
      <c r="O1366" s="1356"/>
      <c r="P1366" s="430"/>
      <c r="Q1366" s="1500"/>
      <c r="R1366" s="1418"/>
      <c r="S1366" s="185"/>
      <c r="T1366" s="185"/>
      <c r="U1366" s="185"/>
      <c r="W1366" s="16"/>
      <c r="X1366" s="6"/>
      <c r="AA1366" s="41"/>
      <c r="AB1366" s="185"/>
      <c r="AC1366" s="185"/>
      <c r="AD1366" s="41"/>
      <c r="AG1366" s="41"/>
    </row>
    <row r="1367" spans="1:34" ht="12.75" customHeight="1" x14ac:dyDescent="0.25">
      <c r="A1367" s="1374" t="s">
        <v>922</v>
      </c>
      <c r="B1367" s="1374" t="s">
        <v>1530</v>
      </c>
      <c r="C1367">
        <f t="shared" si="328"/>
        <v>3</v>
      </c>
      <c r="F1367" s="1431">
        <f t="shared" si="329"/>
        <v>3</v>
      </c>
      <c r="G1367" s="462"/>
      <c r="H1367" s="462"/>
      <c r="I1367" s="1393"/>
      <c r="J1367" s="1680"/>
      <c r="K1367" s="1680"/>
      <c r="L1367" s="1680"/>
      <c r="M1367" s="1680">
        <v>1</v>
      </c>
      <c r="N1367" s="1356">
        <v>1</v>
      </c>
      <c r="O1367" s="1356">
        <v>1</v>
      </c>
      <c r="P1367" s="430"/>
      <c r="Q1367" s="1500"/>
      <c r="R1367" s="1418"/>
      <c r="S1367" s="185"/>
      <c r="T1367" s="185"/>
      <c r="U1367" s="185"/>
      <c r="W1367" s="16"/>
      <c r="X1367" s="6"/>
      <c r="AA1367" s="41"/>
      <c r="AB1367" s="185"/>
      <c r="AC1367" s="185"/>
      <c r="AD1367" s="41"/>
      <c r="AG1367" s="41"/>
    </row>
    <row r="1368" spans="1:34" ht="12.75" customHeight="1" x14ac:dyDescent="0.25">
      <c r="A1368" s="1370" t="s">
        <v>1796</v>
      </c>
      <c r="B1368" s="1370" t="s">
        <v>1797</v>
      </c>
      <c r="C1368">
        <f t="shared" si="328"/>
        <v>1</v>
      </c>
      <c r="F1368" s="1431">
        <f t="shared" si="329"/>
        <v>1</v>
      </c>
      <c r="G1368" s="462"/>
      <c r="H1368" s="462">
        <v>1</v>
      </c>
      <c r="I1368" s="1393"/>
      <c r="J1368" s="1680"/>
      <c r="K1368" s="1680"/>
      <c r="L1368" s="1680"/>
      <c r="M1368" s="1680"/>
      <c r="N1368" s="1356"/>
      <c r="O1368" s="1356"/>
      <c r="P1368" s="430"/>
      <c r="Q1368" s="1500"/>
      <c r="R1368" s="1418"/>
      <c r="S1368" s="185"/>
      <c r="T1368" s="185"/>
      <c r="U1368" s="185"/>
      <c r="W1368" s="16"/>
      <c r="X1368" s="6"/>
      <c r="AA1368" s="41"/>
      <c r="AB1368" s="185"/>
      <c r="AC1368" s="185"/>
      <c r="AD1368" s="41"/>
      <c r="AG1368" s="41"/>
    </row>
    <row r="1369" spans="1:34" ht="12.75" customHeight="1" x14ac:dyDescent="0.25">
      <c r="A1369" s="1370" t="s">
        <v>665</v>
      </c>
      <c r="B1369" s="1370" t="s">
        <v>666</v>
      </c>
      <c r="C1369">
        <f t="shared" si="328"/>
        <v>4</v>
      </c>
      <c r="F1369" s="1431">
        <f t="shared" si="329"/>
        <v>3</v>
      </c>
      <c r="G1369" s="462">
        <v>2</v>
      </c>
      <c r="H1369" s="462">
        <v>1</v>
      </c>
      <c r="I1369" s="1393"/>
      <c r="J1369" s="1680"/>
      <c r="K1369" s="1680">
        <v>1</v>
      </c>
      <c r="L1369" s="1680"/>
      <c r="M1369" s="1680"/>
      <c r="N1369" s="1356"/>
      <c r="O1369" s="1356"/>
      <c r="P1369" s="430"/>
      <c r="Q1369" s="1500"/>
      <c r="R1369" s="1418"/>
      <c r="S1369" s="185"/>
      <c r="T1369" s="185"/>
      <c r="U1369" s="185"/>
      <c r="W1369" s="16"/>
      <c r="X1369" s="6"/>
      <c r="AA1369" s="41"/>
      <c r="AB1369" s="185"/>
      <c r="AC1369" s="185"/>
      <c r="AD1369" s="41"/>
      <c r="AG1369" s="41"/>
    </row>
    <row r="1370" spans="1:34" ht="12.75" customHeight="1" x14ac:dyDescent="0.25">
      <c r="A1370" s="1374" t="s">
        <v>2137</v>
      </c>
      <c r="B1370" s="1374" t="s">
        <v>4943</v>
      </c>
      <c r="C1370">
        <f t="shared" si="328"/>
        <v>1</v>
      </c>
      <c r="F1370" s="1431">
        <f t="shared" si="329"/>
        <v>1</v>
      </c>
      <c r="G1370" s="462"/>
      <c r="H1370" s="462">
        <v>1</v>
      </c>
      <c r="I1370" s="1393"/>
      <c r="J1370" s="1680"/>
      <c r="K1370" s="1680"/>
      <c r="L1370" s="1680"/>
      <c r="M1370" s="1680"/>
      <c r="N1370" s="1356"/>
      <c r="O1370" s="1356"/>
      <c r="P1370" s="430"/>
      <c r="Q1370" s="1500"/>
      <c r="R1370" s="1418"/>
      <c r="S1370" s="185"/>
      <c r="T1370" s="185"/>
      <c r="U1370" s="185"/>
      <c r="W1370" s="16"/>
      <c r="X1370" s="6"/>
      <c r="AA1370" s="41"/>
      <c r="AB1370" s="185"/>
      <c r="AC1370" s="185"/>
      <c r="AD1370" s="41"/>
      <c r="AG1370" s="41"/>
    </row>
    <row r="1371" spans="1:34" ht="12.75" customHeight="1" x14ac:dyDescent="0.25">
      <c r="A1371" s="1370" t="s">
        <v>2416</v>
      </c>
      <c r="B1371" s="1370" t="s">
        <v>2417</v>
      </c>
      <c r="C1371">
        <f t="shared" si="328"/>
        <v>1</v>
      </c>
      <c r="F1371" s="1431">
        <f t="shared" si="329"/>
        <v>1</v>
      </c>
      <c r="G1371" s="462"/>
      <c r="H1371" s="462">
        <v>1</v>
      </c>
      <c r="I1371" s="1393"/>
      <c r="J1371" s="1680"/>
      <c r="K1371" s="1680"/>
      <c r="L1371" s="1680"/>
      <c r="M1371" s="1680"/>
      <c r="N1371" s="1356"/>
      <c r="O1371" s="1356"/>
      <c r="P1371" s="430"/>
      <c r="Q1371" s="1500"/>
      <c r="R1371" s="1418"/>
      <c r="S1371" s="185"/>
      <c r="T1371" s="185"/>
      <c r="U1371" s="185"/>
      <c r="W1371" s="16"/>
      <c r="X1371" s="6"/>
      <c r="AA1371" s="41"/>
      <c r="AB1371" s="185"/>
      <c r="AC1371" s="185"/>
      <c r="AF1371" s="41"/>
    </row>
    <row r="1372" spans="1:34" ht="12.75" customHeight="1" x14ac:dyDescent="0.25">
      <c r="A1372" s="1370" t="s">
        <v>866</v>
      </c>
      <c r="B1372" s="1370" t="s">
        <v>2417</v>
      </c>
      <c r="C1372">
        <f t="shared" si="328"/>
        <v>1</v>
      </c>
      <c r="F1372" s="1431">
        <f t="shared" si="329"/>
        <v>1</v>
      </c>
      <c r="G1372" s="462"/>
      <c r="H1372" s="462">
        <v>1</v>
      </c>
      <c r="I1372" s="1393"/>
      <c r="J1372" s="1680"/>
      <c r="K1372" s="1680"/>
      <c r="L1372" s="1680"/>
      <c r="M1372" s="1680"/>
      <c r="N1372" s="1356"/>
      <c r="O1372" s="1356"/>
      <c r="P1372" s="430"/>
      <c r="Q1372" s="1500"/>
      <c r="R1372" s="1418"/>
      <c r="S1372" s="185"/>
      <c r="T1372" s="185"/>
      <c r="U1372" s="185"/>
      <c r="W1372" s="16"/>
      <c r="X1372" s="6"/>
      <c r="AA1372" s="41"/>
      <c r="AB1372" s="185"/>
      <c r="AC1372" s="185"/>
      <c r="AF1372" s="41"/>
    </row>
    <row r="1373" spans="1:34" ht="12.75" customHeight="1" x14ac:dyDescent="0.25">
      <c r="A1373" s="1370" t="s">
        <v>3543</v>
      </c>
      <c r="B1373" s="1370" t="s">
        <v>6122</v>
      </c>
      <c r="C1373">
        <f t="shared" si="328"/>
        <v>1</v>
      </c>
      <c r="F1373" s="1431">
        <f t="shared" si="329"/>
        <v>1</v>
      </c>
      <c r="G1373" s="462"/>
      <c r="H1373" s="462"/>
      <c r="I1373" s="1393">
        <v>1</v>
      </c>
      <c r="J1373" s="1680"/>
      <c r="K1373" s="1680"/>
      <c r="L1373" s="1680"/>
      <c r="M1373" s="1680"/>
      <c r="N1373" s="1356"/>
      <c r="O1373" s="1356"/>
      <c r="P1373" s="430"/>
      <c r="Q1373" s="1500"/>
      <c r="R1373" s="1418"/>
      <c r="S1373" s="185"/>
      <c r="T1373" s="185"/>
      <c r="U1373" s="185"/>
      <c r="W1373" s="16"/>
      <c r="X1373" s="6"/>
      <c r="AA1373" s="41"/>
      <c r="AB1373" s="185"/>
      <c r="AC1373" s="185"/>
      <c r="AE1373" s="41"/>
      <c r="AG1373" s="41"/>
    </row>
    <row r="1374" spans="1:34" ht="12.75" customHeight="1" x14ac:dyDescent="0.25">
      <c r="A1374" s="1370" t="s">
        <v>9656</v>
      </c>
      <c r="B1374" s="1370" t="s">
        <v>9657</v>
      </c>
      <c r="C1374">
        <f t="shared" si="328"/>
        <v>1</v>
      </c>
      <c r="F1374" s="1431">
        <f t="shared" si="329"/>
        <v>1</v>
      </c>
      <c r="G1374" s="462"/>
      <c r="H1374" s="462"/>
      <c r="I1374" s="462"/>
      <c r="J1374" s="1356"/>
      <c r="K1374" s="1356"/>
      <c r="L1374" s="1356"/>
      <c r="M1374" s="1356"/>
      <c r="N1374" s="1356">
        <v>1</v>
      </c>
      <c r="O1374" s="1356"/>
      <c r="P1374" s="430"/>
      <c r="Q1374" s="1500"/>
      <c r="R1374" s="1418"/>
      <c r="S1374" s="185"/>
      <c r="T1374" s="185"/>
      <c r="U1374" s="185"/>
      <c r="W1374" s="16"/>
      <c r="X1374" s="6"/>
      <c r="AA1374" s="41"/>
      <c r="AB1374" s="185"/>
      <c r="AC1374" s="185"/>
      <c r="AF1374" s="41"/>
      <c r="AH1374" s="185"/>
    </row>
    <row r="1375" spans="1:34" ht="12.75" customHeight="1" x14ac:dyDescent="0.25">
      <c r="A1375" s="1389" t="s">
        <v>4789</v>
      </c>
      <c r="B1375" s="1389" t="s">
        <v>4788</v>
      </c>
      <c r="C1375">
        <f t="shared" si="328"/>
        <v>5</v>
      </c>
      <c r="F1375" s="1431">
        <f t="shared" si="329"/>
        <v>1</v>
      </c>
      <c r="G1375" s="462"/>
      <c r="H1375" s="462">
        <v>5</v>
      </c>
      <c r="I1375" s="462"/>
      <c r="J1375" s="1356"/>
      <c r="K1375" s="1356"/>
      <c r="L1375" s="1356"/>
      <c r="M1375" s="1356"/>
      <c r="N1375" s="1356"/>
      <c r="O1375" s="1356"/>
      <c r="P1375" s="430"/>
      <c r="Q1375" s="1500"/>
      <c r="R1375" s="1418"/>
      <c r="S1375" s="185"/>
      <c r="T1375" s="185"/>
      <c r="U1375" s="185"/>
      <c r="W1375" s="16"/>
      <c r="X1375" s="6"/>
      <c r="AA1375" s="41"/>
      <c r="AB1375" s="185"/>
      <c r="AC1375" s="185"/>
      <c r="AF1375" s="41"/>
      <c r="AH1375" s="185"/>
    </row>
    <row r="1376" spans="1:34" ht="12.75" customHeight="1" x14ac:dyDescent="0.25">
      <c r="A1376" s="1389" t="s">
        <v>5542</v>
      </c>
      <c r="B1376" s="1389" t="s">
        <v>4788</v>
      </c>
      <c r="C1376">
        <f t="shared" si="328"/>
        <v>1</v>
      </c>
      <c r="F1376" s="1431">
        <f t="shared" si="329"/>
        <v>1</v>
      </c>
      <c r="G1376" s="462"/>
      <c r="H1376" s="462">
        <v>1</v>
      </c>
      <c r="I1376" s="462"/>
      <c r="J1376" s="1356"/>
      <c r="K1376" s="1356"/>
      <c r="L1376" s="1356"/>
      <c r="M1376" s="1356"/>
      <c r="N1376" s="1356"/>
      <c r="O1376" s="1356"/>
      <c r="P1376" s="430"/>
      <c r="Q1376" s="1500"/>
      <c r="R1376" s="1418"/>
      <c r="S1376" s="185"/>
      <c r="T1376" s="185"/>
      <c r="U1376" s="185"/>
      <c r="W1376" s="16"/>
      <c r="X1376" s="6"/>
      <c r="AA1376" s="41"/>
      <c r="AB1376" s="185"/>
      <c r="AC1376" s="185"/>
      <c r="AF1376" s="41"/>
      <c r="AH1376" s="185"/>
    </row>
    <row r="1377" spans="1:46" ht="12.75" customHeight="1" x14ac:dyDescent="0.25">
      <c r="A1377" s="1370"/>
      <c r="B1377" s="1370"/>
      <c r="C1377" s="23">
        <f>SUM(C1364:C1376)</f>
        <v>23</v>
      </c>
      <c r="F1377"/>
      <c r="G1377" s="1344">
        <f>SUM(G1364:G1376)</f>
        <v>3</v>
      </c>
      <c r="H1377" s="1344">
        <f t="shared" ref="H1377:O1377" si="330">SUM(H1364:H1376)</f>
        <v>12</v>
      </c>
      <c r="I1377" s="1344">
        <f t="shared" si="330"/>
        <v>1</v>
      </c>
      <c r="J1377" s="1344">
        <f t="shared" si="330"/>
        <v>1</v>
      </c>
      <c r="K1377" s="1344">
        <f t="shared" si="330"/>
        <v>1</v>
      </c>
      <c r="L1377" s="1344">
        <f t="shared" si="330"/>
        <v>1</v>
      </c>
      <c r="M1377" s="1344">
        <f t="shared" si="330"/>
        <v>1</v>
      </c>
      <c r="N1377" s="1344">
        <f t="shared" si="330"/>
        <v>2</v>
      </c>
      <c r="O1377" s="1344">
        <f t="shared" si="330"/>
        <v>1</v>
      </c>
      <c r="P1377" s="430"/>
      <c r="Q1377" s="1500"/>
      <c r="R1377" s="1418"/>
      <c r="S1377" s="185"/>
      <c r="T1377" s="185"/>
      <c r="U1377" s="185"/>
      <c r="W1377" s="16"/>
      <c r="X1377" s="6"/>
      <c r="AA1377" s="41"/>
      <c r="AB1377" s="185"/>
      <c r="AC1377" s="185"/>
      <c r="AF1377" s="41"/>
      <c r="AH1377" s="185"/>
    </row>
    <row r="1378" spans="1:46" ht="12.75" customHeight="1" x14ac:dyDescent="0.25">
      <c r="A1378" s="1370"/>
      <c r="B1378" s="1370"/>
      <c r="C1378"/>
      <c r="E1378" s="1377">
        <f>COUNT(G1378:O1378)</f>
        <v>9</v>
      </c>
      <c r="F1378"/>
      <c r="G1378" s="1344">
        <f>COUNT(G1364:G1376)</f>
        <v>2</v>
      </c>
      <c r="H1378" s="1344">
        <f t="shared" ref="H1378:O1378" si="331">COUNT(H1364:H1376)</f>
        <v>8</v>
      </c>
      <c r="I1378" s="1344">
        <f t="shared" si="331"/>
        <v>1</v>
      </c>
      <c r="J1378" s="1344">
        <f t="shared" si="331"/>
        <v>1</v>
      </c>
      <c r="K1378" s="1344">
        <f t="shared" si="331"/>
        <v>1</v>
      </c>
      <c r="L1378" s="1344">
        <f t="shared" si="331"/>
        <v>1</v>
      </c>
      <c r="M1378" s="1344">
        <f t="shared" si="331"/>
        <v>1</v>
      </c>
      <c r="N1378" s="1344">
        <f t="shared" si="331"/>
        <v>2</v>
      </c>
      <c r="O1378" s="1344">
        <f t="shared" si="331"/>
        <v>1</v>
      </c>
      <c r="P1378" s="430"/>
      <c r="Q1378" s="1500"/>
      <c r="R1378" s="1418"/>
      <c r="S1378" s="185"/>
      <c r="T1378" s="185"/>
      <c r="U1378" s="185"/>
      <c r="W1378" s="16"/>
      <c r="X1378" s="6"/>
      <c r="AA1378" s="41"/>
      <c r="AB1378" s="185"/>
      <c r="AC1378" s="185"/>
      <c r="AF1378" s="41"/>
      <c r="AH1378" s="185"/>
    </row>
    <row r="1379" spans="1:46" ht="12.75" customHeight="1" x14ac:dyDescent="0.25">
      <c r="A1379" s="1390"/>
      <c r="B1379" s="1390"/>
      <c r="C1379"/>
      <c r="F1379"/>
      <c r="G1379" s="190" t="s">
        <v>4911</v>
      </c>
      <c r="H1379" s="190"/>
      <c r="I1379" s="538" t="s">
        <v>15343</v>
      </c>
      <c r="J1379" s="538"/>
      <c r="K1379" s="538" t="s">
        <v>12439</v>
      </c>
      <c r="L1379" s="538"/>
      <c r="M1379" s="565" t="s">
        <v>10734</v>
      </c>
      <c r="N1379" s="538"/>
      <c r="O1379" s="561" t="s">
        <v>10671</v>
      </c>
      <c r="P1379" s="430"/>
      <c r="Q1379" s="1500"/>
      <c r="R1379" s="1418"/>
      <c r="S1379" s="185"/>
      <c r="T1379" s="185"/>
      <c r="U1379" s="185"/>
      <c r="W1379" s="16"/>
      <c r="X1379" s="6"/>
      <c r="AA1379" s="41"/>
      <c r="AB1379" s="185"/>
      <c r="AC1379" s="185"/>
      <c r="AF1379" s="41"/>
      <c r="AH1379" s="185"/>
    </row>
    <row r="1380" spans="1:46" ht="12.75" customHeight="1" x14ac:dyDescent="0.25">
      <c r="A1380" s="1390"/>
      <c r="B1380" s="1390"/>
      <c r="C1380"/>
      <c r="F1380"/>
      <c r="G1380" s="191"/>
      <c r="H1380" s="247" t="s">
        <v>8407</v>
      </c>
      <c r="I1380" s="531"/>
      <c r="J1380" s="515" t="s">
        <v>10775</v>
      </c>
      <c r="K1380" s="515"/>
      <c r="L1380" s="515" t="s">
        <v>15456</v>
      </c>
      <c r="M1380" s="515"/>
      <c r="N1380" s="539" t="s">
        <v>10429</v>
      </c>
      <c r="O1380" s="558"/>
      <c r="P1380" s="430"/>
      <c r="Q1380" s="1500"/>
      <c r="R1380" s="1418"/>
      <c r="S1380" s="185"/>
      <c r="T1380" s="185"/>
      <c r="U1380" s="185"/>
      <c r="W1380" s="16"/>
      <c r="X1380" s="6"/>
      <c r="AA1380" s="41"/>
      <c r="AB1380" s="185"/>
      <c r="AC1380" s="185"/>
      <c r="AE1380" s="9"/>
      <c r="AH1380" s="41"/>
    </row>
    <row r="1381" spans="1:46" ht="12.75" customHeight="1" x14ac:dyDescent="0.25">
      <c r="A1381" s="1390"/>
      <c r="B1381" s="1390"/>
      <c r="C1381" s="1371"/>
      <c r="D1381" s="1371"/>
      <c r="F1381" s="1371"/>
      <c r="G1381" s="1540">
        <f>Parks!L405</f>
        <v>285</v>
      </c>
      <c r="H1381" s="1540">
        <f>Parks!L120</f>
        <v>358</v>
      </c>
      <c r="I1381" s="1541"/>
      <c r="J1381" s="1542">
        <f>Parks!L581</f>
        <v>445</v>
      </c>
      <c r="K1381" s="1542">
        <f>Parks!L34</f>
        <v>489</v>
      </c>
      <c r="L1381" s="1542"/>
      <c r="M1381" s="1540">
        <f>Parks!L411</f>
        <v>443</v>
      </c>
      <c r="N1381" s="1543">
        <f>Parks!L458</f>
        <v>416</v>
      </c>
      <c r="O1381" s="1543">
        <f>Parks!L564</f>
        <v>441</v>
      </c>
      <c r="P1381" s="1500"/>
      <c r="Q1381" s="1500"/>
      <c r="R1381" s="1418"/>
      <c r="S1381" s="1418"/>
      <c r="T1381" s="1418"/>
      <c r="U1381" s="1418"/>
      <c r="W1381" s="16"/>
      <c r="X1381" s="6"/>
      <c r="AA1381" s="41"/>
      <c r="AB1381" s="185"/>
      <c r="AC1381" s="185"/>
      <c r="AE1381" s="9"/>
      <c r="AH1381" s="41"/>
    </row>
    <row r="1382" spans="1:46" ht="12.75" customHeight="1" x14ac:dyDescent="0.25">
      <c r="A1382" s="1390"/>
      <c r="B1382" s="1390"/>
      <c r="C1382"/>
      <c r="F1382"/>
      <c r="G1382" s="185" t="s">
        <v>15550</v>
      </c>
      <c r="H1382" s="185"/>
      <c r="J1382" s="16"/>
      <c r="K1382" s="6"/>
      <c r="N1382" s="41"/>
      <c r="O1382" s="185"/>
      <c r="P1382" s="185"/>
      <c r="Q1382" s="185"/>
      <c r="R1382" s="185"/>
      <c r="S1382" s="185"/>
      <c r="T1382" s="185"/>
      <c r="V1382" s="16"/>
      <c r="W1382" s="6"/>
      <c r="Z1382" s="41"/>
      <c r="AA1382" s="185"/>
      <c r="AB1382" s="185"/>
      <c r="AC1382" s="41"/>
      <c r="AE1382" s="9"/>
      <c r="AH1382" s="41"/>
    </row>
    <row r="1383" spans="1:46" ht="12.75" customHeight="1" x14ac:dyDescent="0.25">
      <c r="A1383" s="1390"/>
      <c r="B1383" s="1390"/>
      <c r="C1383"/>
      <c r="F1383"/>
      <c r="J1383" s="410"/>
      <c r="K1383" s="410"/>
      <c r="L1383" s="410"/>
      <c r="M1383" s="410"/>
      <c r="N1383" s="185"/>
      <c r="O1383" s="364"/>
      <c r="P1383" s="364"/>
      <c r="Q1383" s="430"/>
      <c r="R1383" s="430"/>
      <c r="S1383" s="185"/>
      <c r="T1383" s="185"/>
      <c r="U1383" s="185"/>
      <c r="V1383" s="185"/>
      <c r="X1383" s="16"/>
      <c r="Y1383" s="6"/>
      <c r="AB1383" s="41"/>
      <c r="AC1383" s="185"/>
      <c r="AD1383" s="185"/>
      <c r="AE1383" s="41"/>
      <c r="AG1383" s="9"/>
      <c r="AJ1383" s="41"/>
    </row>
    <row r="1384" spans="1:46" ht="12.75" customHeight="1" x14ac:dyDescent="0.25">
      <c r="C1384"/>
      <c r="F1384"/>
      <c r="G1384" s="1319" t="s">
        <v>5816</v>
      </c>
      <c r="H1384" s="2"/>
      <c r="I1384" s="2"/>
      <c r="U1384" s="2" t="s">
        <v>12436</v>
      </c>
      <c r="X1384" s="70" t="s">
        <v>15561</v>
      </c>
      <c r="Y1384" s="6"/>
      <c r="Z1384" s="2" t="s">
        <v>9363</v>
      </c>
      <c r="AB1384" s="41"/>
      <c r="AC1384" s="185"/>
      <c r="AD1384" s="185"/>
      <c r="AE1384" s="41"/>
      <c r="AH1384" s="9"/>
      <c r="AK1384" s="185"/>
    </row>
    <row r="1385" spans="1:46" ht="12.75" customHeight="1" thickBot="1" x14ac:dyDescent="0.3">
      <c r="C1385"/>
      <c r="F1385"/>
      <c r="G1385" s="2" t="s">
        <v>9346</v>
      </c>
      <c r="H1385" s="2"/>
      <c r="I1385" s="2"/>
      <c r="J1385" s="2"/>
      <c r="K1385" s="2"/>
      <c r="L1385" s="2"/>
      <c r="M1385" s="2"/>
      <c r="N1385" s="2"/>
      <c r="O1385" s="70" t="s">
        <v>4582</v>
      </c>
      <c r="U1385" s="70" t="s">
        <v>12437</v>
      </c>
      <c r="V1385" s="6"/>
      <c r="X1385" s="2" t="s">
        <v>15562</v>
      </c>
      <c r="Z1385" s="2" t="s">
        <v>15563</v>
      </c>
      <c r="AC1385" s="16"/>
      <c r="AD1385" s="6"/>
      <c r="AE1385" s="9"/>
      <c r="AH1385" s="9"/>
      <c r="AK1385" s="185"/>
      <c r="AL1385" s="185"/>
      <c r="AM1385" s="41"/>
      <c r="AN1385" s="41"/>
      <c r="AO1385" s="41"/>
      <c r="AP1385" s="41"/>
      <c r="AQ1385" s="41"/>
      <c r="AR1385" s="41"/>
      <c r="AS1385" s="41"/>
      <c r="AT1385" s="185"/>
    </row>
    <row r="1386" spans="1:46" ht="12.75" customHeight="1" x14ac:dyDescent="0.25">
      <c r="C1386"/>
      <c r="F1386"/>
      <c r="G1386" s="897" t="s">
        <v>15488</v>
      </c>
      <c r="H1386" s="1119" t="s">
        <v>9345</v>
      </c>
      <c r="I1386" s="184" t="s">
        <v>220</v>
      </c>
      <c r="J1386" s="540" t="s">
        <v>8721</v>
      </c>
      <c r="K1386" s="537" t="s">
        <v>227</v>
      </c>
      <c r="L1386" s="537" t="s">
        <v>17017</v>
      </c>
      <c r="M1386" s="540" t="s">
        <v>16772</v>
      </c>
      <c r="N1386" s="42"/>
      <c r="O1386" s="1056" t="s">
        <v>9073</v>
      </c>
      <c r="P1386" s="1057" t="s">
        <v>3405</v>
      </c>
      <c r="Q1386" s="1056" t="s">
        <v>9902</v>
      </c>
      <c r="S1386" s="1423" t="s">
        <v>16779</v>
      </c>
      <c r="T1386" s="995" t="s">
        <v>16254</v>
      </c>
      <c r="U1386" s="1767" t="s">
        <v>8459</v>
      </c>
      <c r="V1386" s="642" t="s">
        <v>7793</v>
      </c>
      <c r="X1386" s="897" t="s">
        <v>12376</v>
      </c>
      <c r="Z1386" s="1119" t="s">
        <v>15560</v>
      </c>
      <c r="AF1386" s="9"/>
      <c r="AH1386" s="9"/>
      <c r="AK1386" s="185"/>
      <c r="AL1386" s="185"/>
      <c r="AM1386" s="41"/>
      <c r="AN1386" s="41"/>
      <c r="AO1386" s="41"/>
      <c r="AP1386" s="41"/>
      <c r="AQ1386" s="41"/>
      <c r="AR1386" s="41"/>
      <c r="AS1386" s="41"/>
    </row>
    <row r="1387" spans="1:46" ht="12.75" customHeight="1" x14ac:dyDescent="0.25">
      <c r="A1387" s="1371" t="s">
        <v>481</v>
      </c>
      <c r="B1387" s="1371" t="s">
        <v>4575</v>
      </c>
      <c r="C1387">
        <f t="shared" ref="C1387:C1408" si="332">SUM(G1387:Z1387)</f>
        <v>1</v>
      </c>
      <c r="F1387" s="1141">
        <f t="shared" ref="F1387:F1408" si="333">COUNT(G1387:Z1387)</f>
        <v>1</v>
      </c>
      <c r="G1387" s="1298"/>
      <c r="H1387" s="1297"/>
      <c r="I1387" s="198"/>
      <c r="J1387" s="23"/>
      <c r="K1387" s="344">
        <v>1</v>
      </c>
      <c r="L1387" s="344"/>
      <c r="M1387" s="23"/>
      <c r="O1387" s="23"/>
      <c r="P1387" s="1144"/>
      <c r="Q1387" s="1144"/>
      <c r="S1387" s="23"/>
      <c r="T1387" s="198"/>
      <c r="U1387" s="198"/>
      <c r="V1387" s="23"/>
      <c r="X1387" s="23"/>
      <c r="Z1387" s="23"/>
      <c r="AF1387" s="9"/>
      <c r="AH1387" s="9"/>
      <c r="AL1387" s="185"/>
      <c r="AM1387" s="41"/>
      <c r="AN1387" s="41"/>
      <c r="AO1387" s="41"/>
      <c r="AP1387" s="41"/>
      <c r="AQ1387" s="41"/>
      <c r="AR1387" s="41"/>
      <c r="AS1387" s="41"/>
    </row>
    <row r="1388" spans="1:46" ht="12.75" customHeight="1" x14ac:dyDescent="0.25">
      <c r="A1388" s="1371" t="s">
        <v>3251</v>
      </c>
      <c r="B1388" s="1371" t="s">
        <v>3252</v>
      </c>
      <c r="C1388">
        <f t="shared" si="332"/>
        <v>1</v>
      </c>
      <c r="F1388" s="1141">
        <f t="shared" si="333"/>
        <v>1</v>
      </c>
      <c r="G1388" s="1298"/>
      <c r="H1388" s="1297"/>
      <c r="I1388" s="198"/>
      <c r="J1388" s="23"/>
      <c r="K1388" s="344"/>
      <c r="L1388" s="344"/>
      <c r="M1388" s="23"/>
      <c r="O1388" s="23"/>
      <c r="P1388" s="1144"/>
      <c r="Q1388" s="1144"/>
      <c r="S1388" s="23"/>
      <c r="T1388" s="198"/>
      <c r="U1388" s="198"/>
      <c r="V1388" s="23">
        <v>1</v>
      </c>
      <c r="X1388" s="23"/>
      <c r="Z1388" s="23"/>
      <c r="AF1388" s="9"/>
      <c r="AH1388" s="9"/>
      <c r="AL1388" s="185"/>
      <c r="AM1388" s="41"/>
      <c r="AN1388" s="41"/>
      <c r="AO1388" s="41"/>
      <c r="AP1388" s="41"/>
      <c r="AQ1388" s="41"/>
      <c r="AR1388" s="41"/>
      <c r="AS1388" s="41"/>
    </row>
    <row r="1389" spans="1:46" ht="12.75" customHeight="1" x14ac:dyDescent="0.25">
      <c r="A1389" s="1374" t="s">
        <v>4264</v>
      </c>
      <c r="B1389" s="1374" t="s">
        <v>5239</v>
      </c>
      <c r="C1389">
        <f t="shared" si="332"/>
        <v>1</v>
      </c>
      <c r="F1389" s="1141">
        <f t="shared" si="333"/>
        <v>1</v>
      </c>
      <c r="G1389" s="1298"/>
      <c r="H1389" s="1297"/>
      <c r="I1389" s="198"/>
      <c r="J1389" s="23"/>
      <c r="K1389" s="344"/>
      <c r="L1389" s="344"/>
      <c r="M1389" s="1377">
        <v>1</v>
      </c>
      <c r="N1389" s="1371"/>
      <c r="O1389" s="1377"/>
      <c r="P1389" s="1452"/>
      <c r="Q1389" s="1452"/>
      <c r="R1389" s="1371"/>
      <c r="S1389" s="1377"/>
      <c r="T1389" s="1628"/>
      <c r="U1389" s="198"/>
      <c r="V1389" s="23"/>
      <c r="X1389" s="23"/>
      <c r="Z1389" s="23"/>
      <c r="AF1389" s="9"/>
      <c r="AH1389" s="9"/>
      <c r="AL1389" s="185"/>
      <c r="AM1389" s="41"/>
      <c r="AN1389" s="41"/>
      <c r="AO1389" s="41"/>
      <c r="AP1389" s="41"/>
      <c r="AQ1389" s="41"/>
      <c r="AR1389" s="41"/>
      <c r="AS1389" s="41"/>
    </row>
    <row r="1390" spans="1:46" ht="12.75" customHeight="1" x14ac:dyDescent="0.25">
      <c r="A1390" s="1370" t="s">
        <v>4963</v>
      </c>
      <c r="B1390" s="1370" t="s">
        <v>8339</v>
      </c>
      <c r="C1390">
        <f t="shared" si="332"/>
        <v>1</v>
      </c>
      <c r="F1390" s="1141">
        <f t="shared" si="333"/>
        <v>1</v>
      </c>
      <c r="G1390" s="1298"/>
      <c r="H1390" s="1297"/>
      <c r="I1390" s="198"/>
      <c r="J1390" s="23"/>
      <c r="K1390" s="344"/>
      <c r="L1390" s="344"/>
      <c r="M1390" s="1377"/>
      <c r="N1390" s="1371"/>
      <c r="O1390" s="1377">
        <v>1</v>
      </c>
      <c r="P1390" s="1452"/>
      <c r="Q1390" s="1452"/>
      <c r="R1390" s="1371"/>
      <c r="S1390" s="1377"/>
      <c r="T1390" s="1628"/>
      <c r="U1390" s="198"/>
      <c r="V1390" s="23"/>
      <c r="X1390" s="23"/>
      <c r="Z1390" s="23"/>
      <c r="AF1390" s="9"/>
      <c r="AH1390" s="9"/>
      <c r="AL1390" s="185"/>
      <c r="AM1390" s="41"/>
      <c r="AN1390" s="41"/>
      <c r="AO1390" s="41"/>
      <c r="AP1390" s="41"/>
      <c r="AQ1390" s="41"/>
      <c r="AR1390" s="41"/>
      <c r="AS1390" s="41"/>
    </row>
    <row r="1391" spans="1:46" ht="12.75" customHeight="1" x14ac:dyDescent="0.25">
      <c r="A1391" s="1371" t="s">
        <v>859</v>
      </c>
      <c r="B1391" s="1371" t="s">
        <v>2619</v>
      </c>
      <c r="C1391">
        <f t="shared" si="332"/>
        <v>1</v>
      </c>
      <c r="F1391" s="1141">
        <f t="shared" si="333"/>
        <v>1</v>
      </c>
      <c r="G1391" s="1298"/>
      <c r="H1391" s="1297"/>
      <c r="I1391" s="198"/>
      <c r="J1391" s="23"/>
      <c r="K1391" s="344">
        <v>1</v>
      </c>
      <c r="L1391" s="344"/>
      <c r="M1391" s="1377"/>
      <c r="N1391" s="1371"/>
      <c r="O1391" s="1377"/>
      <c r="P1391" s="1452"/>
      <c r="Q1391" s="1452"/>
      <c r="R1391" s="1371"/>
      <c r="S1391" s="1377"/>
      <c r="T1391" s="1628"/>
      <c r="U1391" s="198"/>
      <c r="V1391" s="23"/>
      <c r="X1391" s="23"/>
      <c r="Z1391" s="23"/>
      <c r="AF1391" s="9"/>
      <c r="AH1391" s="9"/>
      <c r="AL1391" s="185"/>
      <c r="AM1391" s="41"/>
      <c r="AN1391" s="41"/>
      <c r="AO1391" s="41"/>
      <c r="AP1391" s="41"/>
      <c r="AQ1391" s="41"/>
      <c r="AR1391" s="41"/>
      <c r="AS1391" s="41"/>
    </row>
    <row r="1392" spans="1:46" ht="12.75" customHeight="1" x14ac:dyDescent="0.25">
      <c r="A1392" s="1389" t="s">
        <v>2984</v>
      </c>
      <c r="B1392" s="1389" t="s">
        <v>6326</v>
      </c>
      <c r="C1392">
        <f t="shared" si="332"/>
        <v>0</v>
      </c>
      <c r="F1392" s="1141">
        <f t="shared" si="333"/>
        <v>0</v>
      </c>
      <c r="G1392" s="1298"/>
      <c r="H1392" s="1297"/>
      <c r="I1392" s="198"/>
      <c r="J1392" s="23"/>
      <c r="K1392" s="344"/>
      <c r="L1392" s="344"/>
      <c r="M1392" s="1377"/>
      <c r="N1392" s="1371"/>
      <c r="O1392" s="1377"/>
      <c r="P1392" s="1452"/>
      <c r="Q1392" s="1452"/>
      <c r="R1392" s="1371"/>
      <c r="S1392" s="1377"/>
      <c r="T1392" s="1628"/>
      <c r="U1392" s="198"/>
      <c r="V1392" s="23"/>
      <c r="X1392" s="1643"/>
      <c r="Z1392" s="23"/>
      <c r="AB1392" s="80" t="s">
        <v>13482</v>
      </c>
      <c r="AH1392" s="9"/>
      <c r="AL1392" s="41"/>
      <c r="AT1392" s="185"/>
    </row>
    <row r="1393" spans="1:46" ht="12.75" customHeight="1" x14ac:dyDescent="0.25">
      <c r="A1393" s="1371" t="s">
        <v>3508</v>
      </c>
      <c r="B1393" s="1371" t="s">
        <v>3632</v>
      </c>
      <c r="C1393">
        <f t="shared" si="332"/>
        <v>3</v>
      </c>
      <c r="F1393" s="1141">
        <f t="shared" si="333"/>
        <v>3</v>
      </c>
      <c r="G1393" s="1298"/>
      <c r="H1393" s="1297">
        <v>1</v>
      </c>
      <c r="I1393" s="198"/>
      <c r="J1393" s="23"/>
      <c r="K1393" s="344">
        <v>1</v>
      </c>
      <c r="L1393" s="344"/>
      <c r="M1393" s="1377"/>
      <c r="N1393" s="1371"/>
      <c r="O1393" s="1377"/>
      <c r="P1393" s="1452">
        <v>1</v>
      </c>
      <c r="Q1393" s="1452"/>
      <c r="R1393" s="1371"/>
      <c r="S1393" s="1377"/>
      <c r="T1393" s="1628"/>
      <c r="U1393" s="198"/>
      <c r="V1393" s="23"/>
      <c r="X1393" s="23"/>
      <c r="Z1393" s="23"/>
      <c r="AH1393" s="9"/>
      <c r="AL1393" s="41"/>
      <c r="AT1393" s="185"/>
    </row>
    <row r="1394" spans="1:46" ht="12.75" customHeight="1" x14ac:dyDescent="0.25">
      <c r="A1394" s="1370" t="s">
        <v>3230</v>
      </c>
      <c r="B1394" s="1370" t="s">
        <v>11625</v>
      </c>
      <c r="C1394">
        <f t="shared" si="332"/>
        <v>2</v>
      </c>
      <c r="F1394" s="1141">
        <f t="shared" si="333"/>
        <v>1</v>
      </c>
      <c r="G1394" s="1298"/>
      <c r="H1394" s="1297"/>
      <c r="I1394" s="198">
        <v>2</v>
      </c>
      <c r="J1394" s="23"/>
      <c r="K1394" s="344"/>
      <c r="L1394" s="344"/>
      <c r="M1394" s="1377"/>
      <c r="N1394" s="1371"/>
      <c r="O1394" s="1377"/>
      <c r="P1394" s="1452"/>
      <c r="Q1394" s="1452"/>
      <c r="R1394" s="1371"/>
      <c r="S1394" s="1377"/>
      <c r="T1394" s="1628"/>
      <c r="U1394" s="198"/>
      <c r="V1394" s="23"/>
      <c r="X1394" s="23"/>
      <c r="Z1394" s="23"/>
      <c r="AK1394" s="185"/>
      <c r="AL1394" s="41"/>
      <c r="AT1394" s="185"/>
    </row>
    <row r="1395" spans="1:46" ht="12.75" customHeight="1" x14ac:dyDescent="0.25">
      <c r="A1395" s="1374" t="s">
        <v>922</v>
      </c>
      <c r="B1395" s="1374" t="s">
        <v>1530</v>
      </c>
      <c r="C1395">
        <f t="shared" si="332"/>
        <v>2</v>
      </c>
      <c r="F1395" s="1141">
        <f t="shared" si="333"/>
        <v>2</v>
      </c>
      <c r="G1395" s="1298"/>
      <c r="H1395" s="1297"/>
      <c r="I1395" s="198"/>
      <c r="J1395" s="23"/>
      <c r="K1395" s="344"/>
      <c r="L1395" s="1438">
        <v>1</v>
      </c>
      <c r="M1395" s="1377">
        <v>1</v>
      </c>
      <c r="N1395" s="1371"/>
      <c r="O1395" s="1377"/>
      <c r="P1395" s="1452"/>
      <c r="Q1395" s="1452"/>
      <c r="R1395" s="1371"/>
      <c r="S1395" s="1377"/>
      <c r="T1395" s="1628"/>
      <c r="U1395" s="198"/>
      <c r="V1395" s="23"/>
      <c r="X1395" s="23"/>
      <c r="Z1395" s="23"/>
      <c r="AK1395" s="185"/>
      <c r="AL1395" s="41"/>
      <c r="AT1395" s="185"/>
    </row>
    <row r="1396" spans="1:46" ht="12.75" customHeight="1" x14ac:dyDescent="0.25">
      <c r="A1396" s="1371" t="s">
        <v>1796</v>
      </c>
      <c r="B1396" s="1371" t="s">
        <v>1797</v>
      </c>
      <c r="C1396">
        <f t="shared" si="332"/>
        <v>3</v>
      </c>
      <c r="F1396" s="1141">
        <f t="shared" si="333"/>
        <v>3</v>
      </c>
      <c r="G1396" s="1298"/>
      <c r="H1396" s="1297"/>
      <c r="I1396" s="198"/>
      <c r="J1396" s="23">
        <v>1</v>
      </c>
      <c r="K1396" s="344">
        <v>1</v>
      </c>
      <c r="L1396" s="344"/>
      <c r="M1396" s="1377">
        <v>1</v>
      </c>
      <c r="N1396" s="1371"/>
      <c r="O1396" s="1377"/>
      <c r="P1396" s="1452"/>
      <c r="Q1396" s="1452"/>
      <c r="R1396" s="1371"/>
      <c r="S1396" s="1377"/>
      <c r="T1396" s="1628"/>
      <c r="U1396" s="198"/>
      <c r="V1396" s="23"/>
      <c r="X1396" s="23"/>
      <c r="Z1396" s="23"/>
      <c r="AK1396" s="185"/>
      <c r="AL1396" s="41"/>
      <c r="AT1396" s="185"/>
    </row>
    <row r="1397" spans="1:46" ht="12.75" customHeight="1" x14ac:dyDescent="0.25">
      <c r="A1397" s="1374" t="s">
        <v>3011</v>
      </c>
      <c r="B1397" s="1374" t="s">
        <v>3012</v>
      </c>
      <c r="C1397">
        <f t="shared" si="332"/>
        <v>1</v>
      </c>
      <c r="F1397" s="1141">
        <f t="shared" si="333"/>
        <v>1</v>
      </c>
      <c r="G1397" s="1298"/>
      <c r="H1397" s="1297"/>
      <c r="I1397" s="198"/>
      <c r="J1397" s="23"/>
      <c r="K1397" s="344"/>
      <c r="L1397" s="344"/>
      <c r="M1397" s="1377"/>
      <c r="N1397" s="1371"/>
      <c r="O1397" s="1377"/>
      <c r="P1397" s="1452"/>
      <c r="Q1397" s="1452"/>
      <c r="R1397" s="1371"/>
      <c r="S1397" s="1377">
        <v>1</v>
      </c>
      <c r="T1397" s="1628"/>
      <c r="U1397" s="198"/>
      <c r="V1397" s="23"/>
      <c r="X1397" s="23"/>
      <c r="Z1397" s="23"/>
      <c r="AK1397" s="185"/>
      <c r="AL1397" s="41"/>
      <c r="AT1397" s="185"/>
    </row>
    <row r="1398" spans="1:46" ht="12.75" customHeight="1" x14ac:dyDescent="0.25">
      <c r="A1398" s="1371" t="s">
        <v>665</v>
      </c>
      <c r="B1398" s="1371" t="s">
        <v>666</v>
      </c>
      <c r="C1398">
        <f t="shared" si="332"/>
        <v>2</v>
      </c>
      <c r="F1398" s="1141">
        <f t="shared" si="333"/>
        <v>2</v>
      </c>
      <c r="G1398" s="1298"/>
      <c r="H1398" s="1297"/>
      <c r="I1398" s="198">
        <v>1</v>
      </c>
      <c r="J1398" s="23"/>
      <c r="K1398" s="344">
        <v>1</v>
      </c>
      <c r="L1398" s="344"/>
      <c r="M1398" s="1377"/>
      <c r="N1398" s="1371"/>
      <c r="O1398" s="1377"/>
      <c r="P1398" s="1452"/>
      <c r="Q1398" s="1452"/>
      <c r="R1398" s="1371"/>
      <c r="S1398" s="1377"/>
      <c r="T1398" s="1628"/>
      <c r="U1398" s="198"/>
      <c r="V1398" s="23"/>
      <c r="X1398" s="23"/>
      <c r="Z1398" s="23"/>
      <c r="AK1398" s="185"/>
      <c r="AL1398" s="185"/>
      <c r="AT1398" s="185"/>
    </row>
    <row r="1399" spans="1:46" ht="12.75" customHeight="1" x14ac:dyDescent="0.25">
      <c r="A1399" s="1374" t="s">
        <v>2137</v>
      </c>
      <c r="B1399" s="1374" t="s">
        <v>4943</v>
      </c>
      <c r="C1399">
        <f t="shared" si="332"/>
        <v>3</v>
      </c>
      <c r="F1399" s="1141">
        <f t="shared" si="333"/>
        <v>1</v>
      </c>
      <c r="G1399" s="1298"/>
      <c r="H1399" s="1297"/>
      <c r="I1399" s="198"/>
      <c r="J1399" s="23"/>
      <c r="K1399" s="344"/>
      <c r="L1399" s="344"/>
      <c r="M1399" s="1377"/>
      <c r="N1399" s="1371"/>
      <c r="O1399" s="1377"/>
      <c r="P1399" s="1441">
        <v>3</v>
      </c>
      <c r="Q1399" s="1441"/>
      <c r="R1399" s="1371"/>
      <c r="S1399" s="1377"/>
      <c r="T1399" s="1628"/>
      <c r="U1399" s="198"/>
      <c r="V1399" s="23"/>
      <c r="X1399" s="23"/>
      <c r="Z1399" s="23"/>
      <c r="AK1399" s="185"/>
      <c r="AL1399" s="185"/>
      <c r="AT1399" s="185"/>
    </row>
    <row r="1400" spans="1:46" ht="12.75" customHeight="1" x14ac:dyDescent="0.25">
      <c r="A1400" s="1371" t="s">
        <v>2478</v>
      </c>
      <c r="B1400" s="1371" t="s">
        <v>2479</v>
      </c>
      <c r="C1400">
        <f t="shared" si="332"/>
        <v>3</v>
      </c>
      <c r="F1400" s="1141">
        <f t="shared" si="333"/>
        <v>2</v>
      </c>
      <c r="G1400" s="1298"/>
      <c r="H1400" s="1297"/>
      <c r="I1400" s="198"/>
      <c r="J1400" s="23"/>
      <c r="K1400" s="344"/>
      <c r="L1400" s="344"/>
      <c r="M1400" s="1377"/>
      <c r="N1400" s="1371"/>
      <c r="O1400" s="1377"/>
      <c r="P1400" s="1441">
        <v>2</v>
      </c>
      <c r="Q1400" s="1441">
        <v>1</v>
      </c>
      <c r="R1400" s="1371"/>
      <c r="S1400" s="1377"/>
      <c r="T1400" s="1628"/>
      <c r="U1400" s="198"/>
      <c r="V1400" s="23"/>
      <c r="X1400" s="23"/>
      <c r="Z1400" s="23"/>
      <c r="AL1400" s="185"/>
      <c r="AT1400" s="185"/>
    </row>
    <row r="1401" spans="1:46" ht="12.75" customHeight="1" x14ac:dyDescent="0.25">
      <c r="A1401" s="1371" t="s">
        <v>3535</v>
      </c>
      <c r="B1401" s="1371" t="s">
        <v>3536</v>
      </c>
      <c r="C1401">
        <f t="shared" si="332"/>
        <v>1</v>
      </c>
      <c r="F1401" s="1141">
        <f t="shared" si="333"/>
        <v>1</v>
      </c>
      <c r="G1401" s="1298"/>
      <c r="H1401" s="1297"/>
      <c r="I1401" s="198"/>
      <c r="J1401" s="23"/>
      <c r="K1401" s="344">
        <v>1</v>
      </c>
      <c r="L1401" s="344"/>
      <c r="M1401" s="1377"/>
      <c r="N1401" s="1371"/>
      <c r="O1401" s="1377"/>
      <c r="P1401" s="1452"/>
      <c r="Q1401" s="1452"/>
      <c r="R1401" s="1371"/>
      <c r="S1401" s="1377"/>
      <c r="T1401" s="1628"/>
      <c r="U1401" s="198"/>
      <c r="V1401" s="23"/>
      <c r="X1401" s="23"/>
      <c r="Z1401" s="23"/>
      <c r="AT1401" s="185"/>
    </row>
    <row r="1402" spans="1:46" ht="12.75" customHeight="1" x14ac:dyDescent="0.25">
      <c r="A1402" s="1371" t="s">
        <v>3960</v>
      </c>
      <c r="B1402" s="1371" t="s">
        <v>3961</v>
      </c>
      <c r="C1402">
        <f t="shared" si="332"/>
        <v>1</v>
      </c>
      <c r="F1402" s="1141">
        <f t="shared" si="333"/>
        <v>1</v>
      </c>
      <c r="G1402" s="1298"/>
      <c r="H1402" s="1297"/>
      <c r="I1402" s="198"/>
      <c r="J1402" s="23"/>
      <c r="K1402" s="344">
        <v>1</v>
      </c>
      <c r="L1402" s="344"/>
      <c r="M1402" s="1377"/>
      <c r="N1402" s="1371"/>
      <c r="O1402" s="1377"/>
      <c r="P1402" s="1452"/>
      <c r="Q1402" s="1452"/>
      <c r="R1402" s="1371"/>
      <c r="S1402" s="1377"/>
      <c r="T1402" s="1628"/>
      <c r="U1402" s="198"/>
      <c r="V1402" s="23"/>
      <c r="X1402" s="23"/>
      <c r="Z1402" s="23"/>
      <c r="AT1402" s="185"/>
    </row>
    <row r="1403" spans="1:46" ht="12.75" customHeight="1" x14ac:dyDescent="0.25">
      <c r="A1403" s="1371" t="s">
        <v>2416</v>
      </c>
      <c r="B1403" s="1371" t="s">
        <v>2417</v>
      </c>
      <c r="C1403">
        <f t="shared" si="332"/>
        <v>1</v>
      </c>
      <c r="F1403" s="1141">
        <f t="shared" si="333"/>
        <v>1</v>
      </c>
      <c r="G1403" s="1298"/>
      <c r="H1403" s="1297"/>
      <c r="I1403" s="198"/>
      <c r="J1403" s="23"/>
      <c r="K1403" s="344">
        <v>1</v>
      </c>
      <c r="L1403" s="344"/>
      <c r="M1403" s="1377"/>
      <c r="N1403" s="1371"/>
      <c r="O1403" s="1377"/>
      <c r="P1403" s="1452"/>
      <c r="Q1403" s="1452"/>
      <c r="R1403" s="1371"/>
      <c r="S1403" s="1377"/>
      <c r="T1403" s="1628"/>
      <c r="U1403" s="198"/>
      <c r="V1403" s="23"/>
      <c r="X1403" s="23"/>
      <c r="Z1403" s="23"/>
      <c r="AT1403" s="185"/>
    </row>
    <row r="1404" spans="1:46" ht="12.75" customHeight="1" x14ac:dyDescent="0.25">
      <c r="A1404" s="1371" t="s">
        <v>866</v>
      </c>
      <c r="B1404" s="1371" t="s">
        <v>2417</v>
      </c>
      <c r="C1404">
        <f t="shared" si="332"/>
        <v>1</v>
      </c>
      <c r="F1404" s="1141">
        <f t="shared" si="333"/>
        <v>1</v>
      </c>
      <c r="G1404" s="1298"/>
      <c r="H1404" s="1297"/>
      <c r="I1404" s="198"/>
      <c r="J1404" s="23"/>
      <c r="K1404" s="344">
        <v>1</v>
      </c>
      <c r="L1404" s="344"/>
      <c r="M1404" s="23"/>
      <c r="O1404" s="23"/>
      <c r="P1404" s="1144"/>
      <c r="Q1404" s="1144"/>
      <c r="S1404" s="23"/>
      <c r="T1404" s="198"/>
      <c r="U1404" s="198"/>
      <c r="V1404" s="23"/>
      <c r="X1404" s="23"/>
      <c r="Z1404" s="23"/>
      <c r="AT1404" s="185"/>
    </row>
    <row r="1405" spans="1:46" ht="12.75" customHeight="1" x14ac:dyDescent="0.25">
      <c r="A1405" s="1371" t="s">
        <v>3543</v>
      </c>
      <c r="B1405" s="1371" t="s">
        <v>6122</v>
      </c>
      <c r="C1405">
        <f t="shared" si="332"/>
        <v>2</v>
      </c>
      <c r="F1405" s="1141">
        <f t="shared" si="333"/>
        <v>2</v>
      </c>
      <c r="G1405" s="1298"/>
      <c r="H1405" s="1296"/>
      <c r="I1405" s="416"/>
      <c r="J1405" s="358"/>
      <c r="K1405" s="344"/>
      <c r="L1405" s="344"/>
      <c r="M1405" s="23"/>
      <c r="O1405" s="23"/>
      <c r="P1405" s="1144"/>
      <c r="Q1405" s="1144"/>
      <c r="S1405" s="23"/>
      <c r="T1405" s="1628">
        <v>1</v>
      </c>
      <c r="U1405" s="198">
        <v>1</v>
      </c>
      <c r="V1405" s="23"/>
      <c r="X1405" s="23"/>
      <c r="Z1405" s="23"/>
      <c r="AT1405" s="185"/>
    </row>
    <row r="1406" spans="1:46" ht="12.75" customHeight="1" x14ac:dyDescent="0.25">
      <c r="A1406" s="1389" t="s">
        <v>2706</v>
      </c>
      <c r="B1406" s="1389" t="s">
        <v>2707</v>
      </c>
      <c r="C1406">
        <f t="shared" si="332"/>
        <v>0</v>
      </c>
      <c r="F1406" s="1141">
        <f t="shared" si="333"/>
        <v>0</v>
      </c>
      <c r="G1406" s="584"/>
      <c r="H1406" s="1296"/>
      <c r="I1406" s="416"/>
      <c r="J1406" s="358"/>
      <c r="K1406" s="344"/>
      <c r="L1406" s="344"/>
      <c r="M1406" s="23"/>
      <c r="O1406" s="23"/>
      <c r="P1406" s="1144"/>
      <c r="Q1406" s="1144"/>
      <c r="S1406" s="23"/>
      <c r="T1406" s="198"/>
      <c r="U1406" s="198"/>
      <c r="V1406" s="23"/>
      <c r="X1406" s="23"/>
      <c r="Z1406" s="23"/>
      <c r="AB1406" s="80" t="s">
        <v>12645</v>
      </c>
      <c r="AT1406" s="185"/>
    </row>
    <row r="1407" spans="1:46" ht="12.75" customHeight="1" x14ac:dyDescent="0.25">
      <c r="A1407" s="1370" t="s">
        <v>3535</v>
      </c>
      <c r="B1407" s="1370" t="s">
        <v>1026</v>
      </c>
      <c r="C1407">
        <f t="shared" si="332"/>
        <v>2</v>
      </c>
      <c r="F1407" s="1141">
        <f t="shared" si="333"/>
        <v>2</v>
      </c>
      <c r="G1407" s="1447">
        <v>1</v>
      </c>
      <c r="H1407" s="1296"/>
      <c r="I1407" s="416"/>
      <c r="J1407" s="358"/>
      <c r="K1407" s="344"/>
      <c r="L1407" s="344"/>
      <c r="M1407" s="23"/>
      <c r="O1407" s="23"/>
      <c r="P1407" s="1144"/>
      <c r="Q1407" s="1144"/>
      <c r="S1407" s="23"/>
      <c r="T1407" s="198"/>
      <c r="U1407" s="198"/>
      <c r="V1407" s="23"/>
      <c r="X1407" s="23"/>
      <c r="Z1407" s="1381">
        <v>1</v>
      </c>
      <c r="AF1407" s="9"/>
      <c r="AL1407" s="185"/>
      <c r="AM1407" s="41"/>
      <c r="AN1407" s="41"/>
      <c r="AO1407" s="41"/>
      <c r="AP1407" s="41"/>
      <c r="AQ1407" s="41"/>
      <c r="AR1407" s="41"/>
      <c r="AS1407" s="41"/>
    </row>
    <row r="1408" spans="1:46" ht="12.75" customHeight="1" x14ac:dyDescent="0.25">
      <c r="A1408" s="1374" t="s">
        <v>3535</v>
      </c>
      <c r="B1408" s="1374" t="s">
        <v>4741</v>
      </c>
      <c r="C1408">
        <f t="shared" si="332"/>
        <v>1</v>
      </c>
      <c r="F1408" s="1141">
        <f t="shared" si="333"/>
        <v>1</v>
      </c>
      <c r="G1408" s="1447"/>
      <c r="H1408" s="1296"/>
      <c r="I1408" s="416"/>
      <c r="J1408" s="358"/>
      <c r="K1408" s="344"/>
      <c r="L1408" s="344"/>
      <c r="M1408" s="1377">
        <v>1</v>
      </c>
      <c r="O1408" s="23"/>
      <c r="P1408" s="1144"/>
      <c r="Q1408" s="1144"/>
      <c r="S1408" s="23"/>
      <c r="T1408" s="198"/>
      <c r="U1408" s="198"/>
      <c r="V1408" s="23"/>
      <c r="X1408" s="23"/>
      <c r="Z1408" s="1381"/>
      <c r="AF1408" s="9"/>
      <c r="AL1408" s="185"/>
      <c r="AM1408" s="41"/>
      <c r="AN1408" s="41"/>
      <c r="AO1408" s="41"/>
      <c r="AP1408" s="41"/>
      <c r="AQ1408" s="41"/>
      <c r="AR1408" s="41"/>
      <c r="AS1408" s="41"/>
    </row>
    <row r="1409" spans="1:45" ht="12.75" customHeight="1" x14ac:dyDescent="0.25">
      <c r="C1409" s="23">
        <f>SUM(C1387:C1408)</f>
        <v>33</v>
      </c>
      <c r="F1409"/>
      <c r="G1409" s="322">
        <f>SUM(G1387:G1408)</f>
        <v>1</v>
      </c>
      <c r="H1409" s="322">
        <f t="shared" ref="H1409:Z1409" si="334">SUM(H1387:H1408)</f>
        <v>1</v>
      </c>
      <c r="I1409" s="322">
        <f t="shared" si="334"/>
        <v>3</v>
      </c>
      <c r="J1409" s="322">
        <f t="shared" si="334"/>
        <v>1</v>
      </c>
      <c r="K1409" s="322">
        <f t="shared" si="334"/>
        <v>9</v>
      </c>
      <c r="L1409" s="322">
        <f t="shared" ref="L1409" si="335">SUM(L1387:L1408)</f>
        <v>1</v>
      </c>
      <c r="M1409" s="322">
        <f t="shared" si="334"/>
        <v>4</v>
      </c>
      <c r="N1409" s="1380"/>
      <c r="O1409" s="322">
        <f t="shared" si="334"/>
        <v>1</v>
      </c>
      <c r="P1409" s="322">
        <f t="shared" si="334"/>
        <v>6</v>
      </c>
      <c r="Q1409" s="322">
        <f t="shared" si="334"/>
        <v>1</v>
      </c>
      <c r="R1409" s="1380"/>
      <c r="S1409" s="322">
        <f t="shared" si="334"/>
        <v>1</v>
      </c>
      <c r="T1409" s="322">
        <f t="shared" si="334"/>
        <v>1</v>
      </c>
      <c r="U1409" s="322">
        <f t="shared" si="334"/>
        <v>1</v>
      </c>
      <c r="V1409" s="322">
        <f t="shared" si="334"/>
        <v>1</v>
      </c>
      <c r="W1409" s="1380"/>
      <c r="X1409" s="322"/>
      <c r="Y1409" s="1380"/>
      <c r="Z1409" s="322">
        <f t="shared" si="334"/>
        <v>1</v>
      </c>
      <c r="AF1409" s="9"/>
      <c r="AL1409" s="185"/>
      <c r="AM1409" s="41"/>
      <c r="AN1409" s="41"/>
      <c r="AO1409" s="41"/>
      <c r="AP1409" s="41"/>
      <c r="AQ1409" s="41"/>
      <c r="AR1409" s="41"/>
      <c r="AS1409" s="41"/>
    </row>
    <row r="1410" spans="1:45" ht="12.75" customHeight="1" x14ac:dyDescent="0.25">
      <c r="C1410"/>
      <c r="E1410" s="1377">
        <f>COUNT(G1410:Z1410)</f>
        <v>15</v>
      </c>
      <c r="F1410"/>
      <c r="G1410" s="322">
        <f>COUNT(G1387:G1408)</f>
        <v>1</v>
      </c>
      <c r="H1410" s="322">
        <f t="shared" ref="H1410:Z1410" si="336">COUNT(H1387:H1408)</f>
        <v>1</v>
      </c>
      <c r="I1410" s="322">
        <f t="shared" si="336"/>
        <v>2</v>
      </c>
      <c r="J1410" s="322">
        <f t="shared" si="336"/>
        <v>1</v>
      </c>
      <c r="K1410" s="322">
        <f t="shared" si="336"/>
        <v>9</v>
      </c>
      <c r="L1410" s="322">
        <f t="shared" ref="L1410" si="337">COUNT(L1387:L1408)</f>
        <v>1</v>
      </c>
      <c r="M1410" s="322">
        <f t="shared" si="336"/>
        <v>4</v>
      </c>
      <c r="N1410" s="1380"/>
      <c r="O1410" s="322">
        <f t="shared" si="336"/>
        <v>1</v>
      </c>
      <c r="P1410" s="322">
        <f t="shared" si="336"/>
        <v>3</v>
      </c>
      <c r="Q1410" s="322">
        <f t="shared" si="336"/>
        <v>1</v>
      </c>
      <c r="R1410" s="1380"/>
      <c r="S1410" s="322">
        <f t="shared" si="336"/>
        <v>1</v>
      </c>
      <c r="T1410" s="322">
        <f t="shared" si="336"/>
        <v>1</v>
      </c>
      <c r="U1410" s="322">
        <f t="shared" si="336"/>
        <v>1</v>
      </c>
      <c r="V1410" s="322">
        <f t="shared" si="336"/>
        <v>1</v>
      </c>
      <c r="W1410" s="1380"/>
      <c r="X1410" s="322"/>
      <c r="Y1410" s="1380"/>
      <c r="Z1410" s="322">
        <f t="shared" si="336"/>
        <v>1</v>
      </c>
      <c r="AF1410" s="9"/>
      <c r="AL1410" s="185"/>
      <c r="AM1410" s="41"/>
      <c r="AN1410" s="41"/>
      <c r="AO1410" s="41"/>
      <c r="AP1410" s="41"/>
      <c r="AQ1410" s="41"/>
      <c r="AR1410" s="41"/>
      <c r="AS1410" s="41"/>
    </row>
    <row r="1411" spans="1:45" ht="12.75" customHeight="1" x14ac:dyDescent="0.25">
      <c r="C1411" s="9">
        <f>C1409+C1353+C1303+C1288+C1199+C1115+C1086+C999+C956+C876+C538+C553+C744+C629+C215+C499+C459+D147+C1270+C1164+C1244+U1269+T1137</f>
        <v>11012</v>
      </c>
      <c r="F1411"/>
      <c r="G1411" s="565" t="s">
        <v>15489</v>
      </c>
      <c r="H1411" s="627"/>
      <c r="I1411" s="258" t="s">
        <v>4583</v>
      </c>
      <c r="J1411" s="190"/>
      <c r="K1411" s="190" t="s">
        <v>8727</v>
      </c>
      <c r="L1411" s="190"/>
      <c r="M1411" s="561" t="s">
        <v>16737</v>
      </c>
      <c r="N1411" s="185"/>
      <c r="O1411" s="565"/>
      <c r="P1411" s="258" t="s">
        <v>9905</v>
      </c>
      <c r="Q1411" s="245"/>
      <c r="S1411" s="669" t="s">
        <v>16782</v>
      </c>
      <c r="T1411" s="1077"/>
      <c r="U1411" s="896" t="s">
        <v>8460</v>
      </c>
      <c r="V1411" s="627"/>
      <c r="X1411" s="565" t="s">
        <v>12438</v>
      </c>
      <c r="Z1411" s="80"/>
      <c r="AF1411" s="9"/>
      <c r="AL1411" s="185"/>
      <c r="AM1411" s="41"/>
      <c r="AN1411" s="41"/>
      <c r="AO1411" s="41"/>
      <c r="AP1411" s="41"/>
      <c r="AQ1411" s="41"/>
      <c r="AR1411" s="41"/>
      <c r="AS1411" s="41"/>
    </row>
    <row r="1412" spans="1:45" ht="12.75" customHeight="1" x14ac:dyDescent="0.25">
      <c r="C1412" s="30"/>
      <c r="F1412"/>
      <c r="H1412" s="539" t="s">
        <v>9339</v>
      </c>
      <c r="I1412" s="191"/>
      <c r="J1412" s="247" t="s">
        <v>8720</v>
      </c>
      <c r="K1412" s="343"/>
      <c r="L1412" s="247" t="s">
        <v>17019</v>
      </c>
      <c r="M1412" s="343"/>
      <c r="N1412" s="185"/>
      <c r="O1412" s="515" t="s">
        <v>9056</v>
      </c>
      <c r="P1412" s="558"/>
      <c r="Q1412" s="535" t="s">
        <v>9897</v>
      </c>
      <c r="T1412" s="515" t="s">
        <v>16256</v>
      </c>
      <c r="U1412" s="531"/>
      <c r="V1412" s="515" t="s">
        <v>7794</v>
      </c>
      <c r="Z1412" s="45" t="s">
        <v>15559</v>
      </c>
      <c r="AF1412" s="9"/>
      <c r="AM1412" s="41"/>
      <c r="AN1412" s="41"/>
      <c r="AO1412" s="41"/>
      <c r="AP1412" s="41"/>
      <c r="AQ1412" s="41"/>
      <c r="AR1412" s="41"/>
      <c r="AS1412" s="41"/>
    </row>
    <row r="1413" spans="1:45" ht="12.75" customHeight="1" x14ac:dyDescent="0.2">
      <c r="C1413" s="9"/>
      <c r="D1413" s="1"/>
      <c r="G1413" s="1161">
        <f>Parks!L44</f>
        <v>0</v>
      </c>
      <c r="H1413" s="1107">
        <f>Parks!L218</f>
        <v>388</v>
      </c>
      <c r="I1413" s="1277">
        <f>Parks!L248</f>
        <v>71</v>
      </c>
      <c r="J1413" s="1126">
        <f>Parks!L282</f>
        <v>369</v>
      </c>
      <c r="K1413" s="1126">
        <f>Parks!L465</f>
        <v>72</v>
      </c>
      <c r="L1413" s="1126"/>
      <c r="M1413" s="1278"/>
      <c r="N1413" s="1126">
        <f>Parks!L22</f>
        <v>377</v>
      </c>
      <c r="O1413" s="1126">
        <f>Parks!L400</f>
        <v>108</v>
      </c>
      <c r="P1413" s="1126">
        <f>Parks!L557</f>
        <v>413</v>
      </c>
      <c r="Q1413" s="870"/>
      <c r="R1413" s="870"/>
      <c r="S1413" s="870"/>
      <c r="T1413" s="1126">
        <f>Parks!L341</f>
        <v>359</v>
      </c>
      <c r="U1413" s="1126">
        <f>Parks!L484</f>
        <v>330</v>
      </c>
      <c r="W1413" s="1126">
        <f>Parks!L277</f>
        <v>487</v>
      </c>
    </row>
    <row r="1414" spans="1:45" ht="12.75" customHeight="1" x14ac:dyDescent="0.25">
      <c r="C1414" s="9"/>
      <c r="D1414" s="1"/>
      <c r="G1414" s="41"/>
      <c r="H1414" s="364"/>
      <c r="K1414" s="82"/>
    </row>
    <row r="1415" spans="1:45" ht="12.75" customHeight="1" x14ac:dyDescent="0.25">
      <c r="A1415" s="1370" t="s">
        <v>16467</v>
      </c>
      <c r="C1415" s="99" t="s">
        <v>10319</v>
      </c>
      <c r="D1415" s="1"/>
      <c r="G1415" s="41"/>
      <c r="H1415" s="364"/>
      <c r="K1415" s="82"/>
    </row>
    <row r="1416" spans="1:45" x14ac:dyDescent="0.2">
      <c r="A1416" s="1370" t="s">
        <v>9051</v>
      </c>
      <c r="C1416" s="99" t="s">
        <v>16468</v>
      </c>
      <c r="D1416" s="1"/>
    </row>
  </sheetData>
  <phoneticPr fontId="8" type="noConversion"/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338"/>
  <sheetViews>
    <sheetView topLeftCell="A267" workbookViewId="0">
      <selection activeCell="I459" sqref="I459"/>
    </sheetView>
  </sheetViews>
  <sheetFormatPr defaultRowHeight="12.75" x14ac:dyDescent="0.2"/>
  <cols>
    <col min="2" max="2" width="12.7109375" customWidth="1"/>
    <col min="4" max="4" width="10.28515625" bestFit="1" customWidth="1"/>
    <col min="5" max="5" width="18.28515625" customWidth="1"/>
    <col min="6" max="6" width="4.7109375" customWidth="1"/>
    <col min="7" max="24" width="4.28515625" customWidth="1"/>
    <col min="25" max="25" width="5.42578125" customWidth="1"/>
    <col min="26" max="26" width="10.140625" customWidth="1"/>
    <col min="27" max="27" width="10.140625" bestFit="1" customWidth="1"/>
  </cols>
  <sheetData>
    <row r="1" spans="1:27" x14ac:dyDescent="0.2">
      <c r="A1" s="2" t="s">
        <v>5706</v>
      </c>
    </row>
    <row r="2" spans="1:27" x14ac:dyDescent="0.2">
      <c r="A2" s="2"/>
    </row>
    <row r="3" spans="1:27" x14ac:dyDescent="0.2">
      <c r="A3" s="2" t="s">
        <v>3180</v>
      </c>
    </row>
    <row r="4" spans="1:27" x14ac:dyDescent="0.2">
      <c r="Y4" t="s">
        <v>1212</v>
      </c>
    </row>
    <row r="5" spans="1:27" x14ac:dyDescent="0.2">
      <c r="A5" s="2" t="s">
        <v>5707</v>
      </c>
      <c r="C5" s="2" t="s">
        <v>862</v>
      </c>
      <c r="D5" s="2" t="s">
        <v>1571</v>
      </c>
      <c r="E5" s="2" t="s">
        <v>1570</v>
      </c>
      <c r="F5" s="39" t="s">
        <v>5123</v>
      </c>
      <c r="G5" s="39" t="s">
        <v>1702</v>
      </c>
      <c r="H5" s="39" t="s">
        <v>1700</v>
      </c>
      <c r="I5" s="39" t="s">
        <v>1703</v>
      </c>
      <c r="J5" s="39" t="s">
        <v>4007</v>
      </c>
      <c r="K5" s="39" t="s">
        <v>1710</v>
      </c>
      <c r="L5" s="39" t="s">
        <v>1705</v>
      </c>
      <c r="M5" s="39" t="s">
        <v>1709</v>
      </c>
      <c r="N5" s="39" t="s">
        <v>1711</v>
      </c>
      <c r="O5" s="39" t="s">
        <v>1706</v>
      </c>
      <c r="P5" s="39" t="s">
        <v>2016</v>
      </c>
      <c r="Q5" s="39" t="s">
        <v>227</v>
      </c>
      <c r="R5" s="39" t="s">
        <v>1708</v>
      </c>
      <c r="S5" s="39" t="s">
        <v>1701</v>
      </c>
      <c r="T5" s="39" t="s">
        <v>3492</v>
      </c>
      <c r="U5" s="113" t="s">
        <v>5200</v>
      </c>
      <c r="V5" s="39" t="s">
        <v>1615</v>
      </c>
      <c r="W5" s="39" t="s">
        <v>1612</v>
      </c>
      <c r="X5" s="39" t="s">
        <v>1707</v>
      </c>
      <c r="Y5" s="113" t="s">
        <v>5432</v>
      </c>
      <c r="Z5" s="203" t="s">
        <v>3197</v>
      </c>
    </row>
    <row r="6" spans="1:27" x14ac:dyDescent="0.2">
      <c r="A6" s="53" t="s">
        <v>866</v>
      </c>
      <c r="B6" s="53" t="s">
        <v>4144</v>
      </c>
      <c r="C6">
        <f t="shared" ref="C6:C36" si="0">SUM(F6:Y6)</f>
        <v>5</v>
      </c>
      <c r="D6" s="32">
        <v>1.6284722222222221E-2</v>
      </c>
      <c r="E6" s="5" t="s">
        <v>161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5">
        <v>5</v>
      </c>
      <c r="Z6" s="34">
        <v>42112</v>
      </c>
    </row>
    <row r="7" spans="1:27" x14ac:dyDescent="0.2">
      <c r="A7" s="53" t="s">
        <v>5485</v>
      </c>
      <c r="B7" s="53" t="s">
        <v>3082</v>
      </c>
      <c r="C7" s="125">
        <f t="shared" si="0"/>
        <v>77</v>
      </c>
      <c r="D7" s="1">
        <v>1.545138888888889E-2</v>
      </c>
      <c r="E7" t="s">
        <v>5885</v>
      </c>
      <c r="H7">
        <v>1</v>
      </c>
      <c r="K7">
        <v>60</v>
      </c>
      <c r="Y7">
        <f>SUM(C60:C66)</f>
        <v>16</v>
      </c>
      <c r="Z7" s="34">
        <v>41987</v>
      </c>
    </row>
    <row r="8" spans="1:27" x14ac:dyDescent="0.2">
      <c r="A8" s="53" t="s">
        <v>3182</v>
      </c>
      <c r="B8" s="53" t="s">
        <v>3183</v>
      </c>
      <c r="C8" s="123">
        <f t="shared" si="0"/>
        <v>102</v>
      </c>
      <c r="D8" s="1">
        <v>1.315972222222222E-2</v>
      </c>
      <c r="E8" t="s">
        <v>2818</v>
      </c>
      <c r="H8">
        <v>1</v>
      </c>
      <c r="L8">
        <v>19</v>
      </c>
      <c r="O8">
        <v>11</v>
      </c>
      <c r="R8">
        <v>70</v>
      </c>
      <c r="W8">
        <v>1</v>
      </c>
      <c r="Y8">
        <v>0</v>
      </c>
      <c r="Z8" s="34">
        <v>42787</v>
      </c>
    </row>
    <row r="9" spans="1:27" x14ac:dyDescent="0.2">
      <c r="A9" s="53" t="s">
        <v>3843</v>
      </c>
      <c r="B9" s="53" t="s">
        <v>3183</v>
      </c>
      <c r="C9" s="5">
        <f t="shared" si="0"/>
        <v>67</v>
      </c>
      <c r="D9" s="1">
        <v>1.4652777777777778E-2</v>
      </c>
      <c r="E9" t="s">
        <v>5885</v>
      </c>
      <c r="H9">
        <v>2</v>
      </c>
      <c r="L9">
        <v>20</v>
      </c>
      <c r="O9">
        <v>12</v>
      </c>
      <c r="R9">
        <v>33</v>
      </c>
      <c r="Y9">
        <v>0</v>
      </c>
      <c r="Z9" s="34">
        <v>42343</v>
      </c>
    </row>
    <row r="10" spans="1:27" x14ac:dyDescent="0.2">
      <c r="A10" s="196" t="s">
        <v>3398</v>
      </c>
      <c r="B10" s="196" t="s">
        <v>3399</v>
      </c>
      <c r="C10" s="5">
        <f t="shared" si="0"/>
        <v>20</v>
      </c>
      <c r="D10" s="1">
        <v>1.3668981481481482E-2</v>
      </c>
      <c r="E10" t="s">
        <v>3400</v>
      </c>
      <c r="H10">
        <v>12</v>
      </c>
      <c r="R10">
        <v>3</v>
      </c>
      <c r="Y10">
        <v>5</v>
      </c>
      <c r="Z10" s="34">
        <v>41763</v>
      </c>
    </row>
    <row r="11" spans="1:27" x14ac:dyDescent="0.2">
      <c r="A11" s="53" t="s">
        <v>4259</v>
      </c>
      <c r="B11" s="53" t="s">
        <v>3632</v>
      </c>
      <c r="C11" s="123">
        <f t="shared" si="0"/>
        <v>128</v>
      </c>
      <c r="D11" s="1">
        <v>1.6736111111111111E-2</v>
      </c>
      <c r="E11" t="s">
        <v>5885</v>
      </c>
      <c r="F11">
        <v>4</v>
      </c>
      <c r="H11">
        <v>70</v>
      </c>
      <c r="K11">
        <v>38</v>
      </c>
      <c r="L11">
        <v>1</v>
      </c>
      <c r="M11">
        <v>1</v>
      </c>
      <c r="N11">
        <v>8</v>
      </c>
      <c r="U11">
        <v>1</v>
      </c>
      <c r="Y11">
        <v>5</v>
      </c>
      <c r="Z11" s="34">
        <v>42610</v>
      </c>
    </row>
    <row r="12" spans="1:27" x14ac:dyDescent="0.2">
      <c r="A12" s="53" t="s">
        <v>3538</v>
      </c>
      <c r="B12" s="53" t="s">
        <v>3539</v>
      </c>
      <c r="C12">
        <f t="shared" si="0"/>
        <v>3</v>
      </c>
      <c r="D12" s="1">
        <v>1.4421296296296295E-2</v>
      </c>
      <c r="E12" t="s">
        <v>5095</v>
      </c>
      <c r="G12">
        <v>1</v>
      </c>
      <c r="S12">
        <v>2</v>
      </c>
      <c r="Y12">
        <v>0</v>
      </c>
      <c r="Z12" s="34">
        <v>41611</v>
      </c>
    </row>
    <row r="13" spans="1:27" x14ac:dyDescent="0.2">
      <c r="A13" s="53" t="s">
        <v>4721</v>
      </c>
      <c r="B13" s="53" t="s">
        <v>4619</v>
      </c>
      <c r="C13">
        <f t="shared" si="0"/>
        <v>152</v>
      </c>
      <c r="D13" s="1">
        <v>1.3912037037037037E-2</v>
      </c>
      <c r="E13" t="s">
        <v>5885</v>
      </c>
      <c r="H13">
        <v>131</v>
      </c>
      <c r="K13">
        <v>1</v>
      </c>
      <c r="M13">
        <v>3</v>
      </c>
      <c r="R13">
        <v>1</v>
      </c>
      <c r="Y13">
        <v>16</v>
      </c>
      <c r="Z13" s="34">
        <v>42219</v>
      </c>
      <c r="AA13" t="s">
        <v>4627</v>
      </c>
    </row>
    <row r="14" spans="1:27" x14ac:dyDescent="0.2">
      <c r="A14" s="53" t="s">
        <v>3755</v>
      </c>
      <c r="B14" s="53" t="s">
        <v>3799</v>
      </c>
      <c r="C14">
        <f>SUM(F14:Y14)</f>
        <v>42</v>
      </c>
      <c r="D14" s="1">
        <v>1.8715277777777779E-2</v>
      </c>
      <c r="E14" t="s">
        <v>4202</v>
      </c>
      <c r="Y14">
        <f>SUM(C95:C104)</f>
        <v>42</v>
      </c>
      <c r="Z14" s="34">
        <v>42332</v>
      </c>
    </row>
    <row r="15" spans="1:27" x14ac:dyDescent="0.2">
      <c r="A15" s="421" t="s">
        <v>1794</v>
      </c>
      <c r="B15" s="421" t="s">
        <v>3799</v>
      </c>
      <c r="C15">
        <f>SUM(F15:Y15)</f>
        <v>59</v>
      </c>
      <c r="D15" s="1">
        <v>1.6608796296296299E-2</v>
      </c>
      <c r="E15" t="s">
        <v>4202</v>
      </c>
      <c r="Y15" s="2">
        <f>SUM('BA Connections'!C105:C116)</f>
        <v>59</v>
      </c>
      <c r="Z15" s="332">
        <v>42432</v>
      </c>
    </row>
    <row r="16" spans="1:27" x14ac:dyDescent="0.2">
      <c r="A16" s="53" t="s">
        <v>5649</v>
      </c>
      <c r="B16" s="53" t="s">
        <v>804</v>
      </c>
      <c r="C16">
        <v>4</v>
      </c>
      <c r="D16" s="1">
        <v>1.2453703703703703E-2</v>
      </c>
      <c r="E16" t="s">
        <v>5651</v>
      </c>
      <c r="Y16">
        <v>4</v>
      </c>
      <c r="Z16" s="34">
        <v>42963</v>
      </c>
    </row>
    <row r="17" spans="1:26" x14ac:dyDescent="0.2">
      <c r="A17" s="53" t="s">
        <v>5302</v>
      </c>
      <c r="B17" s="53" t="s">
        <v>5303</v>
      </c>
      <c r="C17">
        <f t="shared" si="0"/>
        <v>5</v>
      </c>
      <c r="D17" s="1">
        <v>1.6157407407407409E-2</v>
      </c>
      <c r="E17" t="s">
        <v>5885</v>
      </c>
      <c r="H17">
        <v>5</v>
      </c>
      <c r="Y17">
        <v>0</v>
      </c>
      <c r="Z17" s="34">
        <v>41617</v>
      </c>
    </row>
    <row r="18" spans="1:26" x14ac:dyDescent="0.2">
      <c r="A18" s="53" t="s">
        <v>3542</v>
      </c>
      <c r="B18" s="53" t="s">
        <v>1590</v>
      </c>
      <c r="D18" s="1">
        <v>2.2708333333333334E-2</v>
      </c>
      <c r="E18" t="s">
        <v>1719</v>
      </c>
      <c r="Z18" s="34">
        <v>42269</v>
      </c>
    </row>
    <row r="19" spans="1:26" x14ac:dyDescent="0.2">
      <c r="A19" s="53" t="s">
        <v>4963</v>
      </c>
      <c r="B19" s="53" t="s">
        <v>4964</v>
      </c>
      <c r="C19" s="125">
        <f t="shared" si="0"/>
        <v>64</v>
      </c>
      <c r="D19" s="1">
        <v>1.2708333333333334E-2</v>
      </c>
      <c r="E19" t="s">
        <v>5095</v>
      </c>
      <c r="F19">
        <v>1</v>
      </c>
      <c r="G19">
        <v>19</v>
      </c>
      <c r="H19">
        <v>1</v>
      </c>
      <c r="L19">
        <v>1</v>
      </c>
      <c r="S19">
        <v>1</v>
      </c>
      <c r="T19">
        <v>34</v>
      </c>
      <c r="V19">
        <v>1</v>
      </c>
      <c r="X19">
        <v>1</v>
      </c>
      <c r="Y19">
        <v>5</v>
      </c>
      <c r="Z19" s="34">
        <v>41881</v>
      </c>
    </row>
    <row r="20" spans="1:26" x14ac:dyDescent="0.2">
      <c r="A20" s="196" t="s">
        <v>3011</v>
      </c>
      <c r="B20" s="196" t="s">
        <v>3012</v>
      </c>
      <c r="C20">
        <f t="shared" si="0"/>
        <v>13</v>
      </c>
      <c r="D20" s="1">
        <v>1.2118055555555556E-2</v>
      </c>
      <c r="E20" t="s">
        <v>2251</v>
      </c>
      <c r="Y20">
        <v>13</v>
      </c>
      <c r="Z20" s="34">
        <v>41825</v>
      </c>
    </row>
    <row r="21" spans="1:26" x14ac:dyDescent="0.2">
      <c r="A21" s="53" t="s">
        <v>3508</v>
      </c>
      <c r="B21" s="53" t="s">
        <v>428</v>
      </c>
      <c r="C21">
        <f t="shared" si="0"/>
        <v>173</v>
      </c>
      <c r="D21" s="1">
        <v>1.3726851851851851E-2</v>
      </c>
      <c r="E21" t="s">
        <v>5885</v>
      </c>
      <c r="H21">
        <v>169</v>
      </c>
      <c r="I21">
        <v>1</v>
      </c>
      <c r="M21">
        <v>1</v>
      </c>
      <c r="O21">
        <v>1</v>
      </c>
      <c r="R21">
        <v>1</v>
      </c>
      <c r="Y21">
        <v>0</v>
      </c>
      <c r="Z21" s="34">
        <v>42173</v>
      </c>
    </row>
    <row r="22" spans="1:26" x14ac:dyDescent="0.2">
      <c r="A22" s="53" t="s">
        <v>3014</v>
      </c>
      <c r="B22" s="53" t="s">
        <v>3015</v>
      </c>
      <c r="C22">
        <f t="shared" si="0"/>
        <v>24</v>
      </c>
      <c r="D22" s="1">
        <v>1.8252314814814815E-2</v>
      </c>
      <c r="E22" t="s">
        <v>527</v>
      </c>
      <c r="F22">
        <v>1</v>
      </c>
      <c r="Y22">
        <v>23</v>
      </c>
      <c r="Z22" s="34">
        <v>41673</v>
      </c>
    </row>
    <row r="23" spans="1:26" x14ac:dyDescent="0.2">
      <c r="A23" s="53" t="s">
        <v>5637</v>
      </c>
      <c r="B23" s="53" t="s">
        <v>5638</v>
      </c>
      <c r="C23">
        <v>18</v>
      </c>
      <c r="D23" s="1">
        <v>1.5231481481481483E-2</v>
      </c>
      <c r="E23" t="s">
        <v>2593</v>
      </c>
      <c r="Y23">
        <v>18</v>
      </c>
      <c r="Z23" s="34">
        <v>42384</v>
      </c>
    </row>
    <row r="24" spans="1:26" x14ac:dyDescent="0.2">
      <c r="A24" s="53" t="s">
        <v>398</v>
      </c>
      <c r="B24" s="53" t="s">
        <v>4943</v>
      </c>
      <c r="C24">
        <v>5</v>
      </c>
      <c r="D24" s="1">
        <v>2.0277777777777777E-2</v>
      </c>
      <c r="E24" t="s">
        <v>5544</v>
      </c>
      <c r="L24">
        <v>4</v>
      </c>
      <c r="Y24">
        <v>1</v>
      </c>
      <c r="Z24" s="34">
        <v>42156</v>
      </c>
    </row>
    <row r="25" spans="1:26" x14ac:dyDescent="0.2">
      <c r="A25" s="53" t="s">
        <v>3230</v>
      </c>
      <c r="B25" s="53" t="s">
        <v>49</v>
      </c>
      <c r="C25">
        <f t="shared" si="0"/>
        <v>15</v>
      </c>
      <c r="D25" s="1">
        <v>1.4594907407407405E-2</v>
      </c>
      <c r="E25" t="s">
        <v>5544</v>
      </c>
      <c r="L25">
        <v>11</v>
      </c>
      <c r="O25">
        <v>1</v>
      </c>
      <c r="W25">
        <v>3</v>
      </c>
      <c r="Y25">
        <v>0</v>
      </c>
      <c r="Z25" s="34">
        <v>42414</v>
      </c>
    </row>
    <row r="26" spans="1:26" x14ac:dyDescent="0.2">
      <c r="A26" s="53" t="s">
        <v>866</v>
      </c>
      <c r="B26" s="53" t="s">
        <v>4639</v>
      </c>
      <c r="C26">
        <f t="shared" si="0"/>
        <v>12</v>
      </c>
      <c r="D26" s="1">
        <v>1.3842592592592594E-2</v>
      </c>
      <c r="E26" t="s">
        <v>5885</v>
      </c>
      <c r="G26">
        <v>7</v>
      </c>
      <c r="H26">
        <v>5</v>
      </c>
      <c r="Y26">
        <v>0</v>
      </c>
      <c r="Z26" s="34">
        <v>41611</v>
      </c>
    </row>
    <row r="27" spans="1:26" x14ac:dyDescent="0.2">
      <c r="A27" s="53" t="s">
        <v>2622</v>
      </c>
      <c r="B27" s="53" t="s">
        <v>2623</v>
      </c>
      <c r="C27">
        <f t="shared" si="0"/>
        <v>1</v>
      </c>
      <c r="D27" s="1">
        <v>1.1805555555555555E-2</v>
      </c>
      <c r="E27" t="s">
        <v>3226</v>
      </c>
      <c r="Y27">
        <v>1</v>
      </c>
      <c r="Z27" s="34">
        <v>41961</v>
      </c>
    </row>
    <row r="28" spans="1:26" x14ac:dyDescent="0.2">
      <c r="A28" s="53" t="s">
        <v>3184</v>
      </c>
      <c r="B28" s="53" t="s">
        <v>3185</v>
      </c>
      <c r="C28" s="123">
        <f t="shared" si="0"/>
        <v>246</v>
      </c>
      <c r="D28" s="1">
        <v>1.5138888888888889E-2</v>
      </c>
      <c r="E28" t="s">
        <v>5885</v>
      </c>
      <c r="F28">
        <v>1</v>
      </c>
      <c r="G28">
        <v>17</v>
      </c>
      <c r="H28">
        <v>126</v>
      </c>
      <c r="I28">
        <v>2</v>
      </c>
      <c r="L28">
        <v>24</v>
      </c>
      <c r="M28">
        <v>7</v>
      </c>
      <c r="O28">
        <v>1</v>
      </c>
      <c r="P28">
        <v>57</v>
      </c>
      <c r="R28">
        <v>4</v>
      </c>
      <c r="T28">
        <v>1</v>
      </c>
      <c r="Y28">
        <v>6</v>
      </c>
      <c r="Z28" s="34">
        <v>42262</v>
      </c>
    </row>
    <row r="29" spans="1:26" x14ac:dyDescent="0.2">
      <c r="A29" s="53" t="s">
        <v>2233</v>
      </c>
      <c r="B29" s="53" t="s">
        <v>2234</v>
      </c>
      <c r="C29">
        <f t="shared" si="0"/>
        <v>1</v>
      </c>
      <c r="D29" s="1">
        <v>2.7037037037037037E-2</v>
      </c>
      <c r="E29" t="s">
        <v>5885</v>
      </c>
      <c r="H29">
        <v>1</v>
      </c>
      <c r="Y29">
        <v>0</v>
      </c>
      <c r="Z29" s="34">
        <v>41610</v>
      </c>
    </row>
    <row r="30" spans="1:26" x14ac:dyDescent="0.2">
      <c r="A30" s="53" t="s">
        <v>5837</v>
      </c>
      <c r="B30" s="53" t="s">
        <v>5838</v>
      </c>
      <c r="C30">
        <f t="shared" si="0"/>
        <v>21</v>
      </c>
      <c r="D30" s="1">
        <v>1.4131944444444445E-2</v>
      </c>
      <c r="E30" t="s">
        <v>5885</v>
      </c>
      <c r="G30">
        <v>5</v>
      </c>
      <c r="H30">
        <v>16</v>
      </c>
      <c r="Y30">
        <v>0</v>
      </c>
      <c r="Z30" s="34">
        <v>41610</v>
      </c>
    </row>
    <row r="31" spans="1:26" x14ac:dyDescent="0.2">
      <c r="A31" s="53" t="s">
        <v>2304</v>
      </c>
      <c r="B31" s="53" t="s">
        <v>3961</v>
      </c>
      <c r="C31">
        <f t="shared" si="0"/>
        <v>5</v>
      </c>
      <c r="D31" s="1">
        <v>1.996527777777778E-2</v>
      </c>
      <c r="E31" t="s">
        <v>4452</v>
      </c>
      <c r="F31">
        <v>1</v>
      </c>
      <c r="Y31">
        <v>4</v>
      </c>
      <c r="Z31" s="34">
        <v>42126</v>
      </c>
    </row>
    <row r="32" spans="1:26" x14ac:dyDescent="0.2">
      <c r="A32" s="53" t="s">
        <v>4977</v>
      </c>
      <c r="B32" s="53" t="s">
        <v>3961</v>
      </c>
      <c r="C32">
        <f t="shared" si="0"/>
        <v>27</v>
      </c>
      <c r="D32" s="1">
        <v>1.4120370370370368E-2</v>
      </c>
      <c r="E32" t="s">
        <v>715</v>
      </c>
      <c r="F32">
        <v>6</v>
      </c>
      <c r="I32">
        <v>1</v>
      </c>
      <c r="Y32">
        <v>20</v>
      </c>
      <c r="Z32" s="34">
        <v>41857</v>
      </c>
    </row>
    <row r="33" spans="1:27" x14ac:dyDescent="0.2">
      <c r="A33" s="53" t="s">
        <v>870</v>
      </c>
      <c r="B33" s="53" t="s">
        <v>6195</v>
      </c>
      <c r="C33">
        <f t="shared" si="0"/>
        <v>3</v>
      </c>
      <c r="D33" s="1">
        <v>2.478009259259259E-2</v>
      </c>
      <c r="E33" s="80" t="s">
        <v>5883</v>
      </c>
      <c r="F33">
        <v>1</v>
      </c>
      <c r="J33">
        <v>1</v>
      </c>
      <c r="U33">
        <v>1</v>
      </c>
      <c r="Z33" s="34">
        <v>42861</v>
      </c>
      <c r="AA33" s="80" t="s">
        <v>6196</v>
      </c>
    </row>
    <row r="34" spans="1:27" x14ac:dyDescent="0.2">
      <c r="A34" s="53" t="s">
        <v>2416</v>
      </c>
      <c r="B34" s="53" t="s">
        <v>2417</v>
      </c>
      <c r="C34">
        <f t="shared" si="0"/>
        <v>4</v>
      </c>
      <c r="D34" s="1">
        <v>2.0520833333333332E-2</v>
      </c>
      <c r="E34" t="s">
        <v>1950</v>
      </c>
      <c r="X34">
        <v>1</v>
      </c>
      <c r="Y34">
        <v>3</v>
      </c>
      <c r="Z34" s="34">
        <v>41919</v>
      </c>
    </row>
    <row r="35" spans="1:27" x14ac:dyDescent="0.2">
      <c r="A35" s="53" t="s">
        <v>904</v>
      </c>
      <c r="B35" s="53" t="s">
        <v>905</v>
      </c>
      <c r="C35">
        <f t="shared" si="0"/>
        <v>243</v>
      </c>
      <c r="D35" s="1">
        <v>1.7546296296296296E-2</v>
      </c>
      <c r="F35">
        <v>200</v>
      </c>
      <c r="G35">
        <v>1</v>
      </c>
      <c r="H35">
        <v>23</v>
      </c>
      <c r="I35">
        <v>15</v>
      </c>
      <c r="M35">
        <v>2</v>
      </c>
      <c r="Y35">
        <v>2</v>
      </c>
      <c r="Z35" s="34">
        <v>42584</v>
      </c>
    </row>
    <row r="36" spans="1:27" x14ac:dyDescent="0.2">
      <c r="A36" s="53" t="s">
        <v>2228</v>
      </c>
      <c r="B36" s="53" t="s">
        <v>4894</v>
      </c>
      <c r="C36" s="125">
        <f t="shared" si="0"/>
        <v>51</v>
      </c>
      <c r="D36" s="1">
        <v>1.2777777777777777E-2</v>
      </c>
      <c r="E36" t="s">
        <v>129</v>
      </c>
      <c r="H36">
        <v>5</v>
      </c>
      <c r="I36">
        <v>43</v>
      </c>
      <c r="M36">
        <v>1</v>
      </c>
      <c r="P36">
        <v>1</v>
      </c>
      <c r="Y36">
        <v>1</v>
      </c>
      <c r="Z36" s="34">
        <v>41966</v>
      </c>
    </row>
    <row r="37" spans="1:27" x14ac:dyDescent="0.2">
      <c r="A37" s="53" t="s">
        <v>5668</v>
      </c>
      <c r="B37" s="53" t="s">
        <v>5669</v>
      </c>
      <c r="C37">
        <f t="shared" ref="C37:C51" si="1">SUM(F37:Y37)</f>
        <v>1</v>
      </c>
      <c r="D37" s="1">
        <v>1.5729166666666666E-2</v>
      </c>
      <c r="E37" t="s">
        <v>3009</v>
      </c>
      <c r="Y37">
        <v>1</v>
      </c>
      <c r="Z37" s="34">
        <v>42238</v>
      </c>
    </row>
    <row r="38" spans="1:27" x14ac:dyDescent="0.2">
      <c r="A38" s="53" t="s">
        <v>2478</v>
      </c>
      <c r="B38" s="53" t="s">
        <v>2415</v>
      </c>
      <c r="C38">
        <f t="shared" si="1"/>
        <v>2</v>
      </c>
      <c r="D38" s="1">
        <v>1.6770833333333332E-2</v>
      </c>
      <c r="E38" t="s">
        <v>5885</v>
      </c>
      <c r="H38">
        <v>1</v>
      </c>
      <c r="Q38">
        <v>1</v>
      </c>
      <c r="Y38">
        <v>0</v>
      </c>
      <c r="Z38" s="34">
        <v>41610</v>
      </c>
    </row>
    <row r="39" spans="1:27" x14ac:dyDescent="0.2">
      <c r="A39" s="53" t="s">
        <v>2703</v>
      </c>
      <c r="B39" s="53" t="s">
        <v>5543</v>
      </c>
      <c r="C39">
        <f t="shared" si="1"/>
        <v>23</v>
      </c>
      <c r="D39" s="1">
        <v>2.013888888888889E-2</v>
      </c>
      <c r="E39" t="s">
        <v>1401</v>
      </c>
      <c r="G39">
        <v>3</v>
      </c>
      <c r="H39">
        <v>2</v>
      </c>
      <c r="L39">
        <v>15</v>
      </c>
      <c r="O39">
        <v>1</v>
      </c>
      <c r="Y39">
        <v>2</v>
      </c>
      <c r="Z39" s="34">
        <v>41902</v>
      </c>
    </row>
    <row r="40" spans="1:27" x14ac:dyDescent="0.2">
      <c r="A40" s="359" t="s">
        <v>3535</v>
      </c>
      <c r="B40" s="359" t="s">
        <v>1026</v>
      </c>
      <c r="C40">
        <f t="shared" si="1"/>
        <v>4</v>
      </c>
      <c r="D40" s="1">
        <v>1.5740740740740743E-2</v>
      </c>
      <c r="E40" t="s">
        <v>4817</v>
      </c>
      <c r="Y40">
        <v>4</v>
      </c>
      <c r="Z40" s="34">
        <v>42181</v>
      </c>
    </row>
    <row r="41" spans="1:27" x14ac:dyDescent="0.2">
      <c r="A41" s="53" t="s">
        <v>3541</v>
      </c>
      <c r="B41" s="53" t="s">
        <v>1574</v>
      </c>
      <c r="C41">
        <f t="shared" si="1"/>
        <v>12</v>
      </c>
      <c r="D41" s="1">
        <v>1.7997685185185186E-2</v>
      </c>
      <c r="E41" t="s">
        <v>3167</v>
      </c>
      <c r="S41">
        <v>12</v>
      </c>
      <c r="Y41">
        <v>0</v>
      </c>
      <c r="Z41" s="34">
        <v>41611</v>
      </c>
    </row>
    <row r="42" spans="1:27" x14ac:dyDescent="0.2">
      <c r="A42" s="53" t="s">
        <v>859</v>
      </c>
      <c r="B42" s="53" t="s">
        <v>5833</v>
      </c>
      <c r="C42" s="124">
        <f>SUM(F42:Y42)</f>
        <v>465</v>
      </c>
      <c r="D42" s="1">
        <v>1.3020833333333334E-2</v>
      </c>
      <c r="E42" t="s">
        <v>5885</v>
      </c>
      <c r="G42">
        <v>1</v>
      </c>
      <c r="H42">
        <v>409</v>
      </c>
      <c r="I42">
        <v>45</v>
      </c>
      <c r="O42">
        <v>1</v>
      </c>
      <c r="Y42">
        <v>9</v>
      </c>
      <c r="Z42" s="34">
        <v>42963</v>
      </c>
    </row>
    <row r="43" spans="1:27" x14ac:dyDescent="0.2">
      <c r="A43" s="53" t="s">
        <v>53</v>
      </c>
      <c r="B43" s="53" t="s">
        <v>3846</v>
      </c>
      <c r="C43">
        <f t="shared" si="1"/>
        <v>45</v>
      </c>
      <c r="D43" s="1">
        <v>1.4641203703703703E-2</v>
      </c>
      <c r="E43" t="s">
        <v>5095</v>
      </c>
      <c r="G43">
        <v>45</v>
      </c>
      <c r="Y43">
        <v>0</v>
      </c>
      <c r="Z43" s="34">
        <v>41952</v>
      </c>
    </row>
    <row r="44" spans="1:27" x14ac:dyDescent="0.2">
      <c r="A44" s="53" t="s">
        <v>2929</v>
      </c>
      <c r="B44" s="53" t="s">
        <v>2930</v>
      </c>
      <c r="C44">
        <f t="shared" si="1"/>
        <v>9</v>
      </c>
      <c r="D44" s="1">
        <v>1.7812499999999998E-2</v>
      </c>
      <c r="E44" t="s">
        <v>1405</v>
      </c>
      <c r="Y44">
        <v>9</v>
      </c>
      <c r="Z44" s="34">
        <v>42432</v>
      </c>
    </row>
    <row r="45" spans="1:27" x14ac:dyDescent="0.2">
      <c r="A45" s="53" t="s">
        <v>3230</v>
      </c>
      <c r="B45" s="53" t="s">
        <v>4945</v>
      </c>
      <c r="C45">
        <f t="shared" si="1"/>
        <v>15</v>
      </c>
      <c r="D45" s="1">
        <v>1.2673611111111109E-2</v>
      </c>
      <c r="E45" t="s">
        <v>5885</v>
      </c>
      <c r="F45">
        <v>1</v>
      </c>
      <c r="H45">
        <v>11</v>
      </c>
      <c r="K45">
        <v>1</v>
      </c>
      <c r="U45">
        <v>2</v>
      </c>
      <c r="Y45">
        <v>0</v>
      </c>
      <c r="Z45" s="34">
        <v>41889</v>
      </c>
    </row>
    <row r="46" spans="1:27" x14ac:dyDescent="0.2">
      <c r="A46" s="53" t="s">
        <v>3753</v>
      </c>
      <c r="B46" s="53" t="s">
        <v>3752</v>
      </c>
      <c r="C46">
        <f t="shared" si="1"/>
        <v>37</v>
      </c>
      <c r="D46" s="1">
        <v>1.8969907407407408E-2</v>
      </c>
      <c r="E46" t="s">
        <v>5883</v>
      </c>
      <c r="F46">
        <v>37</v>
      </c>
      <c r="Y46">
        <v>0</v>
      </c>
      <c r="Z46" s="34">
        <v>42219</v>
      </c>
    </row>
    <row r="47" spans="1:27" x14ac:dyDescent="0.2">
      <c r="A47" s="53" t="s">
        <v>3535</v>
      </c>
      <c r="B47" s="53" t="s">
        <v>3752</v>
      </c>
      <c r="C47">
        <f t="shared" si="1"/>
        <v>16</v>
      </c>
      <c r="D47" s="1">
        <v>1.892361111111111E-2</v>
      </c>
      <c r="E47" t="s">
        <v>5883</v>
      </c>
      <c r="F47">
        <v>16</v>
      </c>
      <c r="Y47">
        <v>0</v>
      </c>
      <c r="Z47" s="34">
        <v>42219</v>
      </c>
    </row>
    <row r="48" spans="1:27" x14ac:dyDescent="0.2">
      <c r="A48" s="53" t="s">
        <v>3755</v>
      </c>
      <c r="B48" s="53" t="s">
        <v>261</v>
      </c>
      <c r="C48">
        <v>93</v>
      </c>
      <c r="D48" s="1">
        <v>2.1226851851851854E-2</v>
      </c>
      <c r="E48" t="s">
        <v>806</v>
      </c>
      <c r="F48">
        <v>2</v>
      </c>
      <c r="H48">
        <v>1</v>
      </c>
      <c r="Y48">
        <v>84</v>
      </c>
      <c r="Z48" s="34">
        <v>42427</v>
      </c>
    </row>
    <row r="49" spans="1:26" x14ac:dyDescent="0.2">
      <c r="A49" s="53" t="s">
        <v>260</v>
      </c>
      <c r="B49" s="53" t="s">
        <v>261</v>
      </c>
      <c r="C49">
        <f t="shared" si="1"/>
        <v>146</v>
      </c>
      <c r="D49" s="1">
        <v>2.2766203703703702E-2</v>
      </c>
      <c r="E49" t="s">
        <v>806</v>
      </c>
      <c r="F49">
        <v>2</v>
      </c>
      <c r="H49">
        <v>1</v>
      </c>
      <c r="Y49">
        <f>125+18</f>
        <v>143</v>
      </c>
      <c r="Z49" s="34">
        <v>42837</v>
      </c>
    </row>
    <row r="50" spans="1:26" x14ac:dyDescent="0.2">
      <c r="A50" s="53" t="s">
        <v>4481</v>
      </c>
      <c r="B50" s="53" t="s">
        <v>4482</v>
      </c>
      <c r="C50">
        <f t="shared" si="1"/>
        <v>1</v>
      </c>
      <c r="D50" s="1">
        <v>1.3344907407407408E-2</v>
      </c>
      <c r="E50" t="s">
        <v>2818</v>
      </c>
      <c r="R50">
        <v>1</v>
      </c>
      <c r="Y50">
        <v>0</v>
      </c>
      <c r="Z50" s="34">
        <v>41846</v>
      </c>
    </row>
    <row r="51" spans="1:26" x14ac:dyDescent="0.2">
      <c r="A51" s="53" t="s">
        <v>726</v>
      </c>
      <c r="B51" s="53" t="s">
        <v>1289</v>
      </c>
      <c r="C51">
        <f t="shared" si="1"/>
        <v>11</v>
      </c>
      <c r="D51" s="1">
        <v>1.5428240740740741E-2</v>
      </c>
      <c r="E51" t="s">
        <v>444</v>
      </c>
      <c r="Y51">
        <v>11</v>
      </c>
      <c r="Z51" s="34">
        <v>42549</v>
      </c>
    </row>
    <row r="52" spans="1:26" x14ac:dyDescent="0.2">
      <c r="D52" s="1"/>
      <c r="F52" s="39" t="s">
        <v>5123</v>
      </c>
      <c r="G52" s="39" t="s">
        <v>1702</v>
      </c>
      <c r="H52" s="39" t="s">
        <v>1700</v>
      </c>
      <c r="I52" s="39" t="s">
        <v>1703</v>
      </c>
      <c r="J52" s="39" t="s">
        <v>4007</v>
      </c>
      <c r="K52" s="39" t="s">
        <v>1710</v>
      </c>
      <c r="L52" s="39" t="s">
        <v>1705</v>
      </c>
      <c r="M52" s="39" t="s">
        <v>1709</v>
      </c>
      <c r="N52" s="39" t="s">
        <v>1711</v>
      </c>
      <c r="O52" s="39" t="s">
        <v>1706</v>
      </c>
      <c r="P52" s="39" t="s">
        <v>2016</v>
      </c>
      <c r="Q52" s="39" t="s">
        <v>227</v>
      </c>
      <c r="R52" s="39" t="s">
        <v>1708</v>
      </c>
      <c r="S52" s="39" t="s">
        <v>1701</v>
      </c>
      <c r="T52" s="39" t="s">
        <v>3492</v>
      </c>
      <c r="U52" s="113" t="s">
        <v>5200</v>
      </c>
      <c r="V52" s="39" t="s">
        <v>1615</v>
      </c>
      <c r="W52" s="39" t="s">
        <v>1612</v>
      </c>
      <c r="X52" s="39" t="s">
        <v>1707</v>
      </c>
      <c r="Y52" s="113" t="s">
        <v>5432</v>
      </c>
    </row>
    <row r="53" spans="1:26" x14ac:dyDescent="0.2">
      <c r="A53" s="53" t="s">
        <v>6281</v>
      </c>
      <c r="D53" s="1"/>
    </row>
    <row r="54" spans="1:26" x14ac:dyDescent="0.2">
      <c r="A54" s="53" t="s">
        <v>6282</v>
      </c>
      <c r="D54" s="1"/>
    </row>
    <row r="55" spans="1:26" x14ac:dyDescent="0.2">
      <c r="D55" s="1"/>
    </row>
    <row r="56" spans="1:26" x14ac:dyDescent="0.2">
      <c r="A56" s="2" t="s">
        <v>1575</v>
      </c>
      <c r="D56" s="1"/>
    </row>
    <row r="57" spans="1:26" x14ac:dyDescent="0.2">
      <c r="A57" s="53" t="s">
        <v>866</v>
      </c>
      <c r="B57" s="53" t="s">
        <v>4144</v>
      </c>
      <c r="C57">
        <v>5</v>
      </c>
      <c r="D57" s="1">
        <v>1.6736111111111111E-2</v>
      </c>
      <c r="E57" t="s">
        <v>161</v>
      </c>
    </row>
    <row r="58" spans="1:26" x14ac:dyDescent="0.2">
      <c r="A58" s="196" t="s">
        <v>4264</v>
      </c>
      <c r="B58" s="196" t="s">
        <v>5239</v>
      </c>
      <c r="C58">
        <v>1</v>
      </c>
      <c r="D58" s="1">
        <v>1.6099537037037037E-2</v>
      </c>
      <c r="E58" t="s">
        <v>5708</v>
      </c>
    </row>
    <row r="59" spans="1:26" x14ac:dyDescent="0.2">
      <c r="A59" s="196" t="s">
        <v>4264</v>
      </c>
      <c r="B59" s="196" t="s">
        <v>5239</v>
      </c>
      <c r="C59">
        <v>1</v>
      </c>
      <c r="D59" s="1">
        <v>1.8252314814814815E-2</v>
      </c>
      <c r="E59" t="s">
        <v>527</v>
      </c>
    </row>
    <row r="60" spans="1:26" x14ac:dyDescent="0.2">
      <c r="A60" s="53" t="s">
        <v>5485</v>
      </c>
      <c r="B60" s="53" t="s">
        <v>3082</v>
      </c>
      <c r="C60">
        <v>8</v>
      </c>
      <c r="D60" s="1">
        <v>1.5590277777777778E-2</v>
      </c>
      <c r="E60" t="s">
        <v>3083</v>
      </c>
    </row>
    <row r="61" spans="1:26" x14ac:dyDescent="0.2">
      <c r="A61" s="53" t="s">
        <v>5485</v>
      </c>
      <c r="B61" s="53" t="s">
        <v>3082</v>
      </c>
      <c r="C61">
        <v>1</v>
      </c>
      <c r="D61" s="1">
        <v>1.7627314814814814E-2</v>
      </c>
      <c r="E61" t="s">
        <v>3299</v>
      </c>
    </row>
    <row r="62" spans="1:26" x14ac:dyDescent="0.2">
      <c r="A62" s="53" t="s">
        <v>5485</v>
      </c>
      <c r="B62" s="53" t="s">
        <v>3082</v>
      </c>
      <c r="C62">
        <v>1</v>
      </c>
      <c r="D62" s="1">
        <v>1.6331018518518519E-2</v>
      </c>
      <c r="E62" t="s">
        <v>2080</v>
      </c>
    </row>
    <row r="63" spans="1:26" x14ac:dyDescent="0.2">
      <c r="A63" s="53" t="s">
        <v>5485</v>
      </c>
      <c r="B63" s="53" t="s">
        <v>3082</v>
      </c>
      <c r="C63">
        <v>1</v>
      </c>
      <c r="D63" s="1">
        <v>1.6400462962962964E-2</v>
      </c>
      <c r="E63" t="s">
        <v>2079</v>
      </c>
    </row>
    <row r="64" spans="1:26" x14ac:dyDescent="0.2">
      <c r="A64" s="53" t="s">
        <v>5485</v>
      </c>
      <c r="B64" s="53" t="s">
        <v>3082</v>
      </c>
      <c r="C64">
        <v>2</v>
      </c>
      <c r="D64" s="1">
        <v>1.726851851851852E-2</v>
      </c>
      <c r="E64" t="s">
        <v>2081</v>
      </c>
    </row>
    <row r="65" spans="1:9" x14ac:dyDescent="0.2">
      <c r="A65" s="53" t="s">
        <v>5485</v>
      </c>
      <c r="B65" s="53" t="s">
        <v>3082</v>
      </c>
      <c r="C65">
        <v>1</v>
      </c>
      <c r="D65" s="1">
        <v>1.7175925925925924E-2</v>
      </c>
      <c r="E65" t="s">
        <v>5948</v>
      </c>
    </row>
    <row r="66" spans="1:9" x14ac:dyDescent="0.2">
      <c r="A66" s="53" t="s">
        <v>5485</v>
      </c>
      <c r="B66" s="53" t="s">
        <v>3082</v>
      </c>
      <c r="C66">
        <v>2</v>
      </c>
      <c r="D66" s="1">
        <v>1.6759259259259258E-2</v>
      </c>
      <c r="E66" t="s">
        <v>3383</v>
      </c>
    </row>
    <row r="67" spans="1:9" x14ac:dyDescent="0.2">
      <c r="A67" s="53" t="s">
        <v>5485</v>
      </c>
      <c r="B67" s="53" t="s">
        <v>3082</v>
      </c>
      <c r="C67">
        <v>1</v>
      </c>
      <c r="D67" s="1">
        <v>1.695601851851852E-2</v>
      </c>
      <c r="E67" t="s">
        <v>1554</v>
      </c>
    </row>
    <row r="68" spans="1:9" x14ac:dyDescent="0.2">
      <c r="A68" s="53" t="s">
        <v>3398</v>
      </c>
      <c r="B68" s="53" t="s">
        <v>3399</v>
      </c>
      <c r="C68">
        <v>5</v>
      </c>
      <c r="D68" s="1">
        <v>1.3668981481481482E-2</v>
      </c>
      <c r="E68" t="s">
        <v>3400</v>
      </c>
      <c r="F68" t="s">
        <v>1034</v>
      </c>
    </row>
    <row r="69" spans="1:9" x14ac:dyDescent="0.2">
      <c r="A69" s="196" t="s">
        <v>726</v>
      </c>
      <c r="B69" s="196" t="s">
        <v>1295</v>
      </c>
      <c r="C69">
        <v>2</v>
      </c>
      <c r="D69" s="1">
        <v>1.6828703703703703E-2</v>
      </c>
      <c r="E69" t="s">
        <v>1037</v>
      </c>
      <c r="F69" t="s">
        <v>1034</v>
      </c>
    </row>
    <row r="70" spans="1:9" x14ac:dyDescent="0.2">
      <c r="A70" s="196" t="s">
        <v>726</v>
      </c>
      <c r="B70" s="196" t="s">
        <v>1295</v>
      </c>
      <c r="C70">
        <v>1</v>
      </c>
      <c r="D70" s="1">
        <v>1.7372685185185185E-2</v>
      </c>
      <c r="E70" t="s">
        <v>4179</v>
      </c>
      <c r="F70" t="s">
        <v>1034</v>
      </c>
      <c r="I70" t="s">
        <v>1036</v>
      </c>
    </row>
    <row r="71" spans="1:9" x14ac:dyDescent="0.2">
      <c r="A71" s="196" t="s">
        <v>726</v>
      </c>
      <c r="B71" s="196" t="s">
        <v>1295</v>
      </c>
      <c r="C71">
        <v>1</v>
      </c>
      <c r="D71" s="1">
        <v>1.8634259259259257E-2</v>
      </c>
      <c r="E71" t="s">
        <v>4200</v>
      </c>
      <c r="F71" t="s">
        <v>1034</v>
      </c>
    </row>
    <row r="72" spans="1:9" x14ac:dyDescent="0.2">
      <c r="A72" s="196" t="s">
        <v>726</v>
      </c>
      <c r="B72" s="196" t="s">
        <v>1295</v>
      </c>
      <c r="C72">
        <v>1</v>
      </c>
      <c r="D72" s="1">
        <v>1.7881944444444443E-2</v>
      </c>
      <c r="E72" t="s">
        <v>1032</v>
      </c>
      <c r="F72" t="s">
        <v>1034</v>
      </c>
    </row>
    <row r="73" spans="1:9" x14ac:dyDescent="0.2">
      <c r="A73" s="196" t="s">
        <v>726</v>
      </c>
      <c r="B73" s="196" t="s">
        <v>1295</v>
      </c>
      <c r="C73">
        <v>1</v>
      </c>
      <c r="D73" s="1">
        <v>1.8402777777777778E-2</v>
      </c>
      <c r="E73" t="s">
        <v>1033</v>
      </c>
      <c r="F73" t="s">
        <v>1034</v>
      </c>
    </row>
    <row r="74" spans="1:9" x14ac:dyDescent="0.2">
      <c r="A74" s="197" t="s">
        <v>3508</v>
      </c>
      <c r="B74" s="197" t="s">
        <v>1295</v>
      </c>
      <c r="C74">
        <v>218</v>
      </c>
      <c r="D74" s="1">
        <v>1.5439814814814816E-2</v>
      </c>
      <c r="E74" t="s">
        <v>5883</v>
      </c>
      <c r="F74" t="s">
        <v>1034</v>
      </c>
    </row>
    <row r="75" spans="1:9" x14ac:dyDescent="0.2">
      <c r="A75" s="197" t="s">
        <v>3508</v>
      </c>
      <c r="B75" s="197" t="s">
        <v>1295</v>
      </c>
      <c r="C75">
        <v>61</v>
      </c>
      <c r="D75" s="1">
        <v>1.5520833333333333E-2</v>
      </c>
      <c r="E75" t="s">
        <v>5885</v>
      </c>
      <c r="F75" t="s">
        <v>1034</v>
      </c>
    </row>
    <row r="76" spans="1:9" x14ac:dyDescent="0.2">
      <c r="A76" s="197" t="s">
        <v>3508</v>
      </c>
      <c r="B76" s="197" t="s">
        <v>1295</v>
      </c>
      <c r="C76">
        <v>6</v>
      </c>
      <c r="D76" s="1">
        <v>1.577546296296296E-2</v>
      </c>
      <c r="E76" t="s">
        <v>129</v>
      </c>
      <c r="F76" t="s">
        <v>1034</v>
      </c>
    </row>
    <row r="77" spans="1:9" x14ac:dyDescent="0.2">
      <c r="A77" s="197" t="s">
        <v>3508</v>
      </c>
      <c r="B77" s="197" t="s">
        <v>1295</v>
      </c>
      <c r="C77">
        <v>5</v>
      </c>
      <c r="D77" s="1">
        <v>1.6250000000000001E-2</v>
      </c>
      <c r="E77" t="s">
        <v>2147</v>
      </c>
      <c r="F77" t="s">
        <v>1034</v>
      </c>
    </row>
    <row r="78" spans="1:9" x14ac:dyDescent="0.2">
      <c r="A78" s="197" t="s">
        <v>3508</v>
      </c>
      <c r="B78" s="197" t="s">
        <v>1295</v>
      </c>
      <c r="C78">
        <v>4</v>
      </c>
      <c r="D78" s="1">
        <v>1.6006944444444445E-2</v>
      </c>
      <c r="E78" t="s">
        <v>5095</v>
      </c>
      <c r="F78" t="s">
        <v>1034</v>
      </c>
    </row>
    <row r="79" spans="1:9" x14ac:dyDescent="0.2">
      <c r="A79" s="197" t="s">
        <v>3508</v>
      </c>
      <c r="B79" s="197" t="s">
        <v>1295</v>
      </c>
      <c r="C79">
        <v>3</v>
      </c>
      <c r="D79" s="1">
        <v>1.5717592592592592E-2</v>
      </c>
      <c r="E79" t="s">
        <v>1116</v>
      </c>
      <c r="F79" t="s">
        <v>1034</v>
      </c>
    </row>
    <row r="80" spans="1:9" x14ac:dyDescent="0.2">
      <c r="A80" s="197" t="s">
        <v>3508</v>
      </c>
      <c r="B80" s="197" t="s">
        <v>1295</v>
      </c>
      <c r="C80">
        <v>3</v>
      </c>
      <c r="D80" s="1">
        <v>1.5868055555555555E-2</v>
      </c>
      <c r="E80" t="s">
        <v>4673</v>
      </c>
      <c r="F80" t="s">
        <v>1034</v>
      </c>
    </row>
    <row r="81" spans="1:27" x14ac:dyDescent="0.2">
      <c r="A81" s="197" t="s">
        <v>3508</v>
      </c>
      <c r="B81" s="197" t="s">
        <v>1295</v>
      </c>
      <c r="C81">
        <v>2</v>
      </c>
      <c r="D81" s="1">
        <v>1.59375E-2</v>
      </c>
      <c r="E81" t="s">
        <v>2310</v>
      </c>
      <c r="F81" t="s">
        <v>1034</v>
      </c>
    </row>
    <row r="82" spans="1:27" x14ac:dyDescent="0.2">
      <c r="A82" s="197" t="s">
        <v>3508</v>
      </c>
      <c r="B82" s="197" t="s">
        <v>1295</v>
      </c>
      <c r="C82">
        <v>2</v>
      </c>
      <c r="D82" s="1">
        <v>1.6157407407407409E-2</v>
      </c>
      <c r="E82" t="s">
        <v>5959</v>
      </c>
      <c r="F82" t="s">
        <v>1034</v>
      </c>
      <c r="J82" t="s">
        <v>4559</v>
      </c>
    </row>
    <row r="83" spans="1:27" x14ac:dyDescent="0.2">
      <c r="A83" s="197" t="s">
        <v>3508</v>
      </c>
      <c r="B83" s="197" t="s">
        <v>1295</v>
      </c>
      <c r="C83">
        <v>2</v>
      </c>
      <c r="D83" s="1">
        <v>1.6111111111111111E-2</v>
      </c>
      <c r="E83" t="s">
        <v>1822</v>
      </c>
      <c r="F83" t="s">
        <v>1034</v>
      </c>
      <c r="J83" t="s">
        <v>526</v>
      </c>
    </row>
    <row r="84" spans="1:27" x14ac:dyDescent="0.2">
      <c r="A84" s="197" t="s">
        <v>3508</v>
      </c>
      <c r="B84" s="197" t="s">
        <v>1295</v>
      </c>
      <c r="C84">
        <v>2</v>
      </c>
      <c r="D84" s="1">
        <v>1.5694444444444445E-2</v>
      </c>
      <c r="E84" t="s">
        <v>5544</v>
      </c>
      <c r="F84" t="s">
        <v>1034</v>
      </c>
      <c r="J84" t="s">
        <v>5831</v>
      </c>
    </row>
    <row r="85" spans="1:27" x14ac:dyDescent="0.2">
      <c r="A85" s="197" t="s">
        <v>3508</v>
      </c>
      <c r="B85" s="197" t="s">
        <v>1295</v>
      </c>
      <c r="C85">
        <v>2</v>
      </c>
      <c r="D85" s="1">
        <v>1.6666666666666666E-2</v>
      </c>
      <c r="E85" t="s">
        <v>1122</v>
      </c>
      <c r="F85" t="s">
        <v>1034</v>
      </c>
      <c r="J85" t="s">
        <v>4560</v>
      </c>
      <c r="AA85">
        <f>SUM(C74:C85)</f>
        <v>310</v>
      </c>
    </row>
    <row r="86" spans="1:27" x14ac:dyDescent="0.2">
      <c r="A86" s="197" t="s">
        <v>3508</v>
      </c>
      <c r="B86" s="197" t="s">
        <v>1295</v>
      </c>
      <c r="C86">
        <v>32</v>
      </c>
      <c r="D86" s="1"/>
      <c r="F86" t="s">
        <v>1034</v>
      </c>
      <c r="H86" t="s">
        <v>4674</v>
      </c>
      <c r="J86" t="s">
        <v>4675</v>
      </c>
      <c r="AA86">
        <v>32</v>
      </c>
    </row>
    <row r="87" spans="1:27" x14ac:dyDescent="0.2">
      <c r="A87" s="53" t="s">
        <v>4259</v>
      </c>
      <c r="B87" s="53" t="s">
        <v>3632</v>
      </c>
      <c r="C87">
        <v>1</v>
      </c>
      <c r="D87" s="1">
        <v>1.8310185185185186E-2</v>
      </c>
      <c r="E87" t="s">
        <v>4901</v>
      </c>
    </row>
    <row r="88" spans="1:27" x14ac:dyDescent="0.2">
      <c r="A88" s="53" t="s">
        <v>4259</v>
      </c>
      <c r="B88" s="53" t="s">
        <v>3632</v>
      </c>
      <c r="C88">
        <v>1</v>
      </c>
      <c r="D88" s="1">
        <v>1.9479166666666669E-2</v>
      </c>
      <c r="E88" t="s">
        <v>2384</v>
      </c>
    </row>
    <row r="89" spans="1:27" x14ac:dyDescent="0.2">
      <c r="A89" s="53" t="s">
        <v>4259</v>
      </c>
      <c r="B89" s="53" t="s">
        <v>3632</v>
      </c>
      <c r="C89">
        <v>1</v>
      </c>
      <c r="D89" s="1">
        <v>1.9571759259259257E-2</v>
      </c>
      <c r="E89" t="s">
        <v>1624</v>
      </c>
    </row>
    <row r="90" spans="1:27" x14ac:dyDescent="0.2">
      <c r="A90" s="53" t="s">
        <v>4259</v>
      </c>
      <c r="B90" s="53" t="s">
        <v>3632</v>
      </c>
      <c r="C90">
        <v>1</v>
      </c>
      <c r="D90" s="1">
        <v>2.3680555555555555E-2</v>
      </c>
      <c r="E90" t="s">
        <v>653</v>
      </c>
    </row>
    <row r="91" spans="1:27" x14ac:dyDescent="0.2">
      <c r="A91" s="53" t="s">
        <v>4259</v>
      </c>
      <c r="B91" s="53" t="s">
        <v>3632</v>
      </c>
      <c r="C91">
        <v>1</v>
      </c>
      <c r="D91" s="1">
        <v>3.0636574074074076E-2</v>
      </c>
      <c r="E91" t="s">
        <v>3869</v>
      </c>
    </row>
    <row r="92" spans="1:27" x14ac:dyDescent="0.2">
      <c r="A92" s="53" t="s">
        <v>4259</v>
      </c>
      <c r="B92" s="53" t="s">
        <v>4619</v>
      </c>
      <c r="C92">
        <v>1</v>
      </c>
      <c r="D92" s="1">
        <v>1.4849537037037036E-2</v>
      </c>
      <c r="E92" t="s">
        <v>527</v>
      </c>
    </row>
    <row r="93" spans="1:27" x14ac:dyDescent="0.2">
      <c r="A93" s="53" t="s">
        <v>4259</v>
      </c>
      <c r="B93" s="53" t="s">
        <v>4619</v>
      </c>
      <c r="C93">
        <v>13</v>
      </c>
      <c r="D93" s="1">
        <v>1.4363425925925925E-2</v>
      </c>
      <c r="E93" t="s">
        <v>1003</v>
      </c>
    </row>
    <row r="94" spans="1:27" x14ac:dyDescent="0.2">
      <c r="A94" s="53" t="s">
        <v>4259</v>
      </c>
      <c r="B94" s="53" t="s">
        <v>4619</v>
      </c>
      <c r="C94">
        <v>2</v>
      </c>
      <c r="D94" s="1">
        <v>1.4791666666666668E-2</v>
      </c>
      <c r="E94" t="s">
        <v>5484</v>
      </c>
    </row>
    <row r="95" spans="1:27" x14ac:dyDescent="0.2">
      <c r="A95" s="53" t="s">
        <v>3755</v>
      </c>
      <c r="B95" s="53" t="s">
        <v>3799</v>
      </c>
      <c r="C95">
        <v>17</v>
      </c>
      <c r="D95" s="1">
        <v>1.8437499999999999E-2</v>
      </c>
      <c r="E95" t="s">
        <v>3225</v>
      </c>
    </row>
    <row r="96" spans="1:27" x14ac:dyDescent="0.2">
      <c r="A96" s="53" t="s">
        <v>3755</v>
      </c>
      <c r="B96" s="53" t="s">
        <v>3799</v>
      </c>
      <c r="C96">
        <v>15</v>
      </c>
      <c r="D96" s="1">
        <v>1.8715277777777779E-2</v>
      </c>
      <c r="E96" t="s">
        <v>4202</v>
      </c>
      <c r="AA96">
        <v>1107392</v>
      </c>
    </row>
    <row r="97" spans="1:27" x14ac:dyDescent="0.2">
      <c r="A97" s="53" t="s">
        <v>3755</v>
      </c>
      <c r="B97" s="53" t="s">
        <v>3799</v>
      </c>
      <c r="C97">
        <v>1</v>
      </c>
      <c r="D97" s="1">
        <v>1.8738425925925926E-2</v>
      </c>
      <c r="E97" t="s">
        <v>2433</v>
      </c>
    </row>
    <row r="98" spans="1:27" x14ac:dyDescent="0.2">
      <c r="A98" s="53" t="s">
        <v>3755</v>
      </c>
      <c r="B98" s="53" t="s">
        <v>3799</v>
      </c>
      <c r="C98">
        <v>1</v>
      </c>
      <c r="D98" s="1">
        <v>1.9629629629629629E-2</v>
      </c>
      <c r="E98" t="s">
        <v>3683</v>
      </c>
    </row>
    <row r="99" spans="1:27" x14ac:dyDescent="0.2">
      <c r="A99" s="53" t="s">
        <v>3755</v>
      </c>
      <c r="B99" s="53" t="s">
        <v>3799</v>
      </c>
      <c r="C99">
        <v>1</v>
      </c>
      <c r="D99" s="1">
        <v>1.9884259259259258E-2</v>
      </c>
      <c r="E99" t="s">
        <v>1805</v>
      </c>
    </row>
    <row r="100" spans="1:27" x14ac:dyDescent="0.2">
      <c r="A100" s="53" t="s">
        <v>3755</v>
      </c>
      <c r="B100" s="53" t="s">
        <v>3799</v>
      </c>
      <c r="C100">
        <v>2</v>
      </c>
      <c r="D100" s="1">
        <v>2.074074074074074E-2</v>
      </c>
      <c r="E100" t="s">
        <v>1302</v>
      </c>
    </row>
    <row r="101" spans="1:27" x14ac:dyDescent="0.2">
      <c r="A101" s="53" t="s">
        <v>3755</v>
      </c>
      <c r="B101" s="53" t="s">
        <v>3799</v>
      </c>
      <c r="C101">
        <v>2</v>
      </c>
      <c r="D101" s="1">
        <v>2.0925925925925928E-2</v>
      </c>
      <c r="E101" t="s">
        <v>4835</v>
      </c>
    </row>
    <row r="102" spans="1:27" x14ac:dyDescent="0.2">
      <c r="A102" s="53" t="s">
        <v>3755</v>
      </c>
      <c r="B102" s="53" t="s">
        <v>3799</v>
      </c>
      <c r="C102">
        <v>1</v>
      </c>
      <c r="D102" s="1">
        <v>2.1712962962962962E-2</v>
      </c>
      <c r="E102" t="s">
        <v>161</v>
      </c>
    </row>
    <row r="103" spans="1:27" x14ac:dyDescent="0.2">
      <c r="A103" s="53" t="s">
        <v>3755</v>
      </c>
      <c r="B103" s="53" t="s">
        <v>3799</v>
      </c>
      <c r="C103">
        <v>1</v>
      </c>
      <c r="D103" s="1">
        <v>2.224537037037037E-2</v>
      </c>
      <c r="E103" t="s">
        <v>4817</v>
      </c>
    </row>
    <row r="104" spans="1:27" x14ac:dyDescent="0.2">
      <c r="A104" s="178" t="s">
        <v>3755</v>
      </c>
      <c r="B104" s="178" t="s">
        <v>3799</v>
      </c>
      <c r="C104" s="115">
        <v>1</v>
      </c>
      <c r="D104" s="168">
        <v>3.3240740740740744E-2</v>
      </c>
      <c r="E104" s="115" t="s">
        <v>3323</v>
      </c>
      <c r="F104" s="115"/>
      <c r="G104" s="115"/>
      <c r="H104" s="115"/>
      <c r="I104" s="115"/>
    </row>
    <row r="105" spans="1:27" x14ac:dyDescent="0.2">
      <c r="A105" s="422" t="s">
        <v>1794</v>
      </c>
      <c r="B105" s="422" t="s">
        <v>3799</v>
      </c>
      <c r="C105" s="423">
        <v>24</v>
      </c>
      <c r="D105" s="424">
        <v>1.6608796296296299E-2</v>
      </c>
      <c r="E105" s="423" t="s">
        <v>4202</v>
      </c>
      <c r="AA105">
        <v>1149114</v>
      </c>
    </row>
    <row r="106" spans="1:27" x14ac:dyDescent="0.2">
      <c r="A106" s="422" t="s">
        <v>1794</v>
      </c>
      <c r="B106" s="422" t="s">
        <v>3799</v>
      </c>
      <c r="C106" s="423">
        <v>22</v>
      </c>
      <c r="D106" s="424">
        <v>1.6886574074074075E-2</v>
      </c>
      <c r="E106" s="423" t="s">
        <v>3225</v>
      </c>
      <c r="G106" t="s">
        <v>4173</v>
      </c>
    </row>
    <row r="107" spans="1:27" x14ac:dyDescent="0.2">
      <c r="A107" s="422" t="s">
        <v>1794</v>
      </c>
      <c r="B107" s="422" t="s">
        <v>3799</v>
      </c>
      <c r="C107" s="423">
        <v>1</v>
      </c>
      <c r="D107" s="424">
        <v>1.7245370370370369E-2</v>
      </c>
      <c r="E107" s="423" t="s">
        <v>2433</v>
      </c>
      <c r="G107" t="s">
        <v>4174</v>
      </c>
    </row>
    <row r="108" spans="1:27" x14ac:dyDescent="0.2">
      <c r="A108" s="422" t="s">
        <v>1794</v>
      </c>
      <c r="B108" s="422" t="s">
        <v>3799</v>
      </c>
      <c r="C108" s="423">
        <v>2</v>
      </c>
      <c r="D108" s="424">
        <v>1.7337962962962961E-2</v>
      </c>
      <c r="E108" s="423" t="s">
        <v>4835</v>
      </c>
    </row>
    <row r="109" spans="1:27" x14ac:dyDescent="0.2">
      <c r="A109" s="422" t="s">
        <v>1794</v>
      </c>
      <c r="B109" s="422" t="s">
        <v>3799</v>
      </c>
      <c r="C109" s="423">
        <v>1</v>
      </c>
      <c r="D109" s="424">
        <v>1.8113425925925925E-2</v>
      </c>
      <c r="E109" s="423" t="s">
        <v>1805</v>
      </c>
    </row>
    <row r="110" spans="1:27" x14ac:dyDescent="0.2">
      <c r="A110" s="422" t="s">
        <v>1794</v>
      </c>
      <c r="B110" s="422" t="s">
        <v>3799</v>
      </c>
      <c r="C110" s="423">
        <v>1</v>
      </c>
      <c r="D110" s="424">
        <v>1.8229166666666668E-2</v>
      </c>
      <c r="E110" s="423" t="s">
        <v>3683</v>
      </c>
    </row>
    <row r="111" spans="1:27" x14ac:dyDescent="0.2">
      <c r="A111" s="422" t="s">
        <v>1794</v>
      </c>
      <c r="B111" s="422" t="s">
        <v>3799</v>
      </c>
      <c r="C111" s="423">
        <v>2</v>
      </c>
      <c r="D111" s="424">
        <v>1.8368055555555554E-2</v>
      </c>
      <c r="E111" s="423" t="s">
        <v>3323</v>
      </c>
    </row>
    <row r="112" spans="1:27" x14ac:dyDescent="0.2">
      <c r="A112" s="422" t="s">
        <v>1794</v>
      </c>
      <c r="B112" s="422" t="s">
        <v>3799</v>
      </c>
      <c r="C112" s="423">
        <v>1</v>
      </c>
      <c r="D112" s="424">
        <v>1.712962962962963E-2</v>
      </c>
      <c r="E112" s="423" t="s">
        <v>4171</v>
      </c>
    </row>
    <row r="113" spans="1:27" x14ac:dyDescent="0.2">
      <c r="A113" s="422" t="s">
        <v>1794</v>
      </c>
      <c r="B113" s="422" t="s">
        <v>3799</v>
      </c>
      <c r="C113" s="423">
        <v>1</v>
      </c>
      <c r="D113" s="424">
        <v>1.8807870370370371E-2</v>
      </c>
      <c r="E113" s="423" t="s">
        <v>4172</v>
      </c>
    </row>
    <row r="114" spans="1:27" x14ac:dyDescent="0.2">
      <c r="A114" s="422" t="s">
        <v>1794</v>
      </c>
      <c r="B114" s="422" t="s">
        <v>3799</v>
      </c>
      <c r="C114" s="423">
        <v>2</v>
      </c>
      <c r="D114" s="424">
        <v>1.8761574074074073E-2</v>
      </c>
      <c r="E114" s="423" t="s">
        <v>1302</v>
      </c>
      <c r="G114" t="s">
        <v>543</v>
      </c>
    </row>
    <row r="115" spans="1:27" x14ac:dyDescent="0.2">
      <c r="A115" s="422" t="s">
        <v>1794</v>
      </c>
      <c r="B115" s="422" t="s">
        <v>3799</v>
      </c>
      <c r="C115" s="423">
        <v>1</v>
      </c>
      <c r="D115" s="424">
        <v>1.7372685185185185E-2</v>
      </c>
      <c r="E115" s="423" t="s">
        <v>4817</v>
      </c>
    </row>
    <row r="116" spans="1:27" x14ac:dyDescent="0.2">
      <c r="A116" s="425" t="s">
        <v>1794</v>
      </c>
      <c r="B116" s="425" t="s">
        <v>3799</v>
      </c>
      <c r="C116" s="426">
        <v>1</v>
      </c>
      <c r="D116" s="427">
        <v>2.1689814814814815E-2</v>
      </c>
      <c r="E116" s="426" t="s">
        <v>161</v>
      </c>
      <c r="F116" s="115"/>
      <c r="G116" s="115"/>
      <c r="H116" s="115"/>
      <c r="I116" s="115"/>
    </row>
    <row r="117" spans="1:27" x14ac:dyDescent="0.2">
      <c r="A117" s="53" t="s">
        <v>5649</v>
      </c>
      <c r="B117" s="53" t="s">
        <v>804</v>
      </c>
      <c r="C117">
        <v>2</v>
      </c>
      <c r="D117" s="1">
        <v>1.2453703703703703E-2</v>
      </c>
      <c r="E117" t="s">
        <v>4608</v>
      </c>
      <c r="AA117">
        <v>79524</v>
      </c>
    </row>
    <row r="118" spans="1:27" x14ac:dyDescent="0.2">
      <c r="A118" s="53" t="s">
        <v>5649</v>
      </c>
      <c r="B118" s="53" t="s">
        <v>804</v>
      </c>
      <c r="C118">
        <v>1</v>
      </c>
      <c r="D118" s="1">
        <v>1.8680555555555554E-2</v>
      </c>
      <c r="E118" t="s">
        <v>5962</v>
      </c>
    </row>
    <row r="119" spans="1:27" x14ac:dyDescent="0.2">
      <c r="A119" s="53" t="s">
        <v>5649</v>
      </c>
      <c r="B119" s="53" t="s">
        <v>804</v>
      </c>
      <c r="C119">
        <v>1</v>
      </c>
      <c r="D119" s="1">
        <v>1.8969907407407408E-2</v>
      </c>
      <c r="E119" t="s">
        <v>3430</v>
      </c>
      <c r="G119" s="38"/>
      <c r="H119" s="38"/>
    </row>
    <row r="120" spans="1:27" x14ac:dyDescent="0.2">
      <c r="A120" s="53" t="s">
        <v>3542</v>
      </c>
      <c r="B120" s="53" t="s">
        <v>1590</v>
      </c>
      <c r="C120">
        <v>9</v>
      </c>
      <c r="D120" s="1">
        <v>2.2708333333333334E-2</v>
      </c>
      <c r="E120" t="s">
        <v>1719</v>
      </c>
      <c r="AA120">
        <v>1215098</v>
      </c>
    </row>
    <row r="121" spans="1:27" x14ac:dyDescent="0.2">
      <c r="A121" s="422" t="s">
        <v>5980</v>
      </c>
      <c r="B121" s="422" t="s">
        <v>4818</v>
      </c>
      <c r="C121" s="451">
        <v>1</v>
      </c>
      <c r="D121" s="94">
        <v>2.5150462962962961E-2</v>
      </c>
      <c r="E121" s="451" t="s">
        <v>5821</v>
      </c>
      <c r="F121" s="24"/>
    </row>
    <row r="122" spans="1:27" x14ac:dyDescent="0.2">
      <c r="A122" s="422" t="s">
        <v>5980</v>
      </c>
      <c r="B122" s="422" t="s">
        <v>4818</v>
      </c>
      <c r="C122" s="451">
        <v>1</v>
      </c>
      <c r="D122" s="94">
        <v>2.431712962962963E-2</v>
      </c>
      <c r="E122" s="451" t="s">
        <v>999</v>
      </c>
      <c r="F122" s="24"/>
    </row>
    <row r="123" spans="1:27" x14ac:dyDescent="0.2">
      <c r="A123" s="422" t="s">
        <v>5980</v>
      </c>
      <c r="B123" s="422" t="s">
        <v>4818</v>
      </c>
      <c r="C123" s="451">
        <v>1</v>
      </c>
      <c r="D123" s="94">
        <v>2.2881944444444444E-2</v>
      </c>
      <c r="E123" s="451" t="s">
        <v>1283</v>
      </c>
      <c r="F123" s="24"/>
    </row>
    <row r="124" spans="1:27" x14ac:dyDescent="0.2">
      <c r="A124" s="422" t="s">
        <v>5980</v>
      </c>
      <c r="B124" s="422" t="s">
        <v>4818</v>
      </c>
      <c r="C124" s="451">
        <v>1</v>
      </c>
      <c r="D124" s="94">
        <v>2.7233796296296298E-2</v>
      </c>
      <c r="E124" s="451" t="s">
        <v>5883</v>
      </c>
      <c r="F124" s="24"/>
    </row>
    <row r="125" spans="1:27" x14ac:dyDescent="0.2">
      <c r="A125" s="422" t="s">
        <v>5980</v>
      </c>
      <c r="B125" s="422" t="s">
        <v>4818</v>
      </c>
      <c r="C125" s="451">
        <v>2</v>
      </c>
      <c r="D125" s="94">
        <v>2.2615740740740742E-2</v>
      </c>
      <c r="E125" s="451" t="s">
        <v>1018</v>
      </c>
      <c r="F125" s="24"/>
    </row>
    <row r="126" spans="1:27" x14ac:dyDescent="0.2">
      <c r="A126" s="422" t="s">
        <v>5980</v>
      </c>
      <c r="B126" s="422" t="s">
        <v>4818</v>
      </c>
      <c r="C126" s="451">
        <v>32</v>
      </c>
      <c r="D126" s="94">
        <v>2.0914351851851851E-2</v>
      </c>
      <c r="E126" s="451" t="s">
        <v>5656</v>
      </c>
      <c r="F126" s="24"/>
      <c r="G126" t="s">
        <v>1714</v>
      </c>
    </row>
    <row r="127" spans="1:27" x14ac:dyDescent="0.2">
      <c r="A127" s="422" t="s">
        <v>5980</v>
      </c>
      <c r="B127" s="422" t="s">
        <v>4818</v>
      </c>
      <c r="C127" s="451">
        <v>1</v>
      </c>
      <c r="D127" s="94">
        <v>2.2685185185185183E-2</v>
      </c>
      <c r="E127" s="451" t="s">
        <v>1810</v>
      </c>
      <c r="F127" s="24"/>
    </row>
    <row r="128" spans="1:27" x14ac:dyDescent="0.2">
      <c r="A128" s="422" t="s">
        <v>5980</v>
      </c>
      <c r="B128" s="422" t="s">
        <v>4818</v>
      </c>
      <c r="C128" s="451">
        <v>1</v>
      </c>
      <c r="D128" s="94">
        <v>2.3252314814814812E-2</v>
      </c>
      <c r="E128" s="451" t="s">
        <v>5674</v>
      </c>
      <c r="F128" s="24"/>
    </row>
    <row r="129" spans="1:7" x14ac:dyDescent="0.2">
      <c r="A129" s="422" t="s">
        <v>5980</v>
      </c>
      <c r="B129" s="422" t="s">
        <v>4818</v>
      </c>
      <c r="C129" s="451">
        <v>1</v>
      </c>
      <c r="D129" s="94">
        <v>2.3298611111111107E-2</v>
      </c>
      <c r="E129" s="451" t="s">
        <v>1811</v>
      </c>
      <c r="F129" s="24"/>
    </row>
    <row r="130" spans="1:7" x14ac:dyDescent="0.2">
      <c r="A130" s="422" t="s">
        <v>5980</v>
      </c>
      <c r="B130" s="422" t="s">
        <v>4818</v>
      </c>
      <c r="C130" s="451">
        <v>1</v>
      </c>
      <c r="D130" s="94">
        <v>2.344907407407407E-2</v>
      </c>
      <c r="E130" s="451" t="s">
        <v>2593</v>
      </c>
      <c r="F130" s="24"/>
    </row>
    <row r="131" spans="1:7" x14ac:dyDescent="0.2">
      <c r="A131" s="422" t="s">
        <v>5980</v>
      </c>
      <c r="B131" s="422" t="s">
        <v>4818</v>
      </c>
      <c r="C131" s="451">
        <v>1</v>
      </c>
      <c r="D131" s="94">
        <v>2.5196759259259256E-2</v>
      </c>
      <c r="E131" s="452" t="s">
        <v>5359</v>
      </c>
      <c r="F131" s="24"/>
      <c r="G131" t="s">
        <v>1017</v>
      </c>
    </row>
    <row r="132" spans="1:7" x14ac:dyDescent="0.2">
      <c r="A132" s="422" t="s">
        <v>5980</v>
      </c>
      <c r="B132" s="422" t="s">
        <v>4818</v>
      </c>
      <c r="C132" s="451">
        <v>1</v>
      </c>
      <c r="D132" s="94">
        <v>2.5185185185185185E-2</v>
      </c>
      <c r="E132" s="451" t="s">
        <v>1624</v>
      </c>
      <c r="F132" s="24"/>
    </row>
    <row r="133" spans="1:7" x14ac:dyDescent="0.2">
      <c r="A133" s="422" t="s">
        <v>5980</v>
      </c>
      <c r="B133" s="422" t="s">
        <v>4818</v>
      </c>
      <c r="C133" s="451">
        <v>2</v>
      </c>
      <c r="D133" s="94">
        <v>2.4687500000000001E-2</v>
      </c>
      <c r="E133" s="451" t="s">
        <v>4282</v>
      </c>
      <c r="F133" s="24"/>
    </row>
    <row r="134" spans="1:7" x14ac:dyDescent="0.2">
      <c r="A134" s="422" t="s">
        <v>5980</v>
      </c>
      <c r="B134" s="422" t="s">
        <v>4818</v>
      </c>
      <c r="C134" s="451">
        <v>1</v>
      </c>
      <c r="D134" s="94">
        <v>2.4247685185185181E-2</v>
      </c>
      <c r="E134" s="452" t="s">
        <v>2041</v>
      </c>
      <c r="F134" s="24"/>
      <c r="G134" t="s">
        <v>1017</v>
      </c>
    </row>
    <row r="135" spans="1:7" x14ac:dyDescent="0.2">
      <c r="A135" s="422" t="s">
        <v>5980</v>
      </c>
      <c r="B135" s="422" t="s">
        <v>4818</v>
      </c>
      <c r="C135" s="451">
        <v>1</v>
      </c>
      <c r="D135" s="94">
        <v>2.4375000000000001E-2</v>
      </c>
      <c r="E135" s="451" t="s">
        <v>4281</v>
      </c>
      <c r="F135" s="24"/>
    </row>
    <row r="136" spans="1:7" x14ac:dyDescent="0.2">
      <c r="A136" s="422" t="s">
        <v>5980</v>
      </c>
      <c r="B136" s="422" t="s">
        <v>4818</v>
      </c>
      <c r="C136" s="451">
        <v>1</v>
      </c>
      <c r="D136" s="94">
        <v>2.3865740740740743E-2</v>
      </c>
      <c r="E136" s="451" t="s">
        <v>129</v>
      </c>
      <c r="F136" s="24"/>
    </row>
    <row r="137" spans="1:7" x14ac:dyDescent="0.2">
      <c r="A137" s="422" t="s">
        <v>5980</v>
      </c>
      <c r="B137" s="422" t="s">
        <v>4818</v>
      </c>
      <c r="C137" s="451">
        <v>1</v>
      </c>
      <c r="D137" s="94">
        <v>2.5694444444444447E-2</v>
      </c>
      <c r="E137" s="452" t="s">
        <v>1019</v>
      </c>
      <c r="F137" s="24"/>
      <c r="G137" t="s">
        <v>1017</v>
      </c>
    </row>
    <row r="138" spans="1:7" x14ac:dyDescent="0.2">
      <c r="A138" s="422" t="s">
        <v>5980</v>
      </c>
      <c r="B138" s="422" t="s">
        <v>4818</v>
      </c>
      <c r="C138" s="451">
        <v>5</v>
      </c>
      <c r="D138" s="94">
        <v>2.2650462962962966E-2</v>
      </c>
      <c r="E138" s="451" t="s">
        <v>2312</v>
      </c>
      <c r="F138" s="24"/>
    </row>
    <row r="139" spans="1:7" x14ac:dyDescent="0.2">
      <c r="A139" s="422" t="s">
        <v>5980</v>
      </c>
      <c r="B139" s="422" t="s">
        <v>4818</v>
      </c>
      <c r="C139" s="451">
        <v>1</v>
      </c>
      <c r="D139" s="94">
        <v>2.2418981481481481E-2</v>
      </c>
      <c r="E139" s="451" t="s">
        <v>4817</v>
      </c>
      <c r="F139" s="24"/>
    </row>
    <row r="140" spans="1:7" x14ac:dyDescent="0.2">
      <c r="A140" s="422" t="s">
        <v>5980</v>
      </c>
      <c r="B140" s="422" t="s">
        <v>4818</v>
      </c>
      <c r="C140" s="451">
        <v>1</v>
      </c>
      <c r="D140" s="94">
        <v>2.4861111111111108E-2</v>
      </c>
      <c r="E140" s="451" t="s">
        <v>5962</v>
      </c>
      <c r="F140" s="24"/>
    </row>
    <row r="141" spans="1:7" x14ac:dyDescent="0.2">
      <c r="A141" s="422" t="s">
        <v>5980</v>
      </c>
      <c r="B141" s="422" t="s">
        <v>4818</v>
      </c>
      <c r="C141" s="451">
        <v>1</v>
      </c>
      <c r="D141" s="94">
        <v>2.2905092592592591E-2</v>
      </c>
      <c r="E141" s="451" t="s">
        <v>5889</v>
      </c>
      <c r="F141" s="24"/>
    </row>
    <row r="142" spans="1:7" x14ac:dyDescent="0.2">
      <c r="A142" s="422" t="s">
        <v>5980</v>
      </c>
      <c r="B142" s="422" t="s">
        <v>4818</v>
      </c>
      <c r="C142" s="451">
        <v>1</v>
      </c>
      <c r="D142" s="94">
        <v>2.6296296296296293E-2</v>
      </c>
      <c r="E142" s="452" t="s">
        <v>1183</v>
      </c>
      <c r="F142" s="24"/>
      <c r="G142" t="s">
        <v>4126</v>
      </c>
    </row>
    <row r="143" spans="1:7" x14ac:dyDescent="0.2">
      <c r="A143" s="422" t="s">
        <v>5980</v>
      </c>
      <c r="B143" s="422" t="s">
        <v>4818</v>
      </c>
      <c r="C143" s="451">
        <v>1</v>
      </c>
      <c r="D143" s="94">
        <v>2.5706018518518517E-2</v>
      </c>
      <c r="E143" s="451" t="s">
        <v>4491</v>
      </c>
      <c r="F143" s="24"/>
    </row>
    <row r="144" spans="1:7" x14ac:dyDescent="0.2">
      <c r="A144" s="422" t="s">
        <v>5980</v>
      </c>
      <c r="B144" s="422" t="s">
        <v>4818</v>
      </c>
      <c r="C144" s="451">
        <v>1</v>
      </c>
      <c r="D144" s="94">
        <v>2.4259259259259258E-2</v>
      </c>
      <c r="E144" s="451" t="s">
        <v>861</v>
      </c>
      <c r="F144" s="24"/>
    </row>
    <row r="145" spans="1:7" x14ac:dyDescent="0.2">
      <c r="A145" s="422" t="s">
        <v>5980</v>
      </c>
      <c r="B145" s="422" t="s">
        <v>4818</v>
      </c>
      <c r="C145" s="451">
        <v>1</v>
      </c>
      <c r="D145" s="94">
        <v>2.4664351851851851E-2</v>
      </c>
      <c r="E145" s="451" t="s">
        <v>1020</v>
      </c>
      <c r="F145" s="24"/>
    </row>
    <row r="146" spans="1:7" x14ac:dyDescent="0.2">
      <c r="A146" s="422" t="s">
        <v>5980</v>
      </c>
      <c r="B146" s="422" t="s">
        <v>4818</v>
      </c>
      <c r="C146" s="451">
        <v>1</v>
      </c>
      <c r="D146" s="94">
        <v>2.6631944444444444E-2</v>
      </c>
      <c r="E146" s="452" t="s">
        <v>283</v>
      </c>
      <c r="F146" s="24"/>
      <c r="G146" t="s">
        <v>1017</v>
      </c>
    </row>
    <row r="147" spans="1:7" x14ac:dyDescent="0.2">
      <c r="A147" s="422" t="s">
        <v>5980</v>
      </c>
      <c r="B147" s="422" t="s">
        <v>4818</v>
      </c>
      <c r="C147" s="451">
        <v>1</v>
      </c>
      <c r="D147" s="94">
        <v>2.4131944444444445E-2</v>
      </c>
      <c r="E147" s="451" t="s">
        <v>4556</v>
      </c>
      <c r="F147" s="24"/>
    </row>
    <row r="148" spans="1:7" x14ac:dyDescent="0.2">
      <c r="A148" s="422" t="s">
        <v>5980</v>
      </c>
      <c r="B148" s="422" t="s">
        <v>4818</v>
      </c>
      <c r="C148" s="451">
        <v>1</v>
      </c>
      <c r="D148" s="94">
        <v>2.2997685185185187E-2</v>
      </c>
      <c r="E148" s="451" t="s">
        <v>4861</v>
      </c>
      <c r="F148" s="24"/>
    </row>
    <row r="149" spans="1:7" x14ac:dyDescent="0.2">
      <c r="A149" s="422" t="s">
        <v>5980</v>
      </c>
      <c r="B149" s="422" t="s">
        <v>4818</v>
      </c>
      <c r="C149" s="451">
        <v>1</v>
      </c>
      <c r="D149" s="94">
        <v>2.361111111111111E-2</v>
      </c>
      <c r="E149" s="451" t="s">
        <v>286</v>
      </c>
      <c r="F149" s="24"/>
    </row>
    <row r="150" spans="1:7" x14ac:dyDescent="0.2">
      <c r="A150" s="422" t="s">
        <v>5980</v>
      </c>
      <c r="B150" s="422" t="s">
        <v>4818</v>
      </c>
      <c r="C150" s="451">
        <v>1</v>
      </c>
      <c r="D150" s="94">
        <v>2.5613425925925925E-2</v>
      </c>
      <c r="E150" s="451" t="s">
        <v>3042</v>
      </c>
      <c r="F150" s="24"/>
    </row>
    <row r="151" spans="1:7" x14ac:dyDescent="0.2">
      <c r="A151" s="422" t="s">
        <v>5980</v>
      </c>
      <c r="B151" s="422" t="s">
        <v>4818</v>
      </c>
      <c r="C151" s="451">
        <v>1</v>
      </c>
      <c r="D151" s="94">
        <v>2.4027777777777776E-2</v>
      </c>
      <c r="E151" s="452" t="s">
        <v>475</v>
      </c>
      <c r="F151" s="24"/>
      <c r="G151" t="s">
        <v>4089</v>
      </c>
    </row>
    <row r="152" spans="1:7" x14ac:dyDescent="0.2">
      <c r="A152" s="422" t="s">
        <v>5980</v>
      </c>
      <c r="B152" s="422" t="s">
        <v>4818</v>
      </c>
      <c r="C152" s="451">
        <v>1</v>
      </c>
      <c r="D152" s="94">
        <v>2.8240740740740736E-2</v>
      </c>
      <c r="E152" s="451" t="s">
        <v>2294</v>
      </c>
      <c r="F152" s="24"/>
    </row>
    <row r="153" spans="1:7" x14ac:dyDescent="0.2">
      <c r="A153" s="422" t="s">
        <v>5980</v>
      </c>
      <c r="B153" s="422" t="s">
        <v>4818</v>
      </c>
      <c r="C153" s="451">
        <v>1</v>
      </c>
      <c r="D153" s="94">
        <v>2.2222222222222223E-2</v>
      </c>
      <c r="E153" s="451" t="s">
        <v>891</v>
      </c>
      <c r="F153" s="24"/>
    </row>
    <row r="154" spans="1:7" x14ac:dyDescent="0.2">
      <c r="A154" s="422" t="s">
        <v>5980</v>
      </c>
      <c r="B154" s="422" t="s">
        <v>4818</v>
      </c>
      <c r="C154" s="451">
        <v>1</v>
      </c>
      <c r="D154" s="94">
        <v>2.508101851851852E-2</v>
      </c>
      <c r="E154" s="451" t="s">
        <v>5039</v>
      </c>
      <c r="F154" s="24"/>
    </row>
    <row r="155" spans="1:7" x14ac:dyDescent="0.2">
      <c r="A155" s="422" t="s">
        <v>5980</v>
      </c>
      <c r="B155" s="422" t="s">
        <v>4818</v>
      </c>
      <c r="C155" s="451">
        <v>1</v>
      </c>
      <c r="D155" s="94">
        <v>2.375E-2</v>
      </c>
      <c r="E155" s="451" t="s">
        <v>285</v>
      </c>
      <c r="F155" s="24"/>
    </row>
    <row r="156" spans="1:7" x14ac:dyDescent="0.2">
      <c r="A156" s="422" t="s">
        <v>5980</v>
      </c>
      <c r="B156" s="422" t="s">
        <v>4818</v>
      </c>
      <c r="C156" s="451">
        <v>1</v>
      </c>
      <c r="D156" s="94">
        <v>2.4189814814814817E-2</v>
      </c>
      <c r="E156" s="451" t="s">
        <v>1211</v>
      </c>
      <c r="F156" s="24"/>
    </row>
    <row r="157" spans="1:7" x14ac:dyDescent="0.2">
      <c r="A157" s="422" t="s">
        <v>5980</v>
      </c>
      <c r="B157" s="422" t="s">
        <v>4818</v>
      </c>
      <c r="C157" s="451">
        <v>1</v>
      </c>
      <c r="D157" s="94">
        <v>2.4143518518518519E-2</v>
      </c>
      <c r="E157" s="451" t="s">
        <v>3871</v>
      </c>
      <c r="F157" s="24"/>
    </row>
    <row r="158" spans="1:7" x14ac:dyDescent="0.2">
      <c r="A158" s="422" t="s">
        <v>5980</v>
      </c>
      <c r="B158" s="422" t="s">
        <v>4818</v>
      </c>
      <c r="C158" s="451">
        <v>2</v>
      </c>
      <c r="D158" s="94">
        <v>2.4062500000000001E-2</v>
      </c>
      <c r="E158" s="452" t="s">
        <v>358</v>
      </c>
      <c r="F158" s="24"/>
      <c r="G158" t="s">
        <v>1017</v>
      </c>
    </row>
    <row r="159" spans="1:7" x14ac:dyDescent="0.2">
      <c r="A159" s="422" t="s">
        <v>5980</v>
      </c>
      <c r="B159" s="422" t="s">
        <v>4818</v>
      </c>
      <c r="C159" s="451">
        <v>1</v>
      </c>
      <c r="D159" s="94">
        <v>2.3333333333333334E-2</v>
      </c>
      <c r="E159" s="452" t="s">
        <v>1021</v>
      </c>
      <c r="F159" s="24"/>
      <c r="G159" t="s">
        <v>1017</v>
      </c>
    </row>
    <row r="160" spans="1:7" x14ac:dyDescent="0.2">
      <c r="A160" s="422" t="s">
        <v>5980</v>
      </c>
      <c r="B160" s="422" t="s">
        <v>4818</v>
      </c>
      <c r="C160" s="451">
        <v>1</v>
      </c>
      <c r="D160" s="94">
        <v>2.3310185185185187E-2</v>
      </c>
      <c r="E160" s="451" t="s">
        <v>5554</v>
      </c>
      <c r="F160" s="24"/>
    </row>
    <row r="161" spans="1:8" x14ac:dyDescent="0.2">
      <c r="A161" s="422" t="s">
        <v>5980</v>
      </c>
      <c r="B161" s="422" t="s">
        <v>4818</v>
      </c>
      <c r="C161" s="451">
        <v>1</v>
      </c>
      <c r="D161" s="94">
        <v>2.4004629629629629E-2</v>
      </c>
      <c r="E161" s="452" t="s">
        <v>284</v>
      </c>
      <c r="F161" s="24"/>
      <c r="G161" t="s">
        <v>1017</v>
      </c>
    </row>
    <row r="162" spans="1:8" x14ac:dyDescent="0.2">
      <c r="A162" s="422" t="s">
        <v>5980</v>
      </c>
      <c r="B162" s="422" t="s">
        <v>4818</v>
      </c>
      <c r="C162" s="451">
        <v>1</v>
      </c>
      <c r="D162" s="94">
        <v>2.479166666666667E-2</v>
      </c>
      <c r="E162" s="452" t="s">
        <v>282</v>
      </c>
      <c r="F162" s="24"/>
      <c r="G162" t="s">
        <v>1017</v>
      </c>
    </row>
    <row r="163" spans="1:8" x14ac:dyDescent="0.2">
      <c r="A163" s="422" t="s">
        <v>5980</v>
      </c>
      <c r="B163" s="422" t="s">
        <v>4818</v>
      </c>
      <c r="C163" s="451">
        <v>2</v>
      </c>
      <c r="D163" s="94">
        <v>2.3043981481481481E-2</v>
      </c>
      <c r="E163" s="451" t="s">
        <v>5950</v>
      </c>
      <c r="F163" s="24"/>
    </row>
    <row r="164" spans="1:8" x14ac:dyDescent="0.2">
      <c r="A164" s="422" t="s">
        <v>5980</v>
      </c>
      <c r="B164" s="422" t="s">
        <v>4818</v>
      </c>
      <c r="C164" s="451">
        <v>1</v>
      </c>
      <c r="D164" s="94">
        <v>2.4155092592592589E-2</v>
      </c>
      <c r="E164" s="451" t="s">
        <v>4497</v>
      </c>
      <c r="F164" s="24"/>
    </row>
    <row r="165" spans="1:8" x14ac:dyDescent="0.2">
      <c r="A165" s="422" t="s">
        <v>5980</v>
      </c>
      <c r="B165" s="422" t="s">
        <v>4818</v>
      </c>
      <c r="C165" s="451">
        <v>1</v>
      </c>
      <c r="D165" s="94">
        <v>2.3738425925925923E-2</v>
      </c>
      <c r="E165" s="452" t="s">
        <v>2959</v>
      </c>
      <c r="F165" s="24"/>
    </row>
    <row r="166" spans="1:8" x14ac:dyDescent="0.2">
      <c r="A166" s="422" t="s">
        <v>5980</v>
      </c>
      <c r="B166" s="422" t="s">
        <v>4818</v>
      </c>
      <c r="C166" s="451">
        <v>1</v>
      </c>
      <c r="D166" s="94">
        <v>2.3645833333333335E-2</v>
      </c>
      <c r="E166" s="451" t="s">
        <v>2588</v>
      </c>
      <c r="F166" s="24"/>
    </row>
    <row r="167" spans="1:8" x14ac:dyDescent="0.2">
      <c r="A167" s="422" t="s">
        <v>5980</v>
      </c>
      <c r="B167" s="422" t="s">
        <v>4818</v>
      </c>
      <c r="C167" s="451">
        <v>1</v>
      </c>
      <c r="D167" s="94">
        <v>2.2638888888888889E-2</v>
      </c>
      <c r="E167" s="451" t="s">
        <v>6019</v>
      </c>
      <c r="F167" s="24"/>
    </row>
    <row r="168" spans="1:8" x14ac:dyDescent="0.2">
      <c r="A168" s="422" t="s">
        <v>5980</v>
      </c>
      <c r="B168" s="422" t="s">
        <v>4818</v>
      </c>
      <c r="C168" s="451">
        <v>1</v>
      </c>
      <c r="D168" s="94">
        <v>2.5370370370370366E-2</v>
      </c>
      <c r="E168" s="451" t="s">
        <v>3131</v>
      </c>
      <c r="F168" s="24"/>
    </row>
    <row r="169" spans="1:8" x14ac:dyDescent="0.2">
      <c r="A169" s="422" t="s">
        <v>5980</v>
      </c>
      <c r="B169" s="422" t="s">
        <v>4818</v>
      </c>
      <c r="C169" s="451">
        <v>1</v>
      </c>
      <c r="D169" s="94">
        <v>2.5023148148148145E-2</v>
      </c>
      <c r="E169" s="451" t="s">
        <v>2563</v>
      </c>
      <c r="F169" s="24"/>
    </row>
    <row r="170" spans="1:8" x14ac:dyDescent="0.2">
      <c r="A170" s="422" t="s">
        <v>5980</v>
      </c>
      <c r="B170" s="422" t="s">
        <v>4818</v>
      </c>
      <c r="C170" s="451">
        <v>1</v>
      </c>
      <c r="D170" s="94">
        <v>2.3125E-2</v>
      </c>
      <c r="E170" s="451" t="s">
        <v>2636</v>
      </c>
      <c r="F170" s="24"/>
    </row>
    <row r="171" spans="1:8" x14ac:dyDescent="0.2">
      <c r="A171" s="422" t="s">
        <v>5980</v>
      </c>
      <c r="B171" s="422" t="s">
        <v>4818</v>
      </c>
      <c r="C171" s="451">
        <v>1</v>
      </c>
      <c r="D171" s="94">
        <v>2.1516203703703704E-2</v>
      </c>
      <c r="E171" s="451" t="s">
        <v>6020</v>
      </c>
      <c r="F171" s="24"/>
    </row>
    <row r="172" spans="1:8" x14ac:dyDescent="0.2">
      <c r="A172" s="422" t="s">
        <v>5980</v>
      </c>
      <c r="B172" s="422" t="s">
        <v>4818</v>
      </c>
      <c r="C172" s="451">
        <v>1</v>
      </c>
      <c r="D172" s="94">
        <v>2.855324074074074E-2</v>
      </c>
      <c r="E172" s="451" t="s">
        <v>5440</v>
      </c>
      <c r="F172" s="24"/>
    </row>
    <row r="173" spans="1:8" x14ac:dyDescent="0.2">
      <c r="A173" s="422" t="s">
        <v>5980</v>
      </c>
      <c r="B173" s="422" t="s">
        <v>4818</v>
      </c>
      <c r="C173" s="451">
        <v>1</v>
      </c>
      <c r="D173" s="94">
        <v>2.2094907407407407E-2</v>
      </c>
      <c r="E173" s="452" t="s">
        <v>2960</v>
      </c>
      <c r="F173" s="24"/>
      <c r="H173" t="s">
        <v>1017</v>
      </c>
    </row>
    <row r="174" spans="1:8" x14ac:dyDescent="0.2">
      <c r="A174" s="422" t="s">
        <v>5980</v>
      </c>
      <c r="B174" s="422" t="s">
        <v>4818</v>
      </c>
      <c r="C174" s="451">
        <v>1</v>
      </c>
      <c r="D174" s="94">
        <v>2.3483796296296298E-2</v>
      </c>
      <c r="E174" s="452" t="s">
        <v>3595</v>
      </c>
      <c r="F174" s="24"/>
      <c r="H174" t="s">
        <v>1017</v>
      </c>
    </row>
    <row r="175" spans="1:8" x14ac:dyDescent="0.2">
      <c r="A175" s="422" t="s">
        <v>5980</v>
      </c>
      <c r="B175" s="422" t="s">
        <v>4818</v>
      </c>
      <c r="C175" s="451">
        <v>1</v>
      </c>
      <c r="D175" s="94">
        <v>2.5706018518518517E-2</v>
      </c>
      <c r="E175" s="451" t="s">
        <v>1569</v>
      </c>
      <c r="F175" s="24"/>
    </row>
    <row r="176" spans="1:8" x14ac:dyDescent="0.2">
      <c r="A176" s="422" t="s">
        <v>5980</v>
      </c>
      <c r="B176" s="422" t="s">
        <v>4818</v>
      </c>
      <c r="C176" s="451">
        <v>1</v>
      </c>
      <c r="D176" s="94">
        <v>2.2060185185185183E-2</v>
      </c>
      <c r="E176" s="451" t="s">
        <v>4452</v>
      </c>
      <c r="F176" s="24"/>
    </row>
    <row r="177" spans="1:27" x14ac:dyDescent="0.2">
      <c r="A177" s="422" t="s">
        <v>5980</v>
      </c>
      <c r="B177" s="422" t="s">
        <v>4818</v>
      </c>
      <c r="C177" s="451">
        <v>1</v>
      </c>
      <c r="D177" s="94">
        <v>2.3784722222222221E-2</v>
      </c>
      <c r="E177" s="451" t="s">
        <v>2204</v>
      </c>
      <c r="F177" s="24"/>
    </row>
    <row r="178" spans="1:27" x14ac:dyDescent="0.2">
      <c r="A178" s="422" t="s">
        <v>5980</v>
      </c>
      <c r="B178" s="422" t="s">
        <v>4818</v>
      </c>
      <c r="C178" s="451">
        <v>1</v>
      </c>
      <c r="D178" s="94">
        <v>2.4259259259259258E-2</v>
      </c>
      <c r="E178" s="451" t="s">
        <v>4876</v>
      </c>
      <c r="F178" s="24"/>
    </row>
    <row r="179" spans="1:27" x14ac:dyDescent="0.2">
      <c r="A179" s="422" t="s">
        <v>5980</v>
      </c>
      <c r="B179" s="422" t="s">
        <v>4818</v>
      </c>
      <c r="C179" s="451">
        <v>1</v>
      </c>
      <c r="D179" s="94">
        <v>2.4189814814814817E-2</v>
      </c>
      <c r="E179" s="451" t="s">
        <v>470</v>
      </c>
      <c r="F179" s="24"/>
    </row>
    <row r="180" spans="1:27" x14ac:dyDescent="0.2">
      <c r="A180" s="422" t="s">
        <v>5980</v>
      </c>
      <c r="B180" s="422" t="s">
        <v>4818</v>
      </c>
      <c r="C180" s="451">
        <v>1</v>
      </c>
      <c r="D180" s="94">
        <v>2.4375000000000001E-2</v>
      </c>
      <c r="E180" s="451" t="s">
        <v>5653</v>
      </c>
      <c r="F180" s="24"/>
    </row>
    <row r="181" spans="1:27" x14ac:dyDescent="0.2">
      <c r="A181" s="422"/>
      <c r="B181" s="422"/>
      <c r="C181" s="451">
        <f>SUM(C121:C180)</f>
        <v>99</v>
      </c>
      <c r="D181" s="94"/>
      <c r="E181" s="451"/>
      <c r="F181" s="24"/>
      <c r="G181">
        <f>COUNT(C121:C180)</f>
        <v>60</v>
      </c>
    </row>
    <row r="182" spans="1:27" x14ac:dyDescent="0.2">
      <c r="A182" s="53" t="s">
        <v>3011</v>
      </c>
      <c r="B182" s="53" t="s">
        <v>3012</v>
      </c>
      <c r="C182">
        <v>3</v>
      </c>
      <c r="D182" s="1">
        <v>1.2118055555555556E-2</v>
      </c>
      <c r="E182" t="s">
        <v>2251</v>
      </c>
      <c r="AA182" s="279">
        <v>279770</v>
      </c>
    </row>
    <row r="183" spans="1:27" x14ac:dyDescent="0.2">
      <c r="A183" s="53" t="s">
        <v>3011</v>
      </c>
      <c r="B183" s="53" t="s">
        <v>3012</v>
      </c>
      <c r="C183">
        <v>13</v>
      </c>
      <c r="D183" s="1">
        <v>1.2407407407407409E-2</v>
      </c>
      <c r="E183" t="s">
        <v>3009</v>
      </c>
    </row>
    <row r="184" spans="1:27" x14ac:dyDescent="0.2">
      <c r="A184" s="53" t="s">
        <v>4963</v>
      </c>
      <c r="B184" s="53" t="s">
        <v>4964</v>
      </c>
      <c r="C184">
        <v>1</v>
      </c>
      <c r="D184" s="1">
        <v>1.3634259259259257E-2</v>
      </c>
      <c r="E184" t="s">
        <v>3957</v>
      </c>
      <c r="F184" t="s">
        <v>4181</v>
      </c>
    </row>
    <row r="185" spans="1:27" x14ac:dyDescent="0.2">
      <c r="A185" s="53" t="s">
        <v>4963</v>
      </c>
      <c r="B185" s="53" t="s">
        <v>4964</v>
      </c>
      <c r="C185">
        <v>2</v>
      </c>
      <c r="D185" s="1">
        <v>1.3587962962962963E-2</v>
      </c>
      <c r="E185" t="s">
        <v>2251</v>
      </c>
    </row>
    <row r="186" spans="1:27" x14ac:dyDescent="0.2">
      <c r="A186" s="53" t="s">
        <v>4963</v>
      </c>
      <c r="B186" s="53" t="s">
        <v>4964</v>
      </c>
      <c r="C186">
        <v>1</v>
      </c>
      <c r="D186" s="1">
        <v>1.4421296296296295E-2</v>
      </c>
      <c r="E186" t="s">
        <v>5958</v>
      </c>
    </row>
    <row r="187" spans="1:27" x14ac:dyDescent="0.2">
      <c r="A187" s="53" t="s">
        <v>4963</v>
      </c>
      <c r="B187" s="53" t="s">
        <v>4964</v>
      </c>
      <c r="C187">
        <v>1</v>
      </c>
      <c r="D187" s="1">
        <v>1.4085648148148151E-2</v>
      </c>
      <c r="E187" t="s">
        <v>5963</v>
      </c>
    </row>
    <row r="188" spans="1:27" x14ac:dyDescent="0.2">
      <c r="A188" s="53" t="s">
        <v>3014</v>
      </c>
      <c r="B188" s="53" t="s">
        <v>3015</v>
      </c>
      <c r="C188">
        <v>18</v>
      </c>
      <c r="D188" s="1">
        <v>1.8252314814814815E-2</v>
      </c>
      <c r="E188" t="s">
        <v>527</v>
      </c>
    </row>
    <row r="189" spans="1:27" x14ac:dyDescent="0.2">
      <c r="A189" s="53" t="s">
        <v>3014</v>
      </c>
      <c r="B189" s="53" t="s">
        <v>3015</v>
      </c>
      <c r="C189">
        <v>2</v>
      </c>
      <c r="D189" s="1">
        <v>1.8738425925925926E-2</v>
      </c>
      <c r="E189" t="s">
        <v>6021</v>
      </c>
    </row>
    <row r="190" spans="1:27" x14ac:dyDescent="0.2">
      <c r="A190" s="53" t="s">
        <v>3014</v>
      </c>
      <c r="B190" s="53" t="s">
        <v>3015</v>
      </c>
      <c r="C190">
        <v>1</v>
      </c>
      <c r="D190" s="1">
        <v>1.8819444444444448E-2</v>
      </c>
      <c r="E190" t="s">
        <v>2830</v>
      </c>
    </row>
    <row r="191" spans="1:27" x14ac:dyDescent="0.2">
      <c r="A191" s="53" t="s">
        <v>3014</v>
      </c>
      <c r="B191" s="53" t="s">
        <v>3015</v>
      </c>
      <c r="C191">
        <v>1</v>
      </c>
      <c r="D191" s="1">
        <v>1.8935185185185183E-2</v>
      </c>
      <c r="E191" t="s">
        <v>3016</v>
      </c>
    </row>
    <row r="192" spans="1:27" x14ac:dyDescent="0.2">
      <c r="A192" s="53" t="s">
        <v>3014</v>
      </c>
      <c r="B192" s="53" t="s">
        <v>3015</v>
      </c>
      <c r="C192">
        <v>1</v>
      </c>
      <c r="D192" s="1">
        <v>1.9918981481481482E-2</v>
      </c>
      <c r="E192" t="s">
        <v>6018</v>
      </c>
    </row>
    <row r="193" spans="1:6" x14ac:dyDescent="0.2">
      <c r="A193" s="53" t="s">
        <v>5637</v>
      </c>
      <c r="B193" s="53" t="s">
        <v>5638</v>
      </c>
      <c r="C193">
        <v>17</v>
      </c>
      <c r="D193" s="1">
        <v>1.5231481481481483E-2</v>
      </c>
      <c r="E193" t="s">
        <v>2593</v>
      </c>
      <c r="F193" t="s">
        <v>1884</v>
      </c>
    </row>
    <row r="194" spans="1:6" x14ac:dyDescent="0.2">
      <c r="A194" s="53" t="s">
        <v>5637</v>
      </c>
      <c r="B194" s="53" t="s">
        <v>5638</v>
      </c>
      <c r="C194">
        <v>1</v>
      </c>
      <c r="D194" s="1">
        <v>1.9722222222222221E-2</v>
      </c>
      <c r="E194" t="s">
        <v>1569</v>
      </c>
    </row>
    <row r="195" spans="1:6" x14ac:dyDescent="0.2">
      <c r="A195" s="53" t="s">
        <v>398</v>
      </c>
      <c r="B195" s="53" t="s">
        <v>4943</v>
      </c>
      <c r="C195">
        <v>1</v>
      </c>
      <c r="D195" s="1">
        <v>2.9201388888888888E-2</v>
      </c>
      <c r="E195" t="s">
        <v>397</v>
      </c>
    </row>
    <row r="196" spans="1:6" x14ac:dyDescent="0.2">
      <c r="A196" s="53" t="s">
        <v>2012</v>
      </c>
      <c r="B196" s="53" t="s">
        <v>2623</v>
      </c>
      <c r="C196">
        <v>1</v>
      </c>
      <c r="D196" s="1">
        <v>1.1805555555555555E-2</v>
      </c>
      <c r="E196" t="s">
        <v>3226</v>
      </c>
    </row>
    <row r="197" spans="1:6" x14ac:dyDescent="0.2">
      <c r="A197" s="53" t="s">
        <v>3184</v>
      </c>
      <c r="B197" s="53" t="s">
        <v>3185</v>
      </c>
      <c r="C197">
        <v>1</v>
      </c>
      <c r="D197" s="1">
        <v>1.6446759259259262E-2</v>
      </c>
      <c r="E197" t="s">
        <v>2840</v>
      </c>
    </row>
    <row r="198" spans="1:6" x14ac:dyDescent="0.2">
      <c r="A198" s="53" t="s">
        <v>3184</v>
      </c>
      <c r="B198" s="53" t="s">
        <v>3185</v>
      </c>
      <c r="C198">
        <v>1</v>
      </c>
      <c r="D198" s="1">
        <v>1.6643518518518519E-2</v>
      </c>
      <c r="E198" t="s">
        <v>2841</v>
      </c>
    </row>
    <row r="199" spans="1:6" x14ac:dyDescent="0.2">
      <c r="A199" s="53" t="s">
        <v>3184</v>
      </c>
      <c r="B199" s="53" t="s">
        <v>3185</v>
      </c>
      <c r="C199">
        <v>1</v>
      </c>
      <c r="D199" s="1">
        <v>1.7349537037037038E-2</v>
      </c>
      <c r="E199" t="s">
        <v>6016</v>
      </c>
    </row>
    <row r="200" spans="1:6" x14ac:dyDescent="0.2">
      <c r="A200" s="53" t="s">
        <v>3184</v>
      </c>
      <c r="B200" s="53" t="s">
        <v>3185</v>
      </c>
      <c r="C200">
        <v>1</v>
      </c>
      <c r="D200" s="1">
        <v>1.7094907407407409E-2</v>
      </c>
      <c r="E200" t="s">
        <v>1299</v>
      </c>
    </row>
    <row r="201" spans="1:6" x14ac:dyDescent="0.2">
      <c r="A201" s="53" t="s">
        <v>3184</v>
      </c>
      <c r="B201" s="53" t="s">
        <v>3185</v>
      </c>
      <c r="C201">
        <v>2</v>
      </c>
      <c r="D201" s="1">
        <v>1.621527777777778E-2</v>
      </c>
      <c r="E201" t="s">
        <v>1401</v>
      </c>
    </row>
    <row r="202" spans="1:6" x14ac:dyDescent="0.2">
      <c r="A202" s="53" t="s">
        <v>2304</v>
      </c>
      <c r="B202" s="53" t="s">
        <v>3961</v>
      </c>
      <c r="C202">
        <v>3</v>
      </c>
      <c r="D202" s="1">
        <v>1.996527777777778E-2</v>
      </c>
      <c r="E202" t="s">
        <v>4452</v>
      </c>
    </row>
    <row r="203" spans="1:6" x14ac:dyDescent="0.2">
      <c r="A203" s="53" t="s">
        <v>2304</v>
      </c>
      <c r="B203" s="53" t="s">
        <v>3961</v>
      </c>
      <c r="C203">
        <v>1</v>
      </c>
      <c r="D203" s="1">
        <v>2.1979166666666664E-2</v>
      </c>
      <c r="E203" t="s">
        <v>2593</v>
      </c>
    </row>
    <row r="204" spans="1:6" x14ac:dyDescent="0.2">
      <c r="A204" s="53" t="s">
        <v>4977</v>
      </c>
      <c r="B204" s="53" t="s">
        <v>3961</v>
      </c>
      <c r="C204">
        <v>1</v>
      </c>
      <c r="D204" s="1">
        <v>1.4120370370370368E-2</v>
      </c>
      <c r="E204" t="s">
        <v>715</v>
      </c>
    </row>
    <row r="205" spans="1:6" x14ac:dyDescent="0.2">
      <c r="A205" s="53" t="s">
        <v>4977</v>
      </c>
      <c r="B205" s="53" t="s">
        <v>3961</v>
      </c>
      <c r="C205">
        <v>1</v>
      </c>
      <c r="D205" s="1">
        <v>1.4398148148148148E-2</v>
      </c>
      <c r="E205" t="s">
        <v>209</v>
      </c>
    </row>
    <row r="206" spans="1:6" x14ac:dyDescent="0.2">
      <c r="A206" s="53" t="s">
        <v>4977</v>
      </c>
      <c r="B206" s="53" t="s">
        <v>3961</v>
      </c>
      <c r="C206">
        <v>4</v>
      </c>
      <c r="D206" s="1">
        <v>1.4502314814814815E-2</v>
      </c>
      <c r="E206" t="s">
        <v>4452</v>
      </c>
    </row>
    <row r="207" spans="1:6" x14ac:dyDescent="0.2">
      <c r="A207" s="53" t="s">
        <v>4977</v>
      </c>
      <c r="B207" s="53" t="s">
        <v>3961</v>
      </c>
      <c r="C207">
        <v>11</v>
      </c>
      <c r="D207" s="1">
        <v>1.4780092592592595E-2</v>
      </c>
      <c r="E207" t="s">
        <v>2303</v>
      </c>
    </row>
    <row r="208" spans="1:6" x14ac:dyDescent="0.2">
      <c r="A208" s="53" t="s">
        <v>4977</v>
      </c>
      <c r="B208" s="53" t="s">
        <v>3961</v>
      </c>
      <c r="C208">
        <v>1</v>
      </c>
      <c r="D208" s="1">
        <v>1.5150462962962963E-2</v>
      </c>
      <c r="E208" t="s">
        <v>1533</v>
      </c>
    </row>
    <row r="209" spans="1:6" x14ac:dyDescent="0.2">
      <c r="A209" s="53" t="s">
        <v>4977</v>
      </c>
      <c r="B209" s="53" t="s">
        <v>3961</v>
      </c>
      <c r="C209">
        <v>1</v>
      </c>
      <c r="D209" s="1">
        <v>1.4606481481481482E-2</v>
      </c>
      <c r="E209" t="s">
        <v>4876</v>
      </c>
    </row>
    <row r="210" spans="1:6" x14ac:dyDescent="0.2">
      <c r="A210" s="53" t="s">
        <v>4977</v>
      </c>
      <c r="B210" s="53" t="s">
        <v>3961</v>
      </c>
      <c r="C210">
        <v>1</v>
      </c>
      <c r="D210" s="1">
        <v>1.556712962962963E-2</v>
      </c>
      <c r="E210" t="s">
        <v>3692</v>
      </c>
    </row>
    <row r="211" spans="1:6" x14ac:dyDescent="0.2">
      <c r="A211" s="53" t="s">
        <v>2416</v>
      </c>
      <c r="B211" s="53" t="s">
        <v>2417</v>
      </c>
      <c r="C211">
        <v>1</v>
      </c>
      <c r="D211" s="1">
        <v>2.1157407407407406E-2</v>
      </c>
      <c r="E211" t="s">
        <v>1024</v>
      </c>
    </row>
    <row r="212" spans="1:6" x14ac:dyDescent="0.2">
      <c r="A212" s="53" t="s">
        <v>2416</v>
      </c>
      <c r="B212" s="53" t="s">
        <v>2417</v>
      </c>
      <c r="C212">
        <v>1</v>
      </c>
      <c r="D212" s="1">
        <v>2.0520833333333332E-2</v>
      </c>
      <c r="E212" t="s">
        <v>1950</v>
      </c>
      <c r="F212" t="s">
        <v>59</v>
      </c>
    </row>
    <row r="213" spans="1:6" x14ac:dyDescent="0.2">
      <c r="A213" s="53" t="s">
        <v>2416</v>
      </c>
      <c r="B213" s="53" t="s">
        <v>2417</v>
      </c>
      <c r="C213">
        <v>1</v>
      </c>
      <c r="D213" s="1">
        <v>2.238425925925926E-2</v>
      </c>
      <c r="E213" t="s">
        <v>2414</v>
      </c>
    </row>
    <row r="214" spans="1:6" x14ac:dyDescent="0.2">
      <c r="A214" s="53" t="s">
        <v>2416</v>
      </c>
      <c r="B214" s="53" t="s">
        <v>2417</v>
      </c>
      <c r="C214">
        <v>1</v>
      </c>
      <c r="D214" s="1">
        <v>1.3256944444444445</v>
      </c>
      <c r="E214" t="s">
        <v>444</v>
      </c>
    </row>
    <row r="215" spans="1:6" x14ac:dyDescent="0.2">
      <c r="A215" s="53" t="s">
        <v>2416</v>
      </c>
      <c r="B215" s="53" t="s">
        <v>2417</v>
      </c>
      <c r="C215">
        <v>1</v>
      </c>
      <c r="D215" s="1"/>
      <c r="E215" t="s">
        <v>910</v>
      </c>
    </row>
    <row r="216" spans="1:6" x14ac:dyDescent="0.2">
      <c r="A216" s="53" t="s">
        <v>2703</v>
      </c>
      <c r="B216" s="53" t="s">
        <v>5543</v>
      </c>
      <c r="C216">
        <v>1</v>
      </c>
      <c r="D216" s="1">
        <v>2.013888888888889E-2</v>
      </c>
      <c r="E216" t="s">
        <v>1401</v>
      </c>
    </row>
    <row r="217" spans="1:6" x14ac:dyDescent="0.2">
      <c r="A217" s="53" t="s">
        <v>2703</v>
      </c>
      <c r="B217" s="53" t="s">
        <v>5543</v>
      </c>
      <c r="C217">
        <v>1</v>
      </c>
      <c r="D217" s="1">
        <v>2.0648148148148148E-2</v>
      </c>
      <c r="E217" t="s">
        <v>1788</v>
      </c>
    </row>
    <row r="218" spans="1:6" x14ac:dyDescent="0.2">
      <c r="A218" s="53" t="s">
        <v>2426</v>
      </c>
      <c r="B218" s="53" t="s">
        <v>2427</v>
      </c>
      <c r="C218">
        <v>4</v>
      </c>
      <c r="D218" s="1">
        <v>1.4027777777777778E-2</v>
      </c>
      <c r="E218" t="s">
        <v>1211</v>
      </c>
    </row>
    <row r="219" spans="1:6" x14ac:dyDescent="0.2">
      <c r="A219" s="53" t="s">
        <v>2426</v>
      </c>
      <c r="B219" s="53" t="s">
        <v>2427</v>
      </c>
      <c r="C219">
        <v>1</v>
      </c>
      <c r="D219" s="1">
        <v>1.3854166666666666E-2</v>
      </c>
      <c r="E219" t="s">
        <v>3009</v>
      </c>
    </row>
    <row r="220" spans="1:6" x14ac:dyDescent="0.2">
      <c r="A220" s="53" t="s">
        <v>904</v>
      </c>
      <c r="B220" s="53" t="s">
        <v>905</v>
      </c>
      <c r="C220">
        <v>1</v>
      </c>
      <c r="D220" s="1">
        <v>2.0104166666666666E-2</v>
      </c>
      <c r="E220" t="s">
        <v>4845</v>
      </c>
    </row>
    <row r="221" spans="1:6" x14ac:dyDescent="0.2">
      <c r="A221" s="53" t="s">
        <v>904</v>
      </c>
      <c r="B221" s="53" t="s">
        <v>905</v>
      </c>
      <c r="C221">
        <v>1</v>
      </c>
      <c r="D221" s="1">
        <v>1.8622685185185183E-2</v>
      </c>
      <c r="E221" t="s">
        <v>5708</v>
      </c>
    </row>
    <row r="222" spans="1:6" x14ac:dyDescent="0.2">
      <c r="A222" s="53" t="s">
        <v>4893</v>
      </c>
      <c r="B222" s="53" t="s">
        <v>4894</v>
      </c>
      <c r="C222">
        <v>1</v>
      </c>
      <c r="D222" s="1">
        <v>1.4826388888888889E-2</v>
      </c>
      <c r="E222" t="s">
        <v>6017</v>
      </c>
    </row>
    <row r="223" spans="1:6" x14ac:dyDescent="0.2">
      <c r="A223" s="53" t="s">
        <v>5668</v>
      </c>
      <c r="B223" s="53" t="s">
        <v>5669</v>
      </c>
      <c r="C223">
        <v>1</v>
      </c>
      <c r="D223" s="1">
        <v>1.5729166666666666E-2</v>
      </c>
      <c r="E223" t="s">
        <v>3009</v>
      </c>
      <c r="F223" t="s">
        <v>5670</v>
      </c>
    </row>
    <row r="224" spans="1:6" x14ac:dyDescent="0.2">
      <c r="A224" s="196" t="s">
        <v>3535</v>
      </c>
      <c r="B224" s="196" t="s">
        <v>1026</v>
      </c>
      <c r="C224">
        <v>1</v>
      </c>
      <c r="D224" s="1">
        <v>1.5740740740740743E-2</v>
      </c>
      <c r="E224" t="s">
        <v>4817</v>
      </c>
    </row>
    <row r="225" spans="1:6" x14ac:dyDescent="0.2">
      <c r="A225" s="196" t="s">
        <v>3535</v>
      </c>
      <c r="B225" s="196" t="s">
        <v>1026</v>
      </c>
      <c r="C225">
        <v>3</v>
      </c>
      <c r="D225" s="1">
        <v>1.6307870370370372E-2</v>
      </c>
      <c r="E225" t="s">
        <v>5652</v>
      </c>
    </row>
    <row r="226" spans="1:6" x14ac:dyDescent="0.2">
      <c r="A226" s="53" t="s">
        <v>859</v>
      </c>
      <c r="B226" s="53" t="s">
        <v>5833</v>
      </c>
      <c r="C226">
        <v>1</v>
      </c>
      <c r="D226" s="1">
        <v>1.4143518518518519E-2</v>
      </c>
      <c r="E226" t="s">
        <v>5836</v>
      </c>
    </row>
    <row r="227" spans="1:6" x14ac:dyDescent="0.2">
      <c r="A227" s="53" t="s">
        <v>859</v>
      </c>
      <c r="B227" s="53" t="s">
        <v>5833</v>
      </c>
      <c r="C227">
        <v>1</v>
      </c>
      <c r="D227" s="1">
        <v>1.4224537037037037E-2</v>
      </c>
      <c r="E227" t="s">
        <v>5835</v>
      </c>
    </row>
    <row r="228" spans="1:6" x14ac:dyDescent="0.2">
      <c r="A228" s="53" t="s">
        <v>859</v>
      </c>
      <c r="B228" s="53" t="s">
        <v>5833</v>
      </c>
      <c r="C228">
        <v>5</v>
      </c>
      <c r="D228" s="1">
        <v>1.494212962962963E-2</v>
      </c>
      <c r="E228" t="s">
        <v>5834</v>
      </c>
    </row>
    <row r="229" spans="1:6" x14ac:dyDescent="0.2">
      <c r="A229" s="53" t="s">
        <v>859</v>
      </c>
      <c r="B229" s="53" t="s">
        <v>5833</v>
      </c>
      <c r="C229">
        <v>1</v>
      </c>
      <c r="D229" s="1">
        <v>1.4467592592592593E-2</v>
      </c>
      <c r="E229" t="s">
        <v>5095</v>
      </c>
    </row>
    <row r="230" spans="1:6" x14ac:dyDescent="0.2">
      <c r="A230" s="53" t="s">
        <v>3755</v>
      </c>
      <c r="B230" s="53" t="s">
        <v>261</v>
      </c>
      <c r="C230">
        <v>107</v>
      </c>
      <c r="D230" s="1">
        <v>2.1226851851851854E-2</v>
      </c>
      <c r="E230" t="s">
        <v>806</v>
      </c>
      <c r="F230" t="s">
        <v>2178</v>
      </c>
    </row>
    <row r="231" spans="1:6" x14ac:dyDescent="0.2">
      <c r="A231" s="53" t="s">
        <v>260</v>
      </c>
      <c r="B231" s="53" t="s">
        <v>261</v>
      </c>
      <c r="C231">
        <v>125</v>
      </c>
      <c r="D231" s="1">
        <v>2.2766203703703702E-2</v>
      </c>
      <c r="E231" t="s">
        <v>806</v>
      </c>
      <c r="F231" s="80" t="s">
        <v>7761</v>
      </c>
    </row>
    <row r="232" spans="1:6" x14ac:dyDescent="0.2">
      <c r="A232" s="53" t="s">
        <v>726</v>
      </c>
      <c r="B232" s="53" t="s">
        <v>1289</v>
      </c>
      <c r="C232">
        <v>22</v>
      </c>
      <c r="D232" s="1">
        <v>1.5428240740740741E-2</v>
      </c>
      <c r="E232" t="s">
        <v>2308</v>
      </c>
    </row>
    <row r="233" spans="1:6" x14ac:dyDescent="0.2">
      <c r="A233" s="53" t="s">
        <v>726</v>
      </c>
      <c r="B233" s="53" t="s">
        <v>1289</v>
      </c>
      <c r="C233">
        <v>1</v>
      </c>
      <c r="D233" s="1">
        <v>1.6122685185185184E-2</v>
      </c>
      <c r="E233" t="s">
        <v>1563</v>
      </c>
    </row>
    <row r="234" spans="1:6" x14ac:dyDescent="0.2">
      <c r="A234" s="53" t="s">
        <v>726</v>
      </c>
      <c r="B234" s="53" t="s">
        <v>1289</v>
      </c>
      <c r="C234">
        <v>1</v>
      </c>
      <c r="D234" s="1">
        <v>1.6562500000000001E-2</v>
      </c>
      <c r="E234" t="s">
        <v>4367</v>
      </c>
    </row>
    <row r="235" spans="1:6" x14ac:dyDescent="0.2">
      <c r="D235" s="1"/>
    </row>
    <row r="236" spans="1:6" x14ac:dyDescent="0.2">
      <c r="A236" s="2" t="s">
        <v>805</v>
      </c>
      <c r="D236" s="1"/>
    </row>
    <row r="237" spans="1:6" x14ac:dyDescent="0.2">
      <c r="A237" s="27" t="s">
        <v>4264</v>
      </c>
      <c r="B237" s="27" t="s">
        <v>5239</v>
      </c>
      <c r="D237" s="1"/>
      <c r="E237" t="s">
        <v>3751</v>
      </c>
    </row>
    <row r="238" spans="1:6" x14ac:dyDescent="0.2">
      <c r="A238" t="s">
        <v>5485</v>
      </c>
      <c r="B238" t="s">
        <v>3082</v>
      </c>
      <c r="D238" s="1"/>
      <c r="E238" t="s">
        <v>2232</v>
      </c>
    </row>
    <row r="239" spans="1:6" x14ac:dyDescent="0.2">
      <c r="A239" t="s">
        <v>3182</v>
      </c>
      <c r="B239" t="s">
        <v>3183</v>
      </c>
      <c r="E239" t="s">
        <v>776</v>
      </c>
    </row>
    <row r="240" spans="1:6" x14ac:dyDescent="0.2">
      <c r="A240" t="s">
        <v>3843</v>
      </c>
      <c r="B240" t="s">
        <v>3183</v>
      </c>
      <c r="E240" t="s">
        <v>776</v>
      </c>
    </row>
    <row r="241" spans="1:5" x14ac:dyDescent="0.2">
      <c r="A241" t="s">
        <v>4259</v>
      </c>
      <c r="B241" t="s">
        <v>3632</v>
      </c>
      <c r="E241" t="s">
        <v>5281</v>
      </c>
    </row>
    <row r="242" spans="1:5" x14ac:dyDescent="0.2">
      <c r="A242" t="s">
        <v>3538</v>
      </c>
      <c r="B242" t="s">
        <v>3539</v>
      </c>
      <c r="E242" t="s">
        <v>3540</v>
      </c>
    </row>
    <row r="243" spans="1:5" x14ac:dyDescent="0.2">
      <c r="A243" t="s">
        <v>5302</v>
      </c>
      <c r="B243" t="s">
        <v>5303</v>
      </c>
      <c r="E243" t="s">
        <v>3186</v>
      </c>
    </row>
    <row r="244" spans="1:5" x14ac:dyDescent="0.2">
      <c r="A244" s="27" t="s">
        <v>3011</v>
      </c>
      <c r="B244" s="27" t="s">
        <v>3012</v>
      </c>
      <c r="E244" t="s">
        <v>1287</v>
      </c>
    </row>
    <row r="245" spans="1:5" x14ac:dyDescent="0.2">
      <c r="A245" t="s">
        <v>4963</v>
      </c>
      <c r="B245" t="s">
        <v>4964</v>
      </c>
      <c r="D245" s="1"/>
      <c r="E245" t="s">
        <v>3750</v>
      </c>
    </row>
    <row r="246" spans="1:5" x14ac:dyDescent="0.2">
      <c r="A246" t="s">
        <v>866</v>
      </c>
      <c r="B246" t="s">
        <v>4639</v>
      </c>
      <c r="E246" t="s">
        <v>5840</v>
      </c>
    </row>
    <row r="247" spans="1:5" x14ac:dyDescent="0.2">
      <c r="A247" t="s">
        <v>3184</v>
      </c>
      <c r="B247" t="s">
        <v>3185</v>
      </c>
      <c r="E247" t="s">
        <v>3186</v>
      </c>
    </row>
    <row r="248" spans="1:5" x14ac:dyDescent="0.2">
      <c r="A248" t="s">
        <v>5839</v>
      </c>
      <c r="B248" t="s">
        <v>5838</v>
      </c>
      <c r="E248" t="s">
        <v>5840</v>
      </c>
    </row>
    <row r="249" spans="1:5" x14ac:dyDescent="0.2">
      <c r="A249" s="27" t="s">
        <v>4977</v>
      </c>
      <c r="B249" s="27" t="s">
        <v>3961</v>
      </c>
      <c r="E249" t="s">
        <v>4357</v>
      </c>
    </row>
    <row r="250" spans="1:5" x14ac:dyDescent="0.2">
      <c r="A250" t="s">
        <v>2416</v>
      </c>
      <c r="B250" t="s">
        <v>2417</v>
      </c>
      <c r="E250" t="s">
        <v>1023</v>
      </c>
    </row>
    <row r="251" spans="1:5" x14ac:dyDescent="0.2">
      <c r="A251" t="s">
        <v>904</v>
      </c>
      <c r="B251" t="s">
        <v>905</v>
      </c>
      <c r="E251" t="s">
        <v>906</v>
      </c>
    </row>
    <row r="252" spans="1:5" x14ac:dyDescent="0.2">
      <c r="A252" s="27" t="s">
        <v>4259</v>
      </c>
      <c r="B252" s="27" t="s">
        <v>440</v>
      </c>
      <c r="D252" s="1"/>
      <c r="E252" s="80" t="s">
        <v>12078</v>
      </c>
    </row>
    <row r="253" spans="1:5" x14ac:dyDescent="0.2">
      <c r="A253" t="s">
        <v>2478</v>
      </c>
      <c r="B253" t="s">
        <v>2415</v>
      </c>
      <c r="E253" t="s">
        <v>2232</v>
      </c>
    </row>
    <row r="254" spans="1:5" x14ac:dyDescent="0.2">
      <c r="A254" t="s">
        <v>3541</v>
      </c>
      <c r="B254" t="s">
        <v>1574</v>
      </c>
      <c r="E254" t="s">
        <v>2809</v>
      </c>
    </row>
    <row r="255" spans="1:5" x14ac:dyDescent="0.2">
      <c r="A255" t="s">
        <v>726</v>
      </c>
      <c r="B255" t="s">
        <v>1289</v>
      </c>
      <c r="E255" t="s">
        <v>2511</v>
      </c>
    </row>
    <row r="257" spans="1:14" x14ac:dyDescent="0.2">
      <c r="A257" s="192"/>
      <c r="B257" s="192" t="s">
        <v>3096</v>
      </c>
      <c r="C257" s="193"/>
      <c r="D257" s="193"/>
      <c r="E257" s="192" t="s">
        <v>4609</v>
      </c>
      <c r="F257" s="194"/>
    </row>
    <row r="258" spans="1:14" x14ac:dyDescent="0.2">
      <c r="A258" s="192"/>
      <c r="B258" s="193"/>
      <c r="C258" s="193"/>
      <c r="D258" s="193"/>
      <c r="E258" s="193"/>
      <c r="F258" s="194"/>
    </row>
    <row r="259" spans="1:14" x14ac:dyDescent="0.2">
      <c r="A259" s="192"/>
      <c r="B259" s="192" t="s">
        <v>4264</v>
      </c>
      <c r="C259" s="192" t="s">
        <v>5239</v>
      </c>
      <c r="D259" s="192" t="s">
        <v>3097</v>
      </c>
      <c r="E259" s="192" t="s">
        <v>5198</v>
      </c>
      <c r="F259" s="194" t="s">
        <v>3098</v>
      </c>
      <c r="N259" s="192" t="s">
        <v>1288</v>
      </c>
    </row>
    <row r="260" spans="1:14" x14ac:dyDescent="0.2">
      <c r="A260" s="192"/>
      <c r="B260" s="192" t="s">
        <v>4269</v>
      </c>
      <c r="C260" s="192" t="s">
        <v>4827</v>
      </c>
      <c r="D260" s="192" t="s">
        <v>4828</v>
      </c>
      <c r="E260" s="192" t="s">
        <v>4829</v>
      </c>
      <c r="F260" s="194" t="s">
        <v>4830</v>
      </c>
      <c r="N260" s="192" t="s">
        <v>1288</v>
      </c>
    </row>
    <row r="261" spans="1:14" x14ac:dyDescent="0.2">
      <c r="A261" s="192"/>
      <c r="B261" s="192" t="s">
        <v>4831</v>
      </c>
      <c r="C261" s="192" t="s">
        <v>4832</v>
      </c>
      <c r="D261" s="192" t="s">
        <v>3097</v>
      </c>
      <c r="E261" s="192" t="s">
        <v>4829</v>
      </c>
      <c r="F261" s="194" t="s">
        <v>1079</v>
      </c>
      <c r="N261" s="192"/>
    </row>
    <row r="262" spans="1:14" x14ac:dyDescent="0.2">
      <c r="A262" s="192"/>
      <c r="B262" s="192" t="s">
        <v>3398</v>
      </c>
      <c r="C262" s="192" t="s">
        <v>3399</v>
      </c>
      <c r="D262" s="192" t="s">
        <v>4828</v>
      </c>
      <c r="E262" s="192" t="s">
        <v>4829</v>
      </c>
      <c r="F262" s="194" t="s">
        <v>1080</v>
      </c>
      <c r="N262" s="192" t="s">
        <v>1288</v>
      </c>
    </row>
    <row r="263" spans="1:14" x14ac:dyDescent="0.2">
      <c r="A263" s="192"/>
      <c r="B263" s="192" t="s">
        <v>3011</v>
      </c>
      <c r="C263" s="192" t="s">
        <v>3012</v>
      </c>
      <c r="D263" s="192" t="s">
        <v>4828</v>
      </c>
      <c r="E263" s="193" t="s">
        <v>4798</v>
      </c>
      <c r="F263" s="193"/>
      <c r="N263" s="192" t="s">
        <v>3696</v>
      </c>
    </row>
    <row r="264" spans="1:14" x14ac:dyDescent="0.2">
      <c r="A264" s="192"/>
      <c r="B264" s="193" t="s">
        <v>5369</v>
      </c>
      <c r="C264" s="193" t="s">
        <v>2117</v>
      </c>
      <c r="D264" s="192" t="s">
        <v>4828</v>
      </c>
      <c r="E264" s="192" t="s">
        <v>4829</v>
      </c>
      <c r="F264" s="194" t="s">
        <v>662</v>
      </c>
      <c r="N264" s="192" t="s">
        <v>3697</v>
      </c>
    </row>
    <row r="265" spans="1:14" x14ac:dyDescent="0.2">
      <c r="A265" s="192"/>
      <c r="B265" s="192" t="s">
        <v>3898</v>
      </c>
      <c r="C265" s="192" t="s">
        <v>1543</v>
      </c>
      <c r="D265" s="192" t="s">
        <v>4828</v>
      </c>
      <c r="E265" s="195" t="s">
        <v>4829</v>
      </c>
      <c r="F265" s="194" t="s">
        <v>5447</v>
      </c>
      <c r="N265" s="192" t="s">
        <v>1288</v>
      </c>
    </row>
    <row r="266" spans="1:14" x14ac:dyDescent="0.2">
      <c r="A266" s="192"/>
      <c r="B266" s="193" t="s">
        <v>1798</v>
      </c>
      <c r="C266" s="193" t="s">
        <v>3006</v>
      </c>
      <c r="D266" s="193" t="s">
        <v>3097</v>
      </c>
      <c r="E266" s="193" t="s">
        <v>4829</v>
      </c>
      <c r="F266" s="194" t="s">
        <v>2621</v>
      </c>
      <c r="N266" s="192" t="s">
        <v>3698</v>
      </c>
    </row>
    <row r="267" spans="1:14" x14ac:dyDescent="0.2">
      <c r="A267" s="192"/>
      <c r="B267" s="192" t="s">
        <v>2622</v>
      </c>
      <c r="C267" s="192" t="s">
        <v>2623</v>
      </c>
      <c r="D267" s="192" t="s">
        <v>4828</v>
      </c>
      <c r="E267" s="195" t="s">
        <v>4829</v>
      </c>
      <c r="F267" s="194" t="s">
        <v>2630</v>
      </c>
      <c r="N267" s="192"/>
    </row>
    <row r="268" spans="1:14" x14ac:dyDescent="0.2">
      <c r="A268" s="192"/>
      <c r="B268" s="192" t="s">
        <v>4878</v>
      </c>
      <c r="C268" s="192" t="s">
        <v>3250</v>
      </c>
      <c r="D268" s="192" t="s">
        <v>3097</v>
      </c>
      <c r="E268" s="192" t="s">
        <v>4829</v>
      </c>
      <c r="F268" s="194" t="s">
        <v>2631</v>
      </c>
      <c r="N268" s="192" t="s">
        <v>3699</v>
      </c>
    </row>
    <row r="269" spans="1:14" x14ac:dyDescent="0.2">
      <c r="A269" s="192"/>
      <c r="B269" s="193" t="s">
        <v>922</v>
      </c>
      <c r="C269" s="193" t="s">
        <v>2632</v>
      </c>
      <c r="D269" s="192" t="s">
        <v>4828</v>
      </c>
      <c r="E269" s="192" t="s">
        <v>4829</v>
      </c>
      <c r="F269" s="194" t="s">
        <v>2633</v>
      </c>
      <c r="N269" s="192" t="s">
        <v>3698</v>
      </c>
    </row>
    <row r="270" spans="1:14" x14ac:dyDescent="0.2">
      <c r="A270" s="192"/>
      <c r="B270" s="192" t="s">
        <v>4977</v>
      </c>
      <c r="C270" s="192" t="s">
        <v>3961</v>
      </c>
      <c r="D270" s="192" t="s">
        <v>3097</v>
      </c>
      <c r="E270" s="192" t="s">
        <v>4357</v>
      </c>
      <c r="F270" s="194"/>
      <c r="N270" s="192" t="s">
        <v>3462</v>
      </c>
    </row>
    <row r="271" spans="1:14" x14ac:dyDescent="0.2">
      <c r="A271" s="192"/>
      <c r="B271" s="192" t="s">
        <v>3820</v>
      </c>
      <c r="C271" s="192" t="s">
        <v>3821</v>
      </c>
      <c r="D271" s="192" t="s">
        <v>4828</v>
      </c>
      <c r="E271" s="192" t="s">
        <v>4829</v>
      </c>
      <c r="F271" s="194" t="s">
        <v>1552</v>
      </c>
      <c r="N271" s="192"/>
    </row>
    <row r="272" spans="1:14" x14ac:dyDescent="0.2">
      <c r="A272" s="192"/>
      <c r="B272" s="192" t="s">
        <v>4259</v>
      </c>
      <c r="C272" s="192" t="s">
        <v>440</v>
      </c>
      <c r="D272" s="192" t="s">
        <v>3097</v>
      </c>
      <c r="E272" s="192" t="s">
        <v>4829</v>
      </c>
      <c r="F272" s="194" t="s">
        <v>1553</v>
      </c>
      <c r="N272" s="192" t="s">
        <v>3698</v>
      </c>
    </row>
    <row r="273" spans="1:26" x14ac:dyDescent="0.2">
      <c r="A273" s="192"/>
      <c r="B273" s="193" t="s">
        <v>3898</v>
      </c>
      <c r="C273" s="193" t="s">
        <v>3899</v>
      </c>
      <c r="D273" s="192" t="s">
        <v>4828</v>
      </c>
      <c r="E273" s="192" t="s">
        <v>4829</v>
      </c>
      <c r="F273" s="194" t="s">
        <v>1025</v>
      </c>
      <c r="N273" s="192" t="s">
        <v>5186</v>
      </c>
    </row>
    <row r="274" spans="1:26" x14ac:dyDescent="0.2">
      <c r="A274" s="192"/>
      <c r="B274" s="192" t="s">
        <v>3535</v>
      </c>
      <c r="C274" s="192" t="s">
        <v>1026</v>
      </c>
      <c r="D274" s="192" t="s">
        <v>4828</v>
      </c>
      <c r="E274" s="192" t="s">
        <v>4829</v>
      </c>
      <c r="F274" s="194" t="s">
        <v>47</v>
      </c>
      <c r="N274" s="192"/>
    </row>
    <row r="275" spans="1:26" x14ac:dyDescent="0.2">
      <c r="A275" s="192"/>
      <c r="B275" s="192" t="s">
        <v>48</v>
      </c>
      <c r="C275" s="192" t="s">
        <v>3932</v>
      </c>
      <c r="D275" s="192" t="s">
        <v>4828</v>
      </c>
      <c r="E275" s="192" t="s">
        <v>4829</v>
      </c>
      <c r="F275" s="194" t="s">
        <v>4125</v>
      </c>
      <c r="N275" s="192" t="s">
        <v>3700</v>
      </c>
    </row>
    <row r="277" spans="1:26" x14ac:dyDescent="0.2">
      <c r="A277" s="2"/>
      <c r="B277" s="2"/>
    </row>
    <row r="278" spans="1:26" x14ac:dyDescent="0.2">
      <c r="A278" s="2" t="s">
        <v>648</v>
      </c>
      <c r="B278" s="2"/>
    </row>
    <row r="279" spans="1:26" x14ac:dyDescent="0.2">
      <c r="A279" t="s">
        <v>649</v>
      </c>
      <c r="B279" t="s">
        <v>3006</v>
      </c>
      <c r="C279">
        <v>4</v>
      </c>
      <c r="D279" s="1">
        <v>7.7083333333333335E-3</v>
      </c>
      <c r="E279" t="s">
        <v>1214</v>
      </c>
      <c r="F279" s="82">
        <v>0.58650000000000002</v>
      </c>
      <c r="Z279">
        <v>1702822</v>
      </c>
    </row>
    <row r="280" spans="1:26" x14ac:dyDescent="0.2">
      <c r="A280" t="s">
        <v>650</v>
      </c>
      <c r="B280" t="s">
        <v>3006</v>
      </c>
      <c r="C280">
        <v>4</v>
      </c>
      <c r="D280" s="1">
        <v>8.2986111111111108E-3</v>
      </c>
      <c r="E280" t="s">
        <v>1214</v>
      </c>
      <c r="F280" s="82">
        <v>0.61850000000000005</v>
      </c>
      <c r="Z280">
        <v>1702824</v>
      </c>
    </row>
    <row r="281" spans="1:26" x14ac:dyDescent="0.2">
      <c r="D281" s="1"/>
      <c r="F281" s="82"/>
    </row>
    <row r="282" spans="1:26" x14ac:dyDescent="0.2">
      <c r="D282" s="1"/>
      <c r="F282" s="82"/>
    </row>
    <row r="283" spans="1:26" x14ac:dyDescent="0.2">
      <c r="D283" s="1"/>
      <c r="F283" s="82"/>
    </row>
    <row r="284" spans="1:26" ht="15" x14ac:dyDescent="0.2">
      <c r="A284" s="419"/>
      <c r="B284" s="419"/>
      <c r="D284" s="1"/>
      <c r="E284" s="418" t="s">
        <v>3216</v>
      </c>
      <c r="F284" s="418"/>
    </row>
    <row r="285" spans="1:26" ht="15" x14ac:dyDescent="0.2">
      <c r="A285" s="419"/>
      <c r="B285" s="419"/>
      <c r="D285" s="1"/>
      <c r="E285" s="418" t="s">
        <v>1733</v>
      </c>
      <c r="F285" s="418"/>
    </row>
    <row r="286" spans="1:26" ht="15" x14ac:dyDescent="0.2">
      <c r="A286" s="419"/>
      <c r="B286" s="419"/>
      <c r="D286" s="1"/>
      <c r="E286" s="418" t="s">
        <v>1734</v>
      </c>
      <c r="F286" s="418"/>
    </row>
    <row r="287" spans="1:26" ht="15" x14ac:dyDescent="0.2">
      <c r="A287" s="419"/>
      <c r="B287" s="419"/>
      <c r="D287" s="1"/>
      <c r="E287" s="418" t="s">
        <v>5882</v>
      </c>
      <c r="F287" s="418"/>
    </row>
    <row r="288" spans="1:26" ht="15" x14ac:dyDescent="0.2">
      <c r="A288" s="419"/>
      <c r="B288" s="419"/>
      <c r="D288" s="1"/>
      <c r="E288" s="418" t="s">
        <v>3256</v>
      </c>
      <c r="F288" s="418"/>
    </row>
    <row r="289" spans="1:7" ht="15" x14ac:dyDescent="0.2">
      <c r="A289" s="419"/>
      <c r="B289" s="419"/>
      <c r="E289" s="418" t="s">
        <v>3257</v>
      </c>
      <c r="F289" s="418"/>
    </row>
    <row r="290" spans="1:7" ht="30" x14ac:dyDescent="0.2">
      <c r="A290" s="419"/>
      <c r="B290" s="419"/>
      <c r="E290" s="418" t="s">
        <v>3559</v>
      </c>
      <c r="F290" s="418"/>
    </row>
    <row r="291" spans="1:7" ht="15" x14ac:dyDescent="0.2">
      <c r="A291" s="419"/>
      <c r="B291" s="419"/>
      <c r="E291" s="418" t="s">
        <v>5881</v>
      </c>
      <c r="F291" s="418"/>
    </row>
    <row r="292" spans="1:7" ht="15" x14ac:dyDescent="0.2">
      <c r="A292" s="419"/>
      <c r="B292" s="419"/>
      <c r="E292" s="418" t="s">
        <v>3560</v>
      </c>
      <c r="F292" s="418"/>
    </row>
    <row r="293" spans="1:7" ht="15" x14ac:dyDescent="0.2">
      <c r="A293" s="419"/>
      <c r="B293" s="419"/>
      <c r="E293" s="418" t="s">
        <v>3561</v>
      </c>
      <c r="F293" s="418"/>
    </row>
    <row r="296" spans="1:7" ht="15" x14ac:dyDescent="0.2">
      <c r="A296" t="s">
        <v>9796</v>
      </c>
      <c r="D296" s="1053">
        <v>2341</v>
      </c>
      <c r="E296" s="1053" t="s">
        <v>748</v>
      </c>
      <c r="G296" s="80" t="s">
        <v>9807</v>
      </c>
    </row>
    <row r="297" spans="1:7" ht="15" x14ac:dyDescent="0.2">
      <c r="D297" s="1053">
        <v>6707</v>
      </c>
      <c r="E297" s="418" t="s">
        <v>9797</v>
      </c>
      <c r="G297" s="80" t="s">
        <v>5198</v>
      </c>
    </row>
    <row r="298" spans="1:7" ht="15" x14ac:dyDescent="0.2">
      <c r="D298" s="1053">
        <v>13860</v>
      </c>
      <c r="E298" s="1053" t="s">
        <v>8150</v>
      </c>
      <c r="G298" s="80" t="s">
        <v>3186</v>
      </c>
    </row>
    <row r="299" spans="1:7" ht="15" x14ac:dyDescent="0.2">
      <c r="D299" s="1053">
        <v>18081</v>
      </c>
      <c r="E299" s="1053" t="s">
        <v>3216</v>
      </c>
    </row>
    <row r="300" spans="1:7" ht="15" x14ac:dyDescent="0.2">
      <c r="D300" s="1053">
        <v>53712</v>
      </c>
      <c r="E300" s="1053" t="s">
        <v>9801</v>
      </c>
    </row>
    <row r="301" spans="1:7" ht="15" x14ac:dyDescent="0.2">
      <c r="D301" s="1053">
        <v>70492</v>
      </c>
      <c r="E301" s="1053" t="s">
        <v>9800</v>
      </c>
    </row>
    <row r="302" spans="1:7" ht="15" x14ac:dyDescent="0.2">
      <c r="D302" s="1053">
        <v>77735</v>
      </c>
      <c r="E302" s="1053" t="s">
        <v>9799</v>
      </c>
      <c r="G302" s="80" t="s">
        <v>2232</v>
      </c>
    </row>
    <row r="303" spans="1:7" ht="15" x14ac:dyDescent="0.2">
      <c r="D303" s="1053">
        <v>86962</v>
      </c>
      <c r="E303" s="1053" t="s">
        <v>3196</v>
      </c>
    </row>
    <row r="304" spans="1:7" ht="15" x14ac:dyDescent="0.2">
      <c r="D304" s="1053">
        <v>96803</v>
      </c>
      <c r="E304" s="1053" t="s">
        <v>9803</v>
      </c>
    </row>
    <row r="305" spans="4:7" ht="15" x14ac:dyDescent="0.2">
      <c r="D305" s="1053">
        <v>100020</v>
      </c>
      <c r="E305" s="1053" t="s">
        <v>334</v>
      </c>
    </row>
    <row r="306" spans="4:7" ht="15" x14ac:dyDescent="0.2">
      <c r="D306" s="1053">
        <v>193520</v>
      </c>
      <c r="E306" s="418" t="s">
        <v>9798</v>
      </c>
      <c r="G306" s="80" t="s">
        <v>2232</v>
      </c>
    </row>
    <row r="307" spans="4:7" ht="15" x14ac:dyDescent="0.2">
      <c r="D307" s="1053">
        <v>213875</v>
      </c>
      <c r="E307" s="1053" t="s">
        <v>5241</v>
      </c>
      <c r="G307" s="80" t="s">
        <v>5198</v>
      </c>
    </row>
    <row r="308" spans="4:7" ht="15" x14ac:dyDescent="0.2">
      <c r="D308" s="1053">
        <v>462128</v>
      </c>
      <c r="E308" s="1053" t="s">
        <v>9806</v>
      </c>
      <c r="G308" s="80" t="s">
        <v>2232</v>
      </c>
    </row>
    <row r="309" spans="4:7" ht="15" x14ac:dyDescent="0.2">
      <c r="D309" s="1053">
        <v>516373</v>
      </c>
      <c r="E309" s="1053" t="s">
        <v>9804</v>
      </c>
    </row>
    <row r="310" spans="4:7" ht="15" x14ac:dyDescent="0.2">
      <c r="D310" s="1053">
        <v>542285</v>
      </c>
      <c r="E310" s="1053" t="s">
        <v>10188</v>
      </c>
      <c r="G310" s="80" t="s">
        <v>10194</v>
      </c>
    </row>
    <row r="311" spans="4:7" ht="15" x14ac:dyDescent="0.2">
      <c r="D311" s="1053">
        <v>639084</v>
      </c>
      <c r="E311" s="1053" t="s">
        <v>909</v>
      </c>
      <c r="G311" s="80" t="s">
        <v>1023</v>
      </c>
    </row>
    <row r="312" spans="4:7" ht="15" x14ac:dyDescent="0.2">
      <c r="D312" s="1053">
        <v>639088</v>
      </c>
      <c r="E312" s="1053" t="s">
        <v>5894</v>
      </c>
      <c r="G312" s="80" t="s">
        <v>1023</v>
      </c>
    </row>
    <row r="313" spans="4:7" ht="15" x14ac:dyDescent="0.2">
      <c r="D313" s="1053">
        <v>640274</v>
      </c>
      <c r="E313" s="1053" t="s">
        <v>5573</v>
      </c>
      <c r="F313" s="1053"/>
      <c r="G313" s="80" t="s">
        <v>9808</v>
      </c>
    </row>
    <row r="314" spans="4:7" ht="15" x14ac:dyDescent="0.2">
      <c r="D314" s="1053">
        <v>719187</v>
      </c>
      <c r="E314" s="1053" t="s">
        <v>9805</v>
      </c>
    </row>
    <row r="315" spans="4:7" ht="15" x14ac:dyDescent="0.2">
      <c r="D315" s="1053">
        <v>1157038</v>
      </c>
      <c r="E315" s="1053" t="s">
        <v>9802</v>
      </c>
    </row>
    <row r="316" spans="4:7" ht="15" x14ac:dyDescent="0.2">
      <c r="D316" s="1053">
        <v>1945139</v>
      </c>
      <c r="E316" s="1053" t="s">
        <v>4407</v>
      </c>
      <c r="G316" s="80" t="s">
        <v>5198</v>
      </c>
    </row>
    <row r="317" spans="4:7" ht="15" x14ac:dyDescent="0.2">
      <c r="D317" s="1053">
        <v>2210126</v>
      </c>
      <c r="E317" s="1053" t="s">
        <v>9553</v>
      </c>
      <c r="G317" s="80" t="s">
        <v>5198</v>
      </c>
    </row>
    <row r="318" spans="4:7" ht="15" x14ac:dyDescent="0.2">
      <c r="D318" s="1053">
        <v>2777027</v>
      </c>
      <c r="E318" s="1053" t="s">
        <v>9824</v>
      </c>
    </row>
    <row r="319" spans="4:7" ht="15" x14ac:dyDescent="0.2">
      <c r="D319" s="1053">
        <v>13659</v>
      </c>
      <c r="E319" s="1053" t="s">
        <v>4897</v>
      </c>
      <c r="F319" s="80"/>
    </row>
    <row r="320" spans="4:7" ht="15" x14ac:dyDescent="0.2">
      <c r="D320" s="1053">
        <v>212486</v>
      </c>
      <c r="E320" s="1053" t="s">
        <v>4637</v>
      </c>
      <c r="G320" t="s">
        <v>10933</v>
      </c>
    </row>
    <row r="321" spans="4:7" ht="15" x14ac:dyDescent="0.2">
      <c r="D321" s="1053">
        <v>2547999</v>
      </c>
      <c r="E321" s="1053" t="s">
        <v>10934</v>
      </c>
      <c r="G321" t="s">
        <v>840</v>
      </c>
    </row>
    <row r="322" spans="4:7" ht="15" x14ac:dyDescent="0.2">
      <c r="D322" s="1053"/>
      <c r="E322" s="1053"/>
    </row>
    <row r="323" spans="4:7" ht="15" x14ac:dyDescent="0.2">
      <c r="D323" s="1053"/>
      <c r="E323" s="1053"/>
    </row>
    <row r="324" spans="4:7" ht="15" x14ac:dyDescent="0.2">
      <c r="D324" s="1053"/>
      <c r="E324" s="1053"/>
    </row>
    <row r="325" spans="4:7" ht="15" x14ac:dyDescent="0.2">
      <c r="D325" s="1053"/>
      <c r="E325" s="1053"/>
    </row>
    <row r="326" spans="4:7" ht="15" x14ac:dyDescent="0.2">
      <c r="D326" s="1053"/>
      <c r="E326" s="1053"/>
    </row>
    <row r="327" spans="4:7" ht="15" x14ac:dyDescent="0.2">
      <c r="D327" s="1053"/>
      <c r="E327" s="1053"/>
    </row>
    <row r="328" spans="4:7" ht="15" x14ac:dyDescent="0.2">
      <c r="D328" s="1053"/>
      <c r="E328" s="1053"/>
    </row>
    <row r="329" spans="4:7" ht="15" x14ac:dyDescent="0.2">
      <c r="D329" s="1053"/>
      <c r="E329" s="1053"/>
    </row>
    <row r="330" spans="4:7" ht="15" x14ac:dyDescent="0.2">
      <c r="D330" s="1053"/>
      <c r="E330" s="1053"/>
    </row>
    <row r="331" spans="4:7" ht="15" x14ac:dyDescent="0.2">
      <c r="D331" s="1053"/>
      <c r="E331" s="1053"/>
    </row>
    <row r="332" spans="4:7" ht="15" x14ac:dyDescent="0.2">
      <c r="D332" s="1053"/>
      <c r="E332" s="1053"/>
    </row>
    <row r="333" spans="4:7" ht="15" x14ac:dyDescent="0.2">
      <c r="D333" s="1053"/>
      <c r="E333" s="1053"/>
    </row>
    <row r="334" spans="4:7" ht="15" x14ac:dyDescent="0.2">
      <c r="D334" s="1053"/>
      <c r="E334" s="1053"/>
    </row>
    <row r="335" spans="4:7" ht="15" x14ac:dyDescent="0.2">
      <c r="D335" s="1053"/>
      <c r="E335" s="1053"/>
    </row>
    <row r="336" spans="4:7" ht="15" x14ac:dyDescent="0.2">
      <c r="D336" s="1053"/>
      <c r="E336" s="1053"/>
    </row>
    <row r="337" spans="4:5" ht="15" x14ac:dyDescent="0.2">
      <c r="D337" s="1053"/>
      <c r="E337" s="1053"/>
    </row>
    <row r="338" spans="4:5" ht="15" x14ac:dyDescent="0.2">
      <c r="D338" s="1053"/>
      <c r="E338" s="1053"/>
    </row>
  </sheetData>
  <sortState xmlns:xlrd2="http://schemas.microsoft.com/office/spreadsheetml/2017/richdata2" ref="D296:K318">
    <sortCondition ref="D296:D318"/>
  </sortState>
  <phoneticPr fontId="8" type="noConversion"/>
  <hyperlinks>
    <hyperlink ref="F266" r:id="rId1" xr:uid="{00000000-0004-0000-0200-000000000000}"/>
    <hyperlink ref="F264" r:id="rId2" xr:uid="{00000000-0004-0000-0200-000001000000}"/>
    <hyperlink ref="F269" r:id="rId3" xr:uid="{00000000-0004-0000-0200-000002000000}"/>
    <hyperlink ref="F273" r:id="rId4" xr:uid="{00000000-0004-0000-0200-000003000000}"/>
    <hyperlink ref="F261" r:id="rId5" xr:uid="{00000000-0004-0000-0200-000004000000}"/>
    <hyperlink ref="F262" r:id="rId6" xr:uid="{00000000-0004-0000-0200-000005000000}"/>
    <hyperlink ref="F260" r:id="rId7" xr:uid="{00000000-0004-0000-0200-000006000000}"/>
    <hyperlink ref="F265" r:id="rId8" xr:uid="{00000000-0004-0000-0200-000007000000}"/>
    <hyperlink ref="F267" r:id="rId9" xr:uid="{00000000-0004-0000-0200-000008000000}"/>
    <hyperlink ref="F274" r:id="rId10" xr:uid="{00000000-0004-0000-0200-000009000000}"/>
    <hyperlink ref="F272" r:id="rId11" xr:uid="{00000000-0004-0000-0200-00000A000000}"/>
    <hyperlink ref="F259" r:id="rId12" xr:uid="{00000000-0004-0000-0200-00000B000000}"/>
    <hyperlink ref="F275" r:id="rId13" xr:uid="{00000000-0004-0000-0200-00000C000000}"/>
    <hyperlink ref="F271" r:id="rId14" xr:uid="{00000000-0004-0000-0200-00000D000000}"/>
    <hyperlink ref="F268" r:id="rId15" xr:uid="{00000000-0004-0000-0200-00000E000000}"/>
  </hyperlinks>
  <pageMargins left="0.75" right="0.75" top="1" bottom="1" header="0.5" footer="0.5"/>
  <pageSetup paperSize="9" orientation="portrait" r:id="rId16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91"/>
  <sheetViews>
    <sheetView topLeftCell="A32" workbookViewId="0">
      <selection activeCell="I459" sqref="I459"/>
    </sheetView>
  </sheetViews>
  <sheetFormatPr defaultRowHeight="12.75" x14ac:dyDescent="0.2"/>
  <cols>
    <col min="1" max="1" width="18" customWidth="1"/>
    <col min="3" max="3" width="19.28515625" customWidth="1"/>
    <col min="4" max="4" width="9.140625" style="1"/>
    <col min="5" max="5" width="9.28515625" bestFit="1" customWidth="1"/>
  </cols>
  <sheetData>
    <row r="1" spans="1:7" x14ac:dyDescent="0.2">
      <c r="A1" t="s">
        <v>3009</v>
      </c>
      <c r="B1" t="s">
        <v>5049</v>
      </c>
      <c r="C1" t="s">
        <v>334</v>
      </c>
      <c r="D1" s="1">
        <v>1.252314814814815E-2</v>
      </c>
      <c r="E1" s="26">
        <v>0.79210000000000003</v>
      </c>
    </row>
    <row r="2" spans="1:7" x14ac:dyDescent="0.2">
      <c r="A2" t="s">
        <v>3072</v>
      </c>
      <c r="B2" t="s">
        <v>5042</v>
      </c>
      <c r="C2" t="s">
        <v>1210</v>
      </c>
      <c r="D2" s="1">
        <v>1.8749999999999999E-2</v>
      </c>
      <c r="E2" s="26">
        <v>0.77380000000000004</v>
      </c>
    </row>
    <row r="3" spans="1:7" x14ac:dyDescent="0.2">
      <c r="A3" t="s">
        <v>5544</v>
      </c>
      <c r="B3" t="s">
        <v>5042</v>
      </c>
      <c r="C3" t="s">
        <v>1210</v>
      </c>
      <c r="D3" s="1">
        <v>1.7951388888888888E-2</v>
      </c>
      <c r="E3" s="26">
        <v>0.76080000000000003</v>
      </c>
    </row>
    <row r="4" spans="1:7" x14ac:dyDescent="0.2">
      <c r="A4" t="s">
        <v>129</v>
      </c>
      <c r="B4" t="s">
        <v>5042</v>
      </c>
      <c r="C4" t="s">
        <v>1210</v>
      </c>
      <c r="D4" s="1">
        <v>1.8831018518518518E-2</v>
      </c>
      <c r="E4" s="26">
        <v>0.72529999999999994</v>
      </c>
      <c r="F4" t="s">
        <v>1212</v>
      </c>
      <c r="G4" t="s">
        <v>11070</v>
      </c>
    </row>
    <row r="5" spans="1:7" x14ac:dyDescent="0.2">
      <c r="A5" t="s">
        <v>5544</v>
      </c>
      <c r="B5" t="s">
        <v>5040</v>
      </c>
      <c r="C5" t="s">
        <v>3216</v>
      </c>
      <c r="D5" s="1">
        <v>1.5266203703703705E-2</v>
      </c>
      <c r="E5" s="26">
        <v>0.81200000000000006</v>
      </c>
      <c r="F5" t="s">
        <v>4547</v>
      </c>
    </row>
    <row r="6" spans="1:7" x14ac:dyDescent="0.2">
      <c r="A6" t="s">
        <v>1002</v>
      </c>
      <c r="B6" t="s">
        <v>5040</v>
      </c>
      <c r="C6" t="s">
        <v>3216</v>
      </c>
      <c r="D6" s="1">
        <v>1.5821759259259261E-2</v>
      </c>
      <c r="E6" s="26">
        <v>0.8054</v>
      </c>
      <c r="F6" t="s">
        <v>4887</v>
      </c>
    </row>
    <row r="7" spans="1:7" x14ac:dyDescent="0.2">
      <c r="A7" t="s">
        <v>1003</v>
      </c>
      <c r="B7" t="s">
        <v>5040</v>
      </c>
      <c r="C7" t="s">
        <v>3216</v>
      </c>
      <c r="D7" s="1">
        <v>1.5856481481481482E-2</v>
      </c>
      <c r="E7" s="26">
        <v>0.80359999999999998</v>
      </c>
      <c r="F7" t="s">
        <v>313</v>
      </c>
    </row>
    <row r="8" spans="1:7" x14ac:dyDescent="0.2">
      <c r="A8" t="s">
        <v>5095</v>
      </c>
      <c r="B8" t="s">
        <v>5040</v>
      </c>
      <c r="C8" t="s">
        <v>3216</v>
      </c>
      <c r="D8" s="1">
        <v>1.545138888888889E-2</v>
      </c>
      <c r="E8" s="26">
        <v>0.80220000000000002</v>
      </c>
      <c r="F8" t="s">
        <v>312</v>
      </c>
    </row>
    <row r="9" spans="1:7" x14ac:dyDescent="0.2">
      <c r="A9" t="s">
        <v>3072</v>
      </c>
      <c r="B9" t="s">
        <v>5040</v>
      </c>
      <c r="C9" t="s">
        <v>3216</v>
      </c>
      <c r="D9" s="1">
        <v>1.5891203703703703E-2</v>
      </c>
      <c r="E9" s="26">
        <v>0.80189999999999995</v>
      </c>
      <c r="F9" t="s">
        <v>3071</v>
      </c>
    </row>
    <row r="10" spans="1:7" x14ac:dyDescent="0.2">
      <c r="A10" t="s">
        <v>5948</v>
      </c>
      <c r="B10" t="s">
        <v>5040</v>
      </c>
      <c r="C10" t="s">
        <v>3216</v>
      </c>
      <c r="D10" s="1">
        <v>1.5625E-2</v>
      </c>
      <c r="E10" s="26">
        <v>0.79330000000000001</v>
      </c>
      <c r="F10" t="s">
        <v>2181</v>
      </c>
    </row>
    <row r="11" spans="1:7" x14ac:dyDescent="0.2">
      <c r="A11" t="s">
        <v>1121</v>
      </c>
      <c r="B11" t="s">
        <v>5040</v>
      </c>
      <c r="C11" t="s">
        <v>3216</v>
      </c>
      <c r="D11" s="1">
        <v>1.6157407407407409E-2</v>
      </c>
      <c r="E11" s="26">
        <v>0.78869999999999996</v>
      </c>
      <c r="F11" t="s">
        <v>4975</v>
      </c>
      <c r="G11" t="s">
        <v>4976</v>
      </c>
    </row>
    <row r="12" spans="1:7" x14ac:dyDescent="0.2">
      <c r="A12" t="s">
        <v>5883</v>
      </c>
      <c r="B12" t="s">
        <v>5040</v>
      </c>
      <c r="C12" t="s">
        <v>3216</v>
      </c>
      <c r="D12" s="1">
        <v>1.5740740740740743E-2</v>
      </c>
      <c r="E12" s="26">
        <v>0.78749999999999998</v>
      </c>
      <c r="F12" t="s">
        <v>5321</v>
      </c>
    </row>
    <row r="13" spans="1:7" x14ac:dyDescent="0.2">
      <c r="A13" t="s">
        <v>129</v>
      </c>
      <c r="B13" t="s">
        <v>5040</v>
      </c>
      <c r="C13" t="s">
        <v>3216</v>
      </c>
      <c r="D13" s="1">
        <v>1.6030092592592592E-2</v>
      </c>
      <c r="E13" s="26">
        <v>0.78339999999999999</v>
      </c>
      <c r="F13" t="s">
        <v>2160</v>
      </c>
    </row>
    <row r="14" spans="1:7" x14ac:dyDescent="0.2">
      <c r="A14" t="s">
        <v>998</v>
      </c>
      <c r="B14" t="s">
        <v>5040</v>
      </c>
      <c r="C14" t="s">
        <v>3216</v>
      </c>
      <c r="D14" s="1">
        <v>1.6296296296296295E-2</v>
      </c>
      <c r="E14" s="26">
        <v>0.78200000000000003</v>
      </c>
      <c r="F14" t="s">
        <v>2158</v>
      </c>
      <c r="G14" t="s">
        <v>2159</v>
      </c>
    </row>
    <row r="15" spans="1:7" x14ac:dyDescent="0.2">
      <c r="A15" t="s">
        <v>1214</v>
      </c>
      <c r="B15" t="s">
        <v>5040</v>
      </c>
      <c r="C15" t="s">
        <v>3216</v>
      </c>
      <c r="D15" s="1">
        <v>1.6412037037037037E-2</v>
      </c>
      <c r="E15" s="26">
        <v>0.77639999999999998</v>
      </c>
      <c r="F15" t="s">
        <v>1984</v>
      </c>
    </row>
    <row r="16" spans="1:7" x14ac:dyDescent="0.2">
      <c r="A16" t="s">
        <v>5456</v>
      </c>
      <c r="B16" t="s">
        <v>5040</v>
      </c>
      <c r="C16" t="s">
        <v>3216</v>
      </c>
      <c r="D16" s="1">
        <v>1.6631944444444446E-2</v>
      </c>
      <c r="E16" s="26">
        <v>0.76619999999999999</v>
      </c>
      <c r="F16" t="s">
        <v>6000</v>
      </c>
    </row>
    <row r="17" spans="1:8" x14ac:dyDescent="0.2">
      <c r="A17" s="53" t="s">
        <v>129</v>
      </c>
      <c r="B17" s="53" t="s">
        <v>4660</v>
      </c>
      <c r="C17" s="53" t="s">
        <v>3196</v>
      </c>
      <c r="D17" s="54">
        <v>1.2777777777777777E-2</v>
      </c>
      <c r="E17" s="121">
        <v>0.8216</v>
      </c>
    </row>
    <row r="18" spans="1:8" x14ac:dyDescent="0.2">
      <c r="A18" t="s">
        <v>2521</v>
      </c>
      <c r="B18" t="s">
        <v>5040</v>
      </c>
      <c r="C18" t="s">
        <v>654</v>
      </c>
      <c r="D18" s="1">
        <v>1.8981481481481481E-2</v>
      </c>
      <c r="E18" s="26">
        <v>0.64510000000000001</v>
      </c>
      <c r="F18" t="s">
        <v>3890</v>
      </c>
      <c r="H18" t="s">
        <v>1732</v>
      </c>
    </row>
    <row r="19" spans="1:8" ht="12" customHeight="1" x14ac:dyDescent="0.2">
      <c r="A19" t="s">
        <v>5198</v>
      </c>
      <c r="B19" t="s">
        <v>3810</v>
      </c>
      <c r="C19" t="s">
        <v>5241</v>
      </c>
      <c r="D19" s="1">
        <v>1.4722222222222222E-2</v>
      </c>
      <c r="E19" s="26">
        <v>0.80030000000000001</v>
      </c>
    </row>
    <row r="20" spans="1:8" ht="12" customHeight="1" x14ac:dyDescent="0.2">
      <c r="A20" t="s">
        <v>5095</v>
      </c>
      <c r="B20" t="s">
        <v>5042</v>
      </c>
      <c r="C20" t="s">
        <v>3216</v>
      </c>
      <c r="D20" s="1">
        <v>1.59375E-2</v>
      </c>
      <c r="E20" s="26">
        <v>0.82569999999999999</v>
      </c>
    </row>
    <row r="21" spans="1:8" ht="12" customHeight="1" x14ac:dyDescent="0.2">
      <c r="A21" t="s">
        <v>5456</v>
      </c>
      <c r="B21" t="s">
        <v>5042</v>
      </c>
      <c r="C21" t="s">
        <v>3216</v>
      </c>
      <c r="D21" s="1">
        <v>1.6400462962962964E-2</v>
      </c>
      <c r="E21" s="26">
        <v>0.8024</v>
      </c>
      <c r="F21" t="s">
        <v>108</v>
      </c>
    </row>
    <row r="22" spans="1:8" ht="12" customHeight="1" x14ac:dyDescent="0.2">
      <c r="A22" t="s">
        <v>4849</v>
      </c>
      <c r="B22" t="s">
        <v>4660</v>
      </c>
      <c r="C22" t="s">
        <v>2334</v>
      </c>
      <c r="D22" s="1">
        <v>1.3043981481481483E-2</v>
      </c>
      <c r="E22" s="26">
        <v>0.7923</v>
      </c>
    </row>
    <row r="23" spans="1:8" ht="12" customHeight="1" x14ac:dyDescent="0.2">
      <c r="A23" t="s">
        <v>5544</v>
      </c>
      <c r="B23" t="s">
        <v>1394</v>
      </c>
      <c r="C23" t="s">
        <v>1210</v>
      </c>
      <c r="D23" s="1">
        <v>1.9479166666666669E-2</v>
      </c>
      <c r="E23" s="26">
        <v>0.74929999999999997</v>
      </c>
    </row>
    <row r="24" spans="1:8" ht="12" customHeight="1" x14ac:dyDescent="0.2">
      <c r="A24" t="s">
        <v>1116</v>
      </c>
      <c r="B24" t="s">
        <v>3810</v>
      </c>
      <c r="C24" t="s">
        <v>5241</v>
      </c>
      <c r="D24" s="1">
        <v>1.5752314814814813E-2</v>
      </c>
      <c r="E24" s="26">
        <v>0.75749999999999995</v>
      </c>
    </row>
    <row r="25" spans="1:8" ht="12" customHeight="1" x14ac:dyDescent="0.2">
      <c r="A25" t="s">
        <v>5883</v>
      </c>
      <c r="B25" t="s">
        <v>5041</v>
      </c>
      <c r="C25" t="s">
        <v>5881</v>
      </c>
      <c r="D25" s="1">
        <v>1.3043981481481483E-2</v>
      </c>
      <c r="E25" s="26">
        <v>0.81810000000000005</v>
      </c>
    </row>
    <row r="26" spans="1:8" ht="12" customHeight="1" x14ac:dyDescent="0.2">
      <c r="A26" t="s">
        <v>4936</v>
      </c>
      <c r="B26" t="s">
        <v>5041</v>
      </c>
      <c r="C26" t="s">
        <v>5881</v>
      </c>
      <c r="D26" s="1">
        <v>1.3900462962962962E-2</v>
      </c>
      <c r="E26" s="26">
        <v>0.79430000000000001</v>
      </c>
    </row>
    <row r="27" spans="1:8" ht="12" customHeight="1" x14ac:dyDescent="0.2">
      <c r="A27" t="s">
        <v>1563</v>
      </c>
      <c r="B27" t="s">
        <v>3551</v>
      </c>
      <c r="C27" t="s">
        <v>3552</v>
      </c>
      <c r="D27" s="1">
        <v>1.6122685185185184E-2</v>
      </c>
      <c r="E27" s="26">
        <v>0.76959999999999995</v>
      </c>
      <c r="F27" t="s">
        <v>3553</v>
      </c>
    </row>
    <row r="28" spans="1:8" ht="12" customHeight="1" x14ac:dyDescent="0.2">
      <c r="A28" t="s">
        <v>2593</v>
      </c>
      <c r="B28" t="s">
        <v>5639</v>
      </c>
      <c r="C28" t="s">
        <v>5640</v>
      </c>
      <c r="D28" s="1">
        <v>1.5231481481481483E-2</v>
      </c>
      <c r="E28" s="26">
        <v>0.87229999999999996</v>
      </c>
    </row>
    <row r="29" spans="1:8" ht="12" customHeight="1" x14ac:dyDescent="0.2">
      <c r="A29" t="s">
        <v>3167</v>
      </c>
      <c r="B29" t="s">
        <v>1394</v>
      </c>
      <c r="C29" t="s">
        <v>1210</v>
      </c>
      <c r="D29" s="1">
        <v>2.0266203703703703E-2</v>
      </c>
      <c r="E29" s="26">
        <v>0.72019999999999995</v>
      </c>
    </row>
    <row r="30" spans="1:8" ht="12" customHeight="1" x14ac:dyDescent="0.2">
      <c r="A30" t="s">
        <v>840</v>
      </c>
      <c r="B30" t="s">
        <v>5049</v>
      </c>
      <c r="C30" t="s">
        <v>334</v>
      </c>
      <c r="D30" s="1">
        <v>1.238425925925926E-2</v>
      </c>
      <c r="E30" s="26">
        <v>0.81399999999999995</v>
      </c>
    </row>
    <row r="31" spans="1:8" ht="12" customHeight="1" x14ac:dyDescent="0.2">
      <c r="A31" t="s">
        <v>927</v>
      </c>
      <c r="B31" t="s">
        <v>3810</v>
      </c>
      <c r="C31" t="s">
        <v>5241</v>
      </c>
      <c r="D31" s="1">
        <v>1.5138888888888889E-2</v>
      </c>
      <c r="E31" s="26">
        <v>0.78820000000000001</v>
      </c>
    </row>
    <row r="32" spans="1:8" ht="12" customHeight="1" x14ac:dyDescent="0.2">
      <c r="A32" t="s">
        <v>1244</v>
      </c>
      <c r="B32" s="5" t="s">
        <v>607</v>
      </c>
      <c r="C32" t="s">
        <v>5881</v>
      </c>
      <c r="D32" s="1">
        <v>1.4467592592592593E-2</v>
      </c>
      <c r="E32" s="26">
        <v>0.77680000000000005</v>
      </c>
    </row>
    <row r="33" spans="1:10" ht="12" customHeight="1" x14ac:dyDescent="0.2">
      <c r="A33" s="5" t="s">
        <v>5456</v>
      </c>
      <c r="B33" s="5" t="s">
        <v>607</v>
      </c>
      <c r="C33" t="s">
        <v>5881</v>
      </c>
      <c r="D33" s="32">
        <v>1.4259259259259261E-2</v>
      </c>
      <c r="E33" s="520">
        <v>0.78810000000000002</v>
      </c>
      <c r="H33" s="2"/>
      <c r="J33" s="82"/>
    </row>
    <row r="34" spans="1:10" ht="12" customHeight="1" x14ac:dyDescent="0.2">
      <c r="A34" s="80" t="s">
        <v>5198</v>
      </c>
      <c r="B34" s="80" t="s">
        <v>6321</v>
      </c>
      <c r="C34" s="80" t="s">
        <v>6322</v>
      </c>
      <c r="D34" s="574">
        <v>4.1874999999999996E-2</v>
      </c>
      <c r="E34" s="72">
        <v>0.495</v>
      </c>
    </row>
    <row r="35" spans="1:10" ht="12" customHeight="1" x14ac:dyDescent="0.2">
      <c r="A35" s="80" t="s">
        <v>2542</v>
      </c>
      <c r="B35" s="80" t="s">
        <v>607</v>
      </c>
      <c r="C35" s="80" t="s">
        <v>5881</v>
      </c>
      <c r="D35" s="1">
        <v>1.4606481481481482E-2</v>
      </c>
      <c r="E35" s="26">
        <v>0.76939999999999997</v>
      </c>
    </row>
    <row r="36" spans="1:10" ht="12" customHeight="1" x14ac:dyDescent="0.2">
      <c r="A36" s="80" t="s">
        <v>7794</v>
      </c>
      <c r="B36" s="80" t="s">
        <v>7795</v>
      </c>
      <c r="C36" s="80" t="s">
        <v>3254</v>
      </c>
      <c r="D36" s="1">
        <v>1.9201388888888889E-2</v>
      </c>
      <c r="E36" s="26">
        <v>0.69199999999999995</v>
      </c>
    </row>
    <row r="37" spans="1:10" ht="12" customHeight="1" x14ac:dyDescent="0.2">
      <c r="A37" s="80" t="s">
        <v>5456</v>
      </c>
      <c r="B37" s="80" t="s">
        <v>1394</v>
      </c>
      <c r="C37" s="80" t="s">
        <v>1210</v>
      </c>
      <c r="D37" s="1">
        <v>2.1979166666666664E-2</v>
      </c>
      <c r="E37" s="26">
        <v>0.68089999999999995</v>
      </c>
    </row>
    <row r="38" spans="1:10" ht="12" customHeight="1" x14ac:dyDescent="0.2">
      <c r="A38" s="80" t="s">
        <v>5337</v>
      </c>
      <c r="B38" s="80" t="s">
        <v>1394</v>
      </c>
      <c r="C38" s="80" t="s">
        <v>7889</v>
      </c>
      <c r="D38" s="1">
        <v>2.8703703703703703E-2</v>
      </c>
      <c r="E38" s="26">
        <v>0.50849999999999995</v>
      </c>
    </row>
    <row r="39" spans="1:10" ht="12" customHeight="1" x14ac:dyDescent="0.2">
      <c r="A39" s="80" t="s">
        <v>2449</v>
      </c>
      <c r="B39" s="80" t="s">
        <v>8542</v>
      </c>
      <c r="C39" s="80" t="s">
        <v>5241</v>
      </c>
      <c r="D39" s="1">
        <v>1.4988425925925926E-2</v>
      </c>
      <c r="E39" s="26">
        <v>0.81699999999999995</v>
      </c>
    </row>
    <row r="40" spans="1:10" ht="12" customHeight="1" x14ac:dyDescent="0.2">
      <c r="A40" s="80" t="s">
        <v>5883</v>
      </c>
      <c r="B40" s="80" t="s">
        <v>1394</v>
      </c>
      <c r="C40" s="80" t="s">
        <v>1210</v>
      </c>
      <c r="D40" s="1">
        <v>2.3206018518518515E-2</v>
      </c>
      <c r="E40" s="26">
        <v>0.66279999999999994</v>
      </c>
    </row>
    <row r="41" spans="1:10" ht="12" customHeight="1" x14ac:dyDescent="0.2">
      <c r="A41" s="80" t="s">
        <v>9307</v>
      </c>
      <c r="B41" s="80" t="s">
        <v>5042</v>
      </c>
      <c r="C41" s="80" t="s">
        <v>4467</v>
      </c>
      <c r="D41" s="1">
        <v>1.892361111111111E-2</v>
      </c>
      <c r="E41" s="26">
        <v>0.70940000000000003</v>
      </c>
    </row>
    <row r="42" spans="1:10" ht="12" customHeight="1" x14ac:dyDescent="0.2">
      <c r="A42" s="80" t="s">
        <v>9307</v>
      </c>
      <c r="B42" s="80" t="s">
        <v>1394</v>
      </c>
      <c r="C42" s="80" t="s">
        <v>1210</v>
      </c>
      <c r="D42" s="1">
        <v>2.2592592592592591E-2</v>
      </c>
      <c r="E42" s="26">
        <v>0.68079999999999996</v>
      </c>
    </row>
    <row r="43" spans="1:10" ht="12" customHeight="1" x14ac:dyDescent="0.2">
      <c r="A43" s="80" t="s">
        <v>9307</v>
      </c>
      <c r="B43" s="80" t="s">
        <v>3810</v>
      </c>
      <c r="C43" s="80" t="s">
        <v>5241</v>
      </c>
      <c r="D43" s="1">
        <v>1.5092592592592593E-2</v>
      </c>
      <c r="E43" s="26">
        <v>0.81130000000000002</v>
      </c>
    </row>
    <row r="44" spans="1:10" ht="12" customHeight="1" x14ac:dyDescent="0.2">
      <c r="A44" s="80" t="s">
        <v>9307</v>
      </c>
      <c r="B44" s="80" t="s">
        <v>3551</v>
      </c>
      <c r="C44" s="80" t="s">
        <v>5241</v>
      </c>
      <c r="D44" s="1">
        <v>1.5474537037037038E-2</v>
      </c>
      <c r="E44" s="26">
        <v>0.80179999999999996</v>
      </c>
    </row>
    <row r="45" spans="1:10" ht="12" customHeight="1" x14ac:dyDescent="0.2">
      <c r="A45" s="80" t="s">
        <v>1244</v>
      </c>
      <c r="B45" s="80" t="s">
        <v>3551</v>
      </c>
      <c r="C45" s="80" t="s">
        <v>5241</v>
      </c>
      <c r="D45" s="1">
        <v>1.6516203703703703E-2</v>
      </c>
      <c r="E45" s="26">
        <v>0.75119999999999998</v>
      </c>
    </row>
    <row r="46" spans="1:10" ht="12" customHeight="1" x14ac:dyDescent="0.2">
      <c r="A46" s="80" t="s">
        <v>10864</v>
      </c>
      <c r="B46" s="80" t="s">
        <v>10865</v>
      </c>
      <c r="C46" s="80" t="s">
        <v>10866</v>
      </c>
      <c r="D46" s="1">
        <v>2.2523148148148143E-2</v>
      </c>
      <c r="E46" s="26">
        <v>0.64439999999999997</v>
      </c>
    </row>
    <row r="47" spans="1:10" ht="12" customHeight="1" x14ac:dyDescent="0.2">
      <c r="A47" s="80" t="s">
        <v>10983</v>
      </c>
      <c r="B47" s="80" t="s">
        <v>3810</v>
      </c>
      <c r="C47" s="80" t="s">
        <v>9797</v>
      </c>
      <c r="D47" s="1">
        <v>1.462962962962963E-2</v>
      </c>
      <c r="E47" s="26">
        <v>0.82669999999999999</v>
      </c>
    </row>
    <row r="48" spans="1:10" ht="12" customHeight="1" x14ac:dyDescent="0.2">
      <c r="A48" s="80" t="s">
        <v>10983</v>
      </c>
      <c r="B48" s="80" t="s">
        <v>3551</v>
      </c>
      <c r="C48" s="80" t="s">
        <v>5241</v>
      </c>
      <c r="D48" s="1">
        <v>1.5462962962962963E-2</v>
      </c>
      <c r="E48" s="26">
        <v>0.8024</v>
      </c>
    </row>
    <row r="49" spans="1:6" ht="12" customHeight="1" x14ac:dyDescent="0.2">
      <c r="A49" s="80" t="s">
        <v>10192</v>
      </c>
      <c r="B49" s="80" t="s">
        <v>5639</v>
      </c>
      <c r="C49" s="80" t="s">
        <v>3254</v>
      </c>
      <c r="D49" s="1">
        <v>1.8483796296296297E-2</v>
      </c>
      <c r="E49" s="26">
        <v>0.73950000000000005</v>
      </c>
    </row>
    <row r="50" spans="1:6" ht="12" customHeight="1" x14ac:dyDescent="0.2">
      <c r="A50" s="80" t="s">
        <v>10983</v>
      </c>
      <c r="B50" s="80" t="s">
        <v>5042</v>
      </c>
      <c r="C50" s="80" t="s">
        <v>4467</v>
      </c>
      <c r="D50" s="1">
        <v>1.9768518518518515E-2</v>
      </c>
      <c r="E50" s="26">
        <v>0.6774</v>
      </c>
    </row>
    <row r="51" spans="1:6" ht="12" customHeight="1" x14ac:dyDescent="0.2">
      <c r="A51" s="1370" t="s">
        <v>12382</v>
      </c>
      <c r="B51" s="80" t="s">
        <v>12442</v>
      </c>
      <c r="C51" s="80" t="s">
        <v>9806</v>
      </c>
      <c r="D51" s="1">
        <v>1.4791666666666668E-2</v>
      </c>
      <c r="E51" s="26">
        <v>0.73319999999999996</v>
      </c>
    </row>
    <row r="52" spans="1:6" ht="12" customHeight="1" x14ac:dyDescent="0.2">
      <c r="A52" s="1370" t="s">
        <v>12079</v>
      </c>
      <c r="B52" s="80" t="s">
        <v>10865</v>
      </c>
      <c r="C52" s="80" t="s">
        <v>8441</v>
      </c>
      <c r="D52" s="1">
        <v>2.5115740740740741E-2</v>
      </c>
      <c r="E52" s="26">
        <v>0.57789999999999997</v>
      </c>
    </row>
    <row r="53" spans="1:6" ht="12" customHeight="1" x14ac:dyDescent="0.2">
      <c r="A53" s="1370" t="s">
        <v>1244</v>
      </c>
      <c r="B53" s="80" t="s">
        <v>3810</v>
      </c>
      <c r="C53" s="80" t="s">
        <v>9797</v>
      </c>
      <c r="D53" s="1">
        <v>1.4953703703703705E-2</v>
      </c>
      <c r="E53" s="26">
        <v>0.80879999999999996</v>
      </c>
    </row>
    <row r="54" spans="1:6" ht="12" customHeight="1" x14ac:dyDescent="0.2">
      <c r="A54" s="1370" t="s">
        <v>12909</v>
      </c>
      <c r="B54" s="80" t="s">
        <v>5041</v>
      </c>
      <c r="C54" s="80" t="s">
        <v>15832</v>
      </c>
      <c r="D54" s="1">
        <v>1.2546296296296297E-2</v>
      </c>
      <c r="E54" s="26">
        <v>0.85060000000000002</v>
      </c>
    </row>
    <row r="55" spans="1:6" ht="12" customHeight="1" x14ac:dyDescent="0.2">
      <c r="A55" s="1370" t="s">
        <v>9304</v>
      </c>
      <c r="B55" s="80" t="s">
        <v>3551</v>
      </c>
      <c r="C55" s="80" t="s">
        <v>5241</v>
      </c>
      <c r="D55" s="1">
        <v>1.4907407407407406E-2</v>
      </c>
      <c r="E55" s="26">
        <v>0.84319999999999995</v>
      </c>
    </row>
    <row r="56" spans="1:6" ht="12" customHeight="1" x14ac:dyDescent="0.2">
      <c r="A56" s="1370" t="s">
        <v>16248</v>
      </c>
      <c r="B56" s="80" t="s">
        <v>3551</v>
      </c>
      <c r="C56" s="80" t="s">
        <v>5241</v>
      </c>
      <c r="D56" s="1">
        <v>1.556712962962963E-2</v>
      </c>
      <c r="E56" s="26">
        <v>0.80740000000000001</v>
      </c>
    </row>
    <row r="57" spans="1:6" ht="12" customHeight="1" x14ac:dyDescent="0.2">
      <c r="A57" s="1370" t="s">
        <v>2543</v>
      </c>
      <c r="B57" s="80" t="s">
        <v>3551</v>
      </c>
      <c r="C57" s="80" t="s">
        <v>5241</v>
      </c>
      <c r="D57" s="1">
        <v>1.6238425925925924E-2</v>
      </c>
      <c r="E57" s="26">
        <v>0.77410000000000001</v>
      </c>
    </row>
    <row r="58" spans="1:6" ht="12" customHeight="1" x14ac:dyDescent="0.2">
      <c r="E58" s="26"/>
    </row>
    <row r="59" spans="1:6" ht="12" customHeight="1" x14ac:dyDescent="0.2">
      <c r="E59" s="26"/>
    </row>
    <row r="60" spans="1:6" ht="12" customHeight="1" x14ac:dyDescent="0.2">
      <c r="E60" s="26"/>
    </row>
    <row r="61" spans="1:6" ht="12" customHeight="1" x14ac:dyDescent="0.2">
      <c r="E61" s="26"/>
    </row>
    <row r="62" spans="1:6" x14ac:dyDescent="0.2">
      <c r="A62" s="2" t="s">
        <v>3940</v>
      </c>
    </row>
    <row r="63" spans="1:6" x14ac:dyDescent="0.2">
      <c r="A63" t="s">
        <v>129</v>
      </c>
      <c r="B63" t="s">
        <v>5041</v>
      </c>
      <c r="C63" t="s">
        <v>5881</v>
      </c>
      <c r="D63" s="1">
        <v>1.3796296296296298E-2</v>
      </c>
      <c r="E63" s="26">
        <v>0.7802</v>
      </c>
      <c r="F63" t="s">
        <v>2411</v>
      </c>
    </row>
    <row r="64" spans="1:6" x14ac:dyDescent="0.2">
      <c r="A64" s="53" t="s">
        <v>2414</v>
      </c>
      <c r="B64" s="53" t="s">
        <v>5757</v>
      </c>
      <c r="C64" s="53" t="s">
        <v>2217</v>
      </c>
      <c r="D64" s="54">
        <v>1.9675925925925927E-2</v>
      </c>
      <c r="E64" s="121">
        <v>0.59760000000000002</v>
      </c>
      <c r="F64" s="53" t="s">
        <v>4927</v>
      </c>
    </row>
    <row r="65" spans="1:14" x14ac:dyDescent="0.2">
      <c r="A65" t="s">
        <v>2147</v>
      </c>
      <c r="B65" t="s">
        <v>5040</v>
      </c>
      <c r="C65" t="s">
        <v>3216</v>
      </c>
      <c r="D65" s="1">
        <v>1.5578703703703704E-2</v>
      </c>
      <c r="E65" s="26">
        <v>0.80610000000000004</v>
      </c>
      <c r="F65" t="s">
        <v>3849</v>
      </c>
    </row>
    <row r="66" spans="1:14" x14ac:dyDescent="0.2">
      <c r="A66" t="s">
        <v>5453</v>
      </c>
      <c r="B66" t="s">
        <v>5042</v>
      </c>
      <c r="C66" t="s">
        <v>1210</v>
      </c>
      <c r="D66" s="1">
        <v>1.9432870370370371E-2</v>
      </c>
      <c r="E66" s="26">
        <v>0.7177</v>
      </c>
      <c r="F66" t="s">
        <v>1547</v>
      </c>
    </row>
    <row r="67" spans="1:14" x14ac:dyDescent="0.2">
      <c r="A67" t="s">
        <v>2827</v>
      </c>
      <c r="B67" t="s">
        <v>5757</v>
      </c>
      <c r="C67" t="s">
        <v>4778</v>
      </c>
      <c r="D67" s="1">
        <v>2.0173611111111111E-2</v>
      </c>
      <c r="E67" s="26">
        <v>0.60009999999999997</v>
      </c>
      <c r="F67" t="s">
        <v>2391</v>
      </c>
    </row>
    <row r="68" spans="1:14" x14ac:dyDescent="0.2">
      <c r="A68" t="s">
        <v>4004</v>
      </c>
      <c r="B68" t="s">
        <v>5040</v>
      </c>
      <c r="C68" t="s">
        <v>5957</v>
      </c>
      <c r="D68" s="1">
        <v>2.0601851851851854E-2</v>
      </c>
      <c r="E68" s="26">
        <v>0.60099999999999998</v>
      </c>
      <c r="F68" t="s">
        <v>3239</v>
      </c>
      <c r="I68" t="s">
        <v>3330</v>
      </c>
      <c r="K68" t="s">
        <v>3273</v>
      </c>
      <c r="N68" s="80" t="s">
        <v>8543</v>
      </c>
    </row>
    <row r="69" spans="1:14" x14ac:dyDescent="0.2">
      <c r="A69" t="s">
        <v>2431</v>
      </c>
      <c r="B69" t="s">
        <v>5040</v>
      </c>
      <c r="C69" t="s">
        <v>4778</v>
      </c>
      <c r="D69" s="1">
        <v>2.1296296296296299E-2</v>
      </c>
      <c r="E69" s="26">
        <v>0.57499999999999996</v>
      </c>
      <c r="F69" t="s">
        <v>943</v>
      </c>
    </row>
    <row r="70" spans="1:14" x14ac:dyDescent="0.2">
      <c r="A70" t="s">
        <v>2827</v>
      </c>
      <c r="B70" t="s">
        <v>5040</v>
      </c>
      <c r="C70" t="s">
        <v>4778</v>
      </c>
      <c r="D70" s="1">
        <v>1.9942129629629629E-2</v>
      </c>
      <c r="E70" s="26">
        <v>0.61399999999999999</v>
      </c>
      <c r="F70" t="s">
        <v>2835</v>
      </c>
    </row>
    <row r="71" spans="1:14" x14ac:dyDescent="0.2">
      <c r="A71" t="s">
        <v>1401</v>
      </c>
      <c r="B71" t="s">
        <v>4660</v>
      </c>
      <c r="C71" t="s">
        <v>5096</v>
      </c>
      <c r="D71" s="1">
        <v>1.4201388888888888E-2</v>
      </c>
      <c r="E71" s="26">
        <v>0.73270000000000002</v>
      </c>
      <c r="F71" t="s">
        <v>1354</v>
      </c>
    </row>
    <row r="72" spans="1:14" x14ac:dyDescent="0.2">
      <c r="A72" t="s">
        <v>1401</v>
      </c>
      <c r="B72" t="s">
        <v>5040</v>
      </c>
      <c r="C72" t="s">
        <v>4778</v>
      </c>
      <c r="D72" s="1">
        <v>2.0532407407407405E-2</v>
      </c>
      <c r="E72" s="26">
        <v>0.59640000000000004</v>
      </c>
      <c r="F72" t="s">
        <v>3265</v>
      </c>
    </row>
    <row r="73" spans="1:14" x14ac:dyDescent="0.2">
      <c r="A73" t="s">
        <v>1405</v>
      </c>
      <c r="B73" t="s">
        <v>5040</v>
      </c>
      <c r="C73" t="s">
        <v>4778</v>
      </c>
      <c r="D73" s="1">
        <v>2.0798611111111111E-2</v>
      </c>
      <c r="E73" s="26">
        <v>0.58879999999999999</v>
      </c>
      <c r="F73" t="s">
        <v>3239</v>
      </c>
    </row>
    <row r="74" spans="1:14" x14ac:dyDescent="0.2">
      <c r="A74" t="s">
        <v>1002</v>
      </c>
      <c r="B74" t="s">
        <v>5049</v>
      </c>
      <c r="C74" t="s">
        <v>1270</v>
      </c>
      <c r="D74" s="1">
        <v>1.2893518518518519E-2</v>
      </c>
      <c r="E74" s="26">
        <v>0.77559999999999996</v>
      </c>
      <c r="F74" t="s">
        <v>3277</v>
      </c>
    </row>
    <row r="75" spans="1:14" x14ac:dyDescent="0.2">
      <c r="A75" t="s">
        <v>2284</v>
      </c>
      <c r="B75" t="s">
        <v>5040</v>
      </c>
      <c r="C75" t="s">
        <v>654</v>
      </c>
      <c r="D75" s="1">
        <v>2.1261574074074075E-2</v>
      </c>
      <c r="E75" s="26">
        <v>0.57589999999999997</v>
      </c>
      <c r="F75" t="s">
        <v>2769</v>
      </c>
    </row>
    <row r="76" spans="1:14" x14ac:dyDescent="0.2">
      <c r="A76" t="s">
        <v>5198</v>
      </c>
      <c r="B76" s="47" t="s">
        <v>5041</v>
      </c>
      <c r="C76" t="s">
        <v>5881</v>
      </c>
      <c r="D76" s="1">
        <v>1.3518518518518518E-2</v>
      </c>
      <c r="E76" s="26">
        <v>0.80989999999999995</v>
      </c>
      <c r="F76" t="s">
        <v>3579</v>
      </c>
    </row>
    <row r="77" spans="1:14" x14ac:dyDescent="0.2">
      <c r="A77" t="s">
        <v>3245</v>
      </c>
      <c r="B77" t="s">
        <v>5040</v>
      </c>
      <c r="C77" t="s">
        <v>4778</v>
      </c>
      <c r="D77" s="1">
        <v>2.1631944444444443E-2</v>
      </c>
      <c r="E77" s="26">
        <v>0.57299999999999995</v>
      </c>
      <c r="F77" t="s">
        <v>5790</v>
      </c>
      <c r="I77" s="80" t="s">
        <v>10868</v>
      </c>
    </row>
    <row r="78" spans="1:14" x14ac:dyDescent="0.2">
      <c r="A78" t="s">
        <v>5691</v>
      </c>
      <c r="B78" t="s">
        <v>5040</v>
      </c>
      <c r="C78" t="s">
        <v>4778</v>
      </c>
      <c r="D78" s="1">
        <v>2.1666666666666667E-2</v>
      </c>
      <c r="E78" s="26">
        <v>0.57210000000000005</v>
      </c>
      <c r="F78" t="s">
        <v>4927</v>
      </c>
    </row>
    <row r="79" spans="1:14" x14ac:dyDescent="0.2">
      <c r="A79" s="5" t="s">
        <v>5883</v>
      </c>
      <c r="B79" s="5" t="s">
        <v>5240</v>
      </c>
      <c r="C79" s="5" t="s">
        <v>5241</v>
      </c>
      <c r="D79" s="32">
        <v>1.4780092592592595E-2</v>
      </c>
      <c r="E79" s="354">
        <v>0.78779999999999994</v>
      </c>
      <c r="F79" s="5" t="s">
        <v>1117</v>
      </c>
      <c r="G79" s="5"/>
      <c r="H79" s="5"/>
    </row>
    <row r="80" spans="1:14" x14ac:dyDescent="0.2">
      <c r="A80" t="s">
        <v>5337</v>
      </c>
      <c r="B80" t="s">
        <v>5813</v>
      </c>
      <c r="C80" t="s">
        <v>2670</v>
      </c>
      <c r="D80" s="1">
        <v>1.5868055555555555E-2</v>
      </c>
      <c r="E80" s="26">
        <v>0.64770000000000005</v>
      </c>
      <c r="F80" t="s">
        <v>2275</v>
      </c>
    </row>
    <row r="81" spans="1:11" x14ac:dyDescent="0.2">
      <c r="A81" t="s">
        <v>4625</v>
      </c>
      <c r="B81" t="s">
        <v>5813</v>
      </c>
      <c r="C81" t="s">
        <v>2670</v>
      </c>
      <c r="D81" s="1">
        <v>1.4120370370370368E-2</v>
      </c>
      <c r="E81" s="26">
        <v>0.72789999999999999</v>
      </c>
      <c r="F81" t="s">
        <v>2276</v>
      </c>
    </row>
    <row r="82" spans="1:11" x14ac:dyDescent="0.2">
      <c r="A82" t="s">
        <v>5883</v>
      </c>
      <c r="B82" t="s">
        <v>5042</v>
      </c>
      <c r="C82" t="s">
        <v>1210</v>
      </c>
      <c r="D82" s="1">
        <v>1.892361111111111E-2</v>
      </c>
      <c r="E82" s="26">
        <v>0.70760000000000001</v>
      </c>
      <c r="F82" t="s">
        <v>754</v>
      </c>
    </row>
    <row r="83" spans="1:11" x14ac:dyDescent="0.2">
      <c r="A83" t="s">
        <v>2711</v>
      </c>
      <c r="B83" t="s">
        <v>4660</v>
      </c>
      <c r="C83" t="s">
        <v>1270</v>
      </c>
      <c r="D83" s="1">
        <v>1.4166666666666666E-2</v>
      </c>
      <c r="E83" s="26">
        <v>0.72299999999999998</v>
      </c>
      <c r="F83" t="s">
        <v>4423</v>
      </c>
    </row>
    <row r="84" spans="1:11" ht="12" customHeight="1" x14ac:dyDescent="0.2">
      <c r="A84" t="s">
        <v>2431</v>
      </c>
      <c r="B84" t="s">
        <v>3810</v>
      </c>
      <c r="C84" t="s">
        <v>5241</v>
      </c>
      <c r="D84" s="1">
        <v>1.5162037037037036E-2</v>
      </c>
      <c r="E84" s="26">
        <v>0.78700000000000003</v>
      </c>
      <c r="F84" t="s">
        <v>1482</v>
      </c>
    </row>
    <row r="85" spans="1:11" x14ac:dyDescent="0.2">
      <c r="A85" t="s">
        <v>1244</v>
      </c>
      <c r="B85" s="5" t="s">
        <v>5639</v>
      </c>
      <c r="C85" t="s">
        <v>1245</v>
      </c>
      <c r="D85" s="1">
        <v>2.1388888888888888E-2</v>
      </c>
      <c r="E85" s="26">
        <v>0.62119999999999997</v>
      </c>
      <c r="F85" s="80" t="s">
        <v>7657</v>
      </c>
    </row>
    <row r="86" spans="1:11" x14ac:dyDescent="0.2">
      <c r="A86" t="s">
        <v>5095</v>
      </c>
      <c r="B86" t="s">
        <v>1394</v>
      </c>
      <c r="C86" t="s">
        <v>1210</v>
      </c>
      <c r="D86" s="1">
        <v>2.2175925925925929E-2</v>
      </c>
      <c r="E86" s="26">
        <v>0.65810000000000002</v>
      </c>
      <c r="F86" s="80" t="s">
        <v>7655</v>
      </c>
    </row>
    <row r="87" spans="1:11" x14ac:dyDescent="0.2">
      <c r="A87" t="s">
        <v>4727</v>
      </c>
      <c r="B87" t="s">
        <v>1394</v>
      </c>
      <c r="C87" t="s">
        <v>1210</v>
      </c>
      <c r="D87" s="1">
        <v>2.0706018518518519E-2</v>
      </c>
      <c r="E87" s="26">
        <v>0.70489999999999997</v>
      </c>
      <c r="F87" s="80" t="s">
        <v>7656</v>
      </c>
    </row>
    <row r="88" spans="1:11" x14ac:dyDescent="0.2">
      <c r="A88" s="80" t="s">
        <v>9620</v>
      </c>
      <c r="B88" s="80" t="s">
        <v>5040</v>
      </c>
      <c r="C88" s="80" t="s">
        <v>4778</v>
      </c>
      <c r="D88" s="1">
        <v>2.5960648148148149E-2</v>
      </c>
      <c r="E88" s="26">
        <v>0.49840000000000001</v>
      </c>
      <c r="F88" s="80" t="s">
        <v>4927</v>
      </c>
      <c r="I88" s="80" t="s">
        <v>10867</v>
      </c>
    </row>
    <row r="89" spans="1:11" x14ac:dyDescent="0.2">
      <c r="A89" s="80" t="s">
        <v>10622</v>
      </c>
      <c r="B89" s="80" t="s">
        <v>5042</v>
      </c>
      <c r="C89" s="80" t="s">
        <v>5957</v>
      </c>
      <c r="D89" s="1">
        <v>2.7569444444444448E-2</v>
      </c>
      <c r="E89" s="26">
        <v>0.48570000000000002</v>
      </c>
      <c r="F89" t="s">
        <v>11073</v>
      </c>
    </row>
    <row r="90" spans="1:11" x14ac:dyDescent="0.2">
      <c r="A90" t="s">
        <v>129</v>
      </c>
      <c r="B90" t="s">
        <v>5042</v>
      </c>
      <c r="C90" t="s">
        <v>1210</v>
      </c>
      <c r="D90" s="1">
        <v>1.8831018518518518E-2</v>
      </c>
      <c r="E90" s="26">
        <v>0.72529999999999994</v>
      </c>
      <c r="F90" t="s">
        <v>11071</v>
      </c>
      <c r="I90" t="s">
        <v>11072</v>
      </c>
      <c r="K90" t="s">
        <v>13178</v>
      </c>
    </row>
    <row r="91" spans="1:11" x14ac:dyDescent="0.2">
      <c r="A91" s="1370" t="s">
        <v>12300</v>
      </c>
      <c r="B91" s="80" t="s">
        <v>5639</v>
      </c>
      <c r="C91" s="80" t="s">
        <v>3254</v>
      </c>
      <c r="D91" s="1">
        <v>1.8761574074074073E-2</v>
      </c>
      <c r="E91" s="26">
        <v>0.72860000000000003</v>
      </c>
      <c r="F91" s="80" t="s">
        <v>13245</v>
      </c>
    </row>
  </sheetData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429"/>
  <sheetViews>
    <sheetView topLeftCell="A369" workbookViewId="0">
      <selection activeCell="O402" sqref="O402"/>
    </sheetView>
  </sheetViews>
  <sheetFormatPr defaultRowHeight="12.75" x14ac:dyDescent="0.2"/>
  <cols>
    <col min="1" max="1" width="18.140625" style="672" customWidth="1"/>
    <col min="2" max="6" width="9.140625" style="672"/>
    <col min="7" max="7" width="12.42578125" style="672" bestFit="1" customWidth="1"/>
    <col min="8" max="8" width="10.28515625" style="672" customWidth="1"/>
    <col min="9" max="17" width="9.140625" style="672"/>
    <col min="18" max="18" width="16.85546875" style="672" customWidth="1"/>
    <col min="19" max="19" width="15.7109375" style="672" customWidth="1"/>
    <col min="20" max="20" width="15.42578125" style="672" bestFit="1" customWidth="1"/>
    <col min="21" max="21" width="10.140625" style="672" bestFit="1" customWidth="1"/>
    <col min="22" max="16384" width="9.140625" style="672"/>
  </cols>
  <sheetData>
    <row r="1" spans="1:14" x14ac:dyDescent="0.2">
      <c r="A1" s="671">
        <v>41216</v>
      </c>
      <c r="B1" s="672" t="s">
        <v>304</v>
      </c>
      <c r="E1" s="672" t="s">
        <v>305</v>
      </c>
    </row>
    <row r="2" spans="1:14" x14ac:dyDescent="0.2">
      <c r="A2" s="671">
        <f>A1+7</f>
        <v>41223</v>
      </c>
      <c r="B2" s="672" t="s">
        <v>1998</v>
      </c>
      <c r="E2" s="672" t="s">
        <v>1997</v>
      </c>
      <c r="I2" s="672" t="s">
        <v>3388</v>
      </c>
    </row>
    <row r="3" spans="1:14" x14ac:dyDescent="0.2">
      <c r="A3" s="671">
        <f t="shared" ref="A3:A61" si="0">A2+7</f>
        <v>41230</v>
      </c>
      <c r="B3" s="672" t="s">
        <v>4777</v>
      </c>
      <c r="E3" s="672" t="s">
        <v>2518</v>
      </c>
    </row>
    <row r="4" spans="1:14" x14ac:dyDescent="0.2">
      <c r="A4" s="671">
        <f t="shared" si="0"/>
        <v>41237</v>
      </c>
      <c r="B4" s="672" t="s">
        <v>4464</v>
      </c>
      <c r="H4" s="672" t="s">
        <v>5233</v>
      </c>
      <c r="M4" s="672">
        <v>17337</v>
      </c>
      <c r="N4" s="673">
        <f t="shared" ref="N4:N9" si="1">M4/$M$4</f>
        <v>1</v>
      </c>
    </row>
    <row r="5" spans="1:14" x14ac:dyDescent="0.2">
      <c r="A5" s="671">
        <f t="shared" si="0"/>
        <v>41244</v>
      </c>
      <c r="B5" s="672" t="s">
        <v>409</v>
      </c>
      <c r="E5" s="672" t="s">
        <v>5415</v>
      </c>
      <c r="H5" s="672" t="s">
        <v>833</v>
      </c>
      <c r="M5" s="672">
        <v>7615</v>
      </c>
      <c r="N5" s="673">
        <f t="shared" si="1"/>
        <v>0.43923400819057506</v>
      </c>
    </row>
    <row r="6" spans="1:14" x14ac:dyDescent="0.2">
      <c r="A6" s="671">
        <f t="shared" si="0"/>
        <v>41251</v>
      </c>
      <c r="B6" s="672" t="s">
        <v>410</v>
      </c>
      <c r="E6" s="672" t="s">
        <v>5414</v>
      </c>
      <c r="H6" s="672" t="s">
        <v>5234</v>
      </c>
      <c r="M6" s="672">
        <v>4910</v>
      </c>
      <c r="N6" s="673">
        <f t="shared" si="1"/>
        <v>0.28320932110515085</v>
      </c>
    </row>
    <row r="7" spans="1:14" x14ac:dyDescent="0.2">
      <c r="A7" s="671">
        <f t="shared" si="0"/>
        <v>41258</v>
      </c>
      <c r="B7" s="672" t="s">
        <v>4037</v>
      </c>
      <c r="H7" s="672" t="s">
        <v>3078</v>
      </c>
      <c r="M7" s="672">
        <v>3724</v>
      </c>
      <c r="N7" s="673">
        <f t="shared" si="1"/>
        <v>0.21480071523331604</v>
      </c>
    </row>
    <row r="8" spans="1:14" x14ac:dyDescent="0.2">
      <c r="A8" s="671">
        <f t="shared" si="0"/>
        <v>41265</v>
      </c>
      <c r="B8" s="80" t="s">
        <v>11195</v>
      </c>
      <c r="E8" s="672" t="s">
        <v>5413</v>
      </c>
      <c r="H8" s="672" t="s">
        <v>4465</v>
      </c>
      <c r="M8" s="672">
        <v>2778</v>
      </c>
      <c r="N8" s="673">
        <f t="shared" si="1"/>
        <v>0.16023533483301608</v>
      </c>
    </row>
    <row r="9" spans="1:14" x14ac:dyDescent="0.2">
      <c r="A9" s="671">
        <f t="shared" si="0"/>
        <v>41272</v>
      </c>
      <c r="B9" s="80" t="s">
        <v>11196</v>
      </c>
      <c r="E9" s="672" t="s">
        <v>4298</v>
      </c>
      <c r="H9" s="672" t="s">
        <v>4466</v>
      </c>
      <c r="M9" s="672">
        <v>2367</v>
      </c>
      <c r="N9" s="673">
        <f t="shared" si="1"/>
        <v>0.13652881121301264</v>
      </c>
    </row>
    <row r="10" spans="1:14" x14ac:dyDescent="0.2">
      <c r="A10" s="671">
        <f t="shared" si="0"/>
        <v>41279</v>
      </c>
      <c r="B10" s="80" t="s">
        <v>11197</v>
      </c>
    </row>
    <row r="11" spans="1:14" x14ac:dyDescent="0.2">
      <c r="A11" s="671">
        <f t="shared" si="0"/>
        <v>41286</v>
      </c>
      <c r="B11" s="672" t="s">
        <v>786</v>
      </c>
    </row>
    <row r="12" spans="1:14" x14ac:dyDescent="0.2">
      <c r="A12" s="671">
        <f t="shared" si="0"/>
        <v>41293</v>
      </c>
      <c r="B12" s="672" t="s">
        <v>2087</v>
      </c>
    </row>
    <row r="13" spans="1:14" x14ac:dyDescent="0.2">
      <c r="A13" s="671">
        <f t="shared" si="0"/>
        <v>41300</v>
      </c>
      <c r="B13" s="672" t="s">
        <v>3533</v>
      </c>
      <c r="E13" s="672" t="s">
        <v>4593</v>
      </c>
    </row>
    <row r="14" spans="1:14" x14ac:dyDescent="0.2">
      <c r="A14" s="671">
        <f t="shared" si="0"/>
        <v>41307</v>
      </c>
      <c r="B14" s="672" t="s">
        <v>5072</v>
      </c>
      <c r="F14" s="672" t="s">
        <v>2751</v>
      </c>
      <c r="H14" s="80" t="s">
        <v>1214</v>
      </c>
    </row>
    <row r="15" spans="1:14" x14ac:dyDescent="0.2">
      <c r="A15" s="671">
        <f t="shared" si="0"/>
        <v>41314</v>
      </c>
      <c r="B15" s="672" t="s">
        <v>786</v>
      </c>
      <c r="E15" s="80" t="s">
        <v>271</v>
      </c>
    </row>
    <row r="16" spans="1:14" x14ac:dyDescent="0.2">
      <c r="A16" s="671">
        <f t="shared" si="0"/>
        <v>41321</v>
      </c>
      <c r="B16" s="672" t="s">
        <v>5330</v>
      </c>
    </row>
    <row r="17" spans="1:10" x14ac:dyDescent="0.2">
      <c r="A17" s="671">
        <f t="shared" si="0"/>
        <v>41328</v>
      </c>
      <c r="B17" s="672" t="s">
        <v>1823</v>
      </c>
      <c r="E17" s="415" t="s">
        <v>1642</v>
      </c>
      <c r="F17" s="674"/>
      <c r="G17" s="1191">
        <v>1.9976851851851853E-2</v>
      </c>
      <c r="H17" s="672">
        <v>79</v>
      </c>
    </row>
    <row r="18" spans="1:10" x14ac:dyDescent="0.2">
      <c r="A18" s="671">
        <f t="shared" si="0"/>
        <v>41335</v>
      </c>
      <c r="B18" s="672" t="s">
        <v>1824</v>
      </c>
      <c r="E18" s="674" t="s">
        <v>1825</v>
      </c>
      <c r="F18" s="674"/>
      <c r="G18" s="751">
        <v>80</v>
      </c>
      <c r="H18" s="672" t="s">
        <v>5335</v>
      </c>
    </row>
    <row r="19" spans="1:10" x14ac:dyDescent="0.2">
      <c r="A19" s="671">
        <f t="shared" si="0"/>
        <v>41342</v>
      </c>
      <c r="B19" s="672" t="s">
        <v>2915</v>
      </c>
      <c r="E19" s="674" t="s">
        <v>1643</v>
      </c>
      <c r="F19" s="674"/>
      <c r="G19" s="751">
        <v>81</v>
      </c>
    </row>
    <row r="20" spans="1:10" x14ac:dyDescent="0.2">
      <c r="A20" s="671">
        <f t="shared" si="0"/>
        <v>41349</v>
      </c>
      <c r="B20" s="672" t="s">
        <v>4557</v>
      </c>
      <c r="E20" s="674" t="s">
        <v>757</v>
      </c>
      <c r="F20" s="674"/>
      <c r="G20" s="751">
        <v>82</v>
      </c>
      <c r="H20" s="672" t="s">
        <v>5334</v>
      </c>
    </row>
    <row r="21" spans="1:10" x14ac:dyDescent="0.2">
      <c r="A21" s="671">
        <f t="shared" si="0"/>
        <v>41356</v>
      </c>
      <c r="B21" s="672" t="s">
        <v>3679</v>
      </c>
      <c r="E21" s="674" t="s">
        <v>5705</v>
      </c>
      <c r="F21" s="674"/>
      <c r="G21" s="751">
        <v>83</v>
      </c>
      <c r="H21" s="672" t="s">
        <v>314</v>
      </c>
    </row>
    <row r="22" spans="1:10" x14ac:dyDescent="0.2">
      <c r="A22" s="671">
        <f t="shared" si="0"/>
        <v>41363</v>
      </c>
      <c r="E22" s="674" t="s">
        <v>2914</v>
      </c>
      <c r="F22" s="674"/>
      <c r="G22" s="751">
        <v>84</v>
      </c>
    </row>
    <row r="23" spans="1:10" x14ac:dyDescent="0.2">
      <c r="A23" s="671">
        <f t="shared" si="0"/>
        <v>41370</v>
      </c>
      <c r="B23" s="672" t="s">
        <v>879</v>
      </c>
      <c r="E23" s="674" t="s">
        <v>878</v>
      </c>
      <c r="F23" s="674"/>
      <c r="G23" s="751">
        <v>85</v>
      </c>
      <c r="H23" s="672" t="s">
        <v>6024</v>
      </c>
    </row>
    <row r="24" spans="1:10" x14ac:dyDescent="0.2">
      <c r="A24" s="671">
        <f t="shared" si="0"/>
        <v>41377</v>
      </c>
      <c r="B24" s="672" t="s">
        <v>365</v>
      </c>
      <c r="E24" s="674" t="s">
        <v>4400</v>
      </c>
      <c r="F24" s="674"/>
      <c r="G24" s="751">
        <v>86</v>
      </c>
      <c r="H24" s="675">
        <v>2.0196759259259258E-2</v>
      </c>
    </row>
    <row r="25" spans="1:10" x14ac:dyDescent="0.2">
      <c r="A25" s="671">
        <f t="shared" si="0"/>
        <v>41384</v>
      </c>
      <c r="E25" s="674" t="s">
        <v>4733</v>
      </c>
      <c r="F25" s="674"/>
      <c r="G25" s="751">
        <v>87</v>
      </c>
      <c r="H25" s="672" t="s">
        <v>1859</v>
      </c>
    </row>
    <row r="26" spans="1:10" x14ac:dyDescent="0.2">
      <c r="A26" s="671">
        <f t="shared" si="0"/>
        <v>41391</v>
      </c>
      <c r="B26" s="672" t="s">
        <v>5967</v>
      </c>
      <c r="E26" s="674" t="s">
        <v>877</v>
      </c>
      <c r="F26" s="674"/>
      <c r="G26" s="751">
        <v>88</v>
      </c>
      <c r="H26" s="672" t="s">
        <v>2722</v>
      </c>
    </row>
    <row r="27" spans="1:10" x14ac:dyDescent="0.2">
      <c r="A27" s="671">
        <f t="shared" si="0"/>
        <v>41398</v>
      </c>
      <c r="G27" s="766"/>
    </row>
    <row r="28" spans="1:10" x14ac:dyDescent="0.2">
      <c r="A28" s="671">
        <f t="shared" si="0"/>
        <v>41405</v>
      </c>
      <c r="E28" s="674" t="s">
        <v>3101</v>
      </c>
      <c r="F28" s="674"/>
      <c r="G28" s="751">
        <v>89</v>
      </c>
      <c r="H28" s="675">
        <v>2.0196759259259258E-2</v>
      </c>
      <c r="I28" s="672" t="s">
        <v>5182</v>
      </c>
    </row>
    <row r="29" spans="1:10" x14ac:dyDescent="0.2">
      <c r="A29" s="671">
        <f t="shared" si="0"/>
        <v>41412</v>
      </c>
      <c r="B29" s="672" t="s">
        <v>4698</v>
      </c>
      <c r="E29" s="674" t="s">
        <v>5164</v>
      </c>
      <c r="F29" s="674"/>
      <c r="G29" s="751">
        <v>90</v>
      </c>
      <c r="H29" s="672" t="s">
        <v>5811</v>
      </c>
      <c r="J29" s="675">
        <v>2.1817129629629631E-2</v>
      </c>
    </row>
    <row r="30" spans="1:10" x14ac:dyDescent="0.2">
      <c r="A30" s="671">
        <f t="shared" si="0"/>
        <v>41419</v>
      </c>
      <c r="E30" s="674" t="s">
        <v>3102</v>
      </c>
      <c r="F30" s="674"/>
      <c r="G30" s="751">
        <v>91</v>
      </c>
      <c r="H30" s="672" t="s">
        <v>5701</v>
      </c>
    </row>
    <row r="31" spans="1:10" x14ac:dyDescent="0.2">
      <c r="A31" s="671">
        <f t="shared" si="0"/>
        <v>41426</v>
      </c>
      <c r="B31" s="672" t="s">
        <v>5052</v>
      </c>
      <c r="C31" s="676">
        <v>0.77361111111111114</v>
      </c>
      <c r="E31" s="674" t="s">
        <v>2581</v>
      </c>
      <c r="F31" s="674"/>
      <c r="G31" s="751">
        <v>92</v>
      </c>
      <c r="H31" s="675">
        <v>1.9918981481481482E-2</v>
      </c>
    </row>
    <row r="32" spans="1:10" x14ac:dyDescent="0.2">
      <c r="A32" s="671">
        <f t="shared" si="0"/>
        <v>41433</v>
      </c>
      <c r="B32" s="672" t="s">
        <v>5559</v>
      </c>
      <c r="E32" s="674" t="s">
        <v>3881</v>
      </c>
      <c r="F32" s="674"/>
      <c r="G32" s="751">
        <v>93</v>
      </c>
      <c r="H32" s="675">
        <v>1.9907407407407408E-2</v>
      </c>
      <c r="I32" s="677" t="s">
        <v>3901</v>
      </c>
      <c r="J32" s="677"/>
    </row>
    <row r="33" spans="1:14" x14ac:dyDescent="0.2">
      <c r="A33" s="671">
        <f t="shared" si="0"/>
        <v>41440</v>
      </c>
      <c r="E33" s="678" t="s">
        <v>5544</v>
      </c>
      <c r="F33" s="674"/>
      <c r="H33" s="672" t="s">
        <v>1653</v>
      </c>
      <c r="J33" s="674" t="s">
        <v>3070</v>
      </c>
    </row>
    <row r="34" spans="1:14" x14ac:dyDescent="0.2">
      <c r="A34" s="671">
        <f t="shared" si="0"/>
        <v>41447</v>
      </c>
      <c r="B34" s="672" t="s">
        <v>2135</v>
      </c>
      <c r="E34" s="674" t="s">
        <v>3882</v>
      </c>
      <c r="F34" s="674"/>
      <c r="G34" s="674">
        <v>94</v>
      </c>
      <c r="H34" s="675">
        <v>2.1076388888888891E-2</v>
      </c>
      <c r="I34" s="672" t="s">
        <v>1891</v>
      </c>
    </row>
    <row r="35" spans="1:14" x14ac:dyDescent="0.2">
      <c r="A35" s="671">
        <f t="shared" si="0"/>
        <v>41454</v>
      </c>
      <c r="B35" s="672" t="s">
        <v>4978</v>
      </c>
      <c r="E35" s="674" t="s">
        <v>1746</v>
      </c>
      <c r="F35" s="674"/>
      <c r="G35" s="674">
        <f t="shared" ref="G35:G41" si="2">G34+1</f>
        <v>95</v>
      </c>
      <c r="H35" s="675">
        <v>2.0706018518518519E-2</v>
      </c>
      <c r="I35" s="672" t="s">
        <v>3409</v>
      </c>
    </row>
    <row r="36" spans="1:14" x14ac:dyDescent="0.2">
      <c r="A36" s="671">
        <f t="shared" si="0"/>
        <v>41461</v>
      </c>
      <c r="B36" s="672" t="s">
        <v>1408</v>
      </c>
      <c r="E36" s="674" t="s">
        <v>3883</v>
      </c>
      <c r="F36" s="674"/>
      <c r="G36" s="674">
        <f t="shared" si="2"/>
        <v>96</v>
      </c>
      <c r="H36" s="679">
        <v>1.9710648148148147E-2</v>
      </c>
      <c r="I36" s="680" t="s">
        <v>5434</v>
      </c>
    </row>
    <row r="37" spans="1:14" x14ac:dyDescent="0.2">
      <c r="A37" s="671">
        <f t="shared" si="0"/>
        <v>41468</v>
      </c>
      <c r="B37" s="672" t="s">
        <v>4468</v>
      </c>
      <c r="E37" s="681" t="s">
        <v>5725</v>
      </c>
      <c r="F37" s="681"/>
      <c r="G37" s="681"/>
      <c r="H37" s="682"/>
    </row>
    <row r="38" spans="1:14" x14ac:dyDescent="0.2">
      <c r="A38" s="671">
        <f t="shared" si="0"/>
        <v>41475</v>
      </c>
      <c r="E38" s="674" t="s">
        <v>2136</v>
      </c>
      <c r="F38" s="674"/>
      <c r="G38" s="674">
        <f>G36+1</f>
        <v>97</v>
      </c>
      <c r="H38" s="675">
        <v>2.0243055555555552E-2</v>
      </c>
    </row>
    <row r="39" spans="1:14" x14ac:dyDescent="0.2">
      <c r="A39" s="671">
        <f t="shared" si="0"/>
        <v>41482</v>
      </c>
      <c r="E39" s="674" t="s">
        <v>1538</v>
      </c>
      <c r="F39" s="674"/>
      <c r="G39" s="674">
        <f t="shared" si="2"/>
        <v>98</v>
      </c>
      <c r="H39" s="675"/>
    </row>
    <row r="40" spans="1:14" x14ac:dyDescent="0.2">
      <c r="A40" s="671">
        <f t="shared" si="0"/>
        <v>41489</v>
      </c>
      <c r="B40" s="672" t="s">
        <v>5507</v>
      </c>
      <c r="E40" s="674" t="s">
        <v>5518</v>
      </c>
      <c r="F40" s="674"/>
      <c r="G40" s="674">
        <f t="shared" si="2"/>
        <v>99</v>
      </c>
      <c r="H40" s="683">
        <v>2.0324074074074074E-2</v>
      </c>
      <c r="I40" s="677"/>
      <c r="J40" s="672" t="s">
        <v>639</v>
      </c>
    </row>
    <row r="41" spans="1:14" x14ac:dyDescent="0.2">
      <c r="A41" s="671">
        <f t="shared" si="0"/>
        <v>41496</v>
      </c>
      <c r="E41" s="674" t="s">
        <v>5519</v>
      </c>
      <c r="F41" s="674"/>
      <c r="G41" s="674">
        <f t="shared" si="2"/>
        <v>100</v>
      </c>
      <c r="H41" s="675"/>
      <c r="I41" s="672" t="s">
        <v>3423</v>
      </c>
    </row>
    <row r="42" spans="1:14" x14ac:dyDescent="0.2">
      <c r="A42" s="671">
        <f t="shared" si="0"/>
        <v>41503</v>
      </c>
      <c r="E42" s="674" t="s">
        <v>5926</v>
      </c>
      <c r="F42" s="674"/>
      <c r="G42" s="674"/>
      <c r="H42" s="675">
        <v>2.0231481481481482E-2</v>
      </c>
      <c r="I42" s="672" t="s">
        <v>1857</v>
      </c>
    </row>
    <row r="43" spans="1:14" x14ac:dyDescent="0.2">
      <c r="A43" s="671">
        <f t="shared" si="0"/>
        <v>41510</v>
      </c>
      <c r="B43" s="672" t="s">
        <v>25</v>
      </c>
    </row>
    <row r="44" spans="1:14" x14ac:dyDescent="0.2">
      <c r="A44" s="671">
        <f t="shared" si="0"/>
        <v>41517</v>
      </c>
      <c r="B44" s="681" t="s">
        <v>4946</v>
      </c>
      <c r="C44" s="681"/>
      <c r="E44" s="681" t="s">
        <v>637</v>
      </c>
      <c r="F44" s="681"/>
      <c r="G44" s="681"/>
      <c r="H44" s="682"/>
      <c r="I44" s="672" t="s">
        <v>638</v>
      </c>
    </row>
    <row r="45" spans="1:14" x14ac:dyDescent="0.2">
      <c r="A45" s="671">
        <f t="shared" si="0"/>
        <v>41524</v>
      </c>
      <c r="B45" s="681" t="s">
        <v>416</v>
      </c>
      <c r="E45" s="674" t="s">
        <v>2943</v>
      </c>
      <c r="F45" s="674"/>
      <c r="G45" s="674">
        <v>102</v>
      </c>
    </row>
    <row r="46" spans="1:14" x14ac:dyDescent="0.2">
      <c r="A46" s="671">
        <f t="shared" si="0"/>
        <v>41531</v>
      </c>
      <c r="B46" s="681" t="s">
        <v>958</v>
      </c>
      <c r="C46" s="677"/>
      <c r="D46" s="677"/>
      <c r="E46" s="681" t="s">
        <v>3619</v>
      </c>
    </row>
    <row r="47" spans="1:14" x14ac:dyDescent="0.2">
      <c r="A47" s="671">
        <f t="shared" si="0"/>
        <v>41538</v>
      </c>
      <c r="E47" s="674" t="s">
        <v>1412</v>
      </c>
      <c r="F47" s="674"/>
      <c r="G47" s="674">
        <v>103</v>
      </c>
      <c r="H47" s="675">
        <v>1.9884259259259258E-2</v>
      </c>
    </row>
    <row r="48" spans="1:14" x14ac:dyDescent="0.2">
      <c r="A48" s="684">
        <f t="shared" si="0"/>
        <v>41545</v>
      </c>
      <c r="B48" s="681" t="s">
        <v>3650</v>
      </c>
      <c r="C48" s="677"/>
      <c r="D48" s="677"/>
      <c r="E48" s="685" t="s">
        <v>4610</v>
      </c>
      <c r="F48" s="686"/>
      <c r="G48" s="685">
        <v>104</v>
      </c>
      <c r="H48" s="683">
        <v>2.0601851851851854E-2</v>
      </c>
      <c r="I48" s="677"/>
      <c r="J48" s="677"/>
      <c r="K48" s="677"/>
      <c r="M48" s="687" t="s">
        <v>417</v>
      </c>
      <c r="N48" s="672" t="s">
        <v>4250</v>
      </c>
    </row>
    <row r="49" spans="1:14" x14ac:dyDescent="0.2">
      <c r="A49" s="671">
        <f t="shared" si="0"/>
        <v>41552</v>
      </c>
      <c r="E49" s="674" t="s">
        <v>1529</v>
      </c>
      <c r="F49" s="674"/>
      <c r="G49" s="674">
        <v>105</v>
      </c>
      <c r="H49" s="672" t="s">
        <v>2066</v>
      </c>
      <c r="L49" s="677"/>
      <c r="M49" s="687">
        <v>7.08</v>
      </c>
    </row>
    <row r="50" spans="1:14" x14ac:dyDescent="0.2">
      <c r="A50" s="671">
        <f t="shared" si="0"/>
        <v>41559</v>
      </c>
      <c r="B50" s="672" t="s">
        <v>2559</v>
      </c>
      <c r="E50" s="674" t="s">
        <v>3440</v>
      </c>
      <c r="F50" s="674"/>
      <c r="G50" s="674">
        <v>106</v>
      </c>
      <c r="H50" s="675">
        <v>2.0173611111111111E-2</v>
      </c>
      <c r="L50" s="681"/>
      <c r="M50" s="687">
        <v>7.19</v>
      </c>
    </row>
    <row r="51" spans="1:14" x14ac:dyDescent="0.2">
      <c r="A51" s="671">
        <f t="shared" si="0"/>
        <v>41566</v>
      </c>
      <c r="E51" s="674" t="s">
        <v>3631</v>
      </c>
      <c r="F51" s="674"/>
      <c r="G51" s="674"/>
      <c r="H51" s="674" t="s">
        <v>2323</v>
      </c>
      <c r="I51" s="674"/>
      <c r="J51" s="674"/>
      <c r="K51" s="674"/>
      <c r="L51" s="681"/>
      <c r="M51" s="688">
        <v>7.31</v>
      </c>
    </row>
    <row r="52" spans="1:14" x14ac:dyDescent="0.2">
      <c r="A52" s="671">
        <f t="shared" si="0"/>
        <v>41573</v>
      </c>
      <c r="B52" s="672" t="s">
        <v>974</v>
      </c>
      <c r="D52" s="674">
        <v>1</v>
      </c>
      <c r="E52" s="685" t="s">
        <v>390</v>
      </c>
      <c r="F52" s="674"/>
      <c r="G52" s="674"/>
      <c r="H52" s="674" t="s">
        <v>4781</v>
      </c>
      <c r="I52" s="674"/>
      <c r="L52" s="681"/>
      <c r="M52" s="688">
        <v>7.44</v>
      </c>
    </row>
    <row r="53" spans="1:14" x14ac:dyDescent="0.2">
      <c r="A53" s="671">
        <f t="shared" si="0"/>
        <v>41580</v>
      </c>
      <c r="B53" s="672" t="s">
        <v>4573</v>
      </c>
      <c r="D53" s="674">
        <v>2</v>
      </c>
      <c r="E53" s="674" t="s">
        <v>582</v>
      </c>
      <c r="F53" s="674"/>
      <c r="G53" s="674"/>
      <c r="H53" s="672" t="s">
        <v>581</v>
      </c>
      <c r="L53" s="681"/>
      <c r="M53" s="687">
        <v>6.57</v>
      </c>
    </row>
    <row r="54" spans="1:14" x14ac:dyDescent="0.2">
      <c r="A54" s="671">
        <f t="shared" si="0"/>
        <v>41587</v>
      </c>
      <c r="D54" s="674">
        <v>3</v>
      </c>
      <c r="E54" s="689" t="s">
        <v>3229</v>
      </c>
      <c r="F54" s="690"/>
      <c r="G54" s="690"/>
      <c r="H54" s="672" t="s">
        <v>5909</v>
      </c>
      <c r="L54" s="681"/>
      <c r="M54" s="687">
        <v>7.09</v>
      </c>
    </row>
    <row r="55" spans="1:14" x14ac:dyDescent="0.2">
      <c r="A55" s="671">
        <f t="shared" si="0"/>
        <v>41594</v>
      </c>
      <c r="B55" s="672" t="s">
        <v>5191</v>
      </c>
      <c r="D55" s="674">
        <v>4</v>
      </c>
      <c r="E55" s="674" t="s">
        <v>2264</v>
      </c>
      <c r="F55" s="674"/>
      <c r="G55" s="674">
        <v>110</v>
      </c>
      <c r="H55" s="675">
        <v>1.9490740740740743E-2</v>
      </c>
      <c r="I55" s="672" t="s">
        <v>363</v>
      </c>
      <c r="J55" s="672" t="s">
        <v>1063</v>
      </c>
      <c r="L55" s="681"/>
      <c r="M55" s="687">
        <v>7.21</v>
      </c>
    </row>
    <row r="56" spans="1:14" x14ac:dyDescent="0.2">
      <c r="A56" s="671">
        <f t="shared" si="0"/>
        <v>41601</v>
      </c>
      <c r="B56" s="672" t="s">
        <v>1775</v>
      </c>
      <c r="D56" s="674">
        <v>5</v>
      </c>
      <c r="E56" s="674" t="s">
        <v>4290</v>
      </c>
      <c r="F56" s="674"/>
      <c r="G56" s="674">
        <v>111</v>
      </c>
      <c r="H56" s="675">
        <v>2.028935185185185E-2</v>
      </c>
      <c r="L56" s="681"/>
      <c r="M56" s="688">
        <v>7.32</v>
      </c>
    </row>
    <row r="57" spans="1:14" x14ac:dyDescent="0.2">
      <c r="A57" s="671">
        <f t="shared" si="0"/>
        <v>41608</v>
      </c>
      <c r="B57" s="674" t="s">
        <v>5205</v>
      </c>
      <c r="C57" s="674"/>
      <c r="D57" s="674">
        <v>6</v>
      </c>
      <c r="E57" s="674" t="s">
        <v>2265</v>
      </c>
      <c r="F57" s="674"/>
      <c r="G57" s="674">
        <v>112</v>
      </c>
      <c r="H57" s="675">
        <v>2.0497685185185185E-2</v>
      </c>
      <c r="L57" s="681"/>
      <c r="M57" s="688">
        <v>7.43</v>
      </c>
    </row>
    <row r="58" spans="1:14" x14ac:dyDescent="0.2">
      <c r="A58" s="671">
        <f t="shared" si="0"/>
        <v>41615</v>
      </c>
      <c r="B58" s="681" t="s">
        <v>2402</v>
      </c>
      <c r="D58" s="674">
        <v>7</v>
      </c>
      <c r="E58" s="674" t="s">
        <v>2127</v>
      </c>
      <c r="F58" s="674"/>
      <c r="G58" s="674">
        <v>113</v>
      </c>
      <c r="H58" s="675">
        <v>1.982638888888889E-2</v>
      </c>
      <c r="I58" s="672" t="s">
        <v>2101</v>
      </c>
      <c r="L58" s="681"/>
      <c r="M58" s="688">
        <v>7.52</v>
      </c>
      <c r="N58" s="676">
        <v>0.66111111111111109</v>
      </c>
    </row>
    <row r="59" spans="1:14" x14ac:dyDescent="0.2">
      <c r="A59" s="684">
        <f t="shared" si="0"/>
        <v>41622</v>
      </c>
      <c r="B59" s="681" t="s">
        <v>3847</v>
      </c>
      <c r="C59" s="677"/>
      <c r="D59" s="685">
        <v>8</v>
      </c>
      <c r="E59" s="685" t="s">
        <v>5179</v>
      </c>
      <c r="F59" s="686"/>
      <c r="G59" s="685">
        <v>114</v>
      </c>
      <c r="H59" s="675">
        <v>2.0729166666666667E-2</v>
      </c>
      <c r="L59" s="681"/>
      <c r="M59" s="691">
        <v>7.59</v>
      </c>
      <c r="N59" s="676">
        <v>0.66041666666666665</v>
      </c>
    </row>
    <row r="60" spans="1:14" x14ac:dyDescent="0.2">
      <c r="A60" s="684">
        <f t="shared" si="0"/>
        <v>41629</v>
      </c>
      <c r="B60" s="677"/>
      <c r="C60" s="677"/>
      <c r="D60" s="677"/>
      <c r="E60" s="685" t="s">
        <v>2266</v>
      </c>
      <c r="F60" s="686"/>
      <c r="G60" s="685">
        <v>115</v>
      </c>
      <c r="H60" s="675">
        <v>2.0405092592592593E-2</v>
      </c>
      <c r="L60" s="681"/>
      <c r="M60" s="691">
        <v>8.0299999999999994</v>
      </c>
      <c r="N60" s="676">
        <v>0.66180555555555554</v>
      </c>
    </row>
    <row r="61" spans="1:14" x14ac:dyDescent="0.2">
      <c r="A61" s="684">
        <f t="shared" si="0"/>
        <v>41636</v>
      </c>
      <c r="B61" s="681" t="s">
        <v>964</v>
      </c>
      <c r="C61" s="681"/>
      <c r="D61" s="681"/>
      <c r="E61" s="674" t="s">
        <v>3876</v>
      </c>
      <c r="F61" s="674"/>
      <c r="G61" s="685">
        <v>116</v>
      </c>
      <c r="H61" s="675">
        <v>2.0416666666666666E-2</v>
      </c>
      <c r="I61" s="672" t="s">
        <v>363</v>
      </c>
      <c r="L61" s="681"/>
      <c r="M61" s="691">
        <v>8.06</v>
      </c>
      <c r="N61" s="676">
        <v>0.66527777777777775</v>
      </c>
    </row>
    <row r="62" spans="1:14" x14ac:dyDescent="0.2">
      <c r="A62" s="684">
        <f>A61+4</f>
        <v>41640</v>
      </c>
      <c r="E62" s="674" t="s">
        <v>5804</v>
      </c>
      <c r="F62" s="674"/>
      <c r="G62" s="685"/>
      <c r="H62" s="675">
        <v>2.0949074074074075E-2</v>
      </c>
      <c r="I62" s="675">
        <v>2.2430555555555554E-2</v>
      </c>
      <c r="M62" s="691">
        <v>8.06</v>
      </c>
      <c r="N62" s="676">
        <v>0.66805555555555562</v>
      </c>
    </row>
    <row r="63" spans="1:14" x14ac:dyDescent="0.2">
      <c r="A63" s="684">
        <f>A62+3</f>
        <v>41643</v>
      </c>
      <c r="E63" s="674" t="s">
        <v>5544</v>
      </c>
      <c r="F63" s="674"/>
      <c r="G63" s="685">
        <v>119</v>
      </c>
      <c r="H63" s="675">
        <v>2.071759259259259E-2</v>
      </c>
      <c r="M63" s="691">
        <v>8.0500000000000007</v>
      </c>
      <c r="N63" s="676">
        <v>0.67013888888888884</v>
      </c>
    </row>
    <row r="64" spans="1:14" x14ac:dyDescent="0.2">
      <c r="A64" s="684">
        <f t="shared" ref="A64:A128" si="3">A63+7</f>
        <v>41650</v>
      </c>
      <c r="G64" s="681"/>
      <c r="H64" s="672" t="s">
        <v>3410</v>
      </c>
      <c r="J64" s="672" t="s">
        <v>1831</v>
      </c>
      <c r="M64" s="691">
        <v>8.02</v>
      </c>
      <c r="N64" s="676">
        <v>0.67708333333333337</v>
      </c>
    </row>
    <row r="65" spans="1:20" x14ac:dyDescent="0.2">
      <c r="A65" s="684">
        <f t="shared" si="3"/>
        <v>41657</v>
      </c>
      <c r="E65" s="674" t="s">
        <v>1498</v>
      </c>
      <c r="F65" s="674"/>
      <c r="G65" s="685">
        <v>120</v>
      </c>
      <c r="H65" s="675">
        <v>2.0844907407407406E-2</v>
      </c>
      <c r="M65" s="691">
        <v>7.57</v>
      </c>
      <c r="N65" s="676">
        <v>0.68402777777777779</v>
      </c>
    </row>
    <row r="66" spans="1:20" x14ac:dyDescent="0.2">
      <c r="A66" s="671">
        <f t="shared" si="3"/>
        <v>41664</v>
      </c>
      <c r="B66" s="674" t="s">
        <v>51</v>
      </c>
      <c r="C66" s="674" t="s">
        <v>4861</v>
      </c>
      <c r="G66" s="681"/>
      <c r="I66" s="672" t="s">
        <v>2945</v>
      </c>
      <c r="M66" s="688">
        <v>7.49</v>
      </c>
      <c r="N66" s="676">
        <v>0.69236111111111109</v>
      </c>
    </row>
    <row r="67" spans="1:20" x14ac:dyDescent="0.2">
      <c r="A67" s="671">
        <f t="shared" si="3"/>
        <v>41671</v>
      </c>
      <c r="E67" s="674" t="s">
        <v>129</v>
      </c>
      <c r="F67" s="674"/>
      <c r="G67" s="685">
        <v>121</v>
      </c>
      <c r="H67" s="675">
        <v>2.1261574074074075E-2</v>
      </c>
      <c r="I67" s="672" t="s">
        <v>5452</v>
      </c>
      <c r="M67" s="688">
        <v>7.39</v>
      </c>
      <c r="N67" s="676">
        <v>0.70138888888888884</v>
      </c>
      <c r="O67" s="692" t="s">
        <v>5889</v>
      </c>
      <c r="P67" s="693"/>
    </row>
    <row r="68" spans="1:20" x14ac:dyDescent="0.2">
      <c r="A68" s="671">
        <f t="shared" si="3"/>
        <v>41678</v>
      </c>
      <c r="E68" s="674" t="s">
        <v>5997</v>
      </c>
      <c r="F68" s="674"/>
      <c r="G68" s="685">
        <v>122</v>
      </c>
      <c r="H68" s="675">
        <v>2.0266203703703703E-2</v>
      </c>
      <c r="I68" s="672" t="s">
        <v>4587</v>
      </c>
      <c r="M68" s="687">
        <v>7.27</v>
      </c>
      <c r="N68" s="676">
        <v>0.7104166666666667</v>
      </c>
      <c r="O68" s="694">
        <v>8.01</v>
      </c>
      <c r="P68" s="695">
        <v>16.579999999999998</v>
      </c>
    </row>
    <row r="69" spans="1:20" x14ac:dyDescent="0.2">
      <c r="A69" s="671">
        <f t="shared" si="3"/>
        <v>41685</v>
      </c>
      <c r="E69" s="674" t="s">
        <v>2166</v>
      </c>
      <c r="F69" s="674"/>
      <c r="G69" s="685">
        <v>123</v>
      </c>
      <c r="H69" s="675">
        <v>2.0625000000000001E-2</v>
      </c>
      <c r="J69" s="672" t="s">
        <v>2944</v>
      </c>
      <c r="M69" s="687">
        <v>7.15</v>
      </c>
      <c r="N69" s="676">
        <v>0.71875</v>
      </c>
    </row>
    <row r="70" spans="1:20" x14ac:dyDescent="0.2">
      <c r="A70" s="671">
        <f t="shared" si="3"/>
        <v>41692</v>
      </c>
      <c r="E70" s="674" t="s">
        <v>4414</v>
      </c>
      <c r="F70" s="674"/>
      <c r="G70" s="685">
        <v>124</v>
      </c>
      <c r="H70" s="675">
        <v>2.013888888888889E-2</v>
      </c>
      <c r="I70" s="672" t="s">
        <v>1212</v>
      </c>
      <c r="J70" s="672" t="s">
        <v>2944</v>
      </c>
      <c r="M70" s="687">
        <v>7.01</v>
      </c>
      <c r="N70" s="676">
        <v>0.72777777777777775</v>
      </c>
      <c r="Q70" s="80" t="s">
        <v>9215</v>
      </c>
      <c r="T70" s="672">
        <v>2014</v>
      </c>
    </row>
    <row r="71" spans="1:20" x14ac:dyDescent="0.2">
      <c r="A71" s="671">
        <f t="shared" si="3"/>
        <v>41699</v>
      </c>
      <c r="B71" s="672" t="s">
        <v>573</v>
      </c>
      <c r="E71" s="674" t="s">
        <v>5883</v>
      </c>
      <c r="F71" s="674"/>
      <c r="G71" s="685">
        <v>125</v>
      </c>
      <c r="H71" s="675">
        <v>2.0937500000000001E-2</v>
      </c>
      <c r="M71" s="687">
        <v>6.46</v>
      </c>
      <c r="N71" s="676">
        <v>0.7368055555555556</v>
      </c>
      <c r="Q71" s="674">
        <v>91</v>
      </c>
      <c r="R71" s="674" t="s">
        <v>2662</v>
      </c>
      <c r="S71" s="674" t="s">
        <v>654</v>
      </c>
      <c r="T71" s="696">
        <v>41706</v>
      </c>
    </row>
    <row r="72" spans="1:20" x14ac:dyDescent="0.2">
      <c r="A72" s="671">
        <f t="shared" si="3"/>
        <v>41706</v>
      </c>
      <c r="B72" s="674" t="s">
        <v>51</v>
      </c>
      <c r="C72" s="674" t="s">
        <v>5947</v>
      </c>
      <c r="E72" s="674" t="s">
        <v>5947</v>
      </c>
      <c r="G72" s="685">
        <v>126</v>
      </c>
      <c r="H72" s="675">
        <v>2.1689814814814815E-2</v>
      </c>
      <c r="M72" s="687">
        <v>6.28</v>
      </c>
      <c r="N72" s="676">
        <v>0.74513888888888891</v>
      </c>
      <c r="Q72" s="674">
        <v>92</v>
      </c>
      <c r="R72" s="685" t="s">
        <v>449</v>
      </c>
      <c r="S72" s="685" t="s">
        <v>665</v>
      </c>
      <c r="T72" s="697">
        <v>41713</v>
      </c>
    </row>
    <row r="73" spans="1:20" x14ac:dyDescent="0.2">
      <c r="A73" s="671">
        <f t="shared" si="3"/>
        <v>41713</v>
      </c>
      <c r="B73" s="672" t="s">
        <v>3707</v>
      </c>
      <c r="E73" s="674" t="s">
        <v>449</v>
      </c>
      <c r="G73" s="685">
        <v>127</v>
      </c>
      <c r="H73" s="675">
        <v>2.0277777777777777E-2</v>
      </c>
      <c r="I73" s="672" t="s">
        <v>4586</v>
      </c>
      <c r="M73" s="687">
        <v>6.13</v>
      </c>
      <c r="N73" s="676">
        <v>0.75347222222222221</v>
      </c>
      <c r="Q73" s="674">
        <v>93</v>
      </c>
      <c r="R73" s="685" t="s">
        <v>2072</v>
      </c>
      <c r="S73" s="685" t="s">
        <v>2073</v>
      </c>
      <c r="T73" s="697">
        <v>41720</v>
      </c>
    </row>
    <row r="74" spans="1:20" x14ac:dyDescent="0.2">
      <c r="A74" s="671">
        <f t="shared" si="3"/>
        <v>41720</v>
      </c>
      <c r="B74" s="672" t="s">
        <v>270</v>
      </c>
      <c r="E74" s="690" t="s">
        <v>271</v>
      </c>
      <c r="F74" s="698"/>
      <c r="G74" s="698"/>
      <c r="H74" s="699" t="s">
        <v>845</v>
      </c>
      <c r="J74" s="672" t="s">
        <v>1212</v>
      </c>
      <c r="M74" s="700">
        <v>0.24791666666666667</v>
      </c>
      <c r="N74" s="676">
        <v>0.76180555555555562</v>
      </c>
      <c r="Q74" s="674">
        <v>94</v>
      </c>
      <c r="R74" s="685" t="s">
        <v>2449</v>
      </c>
      <c r="S74" s="685" t="s">
        <v>665</v>
      </c>
      <c r="T74" s="697">
        <v>41727</v>
      </c>
    </row>
    <row r="75" spans="1:20" x14ac:dyDescent="0.2">
      <c r="A75" s="671">
        <f t="shared" si="3"/>
        <v>41727</v>
      </c>
      <c r="B75" s="672" t="s">
        <v>2283</v>
      </c>
      <c r="E75" s="701"/>
      <c r="F75" s="702"/>
      <c r="G75" s="703"/>
      <c r="H75" s="699" t="s">
        <v>5801</v>
      </c>
      <c r="M75" s="704">
        <v>0.23680555555555557</v>
      </c>
      <c r="N75" s="705">
        <v>0.77013888888888893</v>
      </c>
      <c r="O75" s="672" t="s">
        <v>5941</v>
      </c>
      <c r="Q75" s="674">
        <v>95</v>
      </c>
      <c r="R75" s="685" t="s">
        <v>2284</v>
      </c>
      <c r="S75" s="685" t="s">
        <v>654</v>
      </c>
      <c r="T75" s="697">
        <v>41727</v>
      </c>
    </row>
    <row r="76" spans="1:20" x14ac:dyDescent="0.2">
      <c r="A76" s="671">
        <f t="shared" si="3"/>
        <v>41734</v>
      </c>
      <c r="B76" s="706" t="s">
        <v>665</v>
      </c>
      <c r="C76" s="672" t="s">
        <v>205</v>
      </c>
      <c r="E76" s="674" t="s">
        <v>1894</v>
      </c>
      <c r="F76" s="698"/>
      <c r="G76" s="707">
        <v>128</v>
      </c>
      <c r="H76" s="703">
        <v>2.013888888888889E-2</v>
      </c>
      <c r="I76" s="672" t="s">
        <v>3008</v>
      </c>
      <c r="J76" s="672" t="s">
        <v>2009</v>
      </c>
      <c r="M76" s="700">
        <v>0.2673611111111111</v>
      </c>
      <c r="N76" s="676">
        <v>0.81944444444444453</v>
      </c>
      <c r="Q76" s="674">
        <v>96</v>
      </c>
      <c r="R76" s="674" t="s">
        <v>4901</v>
      </c>
      <c r="S76" s="674" t="s">
        <v>5882</v>
      </c>
      <c r="T76" s="696">
        <v>41741</v>
      </c>
    </row>
    <row r="77" spans="1:20" ht="14.25" customHeight="1" x14ac:dyDescent="0.2">
      <c r="A77" s="671">
        <f t="shared" si="3"/>
        <v>41741</v>
      </c>
      <c r="B77" s="708" t="s">
        <v>2261</v>
      </c>
      <c r="C77" s="672" t="s">
        <v>2260</v>
      </c>
      <c r="E77" s="674" t="s">
        <v>5959</v>
      </c>
      <c r="F77" s="698"/>
      <c r="G77" s="707">
        <v>129</v>
      </c>
      <c r="H77" s="709">
        <v>2.0891203703703703E-2</v>
      </c>
      <c r="M77" s="700">
        <v>0.25624999999999998</v>
      </c>
      <c r="N77" s="676">
        <v>0.82777777777777783</v>
      </c>
      <c r="Q77" s="674">
        <v>97</v>
      </c>
      <c r="R77" s="674" t="s">
        <v>3385</v>
      </c>
      <c r="S77" s="674" t="s">
        <v>5097</v>
      </c>
      <c r="T77" s="696">
        <v>41741</v>
      </c>
    </row>
    <row r="78" spans="1:20" ht="12.75" customHeight="1" x14ac:dyDescent="0.2">
      <c r="A78" s="671">
        <f t="shared" si="3"/>
        <v>41748</v>
      </c>
      <c r="B78" s="710" t="s">
        <v>2900</v>
      </c>
      <c r="C78" s="710" t="s">
        <v>774</v>
      </c>
      <c r="D78" s="672" t="s">
        <v>5552</v>
      </c>
      <c r="E78" s="674" t="s">
        <v>6017</v>
      </c>
      <c r="F78" s="703"/>
      <c r="G78" s="707">
        <v>130</v>
      </c>
      <c r="H78" s="709">
        <v>2.0787037037037038E-2</v>
      </c>
      <c r="M78" s="700">
        <v>0.24583333333333335</v>
      </c>
      <c r="N78" s="676">
        <v>0.83611111111111114</v>
      </c>
      <c r="Q78" s="711" t="s">
        <v>3841</v>
      </c>
      <c r="R78" s="685" t="s">
        <v>775</v>
      </c>
      <c r="S78" s="685" t="s">
        <v>5096</v>
      </c>
      <c r="T78" s="697">
        <v>41748</v>
      </c>
    </row>
    <row r="79" spans="1:20" x14ac:dyDescent="0.2">
      <c r="A79" s="671">
        <f t="shared" si="3"/>
        <v>41755</v>
      </c>
      <c r="B79" s="710"/>
      <c r="C79" s="710"/>
      <c r="E79" s="674" t="s">
        <v>248</v>
      </c>
      <c r="F79" s="698"/>
      <c r="G79" s="707">
        <v>131</v>
      </c>
      <c r="H79" s="712">
        <v>1.9884259259259258E-2</v>
      </c>
      <c r="I79" s="672" t="s">
        <v>1860</v>
      </c>
      <c r="M79" s="700">
        <v>0.23611111111111113</v>
      </c>
      <c r="N79" s="676">
        <v>0.84375</v>
      </c>
      <c r="Q79" s="711" t="s">
        <v>3841</v>
      </c>
      <c r="R79" s="674" t="s">
        <v>5552</v>
      </c>
      <c r="S79" s="674" t="s">
        <v>665</v>
      </c>
      <c r="T79" s="697">
        <v>41748</v>
      </c>
    </row>
    <row r="80" spans="1:20" x14ac:dyDescent="0.2">
      <c r="A80" s="671">
        <f t="shared" si="3"/>
        <v>41762</v>
      </c>
      <c r="B80" s="713" t="s">
        <v>432</v>
      </c>
      <c r="C80" s="713" t="s">
        <v>3346</v>
      </c>
      <c r="E80" s="674" t="s">
        <v>2431</v>
      </c>
      <c r="F80" s="698"/>
      <c r="G80" s="707">
        <v>132</v>
      </c>
      <c r="H80" s="709">
        <v>2.1296296296296299E-2</v>
      </c>
      <c r="K80" s="672" t="s">
        <v>5568</v>
      </c>
      <c r="M80" s="687"/>
      <c r="Q80" s="711" t="s">
        <v>3841</v>
      </c>
      <c r="R80" s="674" t="s">
        <v>6017</v>
      </c>
      <c r="S80" s="674" t="s">
        <v>4778</v>
      </c>
      <c r="T80" s="697">
        <v>41748</v>
      </c>
    </row>
    <row r="81" spans="1:20" x14ac:dyDescent="0.2">
      <c r="A81" s="671">
        <f t="shared" si="3"/>
        <v>41769</v>
      </c>
      <c r="B81" s="710" t="s">
        <v>665</v>
      </c>
      <c r="C81" s="710" t="s">
        <v>558</v>
      </c>
      <c r="E81" s="674" t="s">
        <v>2111</v>
      </c>
      <c r="F81" s="698"/>
      <c r="G81" s="707">
        <v>133</v>
      </c>
      <c r="H81" s="709">
        <v>2.1030092592592597E-2</v>
      </c>
      <c r="M81" s="687"/>
      <c r="Q81" s="674">
        <v>101</v>
      </c>
      <c r="R81" s="674" t="s">
        <v>2431</v>
      </c>
      <c r="S81" s="674" t="s">
        <v>4778</v>
      </c>
      <c r="T81" s="697">
        <v>41762</v>
      </c>
    </row>
    <row r="82" spans="1:20" ht="12.75" customHeight="1" x14ac:dyDescent="0.2">
      <c r="A82" s="671">
        <f t="shared" si="3"/>
        <v>41776</v>
      </c>
      <c r="B82" s="710" t="s">
        <v>3711</v>
      </c>
      <c r="C82" s="710" t="s">
        <v>3715</v>
      </c>
      <c r="E82" s="674" t="s">
        <v>1780</v>
      </c>
      <c r="F82" s="698"/>
      <c r="G82" s="707">
        <v>134</v>
      </c>
      <c r="H82" s="709">
        <v>2.0381944444444446E-2</v>
      </c>
      <c r="I82" s="672" t="s">
        <v>4023</v>
      </c>
      <c r="M82" s="687"/>
      <c r="Q82" s="674">
        <f>Q81+1</f>
        <v>102</v>
      </c>
      <c r="R82" s="674" t="s">
        <v>4981</v>
      </c>
      <c r="S82" s="674" t="s">
        <v>665</v>
      </c>
      <c r="T82" s="697">
        <v>41769</v>
      </c>
    </row>
    <row r="83" spans="1:20" x14ac:dyDescent="0.2">
      <c r="A83" s="671">
        <f t="shared" si="3"/>
        <v>41783</v>
      </c>
      <c r="B83" s="710" t="s">
        <v>665</v>
      </c>
      <c r="C83" s="714" t="s">
        <v>5889</v>
      </c>
      <c r="E83" s="674" t="s">
        <v>1519</v>
      </c>
      <c r="F83" s="698"/>
      <c r="G83" s="707">
        <v>135</v>
      </c>
      <c r="H83" s="709">
        <v>1.9942129629629629E-2</v>
      </c>
      <c r="I83" s="672" t="s">
        <v>3264</v>
      </c>
      <c r="M83" s="687"/>
      <c r="Q83" s="674">
        <f t="shared" ref="Q83:Q146" si="4">Q82+1</f>
        <v>103</v>
      </c>
      <c r="R83" s="674" t="s">
        <v>4839</v>
      </c>
      <c r="S83" s="674" t="s">
        <v>665</v>
      </c>
      <c r="T83" s="697">
        <v>41769</v>
      </c>
    </row>
    <row r="84" spans="1:20" x14ac:dyDescent="0.2">
      <c r="A84" s="671">
        <f t="shared" si="3"/>
        <v>41790</v>
      </c>
      <c r="B84" s="715" t="s">
        <v>1074</v>
      </c>
      <c r="C84" s="716" t="s">
        <v>4816</v>
      </c>
      <c r="D84" s="682" t="s">
        <v>1075</v>
      </c>
      <c r="E84" s="717"/>
      <c r="F84" s="718"/>
      <c r="G84" s="719"/>
      <c r="H84" s="699"/>
      <c r="I84" s="699" t="s">
        <v>5305</v>
      </c>
      <c r="M84" s="687"/>
      <c r="Q84" s="674">
        <f t="shared" si="4"/>
        <v>104</v>
      </c>
      <c r="R84" s="674" t="s">
        <v>1780</v>
      </c>
      <c r="S84" s="674" t="s">
        <v>4778</v>
      </c>
      <c r="T84" s="697">
        <v>41776</v>
      </c>
    </row>
    <row r="85" spans="1:20" x14ac:dyDescent="0.2">
      <c r="A85" s="671">
        <f t="shared" si="3"/>
        <v>41797</v>
      </c>
      <c r="B85" s="710" t="s">
        <v>5812</v>
      </c>
      <c r="C85" s="672" t="s">
        <v>5753</v>
      </c>
      <c r="E85" s="674" t="s">
        <v>6003</v>
      </c>
      <c r="G85" s="707">
        <v>136</v>
      </c>
      <c r="H85" s="675">
        <v>2.074074074074074E-2</v>
      </c>
      <c r="I85" s="672" t="s">
        <v>4097</v>
      </c>
      <c r="L85" s="672" t="s">
        <v>4024</v>
      </c>
      <c r="M85" s="687"/>
      <c r="Q85" s="674">
        <f t="shared" si="4"/>
        <v>105</v>
      </c>
      <c r="R85" s="674" t="s">
        <v>373</v>
      </c>
      <c r="S85" s="674" t="s">
        <v>3840</v>
      </c>
      <c r="T85" s="696">
        <v>41790</v>
      </c>
    </row>
    <row r="86" spans="1:20" x14ac:dyDescent="0.2">
      <c r="A86" s="671">
        <f t="shared" si="3"/>
        <v>41804</v>
      </c>
      <c r="E86" s="674" t="s">
        <v>6022</v>
      </c>
      <c r="F86" s="674"/>
      <c r="G86" s="707">
        <v>137</v>
      </c>
      <c r="H86" s="709">
        <v>2.0879629629629626E-2</v>
      </c>
      <c r="I86" s="672" t="s">
        <v>5594</v>
      </c>
      <c r="M86" s="720" t="s">
        <v>3085</v>
      </c>
      <c r="N86" s="687"/>
      <c r="O86" s="672" t="s">
        <v>3781</v>
      </c>
      <c r="Q86" s="674">
        <f t="shared" si="4"/>
        <v>106</v>
      </c>
      <c r="R86" s="674" t="s">
        <v>1075</v>
      </c>
      <c r="S86" s="674" t="s">
        <v>4584</v>
      </c>
      <c r="T86" s="696">
        <v>41790</v>
      </c>
    </row>
    <row r="87" spans="1:20" x14ac:dyDescent="0.2">
      <c r="A87" s="671">
        <f t="shared" si="3"/>
        <v>41811</v>
      </c>
      <c r="B87" s="710" t="s">
        <v>4713</v>
      </c>
      <c r="C87" s="672" t="s">
        <v>468</v>
      </c>
      <c r="E87" s="674" t="s">
        <v>1370</v>
      </c>
      <c r="F87" s="674"/>
      <c r="G87" s="707">
        <v>138</v>
      </c>
      <c r="H87" s="675">
        <v>2.0532407407407405E-2</v>
      </c>
      <c r="I87" s="672" t="s">
        <v>4505</v>
      </c>
      <c r="J87" s="672" t="s">
        <v>242</v>
      </c>
      <c r="M87" s="720"/>
      <c r="Q87" s="674">
        <f t="shared" si="4"/>
        <v>107</v>
      </c>
      <c r="R87" s="674" t="s">
        <v>5752</v>
      </c>
      <c r="S87" s="674" t="s">
        <v>4637</v>
      </c>
      <c r="T87" s="696">
        <v>41790</v>
      </c>
    </row>
    <row r="88" spans="1:20" x14ac:dyDescent="0.2">
      <c r="A88" s="671">
        <f t="shared" si="3"/>
        <v>41818</v>
      </c>
      <c r="E88" s="701"/>
      <c r="F88" s="701"/>
      <c r="G88" s="719"/>
      <c r="M88" s="720"/>
      <c r="Q88" s="674">
        <f t="shared" si="4"/>
        <v>108</v>
      </c>
      <c r="R88" s="674" t="s">
        <v>6003</v>
      </c>
      <c r="S88" s="674" t="s">
        <v>4778</v>
      </c>
      <c r="T88" s="696">
        <v>41790</v>
      </c>
    </row>
    <row r="89" spans="1:20" x14ac:dyDescent="0.2">
      <c r="A89" s="671">
        <f t="shared" si="3"/>
        <v>41825</v>
      </c>
      <c r="E89" s="701"/>
      <c r="F89" s="701"/>
      <c r="G89" s="719"/>
      <c r="M89" s="720"/>
      <c r="Q89" s="674">
        <f t="shared" si="4"/>
        <v>109</v>
      </c>
      <c r="R89" s="674" t="s">
        <v>468</v>
      </c>
      <c r="S89" s="674" t="s">
        <v>1270</v>
      </c>
      <c r="T89" s="696">
        <v>41811</v>
      </c>
    </row>
    <row r="90" spans="1:20" x14ac:dyDescent="0.2">
      <c r="A90" s="671">
        <f t="shared" si="3"/>
        <v>41832</v>
      </c>
      <c r="B90" s="672" t="s">
        <v>3570</v>
      </c>
      <c r="C90" s="672" t="s">
        <v>2840</v>
      </c>
      <c r="E90" s="674" t="s">
        <v>4268</v>
      </c>
      <c r="F90" s="674"/>
      <c r="G90" s="707">
        <v>139</v>
      </c>
      <c r="H90" s="675">
        <v>2.1203703703703707E-2</v>
      </c>
      <c r="I90" s="672" t="s">
        <v>3813</v>
      </c>
      <c r="M90" s="720"/>
      <c r="Q90" s="674">
        <f t="shared" si="4"/>
        <v>110</v>
      </c>
      <c r="R90" s="674" t="s">
        <v>1401</v>
      </c>
      <c r="S90" s="674" t="s">
        <v>1105</v>
      </c>
      <c r="T90" s="696">
        <v>41811</v>
      </c>
    </row>
    <row r="91" spans="1:20" x14ac:dyDescent="0.2">
      <c r="A91" s="671">
        <f t="shared" si="3"/>
        <v>41839</v>
      </c>
      <c r="B91" s="672" t="s">
        <v>3707</v>
      </c>
      <c r="C91" s="672" t="s">
        <v>4286</v>
      </c>
      <c r="E91" s="674" t="s">
        <v>4544</v>
      </c>
      <c r="F91" s="674"/>
      <c r="G91" s="707">
        <v>140</v>
      </c>
      <c r="H91" s="675">
        <v>2.2094907407407407E-2</v>
      </c>
      <c r="I91" s="672" t="s">
        <v>4647</v>
      </c>
      <c r="J91" s="672" t="s">
        <v>4631</v>
      </c>
      <c r="M91" s="720" t="s">
        <v>1212</v>
      </c>
      <c r="O91" s="672" t="s">
        <v>1212</v>
      </c>
      <c r="Q91" s="674">
        <f t="shared" si="4"/>
        <v>111</v>
      </c>
      <c r="R91" s="674" t="s">
        <v>3338</v>
      </c>
      <c r="S91" s="674" t="s">
        <v>5096</v>
      </c>
      <c r="T91" s="696">
        <v>41818</v>
      </c>
    </row>
    <row r="92" spans="1:20" x14ac:dyDescent="0.2">
      <c r="A92" s="671">
        <f t="shared" si="3"/>
        <v>41846</v>
      </c>
      <c r="B92" s="672" t="s">
        <v>4484</v>
      </c>
      <c r="E92" s="674" t="s">
        <v>3598</v>
      </c>
      <c r="F92" s="674"/>
      <c r="G92" s="707"/>
      <c r="M92" s="720"/>
      <c r="Q92" s="674">
        <f t="shared" si="4"/>
        <v>112</v>
      </c>
      <c r="R92" s="674" t="s">
        <v>918</v>
      </c>
      <c r="S92" s="674" t="s">
        <v>665</v>
      </c>
      <c r="T92" s="696">
        <v>41818</v>
      </c>
    </row>
    <row r="93" spans="1:20" x14ac:dyDescent="0.2">
      <c r="A93" s="671">
        <f t="shared" si="3"/>
        <v>41853</v>
      </c>
      <c r="B93" s="672" t="s">
        <v>4139</v>
      </c>
      <c r="E93" s="674" t="s">
        <v>6018</v>
      </c>
      <c r="F93" s="674"/>
      <c r="G93" s="707">
        <v>141</v>
      </c>
      <c r="H93" s="675">
        <v>2.1493055555555557E-2</v>
      </c>
      <c r="I93" s="672" t="s">
        <v>1669</v>
      </c>
      <c r="J93" s="672" t="s">
        <v>2864</v>
      </c>
      <c r="M93" s="720"/>
      <c r="Q93" s="674">
        <f t="shared" si="4"/>
        <v>113</v>
      </c>
      <c r="R93" s="674" t="s">
        <v>2521</v>
      </c>
      <c r="S93" s="674" t="s">
        <v>654</v>
      </c>
      <c r="T93" s="696">
        <v>41825</v>
      </c>
    </row>
    <row r="94" spans="1:20" x14ac:dyDescent="0.2">
      <c r="A94" s="671">
        <f t="shared" si="3"/>
        <v>41860</v>
      </c>
      <c r="B94" s="672" t="s">
        <v>3306</v>
      </c>
      <c r="E94" s="674" t="s">
        <v>3305</v>
      </c>
      <c r="F94" s="674"/>
      <c r="G94" s="707">
        <v>142</v>
      </c>
      <c r="H94" s="675">
        <v>2.1180555555555553E-2</v>
      </c>
      <c r="I94" s="672" t="s">
        <v>5952</v>
      </c>
      <c r="M94" s="720"/>
      <c r="N94" s="687"/>
      <c r="Q94" s="674">
        <f t="shared" si="4"/>
        <v>114</v>
      </c>
      <c r="R94" s="674" t="s">
        <v>494</v>
      </c>
      <c r="S94" s="674" t="s">
        <v>665</v>
      </c>
      <c r="T94" s="696">
        <v>41825</v>
      </c>
    </row>
    <row r="95" spans="1:20" x14ac:dyDescent="0.2">
      <c r="A95" s="671">
        <f t="shared" si="3"/>
        <v>41867</v>
      </c>
      <c r="B95" s="672" t="s">
        <v>4408</v>
      </c>
      <c r="E95" s="674" t="s">
        <v>5198</v>
      </c>
      <c r="F95" s="674"/>
      <c r="G95" s="707">
        <v>143</v>
      </c>
      <c r="H95" s="675">
        <v>2.1087962962962961E-2</v>
      </c>
      <c r="I95" s="672" t="s">
        <v>4630</v>
      </c>
      <c r="M95" s="720"/>
      <c r="Q95" s="674">
        <f t="shared" si="4"/>
        <v>115</v>
      </c>
      <c r="R95" s="674" t="s">
        <v>2840</v>
      </c>
      <c r="S95" s="674" t="s">
        <v>5881</v>
      </c>
      <c r="T95" s="696">
        <v>41832</v>
      </c>
    </row>
    <row r="96" spans="1:20" x14ac:dyDescent="0.2">
      <c r="A96" s="671">
        <f t="shared" si="3"/>
        <v>41874</v>
      </c>
      <c r="B96" s="672" t="s">
        <v>5906</v>
      </c>
      <c r="E96" s="674" t="s">
        <v>1783</v>
      </c>
      <c r="F96" s="674"/>
      <c r="G96" s="707">
        <v>144</v>
      </c>
      <c r="H96" s="675">
        <v>2.0601851851851854E-2</v>
      </c>
      <c r="M96" s="720" t="s">
        <v>3321</v>
      </c>
      <c r="Q96" s="674">
        <f t="shared" si="4"/>
        <v>116</v>
      </c>
      <c r="R96" s="674" t="s">
        <v>707</v>
      </c>
      <c r="S96" s="674" t="s">
        <v>5096</v>
      </c>
      <c r="T96" s="696">
        <v>41832</v>
      </c>
    </row>
    <row r="97" spans="1:20" x14ac:dyDescent="0.2">
      <c r="A97" s="671">
        <f t="shared" si="3"/>
        <v>41881</v>
      </c>
      <c r="B97" s="672" t="s">
        <v>4397</v>
      </c>
      <c r="E97" s="674" t="s">
        <v>4397</v>
      </c>
      <c r="F97" s="674"/>
      <c r="G97" s="707">
        <v>145</v>
      </c>
      <c r="H97" s="675">
        <v>2.1527777777777781E-2</v>
      </c>
      <c r="I97" s="672" t="s">
        <v>1356</v>
      </c>
      <c r="M97" s="720"/>
      <c r="Q97" s="674">
        <f t="shared" si="4"/>
        <v>117</v>
      </c>
      <c r="R97" s="674" t="s">
        <v>4544</v>
      </c>
      <c r="S97" s="674" t="s">
        <v>4778</v>
      </c>
      <c r="T97" s="696">
        <v>41839</v>
      </c>
    </row>
    <row r="98" spans="1:20" x14ac:dyDescent="0.2">
      <c r="A98" s="671">
        <f t="shared" si="3"/>
        <v>41888</v>
      </c>
      <c r="B98" s="672" t="s">
        <v>5251</v>
      </c>
      <c r="E98" s="674" t="s">
        <v>2718</v>
      </c>
      <c r="F98" s="674"/>
      <c r="G98" s="707">
        <v>146</v>
      </c>
      <c r="H98" s="675">
        <v>2.0625000000000001E-2</v>
      </c>
      <c r="I98" s="674" t="s">
        <v>222</v>
      </c>
      <c r="J98" s="672" t="s">
        <v>5912</v>
      </c>
      <c r="M98" s="720"/>
      <c r="Q98" s="674">
        <f t="shared" si="4"/>
        <v>118</v>
      </c>
      <c r="R98" s="674" t="s">
        <v>4491</v>
      </c>
      <c r="S98" s="674" t="s">
        <v>665</v>
      </c>
      <c r="T98" s="696">
        <v>41836</v>
      </c>
    </row>
    <row r="99" spans="1:20" x14ac:dyDescent="0.2">
      <c r="A99" s="671">
        <f t="shared" si="3"/>
        <v>41895</v>
      </c>
      <c r="B99" s="672" t="s">
        <v>4409</v>
      </c>
      <c r="E99" s="674" t="s">
        <v>3139</v>
      </c>
      <c r="F99" s="674"/>
      <c r="G99" s="707">
        <v>147</v>
      </c>
      <c r="H99" s="675">
        <v>2.1493055555555557E-2</v>
      </c>
      <c r="I99" s="672" t="s">
        <v>5737</v>
      </c>
      <c r="M99" s="720"/>
      <c r="Q99" s="674">
        <f t="shared" si="4"/>
        <v>119</v>
      </c>
      <c r="R99" s="674" t="s">
        <v>1829</v>
      </c>
      <c r="S99" s="674" t="s">
        <v>748</v>
      </c>
      <c r="T99" s="696">
        <v>41853</v>
      </c>
    </row>
    <row r="100" spans="1:20" x14ac:dyDescent="0.2">
      <c r="A100" s="671">
        <f t="shared" si="3"/>
        <v>41902</v>
      </c>
      <c r="B100" s="672" t="s">
        <v>5028</v>
      </c>
      <c r="E100" s="674" t="s">
        <v>56</v>
      </c>
      <c r="F100" s="674"/>
      <c r="G100" s="707">
        <v>148</v>
      </c>
      <c r="H100" s="675">
        <v>2.0428240740740743E-2</v>
      </c>
      <c r="I100" s="672" t="s">
        <v>1212</v>
      </c>
      <c r="J100" s="672" t="s">
        <v>4889</v>
      </c>
      <c r="K100" s="672" t="s">
        <v>1212</v>
      </c>
      <c r="M100" s="720" t="s">
        <v>1212</v>
      </c>
      <c r="Q100" s="674">
        <f t="shared" si="4"/>
        <v>120</v>
      </c>
      <c r="R100" s="674" t="s">
        <v>3307</v>
      </c>
      <c r="S100" s="674" t="s">
        <v>665</v>
      </c>
      <c r="T100" s="696">
        <v>41860</v>
      </c>
    </row>
    <row r="101" spans="1:20" x14ac:dyDescent="0.2">
      <c r="A101" s="671">
        <f t="shared" si="3"/>
        <v>41909</v>
      </c>
      <c r="B101" s="672" t="s">
        <v>3236</v>
      </c>
      <c r="E101" s="674" t="s">
        <v>6019</v>
      </c>
      <c r="F101" s="674"/>
      <c r="G101" s="707">
        <v>149</v>
      </c>
      <c r="H101" s="709">
        <v>2.0497685185185185E-2</v>
      </c>
      <c r="I101" s="672" t="s">
        <v>5985</v>
      </c>
      <c r="Q101" s="674">
        <f t="shared" si="4"/>
        <v>121</v>
      </c>
      <c r="R101" s="674" t="s">
        <v>5198</v>
      </c>
      <c r="S101" s="674" t="s">
        <v>3189</v>
      </c>
    </row>
    <row r="102" spans="1:20" x14ac:dyDescent="0.2">
      <c r="A102" s="671">
        <f t="shared" si="3"/>
        <v>41916</v>
      </c>
      <c r="B102" s="672" t="s">
        <v>3863</v>
      </c>
      <c r="E102" s="674" t="s">
        <v>4862</v>
      </c>
      <c r="F102" s="674"/>
      <c r="G102" s="707">
        <v>150</v>
      </c>
      <c r="H102" s="709">
        <v>2.0972222222222222E-2</v>
      </c>
      <c r="I102" s="672" t="s">
        <v>2162</v>
      </c>
      <c r="M102" s="687">
        <v>7.08</v>
      </c>
      <c r="Q102" s="674">
        <f t="shared" si="4"/>
        <v>122</v>
      </c>
      <c r="R102" s="674" t="s">
        <v>806</v>
      </c>
      <c r="S102" s="674" t="s">
        <v>2131</v>
      </c>
    </row>
    <row r="103" spans="1:20" x14ac:dyDescent="0.2">
      <c r="A103" s="671">
        <f t="shared" si="3"/>
        <v>41923</v>
      </c>
      <c r="B103" s="672" t="s">
        <v>557</v>
      </c>
      <c r="E103" s="674" t="s">
        <v>695</v>
      </c>
      <c r="F103" s="674"/>
      <c r="G103" s="707">
        <v>151</v>
      </c>
      <c r="H103" s="675">
        <v>2.0694444444444446E-2</v>
      </c>
      <c r="I103" s="672" t="s">
        <v>3798</v>
      </c>
      <c r="M103" s="687">
        <v>7.19</v>
      </c>
      <c r="Q103" s="674">
        <f t="shared" si="4"/>
        <v>123</v>
      </c>
      <c r="R103" s="674" t="s">
        <v>1783</v>
      </c>
      <c r="S103" s="674" t="s">
        <v>4778</v>
      </c>
    </row>
    <row r="104" spans="1:20" x14ac:dyDescent="0.2">
      <c r="A104" s="671">
        <f t="shared" si="3"/>
        <v>41930</v>
      </c>
      <c r="B104" s="672" t="s">
        <v>1167</v>
      </c>
      <c r="E104" s="674" t="s">
        <v>1168</v>
      </c>
      <c r="F104" s="674"/>
      <c r="G104" s="707">
        <v>152</v>
      </c>
      <c r="H104" s="675">
        <v>2.0625000000000001E-2</v>
      </c>
      <c r="I104" s="672" t="s">
        <v>2720</v>
      </c>
      <c r="M104" s="687">
        <v>7.31</v>
      </c>
      <c r="Q104" s="674">
        <f t="shared" si="4"/>
        <v>124</v>
      </c>
      <c r="R104" s="674" t="s">
        <v>3359</v>
      </c>
      <c r="S104" s="674" t="s">
        <v>1264</v>
      </c>
    </row>
    <row r="105" spans="1:20" x14ac:dyDescent="0.2">
      <c r="A105" s="671">
        <f t="shared" si="3"/>
        <v>41937</v>
      </c>
      <c r="B105" s="672" t="s">
        <v>3005</v>
      </c>
      <c r="E105" s="674" t="s">
        <v>696</v>
      </c>
      <c r="F105" s="674"/>
      <c r="G105" s="707">
        <v>153</v>
      </c>
      <c r="H105" s="709">
        <v>2.0555555555555556E-2</v>
      </c>
      <c r="I105" s="672" t="s">
        <v>2520</v>
      </c>
      <c r="M105" s="687">
        <v>7.44</v>
      </c>
      <c r="N105" s="672" t="s">
        <v>4526</v>
      </c>
      <c r="Q105" s="674">
        <f t="shared" si="4"/>
        <v>125</v>
      </c>
      <c r="R105" s="674" t="s">
        <v>4397</v>
      </c>
      <c r="S105" s="674" t="s">
        <v>3360</v>
      </c>
    </row>
    <row r="106" spans="1:20" x14ac:dyDescent="0.2">
      <c r="A106" s="671">
        <f t="shared" si="3"/>
        <v>41944</v>
      </c>
      <c r="B106" s="672" t="s">
        <v>4401</v>
      </c>
      <c r="E106" s="674" t="s">
        <v>1925</v>
      </c>
      <c r="F106" s="674"/>
      <c r="G106" s="707">
        <v>154</v>
      </c>
      <c r="H106" s="675">
        <v>2.0324074074074074E-2</v>
      </c>
      <c r="I106" s="672" t="s">
        <v>2531</v>
      </c>
      <c r="M106" s="687">
        <v>6.57</v>
      </c>
      <c r="N106" s="672" t="s">
        <v>5307</v>
      </c>
      <c r="Q106" s="674">
        <f t="shared" si="4"/>
        <v>126</v>
      </c>
      <c r="R106" s="674" t="s">
        <v>4497</v>
      </c>
      <c r="S106" s="674" t="s">
        <v>665</v>
      </c>
    </row>
    <row r="107" spans="1:20" x14ac:dyDescent="0.2">
      <c r="A107" s="671">
        <f t="shared" si="3"/>
        <v>41951</v>
      </c>
      <c r="B107" s="672" t="s">
        <v>977</v>
      </c>
      <c r="E107" s="674" t="s">
        <v>349</v>
      </c>
      <c r="F107" s="674"/>
      <c r="G107" s="707">
        <v>155</v>
      </c>
      <c r="H107" s="675">
        <v>2.0798611111111111E-2</v>
      </c>
      <c r="J107" s="672" t="s">
        <v>2791</v>
      </c>
      <c r="M107" s="687">
        <v>7.09</v>
      </c>
      <c r="N107" s="672" t="s">
        <v>3364</v>
      </c>
      <c r="Q107" s="674">
        <f t="shared" si="4"/>
        <v>127</v>
      </c>
      <c r="R107" s="674" t="s">
        <v>3131</v>
      </c>
      <c r="S107" s="674" t="s">
        <v>665</v>
      </c>
    </row>
    <row r="108" spans="1:20" x14ac:dyDescent="0.2">
      <c r="A108" s="671">
        <f t="shared" si="3"/>
        <v>41958</v>
      </c>
      <c r="E108" s="674" t="s">
        <v>2496</v>
      </c>
      <c r="F108" s="674"/>
      <c r="G108" s="707">
        <v>156</v>
      </c>
      <c r="H108" s="709">
        <v>2.0856481481481479E-2</v>
      </c>
      <c r="I108" s="672" t="s">
        <v>5138</v>
      </c>
      <c r="M108" s="687">
        <v>7.21</v>
      </c>
      <c r="Q108" s="674">
        <f t="shared" si="4"/>
        <v>128</v>
      </c>
      <c r="R108" s="674" t="s">
        <v>2636</v>
      </c>
      <c r="S108" s="674" t="s">
        <v>748</v>
      </c>
    </row>
    <row r="109" spans="1:20" x14ac:dyDescent="0.2">
      <c r="A109" s="671">
        <f t="shared" si="3"/>
        <v>41965</v>
      </c>
      <c r="B109" s="672" t="s">
        <v>1409</v>
      </c>
      <c r="E109" s="674" t="s">
        <v>628</v>
      </c>
      <c r="F109" s="674"/>
      <c r="G109" s="707">
        <v>157</v>
      </c>
      <c r="H109" s="675">
        <v>2.074074074074074E-2</v>
      </c>
      <c r="M109" s="687">
        <v>7.32</v>
      </c>
      <c r="Q109" s="674">
        <f t="shared" si="4"/>
        <v>129</v>
      </c>
      <c r="R109" s="674" t="s">
        <v>803</v>
      </c>
      <c r="S109" s="674" t="s">
        <v>4897</v>
      </c>
    </row>
    <row r="110" spans="1:20" x14ac:dyDescent="0.2">
      <c r="A110" s="671">
        <f t="shared" si="3"/>
        <v>41972</v>
      </c>
      <c r="B110" s="672" t="s">
        <v>556</v>
      </c>
      <c r="E110" s="674" t="s">
        <v>1926</v>
      </c>
      <c r="F110" s="674"/>
      <c r="G110" s="707">
        <v>158</v>
      </c>
      <c r="H110" s="675">
        <v>2.0671296296296295E-2</v>
      </c>
      <c r="I110" s="672" t="s">
        <v>2659</v>
      </c>
      <c r="M110" s="687">
        <v>7.43</v>
      </c>
      <c r="Q110" s="674">
        <f t="shared" si="4"/>
        <v>130</v>
      </c>
      <c r="R110" s="674" t="s">
        <v>840</v>
      </c>
      <c r="S110" s="674" t="s">
        <v>665</v>
      </c>
    </row>
    <row r="111" spans="1:20" x14ac:dyDescent="0.2">
      <c r="A111" s="671">
        <f t="shared" si="3"/>
        <v>41979</v>
      </c>
      <c r="B111" s="672" t="s">
        <v>2125</v>
      </c>
      <c r="E111" s="674" t="s">
        <v>3665</v>
      </c>
      <c r="F111" s="674"/>
      <c r="G111" s="707">
        <v>159</v>
      </c>
      <c r="H111" s="675">
        <v>2.1030092592592597E-2</v>
      </c>
      <c r="I111" s="672" t="s">
        <v>3206</v>
      </c>
      <c r="J111" s="711" t="s">
        <v>224</v>
      </c>
      <c r="M111" s="687">
        <v>7.52</v>
      </c>
      <c r="Q111" s="674">
        <f t="shared" si="4"/>
        <v>131</v>
      </c>
      <c r="R111" s="674" t="s">
        <v>4460</v>
      </c>
      <c r="S111" s="674" t="s">
        <v>2725</v>
      </c>
      <c r="T111" s="721">
        <v>41916</v>
      </c>
    </row>
    <row r="112" spans="1:20" x14ac:dyDescent="0.2">
      <c r="A112" s="671">
        <f t="shared" si="3"/>
        <v>41986</v>
      </c>
      <c r="B112" s="672" t="s">
        <v>1636</v>
      </c>
      <c r="E112" s="674" t="s">
        <v>4890</v>
      </c>
      <c r="F112" s="674"/>
      <c r="G112" s="707">
        <v>160</v>
      </c>
      <c r="H112" s="675">
        <v>2.0960648148148148E-2</v>
      </c>
      <c r="I112" s="672" t="s">
        <v>851</v>
      </c>
      <c r="M112" s="691">
        <v>7.59</v>
      </c>
      <c r="Q112" s="674">
        <f t="shared" si="4"/>
        <v>132</v>
      </c>
      <c r="R112" s="674" t="s">
        <v>1950</v>
      </c>
      <c r="S112" s="674" t="s">
        <v>3444</v>
      </c>
      <c r="T112" s="721">
        <v>41916</v>
      </c>
    </row>
    <row r="113" spans="1:19" x14ac:dyDescent="0.2">
      <c r="A113" s="671">
        <f t="shared" si="3"/>
        <v>41993</v>
      </c>
      <c r="E113" s="674" t="s">
        <v>2818</v>
      </c>
      <c r="F113" s="674"/>
      <c r="G113" s="707">
        <v>161</v>
      </c>
      <c r="H113" s="675">
        <v>2.1284722222222222E-2</v>
      </c>
      <c r="M113" s="691">
        <v>8.02</v>
      </c>
      <c r="Q113" s="674">
        <f t="shared" si="4"/>
        <v>133</v>
      </c>
      <c r="R113" s="674" t="s">
        <v>2719</v>
      </c>
      <c r="S113" s="674" t="s">
        <v>665</v>
      </c>
    </row>
    <row r="114" spans="1:19" x14ac:dyDescent="0.2">
      <c r="A114" s="671">
        <v>41998</v>
      </c>
      <c r="B114" s="672" t="s">
        <v>1946</v>
      </c>
      <c r="E114" s="722"/>
      <c r="F114" s="722"/>
      <c r="G114" s="719"/>
      <c r="M114" s="691">
        <v>8.0500000000000007</v>
      </c>
      <c r="Q114" s="674">
        <f t="shared" si="4"/>
        <v>134</v>
      </c>
      <c r="R114" s="674" t="s">
        <v>841</v>
      </c>
      <c r="S114" s="674" t="s">
        <v>665</v>
      </c>
    </row>
    <row r="115" spans="1:19" x14ac:dyDescent="0.2">
      <c r="A115" s="723">
        <f>A113+7</f>
        <v>42000</v>
      </c>
      <c r="B115" s="724" t="s">
        <v>5299</v>
      </c>
      <c r="C115" s="724"/>
      <c r="D115" s="724"/>
      <c r="E115" s="725" t="s">
        <v>4004</v>
      </c>
      <c r="F115" s="725"/>
      <c r="G115" s="726">
        <v>162</v>
      </c>
      <c r="H115" s="727">
        <v>2.0497685185185185E-2</v>
      </c>
      <c r="I115" s="724" t="s">
        <v>5006</v>
      </c>
      <c r="J115" s="724"/>
      <c r="K115" s="724"/>
      <c r="L115" s="724"/>
      <c r="M115" s="728">
        <v>8.06</v>
      </c>
      <c r="N115" s="724"/>
      <c r="O115" s="724"/>
      <c r="Q115" s="674">
        <f t="shared" si="4"/>
        <v>135</v>
      </c>
      <c r="R115" s="674" t="s">
        <v>3912</v>
      </c>
      <c r="S115" s="674" t="s">
        <v>665</v>
      </c>
    </row>
    <row r="116" spans="1:19" x14ac:dyDescent="0.2">
      <c r="A116" s="671">
        <f>A115+5</f>
        <v>42005</v>
      </c>
      <c r="B116" s="672" t="s">
        <v>3328</v>
      </c>
      <c r="G116" s="719"/>
      <c r="M116" s="691">
        <v>8.06</v>
      </c>
      <c r="Q116" s="674">
        <f t="shared" si="4"/>
        <v>136</v>
      </c>
      <c r="R116" s="674" t="s">
        <v>3204</v>
      </c>
      <c r="S116" s="674" t="s">
        <v>665</v>
      </c>
    </row>
    <row r="117" spans="1:19" x14ac:dyDescent="0.2">
      <c r="A117" s="671">
        <f>A116+2</f>
        <v>42007</v>
      </c>
      <c r="E117" s="674" t="s">
        <v>57</v>
      </c>
      <c r="F117" s="674"/>
      <c r="G117" s="707">
        <v>163</v>
      </c>
      <c r="H117" s="675">
        <v>2.3032407407407404E-2</v>
      </c>
      <c r="I117" s="672" t="s">
        <v>5692</v>
      </c>
      <c r="M117" s="691">
        <v>8.06</v>
      </c>
      <c r="Q117" s="674">
        <f t="shared" si="4"/>
        <v>137</v>
      </c>
      <c r="R117" s="674" t="s">
        <v>5337</v>
      </c>
      <c r="S117" s="674" t="s">
        <v>3205</v>
      </c>
    </row>
    <row r="118" spans="1:19" x14ac:dyDescent="0.2">
      <c r="A118" s="671">
        <f t="shared" si="3"/>
        <v>42014</v>
      </c>
      <c r="E118" s="674" t="s">
        <v>4642</v>
      </c>
      <c r="G118" s="719"/>
      <c r="I118" s="672" t="s">
        <v>3861</v>
      </c>
      <c r="M118" s="691">
        <v>8.0299999999999994</v>
      </c>
      <c r="Q118" s="674">
        <f t="shared" si="4"/>
        <v>138</v>
      </c>
      <c r="R118" s="674" t="s">
        <v>470</v>
      </c>
      <c r="S118" s="674" t="s">
        <v>665</v>
      </c>
    </row>
    <row r="119" spans="1:19" x14ac:dyDescent="0.2">
      <c r="A119" s="671">
        <f t="shared" si="3"/>
        <v>42021</v>
      </c>
      <c r="E119" s="674" t="s">
        <v>2497</v>
      </c>
      <c r="F119" s="674"/>
      <c r="G119" s="707">
        <v>164</v>
      </c>
      <c r="H119" s="675">
        <v>2.146990740740741E-2</v>
      </c>
      <c r="M119" s="691">
        <v>7.58</v>
      </c>
      <c r="Q119" s="674">
        <f t="shared" si="4"/>
        <v>139</v>
      </c>
      <c r="R119" s="674" t="s">
        <v>1405</v>
      </c>
      <c r="S119" s="674" t="s">
        <v>4778</v>
      </c>
    </row>
    <row r="120" spans="1:19" x14ac:dyDescent="0.2">
      <c r="A120" s="671">
        <f t="shared" si="3"/>
        <v>42028</v>
      </c>
      <c r="E120" s="729"/>
      <c r="G120" s="719"/>
      <c r="I120" s="672" t="s">
        <v>2126</v>
      </c>
      <c r="M120" s="730">
        <v>7.5</v>
      </c>
      <c r="Q120" s="674">
        <f t="shared" si="4"/>
        <v>140</v>
      </c>
      <c r="R120" s="674" t="s">
        <v>5955</v>
      </c>
      <c r="S120" s="674" t="s">
        <v>4878</v>
      </c>
    </row>
    <row r="121" spans="1:19" x14ac:dyDescent="0.2">
      <c r="A121" s="671">
        <f t="shared" si="3"/>
        <v>42035</v>
      </c>
      <c r="B121" s="672" t="s">
        <v>2124</v>
      </c>
      <c r="E121" s="729"/>
      <c r="G121" s="719"/>
      <c r="I121" s="672" t="s">
        <v>2126</v>
      </c>
      <c r="M121" s="688">
        <v>7.41</v>
      </c>
      <c r="Q121" s="674">
        <f t="shared" si="4"/>
        <v>141</v>
      </c>
      <c r="R121" s="674" t="s">
        <v>3226</v>
      </c>
      <c r="S121" s="674" t="s">
        <v>5884</v>
      </c>
    </row>
    <row r="122" spans="1:19" x14ac:dyDescent="0.2">
      <c r="A122" s="671">
        <f t="shared" si="3"/>
        <v>42042</v>
      </c>
      <c r="B122" s="672" t="s">
        <v>1177</v>
      </c>
      <c r="E122" s="674" t="s">
        <v>1001</v>
      </c>
      <c r="F122" s="674"/>
      <c r="G122" s="707">
        <v>165</v>
      </c>
      <c r="H122" s="675">
        <v>2.2175925925925929E-2</v>
      </c>
      <c r="I122" s="672" t="s">
        <v>4248</v>
      </c>
      <c r="M122" s="731">
        <v>7.3</v>
      </c>
      <c r="Q122" s="674">
        <f t="shared" si="4"/>
        <v>142</v>
      </c>
      <c r="R122" s="674" t="s">
        <v>2563</v>
      </c>
      <c r="S122" s="674" t="s">
        <v>5096</v>
      </c>
    </row>
    <row r="123" spans="1:19" x14ac:dyDescent="0.2">
      <c r="A123" s="671">
        <f t="shared" si="3"/>
        <v>42049</v>
      </c>
      <c r="E123" s="674" t="s">
        <v>2230</v>
      </c>
      <c r="F123" s="674"/>
      <c r="G123" s="674">
        <v>166</v>
      </c>
      <c r="H123" s="675">
        <v>2.162037037037037E-2</v>
      </c>
      <c r="I123" s="672" t="s">
        <v>592</v>
      </c>
      <c r="M123" s="687">
        <v>7.17</v>
      </c>
      <c r="Q123" s="674">
        <f t="shared" si="4"/>
        <v>143</v>
      </c>
      <c r="R123" s="674" t="s">
        <v>2830</v>
      </c>
      <c r="S123" s="674" t="s">
        <v>4778</v>
      </c>
    </row>
    <row r="124" spans="1:19" x14ac:dyDescent="0.2">
      <c r="A124" s="671">
        <f t="shared" si="3"/>
        <v>42056</v>
      </c>
      <c r="E124" s="674" t="s">
        <v>2231</v>
      </c>
      <c r="F124" s="674"/>
      <c r="G124" s="707">
        <v>167</v>
      </c>
      <c r="H124" s="675">
        <v>2.1493055555555557E-2</v>
      </c>
      <c r="I124" s="672" t="s">
        <v>4360</v>
      </c>
      <c r="M124" s="687">
        <v>7.03</v>
      </c>
      <c r="N124" s="672" t="s">
        <v>1988</v>
      </c>
      <c r="Q124" s="674">
        <f t="shared" si="4"/>
        <v>144</v>
      </c>
      <c r="R124" s="674" t="s">
        <v>5655</v>
      </c>
      <c r="S124" s="674" t="s">
        <v>665</v>
      </c>
    </row>
    <row r="125" spans="1:19" x14ac:dyDescent="0.2">
      <c r="A125" s="671">
        <f t="shared" si="3"/>
        <v>42063</v>
      </c>
      <c r="B125" s="672" t="s">
        <v>1745</v>
      </c>
      <c r="E125" s="674" t="s">
        <v>2775</v>
      </c>
      <c r="F125" s="674"/>
      <c r="G125" s="707">
        <v>168</v>
      </c>
      <c r="H125" s="675">
        <v>2.1446759259259259E-2</v>
      </c>
      <c r="M125" s="687">
        <v>6.49</v>
      </c>
      <c r="Q125" s="674">
        <f t="shared" si="4"/>
        <v>145</v>
      </c>
      <c r="R125" s="674" t="s">
        <v>1964</v>
      </c>
      <c r="S125" s="674" t="s">
        <v>5096</v>
      </c>
    </row>
    <row r="126" spans="1:19" x14ac:dyDescent="0.2">
      <c r="A126" s="671">
        <f t="shared" si="3"/>
        <v>42070</v>
      </c>
      <c r="E126" s="729"/>
      <c r="M126" s="687">
        <v>6.33</v>
      </c>
      <c r="Q126" s="674">
        <f t="shared" si="4"/>
        <v>146</v>
      </c>
      <c r="R126" s="674" t="s">
        <v>4244</v>
      </c>
      <c r="S126" s="674" t="s">
        <v>5096</v>
      </c>
    </row>
    <row r="127" spans="1:19" x14ac:dyDescent="0.2">
      <c r="A127" s="671">
        <f t="shared" si="3"/>
        <v>42077</v>
      </c>
      <c r="E127" s="674" t="s">
        <v>782</v>
      </c>
      <c r="F127" s="674"/>
      <c r="G127" s="707">
        <v>169</v>
      </c>
      <c r="H127" s="675">
        <v>2.1134259259259259E-2</v>
      </c>
      <c r="I127" s="672" t="s">
        <v>3439</v>
      </c>
      <c r="M127" s="687">
        <v>6.18</v>
      </c>
      <c r="Q127" s="674">
        <f t="shared" si="4"/>
        <v>147</v>
      </c>
      <c r="R127" s="674" t="s">
        <v>1563</v>
      </c>
      <c r="S127" s="674" t="s">
        <v>5096</v>
      </c>
    </row>
    <row r="128" spans="1:19" x14ac:dyDescent="0.2">
      <c r="A128" s="671">
        <f t="shared" si="3"/>
        <v>42084</v>
      </c>
      <c r="B128" s="672" t="s">
        <v>1769</v>
      </c>
      <c r="E128" s="674" t="s">
        <v>2576</v>
      </c>
      <c r="F128" s="674"/>
      <c r="G128" s="707">
        <v>170</v>
      </c>
      <c r="H128" s="675">
        <v>2.1307870370370369E-2</v>
      </c>
      <c r="I128" s="720" t="s">
        <v>35</v>
      </c>
      <c r="M128" s="700">
        <v>0.25138888888888888</v>
      </c>
      <c r="Q128" s="674">
        <f t="shared" si="4"/>
        <v>148</v>
      </c>
      <c r="R128" s="674" t="s">
        <v>2312</v>
      </c>
      <c r="S128" s="674" t="s">
        <v>1000</v>
      </c>
    </row>
    <row r="129" spans="1:19" x14ac:dyDescent="0.2">
      <c r="A129" s="671">
        <f>A128+7</f>
        <v>42091</v>
      </c>
      <c r="B129" s="672" t="s">
        <v>5809</v>
      </c>
      <c r="E129" s="674" t="s">
        <v>2577</v>
      </c>
      <c r="F129" s="674"/>
      <c r="G129" s="707">
        <v>171</v>
      </c>
      <c r="H129" s="675">
        <v>2.2650462962962966E-2</v>
      </c>
      <c r="I129" s="672" t="s">
        <v>3713</v>
      </c>
      <c r="M129" s="704">
        <v>0.24027777777777778</v>
      </c>
      <c r="N129" s="672" t="s">
        <v>1282</v>
      </c>
      <c r="Q129" s="674">
        <f t="shared" si="4"/>
        <v>149</v>
      </c>
      <c r="R129" s="674" t="s">
        <v>2384</v>
      </c>
      <c r="S129" s="674" t="s">
        <v>1000</v>
      </c>
    </row>
    <row r="130" spans="1:19" x14ac:dyDescent="0.2">
      <c r="A130" s="671">
        <f t="shared" ref="A130:A167" si="5">A129+7</f>
        <v>42098</v>
      </c>
      <c r="B130" s="672" t="s">
        <v>2498</v>
      </c>
      <c r="E130" s="674" t="s">
        <v>1716</v>
      </c>
      <c r="F130" s="674"/>
      <c r="G130" s="707">
        <v>172</v>
      </c>
      <c r="H130" s="675">
        <v>2.1504629629629627E-2</v>
      </c>
      <c r="I130" s="672" t="s">
        <v>2499</v>
      </c>
      <c r="M130" s="700">
        <v>0.26944444444444443</v>
      </c>
      <c r="Q130" s="674">
        <f t="shared" si="4"/>
        <v>150</v>
      </c>
      <c r="R130" s="674" t="s">
        <v>444</v>
      </c>
      <c r="S130" s="674" t="s">
        <v>4700</v>
      </c>
    </row>
    <row r="131" spans="1:19" x14ac:dyDescent="0.2">
      <c r="A131" s="671">
        <f t="shared" si="5"/>
        <v>42105</v>
      </c>
      <c r="E131" s="674" t="s">
        <v>6020</v>
      </c>
      <c r="F131" s="674"/>
      <c r="G131" s="707">
        <v>173</v>
      </c>
      <c r="H131" s="675">
        <v>2.1238425925925924E-2</v>
      </c>
      <c r="I131" s="672" t="s">
        <v>3713</v>
      </c>
      <c r="J131" s="672" t="s">
        <v>828</v>
      </c>
      <c r="M131" s="700">
        <v>0.25833333333333336</v>
      </c>
      <c r="Q131" s="674">
        <f t="shared" si="4"/>
        <v>151</v>
      </c>
      <c r="R131" s="674" t="s">
        <v>910</v>
      </c>
      <c r="S131" s="674" t="s">
        <v>4700</v>
      </c>
    </row>
    <row r="132" spans="1:19" x14ac:dyDescent="0.2">
      <c r="A132" s="671">
        <f t="shared" si="5"/>
        <v>42112</v>
      </c>
      <c r="B132" s="672" t="s">
        <v>2340</v>
      </c>
      <c r="E132" s="674" t="s">
        <v>2339</v>
      </c>
      <c r="F132" s="674"/>
      <c r="G132" s="707">
        <v>174</v>
      </c>
      <c r="H132" s="675">
        <v>2.2800925925925929E-2</v>
      </c>
      <c r="I132" s="672" t="s">
        <v>2341</v>
      </c>
      <c r="M132" s="700">
        <v>0.24791666666666667</v>
      </c>
      <c r="Q132" s="674">
        <f t="shared" si="4"/>
        <v>152</v>
      </c>
      <c r="R132" s="674" t="s">
        <v>5266</v>
      </c>
      <c r="S132" s="674" t="s">
        <v>4700</v>
      </c>
    </row>
    <row r="133" spans="1:19" x14ac:dyDescent="0.2">
      <c r="A133" s="671">
        <f t="shared" si="5"/>
        <v>42119</v>
      </c>
      <c r="B133" s="672" t="s">
        <v>5333</v>
      </c>
      <c r="E133" s="674" t="s">
        <v>658</v>
      </c>
      <c r="F133" s="674"/>
      <c r="G133" s="707">
        <v>175</v>
      </c>
      <c r="H133" s="675">
        <v>2.2627314814814819E-2</v>
      </c>
      <c r="I133" s="672" t="s">
        <v>1171</v>
      </c>
      <c r="K133" s="672" t="s">
        <v>1172</v>
      </c>
      <c r="M133" s="732"/>
      <c r="N133" s="677"/>
      <c r="P133" s="677"/>
      <c r="Q133" s="674">
        <f t="shared" si="4"/>
        <v>153</v>
      </c>
      <c r="R133" s="685" t="s">
        <v>1569</v>
      </c>
      <c r="S133" s="674" t="s">
        <v>5096</v>
      </c>
    </row>
    <row r="134" spans="1:19" x14ac:dyDescent="0.2">
      <c r="A134" s="671">
        <f t="shared" si="5"/>
        <v>42126</v>
      </c>
      <c r="B134" s="672" t="s">
        <v>1772</v>
      </c>
      <c r="E134" s="674" t="s">
        <v>2373</v>
      </c>
      <c r="F134" s="674"/>
      <c r="G134" s="707">
        <v>176</v>
      </c>
      <c r="H134" s="675">
        <v>2.1446759259259259E-2</v>
      </c>
      <c r="I134" s="672" t="s">
        <v>2649</v>
      </c>
      <c r="M134" s="733"/>
      <c r="N134" s="720"/>
      <c r="O134" s="672" t="s">
        <v>3283</v>
      </c>
      <c r="Q134" s="674">
        <f t="shared" si="4"/>
        <v>154</v>
      </c>
      <c r="R134" s="685" t="s">
        <v>2593</v>
      </c>
      <c r="S134" s="674" t="s">
        <v>5096</v>
      </c>
    </row>
    <row r="135" spans="1:19" x14ac:dyDescent="0.2">
      <c r="A135" s="671">
        <f t="shared" si="5"/>
        <v>42133</v>
      </c>
      <c r="B135" s="672" t="s">
        <v>5718</v>
      </c>
      <c r="E135" s="674" t="s">
        <v>2374</v>
      </c>
      <c r="F135" s="674"/>
      <c r="G135" s="707">
        <v>177</v>
      </c>
      <c r="H135" s="675">
        <v>2.2372685185185186E-2</v>
      </c>
      <c r="I135" s="672" t="s">
        <v>1171</v>
      </c>
      <c r="K135" s="672" t="s">
        <v>5328</v>
      </c>
      <c r="M135" s="733"/>
      <c r="N135" s="720"/>
      <c r="O135" s="677"/>
      <c r="Q135" s="674">
        <f t="shared" si="4"/>
        <v>155</v>
      </c>
      <c r="R135" s="685" t="s">
        <v>4509</v>
      </c>
      <c r="S135" s="674" t="s">
        <v>1000</v>
      </c>
    </row>
    <row r="136" spans="1:19" x14ac:dyDescent="0.2">
      <c r="A136" s="671">
        <f t="shared" si="5"/>
        <v>42140</v>
      </c>
      <c r="B136" s="672" t="s">
        <v>3218</v>
      </c>
      <c r="E136" s="674" t="s">
        <v>2650</v>
      </c>
      <c r="F136" s="674"/>
      <c r="G136" s="707">
        <v>178</v>
      </c>
      <c r="H136" s="675">
        <v>2.1631944444444443E-2</v>
      </c>
      <c r="I136" s="672" t="s">
        <v>2648</v>
      </c>
      <c r="M136" s="720"/>
      <c r="N136" s="720"/>
      <c r="O136" s="672" t="s">
        <v>4785</v>
      </c>
      <c r="Q136" s="674">
        <f t="shared" si="4"/>
        <v>156</v>
      </c>
      <c r="R136" s="685" t="s">
        <v>4727</v>
      </c>
      <c r="S136" s="674" t="s">
        <v>4700</v>
      </c>
    </row>
    <row r="137" spans="1:19" x14ac:dyDescent="0.2">
      <c r="A137" s="671">
        <f t="shared" si="5"/>
        <v>42147</v>
      </c>
      <c r="B137" s="672" t="s">
        <v>2558</v>
      </c>
      <c r="E137" s="674" t="s">
        <v>1717</v>
      </c>
      <c r="F137" s="674"/>
      <c r="G137" s="707">
        <v>179</v>
      </c>
      <c r="H137" s="675">
        <v>2.1840277777777778E-2</v>
      </c>
      <c r="I137" s="672" t="s">
        <v>3718</v>
      </c>
      <c r="M137" s="720"/>
      <c r="N137" s="720"/>
      <c r="Q137" s="674">
        <f t="shared" si="4"/>
        <v>157</v>
      </c>
      <c r="R137" s="685" t="s">
        <v>802</v>
      </c>
      <c r="S137" s="674" t="s">
        <v>5806</v>
      </c>
    </row>
    <row r="138" spans="1:19" x14ac:dyDescent="0.2">
      <c r="A138" s="671">
        <f t="shared" si="5"/>
        <v>42154</v>
      </c>
      <c r="B138" s="672" t="s">
        <v>399</v>
      </c>
      <c r="E138" s="734" t="s">
        <v>8050</v>
      </c>
      <c r="F138" s="735"/>
      <c r="G138" s="736"/>
      <c r="M138" s="720"/>
      <c r="N138" s="720"/>
      <c r="Q138" s="674">
        <f t="shared" si="4"/>
        <v>158</v>
      </c>
      <c r="R138" s="685" t="s">
        <v>1456</v>
      </c>
      <c r="S138" s="674" t="s">
        <v>1000</v>
      </c>
    </row>
    <row r="139" spans="1:19" x14ac:dyDescent="0.2">
      <c r="A139" s="671">
        <f t="shared" si="5"/>
        <v>42161</v>
      </c>
      <c r="B139" s="672" t="s">
        <v>3759</v>
      </c>
      <c r="E139" s="674" t="s">
        <v>4786</v>
      </c>
      <c r="F139" s="674"/>
      <c r="G139" s="707">
        <v>180</v>
      </c>
      <c r="H139" s="675">
        <v>2.1666666666666667E-2</v>
      </c>
      <c r="I139" s="737" t="s">
        <v>4942</v>
      </c>
      <c r="M139" s="720"/>
      <c r="N139" s="720"/>
      <c r="Q139" s="674">
        <f t="shared" si="4"/>
        <v>159</v>
      </c>
      <c r="R139" s="685" t="s">
        <v>4974</v>
      </c>
      <c r="S139" s="674" t="s">
        <v>1000</v>
      </c>
    </row>
    <row r="140" spans="1:19" x14ac:dyDescent="0.2">
      <c r="A140" s="671">
        <f t="shared" si="5"/>
        <v>42168</v>
      </c>
      <c r="B140" s="672" t="s">
        <v>1035</v>
      </c>
      <c r="E140" s="674" t="s">
        <v>3495</v>
      </c>
      <c r="F140" s="674"/>
      <c r="G140" s="707">
        <v>181</v>
      </c>
      <c r="H140" s="675">
        <v>2.1203703703703707E-2</v>
      </c>
      <c r="M140" s="720"/>
      <c r="N140" s="738"/>
      <c r="Q140" s="674">
        <f t="shared" si="4"/>
        <v>160</v>
      </c>
      <c r="R140" s="685" t="s">
        <v>843</v>
      </c>
      <c r="S140" s="674" t="s">
        <v>1000</v>
      </c>
    </row>
    <row r="141" spans="1:19" x14ac:dyDescent="0.2">
      <c r="A141" s="671">
        <f t="shared" si="5"/>
        <v>42175</v>
      </c>
      <c r="B141" s="672" t="s">
        <v>3437</v>
      </c>
      <c r="E141" s="674" t="s">
        <v>5609</v>
      </c>
      <c r="F141" s="674"/>
      <c r="G141" s="707">
        <v>182</v>
      </c>
      <c r="H141" s="675">
        <v>2.1203703703703707E-2</v>
      </c>
      <c r="I141" s="672" t="s">
        <v>2651</v>
      </c>
      <c r="J141" s="672" t="s">
        <v>2652</v>
      </c>
      <c r="M141" s="738"/>
      <c r="N141" s="720"/>
      <c r="O141" s="677"/>
      <c r="Q141" s="674">
        <f t="shared" si="4"/>
        <v>161</v>
      </c>
      <c r="R141" s="685" t="s">
        <v>1805</v>
      </c>
      <c r="S141" s="674" t="s">
        <v>4778</v>
      </c>
    </row>
    <row r="142" spans="1:19" x14ac:dyDescent="0.2">
      <c r="A142" s="671">
        <f t="shared" si="5"/>
        <v>42182</v>
      </c>
      <c r="B142" s="672" t="s">
        <v>4014</v>
      </c>
      <c r="E142" s="674" t="s">
        <v>5610</v>
      </c>
      <c r="F142" s="674"/>
      <c r="G142" s="707">
        <v>183</v>
      </c>
      <c r="H142" s="675">
        <v>2.2129629629629628E-2</v>
      </c>
      <c r="I142" s="672" t="s">
        <v>2580</v>
      </c>
      <c r="M142" s="738"/>
      <c r="N142" s="738"/>
      <c r="O142" s="677"/>
      <c r="Q142" s="674">
        <f t="shared" si="4"/>
        <v>162</v>
      </c>
      <c r="R142" s="685" t="s">
        <v>249</v>
      </c>
      <c r="S142" s="674" t="s">
        <v>1270</v>
      </c>
    </row>
    <row r="143" spans="1:19" x14ac:dyDescent="0.2">
      <c r="A143" s="671">
        <f t="shared" si="5"/>
        <v>42189</v>
      </c>
      <c r="B143" s="672" t="s">
        <v>1518</v>
      </c>
      <c r="E143" s="729"/>
      <c r="G143" s="719"/>
      <c r="H143" s="675"/>
      <c r="M143" s="738"/>
      <c r="N143" s="738"/>
      <c r="O143" s="677"/>
      <c r="Q143" s="674">
        <f t="shared" si="4"/>
        <v>163</v>
      </c>
      <c r="R143" s="685" t="s">
        <v>2996</v>
      </c>
      <c r="S143" s="674" t="s">
        <v>5882</v>
      </c>
    </row>
    <row r="144" spans="1:19" x14ac:dyDescent="0.2">
      <c r="A144" s="671">
        <f t="shared" si="5"/>
        <v>42196</v>
      </c>
      <c r="B144" s="672" t="s">
        <v>4701</v>
      </c>
      <c r="E144" s="729" t="s">
        <v>4783</v>
      </c>
      <c r="F144" s="729"/>
      <c r="H144" s="675"/>
      <c r="M144" s="738"/>
      <c r="N144" s="738"/>
      <c r="O144" s="677"/>
      <c r="Q144" s="674">
        <f t="shared" si="4"/>
        <v>164</v>
      </c>
      <c r="R144" s="685" t="s">
        <v>2995</v>
      </c>
      <c r="S144" s="674" t="s">
        <v>5096</v>
      </c>
    </row>
    <row r="145" spans="1:19" x14ac:dyDescent="0.2">
      <c r="A145" s="671">
        <f t="shared" si="5"/>
        <v>42203</v>
      </c>
      <c r="E145" s="674" t="s">
        <v>5477</v>
      </c>
      <c r="F145" s="674"/>
      <c r="G145" s="707">
        <v>184</v>
      </c>
      <c r="H145" s="675">
        <v>2.2488425925925926E-2</v>
      </c>
      <c r="I145" s="672" t="s">
        <v>5717</v>
      </c>
      <c r="L145" s="672" t="s">
        <v>3364</v>
      </c>
      <c r="M145" s="738"/>
      <c r="N145" s="738"/>
      <c r="O145" s="677"/>
      <c r="Q145" s="674">
        <f t="shared" si="4"/>
        <v>165</v>
      </c>
      <c r="R145" s="685" t="s">
        <v>2392</v>
      </c>
      <c r="S145" s="674" t="s">
        <v>1000</v>
      </c>
    </row>
    <row r="146" spans="1:19" x14ac:dyDescent="0.2">
      <c r="A146" s="671">
        <f t="shared" si="5"/>
        <v>42210</v>
      </c>
      <c r="B146" s="672" t="s">
        <v>4072</v>
      </c>
      <c r="E146" s="685" t="s">
        <v>5654</v>
      </c>
      <c r="F146" s="685"/>
      <c r="G146" s="707">
        <v>185</v>
      </c>
      <c r="H146" s="675">
        <v>2.1724537037037039E-2</v>
      </c>
      <c r="I146" s="672" t="s">
        <v>3207</v>
      </c>
      <c r="M146" s="738"/>
      <c r="N146" s="738"/>
      <c r="O146" s="677"/>
      <c r="Q146" s="674">
        <f t="shared" si="4"/>
        <v>166</v>
      </c>
      <c r="R146" s="685" t="s">
        <v>3323</v>
      </c>
      <c r="S146" s="674" t="s">
        <v>4700</v>
      </c>
    </row>
    <row r="147" spans="1:19" x14ac:dyDescent="0.2">
      <c r="A147" s="671">
        <f t="shared" si="5"/>
        <v>42217</v>
      </c>
      <c r="E147" s="674" t="s">
        <v>4073</v>
      </c>
      <c r="F147" s="674"/>
      <c r="G147" s="707">
        <v>186</v>
      </c>
      <c r="H147" s="675">
        <v>2.101851851851852E-2</v>
      </c>
      <c r="M147" s="738"/>
      <c r="N147" s="738"/>
      <c r="O147" s="677"/>
      <c r="Q147" s="674">
        <f t="shared" ref="Q147:Q176" si="6">Q146+1</f>
        <v>167</v>
      </c>
      <c r="R147" s="685" t="s">
        <v>135</v>
      </c>
      <c r="S147" s="674" t="s">
        <v>3196</v>
      </c>
    </row>
    <row r="148" spans="1:19" x14ac:dyDescent="0.2">
      <c r="A148" s="671">
        <f t="shared" si="5"/>
        <v>42224</v>
      </c>
      <c r="B148" s="672" t="s">
        <v>2218</v>
      </c>
      <c r="E148" s="674" t="s">
        <v>5478</v>
      </c>
      <c r="F148" s="674"/>
      <c r="G148" s="707">
        <v>187</v>
      </c>
      <c r="H148" s="675">
        <v>2.146990740740741E-2</v>
      </c>
      <c r="I148" s="672" t="s">
        <v>2993</v>
      </c>
      <c r="M148" s="738"/>
      <c r="N148" s="738"/>
      <c r="O148" s="677"/>
      <c r="Q148" s="674">
        <f t="shared" si="6"/>
        <v>168</v>
      </c>
      <c r="R148" s="685" t="s">
        <v>5953</v>
      </c>
      <c r="S148" s="674" t="s">
        <v>2725</v>
      </c>
    </row>
    <row r="149" spans="1:19" x14ac:dyDescent="0.2">
      <c r="A149" s="671">
        <f t="shared" si="5"/>
        <v>42231</v>
      </c>
      <c r="B149" s="672" t="s">
        <v>4767</v>
      </c>
      <c r="E149" s="674" t="s">
        <v>6016</v>
      </c>
      <c r="F149" s="674"/>
      <c r="G149" s="707">
        <v>188</v>
      </c>
      <c r="H149" s="675">
        <v>2.1770833333333336E-2</v>
      </c>
      <c r="I149" s="672" t="s">
        <v>3998</v>
      </c>
      <c r="Q149" s="674">
        <f t="shared" si="6"/>
        <v>169</v>
      </c>
      <c r="R149" s="685" t="s">
        <v>6021</v>
      </c>
      <c r="S149" s="674" t="s">
        <v>4778</v>
      </c>
    </row>
    <row r="150" spans="1:19" x14ac:dyDescent="0.2">
      <c r="A150" s="671">
        <f t="shared" si="5"/>
        <v>42238</v>
      </c>
      <c r="B150" s="672" t="s">
        <v>5927</v>
      </c>
      <c r="E150" s="674" t="s">
        <v>142</v>
      </c>
      <c r="G150" s="707">
        <v>189</v>
      </c>
      <c r="H150" s="675">
        <v>2.1967592592592594E-2</v>
      </c>
      <c r="I150" s="672" t="s">
        <v>5928</v>
      </c>
      <c r="L150" s="672" t="s">
        <v>3455</v>
      </c>
      <c r="M150" s="738"/>
      <c r="N150" s="738"/>
      <c r="O150" s="677"/>
      <c r="Q150" s="674">
        <f t="shared" si="6"/>
        <v>170</v>
      </c>
      <c r="R150" s="685" t="s">
        <v>1020</v>
      </c>
      <c r="S150" s="674" t="s">
        <v>1987</v>
      </c>
    </row>
    <row r="151" spans="1:19" x14ac:dyDescent="0.2">
      <c r="A151" s="671">
        <f t="shared" si="5"/>
        <v>42245</v>
      </c>
      <c r="B151" s="672" t="s">
        <v>311</v>
      </c>
      <c r="E151" s="674" t="s">
        <v>5411</v>
      </c>
      <c r="F151" s="674"/>
      <c r="G151" s="707">
        <v>190</v>
      </c>
      <c r="H151" s="675">
        <v>2.0682870370370372E-2</v>
      </c>
      <c r="M151" s="738"/>
      <c r="N151" s="738"/>
      <c r="O151" s="677"/>
      <c r="Q151" s="674">
        <f t="shared" si="6"/>
        <v>171</v>
      </c>
      <c r="R151" s="685" t="s">
        <v>4849</v>
      </c>
      <c r="S151" s="674" t="s">
        <v>2334</v>
      </c>
    </row>
    <row r="152" spans="1:19" x14ac:dyDescent="0.2">
      <c r="A152" s="671">
        <f t="shared" si="5"/>
        <v>42252</v>
      </c>
      <c r="B152" s="672" t="s">
        <v>1319</v>
      </c>
      <c r="E152" s="674" t="s">
        <v>2812</v>
      </c>
      <c r="F152" s="674"/>
      <c r="G152" s="707">
        <v>191</v>
      </c>
      <c r="H152" s="675">
        <v>2.1250000000000002E-2</v>
      </c>
      <c r="I152" s="672" t="s">
        <v>5578</v>
      </c>
      <c r="M152" s="739"/>
      <c r="N152" s="738"/>
      <c r="O152" s="677"/>
      <c r="Q152" s="674">
        <f t="shared" si="6"/>
        <v>172</v>
      </c>
      <c r="R152" s="685" t="s">
        <v>4936</v>
      </c>
      <c r="S152" s="674" t="s">
        <v>1000</v>
      </c>
    </row>
    <row r="153" spans="1:19" x14ac:dyDescent="0.2">
      <c r="A153" s="671">
        <f t="shared" si="5"/>
        <v>42259</v>
      </c>
      <c r="B153" s="672" t="s">
        <v>39</v>
      </c>
      <c r="E153" s="734" t="s">
        <v>8051</v>
      </c>
      <c r="F153" s="734"/>
      <c r="H153" s="675"/>
      <c r="M153" s="739"/>
      <c r="N153" s="738"/>
      <c r="O153" s="677"/>
      <c r="Q153" s="674">
        <f t="shared" si="6"/>
        <v>173</v>
      </c>
      <c r="R153" s="685" t="s">
        <v>1627</v>
      </c>
      <c r="S153" s="674" t="s">
        <v>4778</v>
      </c>
    </row>
    <row r="154" spans="1:19" x14ac:dyDescent="0.2">
      <c r="A154" s="671">
        <f t="shared" si="5"/>
        <v>42266</v>
      </c>
      <c r="B154" s="672" t="s">
        <v>5356</v>
      </c>
      <c r="E154" s="674" t="s">
        <v>209</v>
      </c>
      <c r="F154" s="674"/>
      <c r="G154" s="707">
        <v>192</v>
      </c>
      <c r="H154" s="683">
        <v>2.0601851851851854E-2</v>
      </c>
      <c r="M154" s="739"/>
      <c r="N154" s="738"/>
      <c r="O154" s="677"/>
      <c r="Q154" s="674">
        <f t="shared" si="6"/>
        <v>174</v>
      </c>
      <c r="R154" s="685" t="s">
        <v>645</v>
      </c>
      <c r="S154" s="674" t="s">
        <v>1000</v>
      </c>
    </row>
    <row r="155" spans="1:19" x14ac:dyDescent="0.2">
      <c r="A155" s="671">
        <f t="shared" si="5"/>
        <v>42273</v>
      </c>
      <c r="B155" s="672" t="s">
        <v>5091</v>
      </c>
      <c r="E155" s="674" t="s">
        <v>1969</v>
      </c>
      <c r="F155" s="674"/>
      <c r="G155" s="707">
        <v>193</v>
      </c>
      <c r="H155" s="675">
        <v>2.1250000000000002E-2</v>
      </c>
      <c r="I155" s="672" t="s">
        <v>3777</v>
      </c>
      <c r="J155" s="677"/>
      <c r="K155" s="677"/>
      <c r="L155" s="677"/>
      <c r="M155" s="732"/>
      <c r="N155" s="738"/>
      <c r="O155" s="677"/>
      <c r="Q155" s="674">
        <f t="shared" si="6"/>
        <v>175</v>
      </c>
      <c r="R155" s="685" t="s">
        <v>1534</v>
      </c>
      <c r="S155" s="674" t="s">
        <v>909</v>
      </c>
    </row>
    <row r="156" spans="1:19" ht="12.75" customHeight="1" x14ac:dyDescent="0.2">
      <c r="A156" s="671">
        <f t="shared" si="5"/>
        <v>42280</v>
      </c>
      <c r="B156" s="672" t="s">
        <v>2942</v>
      </c>
      <c r="E156" s="674" t="s">
        <v>5412</v>
      </c>
      <c r="F156" s="674"/>
      <c r="G156" s="707">
        <v>194</v>
      </c>
      <c r="H156" s="675">
        <v>2.0659722222222222E-2</v>
      </c>
      <c r="I156" s="672" t="s">
        <v>224</v>
      </c>
      <c r="M156" s="739">
        <v>0.29444444444444445</v>
      </c>
      <c r="N156" s="738"/>
      <c r="O156" s="677"/>
      <c r="Q156" s="674">
        <f t="shared" si="6"/>
        <v>176</v>
      </c>
      <c r="R156" s="685" t="s">
        <v>3807</v>
      </c>
      <c r="S156" s="674" t="s">
        <v>5241</v>
      </c>
    </row>
    <row r="157" spans="1:19" x14ac:dyDescent="0.2">
      <c r="A157" s="671">
        <f t="shared" si="5"/>
        <v>42287</v>
      </c>
      <c r="B157" s="672" t="s">
        <v>3147</v>
      </c>
      <c r="E157" s="674" t="s">
        <v>1719</v>
      </c>
      <c r="F157" s="674"/>
      <c r="G157" s="707">
        <v>195</v>
      </c>
      <c r="H157" s="675">
        <v>2.0879629629629626E-2</v>
      </c>
      <c r="I157" s="672" t="s">
        <v>2941</v>
      </c>
      <c r="M157" s="739">
        <v>0.30208333333333331</v>
      </c>
      <c r="N157" s="738"/>
      <c r="O157" s="677"/>
      <c r="Q157" s="674">
        <f t="shared" si="6"/>
        <v>177</v>
      </c>
      <c r="R157" s="685" t="s">
        <v>291</v>
      </c>
      <c r="S157" s="674" t="s">
        <v>5895</v>
      </c>
    </row>
    <row r="158" spans="1:19" x14ac:dyDescent="0.2">
      <c r="A158" s="671">
        <f t="shared" si="5"/>
        <v>42294</v>
      </c>
      <c r="B158" s="672" t="s">
        <v>2528</v>
      </c>
      <c r="E158" s="674" t="s">
        <v>1640</v>
      </c>
      <c r="F158" s="674"/>
      <c r="G158" s="707">
        <v>196</v>
      </c>
      <c r="H158" s="740">
        <v>2.013888888888889E-2</v>
      </c>
      <c r="I158" s="672" t="s">
        <v>3951</v>
      </c>
      <c r="M158" s="741">
        <v>0.31041666666666667</v>
      </c>
      <c r="N158" s="738"/>
      <c r="O158" s="677"/>
      <c r="Q158" s="674">
        <f t="shared" si="6"/>
        <v>178</v>
      </c>
      <c r="R158" s="685" t="s">
        <v>2962</v>
      </c>
      <c r="S158" s="674" t="s">
        <v>5896</v>
      </c>
    </row>
    <row r="159" spans="1:19" x14ac:dyDescent="0.2">
      <c r="A159" s="671">
        <f t="shared" si="5"/>
        <v>42301</v>
      </c>
      <c r="B159" s="672" t="s">
        <v>1505</v>
      </c>
      <c r="E159" s="734" t="s">
        <v>3936</v>
      </c>
      <c r="F159" s="734"/>
      <c r="G159" s="701"/>
      <c r="H159" s="675"/>
      <c r="M159" s="741">
        <v>0.31874999999999998</v>
      </c>
      <c r="N159" s="742" t="s">
        <v>1282</v>
      </c>
      <c r="O159" s="677"/>
      <c r="Q159" s="674">
        <f t="shared" si="6"/>
        <v>179</v>
      </c>
      <c r="R159" s="685" t="s">
        <v>2544</v>
      </c>
      <c r="S159" s="674" t="s">
        <v>5895</v>
      </c>
    </row>
    <row r="160" spans="1:19" x14ac:dyDescent="0.2">
      <c r="A160" s="671">
        <f t="shared" si="5"/>
        <v>42308</v>
      </c>
      <c r="B160" s="672" t="s">
        <v>4853</v>
      </c>
      <c r="E160" s="674" t="s">
        <v>1864</v>
      </c>
      <c r="F160" s="674"/>
      <c r="G160" s="707">
        <v>197</v>
      </c>
      <c r="H160" s="675">
        <v>2.2962962962962966E-2</v>
      </c>
      <c r="I160" s="672" t="s">
        <v>1192</v>
      </c>
      <c r="M160" s="739">
        <v>0.28541666666666665</v>
      </c>
      <c r="N160" s="738"/>
      <c r="O160" s="677"/>
      <c r="Q160" s="674">
        <f t="shared" si="6"/>
        <v>180</v>
      </c>
      <c r="R160" s="685" t="s">
        <v>2542</v>
      </c>
      <c r="S160" s="674" t="s">
        <v>1000</v>
      </c>
    </row>
    <row r="161" spans="1:19" x14ac:dyDescent="0.2">
      <c r="A161" s="671">
        <f t="shared" si="5"/>
        <v>42315</v>
      </c>
      <c r="B161" s="672" t="s">
        <v>5620</v>
      </c>
      <c r="E161" s="674" t="s">
        <v>4883</v>
      </c>
      <c r="F161" s="674"/>
      <c r="G161" s="707">
        <v>198</v>
      </c>
      <c r="H161" s="675">
        <v>2.2638888888888889E-2</v>
      </c>
      <c r="I161" s="672" t="s">
        <v>1365</v>
      </c>
      <c r="M161" s="739">
        <v>0.29444444444444445</v>
      </c>
      <c r="N161" s="738"/>
      <c r="O161" s="677"/>
      <c r="Q161" s="674">
        <f t="shared" si="6"/>
        <v>181</v>
      </c>
      <c r="R161" s="685" t="s">
        <v>5911</v>
      </c>
      <c r="S161" s="674" t="s">
        <v>5682</v>
      </c>
    </row>
    <row r="162" spans="1:19" x14ac:dyDescent="0.2">
      <c r="A162" s="671">
        <f t="shared" si="5"/>
        <v>42322</v>
      </c>
      <c r="B162" s="672" t="s">
        <v>5353</v>
      </c>
      <c r="E162" s="674" t="s">
        <v>1827</v>
      </c>
      <c r="F162" s="674"/>
      <c r="G162" s="707">
        <v>199</v>
      </c>
      <c r="H162" s="675">
        <v>2.2592592592592591E-2</v>
      </c>
      <c r="I162" s="672" t="s">
        <v>5606</v>
      </c>
      <c r="M162" s="739">
        <v>0.30277777777777776</v>
      </c>
      <c r="N162" s="738"/>
      <c r="O162" s="677"/>
      <c r="Q162" s="674">
        <f t="shared" si="6"/>
        <v>182</v>
      </c>
      <c r="R162" s="685" t="s">
        <v>3860</v>
      </c>
      <c r="S162" s="674" t="s">
        <v>5895</v>
      </c>
    </row>
    <row r="163" spans="1:19" x14ac:dyDescent="0.2">
      <c r="A163" s="671">
        <f t="shared" si="5"/>
        <v>42329</v>
      </c>
      <c r="B163" s="672" t="s">
        <v>5605</v>
      </c>
      <c r="E163" s="685" t="s">
        <v>2032</v>
      </c>
      <c r="F163" s="686"/>
      <c r="G163" s="743"/>
      <c r="H163" s="675"/>
      <c r="I163" s="672" t="s">
        <v>2692</v>
      </c>
      <c r="M163" s="739">
        <v>0.31111111111111112</v>
      </c>
      <c r="N163" s="738"/>
      <c r="O163" s="677"/>
      <c r="Q163" s="674">
        <f t="shared" si="6"/>
        <v>183</v>
      </c>
      <c r="R163" s="685" t="s">
        <v>317</v>
      </c>
      <c r="S163" s="674" t="s">
        <v>1000</v>
      </c>
    </row>
    <row r="164" spans="1:19" x14ac:dyDescent="0.2">
      <c r="A164" s="671">
        <f t="shared" si="5"/>
        <v>42336</v>
      </c>
      <c r="B164" s="672" t="s">
        <v>3490</v>
      </c>
      <c r="E164" s="674" t="s">
        <v>4884</v>
      </c>
      <c r="F164" s="674"/>
      <c r="G164" s="707">
        <v>200</v>
      </c>
      <c r="H164" s="675">
        <v>2.1840277777777778E-2</v>
      </c>
      <c r="M164" s="741">
        <v>0.31874999999999998</v>
      </c>
      <c r="N164" s="738"/>
      <c r="O164" s="677"/>
      <c r="Q164" s="674">
        <f t="shared" si="6"/>
        <v>184</v>
      </c>
      <c r="R164" s="685" t="s">
        <v>4180</v>
      </c>
      <c r="S164" s="674" t="s">
        <v>4596</v>
      </c>
    </row>
    <row r="165" spans="1:19" x14ac:dyDescent="0.2">
      <c r="A165" s="671">
        <f t="shared" si="5"/>
        <v>42343</v>
      </c>
      <c r="B165" s="672" t="s">
        <v>5545</v>
      </c>
      <c r="E165" s="674" t="s">
        <v>5546</v>
      </c>
      <c r="F165" s="674"/>
      <c r="G165" s="719"/>
      <c r="H165" s="675"/>
      <c r="I165" s="672" t="s">
        <v>4854</v>
      </c>
      <c r="M165" s="741">
        <v>0.32569444444444445</v>
      </c>
      <c r="N165" s="738"/>
      <c r="O165" s="677"/>
      <c r="Q165" s="674">
        <f t="shared" si="6"/>
        <v>185</v>
      </c>
      <c r="R165" s="685" t="s">
        <v>5588</v>
      </c>
      <c r="S165" s="674" t="s">
        <v>5096</v>
      </c>
    </row>
    <row r="166" spans="1:19" x14ac:dyDescent="0.2">
      <c r="A166" s="671">
        <f t="shared" si="5"/>
        <v>42350</v>
      </c>
      <c r="B166" s="672" t="s">
        <v>4724</v>
      </c>
      <c r="E166" s="674" t="s">
        <v>2818</v>
      </c>
      <c r="F166" s="674"/>
      <c r="G166" s="707">
        <v>201</v>
      </c>
      <c r="H166" s="675">
        <v>2.1863425925925925E-2</v>
      </c>
      <c r="M166" s="741">
        <v>0.33124999999999999</v>
      </c>
      <c r="N166" s="738"/>
      <c r="O166" s="677"/>
      <c r="Q166" s="674">
        <f t="shared" si="6"/>
        <v>186</v>
      </c>
      <c r="R166" s="685" t="s">
        <v>4500</v>
      </c>
      <c r="S166" s="674" t="s">
        <v>748</v>
      </c>
    </row>
    <row r="167" spans="1:19" x14ac:dyDescent="0.2">
      <c r="A167" s="671">
        <f t="shared" si="5"/>
        <v>42357</v>
      </c>
      <c r="B167" s="672" t="s">
        <v>5906</v>
      </c>
      <c r="E167" s="674" t="s">
        <v>3526</v>
      </c>
      <c r="F167" s="674"/>
      <c r="G167" s="707">
        <v>202</v>
      </c>
      <c r="H167" s="675">
        <v>2.1689814814814815E-2</v>
      </c>
      <c r="I167" s="672" t="s">
        <v>3519</v>
      </c>
      <c r="M167" s="741">
        <v>0.3347222222222222</v>
      </c>
      <c r="N167" s="738"/>
      <c r="O167" s="677"/>
      <c r="Q167" s="674">
        <f t="shared" si="6"/>
        <v>187</v>
      </c>
      <c r="R167" s="685" t="s">
        <v>5821</v>
      </c>
      <c r="S167" s="674" t="s">
        <v>4778</v>
      </c>
    </row>
    <row r="168" spans="1:19" x14ac:dyDescent="0.2">
      <c r="A168" s="671">
        <f>A167+6</f>
        <v>42363</v>
      </c>
      <c r="B168" s="672" t="s">
        <v>2735</v>
      </c>
      <c r="E168" s="744"/>
      <c r="G168" s="719"/>
      <c r="H168" s="675"/>
      <c r="M168" s="745">
        <v>0.33680555555555558</v>
      </c>
      <c r="N168" s="738"/>
      <c r="O168" s="677"/>
      <c r="Q168" s="674">
        <f t="shared" si="6"/>
        <v>188</v>
      </c>
      <c r="R168" s="685" t="s">
        <v>161</v>
      </c>
      <c r="S168" s="674" t="s">
        <v>1000</v>
      </c>
    </row>
    <row r="169" spans="1:19" x14ac:dyDescent="0.2">
      <c r="A169" s="723">
        <f>A168+1</f>
        <v>42364</v>
      </c>
      <c r="B169" s="724" t="s">
        <v>2694</v>
      </c>
      <c r="C169" s="724"/>
      <c r="D169" s="724"/>
      <c r="E169" s="724"/>
      <c r="F169" s="724"/>
      <c r="G169" s="724"/>
      <c r="H169" s="675"/>
      <c r="M169" s="741">
        <v>0.33750000000000002</v>
      </c>
      <c r="N169" s="738"/>
      <c r="O169" s="677"/>
      <c r="Q169" s="674">
        <f t="shared" si="6"/>
        <v>189</v>
      </c>
      <c r="R169" s="685" t="s">
        <v>2326</v>
      </c>
      <c r="S169" s="674" t="s">
        <v>4637</v>
      </c>
    </row>
    <row r="170" spans="1:19" x14ac:dyDescent="0.2">
      <c r="A170" s="671">
        <f>A169+6</f>
        <v>42370</v>
      </c>
      <c r="E170" s="674" t="s">
        <v>129</v>
      </c>
      <c r="F170" s="674"/>
      <c r="G170" s="707">
        <v>203</v>
      </c>
      <c r="H170" s="746">
        <v>2.1840277777777778E-2</v>
      </c>
      <c r="J170" s="677"/>
      <c r="M170" s="741">
        <v>0.33750000000000002</v>
      </c>
      <c r="N170" s="738"/>
      <c r="O170" s="677"/>
      <c r="Q170" s="674">
        <f t="shared" si="6"/>
        <v>190</v>
      </c>
      <c r="R170" s="685" t="s">
        <v>4694</v>
      </c>
      <c r="S170" s="674" t="s">
        <v>3360</v>
      </c>
    </row>
    <row r="171" spans="1:19" x14ac:dyDescent="0.2">
      <c r="A171" s="671">
        <f>A170+1</f>
        <v>42371</v>
      </c>
      <c r="E171" s="674" t="s">
        <v>306</v>
      </c>
      <c r="F171" s="674"/>
      <c r="G171" s="674">
        <v>204</v>
      </c>
      <c r="H171" s="675">
        <v>2.2523148148148143E-2</v>
      </c>
      <c r="J171" s="677"/>
      <c r="L171" s="677"/>
      <c r="M171" s="741">
        <v>0.33750000000000002</v>
      </c>
      <c r="N171" s="738"/>
      <c r="O171" s="677"/>
      <c r="Q171" s="674">
        <f t="shared" si="6"/>
        <v>191</v>
      </c>
      <c r="R171" s="685" t="s">
        <v>1678</v>
      </c>
      <c r="S171" s="674" t="s">
        <v>5895</v>
      </c>
    </row>
    <row r="172" spans="1:19" x14ac:dyDescent="0.2">
      <c r="A172" s="671">
        <f>A171+7</f>
        <v>42378</v>
      </c>
      <c r="B172" s="672" t="s">
        <v>2605</v>
      </c>
      <c r="E172" s="674" t="s">
        <v>1670</v>
      </c>
      <c r="F172" s="674"/>
      <c r="G172" s="674">
        <v>205</v>
      </c>
      <c r="H172" s="675">
        <v>2.2638888888888889E-2</v>
      </c>
      <c r="I172" s="672" t="s">
        <v>2693</v>
      </c>
      <c r="K172" s="747"/>
      <c r="M172" s="741">
        <v>0.33611111111111108</v>
      </c>
      <c r="N172" s="738"/>
      <c r="O172" s="677"/>
      <c r="Q172" s="674">
        <f t="shared" si="6"/>
        <v>192</v>
      </c>
      <c r="R172" s="685" t="s">
        <v>1793</v>
      </c>
      <c r="S172" s="674" t="s">
        <v>2073</v>
      </c>
    </row>
    <row r="173" spans="1:19" x14ac:dyDescent="0.2">
      <c r="A173" s="671">
        <f t="shared" ref="A173:A238" si="7">A172+7</f>
        <v>42385</v>
      </c>
      <c r="B173" s="672" t="s">
        <v>4041</v>
      </c>
      <c r="D173" s="675"/>
      <c r="E173" s="674" t="s">
        <v>4869</v>
      </c>
      <c r="F173" s="674"/>
      <c r="G173" s="674">
        <v>206</v>
      </c>
      <c r="H173" s="675">
        <v>3.0949074074074077E-2</v>
      </c>
      <c r="I173" s="672" t="s">
        <v>5747</v>
      </c>
      <c r="K173" s="747"/>
      <c r="M173" s="741">
        <v>0.33263888888888887</v>
      </c>
      <c r="N173" s="738"/>
      <c r="O173" s="677"/>
      <c r="Q173" s="674">
        <f t="shared" si="6"/>
        <v>193</v>
      </c>
      <c r="R173" s="685" t="s">
        <v>2430</v>
      </c>
      <c r="S173" s="674" t="s">
        <v>1000</v>
      </c>
    </row>
    <row r="174" spans="1:19" x14ac:dyDescent="0.2">
      <c r="A174" s="748">
        <f t="shared" si="7"/>
        <v>42392</v>
      </c>
      <c r="B174" s="672" t="s">
        <v>2811</v>
      </c>
      <c r="E174" s="674" t="s">
        <v>998</v>
      </c>
      <c r="F174" s="674"/>
      <c r="G174" s="685">
        <v>207</v>
      </c>
      <c r="H174" s="675">
        <v>2.210648148148148E-2</v>
      </c>
      <c r="K174" s="747"/>
      <c r="M174" s="741">
        <v>0.32777777777777778</v>
      </c>
      <c r="N174" s="738"/>
      <c r="O174" s="677"/>
      <c r="Q174" s="674">
        <f t="shared" si="6"/>
        <v>194</v>
      </c>
      <c r="R174" s="685" t="s">
        <v>4244</v>
      </c>
      <c r="S174" s="674" t="s">
        <v>1000</v>
      </c>
    </row>
    <row r="175" spans="1:19" x14ac:dyDescent="0.2">
      <c r="A175" s="671">
        <f t="shared" si="7"/>
        <v>42399</v>
      </c>
      <c r="B175" s="672" t="s">
        <v>2220</v>
      </c>
      <c r="E175" s="734" t="s">
        <v>5874</v>
      </c>
      <c r="F175" s="735"/>
      <c r="H175" s="675"/>
      <c r="K175" s="747"/>
      <c r="M175" s="741">
        <v>0.3215277777777778</v>
      </c>
      <c r="N175" s="738"/>
      <c r="O175" s="677"/>
      <c r="Q175" s="674">
        <f t="shared" si="6"/>
        <v>195</v>
      </c>
      <c r="R175" s="685" t="s">
        <v>4837</v>
      </c>
      <c r="S175" s="674" t="s">
        <v>5881</v>
      </c>
    </row>
    <row r="176" spans="1:19" x14ac:dyDescent="0.2">
      <c r="A176" s="671">
        <f t="shared" si="7"/>
        <v>42406</v>
      </c>
      <c r="B176" s="672" t="s">
        <v>5080</v>
      </c>
      <c r="E176" s="734" t="s">
        <v>5874</v>
      </c>
      <c r="F176" s="735"/>
      <c r="H176" s="675"/>
      <c r="K176" s="747"/>
      <c r="M176" s="741">
        <v>0.3125</v>
      </c>
      <c r="N176" s="738"/>
      <c r="O176" s="677"/>
      <c r="Q176" s="674">
        <f t="shared" si="6"/>
        <v>196</v>
      </c>
      <c r="R176" s="685" t="s">
        <v>2337</v>
      </c>
      <c r="S176" s="674" t="s">
        <v>4554</v>
      </c>
    </row>
    <row r="177" spans="1:19" x14ac:dyDescent="0.2">
      <c r="A177" s="671">
        <f t="shared" si="7"/>
        <v>42413</v>
      </c>
      <c r="B177" s="672" t="s">
        <v>3969</v>
      </c>
      <c r="E177" s="674" t="s">
        <v>2147</v>
      </c>
      <c r="F177" s="674"/>
      <c r="G177" s="674">
        <v>208</v>
      </c>
      <c r="H177" s="675">
        <v>2.4918981481481483E-2</v>
      </c>
      <c r="I177" s="672" t="s">
        <v>3970</v>
      </c>
      <c r="K177" s="749"/>
      <c r="M177" s="739">
        <v>0.3034722222222222</v>
      </c>
      <c r="N177" s="738"/>
      <c r="O177" s="677"/>
      <c r="Q177" s="674">
        <v>197</v>
      </c>
      <c r="R177" s="685" t="s">
        <v>3669</v>
      </c>
      <c r="S177" s="674" t="s">
        <v>1000</v>
      </c>
    </row>
    <row r="178" spans="1:19" x14ac:dyDescent="0.2">
      <c r="A178" s="671">
        <f t="shared" si="7"/>
        <v>42420</v>
      </c>
      <c r="B178" s="672" t="s">
        <v>703</v>
      </c>
      <c r="E178" s="674" t="s">
        <v>797</v>
      </c>
      <c r="F178" s="674"/>
      <c r="G178" s="674">
        <v>209</v>
      </c>
      <c r="H178" s="675">
        <v>2.207175925925926E-2</v>
      </c>
      <c r="K178" s="747"/>
      <c r="M178" s="739">
        <v>0.29444444444444445</v>
      </c>
      <c r="N178" s="738"/>
      <c r="O178" s="677"/>
      <c r="Q178" s="674">
        <v>198</v>
      </c>
      <c r="R178" s="685" t="s">
        <v>5092</v>
      </c>
      <c r="S178" s="674" t="s">
        <v>1000</v>
      </c>
    </row>
    <row r="179" spans="1:19" x14ac:dyDescent="0.2">
      <c r="A179" s="671">
        <f t="shared" si="7"/>
        <v>42427</v>
      </c>
      <c r="B179" s="672" t="s">
        <v>3562</v>
      </c>
      <c r="E179" s="674" t="s">
        <v>2097</v>
      </c>
      <c r="F179" s="674"/>
      <c r="G179" s="674">
        <v>210</v>
      </c>
      <c r="H179" s="675">
        <v>2.2152777777777775E-2</v>
      </c>
      <c r="I179" s="672" t="s">
        <v>767</v>
      </c>
      <c r="K179" s="747"/>
      <c r="M179" s="739">
        <v>0.28402777777777777</v>
      </c>
      <c r="N179" s="738"/>
      <c r="O179" s="677"/>
      <c r="Q179" s="674">
        <v>199</v>
      </c>
      <c r="R179" s="685" t="s">
        <v>2090</v>
      </c>
      <c r="S179" s="674" t="s">
        <v>909</v>
      </c>
    </row>
    <row r="180" spans="1:19" x14ac:dyDescent="0.2">
      <c r="A180" s="671">
        <f t="shared" si="7"/>
        <v>42434</v>
      </c>
      <c r="B180" s="672" t="s">
        <v>4312</v>
      </c>
      <c r="E180" s="674" t="s">
        <v>67</v>
      </c>
      <c r="F180" s="750"/>
      <c r="G180" s="674">
        <v>211</v>
      </c>
      <c r="H180" s="675">
        <v>2.2673611111111113E-2</v>
      </c>
      <c r="M180" s="739">
        <v>0.27361111111111108</v>
      </c>
      <c r="N180" s="738"/>
      <c r="O180" s="677"/>
      <c r="Q180" s="674">
        <v>200</v>
      </c>
      <c r="R180" s="685" t="s">
        <v>3174</v>
      </c>
      <c r="S180" s="674" t="s">
        <v>1000</v>
      </c>
    </row>
    <row r="181" spans="1:19" x14ac:dyDescent="0.2">
      <c r="A181" s="671">
        <f t="shared" si="7"/>
        <v>42441</v>
      </c>
      <c r="B181" s="672" t="s">
        <v>66</v>
      </c>
      <c r="E181" s="674" t="s">
        <v>4313</v>
      </c>
      <c r="F181" s="750"/>
      <c r="G181" s="674">
        <v>212</v>
      </c>
      <c r="H181" s="675">
        <v>2.2233796296296297E-2</v>
      </c>
      <c r="M181" s="739">
        <v>0.26250000000000001</v>
      </c>
      <c r="N181" s="720"/>
      <c r="Q181" s="674">
        <v>201</v>
      </c>
      <c r="R181" s="685" t="s">
        <v>972</v>
      </c>
      <c r="S181" s="674" t="s">
        <v>2725</v>
      </c>
    </row>
    <row r="182" spans="1:19" x14ac:dyDescent="0.2">
      <c r="A182" s="671">
        <f t="shared" si="7"/>
        <v>42448</v>
      </c>
      <c r="B182" s="672" t="s">
        <v>5861</v>
      </c>
      <c r="E182" s="674" t="s">
        <v>1507</v>
      </c>
      <c r="F182" s="674"/>
      <c r="G182" s="674">
        <v>213</v>
      </c>
      <c r="H182" s="675">
        <v>2.2175925925925929E-2</v>
      </c>
      <c r="M182" s="739">
        <v>0.25138888888888888</v>
      </c>
      <c r="N182" s="720"/>
      <c r="Q182" s="674">
        <v>202</v>
      </c>
      <c r="R182" s="685" t="s">
        <v>2596</v>
      </c>
      <c r="S182" s="674" t="s">
        <v>5097</v>
      </c>
    </row>
    <row r="183" spans="1:19" x14ac:dyDescent="0.2">
      <c r="A183" s="671">
        <f t="shared" si="7"/>
        <v>42455</v>
      </c>
      <c r="B183" s="672" t="s">
        <v>5142</v>
      </c>
      <c r="E183" s="674" t="s">
        <v>2419</v>
      </c>
      <c r="F183" s="674"/>
      <c r="G183" s="674">
        <v>214</v>
      </c>
      <c r="H183" s="675">
        <v>2.3472222222222217E-2</v>
      </c>
      <c r="I183" s="672" t="s">
        <v>42</v>
      </c>
      <c r="M183" s="739">
        <v>0.24027777777777778</v>
      </c>
      <c r="N183" s="720" t="s">
        <v>1282</v>
      </c>
      <c r="Q183" s="751">
        <v>203</v>
      </c>
      <c r="R183" s="685" t="s">
        <v>4535</v>
      </c>
      <c r="S183" s="674" t="s">
        <v>1270</v>
      </c>
    </row>
    <row r="184" spans="1:19" x14ac:dyDescent="0.2">
      <c r="A184" s="671">
        <f t="shared" si="7"/>
        <v>42462</v>
      </c>
      <c r="E184" s="674" t="s">
        <v>6020</v>
      </c>
      <c r="F184" s="674"/>
      <c r="G184" s="674">
        <v>215</v>
      </c>
      <c r="H184" s="675">
        <v>2.2002314814814818E-2</v>
      </c>
      <c r="M184" s="739">
        <v>0.27083333333333331</v>
      </c>
      <c r="N184" s="720"/>
      <c r="Q184" s="674">
        <v>204</v>
      </c>
      <c r="R184" s="685" t="s">
        <v>1554</v>
      </c>
      <c r="S184" s="674" t="s">
        <v>1000</v>
      </c>
    </row>
    <row r="185" spans="1:19" x14ac:dyDescent="0.2">
      <c r="A185" s="671">
        <f t="shared" si="7"/>
        <v>42469</v>
      </c>
      <c r="E185" s="685" t="s">
        <v>5267</v>
      </c>
      <c r="F185" s="686"/>
      <c r="G185" s="674">
        <v>216</v>
      </c>
      <c r="H185" s="675">
        <v>2.1909722222222223E-2</v>
      </c>
      <c r="M185" s="739">
        <v>0.26041666666666669</v>
      </c>
      <c r="N185" s="720"/>
      <c r="Q185" s="674">
        <v>205</v>
      </c>
      <c r="R185" s="685" t="s">
        <v>5981</v>
      </c>
      <c r="S185" s="674" t="s">
        <v>5951</v>
      </c>
    </row>
    <row r="186" spans="1:19" x14ac:dyDescent="0.2">
      <c r="A186" s="671">
        <f t="shared" si="7"/>
        <v>42476</v>
      </c>
      <c r="B186" s="672" t="s">
        <v>1759</v>
      </c>
      <c r="E186" s="674" t="s">
        <v>1760</v>
      </c>
      <c r="F186" s="674"/>
      <c r="G186" s="674">
        <v>217</v>
      </c>
      <c r="H186" s="675">
        <v>2.3217592592592592E-2</v>
      </c>
      <c r="M186" s="739">
        <v>0.25</v>
      </c>
      <c r="N186" s="720"/>
      <c r="Q186" s="674">
        <v>206</v>
      </c>
      <c r="R186" s="685" t="s">
        <v>4510</v>
      </c>
      <c r="S186" s="674" t="s">
        <v>1000</v>
      </c>
    </row>
    <row r="187" spans="1:19" x14ac:dyDescent="0.2">
      <c r="A187" s="671">
        <f t="shared" si="7"/>
        <v>42483</v>
      </c>
      <c r="B187" s="672" t="s">
        <v>2481</v>
      </c>
      <c r="E187" s="674" t="s">
        <v>3824</v>
      </c>
      <c r="F187" s="674"/>
      <c r="G187" s="674">
        <v>218</v>
      </c>
      <c r="H187" s="675">
        <v>2.2361111111111113E-2</v>
      </c>
      <c r="M187" s="739">
        <v>0.23958333333333334</v>
      </c>
      <c r="N187" s="720"/>
      <c r="Q187" s="674">
        <v>207</v>
      </c>
      <c r="R187" s="685" t="s">
        <v>5055</v>
      </c>
      <c r="S187" s="674" t="s">
        <v>5096</v>
      </c>
    </row>
    <row r="188" spans="1:19" x14ac:dyDescent="0.2">
      <c r="A188" s="671">
        <f t="shared" si="7"/>
        <v>42490</v>
      </c>
      <c r="E188" s="674" t="s">
        <v>3469</v>
      </c>
      <c r="F188" s="674"/>
      <c r="G188" s="674">
        <v>219</v>
      </c>
      <c r="H188" s="675">
        <v>2.3171296296296297E-2</v>
      </c>
      <c r="M188" s="733">
        <v>0.2298611111111111</v>
      </c>
      <c r="N188" s="720"/>
      <c r="Q188" s="674">
        <v>208</v>
      </c>
      <c r="R188" s="685" t="s">
        <v>479</v>
      </c>
      <c r="S188" s="674" t="s">
        <v>1000</v>
      </c>
    </row>
    <row r="189" spans="1:19" x14ac:dyDescent="0.2">
      <c r="A189" s="671">
        <f t="shared" si="7"/>
        <v>42497</v>
      </c>
      <c r="E189" s="674" t="s">
        <v>246</v>
      </c>
      <c r="F189" s="674"/>
      <c r="G189" s="674">
        <v>220</v>
      </c>
      <c r="H189" s="675">
        <v>2.4282407407407409E-2</v>
      </c>
      <c r="I189" s="80" t="s">
        <v>554</v>
      </c>
      <c r="M189" s="700"/>
      <c r="N189" s="720"/>
      <c r="Q189" s="674">
        <v>209</v>
      </c>
      <c r="R189" s="685" t="s">
        <v>2294</v>
      </c>
      <c r="S189" s="674" t="s">
        <v>1000</v>
      </c>
    </row>
    <row r="190" spans="1:19" x14ac:dyDescent="0.2">
      <c r="A190" s="671">
        <f t="shared" si="7"/>
        <v>42504</v>
      </c>
      <c r="B190" s="672" t="s">
        <v>967</v>
      </c>
      <c r="E190" s="674" t="s">
        <v>3675</v>
      </c>
      <c r="F190" s="674"/>
      <c r="G190" s="674">
        <v>221</v>
      </c>
      <c r="H190" s="675">
        <v>2.1967592592592594E-2</v>
      </c>
      <c r="I190" s="672" t="s">
        <v>968</v>
      </c>
      <c r="M190" s="700"/>
      <c r="N190" s="720"/>
      <c r="Q190" s="674">
        <v>210</v>
      </c>
      <c r="R190" s="685" t="s">
        <v>2635</v>
      </c>
      <c r="S190" s="674" t="s">
        <v>909</v>
      </c>
    </row>
    <row r="191" spans="1:19" x14ac:dyDescent="0.2">
      <c r="A191" s="671">
        <f t="shared" si="7"/>
        <v>42511</v>
      </c>
      <c r="B191" s="672" t="s">
        <v>4254</v>
      </c>
      <c r="E191" s="674" t="s">
        <v>5093</v>
      </c>
      <c r="F191" s="674"/>
      <c r="G191" s="674">
        <v>222</v>
      </c>
      <c r="H191" s="675">
        <v>2.5520833333333336E-2</v>
      </c>
      <c r="I191" s="80" t="s">
        <v>554</v>
      </c>
      <c r="M191" s="700"/>
      <c r="N191" s="720"/>
      <c r="Q191" s="674">
        <v>211</v>
      </c>
      <c r="R191" s="685" t="s">
        <v>1694</v>
      </c>
      <c r="S191" s="674" t="s">
        <v>2752</v>
      </c>
    </row>
    <row r="192" spans="1:19" x14ac:dyDescent="0.2">
      <c r="A192" s="671">
        <f t="shared" si="7"/>
        <v>42518</v>
      </c>
      <c r="B192" s="672" t="s">
        <v>3784</v>
      </c>
      <c r="E192" s="674" t="s">
        <v>4135</v>
      </c>
      <c r="F192" s="674"/>
      <c r="G192" s="674">
        <v>223</v>
      </c>
      <c r="H192" s="675">
        <v>2.2523148148148143E-2</v>
      </c>
      <c r="I192" s="80" t="s">
        <v>1321</v>
      </c>
      <c r="M192" s="700"/>
      <c r="N192" s="720"/>
      <c r="Q192" s="674">
        <v>212</v>
      </c>
      <c r="R192" s="685" t="s">
        <v>5039</v>
      </c>
      <c r="S192" s="674" t="s">
        <v>1000</v>
      </c>
    </row>
    <row r="193" spans="1:19" x14ac:dyDescent="0.2">
      <c r="A193" s="671">
        <f t="shared" si="7"/>
        <v>42525</v>
      </c>
      <c r="B193" s="672" t="s">
        <v>3272</v>
      </c>
      <c r="E193" s="674" t="s">
        <v>3263</v>
      </c>
      <c r="F193" s="674"/>
      <c r="G193" s="674">
        <v>224</v>
      </c>
      <c r="H193" s="675">
        <v>2.2743055555555555E-2</v>
      </c>
      <c r="I193" s="672" t="s">
        <v>4136</v>
      </c>
      <c r="M193" s="700"/>
      <c r="N193" s="720"/>
      <c r="Q193" s="674">
        <v>213</v>
      </c>
      <c r="R193" s="685" t="s">
        <v>850</v>
      </c>
      <c r="S193" s="674" t="s">
        <v>888</v>
      </c>
    </row>
    <row r="194" spans="1:19" x14ac:dyDescent="0.2">
      <c r="A194" s="671">
        <f t="shared" si="7"/>
        <v>42532</v>
      </c>
      <c r="B194" s="672" t="s">
        <v>3571</v>
      </c>
      <c r="E194" s="674" t="s">
        <v>3964</v>
      </c>
      <c r="F194" s="674"/>
      <c r="G194" s="674">
        <v>225</v>
      </c>
      <c r="H194" s="675">
        <v>2.431712962962963E-2</v>
      </c>
      <c r="I194" s="80" t="s">
        <v>554</v>
      </c>
      <c r="M194" s="700"/>
      <c r="N194" s="720"/>
      <c r="Q194" s="674">
        <v>214</v>
      </c>
      <c r="R194" s="685" t="s">
        <v>1380</v>
      </c>
      <c r="S194" s="674" t="s">
        <v>1000</v>
      </c>
    </row>
    <row r="195" spans="1:19" x14ac:dyDescent="0.2">
      <c r="A195" s="671">
        <f t="shared" si="7"/>
        <v>42539</v>
      </c>
      <c r="B195" s="672" t="s">
        <v>3293</v>
      </c>
      <c r="E195" s="674" t="s">
        <v>4004</v>
      </c>
      <c r="F195" s="674"/>
      <c r="G195" s="674">
        <v>226</v>
      </c>
      <c r="H195" s="752">
        <v>2.1770833333333336E-2</v>
      </c>
      <c r="I195" s="672" t="s">
        <v>4406</v>
      </c>
      <c r="M195" s="700"/>
      <c r="N195" s="720"/>
      <c r="Q195" s="674">
        <v>215</v>
      </c>
      <c r="R195" s="685" t="s">
        <v>4725</v>
      </c>
      <c r="S195" s="674" t="s">
        <v>888</v>
      </c>
    </row>
    <row r="196" spans="1:19" x14ac:dyDescent="0.2">
      <c r="A196" s="671">
        <f t="shared" si="7"/>
        <v>42546</v>
      </c>
      <c r="B196" s="672" t="s">
        <v>4253</v>
      </c>
      <c r="E196" s="674" t="s">
        <v>655</v>
      </c>
      <c r="F196" s="674"/>
      <c r="G196" s="674">
        <v>227</v>
      </c>
      <c r="H196" s="675">
        <v>2.2569444444444444E-2</v>
      </c>
      <c r="M196" s="700"/>
      <c r="N196" s="720"/>
      <c r="O196" s="675"/>
      <c r="Q196" s="674">
        <v>216</v>
      </c>
      <c r="R196" s="685" t="s">
        <v>4141</v>
      </c>
      <c r="S196" s="674" t="s">
        <v>1000</v>
      </c>
    </row>
    <row r="197" spans="1:19" x14ac:dyDescent="0.2">
      <c r="A197" s="671">
        <f t="shared" si="7"/>
        <v>42553</v>
      </c>
      <c r="E197" s="674" t="s">
        <v>1002</v>
      </c>
      <c r="F197" s="674"/>
      <c r="G197" s="674">
        <v>228</v>
      </c>
      <c r="H197" s="675">
        <v>2.4050925925925924E-2</v>
      </c>
      <c r="M197" s="687"/>
      <c r="N197" s="720"/>
      <c r="O197" s="675"/>
      <c r="Q197" s="674">
        <v>217</v>
      </c>
      <c r="R197" s="685" t="s">
        <v>4739</v>
      </c>
      <c r="S197" s="674" t="s">
        <v>888</v>
      </c>
    </row>
    <row r="198" spans="1:19" x14ac:dyDescent="0.2">
      <c r="A198" s="753">
        <f t="shared" si="7"/>
        <v>42560</v>
      </c>
      <c r="B198" s="672" t="s">
        <v>5770</v>
      </c>
      <c r="E198" s="734" t="s">
        <v>5873</v>
      </c>
      <c r="F198" s="701"/>
      <c r="G198" s="672" t="s">
        <v>1698</v>
      </c>
      <c r="I198" s="672" t="s">
        <v>1212</v>
      </c>
      <c r="M198" s="687"/>
      <c r="N198" s="720"/>
      <c r="O198" s="675"/>
      <c r="Q198" s="674">
        <v>218</v>
      </c>
      <c r="R198" s="685" t="s">
        <v>5554</v>
      </c>
      <c r="S198" s="674" t="s">
        <v>5096</v>
      </c>
    </row>
    <row r="199" spans="1:19" x14ac:dyDescent="0.2">
      <c r="A199" s="753">
        <f t="shared" si="7"/>
        <v>42567</v>
      </c>
      <c r="B199" s="672" t="s">
        <v>66</v>
      </c>
      <c r="E199" s="734" t="s">
        <v>5580</v>
      </c>
      <c r="F199" s="701"/>
      <c r="G199" s="672" t="s">
        <v>1698</v>
      </c>
      <c r="M199" s="720"/>
      <c r="N199" s="720"/>
      <c r="O199" s="675"/>
      <c r="Q199" s="674">
        <v>219</v>
      </c>
      <c r="R199" s="685" t="s">
        <v>4529</v>
      </c>
      <c r="S199" s="674" t="s">
        <v>4596</v>
      </c>
    </row>
    <row r="200" spans="1:19" x14ac:dyDescent="0.2">
      <c r="A200" s="671">
        <f t="shared" si="7"/>
        <v>42574</v>
      </c>
      <c r="B200" s="672" t="s">
        <v>5142</v>
      </c>
      <c r="E200" s="674" t="s">
        <v>3825</v>
      </c>
      <c r="F200" s="674"/>
      <c r="G200" s="674">
        <v>229</v>
      </c>
      <c r="H200" s="675">
        <v>2.476851851851852E-2</v>
      </c>
      <c r="M200" s="733"/>
      <c r="N200" s="720"/>
      <c r="O200" s="675"/>
      <c r="P200" s="724">
        <v>2015</v>
      </c>
      <c r="Q200" s="725">
        <v>220</v>
      </c>
      <c r="R200" s="754" t="s">
        <v>2965</v>
      </c>
      <c r="S200" s="725" t="s">
        <v>4596</v>
      </c>
    </row>
    <row r="201" spans="1:19" x14ac:dyDescent="0.2">
      <c r="A201" s="671">
        <f t="shared" si="7"/>
        <v>42581</v>
      </c>
      <c r="B201" s="672" t="s">
        <v>3049</v>
      </c>
      <c r="E201" s="685" t="s">
        <v>5885</v>
      </c>
      <c r="F201" s="685"/>
      <c r="G201" s="674">
        <v>230</v>
      </c>
      <c r="H201" s="675">
        <v>2.3333333333333334E-2</v>
      </c>
      <c r="I201" s="672" t="s">
        <v>3292</v>
      </c>
      <c r="M201" s="733"/>
      <c r="N201" s="720"/>
      <c r="O201" s="675"/>
      <c r="P201" s="672">
        <v>2016</v>
      </c>
      <c r="Q201" s="674">
        <v>221</v>
      </c>
      <c r="R201" s="685" t="s">
        <v>2869</v>
      </c>
      <c r="S201" s="674" t="s">
        <v>4637</v>
      </c>
    </row>
    <row r="202" spans="1:19" x14ac:dyDescent="0.2">
      <c r="A202" s="671">
        <f t="shared" si="7"/>
        <v>42588</v>
      </c>
      <c r="B202" s="672" t="s">
        <v>3371</v>
      </c>
      <c r="E202" s="674" t="s">
        <v>1219</v>
      </c>
      <c r="F202" s="674"/>
      <c r="G202" s="674">
        <v>231</v>
      </c>
      <c r="H202" s="675">
        <v>2.508101851851852E-2</v>
      </c>
      <c r="I202" s="80" t="s">
        <v>554</v>
      </c>
      <c r="M202" s="720"/>
      <c r="N202" s="720"/>
      <c r="Q202" s="674">
        <v>222</v>
      </c>
      <c r="R202" s="685" t="s">
        <v>452</v>
      </c>
      <c r="S202" s="674" t="s">
        <v>888</v>
      </c>
    </row>
    <row r="203" spans="1:19" x14ac:dyDescent="0.2">
      <c r="A203" s="671">
        <f t="shared" si="7"/>
        <v>42595</v>
      </c>
      <c r="B203" s="672" t="s">
        <v>66</v>
      </c>
      <c r="E203" s="734" t="s">
        <v>5725</v>
      </c>
      <c r="F203" s="734"/>
      <c r="H203" s="675"/>
      <c r="I203" s="755"/>
      <c r="J203" s="755"/>
      <c r="M203" s="733">
        <v>0.2388888888888889</v>
      </c>
      <c r="N203" s="720"/>
      <c r="Q203" s="674">
        <v>223</v>
      </c>
      <c r="R203" s="685" t="s">
        <v>3225</v>
      </c>
      <c r="S203" s="674" t="s">
        <v>5903</v>
      </c>
    </row>
    <row r="204" spans="1:19" x14ac:dyDescent="0.2">
      <c r="A204" s="671">
        <f t="shared" si="7"/>
        <v>42602</v>
      </c>
      <c r="B204" s="672" t="s">
        <v>1333</v>
      </c>
      <c r="E204" s="674" t="s">
        <v>998</v>
      </c>
      <c r="F204" s="674"/>
      <c r="G204" s="674">
        <v>232</v>
      </c>
      <c r="H204" s="675">
        <v>2.2731481481481481E-2</v>
      </c>
      <c r="M204" s="733">
        <v>0.24652777777777779</v>
      </c>
      <c r="N204" s="720"/>
      <c r="Q204" s="674">
        <v>224</v>
      </c>
      <c r="R204" s="685" t="s">
        <v>4202</v>
      </c>
      <c r="S204" s="674" t="s">
        <v>5903</v>
      </c>
    </row>
    <row r="205" spans="1:19" x14ac:dyDescent="0.2">
      <c r="A205" s="753">
        <f t="shared" si="7"/>
        <v>42609</v>
      </c>
      <c r="B205" s="672" t="s">
        <v>2174</v>
      </c>
      <c r="E205" s="734" t="s">
        <v>637</v>
      </c>
      <c r="F205" s="734"/>
      <c r="H205" s="675"/>
      <c r="M205" s="733">
        <v>0.25416666666666665</v>
      </c>
      <c r="Q205" s="674">
        <v>225</v>
      </c>
      <c r="R205" s="685" t="s">
        <v>5267</v>
      </c>
      <c r="S205" s="674" t="s">
        <v>4596</v>
      </c>
    </row>
    <row r="206" spans="1:19" x14ac:dyDescent="0.2">
      <c r="A206" s="671">
        <f t="shared" si="7"/>
        <v>42616</v>
      </c>
      <c r="B206" s="672" t="s">
        <v>66</v>
      </c>
      <c r="E206" s="674" t="s">
        <v>5288</v>
      </c>
      <c r="F206" s="674"/>
      <c r="G206" s="674">
        <v>233</v>
      </c>
      <c r="H206" s="675">
        <v>2.2847222222222224E-2</v>
      </c>
      <c r="I206" s="672" t="s">
        <v>5287</v>
      </c>
      <c r="M206" s="733">
        <v>0.26180555555555557</v>
      </c>
      <c r="Q206" s="674">
        <v>226</v>
      </c>
      <c r="R206" s="685" t="s">
        <v>4845</v>
      </c>
      <c r="S206" s="674" t="s">
        <v>1000</v>
      </c>
    </row>
    <row r="207" spans="1:19" x14ac:dyDescent="0.2">
      <c r="A207" s="671">
        <f t="shared" si="7"/>
        <v>42623</v>
      </c>
      <c r="B207" s="672" t="s">
        <v>5458</v>
      </c>
      <c r="E207" s="674" t="s">
        <v>4625</v>
      </c>
      <c r="F207" s="674"/>
      <c r="G207" s="674">
        <v>234</v>
      </c>
      <c r="H207" s="675">
        <v>2.2754629629629628E-2</v>
      </c>
      <c r="M207" s="733">
        <v>0.27013888888888887</v>
      </c>
      <c r="Q207" s="674">
        <v>227</v>
      </c>
      <c r="R207" s="685" t="s">
        <v>2638</v>
      </c>
      <c r="S207" s="674" t="s">
        <v>1000</v>
      </c>
    </row>
    <row r="208" spans="1:19" x14ac:dyDescent="0.2">
      <c r="A208" s="671">
        <f t="shared" si="7"/>
        <v>42630</v>
      </c>
      <c r="E208" s="674" t="s">
        <v>5453</v>
      </c>
      <c r="F208" s="674"/>
      <c r="G208" s="674">
        <v>235</v>
      </c>
      <c r="H208" s="675">
        <v>2.4236111111111111E-2</v>
      </c>
      <c r="I208" s="672" t="s">
        <v>4873</v>
      </c>
      <c r="M208" s="733">
        <v>0.27777777777777779</v>
      </c>
      <c r="Q208" s="674">
        <v>228</v>
      </c>
      <c r="R208" s="685" t="s">
        <v>4199</v>
      </c>
      <c r="S208" s="674" t="s">
        <v>5903</v>
      </c>
    </row>
    <row r="209" spans="1:20" x14ac:dyDescent="0.2">
      <c r="A209" s="753">
        <f t="shared" si="7"/>
        <v>42637</v>
      </c>
      <c r="B209" s="672" t="s">
        <v>847</v>
      </c>
      <c r="E209" s="734" t="s">
        <v>1695</v>
      </c>
      <c r="F209" s="734"/>
      <c r="H209" s="675"/>
      <c r="Q209" s="674">
        <v>229</v>
      </c>
      <c r="R209" s="685" t="s">
        <v>2732</v>
      </c>
      <c r="S209" s="674" t="s">
        <v>1000</v>
      </c>
    </row>
    <row r="210" spans="1:20" x14ac:dyDescent="0.2">
      <c r="A210" s="671">
        <f t="shared" si="7"/>
        <v>42644</v>
      </c>
      <c r="B210" s="672" t="s">
        <v>3065</v>
      </c>
      <c r="E210" s="674" t="s">
        <v>3046</v>
      </c>
      <c r="F210" s="674"/>
      <c r="G210" s="674">
        <v>236</v>
      </c>
      <c r="H210" s="675">
        <v>2.2789351851851852E-2</v>
      </c>
      <c r="I210" s="672" t="s">
        <v>5279</v>
      </c>
      <c r="M210" s="733">
        <v>0.29305555555555557</v>
      </c>
      <c r="Q210" s="674">
        <v>230</v>
      </c>
      <c r="R210" s="685" t="s">
        <v>5492</v>
      </c>
      <c r="S210" s="674" t="s">
        <v>70</v>
      </c>
    </row>
    <row r="211" spans="1:20" x14ac:dyDescent="0.2">
      <c r="A211" s="671">
        <f t="shared" si="7"/>
        <v>42651</v>
      </c>
      <c r="B211" s="672" t="s">
        <v>728</v>
      </c>
      <c r="E211" s="674" t="s">
        <v>1266</v>
      </c>
      <c r="F211" s="674"/>
      <c r="G211" s="674">
        <v>237</v>
      </c>
      <c r="H211" s="675">
        <v>2.5370370370370366E-2</v>
      </c>
      <c r="I211" s="672" t="s">
        <v>5280</v>
      </c>
      <c r="M211" s="733">
        <v>0.30069444444444443</v>
      </c>
      <c r="Q211" s="674">
        <v>231</v>
      </c>
      <c r="R211" s="685" t="s">
        <v>2068</v>
      </c>
      <c r="S211" s="674" t="s">
        <v>5241</v>
      </c>
    </row>
    <row r="212" spans="1:20" x14ac:dyDescent="0.2">
      <c r="A212" s="671">
        <f t="shared" si="7"/>
        <v>42658</v>
      </c>
      <c r="B212" s="672" t="s">
        <v>3739</v>
      </c>
      <c r="E212" s="756" t="s">
        <v>730</v>
      </c>
      <c r="F212" s="756"/>
      <c r="G212" s="756">
        <v>238</v>
      </c>
      <c r="H212" s="675">
        <v>2.2569444444444444E-2</v>
      </c>
      <c r="I212" s="672" t="s">
        <v>4951</v>
      </c>
      <c r="M212" s="757">
        <v>0.30902777777777779</v>
      </c>
      <c r="Q212" s="674">
        <v>232</v>
      </c>
      <c r="R212" s="685" t="s">
        <v>3093</v>
      </c>
      <c r="S212" s="674" t="s">
        <v>4322</v>
      </c>
    </row>
    <row r="213" spans="1:20" x14ac:dyDescent="0.2">
      <c r="A213" s="758">
        <f t="shared" si="7"/>
        <v>42665</v>
      </c>
      <c r="B213" s="672" t="s">
        <v>519</v>
      </c>
      <c r="E213" s="756" t="s">
        <v>5581</v>
      </c>
      <c r="F213" s="756"/>
      <c r="G213" s="756">
        <v>239</v>
      </c>
      <c r="H213" s="675">
        <v>2.3391203703703702E-2</v>
      </c>
      <c r="M213" s="757">
        <v>0.31736111111111115</v>
      </c>
      <c r="Q213" s="674">
        <v>233</v>
      </c>
      <c r="R213" s="685" t="s">
        <v>842</v>
      </c>
      <c r="S213" s="674" t="s">
        <v>72</v>
      </c>
      <c r="T213" s="675">
        <v>1.6967592592592593E-2</v>
      </c>
    </row>
    <row r="214" spans="1:20" x14ac:dyDescent="0.2">
      <c r="A214" s="758">
        <f t="shared" si="7"/>
        <v>42672</v>
      </c>
      <c r="B214" s="672" t="s">
        <v>14</v>
      </c>
      <c r="E214" s="756" t="s">
        <v>3740</v>
      </c>
      <c r="F214" s="756"/>
      <c r="G214" s="756">
        <v>240</v>
      </c>
      <c r="H214" s="675">
        <v>2.326388888888889E-2</v>
      </c>
      <c r="M214" s="757">
        <v>0.32569444444444445</v>
      </c>
      <c r="N214" s="672" t="s">
        <v>1282</v>
      </c>
      <c r="Q214" s="674">
        <v>234</v>
      </c>
      <c r="R214" s="685" t="s">
        <v>4321</v>
      </c>
      <c r="S214" s="674" t="s">
        <v>4637</v>
      </c>
      <c r="T214" s="675">
        <v>1.7037037037037038E-2</v>
      </c>
    </row>
    <row r="215" spans="1:20" x14ac:dyDescent="0.2">
      <c r="A215" s="758">
        <f t="shared" si="7"/>
        <v>42679</v>
      </c>
      <c r="B215" s="672" t="s">
        <v>625</v>
      </c>
      <c r="E215" s="756" t="s">
        <v>4150</v>
      </c>
      <c r="F215" s="756"/>
      <c r="G215" s="756">
        <v>241</v>
      </c>
      <c r="H215" s="675">
        <v>2.449074074074074E-2</v>
      </c>
      <c r="M215" s="733">
        <v>0.29305555555555557</v>
      </c>
      <c r="Q215" s="674">
        <v>235</v>
      </c>
      <c r="R215" s="415" t="s">
        <v>2465</v>
      </c>
      <c r="S215" s="674" t="s">
        <v>1000</v>
      </c>
      <c r="T215" s="675">
        <v>1.832175925925926E-2</v>
      </c>
    </row>
    <row r="216" spans="1:20" x14ac:dyDescent="0.2">
      <c r="A216" s="758">
        <f t="shared" si="7"/>
        <v>42686</v>
      </c>
      <c r="B216" s="672" t="s">
        <v>6034</v>
      </c>
      <c r="E216" s="756" t="s">
        <v>5484</v>
      </c>
      <c r="F216" s="756"/>
      <c r="G216" s="756">
        <v>242</v>
      </c>
      <c r="H216" s="1142">
        <v>2.5949074074074072E-2</v>
      </c>
      <c r="I216" s="862" t="s">
        <v>1317</v>
      </c>
      <c r="M216" s="733">
        <v>0.30138888888888887</v>
      </c>
      <c r="Q216" s="674">
        <v>236</v>
      </c>
      <c r="R216" s="685" t="s">
        <v>2872</v>
      </c>
      <c r="S216" s="674" t="s">
        <v>4778</v>
      </c>
      <c r="T216" s="675">
        <v>2.2789351851851852E-2</v>
      </c>
    </row>
    <row r="217" spans="1:20" x14ac:dyDescent="0.2">
      <c r="A217" s="758">
        <f t="shared" si="7"/>
        <v>42693</v>
      </c>
      <c r="B217" s="681" t="s">
        <v>2637</v>
      </c>
      <c r="E217" s="759"/>
      <c r="F217" s="759"/>
      <c r="H217" s="675"/>
      <c r="I217" s="672" t="s">
        <v>1156</v>
      </c>
      <c r="M217" s="733">
        <v>0.30972222222222223</v>
      </c>
      <c r="Q217" s="674">
        <v>237</v>
      </c>
      <c r="R217" s="685" t="s">
        <v>2082</v>
      </c>
      <c r="S217" s="674" t="s">
        <v>4322</v>
      </c>
    </row>
    <row r="218" spans="1:20" x14ac:dyDescent="0.2">
      <c r="A218" s="758">
        <f t="shared" si="7"/>
        <v>42700</v>
      </c>
      <c r="B218" s="681" t="s">
        <v>3947</v>
      </c>
      <c r="E218" s="756" t="s">
        <v>1122</v>
      </c>
      <c r="F218" s="756"/>
      <c r="G218" s="756">
        <v>243</v>
      </c>
      <c r="H218" s="675">
        <v>2.7372685185185184E-2</v>
      </c>
      <c r="M218" s="757">
        <v>0.31736111111111115</v>
      </c>
      <c r="Q218" s="674">
        <v>238</v>
      </c>
      <c r="R218" s="685" t="s">
        <v>668</v>
      </c>
      <c r="S218" s="674" t="s">
        <v>298</v>
      </c>
    </row>
    <row r="219" spans="1:20" x14ac:dyDescent="0.2">
      <c r="A219" s="758">
        <f t="shared" si="7"/>
        <v>42707</v>
      </c>
      <c r="B219" s="672" t="s">
        <v>2422</v>
      </c>
      <c r="E219" s="756" t="s">
        <v>2853</v>
      </c>
      <c r="F219" s="756"/>
      <c r="G219" s="756">
        <v>244</v>
      </c>
      <c r="H219" s="675">
        <v>2.4907407407407406E-2</v>
      </c>
      <c r="M219" s="757">
        <v>0.32430555555555557</v>
      </c>
      <c r="Q219" s="674">
        <v>239</v>
      </c>
      <c r="R219" s="685" t="s">
        <v>761</v>
      </c>
      <c r="S219" s="674" t="s">
        <v>1270</v>
      </c>
    </row>
    <row r="220" spans="1:20" x14ac:dyDescent="0.2">
      <c r="A220" s="758">
        <f t="shared" si="7"/>
        <v>42714</v>
      </c>
      <c r="B220" s="672" t="s">
        <v>2963</v>
      </c>
      <c r="E220" s="760" t="s">
        <v>999</v>
      </c>
      <c r="F220" s="756"/>
      <c r="G220" s="756">
        <v>245</v>
      </c>
      <c r="H220" s="675">
        <v>2.7002314814814812E-2</v>
      </c>
      <c r="M220" s="757">
        <v>0.3298611111111111</v>
      </c>
      <c r="Q220" s="674">
        <v>240</v>
      </c>
      <c r="R220" s="685" t="s">
        <v>3259</v>
      </c>
      <c r="S220" s="674" t="s">
        <v>2670</v>
      </c>
    </row>
    <row r="221" spans="1:20" x14ac:dyDescent="0.2">
      <c r="A221" s="758">
        <f t="shared" si="7"/>
        <v>42721</v>
      </c>
      <c r="B221" s="672" t="s">
        <v>6075</v>
      </c>
      <c r="E221" s="760" t="s">
        <v>3044</v>
      </c>
      <c r="F221" s="760"/>
      <c r="G221" s="756">
        <v>246</v>
      </c>
      <c r="H221" s="675">
        <v>2.9224537037037038E-2</v>
      </c>
      <c r="I221" s="677"/>
      <c r="M221" s="757">
        <v>0.3347222222222222</v>
      </c>
      <c r="Q221" s="674">
        <v>241</v>
      </c>
      <c r="R221" s="685" t="s">
        <v>4201</v>
      </c>
      <c r="S221" s="674" t="s">
        <v>5365</v>
      </c>
    </row>
    <row r="222" spans="1:20" x14ac:dyDescent="0.2">
      <c r="A222" s="758">
        <f t="shared" si="7"/>
        <v>42728</v>
      </c>
      <c r="B222" s="672" t="s">
        <v>4834</v>
      </c>
      <c r="E222" s="760" t="s">
        <v>4004</v>
      </c>
      <c r="F222" s="756"/>
      <c r="G222" s="756">
        <v>247</v>
      </c>
      <c r="H222" s="675">
        <v>2.5358796296296296E-2</v>
      </c>
      <c r="M222" s="757">
        <v>0.33680555555555558</v>
      </c>
      <c r="Q222" s="674">
        <v>242</v>
      </c>
      <c r="R222" s="685" t="s">
        <v>4053</v>
      </c>
      <c r="S222" s="674" t="s">
        <v>4637</v>
      </c>
      <c r="T222" s="675">
        <v>1.6701388888888887E-2</v>
      </c>
    </row>
    <row r="223" spans="1:20" x14ac:dyDescent="0.2">
      <c r="A223" s="761">
        <f>A222+1</f>
        <v>42729</v>
      </c>
      <c r="E223" s="762"/>
      <c r="F223" s="762"/>
      <c r="H223" s="675"/>
      <c r="M223" s="757"/>
      <c r="Q223" s="674">
        <v>243</v>
      </c>
      <c r="R223" s="685" t="s">
        <v>542</v>
      </c>
      <c r="S223" s="674" t="s">
        <v>298</v>
      </c>
      <c r="T223" s="675">
        <v>1.8032407407407407E-2</v>
      </c>
    </row>
    <row r="224" spans="1:20" ht="13.5" thickBot="1" x14ac:dyDescent="0.25">
      <c r="A224" s="1031">
        <f>A223+6</f>
        <v>42735</v>
      </c>
      <c r="B224" s="1239" t="s">
        <v>4866</v>
      </c>
      <c r="C224" s="969"/>
      <c r="D224" s="969"/>
      <c r="E224" s="1033" t="s">
        <v>3045</v>
      </c>
      <c r="F224" s="1033"/>
      <c r="G224" s="1240">
        <v>248</v>
      </c>
      <c r="H224" s="1034">
        <v>2.4386574074074074E-2</v>
      </c>
      <c r="I224" s="969"/>
      <c r="J224" s="969"/>
      <c r="K224" s="969"/>
      <c r="M224" s="757">
        <v>0.33750000000000002</v>
      </c>
      <c r="Q224" s="674">
        <v>244</v>
      </c>
      <c r="R224" s="685" t="s">
        <v>5366</v>
      </c>
      <c r="S224" s="674" t="s">
        <v>1000</v>
      </c>
      <c r="T224" s="675">
        <v>1.8865740740740742E-2</v>
      </c>
    </row>
    <row r="225" spans="1:20" x14ac:dyDescent="0.2">
      <c r="A225" s="761">
        <f>A224+1</f>
        <v>42736</v>
      </c>
      <c r="B225" s="681" t="s">
        <v>4312</v>
      </c>
      <c r="E225" s="756" t="s">
        <v>4451</v>
      </c>
      <c r="F225" s="756"/>
      <c r="G225" s="760">
        <v>249</v>
      </c>
      <c r="H225" s="675">
        <v>2.5891203703703704E-2</v>
      </c>
      <c r="M225" s="757"/>
      <c r="Q225" s="674">
        <v>245</v>
      </c>
      <c r="R225" s="685" t="s">
        <v>768</v>
      </c>
      <c r="S225" s="674" t="s">
        <v>4584</v>
      </c>
      <c r="T225" s="675">
        <v>2.525462962962963E-2</v>
      </c>
    </row>
    <row r="226" spans="1:20" x14ac:dyDescent="0.2">
      <c r="A226" s="758">
        <f>A225+6</f>
        <v>42742</v>
      </c>
      <c r="B226" s="681" t="s">
        <v>6277</v>
      </c>
      <c r="E226" s="756" t="s">
        <v>727</v>
      </c>
      <c r="F226" s="756"/>
      <c r="G226" s="763">
        <v>250</v>
      </c>
      <c r="H226" s="675">
        <v>2.5914351851851855E-2</v>
      </c>
      <c r="M226" s="757">
        <v>0.33680555555555558</v>
      </c>
      <c r="Q226" s="674">
        <v>246</v>
      </c>
      <c r="R226" s="685" t="s">
        <v>4835</v>
      </c>
      <c r="S226" s="674" t="s">
        <v>298</v>
      </c>
      <c r="T226" s="675">
        <v>1.6701388888888887E-2</v>
      </c>
    </row>
    <row r="227" spans="1:20" x14ac:dyDescent="0.2">
      <c r="A227" s="758">
        <f t="shared" si="7"/>
        <v>42749</v>
      </c>
      <c r="B227" s="672" t="s">
        <v>4461</v>
      </c>
      <c r="E227" s="756" t="s">
        <v>6294</v>
      </c>
      <c r="F227" s="760"/>
      <c r="G227" s="756">
        <v>251</v>
      </c>
      <c r="H227" s="675">
        <v>3.5983796296296298E-2</v>
      </c>
      <c r="I227" s="672" t="s">
        <v>1238</v>
      </c>
      <c r="M227" s="757">
        <v>0.33333333333333331</v>
      </c>
      <c r="Q227" s="674">
        <v>247</v>
      </c>
      <c r="R227" s="685" t="s">
        <v>1042</v>
      </c>
      <c r="S227" s="674" t="s">
        <v>3199</v>
      </c>
      <c r="T227" s="675">
        <v>1.7986111111111109E-2</v>
      </c>
    </row>
    <row r="228" spans="1:20" x14ac:dyDescent="0.2">
      <c r="A228" s="758">
        <f t="shared" si="7"/>
        <v>42756</v>
      </c>
      <c r="B228" s="681" t="s">
        <v>7613</v>
      </c>
      <c r="E228" s="734" t="s">
        <v>5874</v>
      </c>
      <c r="G228" s="701"/>
      <c r="H228" s="675"/>
      <c r="M228" s="757">
        <v>0.32847222222222222</v>
      </c>
      <c r="Q228" s="674">
        <v>248</v>
      </c>
      <c r="R228" s="685" t="s">
        <v>4040</v>
      </c>
      <c r="S228" s="674" t="s">
        <v>748</v>
      </c>
      <c r="T228" s="675">
        <v>2.5243055555555557E-2</v>
      </c>
    </row>
    <row r="229" spans="1:20" x14ac:dyDescent="0.2">
      <c r="A229" s="758">
        <f t="shared" si="7"/>
        <v>42763</v>
      </c>
      <c r="E229" s="734" t="s">
        <v>5874</v>
      </c>
      <c r="G229" s="701"/>
      <c r="H229" s="675"/>
      <c r="K229" s="764">
        <v>7.29</v>
      </c>
      <c r="M229" s="757">
        <v>0.32222222222222224</v>
      </c>
      <c r="Q229" s="674">
        <v>249</v>
      </c>
      <c r="R229" s="685" t="s">
        <v>280</v>
      </c>
      <c r="S229" s="674" t="s">
        <v>1000</v>
      </c>
      <c r="T229" s="675">
        <v>2.2800925925925929E-2</v>
      </c>
    </row>
    <row r="230" spans="1:20" x14ac:dyDescent="0.2">
      <c r="A230" s="758">
        <f t="shared" si="7"/>
        <v>42770</v>
      </c>
      <c r="E230" s="760" t="s">
        <v>6374</v>
      </c>
      <c r="F230" s="756"/>
      <c r="H230" s="675"/>
      <c r="I230" s="672" t="s">
        <v>6397</v>
      </c>
      <c r="M230" s="757">
        <v>0.31527777777777777</v>
      </c>
      <c r="Q230" s="674">
        <v>250</v>
      </c>
      <c r="R230" s="685" t="s">
        <v>2711</v>
      </c>
      <c r="S230" s="674" t="s">
        <v>1270</v>
      </c>
      <c r="T230" s="675">
        <v>1.4166666666666666E-2</v>
      </c>
    </row>
    <row r="231" spans="1:20" x14ac:dyDescent="0.2">
      <c r="A231" s="765">
        <f t="shared" si="7"/>
        <v>42777</v>
      </c>
      <c r="B231" s="672" t="s">
        <v>1052</v>
      </c>
      <c r="E231" s="760" t="s">
        <v>6416</v>
      </c>
      <c r="F231" s="756"/>
      <c r="G231" s="756">
        <v>252</v>
      </c>
      <c r="H231" s="675">
        <v>2.5902777777777775E-2</v>
      </c>
      <c r="M231" s="733">
        <v>0.30694444444444441</v>
      </c>
      <c r="Q231" s="674">
        <v>251</v>
      </c>
      <c r="R231" s="685" t="s">
        <v>4836</v>
      </c>
      <c r="S231" s="674" t="s">
        <v>298</v>
      </c>
      <c r="T231" s="675">
        <v>1.6180555555555556E-2</v>
      </c>
    </row>
    <row r="232" spans="1:20" x14ac:dyDescent="0.2">
      <c r="A232" s="758">
        <f t="shared" si="7"/>
        <v>42784</v>
      </c>
      <c r="B232" s="672" t="s">
        <v>6441</v>
      </c>
      <c r="E232" s="760" t="s">
        <v>6442</v>
      </c>
      <c r="F232" s="756"/>
      <c r="G232" s="756">
        <v>253</v>
      </c>
      <c r="H232" s="675">
        <v>2.6041666666666668E-2</v>
      </c>
      <c r="M232" s="733">
        <v>0.29722222222222222</v>
      </c>
      <c r="Q232" s="674">
        <v>252</v>
      </c>
      <c r="R232" s="685" t="s">
        <v>4499</v>
      </c>
      <c r="S232" s="674" t="s">
        <v>4778</v>
      </c>
      <c r="T232" s="675">
        <v>2.3217592592592592E-2</v>
      </c>
    </row>
    <row r="233" spans="1:20" x14ac:dyDescent="0.2">
      <c r="A233" s="758">
        <f t="shared" si="7"/>
        <v>42791</v>
      </c>
      <c r="B233" s="672" t="s">
        <v>7569</v>
      </c>
      <c r="E233" s="760" t="s">
        <v>7571</v>
      </c>
      <c r="F233" s="756"/>
      <c r="G233" s="756">
        <v>254</v>
      </c>
      <c r="H233" s="675">
        <v>2.5439814814814814E-2</v>
      </c>
      <c r="I233" s="672" t="s">
        <v>7570</v>
      </c>
      <c r="M233" s="733">
        <v>0.28749999999999998</v>
      </c>
      <c r="Q233" s="674">
        <v>253</v>
      </c>
      <c r="R233" s="685" t="s">
        <v>2464</v>
      </c>
      <c r="S233" s="674" t="s">
        <v>1000</v>
      </c>
      <c r="T233" s="675">
        <v>1.8877314814814816E-2</v>
      </c>
    </row>
    <row r="234" spans="1:20" x14ac:dyDescent="0.2">
      <c r="A234" s="758">
        <f t="shared" si="7"/>
        <v>42798</v>
      </c>
      <c r="B234" s="681" t="s">
        <v>7661</v>
      </c>
      <c r="E234" s="760" t="s">
        <v>7608</v>
      </c>
      <c r="F234" s="756"/>
      <c r="G234" s="756">
        <v>255</v>
      </c>
      <c r="H234" s="675">
        <v>2.4594907407407409E-2</v>
      </c>
      <c r="M234" s="733">
        <v>0.27708333333333335</v>
      </c>
      <c r="Q234" s="674">
        <v>254</v>
      </c>
      <c r="R234" s="685" t="s">
        <v>230</v>
      </c>
      <c r="S234" s="674" t="s">
        <v>1062</v>
      </c>
      <c r="T234" s="675">
        <v>2.3935185185185184E-2</v>
      </c>
    </row>
    <row r="235" spans="1:20" x14ac:dyDescent="0.2">
      <c r="A235" s="758">
        <f t="shared" si="7"/>
        <v>42805</v>
      </c>
      <c r="E235" s="532" t="s">
        <v>11322</v>
      </c>
      <c r="F235" s="756"/>
      <c r="G235" s="756">
        <v>256</v>
      </c>
      <c r="H235" s="675">
        <v>2.6261574074074076E-2</v>
      </c>
      <c r="M235" s="733">
        <v>0.26597222222222222</v>
      </c>
      <c r="Q235" s="674">
        <v>255</v>
      </c>
      <c r="R235" s="685" t="s">
        <v>2378</v>
      </c>
      <c r="S235" s="674" t="s">
        <v>1000</v>
      </c>
      <c r="T235" s="675"/>
    </row>
    <row r="236" spans="1:20" x14ac:dyDescent="0.2">
      <c r="A236" s="758">
        <f t="shared" si="7"/>
        <v>42812</v>
      </c>
      <c r="B236" s="672" t="s">
        <v>7660</v>
      </c>
      <c r="E236" s="760" t="s">
        <v>7659</v>
      </c>
      <c r="F236" s="756"/>
      <c r="G236" s="756">
        <v>257</v>
      </c>
      <c r="H236" s="675">
        <v>2.5405092592592594E-2</v>
      </c>
      <c r="M236" s="733">
        <v>0.25555555555555559</v>
      </c>
      <c r="Q236" s="674">
        <v>256</v>
      </c>
      <c r="R236" s="685" t="s">
        <v>2897</v>
      </c>
      <c r="S236" s="674" t="s">
        <v>3270</v>
      </c>
      <c r="T236" s="766"/>
    </row>
    <row r="237" spans="1:20" x14ac:dyDescent="0.2">
      <c r="A237" s="758">
        <f t="shared" si="7"/>
        <v>42819</v>
      </c>
      <c r="B237" s="672" t="s">
        <v>7721</v>
      </c>
      <c r="E237" s="760" t="s">
        <v>7722</v>
      </c>
      <c r="F237" s="756"/>
      <c r="G237" s="756">
        <v>258</v>
      </c>
      <c r="H237" s="675">
        <v>2.5069444444444446E-2</v>
      </c>
      <c r="I237" s="681" t="s">
        <v>7723</v>
      </c>
      <c r="M237" s="733">
        <v>0.24444444444444446</v>
      </c>
      <c r="Q237" s="674">
        <v>257</v>
      </c>
      <c r="R237" s="685" t="s">
        <v>355</v>
      </c>
      <c r="S237" s="674" t="s">
        <v>1062</v>
      </c>
      <c r="T237" s="766"/>
    </row>
    <row r="238" spans="1:20" x14ac:dyDescent="0.2">
      <c r="A238" s="758">
        <f t="shared" si="7"/>
        <v>42826</v>
      </c>
      <c r="B238" s="672" t="s">
        <v>7720</v>
      </c>
      <c r="E238" s="756" t="s">
        <v>7662</v>
      </c>
      <c r="F238" s="756"/>
      <c r="G238" s="756">
        <v>259</v>
      </c>
      <c r="H238" s="675">
        <v>2.5949074074074072E-2</v>
      </c>
      <c r="M238" s="733">
        <v>0.27500000000000002</v>
      </c>
      <c r="Q238" s="674">
        <v>258</v>
      </c>
      <c r="R238" s="685" t="s">
        <v>3857</v>
      </c>
      <c r="S238" s="674" t="s">
        <v>2670</v>
      </c>
      <c r="T238" s="675"/>
    </row>
    <row r="239" spans="1:20" x14ac:dyDescent="0.2">
      <c r="A239" s="758">
        <f>A238+7</f>
        <v>42833</v>
      </c>
      <c r="B239" s="681" t="s">
        <v>6159</v>
      </c>
      <c r="E239" s="760" t="s">
        <v>7663</v>
      </c>
      <c r="F239" s="756"/>
      <c r="G239" s="756">
        <v>260</v>
      </c>
      <c r="H239" s="675">
        <v>2.5196759259259256E-2</v>
      </c>
      <c r="M239" s="733">
        <v>0.2638888888888889</v>
      </c>
      <c r="Q239" s="674">
        <v>259</v>
      </c>
      <c r="R239" s="685" t="s">
        <v>1929</v>
      </c>
      <c r="S239" s="674" t="s">
        <v>1000</v>
      </c>
      <c r="T239" s="675"/>
    </row>
    <row r="240" spans="1:20" x14ac:dyDescent="0.2">
      <c r="A240" s="758">
        <f>A239+7</f>
        <v>42840</v>
      </c>
      <c r="B240" s="681" t="s">
        <v>7798</v>
      </c>
      <c r="E240" s="760" t="s">
        <v>7780</v>
      </c>
      <c r="F240" s="756"/>
      <c r="G240" s="756">
        <v>261</v>
      </c>
      <c r="H240" s="675">
        <v>2.4756944444444443E-2</v>
      </c>
      <c r="M240" s="733">
        <v>0.25347222222222221</v>
      </c>
      <c r="Q240" s="674">
        <v>260</v>
      </c>
      <c r="R240" s="685" t="s">
        <v>2634</v>
      </c>
      <c r="S240" s="674" t="s">
        <v>909</v>
      </c>
      <c r="T240" s="675">
        <v>1.6967592592592593E-2</v>
      </c>
    </row>
    <row r="241" spans="1:21" x14ac:dyDescent="0.2">
      <c r="A241" s="758">
        <f>A240+7</f>
        <v>42847</v>
      </c>
      <c r="B241" s="681" t="s">
        <v>7901</v>
      </c>
      <c r="E241" s="756" t="s">
        <v>5453</v>
      </c>
      <c r="F241" s="756"/>
      <c r="G241" s="756">
        <v>262</v>
      </c>
      <c r="H241" s="675">
        <v>2.5370370370370366E-2</v>
      </c>
      <c r="M241" s="720"/>
      <c r="Q241" s="674">
        <v>261</v>
      </c>
      <c r="R241" s="685" t="s">
        <v>4137</v>
      </c>
      <c r="S241" s="674" t="s">
        <v>5097</v>
      </c>
      <c r="T241" s="675">
        <v>1.8333333333333333E-2</v>
      </c>
    </row>
    <row r="242" spans="1:21" x14ac:dyDescent="0.2">
      <c r="A242" s="758">
        <f>A241+7</f>
        <v>42854</v>
      </c>
      <c r="B242" s="681" t="s">
        <v>7855</v>
      </c>
      <c r="E242" s="767"/>
      <c r="H242" s="675"/>
      <c r="M242" s="720"/>
      <c r="Q242" s="674">
        <v>262</v>
      </c>
      <c r="R242" s="685" t="s">
        <v>5633</v>
      </c>
      <c r="S242" s="674" t="s">
        <v>4584</v>
      </c>
      <c r="T242" s="675">
        <v>2.0636574074074075E-2</v>
      </c>
    </row>
    <row r="243" spans="1:21" x14ac:dyDescent="0.2">
      <c r="A243" s="758">
        <f t="shared" ref="A243:A307" si="8">A242+7</f>
        <v>42861</v>
      </c>
      <c r="B243" s="681" t="s">
        <v>7854</v>
      </c>
      <c r="E243" s="532" t="s">
        <v>10806</v>
      </c>
      <c r="F243" s="756"/>
      <c r="G243" s="756">
        <v>263</v>
      </c>
      <c r="H243" s="675">
        <v>2.5092592592592593E-2</v>
      </c>
      <c r="I243" s="80" t="s">
        <v>363</v>
      </c>
      <c r="M243" s="720"/>
      <c r="Q243" s="674">
        <v>263</v>
      </c>
      <c r="R243" s="685" t="s">
        <v>282</v>
      </c>
      <c r="S243" s="674" t="s">
        <v>1062</v>
      </c>
      <c r="T243" s="675">
        <v>2.4560185185185185E-2</v>
      </c>
    </row>
    <row r="244" spans="1:21" x14ac:dyDescent="0.2">
      <c r="A244" s="758">
        <f t="shared" si="8"/>
        <v>42868</v>
      </c>
      <c r="B244" s="672" t="s">
        <v>7788</v>
      </c>
      <c r="E244" s="760" t="s">
        <v>5883</v>
      </c>
      <c r="F244" s="756"/>
      <c r="G244" s="756">
        <v>264</v>
      </c>
      <c r="H244" s="675">
        <v>2.5636574074074072E-2</v>
      </c>
      <c r="M244" s="720"/>
      <c r="Q244" s="674">
        <v>264</v>
      </c>
      <c r="R244" s="685" t="s">
        <v>3683</v>
      </c>
      <c r="S244" s="674" t="s">
        <v>298</v>
      </c>
      <c r="T244" s="675">
        <v>1.5983796296296295E-2</v>
      </c>
    </row>
    <row r="245" spans="1:21" x14ac:dyDescent="0.2">
      <c r="A245" s="758">
        <f t="shared" si="8"/>
        <v>42875</v>
      </c>
      <c r="B245" s="672" t="s">
        <v>7724</v>
      </c>
      <c r="E245" s="760" t="s">
        <v>7866</v>
      </c>
      <c r="F245" s="756"/>
      <c r="G245" s="756">
        <v>265</v>
      </c>
      <c r="H245" s="675">
        <v>2.5358796296296296E-2</v>
      </c>
      <c r="Q245" s="674">
        <v>265</v>
      </c>
      <c r="R245" s="685" t="s">
        <v>1654</v>
      </c>
      <c r="S245" s="674" t="s">
        <v>4778</v>
      </c>
      <c r="T245" s="675">
        <v>2.431712962962963E-2</v>
      </c>
    </row>
    <row r="246" spans="1:21" x14ac:dyDescent="0.2">
      <c r="A246" s="758">
        <f t="shared" si="8"/>
        <v>42882</v>
      </c>
      <c r="B246" s="681" t="s">
        <v>7965</v>
      </c>
      <c r="E246" s="760" t="s">
        <v>7867</v>
      </c>
      <c r="F246" s="756"/>
      <c r="G246" s="756">
        <v>266</v>
      </c>
      <c r="H246" s="675">
        <v>2.5960648148148149E-2</v>
      </c>
      <c r="I246" s="681" t="s">
        <v>7964</v>
      </c>
      <c r="Q246" s="674">
        <v>266</v>
      </c>
      <c r="R246" s="685" t="s">
        <v>5708</v>
      </c>
      <c r="S246" s="674" t="s">
        <v>748</v>
      </c>
      <c r="T246" s="675">
        <v>2.4432870370370369E-2</v>
      </c>
    </row>
    <row r="247" spans="1:21" x14ac:dyDescent="0.2">
      <c r="A247" s="758">
        <f t="shared" si="8"/>
        <v>42889</v>
      </c>
      <c r="B247" s="681" t="s">
        <v>8011</v>
      </c>
      <c r="E247" s="767"/>
      <c r="H247" s="675"/>
      <c r="Q247" s="674">
        <v>267</v>
      </c>
      <c r="R247" s="685" t="s">
        <v>283</v>
      </c>
      <c r="S247" s="674" t="s">
        <v>1000</v>
      </c>
      <c r="T247" s="675"/>
    </row>
    <row r="248" spans="1:21" x14ac:dyDescent="0.2">
      <c r="A248" s="758">
        <f t="shared" si="8"/>
        <v>42896</v>
      </c>
      <c r="B248" s="681" t="s">
        <v>8039</v>
      </c>
      <c r="E248" s="532" t="s">
        <v>8017</v>
      </c>
      <c r="F248" s="756"/>
      <c r="G248" s="756">
        <v>267</v>
      </c>
      <c r="H248" s="683">
        <v>2.6261574074074076E-2</v>
      </c>
      <c r="Q248" s="674">
        <v>268</v>
      </c>
      <c r="R248" s="685" t="s">
        <v>1696</v>
      </c>
      <c r="S248" s="674" t="s">
        <v>5884</v>
      </c>
      <c r="T248" s="675"/>
    </row>
    <row r="249" spans="1:21" x14ac:dyDescent="0.2">
      <c r="A249" s="758">
        <f t="shared" si="8"/>
        <v>42903</v>
      </c>
      <c r="B249" s="80" t="s">
        <v>8056</v>
      </c>
      <c r="E249" s="760" t="s">
        <v>8040</v>
      </c>
      <c r="F249" s="756"/>
      <c r="G249" s="532">
        <v>268</v>
      </c>
      <c r="H249" s="675">
        <v>2.9386574074074075E-2</v>
      </c>
      <c r="Q249" s="674">
        <v>269</v>
      </c>
      <c r="R249" s="685" t="s">
        <v>2961</v>
      </c>
      <c r="S249" s="674" t="s">
        <v>909</v>
      </c>
      <c r="T249" s="675">
        <v>1.7210648148148149E-2</v>
      </c>
      <c r="U249" s="768">
        <v>42560</v>
      </c>
    </row>
    <row r="250" spans="1:21" x14ac:dyDescent="0.2">
      <c r="A250" s="758">
        <f t="shared" si="8"/>
        <v>42910</v>
      </c>
      <c r="B250" s="80" t="s">
        <v>8109</v>
      </c>
      <c r="E250" s="532" t="s">
        <v>8108</v>
      </c>
      <c r="F250" s="756"/>
      <c r="G250" s="532">
        <v>269</v>
      </c>
      <c r="H250" s="675">
        <v>2.8587962962962964E-2</v>
      </c>
      <c r="Q250" s="674">
        <v>270</v>
      </c>
      <c r="R250" s="685" t="s">
        <v>284</v>
      </c>
      <c r="S250" s="674" t="s">
        <v>1000</v>
      </c>
      <c r="T250" s="675">
        <v>1.9039351851851852E-2</v>
      </c>
      <c r="U250" s="768">
        <v>42560</v>
      </c>
    </row>
    <row r="251" spans="1:21" x14ac:dyDescent="0.2">
      <c r="A251" s="758">
        <f t="shared" si="8"/>
        <v>42917</v>
      </c>
      <c r="B251" s="80" t="s">
        <v>8119</v>
      </c>
      <c r="E251" s="760" t="s">
        <v>7966</v>
      </c>
      <c r="F251" s="756"/>
      <c r="G251" s="532">
        <v>270</v>
      </c>
      <c r="H251" s="675">
        <v>2.4687499999999998E-2</v>
      </c>
      <c r="Q251" s="674">
        <v>271</v>
      </c>
      <c r="R251" s="685" t="s">
        <v>2529</v>
      </c>
      <c r="S251" s="674" t="s">
        <v>3254</v>
      </c>
      <c r="T251" s="675">
        <v>1.8298611111111113E-2</v>
      </c>
      <c r="U251" s="768">
        <v>42567</v>
      </c>
    </row>
    <row r="252" spans="1:21" x14ac:dyDescent="0.2">
      <c r="A252" s="758">
        <f t="shared" si="8"/>
        <v>42924</v>
      </c>
      <c r="B252" s="80" t="s">
        <v>8212</v>
      </c>
      <c r="E252" s="760" t="s">
        <v>7910</v>
      </c>
      <c r="F252" s="756"/>
      <c r="G252" s="532">
        <v>271</v>
      </c>
      <c r="H252" s="675">
        <v>2.5173611111111108E-2</v>
      </c>
      <c r="Q252" s="674">
        <v>272</v>
      </c>
      <c r="R252" s="685" t="s">
        <v>203</v>
      </c>
      <c r="S252" s="674" t="s">
        <v>1000</v>
      </c>
      <c r="T252" s="675">
        <v>1.8935185185185183E-2</v>
      </c>
      <c r="U252" s="768">
        <v>42567</v>
      </c>
    </row>
    <row r="253" spans="1:21" x14ac:dyDescent="0.2">
      <c r="A253" s="758">
        <f t="shared" si="8"/>
        <v>42931</v>
      </c>
      <c r="B253" s="80" t="s">
        <v>8213</v>
      </c>
      <c r="E253" s="532" t="s">
        <v>8211</v>
      </c>
      <c r="F253" s="756"/>
      <c r="G253" s="532">
        <v>272</v>
      </c>
      <c r="H253" s="675">
        <v>2.5127314814814811E-2</v>
      </c>
      <c r="Q253" s="674">
        <v>273</v>
      </c>
      <c r="R253" s="685" t="s">
        <v>3706</v>
      </c>
      <c r="S253" s="674" t="s">
        <v>654</v>
      </c>
      <c r="T253" s="675">
        <v>1.9131944444444444E-2</v>
      </c>
      <c r="U253" s="768">
        <v>42567</v>
      </c>
    </row>
    <row r="254" spans="1:21" x14ac:dyDescent="0.2">
      <c r="A254" s="758">
        <f t="shared" si="8"/>
        <v>42938</v>
      </c>
      <c r="B254" s="80" t="s">
        <v>8243</v>
      </c>
      <c r="E254" s="532" t="s">
        <v>8241</v>
      </c>
      <c r="F254" s="756"/>
      <c r="G254" s="756">
        <v>273</v>
      </c>
      <c r="H254" s="675">
        <v>2.5150462962962961E-2</v>
      </c>
      <c r="I254" s="80" t="s">
        <v>363</v>
      </c>
      <c r="Q254" s="674">
        <v>274</v>
      </c>
      <c r="R254" s="685" t="s">
        <v>4179</v>
      </c>
      <c r="S254" s="674" t="s">
        <v>4637</v>
      </c>
      <c r="T254" s="675">
        <v>1.6828703703703703E-2</v>
      </c>
      <c r="U254" s="768">
        <v>42574</v>
      </c>
    </row>
    <row r="255" spans="1:21" x14ac:dyDescent="0.2">
      <c r="A255" s="758">
        <f t="shared" si="8"/>
        <v>42945</v>
      </c>
      <c r="B255" s="80" t="s">
        <v>8330</v>
      </c>
      <c r="E255" s="532" t="s">
        <v>8242</v>
      </c>
      <c r="F255" s="756"/>
      <c r="G255" s="532">
        <v>274</v>
      </c>
      <c r="H255" s="675">
        <v>2.4872685185185189E-2</v>
      </c>
      <c r="Q255" s="674">
        <v>275</v>
      </c>
      <c r="R255" s="685" t="s">
        <v>5352</v>
      </c>
      <c r="S255" s="756" t="s">
        <v>654</v>
      </c>
      <c r="T255" s="675">
        <v>1.9490740740740743E-2</v>
      </c>
      <c r="U255" s="768">
        <v>42574</v>
      </c>
    </row>
    <row r="256" spans="1:21" x14ac:dyDescent="0.2">
      <c r="A256" s="758">
        <f t="shared" si="8"/>
        <v>42952</v>
      </c>
      <c r="B256" s="80" t="s">
        <v>8331</v>
      </c>
      <c r="E256" s="760" t="s">
        <v>8010</v>
      </c>
      <c r="F256" s="756"/>
      <c r="G256" s="532">
        <v>275</v>
      </c>
      <c r="H256" s="675">
        <v>2.5497685185185189E-2</v>
      </c>
      <c r="Q256" s="674">
        <v>276</v>
      </c>
      <c r="R256" s="685" t="s">
        <v>5347</v>
      </c>
      <c r="S256" s="674" t="s">
        <v>1000</v>
      </c>
      <c r="T256" s="675">
        <v>1.9710648148148147E-2</v>
      </c>
      <c r="U256" s="768">
        <v>42574</v>
      </c>
    </row>
    <row r="257" spans="1:21" x14ac:dyDescent="0.2">
      <c r="A257" s="758">
        <f t="shared" si="8"/>
        <v>42959</v>
      </c>
      <c r="B257" s="80" t="s">
        <v>8342</v>
      </c>
      <c r="E257" s="532" t="s">
        <v>8246</v>
      </c>
      <c r="F257" s="756"/>
      <c r="G257" s="532">
        <v>276</v>
      </c>
      <c r="H257" s="675">
        <v>2.6226851851851852E-2</v>
      </c>
      <c r="Q257" s="674">
        <v>277</v>
      </c>
      <c r="R257" s="685" t="s">
        <v>2192</v>
      </c>
      <c r="S257" s="674" t="s">
        <v>1062</v>
      </c>
      <c r="T257" s="675">
        <v>2.6157407407407407E-2</v>
      </c>
      <c r="U257" s="768">
        <v>42574</v>
      </c>
    </row>
    <row r="258" spans="1:21" x14ac:dyDescent="0.2">
      <c r="A258" s="758">
        <f t="shared" si="8"/>
        <v>42966</v>
      </c>
      <c r="B258" s="80" t="s">
        <v>8415</v>
      </c>
      <c r="E258" s="532" t="s">
        <v>8523</v>
      </c>
      <c r="F258" s="756"/>
      <c r="G258" s="532">
        <v>277</v>
      </c>
      <c r="H258" s="675">
        <v>2.4097222222222225E-2</v>
      </c>
      <c r="I258" s="80" t="s">
        <v>1673</v>
      </c>
      <c r="Q258" s="674">
        <v>278</v>
      </c>
      <c r="R258" s="685" t="s">
        <v>4367</v>
      </c>
      <c r="S258" s="674" t="s">
        <v>298</v>
      </c>
      <c r="T258" s="675">
        <v>1.6064814814814813E-2</v>
      </c>
      <c r="U258" s="768">
        <v>42588</v>
      </c>
    </row>
    <row r="259" spans="1:21" x14ac:dyDescent="0.2">
      <c r="A259" s="758">
        <f t="shared" si="8"/>
        <v>42973</v>
      </c>
      <c r="B259" s="80" t="s">
        <v>8437</v>
      </c>
      <c r="E259" s="532" t="s">
        <v>8249</v>
      </c>
      <c r="F259" s="756"/>
      <c r="G259" s="532">
        <v>278</v>
      </c>
      <c r="H259" s="675">
        <v>2.5462962962962962E-2</v>
      </c>
      <c r="M259" s="887">
        <v>0.25416666666666665</v>
      </c>
      <c r="Q259" s="674">
        <v>279</v>
      </c>
      <c r="R259" s="685" t="s">
        <v>1183</v>
      </c>
      <c r="S259" s="674" t="s">
        <v>298</v>
      </c>
      <c r="T259" s="675">
        <v>1.6087962962962964E-2</v>
      </c>
      <c r="U259" s="768">
        <v>42595</v>
      </c>
    </row>
    <row r="260" spans="1:21" x14ac:dyDescent="0.2">
      <c r="A260" s="758">
        <f t="shared" si="8"/>
        <v>42980</v>
      </c>
      <c r="B260" s="80" t="s">
        <v>8481</v>
      </c>
      <c r="E260" s="532" t="s">
        <v>998</v>
      </c>
      <c r="F260" s="532"/>
      <c r="G260" s="532">
        <v>279</v>
      </c>
      <c r="H260" s="675">
        <v>2.4131944444444445E-2</v>
      </c>
      <c r="M260" s="887">
        <v>0.26180555555555557</v>
      </c>
      <c r="Q260" s="674">
        <v>280</v>
      </c>
      <c r="R260" s="685" t="s">
        <v>1535</v>
      </c>
      <c r="S260" s="674" t="s">
        <v>909</v>
      </c>
      <c r="T260" s="675">
        <v>1.741898148148148E-2</v>
      </c>
      <c r="U260" s="768">
        <v>42595</v>
      </c>
    </row>
    <row r="261" spans="1:21" x14ac:dyDescent="0.2">
      <c r="A261" s="758">
        <f t="shared" si="8"/>
        <v>42987</v>
      </c>
      <c r="E261" s="532" t="s">
        <v>8491</v>
      </c>
      <c r="F261" s="756"/>
      <c r="G261" s="532">
        <v>280</v>
      </c>
      <c r="H261" s="334">
        <v>2.5578703703703704E-2</v>
      </c>
      <c r="M261" s="887">
        <v>0.27013888888888887</v>
      </c>
      <c r="Q261" s="674">
        <v>281</v>
      </c>
      <c r="R261" s="685" t="s">
        <v>769</v>
      </c>
      <c r="S261" s="674" t="s">
        <v>1440</v>
      </c>
      <c r="T261" s="675">
        <v>1.877314814814815E-2</v>
      </c>
      <c r="U261" s="768">
        <v>42595</v>
      </c>
    </row>
    <row r="262" spans="1:21" x14ac:dyDescent="0.2">
      <c r="A262" s="758">
        <f t="shared" si="8"/>
        <v>42994</v>
      </c>
      <c r="E262" s="532" t="s">
        <v>8416</v>
      </c>
      <c r="F262" s="756"/>
      <c r="G262" s="532">
        <v>281</v>
      </c>
      <c r="H262" s="886">
        <v>2.344907407407407E-2</v>
      </c>
      <c r="M262" s="887">
        <v>0.27777777777777779</v>
      </c>
      <c r="Q262" s="674">
        <v>282</v>
      </c>
      <c r="R262" s="685" t="s">
        <v>5402</v>
      </c>
      <c r="S262" s="674" t="s">
        <v>1062</v>
      </c>
      <c r="T262" s="675"/>
      <c r="U262" s="768">
        <v>42602</v>
      </c>
    </row>
    <row r="263" spans="1:21" x14ac:dyDescent="0.2">
      <c r="A263" s="758">
        <f t="shared" si="8"/>
        <v>43001</v>
      </c>
      <c r="B263" s="80" t="s">
        <v>8576</v>
      </c>
      <c r="E263" s="904"/>
      <c r="G263" s="80"/>
      <c r="H263" s="675"/>
      <c r="M263" s="888">
        <v>0.28541666666666665</v>
      </c>
      <c r="Q263" s="674">
        <v>283</v>
      </c>
      <c r="R263" s="685" t="s">
        <v>5290</v>
      </c>
      <c r="S263" s="674" t="s">
        <v>298</v>
      </c>
      <c r="T263" s="675">
        <v>1.6481481481481482E-2</v>
      </c>
      <c r="U263" s="768">
        <v>42616</v>
      </c>
    </row>
    <row r="264" spans="1:21" x14ac:dyDescent="0.2">
      <c r="A264" s="758">
        <f t="shared" si="8"/>
        <v>43008</v>
      </c>
      <c r="B264" s="80" t="s">
        <v>8615</v>
      </c>
      <c r="E264" s="532" t="s">
        <v>8575</v>
      </c>
      <c r="F264" s="756"/>
      <c r="G264" s="532">
        <v>282</v>
      </c>
      <c r="H264" s="675">
        <v>2.5740740740740745E-2</v>
      </c>
      <c r="M264" s="885">
        <v>0.29305555555555557</v>
      </c>
      <c r="Q264" s="674">
        <v>284</v>
      </c>
      <c r="R264" s="685" t="s">
        <v>5289</v>
      </c>
      <c r="S264" s="674" t="s">
        <v>1062</v>
      </c>
      <c r="T264" s="675">
        <v>2.5381944444444443E-2</v>
      </c>
      <c r="U264" s="768">
        <v>42616</v>
      </c>
    </row>
    <row r="265" spans="1:21" x14ac:dyDescent="0.2">
      <c r="A265" s="758">
        <f t="shared" si="8"/>
        <v>43015</v>
      </c>
      <c r="B265" s="681" t="s">
        <v>7853</v>
      </c>
      <c r="E265" s="532" t="s">
        <v>8541</v>
      </c>
      <c r="F265" s="756"/>
      <c r="G265" s="532">
        <v>283</v>
      </c>
      <c r="H265" s="675">
        <v>2.3750000000000004E-2</v>
      </c>
      <c r="M265" s="885">
        <v>0.30069444444444443</v>
      </c>
      <c r="Q265" s="674">
        <v>285</v>
      </c>
      <c r="R265" s="685" t="s">
        <v>4911</v>
      </c>
      <c r="S265" s="674" t="s">
        <v>1000</v>
      </c>
      <c r="T265" s="675">
        <v>2.0601851851851854E-2</v>
      </c>
      <c r="U265" s="768">
        <v>42616</v>
      </c>
    </row>
    <row r="266" spans="1:21" x14ac:dyDescent="0.2">
      <c r="A266" s="758">
        <f t="shared" si="8"/>
        <v>43022</v>
      </c>
      <c r="B266" s="80" t="s">
        <v>3410</v>
      </c>
      <c r="E266" s="532" t="s">
        <v>8649</v>
      </c>
      <c r="F266" s="756"/>
      <c r="G266" s="532">
        <v>284</v>
      </c>
      <c r="H266" s="675">
        <v>2.4918981481481483E-2</v>
      </c>
      <c r="M266" s="757">
        <v>0.30902777777777779</v>
      </c>
      <c r="Q266" s="674">
        <v>286</v>
      </c>
      <c r="R266" s="685" t="s">
        <v>819</v>
      </c>
      <c r="S266" s="674" t="s">
        <v>627</v>
      </c>
      <c r="T266" s="675">
        <v>1.5833333333333335E-2</v>
      </c>
      <c r="U266" s="768">
        <v>42623</v>
      </c>
    </row>
    <row r="267" spans="1:21" x14ac:dyDescent="0.2">
      <c r="A267" s="758">
        <f t="shared" si="8"/>
        <v>43029</v>
      </c>
      <c r="B267" s="80" t="s">
        <v>1003</v>
      </c>
      <c r="C267" s="80" t="s">
        <v>8510</v>
      </c>
      <c r="E267" s="532" t="s">
        <v>8519</v>
      </c>
      <c r="F267" s="756"/>
      <c r="G267" s="532">
        <v>285</v>
      </c>
      <c r="H267" s="675">
        <v>2.4502314814814814E-2</v>
      </c>
      <c r="M267" s="757">
        <v>0.31736111111111115</v>
      </c>
      <c r="Q267" s="674">
        <v>287</v>
      </c>
      <c r="R267" s="685" t="s">
        <v>4117</v>
      </c>
      <c r="S267" s="674" t="s">
        <v>1062</v>
      </c>
      <c r="T267" s="675"/>
      <c r="U267" s="768">
        <v>42637</v>
      </c>
    </row>
    <row r="268" spans="1:21" x14ac:dyDescent="0.2">
      <c r="A268" s="758">
        <f t="shared" si="8"/>
        <v>43036</v>
      </c>
      <c r="B268" s="80" t="s">
        <v>8414</v>
      </c>
      <c r="E268" s="532" t="s">
        <v>8769</v>
      </c>
      <c r="F268" s="756"/>
      <c r="G268" s="532">
        <v>286</v>
      </c>
      <c r="H268" s="334">
        <v>2.3958333333333331E-2</v>
      </c>
      <c r="I268" s="80" t="s">
        <v>8884</v>
      </c>
      <c r="M268" s="757">
        <v>0.32569444444444445</v>
      </c>
      <c r="N268" s="2"/>
      <c r="Q268" s="674">
        <v>288</v>
      </c>
      <c r="R268" s="685" t="s">
        <v>5153</v>
      </c>
      <c r="S268" s="674" t="s">
        <v>1000</v>
      </c>
      <c r="T268" s="675"/>
      <c r="U268" s="768">
        <v>42644</v>
      </c>
    </row>
    <row r="269" spans="1:21" x14ac:dyDescent="0.2">
      <c r="A269" s="758">
        <f t="shared" si="8"/>
        <v>43043</v>
      </c>
      <c r="E269" s="532" t="s">
        <v>8544</v>
      </c>
      <c r="F269" s="756"/>
      <c r="G269" s="532">
        <v>287</v>
      </c>
      <c r="H269" s="114">
        <v>2.4016203703703706E-2</v>
      </c>
      <c r="I269" s="80" t="s">
        <v>2988</v>
      </c>
      <c r="M269" s="885">
        <v>0.29305555555555557</v>
      </c>
      <c r="Q269" s="674">
        <v>289</v>
      </c>
      <c r="R269" s="685" t="s">
        <v>4496</v>
      </c>
      <c r="S269" s="674" t="s">
        <v>1440</v>
      </c>
      <c r="T269" s="675">
        <v>1.8055555555555557E-2</v>
      </c>
      <c r="U269" s="768">
        <v>42651</v>
      </c>
    </row>
    <row r="270" spans="1:21" x14ac:dyDescent="0.2">
      <c r="A270" s="758">
        <f t="shared" si="8"/>
        <v>43050</v>
      </c>
      <c r="B270" s="80" t="s">
        <v>3410</v>
      </c>
      <c r="E270" s="532" t="s">
        <v>8824</v>
      </c>
      <c r="F270" s="756"/>
      <c r="G270" s="532">
        <v>288</v>
      </c>
      <c r="H270" s="675">
        <v>2.4583333333333332E-2</v>
      </c>
      <c r="M270" s="885">
        <v>0.30138888888888887</v>
      </c>
      <c r="Q270" s="674">
        <v>290</v>
      </c>
      <c r="R270" s="685" t="s">
        <v>1089</v>
      </c>
      <c r="S270" s="674" t="s">
        <v>1000</v>
      </c>
      <c r="T270" s="675">
        <v>1.8969907407407408E-2</v>
      </c>
      <c r="U270" s="768">
        <v>42651</v>
      </c>
    </row>
    <row r="271" spans="1:21" x14ac:dyDescent="0.2">
      <c r="A271" s="758">
        <f t="shared" si="8"/>
        <v>43057</v>
      </c>
      <c r="B271" s="80" t="s">
        <v>8650</v>
      </c>
      <c r="E271" s="914" t="s">
        <v>10869</v>
      </c>
      <c r="G271" s="80"/>
      <c r="H271" s="675"/>
      <c r="M271" s="885">
        <v>0.30972222222222223</v>
      </c>
      <c r="Q271" s="674">
        <v>261</v>
      </c>
      <c r="R271" s="685" t="s">
        <v>1981</v>
      </c>
      <c r="S271" s="674" t="s">
        <v>4322</v>
      </c>
      <c r="T271" s="675"/>
      <c r="U271" s="768">
        <v>42658</v>
      </c>
    </row>
    <row r="272" spans="1:21" x14ac:dyDescent="0.2">
      <c r="A272" s="758">
        <f t="shared" si="8"/>
        <v>43064</v>
      </c>
      <c r="B272" s="80" t="s">
        <v>8545</v>
      </c>
      <c r="E272" s="532" t="s">
        <v>8825</v>
      </c>
      <c r="F272" s="756"/>
      <c r="G272" s="532">
        <v>289</v>
      </c>
      <c r="H272" s="675">
        <v>2.480324074074074E-2</v>
      </c>
      <c r="I272" s="80" t="s">
        <v>1212</v>
      </c>
      <c r="M272" s="757">
        <v>0.31736111111111115</v>
      </c>
      <c r="N272" s="2"/>
      <c r="Q272" s="674">
        <v>292</v>
      </c>
      <c r="R272" s="685" t="s">
        <v>1970</v>
      </c>
      <c r="S272" s="674" t="s">
        <v>1000</v>
      </c>
      <c r="T272" s="675"/>
      <c r="U272" s="768">
        <v>42658</v>
      </c>
    </row>
    <row r="273" spans="1:21" x14ac:dyDescent="0.2">
      <c r="A273" s="758">
        <f t="shared" si="8"/>
        <v>43071</v>
      </c>
      <c r="B273" s="80" t="s">
        <v>8729</v>
      </c>
      <c r="E273" s="532" t="s">
        <v>8852</v>
      </c>
      <c r="F273" s="756"/>
      <c r="G273" s="532">
        <v>290</v>
      </c>
      <c r="H273" s="675">
        <v>2.449074074074074E-2</v>
      </c>
      <c r="M273" s="757">
        <v>0.32430555555555557</v>
      </c>
      <c r="N273" s="2"/>
      <c r="Q273" s="674">
        <v>293</v>
      </c>
      <c r="R273" s="685" t="s">
        <v>1982</v>
      </c>
      <c r="S273" s="674" t="s">
        <v>4467</v>
      </c>
      <c r="T273" s="675"/>
      <c r="U273" s="768">
        <v>42658</v>
      </c>
    </row>
    <row r="274" spans="1:21" x14ac:dyDescent="0.2">
      <c r="A274" s="758">
        <f t="shared" si="8"/>
        <v>43078</v>
      </c>
      <c r="E274" s="532" t="s">
        <v>8616</v>
      </c>
      <c r="F274" s="756"/>
      <c r="G274" s="532">
        <v>291</v>
      </c>
      <c r="H274" s="675">
        <v>2.5486111111111112E-2</v>
      </c>
      <c r="M274" s="757">
        <v>0.3298611111111111</v>
      </c>
      <c r="Q274" s="674">
        <v>294</v>
      </c>
      <c r="R274" s="685" t="s">
        <v>5663</v>
      </c>
      <c r="S274" s="674" t="s">
        <v>4322</v>
      </c>
      <c r="T274" s="675"/>
      <c r="U274" s="768">
        <v>42665</v>
      </c>
    </row>
    <row r="275" spans="1:21" x14ac:dyDescent="0.2">
      <c r="A275" s="758">
        <f t="shared" si="8"/>
        <v>43085</v>
      </c>
      <c r="E275" s="532" t="s">
        <v>8885</v>
      </c>
      <c r="F275" s="756"/>
      <c r="G275" s="532">
        <v>292</v>
      </c>
      <c r="H275" s="675">
        <v>2.478009259259259E-2</v>
      </c>
      <c r="M275" s="881">
        <v>0.3347222222222222</v>
      </c>
      <c r="Q275" s="674">
        <v>295</v>
      </c>
      <c r="R275" s="685" t="s">
        <v>692</v>
      </c>
      <c r="S275" s="674" t="s">
        <v>3345</v>
      </c>
      <c r="T275" s="675">
        <v>1.7465277777777777E-2</v>
      </c>
      <c r="U275" s="768">
        <v>42665</v>
      </c>
    </row>
    <row r="276" spans="1:21" x14ac:dyDescent="0.2">
      <c r="A276" s="758">
        <f t="shared" si="8"/>
        <v>43092</v>
      </c>
      <c r="B276" s="80" t="s">
        <v>8975</v>
      </c>
      <c r="E276" s="532" t="s">
        <v>8886</v>
      </c>
      <c r="F276" s="756"/>
      <c r="G276" s="532">
        <v>293</v>
      </c>
      <c r="H276" s="675">
        <v>2.3819444444444445E-2</v>
      </c>
      <c r="M276" s="881">
        <v>0.33680555555555558</v>
      </c>
      <c r="Q276" s="674">
        <v>296</v>
      </c>
      <c r="R276" s="685" t="s">
        <v>74</v>
      </c>
      <c r="S276" s="674" t="s">
        <v>4778</v>
      </c>
      <c r="T276" s="675">
        <v>2.3391203703703702E-2</v>
      </c>
      <c r="U276" s="768">
        <v>42665</v>
      </c>
    </row>
    <row r="277" spans="1:21" x14ac:dyDescent="0.2">
      <c r="A277" s="758">
        <f>A276+2</f>
        <v>43094</v>
      </c>
      <c r="B277" s="80" t="s">
        <v>8993</v>
      </c>
      <c r="E277" s="767"/>
      <c r="M277" s="882">
        <v>0.33749999999999997</v>
      </c>
      <c r="Q277" s="674">
        <v>297</v>
      </c>
      <c r="R277" s="685" t="s">
        <v>2399</v>
      </c>
      <c r="S277" s="674" t="s">
        <v>4322</v>
      </c>
      <c r="T277" s="675">
        <v>2.0590277777777777E-2</v>
      </c>
      <c r="U277" s="768">
        <v>42672</v>
      </c>
    </row>
    <row r="278" spans="1:21" ht="13.5" thickBot="1" x14ac:dyDescent="0.25">
      <c r="A278" s="1031">
        <f>A277+5</f>
        <v>43099</v>
      </c>
      <c r="B278" s="969"/>
      <c r="C278" s="969"/>
      <c r="D278" s="969"/>
      <c r="E278" s="1032" t="s">
        <v>8730</v>
      </c>
      <c r="F278" s="1033"/>
      <c r="G278" s="1032">
        <v>294</v>
      </c>
      <c r="H278" s="1034">
        <v>2.4699074074074078E-2</v>
      </c>
      <c r="M278" s="882">
        <v>0.33749999999999997</v>
      </c>
      <c r="Q278" s="674">
        <v>298</v>
      </c>
      <c r="R278" s="685" t="s">
        <v>353</v>
      </c>
      <c r="S278" s="674" t="s">
        <v>298</v>
      </c>
      <c r="T278" s="675">
        <v>1.650462962962963E-2</v>
      </c>
      <c r="U278" s="768">
        <v>42672</v>
      </c>
    </row>
    <row r="279" spans="1:21" x14ac:dyDescent="0.2">
      <c r="A279" s="758">
        <f>A278+2</f>
        <v>43101</v>
      </c>
      <c r="B279" s="80" t="s">
        <v>9053</v>
      </c>
      <c r="E279" s="532" t="s">
        <v>9052</v>
      </c>
      <c r="G279" s="1016">
        <v>295</v>
      </c>
      <c r="H279" s="675">
        <v>2.6469907407407411E-2</v>
      </c>
      <c r="M279" s="882">
        <v>0.33749999999999997</v>
      </c>
      <c r="N279" s="2"/>
      <c r="Q279" s="674">
        <v>299</v>
      </c>
      <c r="R279" s="685" t="s">
        <v>3160</v>
      </c>
      <c r="S279" s="674" t="s">
        <v>1270</v>
      </c>
      <c r="T279" s="675">
        <v>1.8391203703703705E-2</v>
      </c>
      <c r="U279" s="768">
        <v>42672</v>
      </c>
    </row>
    <row r="280" spans="1:21" x14ac:dyDescent="0.2">
      <c r="A280" s="758">
        <f>A279+5</f>
        <v>43106</v>
      </c>
      <c r="E280" s="890" t="s">
        <v>2126</v>
      </c>
      <c r="H280" s="675"/>
      <c r="M280" s="883">
        <v>0.33680555555555558</v>
      </c>
      <c r="Q280" s="674">
        <v>300</v>
      </c>
      <c r="R280" s="685" t="s">
        <v>623</v>
      </c>
      <c r="S280" s="685" t="s">
        <v>748</v>
      </c>
      <c r="T280" s="675">
        <v>2.2488425925925926E-2</v>
      </c>
      <c r="U280" s="768">
        <v>42679</v>
      </c>
    </row>
    <row r="281" spans="1:21" x14ac:dyDescent="0.2">
      <c r="A281" s="758">
        <f t="shared" si="8"/>
        <v>43113</v>
      </c>
      <c r="B281" s="80" t="s">
        <v>8756</v>
      </c>
      <c r="E281" s="890" t="s">
        <v>2126</v>
      </c>
      <c r="H281" s="675"/>
      <c r="M281" s="881">
        <v>0.33402777777777781</v>
      </c>
      <c r="Q281" s="674">
        <v>301</v>
      </c>
      <c r="R281" s="685" t="s">
        <v>615</v>
      </c>
      <c r="S281" s="685" t="s">
        <v>1062</v>
      </c>
      <c r="T281" s="675">
        <v>2.7002314814814812E-2</v>
      </c>
      <c r="U281" s="768">
        <v>42679</v>
      </c>
    </row>
    <row r="282" spans="1:21" x14ac:dyDescent="0.2">
      <c r="A282" s="758">
        <f t="shared" si="8"/>
        <v>43120</v>
      </c>
      <c r="B282" s="80" t="s">
        <v>8921</v>
      </c>
      <c r="E282" s="532" t="s">
        <v>1401</v>
      </c>
      <c r="F282" s="756"/>
      <c r="G282" s="756">
        <v>296</v>
      </c>
      <c r="H282" s="675">
        <v>2.5173611111111108E-2</v>
      </c>
      <c r="M282" s="884">
        <v>0.3298611111111111</v>
      </c>
      <c r="N282" s="2"/>
      <c r="Q282" s="674">
        <v>302</v>
      </c>
      <c r="R282" s="685" t="s">
        <v>1460</v>
      </c>
      <c r="S282" s="674" t="s">
        <v>1000</v>
      </c>
      <c r="T282" s="675" t="s">
        <v>1475</v>
      </c>
      <c r="U282" s="768">
        <v>42686</v>
      </c>
    </row>
    <row r="283" spans="1:21" x14ac:dyDescent="0.2">
      <c r="A283" s="758">
        <f t="shared" si="8"/>
        <v>43127</v>
      </c>
      <c r="B283" s="80" t="s">
        <v>8945</v>
      </c>
      <c r="E283" s="532" t="s">
        <v>9129</v>
      </c>
      <c r="F283" s="756"/>
      <c r="G283" s="756">
        <v>297</v>
      </c>
      <c r="H283" s="675">
        <v>2.5115740740740741E-2</v>
      </c>
      <c r="M283" s="884">
        <v>0.32361111111111113</v>
      </c>
      <c r="Q283" s="674">
        <v>303</v>
      </c>
      <c r="R283" s="685" t="s">
        <v>1459</v>
      </c>
      <c r="S283" s="674" t="s">
        <v>627</v>
      </c>
      <c r="T283" s="675" t="s">
        <v>5307</v>
      </c>
      <c r="U283" s="768">
        <v>42686</v>
      </c>
    </row>
    <row r="284" spans="1:21" x14ac:dyDescent="0.2">
      <c r="A284" s="758">
        <f t="shared" si="8"/>
        <v>43134</v>
      </c>
      <c r="E284" s="532" t="s">
        <v>9131</v>
      </c>
      <c r="F284" s="756"/>
      <c r="G284" s="532">
        <v>298</v>
      </c>
      <c r="H284" s="675">
        <v>2.5231481481481483E-2</v>
      </c>
      <c r="M284" s="884">
        <v>0.31666666666666665</v>
      </c>
      <c r="N284" s="2"/>
      <c r="Q284" s="674">
        <v>304</v>
      </c>
      <c r="R284" s="685" t="s">
        <v>2637</v>
      </c>
      <c r="S284" s="756" t="s">
        <v>909</v>
      </c>
      <c r="T284" s="675">
        <v>1.8032407407407407E-2</v>
      </c>
      <c r="U284" s="768">
        <v>42693</v>
      </c>
    </row>
    <row r="285" spans="1:21" x14ac:dyDescent="0.2">
      <c r="A285" s="758">
        <f t="shared" si="8"/>
        <v>43141</v>
      </c>
      <c r="B285" s="80" t="s">
        <v>8755</v>
      </c>
      <c r="E285" s="879" t="s">
        <v>9213</v>
      </c>
      <c r="F285" s="879"/>
      <c r="G285" s="532">
        <v>299</v>
      </c>
      <c r="H285" s="675">
        <v>2.5868055555555557E-2</v>
      </c>
      <c r="M285" s="885">
        <v>0.30833333333333335</v>
      </c>
      <c r="N285" s="2"/>
      <c r="Q285" s="674">
        <v>305</v>
      </c>
      <c r="R285" s="685" t="s">
        <v>3947</v>
      </c>
      <c r="S285" s="674" t="s">
        <v>1000</v>
      </c>
      <c r="T285" s="675">
        <v>2.0532407407407405E-2</v>
      </c>
      <c r="U285" s="768">
        <v>42700</v>
      </c>
    </row>
    <row r="286" spans="1:21" x14ac:dyDescent="0.2">
      <c r="A286" s="758">
        <f t="shared" si="8"/>
        <v>43148</v>
      </c>
      <c r="B286" s="80" t="s">
        <v>9276</v>
      </c>
      <c r="E286" s="532" t="s">
        <v>9130</v>
      </c>
      <c r="F286" s="756"/>
      <c r="G286" s="532">
        <v>300</v>
      </c>
      <c r="H286" s="334">
        <v>2.5613425925925925E-2</v>
      </c>
      <c r="M286" s="885">
        <v>0.29930555555555555</v>
      </c>
      <c r="N286" s="2"/>
      <c r="Q286" s="674">
        <v>306</v>
      </c>
      <c r="R286" s="685" t="s">
        <v>2963</v>
      </c>
      <c r="S286" s="674" t="s">
        <v>1000</v>
      </c>
      <c r="T286" s="675">
        <v>1.8993055555555558E-2</v>
      </c>
      <c r="U286" s="768">
        <v>42714</v>
      </c>
    </row>
    <row r="287" spans="1:21" x14ac:dyDescent="0.2">
      <c r="A287" s="758">
        <f t="shared" si="8"/>
        <v>43155</v>
      </c>
      <c r="B287" s="80" t="s">
        <v>9350</v>
      </c>
      <c r="E287" s="879" t="s">
        <v>9214</v>
      </c>
      <c r="F287" s="1005"/>
      <c r="G287" s="532">
        <f>G286+1</f>
        <v>301</v>
      </c>
      <c r="H287" s="675">
        <v>2.6261574074074076E-2</v>
      </c>
      <c r="I287" s="414"/>
      <c r="J287" s="414"/>
      <c r="M287" s="887">
        <v>0.28958333333333336</v>
      </c>
      <c r="Q287" s="674">
        <v>307</v>
      </c>
      <c r="R287" s="685" t="s">
        <v>6075</v>
      </c>
      <c r="S287" s="674" t="s">
        <v>1062</v>
      </c>
      <c r="T287" s="683"/>
      <c r="U287" s="768">
        <v>42721</v>
      </c>
    </row>
    <row r="288" spans="1:21" x14ac:dyDescent="0.2">
      <c r="A288" s="1001">
        <f t="shared" si="8"/>
        <v>43162</v>
      </c>
      <c r="B288" s="80" t="s">
        <v>9405</v>
      </c>
      <c r="E288" s="532" t="s">
        <v>9404</v>
      </c>
      <c r="F288" s="756"/>
      <c r="G288" s="532">
        <f t="shared" ref="G288:G294" si="9">G287+1</f>
        <v>302</v>
      </c>
      <c r="H288" s="675">
        <v>2.7002314814814812E-2</v>
      </c>
      <c r="M288" s="887">
        <v>0.27916666666666667</v>
      </c>
      <c r="N288" s="2"/>
      <c r="Q288" s="674">
        <v>308</v>
      </c>
      <c r="R288" s="685" t="s">
        <v>4834</v>
      </c>
      <c r="S288" s="674" t="s">
        <v>298</v>
      </c>
      <c r="T288" s="675"/>
      <c r="U288" s="768">
        <v>42728</v>
      </c>
    </row>
    <row r="289" spans="1:21" x14ac:dyDescent="0.2">
      <c r="A289" s="758">
        <f t="shared" si="8"/>
        <v>43169</v>
      </c>
      <c r="E289" s="879" t="s">
        <v>9413</v>
      </c>
      <c r="F289" s="1005"/>
      <c r="G289" s="532">
        <f t="shared" si="9"/>
        <v>303</v>
      </c>
      <c r="H289" s="675">
        <v>2.6585648148148146E-2</v>
      </c>
      <c r="M289" s="887">
        <v>0.26874999999999999</v>
      </c>
      <c r="P289" s="769">
        <v>2016</v>
      </c>
      <c r="Q289" s="725">
        <v>309</v>
      </c>
      <c r="R289" s="754" t="s">
        <v>4866</v>
      </c>
      <c r="S289" s="754" t="s">
        <v>6221</v>
      </c>
      <c r="T289" s="727"/>
      <c r="U289" s="770">
        <v>42735</v>
      </c>
    </row>
    <row r="290" spans="1:21" x14ac:dyDescent="0.2">
      <c r="A290" s="758">
        <f t="shared" si="8"/>
        <v>43176</v>
      </c>
      <c r="B290" s="80" t="s">
        <v>9459</v>
      </c>
      <c r="E290" s="532" t="s">
        <v>9467</v>
      </c>
      <c r="F290" s="756"/>
      <c r="G290" s="532">
        <f t="shared" si="9"/>
        <v>304</v>
      </c>
      <c r="H290" s="675">
        <v>2.5706018518518517E-2</v>
      </c>
      <c r="M290" s="887">
        <v>0.25763888888888892</v>
      </c>
      <c r="P290" s="672">
        <v>2017</v>
      </c>
      <c r="Q290" s="674">
        <v>310</v>
      </c>
      <c r="R290" s="685" t="s">
        <v>4632</v>
      </c>
      <c r="S290" s="685" t="s">
        <v>1062</v>
      </c>
      <c r="T290" s="675">
        <v>6.6666666666666671E-3</v>
      </c>
      <c r="U290" s="768">
        <v>42736</v>
      </c>
    </row>
    <row r="291" spans="1:21" x14ac:dyDescent="0.2">
      <c r="A291" s="758">
        <f t="shared" si="8"/>
        <v>43183</v>
      </c>
      <c r="B291" s="80" t="s">
        <v>4312</v>
      </c>
      <c r="E291" s="879" t="s">
        <v>9465</v>
      </c>
      <c r="F291" s="1005"/>
      <c r="G291" s="532">
        <f t="shared" si="9"/>
        <v>305</v>
      </c>
      <c r="H291" s="675">
        <v>2.631944444444444E-2</v>
      </c>
      <c r="I291" s="80"/>
      <c r="M291" s="733">
        <v>0.24652777777777779</v>
      </c>
      <c r="Q291" s="674">
        <v>311</v>
      </c>
      <c r="R291" s="685" t="s">
        <v>6205</v>
      </c>
      <c r="S291" s="685" t="s">
        <v>6140</v>
      </c>
      <c r="T291" s="675">
        <v>7.5578703703703702E-3</v>
      </c>
      <c r="U291" s="768">
        <v>42736</v>
      </c>
    </row>
    <row r="292" spans="1:21" x14ac:dyDescent="0.2">
      <c r="A292" s="758">
        <f t="shared" si="8"/>
        <v>43190</v>
      </c>
      <c r="B292" s="80" t="s">
        <v>9534</v>
      </c>
      <c r="E292" s="879" t="s">
        <v>9466</v>
      </c>
      <c r="F292" s="1005"/>
      <c r="G292" s="532">
        <f t="shared" si="9"/>
        <v>306</v>
      </c>
      <c r="H292" s="886">
        <v>2.4398148148148145E-2</v>
      </c>
      <c r="M292" s="889">
        <v>0.27708333333333335</v>
      </c>
      <c r="N292" s="80" t="s">
        <v>4526</v>
      </c>
      <c r="Q292" s="674">
        <v>312</v>
      </c>
      <c r="R292" s="685" t="s">
        <v>2311</v>
      </c>
      <c r="S292" s="760" t="s">
        <v>6180</v>
      </c>
      <c r="T292" s="675">
        <v>7.5810185185185182E-3</v>
      </c>
      <c r="U292" s="768">
        <v>42736</v>
      </c>
    </row>
    <row r="293" spans="1:21" x14ac:dyDescent="0.2">
      <c r="A293" s="758">
        <f t="shared" si="8"/>
        <v>43197</v>
      </c>
      <c r="B293" s="80" t="s">
        <v>9560</v>
      </c>
      <c r="E293" s="879" t="s">
        <v>9512</v>
      </c>
      <c r="F293" s="1005"/>
      <c r="G293" s="532">
        <f t="shared" si="9"/>
        <v>307</v>
      </c>
      <c r="H293" s="675">
        <v>2.5752314814814815E-2</v>
      </c>
      <c r="I293" s="80"/>
      <c r="J293" s="414"/>
      <c r="M293" s="959">
        <v>0.26597222222222222</v>
      </c>
      <c r="Q293" s="674">
        <v>313</v>
      </c>
      <c r="R293" s="685" t="s">
        <v>2627</v>
      </c>
      <c r="S293" s="685" t="s">
        <v>5097</v>
      </c>
      <c r="T293" s="675">
        <v>7.6157407407407415E-3</v>
      </c>
      <c r="U293" s="768">
        <v>42736</v>
      </c>
    </row>
    <row r="294" spans="1:21" x14ac:dyDescent="0.2">
      <c r="A294" s="758">
        <f t="shared" si="8"/>
        <v>43204</v>
      </c>
      <c r="B294" s="80" t="s">
        <v>9582</v>
      </c>
      <c r="E294" s="879" t="s">
        <v>9581</v>
      </c>
      <c r="F294" s="1005"/>
      <c r="G294" s="532">
        <f t="shared" si="9"/>
        <v>308</v>
      </c>
      <c r="H294" s="675">
        <v>2.6168981481481477E-2</v>
      </c>
      <c r="I294" s="80"/>
      <c r="M294" s="733">
        <v>0.25555555555555559</v>
      </c>
      <c r="Q294" s="674">
        <v>314</v>
      </c>
      <c r="R294" s="685" t="s">
        <v>3227</v>
      </c>
      <c r="S294" s="685" t="s">
        <v>1062</v>
      </c>
      <c r="T294" s="675">
        <v>7.7314814814814815E-3</v>
      </c>
      <c r="U294" s="768">
        <v>42736</v>
      </c>
    </row>
    <row r="295" spans="1:21" x14ac:dyDescent="0.2">
      <c r="A295" s="758">
        <f t="shared" si="8"/>
        <v>43211</v>
      </c>
      <c r="B295" s="80" t="s">
        <v>9650</v>
      </c>
      <c r="E295" s="904"/>
      <c r="I295" s="80"/>
      <c r="M295" s="733">
        <v>0.24513888888888888</v>
      </c>
      <c r="Q295" s="674">
        <v>315</v>
      </c>
      <c r="R295" s="685" t="s">
        <v>6269</v>
      </c>
      <c r="S295" s="685" t="s">
        <v>2670</v>
      </c>
      <c r="U295" s="768">
        <v>42742</v>
      </c>
    </row>
    <row r="296" spans="1:21" x14ac:dyDescent="0.2">
      <c r="A296" s="758">
        <f t="shared" si="8"/>
        <v>43218</v>
      </c>
      <c r="B296" s="80" t="s">
        <v>9620</v>
      </c>
      <c r="E296" s="879" t="s">
        <v>9652</v>
      </c>
      <c r="F296" s="756"/>
      <c r="G296" s="756">
        <v>309</v>
      </c>
      <c r="H296" s="675">
        <v>2.5960648148148149E-2</v>
      </c>
      <c r="I296" s="80"/>
      <c r="Q296" s="674">
        <v>316</v>
      </c>
      <c r="R296" s="685" t="s">
        <v>4530</v>
      </c>
      <c r="S296" s="685" t="s">
        <v>5096</v>
      </c>
      <c r="U296" s="768">
        <v>42742</v>
      </c>
    </row>
    <row r="297" spans="1:21" x14ac:dyDescent="0.2">
      <c r="A297" s="758">
        <f t="shared" si="8"/>
        <v>43225</v>
      </c>
      <c r="B297" s="80" t="s">
        <v>9719</v>
      </c>
      <c r="E297" s="532" t="s">
        <v>9599</v>
      </c>
      <c r="F297" s="756"/>
      <c r="G297" s="756">
        <v>310</v>
      </c>
      <c r="H297" s="675">
        <v>2.5520833333333336E-2</v>
      </c>
      <c r="I297" s="80"/>
      <c r="K297" s="869" t="s">
        <v>665</v>
      </c>
      <c r="Q297" s="674">
        <v>317</v>
      </c>
      <c r="R297" s="685" t="s">
        <v>3157</v>
      </c>
      <c r="S297" s="685" t="s">
        <v>1062</v>
      </c>
      <c r="U297" s="768">
        <v>42749</v>
      </c>
    </row>
    <row r="298" spans="1:21" x14ac:dyDescent="0.2">
      <c r="A298" s="758">
        <f t="shared" si="8"/>
        <v>43232</v>
      </c>
      <c r="B298" s="80" t="s">
        <v>9785</v>
      </c>
      <c r="E298" s="532" t="s">
        <v>9653</v>
      </c>
      <c r="F298" s="756"/>
      <c r="G298" s="756">
        <v>311</v>
      </c>
      <c r="H298" s="675">
        <v>2.5821759259259256E-2</v>
      </c>
      <c r="I298" s="80"/>
      <c r="K298" s="869" t="s">
        <v>9790</v>
      </c>
      <c r="Q298" s="674">
        <v>318</v>
      </c>
      <c r="R298" s="685" t="s">
        <v>6373</v>
      </c>
      <c r="S298" s="685" t="s">
        <v>1000</v>
      </c>
      <c r="U298" s="768">
        <v>42756</v>
      </c>
    </row>
    <row r="299" spans="1:21" x14ac:dyDescent="0.2">
      <c r="A299" s="758">
        <f t="shared" si="8"/>
        <v>43239</v>
      </c>
      <c r="B299" s="80" t="s">
        <v>9812</v>
      </c>
      <c r="E299" s="532" t="s">
        <v>9654</v>
      </c>
      <c r="F299" s="756"/>
      <c r="G299" s="532">
        <v>312</v>
      </c>
      <c r="H299" s="675">
        <v>2.4837962962962964E-2</v>
      </c>
      <c r="I299" s="80"/>
      <c r="K299" s="532" t="s">
        <v>8144</v>
      </c>
      <c r="Q299" s="674">
        <v>319</v>
      </c>
      <c r="R299" s="685" t="s">
        <v>2783</v>
      </c>
      <c r="S299" s="685" t="s">
        <v>1000</v>
      </c>
      <c r="U299" s="768">
        <v>42777</v>
      </c>
    </row>
    <row r="300" spans="1:21" x14ac:dyDescent="0.2">
      <c r="A300" s="758">
        <f t="shared" si="8"/>
        <v>43246</v>
      </c>
      <c r="E300" s="890" t="s">
        <v>2126</v>
      </c>
      <c r="F300" s="80" t="s">
        <v>9598</v>
      </c>
      <c r="H300" s="675"/>
      <c r="I300" s="80"/>
      <c r="K300" s="532" t="s">
        <v>9791</v>
      </c>
      <c r="Q300" s="674">
        <v>320</v>
      </c>
      <c r="R300" s="685" t="s">
        <v>6283</v>
      </c>
      <c r="S300" s="685" t="s">
        <v>1062</v>
      </c>
      <c r="U300" s="768">
        <v>42777</v>
      </c>
    </row>
    <row r="301" spans="1:21" x14ac:dyDescent="0.2">
      <c r="A301" s="758">
        <f t="shared" si="8"/>
        <v>43253</v>
      </c>
      <c r="B301" s="80" t="s">
        <v>9894</v>
      </c>
      <c r="E301" s="879" t="s">
        <v>9877</v>
      </c>
      <c r="F301" s="1005"/>
      <c r="G301" s="532">
        <v>313</v>
      </c>
      <c r="H301" s="675">
        <v>2.5914351851851855E-2</v>
      </c>
      <c r="I301" s="80"/>
      <c r="K301" s="532" t="s">
        <v>8248</v>
      </c>
      <c r="Q301" s="674">
        <v>321</v>
      </c>
      <c r="R301" s="685" t="s">
        <v>2079</v>
      </c>
      <c r="S301" s="685" t="s">
        <v>1000</v>
      </c>
      <c r="U301" s="768">
        <v>42784</v>
      </c>
    </row>
    <row r="302" spans="1:21" x14ac:dyDescent="0.2">
      <c r="A302" s="758">
        <f t="shared" si="8"/>
        <v>43260</v>
      </c>
      <c r="B302" s="80" t="s">
        <v>9934</v>
      </c>
      <c r="E302" s="532" t="s">
        <v>9892</v>
      </c>
      <c r="F302" s="756"/>
      <c r="G302" s="756">
        <v>314</v>
      </c>
      <c r="H302" s="675">
        <v>2.5428240740740741E-2</v>
      </c>
      <c r="I302" s="2"/>
      <c r="K302" s="532" t="s">
        <v>9142</v>
      </c>
      <c r="Q302" s="674">
        <v>322</v>
      </c>
      <c r="R302" s="685" t="s">
        <v>7580</v>
      </c>
      <c r="S302" s="685" t="s">
        <v>6140</v>
      </c>
      <c r="U302" s="768">
        <v>42798</v>
      </c>
    </row>
    <row r="303" spans="1:21" x14ac:dyDescent="0.2">
      <c r="A303" s="758">
        <f t="shared" si="8"/>
        <v>43267</v>
      </c>
      <c r="E303" s="532" t="s">
        <v>9789</v>
      </c>
      <c r="F303" s="756"/>
      <c r="G303" s="532">
        <v>315</v>
      </c>
      <c r="H303" s="675">
        <v>2.6435185185185187E-2</v>
      </c>
      <c r="I303" s="414"/>
      <c r="J303" s="414"/>
      <c r="K303" s="532" t="s">
        <v>8245</v>
      </c>
      <c r="Q303" s="674">
        <v>323</v>
      </c>
      <c r="R303" s="685" t="s">
        <v>6393</v>
      </c>
      <c r="S303" s="685" t="s">
        <v>748</v>
      </c>
      <c r="U303" s="768">
        <v>42798</v>
      </c>
    </row>
    <row r="304" spans="1:21" x14ac:dyDescent="0.2">
      <c r="A304" s="758">
        <f t="shared" si="8"/>
        <v>43274</v>
      </c>
      <c r="B304" s="80" t="s">
        <v>10137</v>
      </c>
      <c r="E304" s="879" t="s">
        <v>9893</v>
      </c>
      <c r="F304" s="1005"/>
      <c r="G304" s="532">
        <v>316</v>
      </c>
      <c r="H304" s="675">
        <v>2.7766203703703706E-2</v>
      </c>
      <c r="K304" s="532" t="s">
        <v>972</v>
      </c>
      <c r="Q304" s="674">
        <v>324</v>
      </c>
      <c r="R304" s="685" t="s">
        <v>1299</v>
      </c>
      <c r="S304" s="685" t="s">
        <v>6140</v>
      </c>
      <c r="U304" s="768">
        <v>42805</v>
      </c>
    </row>
    <row r="305" spans="1:21" x14ac:dyDescent="0.2">
      <c r="A305" s="758">
        <f t="shared" si="8"/>
        <v>43281</v>
      </c>
      <c r="E305" s="532" t="s">
        <v>9926</v>
      </c>
      <c r="F305" s="756"/>
      <c r="G305" s="532">
        <v>317</v>
      </c>
      <c r="H305" s="675">
        <v>2.5578703703703704E-2</v>
      </c>
      <c r="K305" s="532" t="s">
        <v>2245</v>
      </c>
      <c r="Q305" s="674">
        <v>325</v>
      </c>
      <c r="R305" s="685" t="s">
        <v>4379</v>
      </c>
      <c r="S305" s="685" t="s">
        <v>4778</v>
      </c>
      <c r="U305" s="768">
        <v>42805</v>
      </c>
    </row>
    <row r="306" spans="1:21" x14ac:dyDescent="0.2">
      <c r="A306" s="758">
        <f t="shared" si="8"/>
        <v>43288</v>
      </c>
      <c r="B306" s="80" t="s">
        <v>10224</v>
      </c>
      <c r="E306" s="563" t="s">
        <v>10223</v>
      </c>
      <c r="F306" s="756"/>
      <c r="G306" s="532">
        <v>318</v>
      </c>
      <c r="H306" s="675">
        <v>2.5601851851851851E-2</v>
      </c>
      <c r="K306" s="532" t="s">
        <v>10225</v>
      </c>
      <c r="Q306" s="674">
        <v>326</v>
      </c>
      <c r="R306" s="685" t="s">
        <v>6284</v>
      </c>
      <c r="S306" s="685" t="s">
        <v>4637</v>
      </c>
      <c r="U306" s="768">
        <v>42812</v>
      </c>
    </row>
    <row r="307" spans="1:21" x14ac:dyDescent="0.2">
      <c r="A307" s="758">
        <f t="shared" si="8"/>
        <v>43295</v>
      </c>
      <c r="B307" s="80" t="s">
        <v>10264</v>
      </c>
      <c r="E307" s="879" t="s">
        <v>9895</v>
      </c>
      <c r="F307" s="1005"/>
      <c r="G307" s="756">
        <v>319</v>
      </c>
      <c r="H307" s="675">
        <v>2.6331018518518517E-2</v>
      </c>
      <c r="K307" s="532" t="s">
        <v>10263</v>
      </c>
      <c r="Q307" s="674">
        <v>327</v>
      </c>
      <c r="R307" s="685" t="s">
        <v>762</v>
      </c>
      <c r="S307" s="685" t="s">
        <v>1000</v>
      </c>
      <c r="U307" s="768">
        <v>42819</v>
      </c>
    </row>
    <row r="308" spans="1:21" x14ac:dyDescent="0.2">
      <c r="A308" s="758">
        <f t="shared" ref="A308:A371" si="10">A307+7</f>
        <v>43302</v>
      </c>
      <c r="B308" s="80" t="s">
        <v>10309</v>
      </c>
      <c r="E308" s="532" t="s">
        <v>10310</v>
      </c>
      <c r="F308" s="756"/>
      <c r="G308" s="532">
        <v>320</v>
      </c>
      <c r="H308" s="334">
        <v>2.4988425925925928E-2</v>
      </c>
      <c r="I308" s="414"/>
      <c r="J308" s="414"/>
      <c r="K308" s="532" t="s">
        <v>10618</v>
      </c>
      <c r="Q308" s="674">
        <v>328</v>
      </c>
      <c r="R308" s="685" t="s">
        <v>5836</v>
      </c>
      <c r="S308" s="685" t="s">
        <v>4584</v>
      </c>
      <c r="U308" s="768">
        <v>42826</v>
      </c>
    </row>
    <row r="309" spans="1:21" x14ac:dyDescent="0.2">
      <c r="A309" s="758">
        <f t="shared" si="10"/>
        <v>43309</v>
      </c>
      <c r="B309" s="80" t="s">
        <v>9792</v>
      </c>
      <c r="E309" s="879" t="s">
        <v>10364</v>
      </c>
      <c r="F309" s="1005"/>
      <c r="G309" s="756">
        <v>321</v>
      </c>
      <c r="H309" s="675">
        <v>2.6678240740740738E-2</v>
      </c>
      <c r="K309" s="532" t="s">
        <v>9792</v>
      </c>
      <c r="Q309" s="674">
        <v>329</v>
      </c>
      <c r="R309" s="685" t="s">
        <v>6159</v>
      </c>
      <c r="S309" s="685" t="s">
        <v>1000</v>
      </c>
      <c r="T309" s="681" t="s">
        <v>7730</v>
      </c>
      <c r="U309" s="768">
        <v>42833</v>
      </c>
    </row>
    <row r="310" spans="1:21" x14ac:dyDescent="0.2">
      <c r="A310" s="758">
        <f t="shared" si="10"/>
        <v>43316</v>
      </c>
      <c r="B310" s="80" t="s">
        <v>4179</v>
      </c>
      <c r="E310" s="532" t="s">
        <v>10473</v>
      </c>
      <c r="F310" s="756"/>
      <c r="G310" s="532">
        <v>322</v>
      </c>
      <c r="H310" s="675">
        <v>2.480324074074074E-2</v>
      </c>
      <c r="K310" s="532" t="s">
        <v>4179</v>
      </c>
      <c r="Q310" s="674">
        <v>330</v>
      </c>
      <c r="R310" s="685" t="s">
        <v>7796</v>
      </c>
      <c r="S310" s="685" t="s">
        <v>3254</v>
      </c>
      <c r="U310" s="768">
        <v>42840</v>
      </c>
    </row>
    <row r="311" spans="1:21" x14ac:dyDescent="0.2">
      <c r="A311" s="758">
        <f t="shared" si="10"/>
        <v>43323</v>
      </c>
      <c r="B311" s="80" t="s">
        <v>10438</v>
      </c>
      <c r="E311" s="997" t="s">
        <v>9351</v>
      </c>
      <c r="F311" s="997"/>
      <c r="H311" s="675"/>
      <c r="K311" s="532" t="s">
        <v>10192</v>
      </c>
      <c r="Q311" s="674">
        <v>331</v>
      </c>
      <c r="R311" s="685" t="s">
        <v>419</v>
      </c>
      <c r="S311" s="685" t="s">
        <v>1000</v>
      </c>
      <c r="U311" s="768">
        <v>42854</v>
      </c>
    </row>
    <row r="312" spans="1:21" x14ac:dyDescent="0.2">
      <c r="A312" s="758">
        <f t="shared" si="10"/>
        <v>43330</v>
      </c>
      <c r="B312" s="80" t="s">
        <v>10450</v>
      </c>
      <c r="E312" s="532" t="s">
        <v>10440</v>
      </c>
      <c r="F312" s="1097"/>
      <c r="G312" s="1098">
        <v>323</v>
      </c>
      <c r="H312" s="675">
        <v>2.4756944444444443E-2</v>
      </c>
      <c r="K312" s="532" t="s">
        <v>10276</v>
      </c>
      <c r="Q312" s="674">
        <v>332</v>
      </c>
      <c r="R312" s="685" t="s">
        <v>6420</v>
      </c>
      <c r="S312" s="685" t="s">
        <v>1062</v>
      </c>
      <c r="U312" s="768">
        <v>42861</v>
      </c>
    </row>
    <row r="313" spans="1:21" x14ac:dyDescent="0.2">
      <c r="A313" s="758">
        <f t="shared" si="10"/>
        <v>43337</v>
      </c>
      <c r="B313" s="80" t="s">
        <v>10511</v>
      </c>
      <c r="E313" s="532" t="s">
        <v>10477</v>
      </c>
      <c r="F313" s="1097"/>
      <c r="G313" s="532">
        <v>324</v>
      </c>
      <c r="H313" s="675">
        <v>2.6192129629629631E-2</v>
      </c>
      <c r="K313" s="532" t="s">
        <v>7932</v>
      </c>
      <c r="M313" s="1048">
        <v>0.25138888888888888</v>
      </c>
      <c r="Q313" s="674">
        <v>333</v>
      </c>
      <c r="R313" s="685" t="s">
        <v>7880</v>
      </c>
      <c r="S313" s="685" t="s">
        <v>5096</v>
      </c>
      <c r="U313" s="768">
        <v>42868</v>
      </c>
    </row>
    <row r="314" spans="1:21" x14ac:dyDescent="0.2">
      <c r="A314" s="758">
        <f t="shared" si="10"/>
        <v>43344</v>
      </c>
      <c r="B314" s="80" t="s">
        <v>10654</v>
      </c>
      <c r="E314" s="532" t="s">
        <v>10480</v>
      </c>
      <c r="F314" s="1097"/>
      <c r="G314" s="532">
        <v>325</v>
      </c>
      <c r="H314" s="675">
        <v>2.5196759259259256E-2</v>
      </c>
      <c r="I314" s="414"/>
      <c r="J314" s="414"/>
      <c r="K314" s="532" t="s">
        <v>4974</v>
      </c>
      <c r="M314" s="1048">
        <v>0.2590277777777778</v>
      </c>
      <c r="Q314" s="674">
        <v>334</v>
      </c>
      <c r="R314" s="685" t="s">
        <v>4501</v>
      </c>
      <c r="S314" s="685" t="s">
        <v>5882</v>
      </c>
      <c r="U314" s="768">
        <v>42868</v>
      </c>
    </row>
    <row r="315" spans="1:21" x14ac:dyDescent="0.2">
      <c r="A315" s="758">
        <f t="shared" si="10"/>
        <v>43351</v>
      </c>
      <c r="B315" s="80" t="s">
        <v>10630</v>
      </c>
      <c r="E315" s="532" t="s">
        <v>10513</v>
      </c>
      <c r="F315" s="1097"/>
      <c r="G315" s="532">
        <v>326</v>
      </c>
      <c r="H315" s="1417">
        <v>2.4212962962962964E-2</v>
      </c>
      <c r="I315" s="80"/>
      <c r="K315" s="532" t="s">
        <v>8373</v>
      </c>
      <c r="M315" s="1048">
        <v>0.26666666666666666</v>
      </c>
      <c r="Q315" s="674">
        <v>335</v>
      </c>
      <c r="R315" s="685" t="s">
        <v>5759</v>
      </c>
      <c r="S315" s="685" t="s">
        <v>1062</v>
      </c>
      <c r="U315" s="768">
        <v>42868</v>
      </c>
    </row>
    <row r="316" spans="1:21" x14ac:dyDescent="0.2">
      <c r="A316" s="758">
        <f t="shared" si="10"/>
        <v>43358</v>
      </c>
      <c r="B316" s="80" t="s">
        <v>10651</v>
      </c>
      <c r="E316" s="532" t="s">
        <v>10512</v>
      </c>
      <c r="F316" s="1097"/>
      <c r="G316" s="532">
        <v>327</v>
      </c>
      <c r="H316" s="675">
        <v>2.449074074074074E-2</v>
      </c>
      <c r="I316" s="80"/>
      <c r="J316" s="80"/>
      <c r="K316" s="862" t="s">
        <v>10652</v>
      </c>
      <c r="M316" s="1048">
        <v>0.27430555555555552</v>
      </c>
      <c r="Q316" s="674">
        <v>336</v>
      </c>
      <c r="R316" s="685" t="s">
        <v>7932</v>
      </c>
      <c r="S316" s="685" t="s">
        <v>748</v>
      </c>
      <c r="U316" s="768">
        <v>42875</v>
      </c>
    </row>
    <row r="317" spans="1:21" x14ac:dyDescent="0.2">
      <c r="A317" s="758">
        <f t="shared" si="10"/>
        <v>43365</v>
      </c>
      <c r="B317" s="80" t="s">
        <v>10437</v>
      </c>
      <c r="E317" s="890" t="s">
        <v>2126</v>
      </c>
      <c r="F317" s="1004"/>
      <c r="H317" s="675"/>
      <c r="I317" s="80"/>
      <c r="K317" s="532" t="s">
        <v>10785</v>
      </c>
      <c r="M317" s="1048">
        <v>0.28194444444444444</v>
      </c>
      <c r="Q317" s="674">
        <v>337</v>
      </c>
      <c r="R317" s="685" t="s">
        <v>7944</v>
      </c>
      <c r="S317" s="685" t="s">
        <v>4467</v>
      </c>
      <c r="U317" s="768">
        <v>42882</v>
      </c>
    </row>
    <row r="318" spans="1:21" x14ac:dyDescent="0.2">
      <c r="A318" s="758">
        <f t="shared" si="10"/>
        <v>43372</v>
      </c>
      <c r="B318" s="80" t="s">
        <v>10705</v>
      </c>
      <c r="E318" s="890" t="s">
        <v>7853</v>
      </c>
      <c r="F318" s="1004"/>
      <c r="H318" s="675"/>
      <c r="I318" s="80"/>
      <c r="K318" s="532" t="s">
        <v>10786</v>
      </c>
      <c r="M318" s="1048">
        <v>0.2902777777777778</v>
      </c>
      <c r="Q318" s="674">
        <v>338</v>
      </c>
      <c r="R318" s="415" t="s">
        <v>7962</v>
      </c>
      <c r="S318" s="685" t="s">
        <v>1000</v>
      </c>
      <c r="U318" s="768">
        <v>42882</v>
      </c>
    </row>
    <row r="319" spans="1:21" x14ac:dyDescent="0.2">
      <c r="A319" s="758">
        <f t="shared" si="10"/>
        <v>43379</v>
      </c>
      <c r="B319" s="80" t="s">
        <v>10781</v>
      </c>
      <c r="E319" s="532" t="s">
        <v>10619</v>
      </c>
      <c r="F319" s="1097"/>
      <c r="G319" s="532">
        <v>328</v>
      </c>
      <c r="H319" s="675">
        <v>2.4212962962962964E-2</v>
      </c>
      <c r="K319" s="532" t="s">
        <v>4911</v>
      </c>
      <c r="M319" s="1049">
        <v>0.29791666666666666</v>
      </c>
      <c r="Q319" s="674">
        <v>339</v>
      </c>
      <c r="R319" s="685" t="s">
        <v>7999</v>
      </c>
      <c r="S319" s="685" t="s">
        <v>627</v>
      </c>
      <c r="U319" s="768">
        <v>42889</v>
      </c>
    </row>
    <row r="320" spans="1:21" x14ac:dyDescent="0.2">
      <c r="A320" s="758">
        <f t="shared" si="10"/>
        <v>43386</v>
      </c>
      <c r="B320" s="80" t="s">
        <v>10614</v>
      </c>
      <c r="E320" s="532" t="s">
        <v>10811</v>
      </c>
      <c r="F320" s="1097"/>
      <c r="G320" s="532">
        <v>329</v>
      </c>
      <c r="H320" s="675">
        <v>2.4756944444444443E-2</v>
      </c>
      <c r="K320" s="532" t="s">
        <v>10441</v>
      </c>
      <c r="M320" s="1049">
        <v>0.30624999999999997</v>
      </c>
      <c r="Q320" s="415">
        <v>340</v>
      </c>
      <c r="R320" s="415" t="s">
        <v>7938</v>
      </c>
      <c r="S320" s="415" t="s">
        <v>4778</v>
      </c>
      <c r="U320" s="768">
        <v>42910</v>
      </c>
    </row>
    <row r="321" spans="1:21" x14ac:dyDescent="0.2">
      <c r="A321" s="758">
        <f t="shared" si="10"/>
        <v>43393</v>
      </c>
      <c r="B321" s="80" t="s">
        <v>10870</v>
      </c>
      <c r="E321" s="532" t="s">
        <v>10799</v>
      </c>
      <c r="F321" s="1097"/>
      <c r="G321" s="532">
        <v>330</v>
      </c>
      <c r="H321" s="886">
        <v>2.3773148148148151E-2</v>
      </c>
      <c r="I321" s="80" t="s">
        <v>10147</v>
      </c>
      <c r="K321" s="532" t="s">
        <v>10482</v>
      </c>
      <c r="M321" s="1050">
        <v>0.31458333333333333</v>
      </c>
      <c r="Q321" s="415">
        <v>341</v>
      </c>
      <c r="R321" s="415" t="s">
        <v>3701</v>
      </c>
      <c r="S321" s="415" t="s">
        <v>1000</v>
      </c>
      <c r="U321" s="768">
        <v>42910</v>
      </c>
    </row>
    <row r="322" spans="1:21" x14ac:dyDescent="0.2">
      <c r="A322" s="758">
        <f t="shared" si="10"/>
        <v>43400</v>
      </c>
      <c r="B322" s="80" t="s">
        <v>10309</v>
      </c>
      <c r="E322" s="532" t="s">
        <v>1864</v>
      </c>
      <c r="F322" s="1097"/>
      <c r="G322" s="532">
        <v>331</v>
      </c>
      <c r="H322" s="675">
        <v>2.4340277777777777E-2</v>
      </c>
      <c r="K322" s="532" t="s">
        <v>10880</v>
      </c>
      <c r="M322" s="1050">
        <v>0.32291666666666669</v>
      </c>
      <c r="Q322" s="415">
        <v>342</v>
      </c>
      <c r="R322" s="415" t="s">
        <v>8116</v>
      </c>
      <c r="S322" s="415" t="s">
        <v>3254</v>
      </c>
      <c r="U322" s="768">
        <v>42917</v>
      </c>
    </row>
    <row r="323" spans="1:21" x14ac:dyDescent="0.2">
      <c r="A323" s="758">
        <f t="shared" si="10"/>
        <v>43407</v>
      </c>
      <c r="E323" s="904"/>
      <c r="F323" s="1004"/>
      <c r="G323" s="80"/>
      <c r="H323" s="675"/>
      <c r="I323" s="414"/>
      <c r="J323" s="414"/>
      <c r="K323" s="532" t="s">
        <v>4180</v>
      </c>
      <c r="M323" s="1048">
        <v>0.28958333333333336</v>
      </c>
      <c r="Q323" s="415">
        <v>343</v>
      </c>
      <c r="R323" s="415" t="s">
        <v>2364</v>
      </c>
      <c r="S323" s="415" t="s">
        <v>1000</v>
      </c>
      <c r="U323" s="768">
        <v>42917</v>
      </c>
    </row>
    <row r="324" spans="1:21" x14ac:dyDescent="0.2">
      <c r="A324" s="758">
        <f t="shared" si="10"/>
        <v>43414</v>
      </c>
      <c r="B324" s="80" t="s">
        <v>10615</v>
      </c>
      <c r="E324" s="532" t="s">
        <v>10830</v>
      </c>
      <c r="F324" s="1097"/>
      <c r="G324" s="532">
        <v>332</v>
      </c>
      <c r="H324" s="675">
        <v>2.5833333333333333E-2</v>
      </c>
      <c r="K324" s="532" t="s">
        <v>10784</v>
      </c>
      <c r="M324" s="1049">
        <v>0.2986111111111111</v>
      </c>
      <c r="Q324" s="415">
        <v>344</v>
      </c>
      <c r="R324" s="415" t="s">
        <v>8214</v>
      </c>
      <c r="S324" s="415" t="s">
        <v>6180</v>
      </c>
      <c r="U324" s="768">
        <v>42924</v>
      </c>
    </row>
    <row r="325" spans="1:21" x14ac:dyDescent="0.2">
      <c r="A325" s="758">
        <f t="shared" si="10"/>
        <v>43421</v>
      </c>
      <c r="B325" s="80" t="s">
        <v>10309</v>
      </c>
      <c r="E325" s="532" t="s">
        <v>9927</v>
      </c>
      <c r="F325" s="1097"/>
      <c r="G325" s="532">
        <f>G324+1</f>
        <v>333</v>
      </c>
      <c r="H325" s="675">
        <v>2.4548611111111115E-2</v>
      </c>
      <c r="K325" s="532" t="s">
        <v>9164</v>
      </c>
      <c r="M325" s="1049">
        <v>0.30694444444444441</v>
      </c>
      <c r="Q325" s="415">
        <v>345</v>
      </c>
      <c r="R325" s="415" t="s">
        <v>2245</v>
      </c>
      <c r="S325" s="415" t="s">
        <v>5881</v>
      </c>
      <c r="U325" s="768">
        <v>42938</v>
      </c>
    </row>
    <row r="326" spans="1:21" x14ac:dyDescent="0.2">
      <c r="A326" s="758">
        <f t="shared" si="10"/>
        <v>43428</v>
      </c>
      <c r="B326" s="80" t="s">
        <v>11123</v>
      </c>
      <c r="E326" s="532" t="s">
        <v>10883</v>
      </c>
      <c r="F326" s="1097"/>
      <c r="G326" s="532">
        <f t="shared" ref="G326:G330" si="11">G325+1</f>
        <v>334</v>
      </c>
      <c r="H326" s="675">
        <v>2.4386574074074074E-2</v>
      </c>
      <c r="K326" s="532" t="s">
        <v>11077</v>
      </c>
      <c r="M326" s="1050">
        <v>0.31458333333333333</v>
      </c>
      <c r="Q326" s="415">
        <v>346</v>
      </c>
      <c r="R326" s="415" t="s">
        <v>8223</v>
      </c>
      <c r="S326" s="415" t="s">
        <v>4637</v>
      </c>
      <c r="U326" s="768">
        <v>42938</v>
      </c>
    </row>
    <row r="327" spans="1:21" x14ac:dyDescent="0.2">
      <c r="A327" s="758">
        <f t="shared" si="10"/>
        <v>43435</v>
      </c>
      <c r="B327" s="80" t="s">
        <v>10436</v>
      </c>
      <c r="E327" s="532" t="s">
        <v>10800</v>
      </c>
      <c r="F327" s="756"/>
      <c r="G327" s="532">
        <f t="shared" si="11"/>
        <v>335</v>
      </c>
      <c r="H327" s="334">
        <v>2.3854166666666666E-2</v>
      </c>
      <c r="I327" s="80" t="s">
        <v>11124</v>
      </c>
      <c r="K327" s="532" t="s">
        <v>11154</v>
      </c>
      <c r="M327" s="1050">
        <v>0.32222222222222224</v>
      </c>
      <c r="Q327" s="415">
        <v>347</v>
      </c>
      <c r="R327" s="415" t="s">
        <v>8262</v>
      </c>
      <c r="S327" s="415" t="s">
        <v>4322</v>
      </c>
      <c r="U327" s="768">
        <v>42945</v>
      </c>
    </row>
    <row r="328" spans="1:21" x14ac:dyDescent="0.2">
      <c r="A328" s="758">
        <f t="shared" si="10"/>
        <v>43442</v>
      </c>
      <c r="E328" s="532" t="s">
        <v>10884</v>
      </c>
      <c r="F328" s="756"/>
      <c r="G328" s="532">
        <f t="shared" si="11"/>
        <v>336</v>
      </c>
      <c r="H328" s="675">
        <v>3.3530092592592591E-2</v>
      </c>
      <c r="I328" s="1235" t="s">
        <v>11265</v>
      </c>
      <c r="K328" s="532" t="s">
        <v>11264</v>
      </c>
      <c r="M328" s="1050">
        <v>0.32847222222222222</v>
      </c>
      <c r="Q328" s="415">
        <v>348</v>
      </c>
      <c r="R328" s="415" t="s">
        <v>2040</v>
      </c>
      <c r="S328" s="415" t="s">
        <v>1000</v>
      </c>
      <c r="U328" s="768">
        <v>42945</v>
      </c>
    </row>
    <row r="329" spans="1:21" x14ac:dyDescent="0.2">
      <c r="A329" s="758">
        <f t="shared" si="10"/>
        <v>43449</v>
      </c>
      <c r="B329" s="80" t="s">
        <v>11319</v>
      </c>
      <c r="E329" s="532" t="s">
        <v>10885</v>
      </c>
      <c r="F329" s="756"/>
      <c r="G329" s="532">
        <f t="shared" si="11"/>
        <v>337</v>
      </c>
      <c r="H329" s="675">
        <v>2.8622685185185185E-2</v>
      </c>
      <c r="I329" s="1235" t="s">
        <v>11318</v>
      </c>
      <c r="M329" s="1050">
        <v>0.33333333333333331</v>
      </c>
      <c r="Q329" s="415">
        <v>349</v>
      </c>
      <c r="R329" s="415" t="s">
        <v>8290</v>
      </c>
      <c r="S329" s="415" t="s">
        <v>5061</v>
      </c>
      <c r="U329" s="768">
        <v>42952</v>
      </c>
    </row>
    <row r="330" spans="1:21" x14ac:dyDescent="0.2">
      <c r="A330" s="758">
        <f t="shared" si="10"/>
        <v>43456</v>
      </c>
      <c r="E330" s="532" t="s">
        <v>11667</v>
      </c>
      <c r="F330" s="756"/>
      <c r="G330" s="532">
        <f t="shared" si="11"/>
        <v>338</v>
      </c>
      <c r="H330" s="675">
        <v>2.631944444444444E-2</v>
      </c>
      <c r="K330" s="532" t="s">
        <v>10983</v>
      </c>
      <c r="M330" s="1050">
        <v>0.33611111111111108</v>
      </c>
      <c r="Q330" s="415">
        <v>350</v>
      </c>
      <c r="R330" s="415" t="s">
        <v>8009</v>
      </c>
      <c r="S330" s="415" t="s">
        <v>6180</v>
      </c>
      <c r="U330" s="768">
        <v>42952</v>
      </c>
    </row>
    <row r="331" spans="1:21" x14ac:dyDescent="0.2">
      <c r="A331" s="1094">
        <f>A330+3</f>
        <v>43459</v>
      </c>
      <c r="E331" s="80"/>
      <c r="H331" s="675"/>
      <c r="K331" s="862" t="s">
        <v>11536</v>
      </c>
      <c r="M331" s="1050">
        <v>0.33680555555555558</v>
      </c>
      <c r="Q331" s="415">
        <v>351</v>
      </c>
      <c r="R331" s="415" t="s">
        <v>8335</v>
      </c>
      <c r="S331" s="415" t="s">
        <v>5061</v>
      </c>
      <c r="U331" s="768">
        <v>42959</v>
      </c>
    </row>
    <row r="332" spans="1:21" x14ac:dyDescent="0.2">
      <c r="A332" s="758">
        <f>A331+4</f>
        <v>43463</v>
      </c>
      <c r="B332" s="80" t="s">
        <v>66</v>
      </c>
      <c r="E332" s="532" t="s">
        <v>5095</v>
      </c>
      <c r="G332" s="532">
        <v>339</v>
      </c>
      <c r="H332" s="675">
        <v>2.6875E-2</v>
      </c>
      <c r="K332" s="532" t="s">
        <v>9218</v>
      </c>
      <c r="M332" s="1050">
        <v>0.33749999999999997</v>
      </c>
      <c r="Q332" s="415">
        <v>352</v>
      </c>
      <c r="R332" s="415" t="s">
        <v>8154</v>
      </c>
      <c r="S332" s="415" t="s">
        <v>5096</v>
      </c>
      <c r="T332" s="675">
        <v>1.5219907407407409E-2</v>
      </c>
      <c r="U332" s="768">
        <v>42959</v>
      </c>
    </row>
    <row r="333" spans="1:21" x14ac:dyDescent="0.2">
      <c r="A333" s="1094">
        <f>A332+3</f>
        <v>43466</v>
      </c>
      <c r="D333" s="672">
        <v>0</v>
      </c>
      <c r="E333" s="532" t="s">
        <v>11668</v>
      </c>
      <c r="F333" s="756"/>
      <c r="G333" s="1279">
        <v>341</v>
      </c>
      <c r="H333" s="675">
        <v>2.6215277777777778E-2</v>
      </c>
      <c r="I333" s="675">
        <v>2.8344907407407412E-2</v>
      </c>
      <c r="K333" s="532" t="s">
        <v>8015</v>
      </c>
      <c r="L333" s="532" t="s">
        <v>11149</v>
      </c>
      <c r="M333" s="1050">
        <v>0.33749999999999997</v>
      </c>
      <c r="Q333" s="415">
        <v>353</v>
      </c>
      <c r="R333" s="415" t="s">
        <v>2041</v>
      </c>
      <c r="S333" s="415" t="s">
        <v>1000</v>
      </c>
      <c r="T333" s="675">
        <v>1.9004629629629632E-2</v>
      </c>
      <c r="U333" s="768">
        <v>42959</v>
      </c>
    </row>
    <row r="334" spans="1:21" x14ac:dyDescent="0.2">
      <c r="A334" s="758">
        <f>A333+4</f>
        <v>43470</v>
      </c>
      <c r="D334" s="672">
        <v>1</v>
      </c>
      <c r="E334" s="914" t="s">
        <v>11367</v>
      </c>
      <c r="H334" s="675"/>
      <c r="M334" s="1050">
        <v>0.33680555555555558</v>
      </c>
      <c r="Q334" s="415">
        <v>354</v>
      </c>
      <c r="R334" s="415" t="s">
        <v>8111</v>
      </c>
      <c r="S334" s="415" t="s">
        <v>4778</v>
      </c>
      <c r="T334" s="675">
        <v>2.6226851851851852E-2</v>
      </c>
      <c r="U334" s="768">
        <v>42959</v>
      </c>
    </row>
    <row r="335" spans="1:21" x14ac:dyDescent="0.2">
      <c r="A335" s="758">
        <f t="shared" si="10"/>
        <v>43477</v>
      </c>
      <c r="B335" s="80" t="s">
        <v>10616</v>
      </c>
      <c r="D335" s="672">
        <f>D334+1</f>
        <v>2</v>
      </c>
      <c r="E335" s="914" t="s">
        <v>11368</v>
      </c>
      <c r="H335" s="675"/>
      <c r="M335" s="1050">
        <v>0.3347222222222222</v>
      </c>
      <c r="Q335" s="415">
        <v>355</v>
      </c>
      <c r="R335" s="415" t="s">
        <v>8377</v>
      </c>
      <c r="S335" s="415" t="s">
        <v>4322</v>
      </c>
      <c r="U335" s="768">
        <v>42966</v>
      </c>
    </row>
    <row r="336" spans="1:21" x14ac:dyDescent="0.2">
      <c r="A336" s="758">
        <f t="shared" si="10"/>
        <v>43484</v>
      </c>
      <c r="B336" s="80" t="s">
        <v>11366</v>
      </c>
      <c r="D336" s="672">
        <f t="shared" ref="D336:D384" si="12">D335+1</f>
        <v>3</v>
      </c>
      <c r="E336" s="914" t="s">
        <v>2126</v>
      </c>
      <c r="H336" s="675"/>
      <c r="M336" s="1050">
        <v>0.33055555555555555</v>
      </c>
      <c r="Q336" s="415">
        <v>356</v>
      </c>
      <c r="R336" s="415" t="s">
        <v>646</v>
      </c>
      <c r="S336" s="415" t="s">
        <v>627</v>
      </c>
      <c r="T336" s="675">
        <v>1.6921296296296299E-2</v>
      </c>
      <c r="U336" s="768">
        <v>42966</v>
      </c>
    </row>
    <row r="337" spans="1:22" x14ac:dyDescent="0.2">
      <c r="A337" s="758">
        <f t="shared" si="10"/>
        <v>43491</v>
      </c>
      <c r="D337" s="672">
        <f t="shared" si="12"/>
        <v>4</v>
      </c>
      <c r="E337" s="532" t="s">
        <v>12290</v>
      </c>
      <c r="F337" s="756"/>
      <c r="G337" s="1271" t="s">
        <v>12968</v>
      </c>
      <c r="H337" s="675">
        <v>2.6064814814814815E-2</v>
      </c>
      <c r="J337" s="80" t="s">
        <v>12835</v>
      </c>
      <c r="M337" s="1050">
        <v>0.32500000000000001</v>
      </c>
      <c r="Q337" s="415">
        <v>357</v>
      </c>
      <c r="R337" s="415" t="s">
        <v>2825</v>
      </c>
      <c r="S337" s="415" t="s">
        <v>3254</v>
      </c>
      <c r="T337" s="675">
        <v>1.8229166666666668E-2</v>
      </c>
      <c r="U337" s="768">
        <v>42966</v>
      </c>
    </row>
    <row r="338" spans="1:22" x14ac:dyDescent="0.2">
      <c r="A338" s="758">
        <f t="shared" si="10"/>
        <v>43498</v>
      </c>
      <c r="B338" s="80"/>
      <c r="D338" s="672">
        <f t="shared" si="12"/>
        <v>5</v>
      </c>
      <c r="E338" s="532" t="s">
        <v>11721</v>
      </c>
      <c r="F338" s="567"/>
      <c r="G338" s="1271" t="s">
        <v>11898</v>
      </c>
      <c r="H338" s="675">
        <v>3.1180555555555555E-2</v>
      </c>
      <c r="I338" s="80" t="s">
        <v>12446</v>
      </c>
      <c r="M338" s="1050">
        <v>0.31805555555555554</v>
      </c>
      <c r="Q338" s="415">
        <v>358</v>
      </c>
      <c r="R338" s="415" t="s">
        <v>8407</v>
      </c>
      <c r="S338" s="415" t="s">
        <v>944</v>
      </c>
      <c r="U338" s="768">
        <v>42966</v>
      </c>
    </row>
    <row r="339" spans="1:22" x14ac:dyDescent="0.2">
      <c r="A339" s="1001">
        <f t="shared" si="10"/>
        <v>43505</v>
      </c>
      <c r="B339" s="80" t="s">
        <v>10617</v>
      </c>
      <c r="D339" s="672">
        <f t="shared" si="12"/>
        <v>6</v>
      </c>
      <c r="E339" s="532" t="s">
        <v>11998</v>
      </c>
      <c r="F339" s="532"/>
      <c r="G339" s="1271" t="s">
        <v>11897</v>
      </c>
      <c r="H339" s="675">
        <v>2.7268518518518515E-2</v>
      </c>
      <c r="K339" s="80" t="s">
        <v>12024</v>
      </c>
      <c r="M339" s="1049">
        <v>0.30972222222222223</v>
      </c>
      <c r="Q339" s="415">
        <v>359</v>
      </c>
      <c r="R339" s="415" t="s">
        <v>8458</v>
      </c>
      <c r="S339" s="415" t="s">
        <v>8462</v>
      </c>
      <c r="T339" s="80" t="s">
        <v>8461</v>
      </c>
      <c r="U339" s="768">
        <v>42980</v>
      </c>
    </row>
    <row r="340" spans="1:22" x14ac:dyDescent="0.2">
      <c r="A340" s="1001">
        <f t="shared" si="10"/>
        <v>43512</v>
      </c>
      <c r="D340" s="672">
        <f t="shared" si="12"/>
        <v>7</v>
      </c>
      <c r="E340" s="532" t="s">
        <v>12360</v>
      </c>
      <c r="F340" s="567"/>
      <c r="G340" s="1271" t="s">
        <v>12967</v>
      </c>
      <c r="H340" s="675">
        <v>2.6493055555555558E-2</v>
      </c>
      <c r="J340" s="80" t="s">
        <v>12836</v>
      </c>
      <c r="K340" s="80" t="s">
        <v>12023</v>
      </c>
      <c r="M340" s="1049">
        <v>0.30069444444444443</v>
      </c>
      <c r="Q340" s="415">
        <v>360</v>
      </c>
      <c r="R340" s="415" t="s">
        <v>8143</v>
      </c>
      <c r="S340" s="415" t="s">
        <v>1000</v>
      </c>
      <c r="T340" s="675">
        <v>1.9791666666666666E-2</v>
      </c>
      <c r="U340" s="768">
        <v>42980</v>
      </c>
      <c r="V340" s="672">
        <v>1</v>
      </c>
    </row>
    <row r="341" spans="1:22" x14ac:dyDescent="0.2">
      <c r="A341" s="758">
        <f t="shared" si="10"/>
        <v>43519</v>
      </c>
      <c r="B341" s="80" t="s">
        <v>11895</v>
      </c>
      <c r="D341" s="672">
        <f t="shared" si="12"/>
        <v>8</v>
      </c>
      <c r="E341" s="532" t="s">
        <v>11999</v>
      </c>
      <c r="F341" s="756"/>
      <c r="G341" s="1271" t="s">
        <v>11896</v>
      </c>
      <c r="H341" s="675">
        <v>2.6458333333333334E-2</v>
      </c>
      <c r="K341" s="80" t="s">
        <v>12022</v>
      </c>
      <c r="M341" s="1048">
        <v>0.29097222222222224</v>
      </c>
      <c r="Q341" s="415">
        <v>361</v>
      </c>
      <c r="R341" s="415" t="s">
        <v>4634</v>
      </c>
      <c r="S341" s="415" t="s">
        <v>748</v>
      </c>
      <c r="T341" s="675">
        <v>2.4074074074074071E-2</v>
      </c>
      <c r="U341" s="768">
        <v>42980</v>
      </c>
      <c r="V341" s="672">
        <v>2</v>
      </c>
    </row>
    <row r="342" spans="1:22" x14ac:dyDescent="0.2">
      <c r="A342" s="758">
        <f t="shared" si="10"/>
        <v>43526</v>
      </c>
      <c r="B342" s="80" t="s">
        <v>11921</v>
      </c>
      <c r="D342" s="672">
        <f t="shared" si="12"/>
        <v>9</v>
      </c>
      <c r="E342" s="532" t="s">
        <v>12000</v>
      </c>
      <c r="F342" s="756"/>
      <c r="G342" s="1271" t="s">
        <v>11959</v>
      </c>
      <c r="H342" s="675">
        <v>2.525462962962963E-2</v>
      </c>
      <c r="I342" s="80" t="s">
        <v>5568</v>
      </c>
      <c r="J342" s="80" t="s">
        <v>12837</v>
      </c>
      <c r="K342" s="80" t="s">
        <v>11922</v>
      </c>
      <c r="M342" s="1048">
        <v>0.28055555555555556</v>
      </c>
      <c r="Q342" s="415">
        <v>362</v>
      </c>
      <c r="R342" s="415" t="s">
        <v>8449</v>
      </c>
      <c r="S342" s="415" t="s">
        <v>5895</v>
      </c>
      <c r="T342" s="675"/>
      <c r="U342" s="768">
        <v>42980</v>
      </c>
      <c r="V342" s="672">
        <v>3</v>
      </c>
    </row>
    <row r="343" spans="1:22" x14ac:dyDescent="0.2">
      <c r="A343" s="758">
        <f t="shared" si="10"/>
        <v>43533</v>
      </c>
      <c r="D343" s="672">
        <f t="shared" si="12"/>
        <v>10</v>
      </c>
      <c r="E343" s="532" t="s">
        <v>11858</v>
      </c>
      <c r="F343" s="756"/>
      <c r="G343" s="1271" t="s">
        <v>11997</v>
      </c>
      <c r="H343" s="675">
        <v>2.5914351851851855E-2</v>
      </c>
      <c r="I343" s="80"/>
      <c r="K343" s="80" t="s">
        <v>12021</v>
      </c>
      <c r="M343" s="1048">
        <v>0.27013888888888887</v>
      </c>
      <c r="Q343" s="415">
        <v>363</v>
      </c>
      <c r="R343" s="415" t="s">
        <v>374</v>
      </c>
      <c r="S343" s="415" t="s">
        <v>5096</v>
      </c>
      <c r="T343" s="675">
        <v>1.5046296296296295E-2</v>
      </c>
      <c r="U343" s="768">
        <v>43001</v>
      </c>
      <c r="V343" s="672">
        <v>4</v>
      </c>
    </row>
    <row r="344" spans="1:22" x14ac:dyDescent="0.2">
      <c r="A344" s="758">
        <f t="shared" si="10"/>
        <v>43540</v>
      </c>
      <c r="B344" s="80" t="s">
        <v>12139</v>
      </c>
      <c r="D344" s="672">
        <f t="shared" si="12"/>
        <v>11</v>
      </c>
      <c r="E344" s="532" t="s">
        <v>12138</v>
      </c>
      <c r="F344" s="756"/>
      <c r="G344" s="532">
        <v>349</v>
      </c>
      <c r="H344" s="675">
        <v>2.6493055555555558E-2</v>
      </c>
      <c r="I344" s="80" t="s">
        <v>5568</v>
      </c>
      <c r="K344" s="80" t="s">
        <v>12204</v>
      </c>
      <c r="M344" s="1048">
        <v>0.2590277777777778</v>
      </c>
      <c r="Q344" s="415">
        <v>364</v>
      </c>
      <c r="R344" s="415" t="s">
        <v>3702</v>
      </c>
      <c r="S344" s="415" t="s">
        <v>4322</v>
      </c>
      <c r="U344" s="768">
        <v>43001</v>
      </c>
      <c r="V344" s="80" t="s">
        <v>139</v>
      </c>
    </row>
    <row r="345" spans="1:22" x14ac:dyDescent="0.2">
      <c r="A345" s="758">
        <f t="shared" si="10"/>
        <v>43547</v>
      </c>
      <c r="B345" s="80" t="s">
        <v>12166</v>
      </c>
      <c r="D345" s="672">
        <f t="shared" si="12"/>
        <v>12</v>
      </c>
      <c r="E345" s="532" t="s">
        <v>12001</v>
      </c>
      <c r="F345" s="756"/>
      <c r="G345" s="567">
        <v>350</v>
      </c>
      <c r="H345" s="1366">
        <v>2.479166666666667E-2</v>
      </c>
      <c r="I345" s="80"/>
      <c r="K345" s="80" t="s">
        <v>12166</v>
      </c>
      <c r="M345" s="676">
        <v>0.24791666666666667</v>
      </c>
      <c r="Q345" s="415">
        <v>365</v>
      </c>
      <c r="R345" s="415" t="s">
        <v>8565</v>
      </c>
      <c r="S345" s="415" t="s">
        <v>8150</v>
      </c>
      <c r="U345" s="768">
        <v>43001</v>
      </c>
    </row>
    <row r="346" spans="1:22" x14ac:dyDescent="0.2">
      <c r="A346" s="758">
        <f t="shared" si="10"/>
        <v>43554</v>
      </c>
      <c r="B346" s="80" t="s">
        <v>12234</v>
      </c>
      <c r="D346" s="672">
        <f t="shared" si="12"/>
        <v>13</v>
      </c>
      <c r="E346" s="532" t="s">
        <v>12003</v>
      </c>
      <c r="F346" s="756"/>
      <c r="G346" s="1271" t="s">
        <v>12964</v>
      </c>
      <c r="H346" s="709">
        <v>2.6712962962962966E-2</v>
      </c>
      <c r="I346" s="80" t="s">
        <v>5568</v>
      </c>
      <c r="J346" s="80" t="s">
        <v>12838</v>
      </c>
      <c r="K346" s="80" t="s">
        <v>12291</v>
      </c>
      <c r="Q346" s="415">
        <v>366</v>
      </c>
      <c r="R346" s="415" t="s">
        <v>8373</v>
      </c>
      <c r="S346" s="415" t="s">
        <v>4778</v>
      </c>
      <c r="U346" s="768">
        <v>43008</v>
      </c>
      <c r="V346" s="80" t="s">
        <v>8566</v>
      </c>
    </row>
    <row r="347" spans="1:22" x14ac:dyDescent="0.2">
      <c r="A347" s="758">
        <f t="shared" si="10"/>
        <v>43561</v>
      </c>
      <c r="B347" s="80" t="s">
        <v>12322</v>
      </c>
      <c r="D347" s="672">
        <f t="shared" si="12"/>
        <v>14</v>
      </c>
      <c r="E347" s="532" t="s">
        <v>12350</v>
      </c>
      <c r="F347" s="756"/>
      <c r="G347" s="532">
        <v>352</v>
      </c>
      <c r="H347" s="709">
        <v>2.6979166666666669E-2</v>
      </c>
      <c r="I347" s="80" t="s">
        <v>12298</v>
      </c>
      <c r="K347" s="80" t="s">
        <v>12323</v>
      </c>
      <c r="M347" s="676">
        <v>0.26805555555555555</v>
      </c>
      <c r="Q347" s="415">
        <v>367</v>
      </c>
      <c r="R347" s="415" t="s">
        <v>8664</v>
      </c>
      <c r="S347" s="415" t="s">
        <v>1000</v>
      </c>
      <c r="U347" s="768">
        <v>43022</v>
      </c>
    </row>
    <row r="348" spans="1:22" x14ac:dyDescent="0.2">
      <c r="A348" s="758">
        <f t="shared" si="10"/>
        <v>43568</v>
      </c>
      <c r="B348" s="80" t="s">
        <v>12286</v>
      </c>
      <c r="D348" s="672">
        <f t="shared" si="12"/>
        <v>15</v>
      </c>
      <c r="E348" s="532" t="s">
        <v>12002</v>
      </c>
      <c r="F348" s="756"/>
      <c r="G348" s="1271" t="s">
        <v>12965</v>
      </c>
      <c r="H348" s="709">
        <v>2.5578703703703704E-2</v>
      </c>
      <c r="I348" s="80" t="s">
        <v>5568</v>
      </c>
      <c r="J348" s="80" t="s">
        <v>12839</v>
      </c>
      <c r="K348" s="80" t="s">
        <v>12441</v>
      </c>
      <c r="M348" s="676">
        <v>0.25694444444444448</v>
      </c>
      <c r="Q348" s="415">
        <v>368</v>
      </c>
      <c r="R348" s="415" t="s">
        <v>4473</v>
      </c>
      <c r="S348" s="415" t="s">
        <v>5061</v>
      </c>
      <c r="U348" s="768">
        <v>43022</v>
      </c>
    </row>
    <row r="349" spans="1:22" x14ac:dyDescent="0.2">
      <c r="A349" s="758">
        <f t="shared" si="10"/>
        <v>43575</v>
      </c>
      <c r="B349" s="80" t="s">
        <v>10737</v>
      </c>
      <c r="D349" s="672">
        <f t="shared" si="12"/>
        <v>16</v>
      </c>
      <c r="E349" s="532" t="s">
        <v>12287</v>
      </c>
      <c r="F349" s="756"/>
      <c r="G349" s="1271" t="s">
        <v>12966</v>
      </c>
      <c r="H349" s="709">
        <v>2.6481481481481481E-2</v>
      </c>
      <c r="I349" s="80" t="s">
        <v>12292</v>
      </c>
      <c r="J349" s="80" t="s">
        <v>12840</v>
      </c>
      <c r="K349" s="80" t="s">
        <v>12508</v>
      </c>
      <c r="M349" s="676">
        <v>0.24652777777777779</v>
      </c>
      <c r="Q349" s="415">
        <v>369</v>
      </c>
      <c r="R349" s="415" t="s">
        <v>8702</v>
      </c>
      <c r="S349" s="415" t="s">
        <v>1000</v>
      </c>
      <c r="U349" s="523">
        <v>43029</v>
      </c>
      <c r="V349" s="80" t="s">
        <v>8688</v>
      </c>
    </row>
    <row r="350" spans="1:22" x14ac:dyDescent="0.2">
      <c r="A350" s="758">
        <f t="shared" si="10"/>
        <v>43582</v>
      </c>
      <c r="D350" s="672">
        <f t="shared" si="12"/>
        <v>17</v>
      </c>
      <c r="E350" s="767"/>
      <c r="H350" s="675"/>
      <c r="I350" s="80"/>
      <c r="Q350" s="415">
        <v>370</v>
      </c>
      <c r="R350" s="415" t="s">
        <v>8720</v>
      </c>
      <c r="S350" s="415" t="s">
        <v>4584</v>
      </c>
      <c r="U350" s="523">
        <v>43029</v>
      </c>
    </row>
    <row r="351" spans="1:22" x14ac:dyDescent="0.2">
      <c r="A351" s="758">
        <f t="shared" si="10"/>
        <v>43589</v>
      </c>
      <c r="D351" s="672">
        <f t="shared" si="12"/>
        <v>18</v>
      </c>
      <c r="E351" s="914" t="s">
        <v>11074</v>
      </c>
      <c r="H351" s="675"/>
      <c r="I351" s="80"/>
      <c r="Q351" s="415">
        <v>371</v>
      </c>
      <c r="R351" s="415" t="s">
        <v>8793</v>
      </c>
      <c r="S351" s="415" t="s">
        <v>1000</v>
      </c>
      <c r="U351" s="768">
        <v>43050</v>
      </c>
    </row>
    <row r="352" spans="1:22" x14ac:dyDescent="0.2">
      <c r="A352" s="758">
        <f t="shared" si="10"/>
        <v>43596</v>
      </c>
      <c r="D352" s="672">
        <f t="shared" si="12"/>
        <v>19</v>
      </c>
      <c r="E352" s="767"/>
      <c r="H352" s="675"/>
      <c r="I352" s="80"/>
      <c r="M352" s="80"/>
      <c r="Q352" s="415">
        <v>372</v>
      </c>
      <c r="R352" s="415" t="s">
        <v>8820</v>
      </c>
      <c r="S352" s="415" t="s">
        <v>8360</v>
      </c>
      <c r="U352" s="768">
        <v>43057</v>
      </c>
    </row>
    <row r="353" spans="1:24" x14ac:dyDescent="0.2">
      <c r="A353" s="758">
        <f t="shared" si="10"/>
        <v>43603</v>
      </c>
      <c r="B353" s="80" t="s">
        <v>7724</v>
      </c>
      <c r="D353" s="672">
        <f t="shared" si="12"/>
        <v>20</v>
      </c>
      <c r="E353" s="532" t="s">
        <v>12669</v>
      </c>
      <c r="F353" s="756"/>
      <c r="G353" s="1271" t="s">
        <v>12969</v>
      </c>
      <c r="H353" s="675">
        <v>2.6759259259259257E-2</v>
      </c>
      <c r="I353" s="80" t="s">
        <v>5568</v>
      </c>
      <c r="J353" s="80" t="s">
        <v>12841</v>
      </c>
      <c r="Q353" s="415">
        <v>373</v>
      </c>
      <c r="R353" s="415" t="s">
        <v>8859</v>
      </c>
      <c r="S353" s="415" t="s">
        <v>1000</v>
      </c>
      <c r="U353" s="768">
        <v>43071</v>
      </c>
    </row>
    <row r="354" spans="1:24" x14ac:dyDescent="0.2">
      <c r="A354" s="758">
        <f t="shared" si="10"/>
        <v>43610</v>
      </c>
      <c r="B354" s="80" t="s">
        <v>12647</v>
      </c>
      <c r="D354" s="672">
        <f t="shared" si="12"/>
        <v>21</v>
      </c>
      <c r="E354" s="532" t="s">
        <v>12646</v>
      </c>
      <c r="F354" s="756"/>
      <c r="G354" s="756">
        <v>356</v>
      </c>
      <c r="H354" s="675">
        <v>2.75E-2</v>
      </c>
      <c r="I354" s="80" t="s">
        <v>12717</v>
      </c>
      <c r="Q354" s="415">
        <v>374</v>
      </c>
      <c r="R354" s="415" t="s">
        <v>8953</v>
      </c>
      <c r="S354" s="415" t="s">
        <v>1062</v>
      </c>
      <c r="U354" s="768">
        <v>43092</v>
      </c>
    </row>
    <row r="355" spans="1:24" ht="13.5" thickBot="1" x14ac:dyDescent="0.25">
      <c r="A355" s="758">
        <f t="shared" si="10"/>
        <v>43617</v>
      </c>
      <c r="B355" s="80" t="s">
        <v>12830</v>
      </c>
      <c r="D355" s="672">
        <f t="shared" si="12"/>
        <v>22</v>
      </c>
      <c r="E355" s="532" t="s">
        <v>12773</v>
      </c>
      <c r="F355" s="756"/>
      <c r="G355" s="756">
        <v>357</v>
      </c>
      <c r="H355" s="675">
        <v>2.7418981481481485E-2</v>
      </c>
      <c r="I355" s="1489" t="s">
        <v>12867</v>
      </c>
      <c r="J355" s="1487"/>
      <c r="K355" s="1488"/>
      <c r="P355" s="969">
        <v>2017</v>
      </c>
      <c r="Q355" s="970">
        <v>375</v>
      </c>
      <c r="R355" s="970" t="s">
        <v>8897</v>
      </c>
      <c r="S355" s="970" t="s">
        <v>4897</v>
      </c>
      <c r="T355" s="969"/>
      <c r="U355" s="971">
        <v>43099</v>
      </c>
    </row>
    <row r="356" spans="1:24" x14ac:dyDescent="0.2">
      <c r="A356" s="758">
        <f t="shared" si="10"/>
        <v>43624</v>
      </c>
      <c r="D356" s="672">
        <f t="shared" si="12"/>
        <v>23</v>
      </c>
      <c r="E356" s="532" t="s">
        <v>12963</v>
      </c>
      <c r="F356" s="756"/>
      <c r="G356" s="1271" t="s">
        <v>12970</v>
      </c>
      <c r="H356" s="675">
        <v>2.6608796296296297E-2</v>
      </c>
      <c r="I356" s="1489" t="s">
        <v>5568</v>
      </c>
      <c r="J356" s="1489" t="s">
        <v>12842</v>
      </c>
      <c r="K356" s="1488"/>
      <c r="P356" s="672">
        <v>2018</v>
      </c>
      <c r="Q356" s="415">
        <v>376</v>
      </c>
      <c r="R356" s="415" t="s">
        <v>8514</v>
      </c>
      <c r="S356" s="415" t="s">
        <v>1000</v>
      </c>
      <c r="U356" s="768">
        <v>43101</v>
      </c>
    </row>
    <row r="357" spans="1:24" x14ac:dyDescent="0.2">
      <c r="A357" s="1001">
        <f t="shared" si="10"/>
        <v>43631</v>
      </c>
      <c r="B357" s="80" t="s">
        <v>12952</v>
      </c>
      <c r="D357" s="672">
        <f t="shared" si="12"/>
        <v>24</v>
      </c>
      <c r="E357" s="532" t="s">
        <v>12868</v>
      </c>
      <c r="F357" s="756"/>
      <c r="G357" s="1271" t="s">
        <v>12971</v>
      </c>
      <c r="H357" s="675">
        <v>2.7835648148148151E-2</v>
      </c>
      <c r="I357" s="1489" t="s">
        <v>5568</v>
      </c>
      <c r="J357" s="1489" t="s">
        <v>12953</v>
      </c>
      <c r="K357" s="1488"/>
      <c r="Q357" s="415">
        <v>377</v>
      </c>
      <c r="R357" s="415" t="s">
        <v>4633</v>
      </c>
      <c r="S357" s="415" t="s">
        <v>1062</v>
      </c>
      <c r="U357" s="768">
        <v>43101</v>
      </c>
    </row>
    <row r="358" spans="1:24" x14ac:dyDescent="0.2">
      <c r="A358" s="1001">
        <f t="shared" si="10"/>
        <v>43638</v>
      </c>
      <c r="B358" s="80"/>
      <c r="D358" s="672">
        <f t="shared" si="12"/>
        <v>25</v>
      </c>
      <c r="E358" s="532" t="s">
        <v>12962</v>
      </c>
      <c r="F358" s="756"/>
      <c r="G358" s="1271" t="s">
        <v>12972</v>
      </c>
      <c r="H358" s="675">
        <v>2.6875E-2</v>
      </c>
      <c r="I358" s="1489" t="s">
        <v>5568</v>
      </c>
      <c r="J358" s="1489" t="s">
        <v>12961</v>
      </c>
      <c r="K358" s="1488"/>
      <c r="Q358" s="415">
        <v>378</v>
      </c>
      <c r="R358" s="415" t="s">
        <v>9056</v>
      </c>
      <c r="S358" s="415" t="s">
        <v>8360</v>
      </c>
      <c r="U358" s="768">
        <v>43106</v>
      </c>
    </row>
    <row r="359" spans="1:24" x14ac:dyDescent="0.2">
      <c r="A359" s="1001">
        <f t="shared" si="10"/>
        <v>43645</v>
      </c>
      <c r="D359" s="672">
        <f t="shared" si="12"/>
        <v>26</v>
      </c>
      <c r="E359" s="532" t="s">
        <v>12774</v>
      </c>
      <c r="F359" s="756"/>
      <c r="G359" s="1271" t="s">
        <v>13016</v>
      </c>
      <c r="H359" s="675">
        <v>2.809027777777778E-2</v>
      </c>
      <c r="I359" s="1489" t="s">
        <v>5568</v>
      </c>
      <c r="J359" s="1489" t="s">
        <v>13015</v>
      </c>
      <c r="K359" s="1488"/>
      <c r="Q359" s="415">
        <v>379</v>
      </c>
      <c r="R359" s="415" t="s">
        <v>9067</v>
      </c>
      <c r="S359" s="415" t="s">
        <v>9066</v>
      </c>
      <c r="U359" s="768">
        <v>43106</v>
      </c>
    </row>
    <row r="360" spans="1:24" x14ac:dyDescent="0.2">
      <c r="A360" s="1001">
        <f t="shared" si="10"/>
        <v>43652</v>
      </c>
      <c r="B360" s="80" t="s">
        <v>13114</v>
      </c>
      <c r="D360" s="672">
        <f t="shared" si="12"/>
        <v>27</v>
      </c>
      <c r="E360" s="532" t="s">
        <v>12831</v>
      </c>
      <c r="F360" s="756"/>
      <c r="G360" s="80"/>
      <c r="H360" s="675"/>
      <c r="I360" s="1489"/>
      <c r="J360" s="1488"/>
      <c r="K360" s="1488"/>
      <c r="Q360" s="415">
        <v>380</v>
      </c>
      <c r="R360" s="415" t="s">
        <v>9055</v>
      </c>
      <c r="S360" s="415" t="s">
        <v>5096</v>
      </c>
      <c r="U360" s="768">
        <v>43113</v>
      </c>
    </row>
    <row r="361" spans="1:24" x14ac:dyDescent="0.2">
      <c r="A361" s="1001">
        <f t="shared" si="10"/>
        <v>43659</v>
      </c>
      <c r="B361" s="80" t="s">
        <v>13124</v>
      </c>
      <c r="D361" s="672">
        <f t="shared" si="12"/>
        <v>28</v>
      </c>
      <c r="E361" s="532" t="s">
        <v>12832</v>
      </c>
      <c r="F361" s="756"/>
      <c r="G361" s="1271" t="s">
        <v>13121</v>
      </c>
      <c r="H361" s="675">
        <v>2.7523148148148147E-2</v>
      </c>
      <c r="I361" s="1489" t="s">
        <v>5568</v>
      </c>
      <c r="J361" s="1489" t="s">
        <v>13120</v>
      </c>
      <c r="Q361" s="415">
        <v>381</v>
      </c>
      <c r="R361" s="415" t="s">
        <v>9152</v>
      </c>
      <c r="S361" s="415" t="s">
        <v>9153</v>
      </c>
      <c r="T361" s="675">
        <v>2.101851851851852E-2</v>
      </c>
      <c r="U361" s="768">
        <v>43127</v>
      </c>
      <c r="V361" s="80" t="s">
        <v>9154</v>
      </c>
      <c r="X361" s="80" t="s">
        <v>9162</v>
      </c>
    </row>
    <row r="362" spans="1:24" x14ac:dyDescent="0.2">
      <c r="A362" s="758">
        <f t="shared" si="10"/>
        <v>43666</v>
      </c>
      <c r="D362" s="672">
        <f t="shared" si="12"/>
        <v>29</v>
      </c>
      <c r="E362" s="532" t="s">
        <v>13263</v>
      </c>
      <c r="F362" s="756"/>
      <c r="G362" s="1271" t="s">
        <v>13180</v>
      </c>
      <c r="H362" s="675">
        <v>2.7604166666666666E-2</v>
      </c>
      <c r="I362" s="1489" t="s">
        <v>5568</v>
      </c>
      <c r="J362" s="1489" t="s">
        <v>13179</v>
      </c>
      <c r="Q362" s="415">
        <v>382</v>
      </c>
      <c r="R362" s="415" t="s">
        <v>9157</v>
      </c>
      <c r="S362" s="415" t="s">
        <v>756</v>
      </c>
      <c r="T362" s="675">
        <v>2.1388888888888888E-2</v>
      </c>
      <c r="U362" s="768">
        <v>43127</v>
      </c>
      <c r="V362" s="80" t="s">
        <v>9161</v>
      </c>
      <c r="X362" s="80" t="s">
        <v>9162</v>
      </c>
    </row>
    <row r="363" spans="1:24" x14ac:dyDescent="0.2">
      <c r="A363" s="758">
        <f t="shared" si="10"/>
        <v>43673</v>
      </c>
      <c r="B363" s="80" t="s">
        <v>13262</v>
      </c>
      <c r="D363" s="672">
        <f t="shared" si="12"/>
        <v>30</v>
      </c>
      <c r="E363" s="532" t="s">
        <v>13013</v>
      </c>
      <c r="F363" s="756"/>
      <c r="G363" s="1271" t="s">
        <v>13261</v>
      </c>
      <c r="H363" s="675">
        <v>2.7581018518518519E-2</v>
      </c>
      <c r="I363" s="1489" t="s">
        <v>5568</v>
      </c>
      <c r="J363" s="1489" t="s">
        <v>13260</v>
      </c>
      <c r="Q363" s="415">
        <v>383</v>
      </c>
      <c r="R363" s="415" t="s">
        <v>3595</v>
      </c>
      <c r="S363" s="415" t="s">
        <v>1000</v>
      </c>
      <c r="T363" s="675">
        <v>1.8969907407407408E-2</v>
      </c>
      <c r="U363" s="768">
        <v>43127</v>
      </c>
    </row>
    <row r="364" spans="1:24" x14ac:dyDescent="0.2">
      <c r="A364" s="758">
        <f t="shared" si="10"/>
        <v>43680</v>
      </c>
      <c r="B364" s="532" t="s">
        <v>11719</v>
      </c>
      <c r="D364" s="672">
        <f t="shared" si="12"/>
        <v>31</v>
      </c>
      <c r="E364" s="532" t="s">
        <v>11719</v>
      </c>
      <c r="F364" s="756"/>
      <c r="G364" s="1271">
        <v>365</v>
      </c>
      <c r="H364" s="675">
        <v>2.6828703703703702E-2</v>
      </c>
      <c r="I364" s="1489" t="s">
        <v>5033</v>
      </c>
      <c r="Q364" s="415">
        <v>384</v>
      </c>
      <c r="R364" s="415" t="s">
        <v>5079</v>
      </c>
      <c r="S364" s="415" t="s">
        <v>4584</v>
      </c>
      <c r="T364" s="675">
        <v>2.0416666666666666E-2</v>
      </c>
      <c r="U364" s="768">
        <v>43127</v>
      </c>
    </row>
    <row r="365" spans="1:24" x14ac:dyDescent="0.2">
      <c r="A365" s="758">
        <f t="shared" si="10"/>
        <v>43687</v>
      </c>
      <c r="B365" s="80" t="s">
        <v>13415</v>
      </c>
      <c r="D365" s="672">
        <f t="shared" si="12"/>
        <v>32</v>
      </c>
      <c r="E365" s="532" t="s">
        <v>13420</v>
      </c>
      <c r="F365" s="756"/>
      <c r="G365" s="756">
        <v>366</v>
      </c>
      <c r="H365" s="675">
        <v>2.7013888888888889E-2</v>
      </c>
      <c r="I365" s="1489" t="s">
        <v>13414</v>
      </c>
      <c r="Q365" s="415">
        <v>385</v>
      </c>
      <c r="R365" s="415" t="s">
        <v>9188</v>
      </c>
      <c r="S365" s="415" t="s">
        <v>756</v>
      </c>
      <c r="U365" s="768">
        <v>43134</v>
      </c>
    </row>
    <row r="366" spans="1:24" x14ac:dyDescent="0.2">
      <c r="A366" s="758">
        <f t="shared" si="10"/>
        <v>43694</v>
      </c>
      <c r="D366" s="672">
        <f t="shared" si="12"/>
        <v>33</v>
      </c>
      <c r="E366" s="532" t="s">
        <v>12954</v>
      </c>
      <c r="F366" s="756"/>
      <c r="G366" s="532">
        <v>367</v>
      </c>
      <c r="H366" s="675">
        <v>2.6828703703703702E-2</v>
      </c>
      <c r="I366" s="1489" t="s">
        <v>5033</v>
      </c>
      <c r="Q366" s="415">
        <v>386</v>
      </c>
      <c r="R366" s="532" t="s">
        <v>9224</v>
      </c>
      <c r="S366" s="532" t="s">
        <v>756</v>
      </c>
      <c r="U366" s="768">
        <v>43141</v>
      </c>
      <c r="V366" s="80" t="s">
        <v>9227</v>
      </c>
    </row>
    <row r="367" spans="1:24" x14ac:dyDescent="0.2">
      <c r="A367" s="1001">
        <f t="shared" si="10"/>
        <v>43701</v>
      </c>
      <c r="D367" s="672">
        <f t="shared" si="12"/>
        <v>34</v>
      </c>
      <c r="E367" s="532" t="s">
        <v>13473</v>
      </c>
      <c r="F367" s="756"/>
      <c r="G367" s="1271" t="s">
        <v>15624</v>
      </c>
      <c r="H367" s="675">
        <v>2.732638888888889E-2</v>
      </c>
      <c r="I367" s="1489" t="s">
        <v>5568</v>
      </c>
      <c r="J367" s="80" t="s">
        <v>15341</v>
      </c>
      <c r="Q367" s="415">
        <v>387</v>
      </c>
      <c r="R367" s="415" t="s">
        <v>9275</v>
      </c>
      <c r="S367" s="415" t="s">
        <v>756</v>
      </c>
      <c r="U367" s="768">
        <v>43148</v>
      </c>
      <c r="V367" s="80" t="s">
        <v>9161</v>
      </c>
    </row>
    <row r="368" spans="1:24" x14ac:dyDescent="0.2">
      <c r="A368" s="1001">
        <f t="shared" si="10"/>
        <v>43708</v>
      </c>
      <c r="D368" s="672">
        <f t="shared" si="12"/>
        <v>35</v>
      </c>
      <c r="E368" s="532" t="s">
        <v>13474</v>
      </c>
      <c r="F368" s="756"/>
      <c r="G368" s="1271" t="s">
        <v>15625</v>
      </c>
      <c r="H368" s="675">
        <v>2.9791666666666664E-2</v>
      </c>
      <c r="I368" s="1489" t="s">
        <v>9573</v>
      </c>
      <c r="J368" s="80" t="s">
        <v>15342</v>
      </c>
      <c r="M368" s="676">
        <v>0.25763888888888892</v>
      </c>
      <c r="Q368" s="415">
        <v>388</v>
      </c>
      <c r="R368" s="415" t="s">
        <v>9134</v>
      </c>
      <c r="S368" s="415" t="s">
        <v>1000</v>
      </c>
      <c r="U368" s="768">
        <v>43148</v>
      </c>
      <c r="V368" s="80" t="s">
        <v>9274</v>
      </c>
    </row>
    <row r="369" spans="1:22" x14ac:dyDescent="0.2">
      <c r="A369" s="1001">
        <f t="shared" si="10"/>
        <v>43715</v>
      </c>
      <c r="B369" s="80" t="s">
        <v>10982</v>
      </c>
      <c r="D369" s="672">
        <f t="shared" si="12"/>
        <v>36</v>
      </c>
      <c r="E369" s="914" t="s">
        <v>7853</v>
      </c>
      <c r="H369" s="675"/>
      <c r="Q369" s="415">
        <v>389</v>
      </c>
      <c r="R369" s="415" t="s">
        <v>9339</v>
      </c>
      <c r="S369" s="415" t="s">
        <v>5882</v>
      </c>
      <c r="U369" s="768">
        <v>43155</v>
      </c>
    </row>
    <row r="370" spans="1:22" x14ac:dyDescent="0.2">
      <c r="A370" s="1001">
        <f t="shared" si="10"/>
        <v>43722</v>
      </c>
      <c r="B370" s="80" t="s">
        <v>15261</v>
      </c>
      <c r="D370" s="672">
        <f t="shared" si="12"/>
        <v>37</v>
      </c>
      <c r="E370" s="532" t="s">
        <v>15453</v>
      </c>
      <c r="F370" s="756"/>
      <c r="G370" s="1271" t="s">
        <v>15626</v>
      </c>
      <c r="H370" s="675">
        <v>2.7164351851851853E-2</v>
      </c>
      <c r="I370" s="80" t="s">
        <v>5568</v>
      </c>
      <c r="J370" s="80" t="s">
        <v>15454</v>
      </c>
      <c r="M370" s="676">
        <v>0.27291666666666664</v>
      </c>
      <c r="Q370" s="415">
        <v>390</v>
      </c>
      <c r="R370" s="415" t="s">
        <v>9340</v>
      </c>
      <c r="S370" s="415" t="s">
        <v>1000</v>
      </c>
      <c r="U370" s="768">
        <v>43155</v>
      </c>
    </row>
    <row r="371" spans="1:22" x14ac:dyDescent="0.2">
      <c r="A371" s="758">
        <f t="shared" si="10"/>
        <v>43729</v>
      </c>
      <c r="D371" s="672">
        <f t="shared" si="12"/>
        <v>38</v>
      </c>
      <c r="E371" s="532" t="s">
        <v>15549</v>
      </c>
      <c r="F371" s="756"/>
      <c r="G371" s="1271" t="s">
        <v>15627</v>
      </c>
      <c r="H371" s="334">
        <v>2.7719907407407405E-2</v>
      </c>
      <c r="I371" s="80" t="s">
        <v>5568</v>
      </c>
      <c r="J371" s="80" t="s">
        <v>15554</v>
      </c>
      <c r="M371" s="676">
        <v>0.28055555555555556</v>
      </c>
      <c r="Q371" s="415">
        <v>391</v>
      </c>
      <c r="R371" s="415" t="s">
        <v>9307</v>
      </c>
      <c r="S371" s="415" t="s">
        <v>4239</v>
      </c>
      <c r="U371" s="768">
        <v>43176</v>
      </c>
    </row>
    <row r="372" spans="1:22" x14ac:dyDescent="0.2">
      <c r="A372" s="758">
        <f t="shared" ref="A372:A384" si="13">A371+7</f>
        <v>43736</v>
      </c>
      <c r="B372" s="532" t="s">
        <v>15448</v>
      </c>
      <c r="C372" s="756"/>
      <c r="D372" s="672">
        <f t="shared" si="12"/>
        <v>39</v>
      </c>
      <c r="E372" s="532" t="s">
        <v>13461</v>
      </c>
      <c r="F372" s="756"/>
      <c r="G372" s="756">
        <v>372</v>
      </c>
      <c r="H372" s="675">
        <v>4.1122685185185186E-2</v>
      </c>
      <c r="I372" s="80" t="s">
        <v>5568</v>
      </c>
      <c r="J372" s="80" t="s">
        <v>8160</v>
      </c>
      <c r="M372" s="676">
        <v>0.28888888888888892</v>
      </c>
      <c r="Q372" s="415">
        <v>392</v>
      </c>
      <c r="R372" s="415" t="s">
        <v>9142</v>
      </c>
      <c r="S372" s="415" t="s">
        <v>1062</v>
      </c>
      <c r="U372" s="768">
        <v>43176</v>
      </c>
    </row>
    <row r="373" spans="1:22" x14ac:dyDescent="0.2">
      <c r="A373" s="758">
        <f t="shared" si="13"/>
        <v>43743</v>
      </c>
      <c r="D373" s="672">
        <f t="shared" si="12"/>
        <v>40</v>
      </c>
      <c r="E373" s="532" t="s">
        <v>15151</v>
      </c>
      <c r="F373" s="756"/>
      <c r="G373" s="1271" t="s">
        <v>16139</v>
      </c>
      <c r="H373" s="675">
        <v>3.2303240740740737E-2</v>
      </c>
      <c r="I373" s="80" t="s">
        <v>5568</v>
      </c>
      <c r="J373" s="80" t="s">
        <v>15697</v>
      </c>
      <c r="M373" s="1049">
        <v>0.29652777777777778</v>
      </c>
      <c r="Q373" s="415">
        <v>393</v>
      </c>
      <c r="R373" s="415" t="s">
        <v>475</v>
      </c>
      <c r="S373" s="415" t="s">
        <v>5241</v>
      </c>
      <c r="T373" s="675">
        <v>1.53125E-2</v>
      </c>
      <c r="U373" s="768">
        <v>43183</v>
      </c>
      <c r="V373" s="80" t="s">
        <v>5307</v>
      </c>
    </row>
    <row r="374" spans="1:22" x14ac:dyDescent="0.2">
      <c r="A374" s="758">
        <f t="shared" si="13"/>
        <v>43750</v>
      </c>
      <c r="B374" s="80"/>
      <c r="D374" s="672">
        <f t="shared" si="12"/>
        <v>41</v>
      </c>
      <c r="E374" s="532" t="s">
        <v>15786</v>
      </c>
      <c r="F374" s="756"/>
      <c r="G374" s="756">
        <v>374</v>
      </c>
      <c r="H374" s="675">
        <v>3.847222222222222E-2</v>
      </c>
      <c r="I374" s="1370" t="s">
        <v>5568</v>
      </c>
      <c r="M374" s="1049">
        <v>0.30486111111111108</v>
      </c>
      <c r="Q374" s="415">
        <v>394</v>
      </c>
      <c r="R374" s="415" t="s">
        <v>9407</v>
      </c>
      <c r="S374" s="415" t="s">
        <v>9479</v>
      </c>
      <c r="T374" s="675">
        <v>1.7488425925925925E-2</v>
      </c>
      <c r="U374" s="768">
        <v>43183</v>
      </c>
      <c r="V374" s="80" t="s">
        <v>5307</v>
      </c>
    </row>
    <row r="375" spans="1:22" x14ac:dyDescent="0.2">
      <c r="A375" s="758">
        <f t="shared" si="13"/>
        <v>43757</v>
      </c>
      <c r="D375" s="672">
        <f t="shared" si="12"/>
        <v>42</v>
      </c>
      <c r="E375" s="532" t="s">
        <v>15827</v>
      </c>
      <c r="F375" s="756"/>
      <c r="H375" s="334" t="s">
        <v>4061</v>
      </c>
      <c r="I375" s="1370" t="s">
        <v>5033</v>
      </c>
      <c r="J375" s="80"/>
      <c r="M375" s="1050">
        <v>0.31319444444444444</v>
      </c>
      <c r="Q375" s="415">
        <v>395</v>
      </c>
      <c r="R375" s="415" t="s">
        <v>8248</v>
      </c>
      <c r="S375" s="415" t="s">
        <v>2628</v>
      </c>
      <c r="T375" s="675">
        <v>1.8206018518518517E-2</v>
      </c>
      <c r="U375" s="768">
        <v>43183</v>
      </c>
      <c r="V375" s="80" t="s">
        <v>5307</v>
      </c>
    </row>
    <row r="376" spans="1:22" x14ac:dyDescent="0.2">
      <c r="A376" s="758">
        <f t="shared" si="13"/>
        <v>43764</v>
      </c>
      <c r="B376" s="80"/>
      <c r="D376" s="672">
        <f t="shared" si="12"/>
        <v>43</v>
      </c>
      <c r="E376" s="914" t="s">
        <v>2126</v>
      </c>
      <c r="H376" s="675"/>
      <c r="I376" s="1370"/>
      <c r="M376" s="1050">
        <v>0.3215277777777778</v>
      </c>
      <c r="Q376" s="415">
        <v>396</v>
      </c>
      <c r="R376" s="415" t="s">
        <v>9144</v>
      </c>
      <c r="S376" s="415" t="s">
        <v>1000</v>
      </c>
      <c r="T376" s="675">
        <v>2.1493055555555557E-2</v>
      </c>
      <c r="U376" s="768">
        <v>43183</v>
      </c>
      <c r="V376" s="80" t="s">
        <v>5307</v>
      </c>
    </row>
    <row r="377" spans="1:22" x14ac:dyDescent="0.2">
      <c r="A377" s="758">
        <f t="shared" si="13"/>
        <v>43771</v>
      </c>
      <c r="B377" s="80"/>
      <c r="D377" s="672">
        <f t="shared" si="12"/>
        <v>44</v>
      </c>
      <c r="E377" s="914" t="s">
        <v>2126</v>
      </c>
      <c r="I377" s="1370"/>
      <c r="M377" s="1049">
        <v>0.28819444444444448</v>
      </c>
      <c r="Q377" s="415">
        <v>397</v>
      </c>
      <c r="R377" s="415" t="s">
        <v>9500</v>
      </c>
      <c r="S377" s="415" t="s">
        <v>8150</v>
      </c>
      <c r="U377" s="768">
        <v>43183</v>
      </c>
      <c r="V377" s="80" t="s">
        <v>9501</v>
      </c>
    </row>
    <row r="378" spans="1:22" x14ac:dyDescent="0.2">
      <c r="A378" s="1743">
        <f t="shared" si="13"/>
        <v>43778</v>
      </c>
      <c r="B378" s="80"/>
      <c r="D378" s="672">
        <f t="shared" si="12"/>
        <v>45</v>
      </c>
      <c r="E378" s="532" t="s">
        <v>16979</v>
      </c>
      <c r="F378" s="756"/>
      <c r="G378" s="532" t="s">
        <v>16980</v>
      </c>
      <c r="H378" s="334">
        <v>4.0092592592592589E-2</v>
      </c>
      <c r="I378" s="1370" t="s">
        <v>5033</v>
      </c>
      <c r="M378" s="1049">
        <v>0.29722222222222222</v>
      </c>
      <c r="Q378" s="415">
        <v>398</v>
      </c>
      <c r="R378" s="415" t="s">
        <v>4120</v>
      </c>
      <c r="S378" s="415" t="s">
        <v>2628</v>
      </c>
      <c r="T378" s="675">
        <v>1.5960648148148151E-2</v>
      </c>
      <c r="U378" s="768">
        <v>43190</v>
      </c>
    </row>
    <row r="379" spans="1:22" x14ac:dyDescent="0.2">
      <c r="A379" s="758">
        <f t="shared" si="13"/>
        <v>43785</v>
      </c>
      <c r="B379" s="532" t="s">
        <v>15995</v>
      </c>
      <c r="C379" s="756"/>
      <c r="D379" s="672">
        <f t="shared" si="12"/>
        <v>46</v>
      </c>
      <c r="E379" s="532" t="s">
        <v>15993</v>
      </c>
      <c r="F379" s="756"/>
      <c r="H379" s="80" t="s">
        <v>4061</v>
      </c>
      <c r="I379" s="1370" t="s">
        <v>5568</v>
      </c>
      <c r="M379" s="1049">
        <v>0.30555555555555552</v>
      </c>
      <c r="Q379" s="415">
        <v>399</v>
      </c>
      <c r="R379" s="415" t="s">
        <v>8855</v>
      </c>
      <c r="S379" s="415" t="s">
        <v>9528</v>
      </c>
      <c r="T379" s="675">
        <v>1.6354166666666666E-2</v>
      </c>
      <c r="U379" s="768">
        <v>43190</v>
      </c>
      <c r="V379" s="80" t="s">
        <v>4526</v>
      </c>
    </row>
    <row r="380" spans="1:22" x14ac:dyDescent="0.2">
      <c r="A380" s="758">
        <f t="shared" si="13"/>
        <v>43792</v>
      </c>
      <c r="B380" s="532" t="s">
        <v>15677</v>
      </c>
      <c r="C380" s="756"/>
      <c r="D380" s="672">
        <f t="shared" si="12"/>
        <v>47</v>
      </c>
      <c r="E380" s="532" t="s">
        <v>16070</v>
      </c>
      <c r="F380" s="756"/>
      <c r="H380" s="80" t="s">
        <v>16071</v>
      </c>
      <c r="I380" s="1370" t="s">
        <v>1212</v>
      </c>
      <c r="M380" s="1050">
        <v>0.31319444444444444</v>
      </c>
      <c r="Q380" s="415">
        <v>400</v>
      </c>
      <c r="R380" s="415" t="s">
        <v>9304</v>
      </c>
      <c r="S380" s="415" t="s">
        <v>9513</v>
      </c>
      <c r="T380" s="675">
        <v>2.0682870370370372E-2</v>
      </c>
      <c r="U380" s="768">
        <v>43190</v>
      </c>
      <c r="V380" s="80" t="s">
        <v>4526</v>
      </c>
    </row>
    <row r="381" spans="1:22" x14ac:dyDescent="0.2">
      <c r="A381" s="758">
        <f t="shared" si="13"/>
        <v>43799</v>
      </c>
      <c r="D381" s="672">
        <f t="shared" si="12"/>
        <v>48</v>
      </c>
      <c r="E381" s="80"/>
      <c r="M381" s="1050">
        <v>0.32083333333333336</v>
      </c>
      <c r="Q381" s="415">
        <v>401</v>
      </c>
      <c r="R381" s="415" t="s">
        <v>4368</v>
      </c>
      <c r="S381" s="415" t="s">
        <v>1000</v>
      </c>
      <c r="U381" s="768">
        <v>43197</v>
      </c>
    </row>
    <row r="382" spans="1:22" x14ac:dyDescent="0.2">
      <c r="A382" s="758">
        <f t="shared" si="13"/>
        <v>43806</v>
      </c>
      <c r="B382" s="532" t="s">
        <v>16240</v>
      </c>
      <c r="D382" s="672">
        <f t="shared" si="12"/>
        <v>49</v>
      </c>
      <c r="E382" s="890" t="s">
        <v>15987</v>
      </c>
      <c r="I382" s="80"/>
      <c r="M382" s="1050">
        <v>0.32708333333333334</v>
      </c>
      <c r="Q382" s="415">
        <v>402</v>
      </c>
      <c r="R382" s="415" t="s">
        <v>8015</v>
      </c>
      <c r="S382" s="415" t="s">
        <v>4778</v>
      </c>
      <c r="U382" s="768">
        <v>43197</v>
      </c>
    </row>
    <row r="383" spans="1:22" x14ac:dyDescent="0.2">
      <c r="A383" s="758">
        <f t="shared" si="13"/>
        <v>43813</v>
      </c>
      <c r="D383" s="672">
        <f t="shared" si="12"/>
        <v>50</v>
      </c>
      <c r="E383" s="532" t="s">
        <v>5544</v>
      </c>
      <c r="H383" s="80" t="s">
        <v>1549</v>
      </c>
      <c r="M383" s="1050">
        <v>0.33263888888888887</v>
      </c>
      <c r="Q383" s="415">
        <v>403</v>
      </c>
      <c r="R383" s="415" t="s">
        <v>9582</v>
      </c>
      <c r="S383" s="415" t="s">
        <v>1000</v>
      </c>
      <c r="U383" s="768">
        <v>43204</v>
      </c>
    </row>
    <row r="384" spans="1:22" x14ac:dyDescent="0.2">
      <c r="A384" s="758">
        <f t="shared" si="13"/>
        <v>43820</v>
      </c>
      <c r="B384" s="532" t="s">
        <v>16312</v>
      </c>
      <c r="D384" s="672">
        <f t="shared" si="12"/>
        <v>51</v>
      </c>
      <c r="E384" s="532" t="s">
        <v>5544</v>
      </c>
      <c r="H384" s="80" t="s">
        <v>16337</v>
      </c>
      <c r="M384" s="1050">
        <v>0.33611111111111108</v>
      </c>
      <c r="Q384" s="415">
        <v>404</v>
      </c>
      <c r="R384" s="415" t="s">
        <v>9630</v>
      </c>
      <c r="S384" s="415" t="s">
        <v>1000</v>
      </c>
      <c r="U384" s="768">
        <v>43211</v>
      </c>
    </row>
    <row r="385" spans="1:21" x14ac:dyDescent="0.2">
      <c r="A385" s="1743">
        <f>A384+4</f>
        <v>43824</v>
      </c>
      <c r="D385" s="80" t="s">
        <v>13125</v>
      </c>
      <c r="E385" s="890" t="s">
        <v>16338</v>
      </c>
      <c r="M385" s="1050">
        <v>0.33680555555555558</v>
      </c>
      <c r="Q385" s="415">
        <v>405</v>
      </c>
      <c r="R385" s="415" t="s">
        <v>9578</v>
      </c>
      <c r="S385" s="415" t="s">
        <v>9631</v>
      </c>
      <c r="U385" s="768">
        <v>43211</v>
      </c>
    </row>
    <row r="386" spans="1:21" x14ac:dyDescent="0.2">
      <c r="A386" s="1863">
        <f>A385+3</f>
        <v>43827</v>
      </c>
      <c r="B386" s="1769" t="s">
        <v>16464</v>
      </c>
      <c r="C386" s="1864"/>
      <c r="D386" s="724">
        <v>52</v>
      </c>
      <c r="E386" s="1769" t="s">
        <v>5544</v>
      </c>
      <c r="F386" s="724"/>
      <c r="G386" s="724"/>
      <c r="H386" s="1464" t="s">
        <v>16071</v>
      </c>
      <c r="I386" s="724"/>
      <c r="J386" s="724"/>
      <c r="K386" s="724"/>
      <c r="L386" s="724"/>
      <c r="M386" s="1865">
        <v>0.33749999999999997</v>
      </c>
      <c r="N386" s="724"/>
      <c r="Q386" s="415">
        <v>406</v>
      </c>
      <c r="R386" s="415" t="s">
        <v>9620</v>
      </c>
      <c r="S386" s="415" t="s">
        <v>4778</v>
      </c>
      <c r="U386" s="768">
        <v>43218</v>
      </c>
    </row>
    <row r="387" spans="1:21" x14ac:dyDescent="0.2">
      <c r="A387" s="758">
        <f>A386+4</f>
        <v>43831</v>
      </c>
      <c r="D387" s="672">
        <v>0</v>
      </c>
      <c r="M387" s="1050">
        <v>0.33749999999999997</v>
      </c>
      <c r="Q387" s="415">
        <v>407</v>
      </c>
      <c r="R387" s="415" t="s">
        <v>9719</v>
      </c>
      <c r="S387" s="415" t="s">
        <v>1062</v>
      </c>
      <c r="U387" s="768">
        <v>43225</v>
      </c>
    </row>
    <row r="388" spans="1:21" x14ac:dyDescent="0.2">
      <c r="A388" s="758">
        <f>A387+3</f>
        <v>43834</v>
      </c>
      <c r="B388" s="677"/>
      <c r="C388" s="677"/>
      <c r="D388" s="80">
        <v>1</v>
      </c>
      <c r="E388" s="1900" t="s">
        <v>5544</v>
      </c>
      <c r="F388" s="80"/>
      <c r="G388" s="677"/>
      <c r="H388" s="80" t="s">
        <v>1549</v>
      </c>
      <c r="M388" s="1050">
        <v>0.33749999999999997</v>
      </c>
      <c r="Q388" s="415">
        <v>408</v>
      </c>
      <c r="R388" s="415" t="s">
        <v>9760</v>
      </c>
      <c r="S388" s="415" t="s">
        <v>5573</v>
      </c>
      <c r="T388" s="675">
        <v>1.7222222222222222E-2</v>
      </c>
      <c r="U388" s="768">
        <v>43232</v>
      </c>
    </row>
    <row r="389" spans="1:21" x14ac:dyDescent="0.2">
      <c r="A389" s="758">
        <f>A388+7</f>
        <v>43841</v>
      </c>
      <c r="D389" s="672">
        <f>D388+1</f>
        <v>2</v>
      </c>
      <c r="E389" s="890" t="s">
        <v>2126</v>
      </c>
      <c r="M389" s="1050">
        <v>0.3354166666666667</v>
      </c>
      <c r="Q389" s="415">
        <v>409</v>
      </c>
      <c r="R389" s="415" t="s">
        <v>9750</v>
      </c>
      <c r="S389" s="415" t="s">
        <v>1062</v>
      </c>
      <c r="T389" s="675">
        <v>2.4120370370370372E-2</v>
      </c>
      <c r="U389" s="768">
        <v>43232</v>
      </c>
    </row>
    <row r="390" spans="1:21" x14ac:dyDescent="0.2">
      <c r="A390" s="758">
        <f t="shared" ref="A390:A409" si="14">A389+7</f>
        <v>43848</v>
      </c>
      <c r="D390" s="672">
        <f t="shared" ref="D390:D409" si="15">D389+1</f>
        <v>3</v>
      </c>
      <c r="E390" s="890" t="s">
        <v>2126</v>
      </c>
      <c r="M390" s="1050">
        <v>0.33124999999999999</v>
      </c>
      <c r="Q390" s="415">
        <v>410</v>
      </c>
      <c r="R390" s="415" t="s">
        <v>9837</v>
      </c>
      <c r="S390" s="415" t="s">
        <v>3254</v>
      </c>
      <c r="T390" s="675">
        <v>1.8483796296296297E-2</v>
      </c>
      <c r="U390" s="768">
        <v>43239</v>
      </c>
    </row>
    <row r="391" spans="1:21" x14ac:dyDescent="0.2">
      <c r="A391" s="1743">
        <f t="shared" si="14"/>
        <v>43855</v>
      </c>
      <c r="B391" s="80"/>
      <c r="C391" s="80"/>
      <c r="D391" s="672">
        <f t="shared" si="15"/>
        <v>4</v>
      </c>
      <c r="E391" s="532" t="s">
        <v>16748</v>
      </c>
      <c r="F391" s="532"/>
      <c r="G391" s="532" t="s">
        <v>16981</v>
      </c>
      <c r="H391" s="334">
        <v>4.0752314814814811E-2</v>
      </c>
      <c r="I391" s="532" t="s">
        <v>5033</v>
      </c>
      <c r="M391" s="1050">
        <v>0.32569444444444445</v>
      </c>
      <c r="Q391" s="415">
        <v>411</v>
      </c>
      <c r="R391" s="415" t="s">
        <v>9816</v>
      </c>
      <c r="S391" s="415" t="s">
        <v>9840</v>
      </c>
      <c r="T391" s="675">
        <v>2.4305555555555556E-2</v>
      </c>
      <c r="U391" s="768">
        <v>43239</v>
      </c>
    </row>
    <row r="392" spans="1:21" x14ac:dyDescent="0.2">
      <c r="A392" s="758">
        <f t="shared" si="14"/>
        <v>43862</v>
      </c>
      <c r="D392" s="672">
        <f t="shared" si="15"/>
        <v>5</v>
      </c>
      <c r="E392" s="532" t="s">
        <v>5544</v>
      </c>
      <c r="H392" s="80" t="s">
        <v>4061</v>
      </c>
      <c r="M392" s="1050">
        <v>0.31875000000000003</v>
      </c>
      <c r="Q392" s="415">
        <v>412</v>
      </c>
      <c r="R392" s="415" t="s">
        <v>9873</v>
      </c>
      <c r="S392" s="415" t="s">
        <v>9806</v>
      </c>
      <c r="T392" s="675"/>
      <c r="U392" s="768">
        <v>43253</v>
      </c>
    </row>
    <row r="393" spans="1:21" x14ac:dyDescent="0.2">
      <c r="A393" s="758">
        <f t="shared" si="14"/>
        <v>43869</v>
      </c>
      <c r="D393" s="672">
        <f t="shared" si="15"/>
        <v>6</v>
      </c>
      <c r="E393" s="532" t="s">
        <v>16978</v>
      </c>
      <c r="G393" s="672">
        <v>377</v>
      </c>
      <c r="H393" s="675">
        <v>3.2083333333333332E-2</v>
      </c>
      <c r="I393" s="80" t="s">
        <v>5568</v>
      </c>
      <c r="M393" s="1049">
        <v>0.31111111111111112</v>
      </c>
      <c r="Q393" s="415">
        <v>413</v>
      </c>
      <c r="R393" s="415" t="s">
        <v>9861</v>
      </c>
      <c r="S393" s="415" t="s">
        <v>4778</v>
      </c>
      <c r="T393" s="675">
        <v>2.5914351851851855E-2</v>
      </c>
      <c r="U393" s="768">
        <v>43253</v>
      </c>
    </row>
    <row r="394" spans="1:21" x14ac:dyDescent="0.2">
      <c r="A394" s="758">
        <f t="shared" si="14"/>
        <v>43876</v>
      </c>
      <c r="B394" s="80"/>
      <c r="C394" s="80"/>
      <c r="D394" s="672">
        <f t="shared" si="15"/>
        <v>7</v>
      </c>
      <c r="E394" s="532" t="s">
        <v>17009</v>
      </c>
      <c r="F394" s="80"/>
      <c r="G394" s="80"/>
      <c r="H394" s="675">
        <v>3.2175925925925927E-2</v>
      </c>
      <c r="I394" s="80" t="s">
        <v>5568</v>
      </c>
      <c r="M394" s="1049">
        <v>0.30208333333333331</v>
      </c>
      <c r="Q394" s="415">
        <v>414</v>
      </c>
      <c r="R394" s="415" t="s">
        <v>9903</v>
      </c>
      <c r="S394" s="415" t="s">
        <v>1270</v>
      </c>
      <c r="T394" s="675"/>
      <c r="U394" s="768">
        <v>43260</v>
      </c>
    </row>
    <row r="395" spans="1:21" x14ac:dyDescent="0.2">
      <c r="A395" s="758">
        <f t="shared" si="14"/>
        <v>43883</v>
      </c>
      <c r="B395" s="80"/>
      <c r="C395" s="80"/>
      <c r="D395" s="672">
        <f t="shared" si="15"/>
        <v>8</v>
      </c>
      <c r="E395" s="532" t="s">
        <v>17078</v>
      </c>
      <c r="F395" s="532"/>
      <c r="G395" s="80"/>
      <c r="H395" s="334">
        <v>3.3252314814814811E-2</v>
      </c>
      <c r="J395" s="80" t="s">
        <v>17273</v>
      </c>
      <c r="M395" s="1049">
        <v>0.29236111111111113</v>
      </c>
      <c r="R395" s="601" t="s">
        <v>10176</v>
      </c>
      <c r="S395" s="1073"/>
      <c r="T395" s="675"/>
    </row>
    <row r="396" spans="1:21" x14ac:dyDescent="0.2">
      <c r="A396" s="1743">
        <f t="shared" si="14"/>
        <v>43890</v>
      </c>
      <c r="B396" s="80" t="s">
        <v>16983</v>
      </c>
      <c r="D396" s="672">
        <f t="shared" si="15"/>
        <v>9</v>
      </c>
      <c r="E396" s="532" t="s">
        <v>16982</v>
      </c>
      <c r="G396" s="80" t="s">
        <v>8160</v>
      </c>
      <c r="H396" s="675">
        <v>4.1342592592592591E-2</v>
      </c>
      <c r="I396" s="414"/>
      <c r="M396" s="676">
        <v>0.28333333333333333</v>
      </c>
      <c r="T396" s="675"/>
    </row>
    <row r="397" spans="1:21" x14ac:dyDescent="0.2">
      <c r="A397" s="1743">
        <f t="shared" si="14"/>
        <v>43897</v>
      </c>
      <c r="D397" s="672">
        <f t="shared" si="15"/>
        <v>10</v>
      </c>
      <c r="E397" s="532" t="s">
        <v>17224</v>
      </c>
      <c r="F397" s="756"/>
      <c r="H397" s="675">
        <v>3.2916666666666664E-2</v>
      </c>
      <c r="I397" s="1370"/>
      <c r="J397" s="80" t="s">
        <v>17274</v>
      </c>
      <c r="T397" s="675"/>
    </row>
    <row r="398" spans="1:21" x14ac:dyDescent="0.2">
      <c r="A398" s="1001">
        <f t="shared" si="14"/>
        <v>43904</v>
      </c>
      <c r="B398" s="80" t="s">
        <v>17272</v>
      </c>
      <c r="C398" s="80"/>
      <c r="D398" s="672">
        <f t="shared" si="15"/>
        <v>11</v>
      </c>
      <c r="E398" s="532" t="s">
        <v>17271</v>
      </c>
      <c r="F398" s="80"/>
      <c r="G398" s="80"/>
      <c r="H398" s="1142">
        <v>3.1030092592592592E-2</v>
      </c>
      <c r="I398" s="1370"/>
    </row>
    <row r="399" spans="1:21" x14ac:dyDescent="0.2">
      <c r="A399" s="1197">
        <f t="shared" si="14"/>
        <v>43911</v>
      </c>
      <c r="D399" s="672">
        <f t="shared" si="15"/>
        <v>12</v>
      </c>
      <c r="H399" s="675"/>
      <c r="I399" s="1370"/>
    </row>
    <row r="400" spans="1:21" x14ac:dyDescent="0.2">
      <c r="A400" s="1197">
        <f t="shared" si="14"/>
        <v>43918</v>
      </c>
      <c r="D400" s="672">
        <f t="shared" si="15"/>
        <v>13</v>
      </c>
      <c r="H400" s="675"/>
      <c r="I400" s="1370"/>
    </row>
    <row r="401" spans="1:9" x14ac:dyDescent="0.2">
      <c r="A401" s="1197">
        <f t="shared" si="14"/>
        <v>43925</v>
      </c>
      <c r="D401" s="672">
        <f t="shared" si="15"/>
        <v>14</v>
      </c>
      <c r="H401" s="675"/>
      <c r="I401" s="1370"/>
    </row>
    <row r="402" spans="1:9" x14ac:dyDescent="0.2">
      <c r="A402" s="1197">
        <f t="shared" si="14"/>
        <v>43932</v>
      </c>
      <c r="D402" s="672">
        <f t="shared" si="15"/>
        <v>15</v>
      </c>
      <c r="H402" s="675"/>
      <c r="I402" s="1370"/>
    </row>
    <row r="403" spans="1:9" x14ac:dyDescent="0.2">
      <c r="A403" s="1197">
        <f t="shared" si="14"/>
        <v>43939</v>
      </c>
      <c r="B403" s="700"/>
      <c r="D403" s="672">
        <f t="shared" si="15"/>
        <v>16</v>
      </c>
      <c r="H403" s="675"/>
      <c r="I403" s="1370"/>
    </row>
    <row r="404" spans="1:9" x14ac:dyDescent="0.2">
      <c r="A404" s="1197">
        <f t="shared" si="14"/>
        <v>43946</v>
      </c>
      <c r="B404" s="700"/>
      <c r="D404" s="672">
        <f t="shared" si="15"/>
        <v>17</v>
      </c>
      <c r="H404" s="675"/>
      <c r="I404" s="1370"/>
    </row>
    <row r="405" spans="1:9" x14ac:dyDescent="0.2">
      <c r="A405" s="1197">
        <f t="shared" si="14"/>
        <v>43953</v>
      </c>
      <c r="B405" s="700"/>
      <c r="D405" s="672">
        <f t="shared" si="15"/>
        <v>18</v>
      </c>
      <c r="H405" s="675"/>
      <c r="I405" s="1370"/>
    </row>
    <row r="406" spans="1:9" x14ac:dyDescent="0.2">
      <c r="A406" s="1197">
        <f t="shared" si="14"/>
        <v>43960</v>
      </c>
      <c r="B406" s="687"/>
      <c r="D406" s="672">
        <f t="shared" si="15"/>
        <v>19</v>
      </c>
      <c r="H406" s="675"/>
    </row>
    <row r="407" spans="1:9" x14ac:dyDescent="0.2">
      <c r="A407" s="1197">
        <f t="shared" si="14"/>
        <v>43967</v>
      </c>
      <c r="B407" s="687"/>
      <c r="D407" s="672">
        <f t="shared" si="15"/>
        <v>20</v>
      </c>
      <c r="H407" s="675"/>
    </row>
    <row r="408" spans="1:9" x14ac:dyDescent="0.2">
      <c r="A408" s="1197">
        <f t="shared" si="14"/>
        <v>43974</v>
      </c>
      <c r="B408" s="687"/>
      <c r="D408" s="672">
        <f t="shared" si="15"/>
        <v>21</v>
      </c>
      <c r="H408" s="675"/>
    </row>
    <row r="409" spans="1:9" x14ac:dyDescent="0.2">
      <c r="A409" s="1193">
        <f t="shared" si="14"/>
        <v>43981</v>
      </c>
      <c r="B409" s="687"/>
      <c r="D409" s="672">
        <f t="shared" si="15"/>
        <v>22</v>
      </c>
      <c r="H409" s="675"/>
    </row>
    <row r="410" spans="1:9" x14ac:dyDescent="0.2">
      <c r="B410" s="687"/>
      <c r="I410" s="414" t="s">
        <v>9358</v>
      </c>
    </row>
    <row r="411" spans="1:9" x14ac:dyDescent="0.2">
      <c r="I411" s="1370" t="s">
        <v>8144</v>
      </c>
    </row>
    <row r="412" spans="1:9" x14ac:dyDescent="0.2">
      <c r="A412" s="677"/>
      <c r="I412" s="1370" t="s">
        <v>5337</v>
      </c>
    </row>
    <row r="413" spans="1:9" x14ac:dyDescent="0.2">
      <c r="B413" s="676"/>
      <c r="I413" s="1370" t="s">
        <v>8333</v>
      </c>
    </row>
    <row r="414" spans="1:9" x14ac:dyDescent="0.2">
      <c r="B414" s="771"/>
      <c r="I414" s="1370" t="s">
        <v>10802</v>
      </c>
    </row>
    <row r="415" spans="1:9" x14ac:dyDescent="0.2">
      <c r="B415" s="676"/>
    </row>
    <row r="429" spans="9:10" x14ac:dyDescent="0.2">
      <c r="I429" s="677"/>
      <c r="J429" s="677"/>
    </row>
  </sheetData>
  <sortState xmlns:xlrd2="http://schemas.microsoft.com/office/spreadsheetml/2017/richdata2" ref="I310:I313">
    <sortCondition ref="I310:I313"/>
  </sortState>
  <phoneticPr fontId="8" type="noConversion"/>
  <hyperlinks>
    <hyperlink ref="M168" r:id="rId1" display="8@" xr:uid="{00000000-0004-0000-0600-000000000000}"/>
    <hyperlink ref="H269" r:id="rId2" display="0@34@35" xr:uid="{00000000-0004-0000-0600-000001000000}"/>
  </hyperlinks>
  <pageMargins left="0.75" right="0.75" top="1" bottom="1" header="0.5" footer="0.5"/>
  <pageSetup paperSize="9" orientation="portrait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O534"/>
  <sheetViews>
    <sheetView workbookViewId="0">
      <selection activeCell="I459" sqref="I459"/>
    </sheetView>
  </sheetViews>
  <sheetFormatPr defaultRowHeight="12.75" x14ac:dyDescent="0.2"/>
  <cols>
    <col min="2" max="2" width="6.5703125" customWidth="1"/>
    <col min="3" max="3" width="35.5703125" customWidth="1"/>
    <col min="4" max="4" width="10.85546875" customWidth="1"/>
    <col min="5" max="5" width="9.140625" style="10"/>
    <col min="13" max="13" width="9.140625" style="10"/>
  </cols>
  <sheetData>
    <row r="2" spans="1:13" x14ac:dyDescent="0.2">
      <c r="A2" t="s">
        <v>9361</v>
      </c>
      <c r="C2" t="s">
        <v>2149</v>
      </c>
      <c r="D2" t="s">
        <v>2151</v>
      </c>
      <c r="E2" s="7" t="s">
        <v>4019</v>
      </c>
      <c r="G2" t="s">
        <v>10268</v>
      </c>
      <c r="I2" s="10" t="s">
        <v>10269</v>
      </c>
      <c r="J2" s="10" t="s">
        <v>10270</v>
      </c>
      <c r="K2" s="10" t="s">
        <v>10271</v>
      </c>
    </row>
    <row r="3" spans="1:13" x14ac:dyDescent="0.2">
      <c r="A3" t="s">
        <v>9361</v>
      </c>
      <c r="E3" s="7" t="s">
        <v>2150</v>
      </c>
    </row>
    <row r="4" spans="1:13" x14ac:dyDescent="0.2">
      <c r="A4" t="s">
        <v>9361</v>
      </c>
      <c r="E4" s="7" t="s">
        <v>4020</v>
      </c>
      <c r="F4" s="17" t="s">
        <v>5872</v>
      </c>
    </row>
    <row r="5" spans="1:13" x14ac:dyDescent="0.2">
      <c r="A5" t="s">
        <v>1808</v>
      </c>
      <c r="B5" s="27" t="s">
        <v>2016</v>
      </c>
      <c r="C5" s="15" t="s">
        <v>5454</v>
      </c>
      <c r="D5" t="s">
        <v>263</v>
      </c>
      <c r="E5" s="76">
        <v>3.5</v>
      </c>
      <c r="F5" s="77">
        <v>2.2000000000000002</v>
      </c>
      <c r="G5" t="s">
        <v>1996</v>
      </c>
    </row>
    <row r="6" spans="1:13" x14ac:dyDescent="0.2">
      <c r="A6" t="s">
        <v>1808</v>
      </c>
      <c r="B6" s="27" t="s">
        <v>1703</v>
      </c>
      <c r="C6" s="15" t="s">
        <v>4508</v>
      </c>
      <c r="D6" t="s">
        <v>2676</v>
      </c>
      <c r="E6" s="13">
        <v>5.7</v>
      </c>
      <c r="F6" s="78">
        <f t="shared" ref="F6:F22" si="0">E6/1.609</f>
        <v>3.542573026724674</v>
      </c>
      <c r="G6" t="s">
        <v>4775</v>
      </c>
    </row>
    <row r="7" spans="1:13" x14ac:dyDescent="0.2">
      <c r="A7" t="s">
        <v>1808</v>
      </c>
      <c r="B7" s="27" t="s">
        <v>1404</v>
      </c>
      <c r="C7" s="15" t="s">
        <v>1403</v>
      </c>
      <c r="D7" t="s">
        <v>1402</v>
      </c>
      <c r="E7" s="16">
        <v>6.1</v>
      </c>
      <c r="F7" s="110">
        <f t="shared" si="0"/>
        <v>3.7911746426351769</v>
      </c>
      <c r="G7" t="s">
        <v>3341</v>
      </c>
      <c r="J7" t="s">
        <v>710</v>
      </c>
    </row>
    <row r="8" spans="1:13" x14ac:dyDescent="0.2">
      <c r="A8" t="s">
        <v>1808</v>
      </c>
      <c r="B8" s="27" t="s">
        <v>5123</v>
      </c>
      <c r="C8" s="15" t="s">
        <v>5329</v>
      </c>
      <c r="D8" t="s">
        <v>2509</v>
      </c>
      <c r="E8" s="13">
        <v>6.5</v>
      </c>
      <c r="F8" s="78">
        <f t="shared" si="0"/>
        <v>4.0397762585456807</v>
      </c>
      <c r="G8" t="s">
        <v>367</v>
      </c>
      <c r="J8" s="5"/>
    </row>
    <row r="9" spans="1:13" x14ac:dyDescent="0.2">
      <c r="A9" t="s">
        <v>1808</v>
      </c>
      <c r="B9" s="27" t="s">
        <v>1706</v>
      </c>
      <c r="C9" s="15" t="s">
        <v>4513</v>
      </c>
      <c r="D9" t="s">
        <v>110</v>
      </c>
      <c r="E9" s="13">
        <v>7.2</v>
      </c>
      <c r="F9" s="78">
        <f t="shared" si="0"/>
        <v>4.4748290863890618</v>
      </c>
      <c r="G9" t="s">
        <v>2095</v>
      </c>
      <c r="L9" t="s">
        <v>709</v>
      </c>
    </row>
    <row r="10" spans="1:13" x14ac:dyDescent="0.2">
      <c r="A10" t="s">
        <v>1808</v>
      </c>
      <c r="B10" s="27" t="s">
        <v>1705</v>
      </c>
      <c r="C10" s="15" t="s">
        <v>376</v>
      </c>
      <c r="D10" t="s">
        <v>4021</v>
      </c>
      <c r="E10" s="13">
        <v>8.1999999999999993</v>
      </c>
      <c r="F10" s="78">
        <f t="shared" si="0"/>
        <v>5.0963331261653195</v>
      </c>
      <c r="G10" t="s">
        <v>5914</v>
      </c>
      <c r="M10" s="6" t="s">
        <v>711</v>
      </c>
    </row>
    <row r="11" spans="1:13" x14ac:dyDescent="0.2">
      <c r="A11" t="s">
        <v>1808</v>
      </c>
      <c r="B11" s="27" t="s">
        <v>1708</v>
      </c>
      <c r="C11" s="15" t="s">
        <v>2818</v>
      </c>
      <c r="D11" t="s">
        <v>111</v>
      </c>
      <c r="E11" s="13">
        <v>8.5</v>
      </c>
      <c r="F11" s="78">
        <f t="shared" si="0"/>
        <v>5.2827843380981978</v>
      </c>
      <c r="G11" t="s">
        <v>1539</v>
      </c>
    </row>
    <row r="12" spans="1:13" x14ac:dyDescent="0.2">
      <c r="A12" t="s">
        <v>5208</v>
      </c>
      <c r="B12" s="27" t="s">
        <v>9301</v>
      </c>
      <c r="C12" s="567" t="s">
        <v>9308</v>
      </c>
      <c r="D12" s="80" t="s">
        <v>9300</v>
      </c>
      <c r="E12" s="14">
        <v>9.1</v>
      </c>
      <c r="F12" s="78">
        <f t="shared" si="0"/>
        <v>5.6556867619639526</v>
      </c>
      <c r="G12" t="s">
        <v>9303</v>
      </c>
      <c r="I12">
        <v>1876</v>
      </c>
    </row>
    <row r="13" spans="1:13" x14ac:dyDescent="0.2">
      <c r="A13" t="s">
        <v>1808</v>
      </c>
      <c r="B13" s="27" t="s">
        <v>1709</v>
      </c>
      <c r="C13" s="15" t="s">
        <v>377</v>
      </c>
      <c r="D13" t="s">
        <v>2148</v>
      </c>
      <c r="E13" s="13">
        <v>9.4</v>
      </c>
      <c r="F13" s="78">
        <f t="shared" si="0"/>
        <v>5.8421379738968309</v>
      </c>
      <c r="G13" t="s">
        <v>465</v>
      </c>
    </row>
    <row r="14" spans="1:13" x14ac:dyDescent="0.2">
      <c r="A14" t="s">
        <v>1808</v>
      </c>
      <c r="B14" s="27" t="s">
        <v>1700</v>
      </c>
      <c r="C14" s="15" t="s">
        <v>1671</v>
      </c>
      <c r="D14" t="s">
        <v>1672</v>
      </c>
      <c r="E14" s="14">
        <v>10.199999999999999</v>
      </c>
      <c r="F14" s="78">
        <f t="shared" si="0"/>
        <v>6.3393412057178367</v>
      </c>
      <c r="G14" t="s">
        <v>4056</v>
      </c>
    </row>
    <row r="15" spans="1:13" x14ac:dyDescent="0.2">
      <c r="A15" t="s">
        <v>1808</v>
      </c>
      <c r="B15" s="27" t="s">
        <v>294</v>
      </c>
      <c r="C15" s="2" t="s">
        <v>1967</v>
      </c>
      <c r="D15" t="s">
        <v>4742</v>
      </c>
      <c r="E15" s="16">
        <v>11.2</v>
      </c>
      <c r="F15" s="110">
        <f t="shared" si="0"/>
        <v>6.9608452454940952</v>
      </c>
      <c r="G15" t="s">
        <v>4638</v>
      </c>
    </row>
    <row r="16" spans="1:13" x14ac:dyDescent="0.2">
      <c r="A16" t="s">
        <v>9373</v>
      </c>
      <c r="B16" s="27" t="s">
        <v>1702</v>
      </c>
      <c r="C16" s="15" t="s">
        <v>5704</v>
      </c>
      <c r="D16" t="s">
        <v>3645</v>
      </c>
      <c r="E16" s="13">
        <v>11.6</v>
      </c>
      <c r="F16" s="78">
        <f t="shared" si="0"/>
        <v>7.209446861404599</v>
      </c>
      <c r="G16" t="s">
        <v>4881</v>
      </c>
      <c r="J16" t="s">
        <v>225</v>
      </c>
    </row>
    <row r="17" spans="1:11" x14ac:dyDescent="0.2">
      <c r="A17" t="s">
        <v>9373</v>
      </c>
      <c r="B17" s="27" t="s">
        <v>3492</v>
      </c>
      <c r="C17" s="15" t="s">
        <v>3494</v>
      </c>
      <c r="D17" t="s">
        <v>3613</v>
      </c>
      <c r="E17" s="16">
        <v>11.8</v>
      </c>
      <c r="F17" s="78">
        <f t="shared" si="0"/>
        <v>7.3337476693598518</v>
      </c>
      <c r="G17" s="80" t="s">
        <v>15735</v>
      </c>
    </row>
    <row r="18" spans="1:11" x14ac:dyDescent="0.2">
      <c r="A18" t="s">
        <v>1808</v>
      </c>
      <c r="B18" s="27" t="s">
        <v>1612</v>
      </c>
      <c r="C18" s="15" t="s">
        <v>844</v>
      </c>
      <c r="D18" t="s">
        <v>2677</v>
      </c>
      <c r="E18" s="13">
        <v>12.1</v>
      </c>
      <c r="F18" s="78">
        <f t="shared" si="0"/>
        <v>7.5201988812927283</v>
      </c>
      <c r="G18" s="5" t="s">
        <v>5163</v>
      </c>
    </row>
    <row r="19" spans="1:11" x14ac:dyDescent="0.2">
      <c r="A19" t="s">
        <v>1808</v>
      </c>
      <c r="B19" s="27" t="s">
        <v>4007</v>
      </c>
      <c r="C19" s="2" t="s">
        <v>4004</v>
      </c>
      <c r="D19" t="s">
        <v>4005</v>
      </c>
      <c r="E19" s="13">
        <v>13.12</v>
      </c>
      <c r="F19" s="110">
        <f t="shared" si="0"/>
        <v>8.154133001864512</v>
      </c>
      <c r="G19" t="s">
        <v>2537</v>
      </c>
      <c r="J19" t="s">
        <v>300</v>
      </c>
      <c r="K19" t="s">
        <v>301</v>
      </c>
    </row>
    <row r="20" spans="1:11" x14ac:dyDescent="0.2">
      <c r="A20" t="s">
        <v>1808</v>
      </c>
      <c r="B20" s="27" t="s">
        <v>5118</v>
      </c>
      <c r="C20" s="2" t="s">
        <v>4451</v>
      </c>
      <c r="D20" t="s">
        <v>1216</v>
      </c>
      <c r="E20" s="13">
        <v>13.2</v>
      </c>
      <c r="F20" s="78">
        <f t="shared" si="0"/>
        <v>8.2038533250466124</v>
      </c>
      <c r="G20" s="5" t="s">
        <v>3531</v>
      </c>
    </row>
    <row r="21" spans="1:11" x14ac:dyDescent="0.2">
      <c r="A21" t="s">
        <v>1808</v>
      </c>
      <c r="B21" s="27" t="s">
        <v>1617</v>
      </c>
      <c r="C21" s="2" t="s">
        <v>5062</v>
      </c>
      <c r="D21" t="s">
        <v>788</v>
      </c>
      <c r="E21" s="13">
        <v>14.3</v>
      </c>
      <c r="F21" s="78">
        <f t="shared" si="0"/>
        <v>8.8875077688004982</v>
      </c>
      <c r="G21" t="s">
        <v>3530</v>
      </c>
    </row>
    <row r="22" spans="1:11" x14ac:dyDescent="0.2">
      <c r="A22" t="s">
        <v>1145</v>
      </c>
      <c r="B22" s="552" t="s">
        <v>1449</v>
      </c>
      <c r="C22" s="257" t="s">
        <v>462</v>
      </c>
      <c r="D22" s="80" t="s">
        <v>464</v>
      </c>
      <c r="E22" s="207">
        <v>15.3</v>
      </c>
      <c r="F22" s="78">
        <f t="shared" si="0"/>
        <v>9.5090118085767568</v>
      </c>
    </row>
    <row r="23" spans="1:11" x14ac:dyDescent="0.2">
      <c r="A23" t="s">
        <v>1145</v>
      </c>
      <c r="B23" t="s">
        <v>1449</v>
      </c>
      <c r="C23" s="257" t="s">
        <v>462</v>
      </c>
      <c r="D23" s="80" t="s">
        <v>464</v>
      </c>
      <c r="E23" s="207">
        <v>15.3</v>
      </c>
      <c r="F23" s="19"/>
      <c r="G23">
        <v>422</v>
      </c>
    </row>
    <row r="24" spans="1:11" x14ac:dyDescent="0.2">
      <c r="A24" t="s">
        <v>1808</v>
      </c>
      <c r="B24" s="27" t="s">
        <v>1448</v>
      </c>
      <c r="C24" s="2" t="s">
        <v>74</v>
      </c>
      <c r="D24" s="90" t="s">
        <v>3163</v>
      </c>
      <c r="E24" s="13">
        <v>15.4</v>
      </c>
      <c r="F24" s="19">
        <f t="shared" ref="F24:F55" si="1">E24/1.609</f>
        <v>9.5711622125543823</v>
      </c>
      <c r="G24">
        <v>581</v>
      </c>
      <c r="H24" t="s">
        <v>3164</v>
      </c>
      <c r="K24" t="s">
        <v>3165</v>
      </c>
    </row>
    <row r="25" spans="1:11" x14ac:dyDescent="0.2">
      <c r="A25" t="s">
        <v>5208</v>
      </c>
      <c r="B25" s="27" t="s">
        <v>5060</v>
      </c>
      <c r="C25" s="2" t="s">
        <v>1569</v>
      </c>
      <c r="D25" t="s">
        <v>5059</v>
      </c>
      <c r="E25" s="292">
        <v>16.3</v>
      </c>
      <c r="F25" s="19">
        <f t="shared" si="1"/>
        <v>10.130515848353015</v>
      </c>
      <c r="G25" t="s">
        <v>656</v>
      </c>
      <c r="J25" t="s">
        <v>2317</v>
      </c>
      <c r="K25" t="s">
        <v>2318</v>
      </c>
    </row>
    <row r="26" spans="1:11" x14ac:dyDescent="0.2">
      <c r="A26" t="s">
        <v>5208</v>
      </c>
      <c r="B26" s="552" t="s">
        <v>6408</v>
      </c>
      <c r="C26" s="567" t="s">
        <v>6393</v>
      </c>
      <c r="D26" s="80" t="s">
        <v>6394</v>
      </c>
      <c r="E26" s="292">
        <v>16.8</v>
      </c>
      <c r="F26" s="19">
        <f t="shared" si="1"/>
        <v>10.441267868241145</v>
      </c>
      <c r="G26" s="80" t="s">
        <v>6415</v>
      </c>
    </row>
    <row r="27" spans="1:11" x14ac:dyDescent="0.2">
      <c r="A27" t="s">
        <v>1808</v>
      </c>
      <c r="B27" s="27" t="s">
        <v>2278</v>
      </c>
      <c r="C27" s="2" t="s">
        <v>5959</v>
      </c>
      <c r="D27" t="s">
        <v>4092</v>
      </c>
      <c r="E27" s="13">
        <v>17.899999999999999</v>
      </c>
      <c r="F27" s="18">
        <f t="shared" si="1"/>
        <v>11.124922311995027</v>
      </c>
    </row>
    <row r="28" spans="1:11" ht="12.75" customHeight="1" x14ac:dyDescent="0.2">
      <c r="A28" t="s">
        <v>5208</v>
      </c>
      <c r="B28" s="27" t="s">
        <v>5232</v>
      </c>
      <c r="C28" s="2" t="s">
        <v>1638</v>
      </c>
      <c r="D28" t="s">
        <v>5229</v>
      </c>
      <c r="E28" s="292">
        <v>18.8</v>
      </c>
      <c r="F28" s="19">
        <f t="shared" si="1"/>
        <v>11.684275947793662</v>
      </c>
      <c r="G28" t="s">
        <v>1852</v>
      </c>
    </row>
    <row r="29" spans="1:11" x14ac:dyDescent="0.2">
      <c r="A29" t="s">
        <v>1808</v>
      </c>
      <c r="B29" s="27" t="s">
        <v>5946</v>
      </c>
      <c r="C29" s="257" t="s">
        <v>5267</v>
      </c>
      <c r="D29" t="s">
        <v>4600</v>
      </c>
      <c r="E29" s="207">
        <v>18.899999999999999</v>
      </c>
      <c r="F29" s="19">
        <f t="shared" si="1"/>
        <v>11.746426351771285</v>
      </c>
      <c r="G29" t="s">
        <v>5265</v>
      </c>
    </row>
    <row r="30" spans="1:11" x14ac:dyDescent="0.2">
      <c r="A30" t="s">
        <v>1145</v>
      </c>
      <c r="B30" s="27" t="s">
        <v>1711</v>
      </c>
      <c r="C30" s="567" t="s">
        <v>2249</v>
      </c>
      <c r="D30" t="s">
        <v>1215</v>
      </c>
      <c r="E30" s="13">
        <v>19</v>
      </c>
      <c r="F30" s="18">
        <f t="shared" si="1"/>
        <v>11.808576755748913</v>
      </c>
      <c r="G30" t="s">
        <v>2015</v>
      </c>
    </row>
    <row r="31" spans="1:11" x14ac:dyDescent="0.2">
      <c r="A31" t="s">
        <v>5208</v>
      </c>
      <c r="B31" s="27" t="s">
        <v>5930</v>
      </c>
      <c r="C31" s="2" t="s">
        <v>5929</v>
      </c>
      <c r="D31" t="s">
        <v>5822</v>
      </c>
      <c r="E31" s="13">
        <v>19.100000000000001</v>
      </c>
      <c r="F31" s="18">
        <f t="shared" si="1"/>
        <v>11.87072715972654</v>
      </c>
      <c r="G31" t="s">
        <v>3276</v>
      </c>
    </row>
    <row r="32" spans="1:11" x14ac:dyDescent="0.2">
      <c r="A32" t="s">
        <v>1808</v>
      </c>
      <c r="B32" s="27" t="s">
        <v>4424</v>
      </c>
      <c r="C32" s="2" t="s">
        <v>1431</v>
      </c>
      <c r="D32" t="s">
        <v>207</v>
      </c>
      <c r="E32" s="13">
        <v>20.7</v>
      </c>
      <c r="F32" s="18">
        <f t="shared" si="1"/>
        <v>12.865133623368552</v>
      </c>
      <c r="G32" t="s">
        <v>5209</v>
      </c>
    </row>
    <row r="33" spans="1:11" x14ac:dyDescent="0.2">
      <c r="A33" t="s">
        <v>1808</v>
      </c>
      <c r="B33" s="27" t="s">
        <v>5126</v>
      </c>
      <c r="C33" s="2" t="s">
        <v>5031</v>
      </c>
      <c r="D33" t="s">
        <v>5032</v>
      </c>
      <c r="E33" s="13">
        <v>21.5</v>
      </c>
      <c r="F33" s="19">
        <f t="shared" si="1"/>
        <v>13.362336855189559</v>
      </c>
      <c r="G33" t="s">
        <v>218</v>
      </c>
    </row>
    <row r="34" spans="1:11" x14ac:dyDescent="0.2">
      <c r="A34" t="s">
        <v>1808</v>
      </c>
      <c r="B34" s="27" t="s">
        <v>511</v>
      </c>
      <c r="C34" s="2" t="s">
        <v>2122</v>
      </c>
      <c r="D34" t="s">
        <v>447</v>
      </c>
      <c r="E34" s="13">
        <v>21.8</v>
      </c>
      <c r="F34" s="18">
        <f t="shared" si="1"/>
        <v>13.548788067122437</v>
      </c>
      <c r="G34" t="s">
        <v>4810</v>
      </c>
    </row>
    <row r="35" spans="1:11" x14ac:dyDescent="0.2">
      <c r="A35" t="s">
        <v>9373</v>
      </c>
      <c r="B35" s="27" t="s">
        <v>2715</v>
      </c>
      <c r="C35" s="15" t="s">
        <v>2714</v>
      </c>
      <c r="D35" t="s">
        <v>2716</v>
      </c>
      <c r="E35" s="292">
        <v>22.1</v>
      </c>
      <c r="F35" s="19">
        <f t="shared" si="1"/>
        <v>13.735239279055316</v>
      </c>
      <c r="G35" t="s">
        <v>2578</v>
      </c>
    </row>
    <row r="36" spans="1:11" x14ac:dyDescent="0.2">
      <c r="A36" t="s">
        <v>1808</v>
      </c>
      <c r="B36" s="27" t="s">
        <v>1611</v>
      </c>
      <c r="C36" s="2" t="s">
        <v>2123</v>
      </c>
      <c r="D36" t="s">
        <v>1720</v>
      </c>
      <c r="E36" s="13">
        <v>22.3</v>
      </c>
      <c r="F36" s="18">
        <f t="shared" si="1"/>
        <v>13.859540087010567</v>
      </c>
      <c r="G36" t="s">
        <v>4555</v>
      </c>
    </row>
    <row r="37" spans="1:11" x14ac:dyDescent="0.2">
      <c r="A37" t="s">
        <v>9364</v>
      </c>
      <c r="B37" s="27" t="s">
        <v>5200</v>
      </c>
      <c r="C37" s="15" t="s">
        <v>5198</v>
      </c>
      <c r="D37" t="s">
        <v>5199</v>
      </c>
      <c r="E37" s="16">
        <v>22.4</v>
      </c>
      <c r="F37" s="18">
        <f t="shared" si="1"/>
        <v>13.92169049098819</v>
      </c>
      <c r="G37" t="s">
        <v>3509</v>
      </c>
      <c r="J37" t="s">
        <v>247</v>
      </c>
      <c r="K37" t="s">
        <v>712</v>
      </c>
    </row>
    <row r="38" spans="1:11" x14ac:dyDescent="0.2">
      <c r="A38" t="s">
        <v>1808</v>
      </c>
      <c r="B38" s="493" t="s">
        <v>11894</v>
      </c>
      <c r="C38" s="2" t="s">
        <v>209</v>
      </c>
      <c r="D38" t="s">
        <v>208</v>
      </c>
      <c r="E38" s="13">
        <v>22.5</v>
      </c>
      <c r="F38" s="18">
        <f t="shared" si="1"/>
        <v>13.983840894965818</v>
      </c>
    </row>
    <row r="39" spans="1:11" x14ac:dyDescent="0.2">
      <c r="A39" t="s">
        <v>1808</v>
      </c>
      <c r="B39" s="27" t="s">
        <v>1597</v>
      </c>
      <c r="C39" s="2" t="s">
        <v>861</v>
      </c>
      <c r="D39" t="s">
        <v>446</v>
      </c>
      <c r="E39" s="13">
        <v>22.5</v>
      </c>
      <c r="F39" s="18">
        <f t="shared" si="1"/>
        <v>13.983840894965818</v>
      </c>
    </row>
    <row r="40" spans="1:11" x14ac:dyDescent="0.2">
      <c r="A40" t="s">
        <v>1808</v>
      </c>
      <c r="B40" s="27" t="s">
        <v>1406</v>
      </c>
      <c r="C40" s="2" t="s">
        <v>1405</v>
      </c>
      <c r="D40" t="s">
        <v>2591</v>
      </c>
      <c r="E40" s="16">
        <v>23.5</v>
      </c>
      <c r="F40" s="19">
        <f t="shared" si="1"/>
        <v>14.605344934742076</v>
      </c>
      <c r="G40" t="s">
        <v>3341</v>
      </c>
    </row>
    <row r="41" spans="1:11" x14ac:dyDescent="0.2">
      <c r="A41" t="s">
        <v>1808</v>
      </c>
      <c r="B41" s="27" t="s">
        <v>512</v>
      </c>
      <c r="C41" s="2" t="s">
        <v>1558</v>
      </c>
      <c r="D41" t="s">
        <v>1559</v>
      </c>
      <c r="E41" s="13">
        <v>24.1</v>
      </c>
      <c r="F41" s="19">
        <f t="shared" si="1"/>
        <v>14.978247358607833</v>
      </c>
    </row>
    <row r="42" spans="1:11" x14ac:dyDescent="0.2">
      <c r="A42" t="s">
        <v>1808</v>
      </c>
      <c r="B42" s="27" t="s">
        <v>3716</v>
      </c>
      <c r="C42" s="2" t="s">
        <v>4397</v>
      </c>
      <c r="D42" t="s">
        <v>4396</v>
      </c>
      <c r="E42" s="13">
        <v>24.4</v>
      </c>
      <c r="F42" s="18">
        <f t="shared" si="1"/>
        <v>15.164698570540708</v>
      </c>
    </row>
    <row r="43" spans="1:11" x14ac:dyDescent="0.2">
      <c r="A43" t="s">
        <v>1808</v>
      </c>
      <c r="B43" s="27" t="s">
        <v>5127</v>
      </c>
      <c r="C43" s="2" t="s">
        <v>4797</v>
      </c>
      <c r="D43" t="s">
        <v>5843</v>
      </c>
      <c r="E43" s="13">
        <v>24.4</v>
      </c>
      <c r="F43" s="18">
        <f t="shared" si="1"/>
        <v>15.164698570540708</v>
      </c>
    </row>
    <row r="44" spans="1:11" x14ac:dyDescent="0.2">
      <c r="A44" t="s">
        <v>1808</v>
      </c>
      <c r="B44" s="27" t="s">
        <v>5677</v>
      </c>
      <c r="C44" s="2" t="s">
        <v>1188</v>
      </c>
      <c r="D44" s="90" t="s">
        <v>3134</v>
      </c>
      <c r="E44" s="13">
        <v>24.5</v>
      </c>
      <c r="F44" s="19">
        <f t="shared" si="1"/>
        <v>15.226848974518335</v>
      </c>
      <c r="G44" t="s">
        <v>3133</v>
      </c>
    </row>
    <row r="45" spans="1:11" x14ac:dyDescent="0.2">
      <c r="A45" t="s">
        <v>1145</v>
      </c>
      <c r="B45" s="27" t="s">
        <v>579</v>
      </c>
      <c r="C45" s="2" t="s">
        <v>527</v>
      </c>
      <c r="D45" t="s">
        <v>4303</v>
      </c>
      <c r="E45" s="16">
        <v>24.9</v>
      </c>
      <c r="F45" s="19">
        <f t="shared" si="1"/>
        <v>15.475450590428837</v>
      </c>
    </row>
    <row r="46" spans="1:11" x14ac:dyDescent="0.2">
      <c r="A46" t="s">
        <v>1808</v>
      </c>
      <c r="B46" s="27" t="s">
        <v>5128</v>
      </c>
      <c r="C46" s="2" t="s">
        <v>4970</v>
      </c>
      <c r="D46" t="s">
        <v>5844</v>
      </c>
      <c r="E46" s="16">
        <v>25.4</v>
      </c>
      <c r="F46" s="18">
        <f t="shared" si="1"/>
        <v>15.786202610316966</v>
      </c>
    </row>
    <row r="47" spans="1:11" x14ac:dyDescent="0.2">
      <c r="A47" t="s">
        <v>1808</v>
      </c>
      <c r="B47" s="27" t="s">
        <v>8053</v>
      </c>
      <c r="C47" s="2" t="s">
        <v>8009</v>
      </c>
      <c r="D47" t="s">
        <v>8052</v>
      </c>
      <c r="E47" s="16">
        <v>25.7</v>
      </c>
      <c r="F47" s="19">
        <f t="shared" si="1"/>
        <v>15.972653822249844</v>
      </c>
      <c r="G47" t="s">
        <v>8332</v>
      </c>
    </row>
    <row r="48" spans="1:11" x14ac:dyDescent="0.2">
      <c r="A48" t="s">
        <v>1808</v>
      </c>
      <c r="B48" s="27" t="s">
        <v>5129</v>
      </c>
      <c r="C48" s="2" t="s">
        <v>449</v>
      </c>
      <c r="D48" t="s">
        <v>1396</v>
      </c>
      <c r="E48" s="16">
        <v>25.9</v>
      </c>
      <c r="F48" s="18">
        <f t="shared" si="1"/>
        <v>16.096954630205097</v>
      </c>
    </row>
    <row r="49" spans="1:13" x14ac:dyDescent="0.2">
      <c r="A49" t="s">
        <v>1808</v>
      </c>
      <c r="B49" s="27" t="s">
        <v>5130</v>
      </c>
      <c r="C49" s="2" t="s">
        <v>5925</v>
      </c>
      <c r="D49" t="s">
        <v>5924</v>
      </c>
      <c r="E49" s="16">
        <v>26.3</v>
      </c>
      <c r="F49" s="19">
        <f t="shared" si="1"/>
        <v>16.345556246115599</v>
      </c>
    </row>
    <row r="50" spans="1:13" x14ac:dyDescent="0.2">
      <c r="A50" t="s">
        <v>1808</v>
      </c>
      <c r="B50" s="27" t="s">
        <v>3126</v>
      </c>
      <c r="C50" s="2" t="s">
        <v>1432</v>
      </c>
      <c r="D50" t="s">
        <v>206</v>
      </c>
      <c r="E50" s="13">
        <v>26.9</v>
      </c>
      <c r="F50" s="18">
        <f t="shared" si="1"/>
        <v>16.718458669981356</v>
      </c>
    </row>
    <row r="51" spans="1:13" x14ac:dyDescent="0.2">
      <c r="A51" t="s">
        <v>1145</v>
      </c>
      <c r="B51" s="556" t="s">
        <v>9302</v>
      </c>
      <c r="C51" s="2" t="s">
        <v>8248</v>
      </c>
      <c r="D51" s="80" t="s">
        <v>8247</v>
      </c>
      <c r="E51" s="16">
        <v>27.2</v>
      </c>
      <c r="F51" s="19">
        <f t="shared" si="1"/>
        <v>16.904909881914232</v>
      </c>
      <c r="G51">
        <v>1849</v>
      </c>
    </row>
    <row r="52" spans="1:13" x14ac:dyDescent="0.2">
      <c r="A52" t="s">
        <v>1808</v>
      </c>
      <c r="B52" s="27" t="s">
        <v>3127</v>
      </c>
      <c r="C52" s="2" t="s">
        <v>248</v>
      </c>
      <c r="D52" t="s">
        <v>4304</v>
      </c>
      <c r="E52" s="16">
        <v>27.3</v>
      </c>
      <c r="F52" s="19">
        <f t="shared" si="1"/>
        <v>16.967060285891858</v>
      </c>
    </row>
    <row r="53" spans="1:13" x14ac:dyDescent="0.2">
      <c r="A53" t="s">
        <v>1808</v>
      </c>
      <c r="B53" s="27" t="s">
        <v>3128</v>
      </c>
      <c r="C53" s="2" t="s">
        <v>4305</v>
      </c>
      <c r="D53" t="s">
        <v>4306</v>
      </c>
      <c r="E53" s="16">
        <v>27.3</v>
      </c>
      <c r="F53" s="19">
        <f t="shared" si="1"/>
        <v>16.967060285891858</v>
      </c>
    </row>
    <row r="54" spans="1:13" x14ac:dyDescent="0.2">
      <c r="A54" t="s">
        <v>9365</v>
      </c>
      <c r="B54" s="27" t="s">
        <v>1707</v>
      </c>
      <c r="C54" s="15" t="s">
        <v>5653</v>
      </c>
      <c r="D54" t="s">
        <v>4022</v>
      </c>
      <c r="E54" s="13">
        <v>27.5</v>
      </c>
      <c r="F54" s="18">
        <f t="shared" si="1"/>
        <v>17.091361093847109</v>
      </c>
      <c r="G54" t="s">
        <v>4776</v>
      </c>
    </row>
    <row r="55" spans="1:13" x14ac:dyDescent="0.2">
      <c r="A55" t="s">
        <v>9373</v>
      </c>
      <c r="B55" s="27" t="s">
        <v>5310</v>
      </c>
      <c r="C55" s="2" t="s">
        <v>4936</v>
      </c>
      <c r="D55" t="s">
        <v>4937</v>
      </c>
      <c r="E55" s="292">
        <v>28.2</v>
      </c>
      <c r="F55" s="19">
        <f t="shared" si="1"/>
        <v>17.526413921690491</v>
      </c>
      <c r="G55" t="s">
        <v>5966</v>
      </c>
      <c r="I55" t="s">
        <v>5768</v>
      </c>
    </row>
    <row r="56" spans="1:13" x14ac:dyDescent="0.2">
      <c r="A56" t="s">
        <v>1808</v>
      </c>
      <c r="B56" s="27" t="s">
        <v>732</v>
      </c>
      <c r="C56" s="567" t="s">
        <v>4379</v>
      </c>
      <c r="D56" t="s">
        <v>731</v>
      </c>
      <c r="E56" s="13">
        <v>28.6</v>
      </c>
      <c r="F56" s="18">
        <f t="shared" ref="F56:F84" si="2">E56/1.609</f>
        <v>17.775015537600996</v>
      </c>
    </row>
    <row r="57" spans="1:13" x14ac:dyDescent="0.2">
      <c r="A57" t="s">
        <v>9364</v>
      </c>
      <c r="B57" s="27" t="s">
        <v>1710</v>
      </c>
      <c r="C57" s="15" t="s">
        <v>5036</v>
      </c>
      <c r="D57" t="s">
        <v>1217</v>
      </c>
      <c r="E57" s="14">
        <v>28.8</v>
      </c>
      <c r="F57" s="18">
        <f t="shared" si="2"/>
        <v>17.899316345556247</v>
      </c>
      <c r="G57" t="s">
        <v>5890</v>
      </c>
      <c r="L57" s="10"/>
      <c r="M57"/>
    </row>
    <row r="58" spans="1:13" x14ac:dyDescent="0.2">
      <c r="A58" t="s">
        <v>1808</v>
      </c>
      <c r="B58" s="552" t="s">
        <v>9356</v>
      </c>
      <c r="C58" s="567" t="s">
        <v>9306</v>
      </c>
      <c r="D58" s="80" t="s">
        <v>9353</v>
      </c>
      <c r="E58" s="16">
        <v>29.4</v>
      </c>
      <c r="F58" s="19">
        <f t="shared" si="2"/>
        <v>18.272218769422</v>
      </c>
      <c r="G58">
        <v>1868</v>
      </c>
      <c r="H58" s="80" t="s">
        <v>9303</v>
      </c>
    </row>
    <row r="59" spans="1:13" x14ac:dyDescent="0.2">
      <c r="A59" s="80" t="s">
        <v>3955</v>
      </c>
      <c r="B59" s="27" t="s">
        <v>1620</v>
      </c>
      <c r="C59" s="2" t="s">
        <v>2436</v>
      </c>
      <c r="D59" t="s">
        <v>1108</v>
      </c>
      <c r="E59" s="14">
        <v>29.6</v>
      </c>
      <c r="F59" s="19">
        <f t="shared" si="2"/>
        <v>18.396519577377255</v>
      </c>
    </row>
    <row r="60" spans="1:13" x14ac:dyDescent="0.2">
      <c r="A60" t="s">
        <v>1808</v>
      </c>
      <c r="B60" s="27" t="s">
        <v>3129</v>
      </c>
      <c r="C60" s="2" t="s">
        <v>1502</v>
      </c>
      <c r="D60" t="s">
        <v>1501</v>
      </c>
      <c r="E60" s="13">
        <v>30</v>
      </c>
      <c r="F60" s="18">
        <f t="shared" si="2"/>
        <v>18.645121193287757</v>
      </c>
    </row>
    <row r="61" spans="1:13" x14ac:dyDescent="0.2">
      <c r="A61" t="s">
        <v>1808</v>
      </c>
      <c r="B61" s="27" t="s">
        <v>2088</v>
      </c>
      <c r="C61" s="2" t="s">
        <v>3532</v>
      </c>
      <c r="D61" t="s">
        <v>2089</v>
      </c>
      <c r="E61" s="13">
        <v>30</v>
      </c>
      <c r="F61" s="18">
        <f t="shared" si="2"/>
        <v>18.645121193287757</v>
      </c>
      <c r="G61" t="s">
        <v>3622</v>
      </c>
    </row>
    <row r="62" spans="1:13" x14ac:dyDescent="0.2">
      <c r="A62" t="s">
        <v>1808</v>
      </c>
      <c r="B62" s="27" t="s">
        <v>3599</v>
      </c>
      <c r="C62" s="2" t="s">
        <v>1780</v>
      </c>
      <c r="D62" t="s">
        <v>1781</v>
      </c>
      <c r="E62" s="13">
        <v>30</v>
      </c>
      <c r="F62" s="19">
        <f t="shared" si="2"/>
        <v>18.645121193287757</v>
      </c>
      <c r="G62" t="s">
        <v>988</v>
      </c>
    </row>
    <row r="63" spans="1:13" x14ac:dyDescent="0.2">
      <c r="A63" t="s">
        <v>9364</v>
      </c>
      <c r="B63" s="27" t="s">
        <v>1704</v>
      </c>
      <c r="C63" s="15" t="s">
        <v>5948</v>
      </c>
      <c r="D63" t="s">
        <v>109</v>
      </c>
      <c r="E63" s="13">
        <v>30.2</v>
      </c>
      <c r="F63" s="18">
        <f t="shared" si="2"/>
        <v>18.769422001243008</v>
      </c>
      <c r="G63" t="s">
        <v>2803</v>
      </c>
    </row>
    <row r="64" spans="1:13" x14ac:dyDescent="0.2">
      <c r="A64" t="s">
        <v>3955</v>
      </c>
      <c r="B64" s="27" t="s">
        <v>5274</v>
      </c>
      <c r="C64" s="2" t="s">
        <v>1490</v>
      </c>
      <c r="D64" t="s">
        <v>1491</v>
      </c>
      <c r="E64" s="16">
        <v>30.7</v>
      </c>
      <c r="F64" s="19">
        <f t="shared" si="2"/>
        <v>19.080174021131135</v>
      </c>
    </row>
    <row r="65" spans="1:11" x14ac:dyDescent="0.2">
      <c r="A65" t="s">
        <v>1808</v>
      </c>
      <c r="B65" s="27" t="s">
        <v>3600</v>
      </c>
      <c r="C65" s="2" t="s">
        <v>6003</v>
      </c>
      <c r="D65" t="s">
        <v>6002</v>
      </c>
      <c r="E65" s="13">
        <v>31.2</v>
      </c>
      <c r="F65" s="18">
        <f t="shared" si="2"/>
        <v>19.390926041019267</v>
      </c>
      <c r="G65" t="s">
        <v>1153</v>
      </c>
    </row>
    <row r="66" spans="1:11" x14ac:dyDescent="0.2">
      <c r="A66" t="s">
        <v>1808</v>
      </c>
      <c r="B66" s="27" t="s">
        <v>4528</v>
      </c>
      <c r="C66" s="2" t="s">
        <v>5152</v>
      </c>
      <c r="D66" t="s">
        <v>5003</v>
      </c>
      <c r="E66" s="16">
        <v>31.3</v>
      </c>
      <c r="F66" s="19">
        <f t="shared" ref="F66:F77" si="3">E66/1.609</f>
        <v>19.453076444996892</v>
      </c>
      <c r="G66" t="s">
        <v>191</v>
      </c>
    </row>
    <row r="67" spans="1:11" x14ac:dyDescent="0.2">
      <c r="A67" t="s">
        <v>1145</v>
      </c>
      <c r="B67" s="27" t="s">
        <v>160</v>
      </c>
      <c r="C67" s="2" t="s">
        <v>161</v>
      </c>
      <c r="D67" t="s">
        <v>3463</v>
      </c>
      <c r="E67" s="16">
        <v>31.3</v>
      </c>
      <c r="F67" s="19">
        <f t="shared" si="3"/>
        <v>19.453076444996892</v>
      </c>
    </row>
    <row r="68" spans="1:11" x14ac:dyDescent="0.2">
      <c r="A68" s="80" t="s">
        <v>3955</v>
      </c>
      <c r="B68" s="27" t="s">
        <v>903</v>
      </c>
      <c r="C68" s="257" t="s">
        <v>901</v>
      </c>
      <c r="D68" s="80" t="s">
        <v>902</v>
      </c>
      <c r="E68" s="207">
        <v>32.1</v>
      </c>
      <c r="F68" s="19">
        <f t="shared" si="3"/>
        <v>19.9502796768179</v>
      </c>
      <c r="G68" s="2">
        <v>1424</v>
      </c>
      <c r="H68" t="s">
        <v>5112</v>
      </c>
    </row>
    <row r="69" spans="1:11" x14ac:dyDescent="0.2">
      <c r="A69" t="s">
        <v>9373</v>
      </c>
      <c r="B69" s="552" t="s">
        <v>10185</v>
      </c>
      <c r="C69" s="2" t="s">
        <v>10192</v>
      </c>
      <c r="D69" t="s">
        <v>10265</v>
      </c>
      <c r="E69" s="14">
        <v>32.700000000000003</v>
      </c>
      <c r="F69" s="19">
        <f t="shared" si="3"/>
        <v>20.323182100683656</v>
      </c>
    </row>
    <row r="70" spans="1:11" x14ac:dyDescent="0.2">
      <c r="A70" t="s">
        <v>1808</v>
      </c>
      <c r="B70" s="27" t="s">
        <v>3601</v>
      </c>
      <c r="C70" s="2" t="s">
        <v>5922</v>
      </c>
      <c r="D70" t="s">
        <v>5923</v>
      </c>
      <c r="E70" s="16">
        <v>33.5</v>
      </c>
      <c r="F70" s="19">
        <f t="shared" si="3"/>
        <v>20.82038533250466</v>
      </c>
      <c r="G70" t="s">
        <v>2935</v>
      </c>
    </row>
    <row r="71" spans="1:11" x14ac:dyDescent="0.2">
      <c r="A71" s="80" t="s">
        <v>3955</v>
      </c>
      <c r="B71" s="552" t="s">
        <v>8156</v>
      </c>
      <c r="C71" s="1132" t="s">
        <v>8154</v>
      </c>
      <c r="D71" s="80" t="s">
        <v>8155</v>
      </c>
      <c r="E71" s="14">
        <v>33.700000000000003</v>
      </c>
      <c r="F71" s="19">
        <f t="shared" si="3"/>
        <v>20.944686140459915</v>
      </c>
      <c r="G71" s="549" t="s">
        <v>10787</v>
      </c>
    </row>
    <row r="72" spans="1:11" x14ac:dyDescent="0.2">
      <c r="A72" t="s">
        <v>1808</v>
      </c>
      <c r="B72" s="27" t="s">
        <v>3602</v>
      </c>
      <c r="C72" s="2" t="s">
        <v>1782</v>
      </c>
      <c r="D72" t="s">
        <v>895</v>
      </c>
      <c r="E72" s="13">
        <v>34</v>
      </c>
      <c r="F72" s="19">
        <f t="shared" si="3"/>
        <v>21.131137352392791</v>
      </c>
      <c r="G72" t="s">
        <v>3624</v>
      </c>
    </row>
    <row r="73" spans="1:11" x14ac:dyDescent="0.2">
      <c r="A73" t="s">
        <v>9364</v>
      </c>
      <c r="B73" s="27" t="s">
        <v>1059</v>
      </c>
      <c r="C73" s="2" t="s">
        <v>3084</v>
      </c>
      <c r="D73" t="s">
        <v>1058</v>
      </c>
      <c r="E73" s="16">
        <v>34.299999999999997</v>
      </c>
      <c r="F73" s="19">
        <f t="shared" si="3"/>
        <v>21.317588564325668</v>
      </c>
      <c r="G73" t="s">
        <v>3714</v>
      </c>
    </row>
    <row r="74" spans="1:11" x14ac:dyDescent="0.2">
      <c r="A74" t="s">
        <v>1808</v>
      </c>
      <c r="B74" s="27" t="s">
        <v>3603</v>
      </c>
      <c r="C74" s="2" t="s">
        <v>1783</v>
      </c>
      <c r="D74" t="s">
        <v>1784</v>
      </c>
      <c r="E74" s="14">
        <v>34.6</v>
      </c>
      <c r="F74" s="19">
        <f t="shared" si="3"/>
        <v>21.504039776258548</v>
      </c>
      <c r="G74" t="s">
        <v>1741</v>
      </c>
    </row>
    <row r="75" spans="1:11" x14ac:dyDescent="0.2">
      <c r="A75" s="80" t="s">
        <v>9373</v>
      </c>
      <c r="B75" s="27"/>
      <c r="C75" s="257" t="s">
        <v>10660</v>
      </c>
      <c r="D75" s="80" t="s">
        <v>10661</v>
      </c>
      <c r="E75" s="207">
        <v>34.9</v>
      </c>
      <c r="F75" s="19">
        <f t="shared" si="3"/>
        <v>21.690490988191424</v>
      </c>
      <c r="G75" s="2"/>
      <c r="H75" s="80" t="s">
        <v>10662</v>
      </c>
    </row>
    <row r="76" spans="1:11" x14ac:dyDescent="0.2">
      <c r="A76" t="s">
        <v>9373</v>
      </c>
      <c r="B76" s="27" t="s">
        <v>1615</v>
      </c>
      <c r="C76" s="15" t="s">
        <v>1214</v>
      </c>
      <c r="D76" t="s">
        <v>6001</v>
      </c>
      <c r="E76" s="16">
        <v>34.9</v>
      </c>
      <c r="F76" s="18">
        <f t="shared" si="3"/>
        <v>21.690490988191424</v>
      </c>
      <c r="G76" s="5" t="s">
        <v>3302</v>
      </c>
      <c r="H76" s="2"/>
      <c r="I76" s="2"/>
      <c r="J76" s="5" t="s">
        <v>709</v>
      </c>
      <c r="K76" s="5"/>
    </row>
    <row r="77" spans="1:11" x14ac:dyDescent="0.2">
      <c r="A77" t="s">
        <v>1808</v>
      </c>
      <c r="B77" s="27" t="s">
        <v>5122</v>
      </c>
      <c r="C77" s="15" t="s">
        <v>1560</v>
      </c>
      <c r="D77" t="s">
        <v>1561</v>
      </c>
      <c r="E77" s="14">
        <v>34.9</v>
      </c>
      <c r="F77" s="19">
        <f t="shared" si="3"/>
        <v>21.690490988191424</v>
      </c>
      <c r="G77" s="5" t="s">
        <v>587</v>
      </c>
    </row>
    <row r="78" spans="1:11" x14ac:dyDescent="0.2">
      <c r="A78" t="s">
        <v>1146</v>
      </c>
      <c r="B78" s="27" t="s">
        <v>2508</v>
      </c>
      <c r="C78" s="2" t="s">
        <v>586</v>
      </c>
      <c r="D78" t="s">
        <v>6023</v>
      </c>
      <c r="E78" s="16">
        <v>35.6</v>
      </c>
      <c r="F78" s="19">
        <f t="shared" ref="F78:F82" si="4">E78/1.609</f>
        <v>22.125543816034806</v>
      </c>
    </row>
    <row r="79" spans="1:11" x14ac:dyDescent="0.2">
      <c r="A79" t="s">
        <v>9370</v>
      </c>
      <c r="B79" s="493" t="s">
        <v>8118</v>
      </c>
      <c r="C79" s="2" t="s">
        <v>8116</v>
      </c>
      <c r="D79" s="80" t="s">
        <v>8037</v>
      </c>
      <c r="E79" s="16">
        <v>35.700000000000003</v>
      </c>
      <c r="F79" s="18">
        <f t="shared" si="4"/>
        <v>22.187694220012432</v>
      </c>
      <c r="G79" s="80" t="s">
        <v>8120</v>
      </c>
    </row>
    <row r="80" spans="1:11" x14ac:dyDescent="0.2">
      <c r="A80" t="s">
        <v>1808</v>
      </c>
      <c r="B80" s="552" t="s">
        <v>6280</v>
      </c>
      <c r="C80" s="567" t="s">
        <v>6159</v>
      </c>
      <c r="D80" t="s">
        <v>6160</v>
      </c>
      <c r="E80" s="14">
        <v>36.299999999999997</v>
      </c>
      <c r="F80" s="19">
        <f t="shared" si="4"/>
        <v>22.560596643878185</v>
      </c>
    </row>
    <row r="81" spans="1:11" x14ac:dyDescent="0.2">
      <c r="A81" t="s">
        <v>9373</v>
      </c>
      <c r="B81" s="27" t="s">
        <v>1701</v>
      </c>
      <c r="C81" s="15" t="s">
        <v>3167</v>
      </c>
      <c r="D81" t="s">
        <v>1208</v>
      </c>
      <c r="E81" s="13">
        <v>37.5</v>
      </c>
      <c r="F81" s="18">
        <f t="shared" si="4"/>
        <v>23.306401491609694</v>
      </c>
      <c r="G81" t="s">
        <v>3491</v>
      </c>
      <c r="J81" t="s">
        <v>4058</v>
      </c>
    </row>
    <row r="82" spans="1:11" x14ac:dyDescent="0.2">
      <c r="A82" t="s">
        <v>3955</v>
      </c>
      <c r="B82" s="27" t="s">
        <v>1323</v>
      </c>
      <c r="C82" s="2" t="s">
        <v>1324</v>
      </c>
      <c r="D82" t="s">
        <v>1326</v>
      </c>
      <c r="E82" s="16">
        <v>38.200000000000003</v>
      </c>
      <c r="F82" s="18">
        <f t="shared" si="4"/>
        <v>23.74145431945308</v>
      </c>
      <c r="G82" t="s">
        <v>4455</v>
      </c>
      <c r="I82" t="s">
        <v>1325</v>
      </c>
      <c r="J82" t="s">
        <v>1327</v>
      </c>
    </row>
    <row r="83" spans="1:11" x14ac:dyDescent="0.2">
      <c r="A83" t="s">
        <v>1808</v>
      </c>
      <c r="B83" s="27" t="s">
        <v>4795</v>
      </c>
      <c r="C83" s="2" t="s">
        <v>1805</v>
      </c>
      <c r="D83" t="s">
        <v>1806</v>
      </c>
      <c r="E83" s="16">
        <v>38.299999999999997</v>
      </c>
      <c r="F83" s="19">
        <f t="shared" si="2"/>
        <v>23.803604723430702</v>
      </c>
    </row>
    <row r="84" spans="1:11" x14ac:dyDescent="0.2">
      <c r="A84" t="s">
        <v>9364</v>
      </c>
      <c r="B84" s="27" t="s">
        <v>5254</v>
      </c>
      <c r="C84" s="2" t="s">
        <v>843</v>
      </c>
      <c r="D84" s="75" t="s">
        <v>4518</v>
      </c>
      <c r="E84" s="16">
        <v>39.700000000000003</v>
      </c>
      <c r="F84" s="19">
        <f t="shared" si="2"/>
        <v>24.673710379117466</v>
      </c>
      <c r="G84" t="s">
        <v>5027</v>
      </c>
      <c r="I84" t="s">
        <v>554</v>
      </c>
    </row>
    <row r="85" spans="1:11" x14ac:dyDescent="0.2">
      <c r="A85" t="s">
        <v>3955</v>
      </c>
      <c r="B85" s="27" t="s">
        <v>3417</v>
      </c>
      <c r="C85" s="2" t="s">
        <v>778</v>
      </c>
      <c r="D85" t="s">
        <v>2116</v>
      </c>
      <c r="E85" s="16">
        <v>40.1</v>
      </c>
      <c r="F85" s="19">
        <f t="shared" ref="F85:F93" si="5">E85/1.609</f>
        <v>24.922311995027968</v>
      </c>
      <c r="G85" t="s">
        <v>4247</v>
      </c>
    </row>
    <row r="86" spans="1:11" x14ac:dyDescent="0.2">
      <c r="A86" t="s">
        <v>3955</v>
      </c>
      <c r="B86" s="552" t="s">
        <v>5007</v>
      </c>
      <c r="C86" s="2" t="s">
        <v>2885</v>
      </c>
      <c r="D86" t="s">
        <v>2886</v>
      </c>
      <c r="E86" s="16">
        <v>40.299999999999997</v>
      </c>
      <c r="F86" s="19">
        <f t="shared" si="5"/>
        <v>25.046612802983219</v>
      </c>
      <c r="G86" t="s">
        <v>2626</v>
      </c>
      <c r="I86" t="s">
        <v>3830</v>
      </c>
    </row>
    <row r="87" spans="1:11" x14ac:dyDescent="0.2">
      <c r="A87" t="s">
        <v>5208</v>
      </c>
      <c r="B87" s="27" t="s">
        <v>9740</v>
      </c>
      <c r="C87" s="2" t="s">
        <v>9738</v>
      </c>
      <c r="D87" t="s">
        <v>9739</v>
      </c>
      <c r="E87" s="16">
        <v>41.9</v>
      </c>
      <c r="F87" s="19">
        <f t="shared" si="5"/>
        <v>26.041019266625231</v>
      </c>
    </row>
    <row r="88" spans="1:11" x14ac:dyDescent="0.2">
      <c r="A88" t="s">
        <v>1808</v>
      </c>
      <c r="B88" s="27" t="s">
        <v>1904</v>
      </c>
      <c r="C88" s="2" t="s">
        <v>476</v>
      </c>
      <c r="D88" t="s">
        <v>477</v>
      </c>
      <c r="E88" s="16">
        <v>42.4</v>
      </c>
      <c r="F88" s="19">
        <f t="shared" si="5"/>
        <v>26.351771286513362</v>
      </c>
      <c r="G88" t="s">
        <v>126</v>
      </c>
    </row>
    <row r="89" spans="1:11" x14ac:dyDescent="0.2">
      <c r="A89" t="s">
        <v>1808</v>
      </c>
      <c r="B89" s="27" t="s">
        <v>2438</v>
      </c>
      <c r="C89" s="2" t="s">
        <v>2437</v>
      </c>
      <c r="D89" t="s">
        <v>2439</v>
      </c>
      <c r="E89" s="16">
        <v>43.1</v>
      </c>
      <c r="F89" s="19">
        <f t="shared" si="5"/>
        <v>26.786824114356744</v>
      </c>
    </row>
    <row r="90" spans="1:11" x14ac:dyDescent="0.2">
      <c r="A90" s="80" t="s">
        <v>5208</v>
      </c>
      <c r="B90" s="27" t="s">
        <v>1352</v>
      </c>
      <c r="C90" s="2" t="s">
        <v>4694</v>
      </c>
      <c r="D90" t="s">
        <v>4695</v>
      </c>
      <c r="E90" s="16">
        <v>43.4</v>
      </c>
      <c r="F90" s="19">
        <f t="shared" si="5"/>
        <v>26.97327532628962</v>
      </c>
      <c r="G90" t="s">
        <v>3667</v>
      </c>
      <c r="I90" t="s">
        <v>4696</v>
      </c>
    </row>
    <row r="91" spans="1:11" x14ac:dyDescent="0.2">
      <c r="A91" t="s">
        <v>1146</v>
      </c>
      <c r="B91" s="27" t="s">
        <v>3118</v>
      </c>
      <c r="C91" s="2" t="s">
        <v>3117</v>
      </c>
      <c r="D91" t="s">
        <v>3119</v>
      </c>
      <c r="E91" s="292">
        <v>43.9</v>
      </c>
      <c r="F91" s="19">
        <f t="shared" si="5"/>
        <v>27.284027346177748</v>
      </c>
      <c r="G91" t="s">
        <v>3996</v>
      </c>
      <c r="J91" t="s">
        <v>2860</v>
      </c>
    </row>
    <row r="92" spans="1:11" x14ac:dyDescent="0.2">
      <c r="A92" t="s">
        <v>3955</v>
      </c>
      <c r="B92" s="552" t="s">
        <v>8140</v>
      </c>
      <c r="C92" s="2" t="s">
        <v>8138</v>
      </c>
      <c r="D92" s="80" t="s">
        <v>8134</v>
      </c>
      <c r="E92" s="292">
        <v>44.6</v>
      </c>
      <c r="F92" s="19">
        <f t="shared" si="5"/>
        <v>27.719080174021133</v>
      </c>
    </row>
    <row r="93" spans="1:11" x14ac:dyDescent="0.2">
      <c r="A93" t="s">
        <v>4449</v>
      </c>
      <c r="B93" s="27" t="s">
        <v>722</v>
      </c>
      <c r="C93" s="2" t="s">
        <v>721</v>
      </c>
      <c r="D93" s="75" t="s">
        <v>723</v>
      </c>
      <c r="E93" s="16">
        <v>45.3</v>
      </c>
      <c r="F93" s="19">
        <f t="shared" si="5"/>
        <v>28.154133001864512</v>
      </c>
      <c r="G93" t="s">
        <v>1513</v>
      </c>
      <c r="I93" t="s">
        <v>2972</v>
      </c>
    </row>
    <row r="94" spans="1:11" x14ac:dyDescent="0.2">
      <c r="A94" t="s">
        <v>1149</v>
      </c>
      <c r="B94" s="27" t="s">
        <v>5117</v>
      </c>
      <c r="C94" s="2" t="s">
        <v>451</v>
      </c>
      <c r="D94" t="s">
        <v>450</v>
      </c>
      <c r="E94" s="16">
        <v>46.4</v>
      </c>
      <c r="F94" s="18">
        <f t="shared" ref="F94:F122" si="6">E94/1.609</f>
        <v>28.837787445618396</v>
      </c>
    </row>
    <row r="95" spans="1:11" x14ac:dyDescent="0.2">
      <c r="A95" t="s">
        <v>4449</v>
      </c>
      <c r="B95" s="27" t="s">
        <v>8997</v>
      </c>
      <c r="C95" s="257" t="s">
        <v>8897</v>
      </c>
      <c r="D95" s="80" t="s">
        <v>8898</v>
      </c>
      <c r="E95" s="207">
        <v>46.5</v>
      </c>
      <c r="F95" s="19">
        <f t="shared" si="6"/>
        <v>28.899937849596022</v>
      </c>
      <c r="H95" s="80" t="s">
        <v>8899</v>
      </c>
      <c r="K95" s="80" t="s">
        <v>247</v>
      </c>
    </row>
    <row r="96" spans="1:11" x14ac:dyDescent="0.2">
      <c r="A96" t="s">
        <v>9364</v>
      </c>
      <c r="B96" s="27" t="s">
        <v>813</v>
      </c>
      <c r="C96" s="2" t="s">
        <v>2658</v>
      </c>
      <c r="D96" t="s">
        <v>4428</v>
      </c>
      <c r="E96" s="16">
        <v>46.9</v>
      </c>
      <c r="F96" s="19">
        <f t="shared" si="6"/>
        <v>29.148539465506524</v>
      </c>
      <c r="G96" s="5" t="s">
        <v>920</v>
      </c>
      <c r="I96" t="s">
        <v>4684</v>
      </c>
    </row>
    <row r="97" spans="1:15" x14ac:dyDescent="0.2">
      <c r="A97" t="s">
        <v>1149</v>
      </c>
      <c r="B97" s="387" t="s">
        <v>3666</v>
      </c>
      <c r="C97" s="257" t="s">
        <v>840</v>
      </c>
      <c r="D97" s="80" t="s">
        <v>4362</v>
      </c>
      <c r="E97" s="207">
        <v>47.2</v>
      </c>
      <c r="F97" s="18">
        <f t="shared" si="6"/>
        <v>29.334990677439407</v>
      </c>
      <c r="G97" t="s">
        <v>5505</v>
      </c>
    </row>
    <row r="98" spans="1:15" x14ac:dyDescent="0.2">
      <c r="A98" t="s">
        <v>1141</v>
      </c>
      <c r="B98" s="27" t="s">
        <v>4720</v>
      </c>
      <c r="C98" s="2" t="s">
        <v>2805</v>
      </c>
      <c r="D98" t="s">
        <v>1883</v>
      </c>
      <c r="E98" s="16">
        <v>47.6</v>
      </c>
      <c r="F98" s="19">
        <f t="shared" si="6"/>
        <v>29.583592293349909</v>
      </c>
      <c r="G98" s="279" t="s">
        <v>423</v>
      </c>
      <c r="H98" s="279"/>
    </row>
    <row r="99" spans="1:15" x14ac:dyDescent="0.2">
      <c r="A99" t="s">
        <v>9365</v>
      </c>
      <c r="B99" s="27" t="s">
        <v>4617</v>
      </c>
      <c r="C99" s="2" t="s">
        <v>2301</v>
      </c>
      <c r="D99" t="s">
        <v>4618</v>
      </c>
      <c r="E99" s="13">
        <v>48.02</v>
      </c>
      <c r="F99" s="19">
        <f t="shared" si="6"/>
        <v>29.844623990055936</v>
      </c>
      <c r="G99" t="s">
        <v>5410</v>
      </c>
    </row>
    <row r="100" spans="1:15" x14ac:dyDescent="0.2">
      <c r="A100" t="s">
        <v>1141</v>
      </c>
      <c r="B100" s="27" t="s">
        <v>2936</v>
      </c>
      <c r="C100" s="2" t="s">
        <v>4512</v>
      </c>
      <c r="D100" s="90" t="s">
        <v>4511</v>
      </c>
      <c r="E100" s="13">
        <v>48.3</v>
      </c>
      <c r="F100" s="19">
        <f t="shared" si="6"/>
        <v>30.018645121193288</v>
      </c>
      <c r="G100" s="270"/>
      <c r="I100" t="s">
        <v>8013</v>
      </c>
      <c r="M100" s="10" t="s">
        <v>4354</v>
      </c>
      <c r="O100" t="s">
        <v>2842</v>
      </c>
    </row>
    <row r="101" spans="1:15" x14ac:dyDescent="0.2">
      <c r="A101" t="s">
        <v>1146</v>
      </c>
      <c r="B101" s="552" t="s">
        <v>8376</v>
      </c>
      <c r="C101" s="2" t="s">
        <v>8373</v>
      </c>
      <c r="D101" t="s">
        <v>8374</v>
      </c>
      <c r="E101" s="16">
        <v>48.5</v>
      </c>
      <c r="F101" s="18">
        <f t="shared" si="6"/>
        <v>30.142945929148539</v>
      </c>
      <c r="G101" t="s">
        <v>8375</v>
      </c>
    </row>
    <row r="102" spans="1:15" x14ac:dyDescent="0.2">
      <c r="A102" t="s">
        <v>3955</v>
      </c>
      <c r="B102" s="27" t="s">
        <v>1927</v>
      </c>
      <c r="C102" s="2" t="s">
        <v>203</v>
      </c>
      <c r="D102" s="80" t="s">
        <v>204</v>
      </c>
      <c r="E102" s="13">
        <v>48.6</v>
      </c>
      <c r="F102" s="19">
        <f t="shared" si="6"/>
        <v>30.205096333126168</v>
      </c>
      <c r="G102">
        <v>285</v>
      </c>
    </row>
    <row r="103" spans="1:15" x14ac:dyDescent="0.2">
      <c r="A103" t="s">
        <v>1141</v>
      </c>
      <c r="B103" s="27" t="s">
        <v>2875</v>
      </c>
      <c r="C103" s="257" t="s">
        <v>2872</v>
      </c>
      <c r="D103" s="80" t="s">
        <v>2874</v>
      </c>
      <c r="E103" s="207">
        <v>53.2</v>
      </c>
      <c r="F103" s="19">
        <f t="shared" si="6"/>
        <v>33.064014916096959</v>
      </c>
      <c r="G103">
        <v>1326</v>
      </c>
      <c r="I103" t="s">
        <v>2873</v>
      </c>
      <c r="K103" t="s">
        <v>5063</v>
      </c>
      <c r="N103" t="s">
        <v>711</v>
      </c>
    </row>
    <row r="104" spans="1:15" x14ac:dyDescent="0.2">
      <c r="A104" t="s">
        <v>9372</v>
      </c>
      <c r="B104" s="27" t="s">
        <v>510</v>
      </c>
      <c r="C104" s="2" t="s">
        <v>4819</v>
      </c>
      <c r="D104" t="s">
        <v>1562</v>
      </c>
      <c r="E104" s="14">
        <v>53.5</v>
      </c>
      <c r="F104" s="19">
        <f t="shared" si="6"/>
        <v>33.250466128029835</v>
      </c>
    </row>
    <row r="105" spans="1:15" x14ac:dyDescent="0.2">
      <c r="A105" t="s">
        <v>9364</v>
      </c>
      <c r="B105" s="27" t="s">
        <v>9265</v>
      </c>
      <c r="C105" s="2" t="s">
        <v>9264</v>
      </c>
      <c r="D105" s="514" t="s">
        <v>9266</v>
      </c>
      <c r="E105" s="16">
        <v>53.6</v>
      </c>
      <c r="F105" s="19">
        <f t="shared" si="6"/>
        <v>33.312616532007461</v>
      </c>
      <c r="G105">
        <v>1853</v>
      </c>
      <c r="I105" s="80" t="s">
        <v>9267</v>
      </c>
    </row>
    <row r="106" spans="1:15" x14ac:dyDescent="0.2">
      <c r="A106" t="s">
        <v>4449</v>
      </c>
      <c r="B106" s="27" t="s">
        <v>361</v>
      </c>
      <c r="C106" s="257" t="s">
        <v>1009</v>
      </c>
      <c r="D106" s="80" t="s">
        <v>362</v>
      </c>
      <c r="E106" s="207">
        <v>53.7</v>
      </c>
      <c r="F106" s="19">
        <f t="shared" si="6"/>
        <v>33.374766935985086</v>
      </c>
      <c r="G106">
        <v>1348</v>
      </c>
      <c r="H106" t="s">
        <v>5515</v>
      </c>
      <c r="K106" t="s">
        <v>3379</v>
      </c>
    </row>
    <row r="107" spans="1:15" ht="11.25" customHeight="1" x14ac:dyDescent="0.2">
      <c r="A107" t="s">
        <v>1146</v>
      </c>
      <c r="B107" s="27" t="s">
        <v>1555</v>
      </c>
      <c r="C107" s="2" t="s">
        <v>1554</v>
      </c>
      <c r="D107" t="s">
        <v>1556</v>
      </c>
      <c r="E107" s="13">
        <v>56.98</v>
      </c>
      <c r="F107" s="19">
        <f t="shared" si="6"/>
        <v>35.41330018645121</v>
      </c>
      <c r="G107" t="s">
        <v>1866</v>
      </c>
      <c r="J107" t="s">
        <v>1196</v>
      </c>
    </row>
    <row r="108" spans="1:15" x14ac:dyDescent="0.2">
      <c r="A108" t="s">
        <v>1141</v>
      </c>
      <c r="B108" s="27" t="s">
        <v>9017</v>
      </c>
      <c r="C108" s="2" t="s">
        <v>8516</v>
      </c>
      <c r="D108" s="80" t="s">
        <v>8515</v>
      </c>
      <c r="E108" s="207">
        <v>57.7</v>
      </c>
      <c r="F108" s="19">
        <f t="shared" si="6"/>
        <v>35.86078309509012</v>
      </c>
      <c r="I108" s="80" t="s">
        <v>8517</v>
      </c>
      <c r="M108" s="81" t="s">
        <v>8518</v>
      </c>
    </row>
    <row r="109" spans="1:15" x14ac:dyDescent="0.2">
      <c r="A109" t="s">
        <v>1146</v>
      </c>
      <c r="B109" s="27" t="s">
        <v>3067</v>
      </c>
      <c r="C109" s="2" t="s">
        <v>3066</v>
      </c>
      <c r="D109" t="s">
        <v>3068</v>
      </c>
      <c r="E109" s="16">
        <v>57.8</v>
      </c>
      <c r="F109" s="19">
        <f t="shared" si="6"/>
        <v>35.922933499067746</v>
      </c>
      <c r="G109" t="s">
        <v>1757</v>
      </c>
      <c r="I109" t="s">
        <v>1758</v>
      </c>
    </row>
    <row r="110" spans="1:15" x14ac:dyDescent="0.2">
      <c r="A110" t="s">
        <v>1149</v>
      </c>
      <c r="B110" s="27" t="s">
        <v>1125</v>
      </c>
      <c r="C110" s="2" t="s">
        <v>1126</v>
      </c>
      <c r="D110" s="90" t="s">
        <v>1127</v>
      </c>
      <c r="E110" s="16">
        <v>57.8</v>
      </c>
      <c r="F110" s="19">
        <f t="shared" si="6"/>
        <v>35.922933499067746</v>
      </c>
      <c r="G110" t="s">
        <v>5263</v>
      </c>
    </row>
    <row r="111" spans="1:15" x14ac:dyDescent="0.2">
      <c r="A111" t="s">
        <v>3955</v>
      </c>
      <c r="B111" s="27" t="s">
        <v>9139</v>
      </c>
      <c r="C111" s="2" t="s">
        <v>9134</v>
      </c>
      <c r="D111" s="90" t="s">
        <v>9135</v>
      </c>
      <c r="E111" s="13">
        <v>58</v>
      </c>
      <c r="F111" s="19">
        <f t="shared" si="6"/>
        <v>36.047234307022997</v>
      </c>
      <c r="G111">
        <v>1827</v>
      </c>
      <c r="J111" s="80" t="s">
        <v>9209</v>
      </c>
    </row>
    <row r="112" spans="1:15" x14ac:dyDescent="0.2">
      <c r="A112" t="s">
        <v>1141</v>
      </c>
      <c r="B112" s="80" t="s">
        <v>8008</v>
      </c>
      <c r="C112" s="2" t="s">
        <v>8007</v>
      </c>
      <c r="D112" s="80" t="s">
        <v>8006</v>
      </c>
      <c r="E112" s="207">
        <v>58.9</v>
      </c>
      <c r="F112" s="19">
        <f t="shared" si="6"/>
        <v>36.606587942821626</v>
      </c>
      <c r="G112" t="s">
        <v>8012</v>
      </c>
      <c r="I112" s="80" t="s">
        <v>3610</v>
      </c>
      <c r="J112" t="s">
        <v>8014</v>
      </c>
      <c r="M112" s="10">
        <v>279</v>
      </c>
    </row>
    <row r="113" spans="1:11" x14ac:dyDescent="0.2">
      <c r="A113" t="s">
        <v>9370</v>
      </c>
      <c r="B113" s="27" t="s">
        <v>2808</v>
      </c>
      <c r="C113" s="2" t="s">
        <v>1304</v>
      </c>
      <c r="D113" t="s">
        <v>1305</v>
      </c>
      <c r="E113" s="292">
        <v>59.7</v>
      </c>
      <c r="F113" s="19">
        <f t="shared" si="6"/>
        <v>37.103791174642637</v>
      </c>
      <c r="G113" t="s">
        <v>2302</v>
      </c>
    </row>
    <row r="114" spans="1:11" x14ac:dyDescent="0.2">
      <c r="A114" t="s">
        <v>1146</v>
      </c>
      <c r="B114" s="27" t="s">
        <v>1907</v>
      </c>
      <c r="C114" s="257" t="s">
        <v>2599</v>
      </c>
      <c r="D114" s="80" t="s">
        <v>2600</v>
      </c>
      <c r="E114" s="207">
        <v>61.2</v>
      </c>
      <c r="F114" s="19">
        <f t="shared" si="6"/>
        <v>38.036047234307027</v>
      </c>
      <c r="G114" t="s">
        <v>2601</v>
      </c>
    </row>
    <row r="115" spans="1:11" x14ac:dyDescent="0.2">
      <c r="A115" t="s">
        <v>1141</v>
      </c>
      <c r="B115" s="552" t="s">
        <v>2223</v>
      </c>
      <c r="C115" s="784" t="s">
        <v>2294</v>
      </c>
      <c r="D115" t="s">
        <v>2222</v>
      </c>
      <c r="E115" s="292">
        <v>61.6</v>
      </c>
      <c r="F115" s="19">
        <f t="shared" si="6"/>
        <v>38.284648850217529</v>
      </c>
      <c r="G115" t="s">
        <v>2578</v>
      </c>
    </row>
    <row r="116" spans="1:11" x14ac:dyDescent="0.2">
      <c r="A116" t="s">
        <v>1146</v>
      </c>
      <c r="B116" s="27" t="s">
        <v>3776</v>
      </c>
      <c r="C116" s="2" t="s">
        <v>3383</v>
      </c>
      <c r="D116" t="s">
        <v>3384</v>
      </c>
      <c r="E116" s="16">
        <v>61.8</v>
      </c>
      <c r="F116" s="19">
        <f t="shared" si="6"/>
        <v>38.40894965817278</v>
      </c>
      <c r="G116" t="s">
        <v>4666</v>
      </c>
    </row>
    <row r="117" spans="1:11" x14ac:dyDescent="0.2">
      <c r="A117" t="s">
        <v>9373</v>
      </c>
      <c r="B117" s="27" t="s">
        <v>1618</v>
      </c>
      <c r="C117" s="2" t="s">
        <v>5960</v>
      </c>
      <c r="D117" t="s">
        <v>496</v>
      </c>
      <c r="E117" s="16">
        <v>62.2</v>
      </c>
      <c r="F117" s="18">
        <f t="shared" si="6"/>
        <v>38.657551274083282</v>
      </c>
    </row>
    <row r="118" spans="1:11" x14ac:dyDescent="0.2">
      <c r="A118" t="s">
        <v>1141</v>
      </c>
      <c r="B118" t="s">
        <v>1515</v>
      </c>
      <c r="C118" s="31" t="s">
        <v>5086</v>
      </c>
      <c r="D118" t="s">
        <v>3500</v>
      </c>
      <c r="E118" s="16">
        <v>63.3</v>
      </c>
      <c r="F118" s="89">
        <f t="shared" si="6"/>
        <v>39.341205717837163</v>
      </c>
      <c r="G118" t="s">
        <v>3749</v>
      </c>
    </row>
    <row r="119" spans="1:11" x14ac:dyDescent="0.2">
      <c r="A119" t="s">
        <v>9370</v>
      </c>
      <c r="B119" s="27" t="s">
        <v>1609</v>
      </c>
      <c r="C119" s="2" t="s">
        <v>5958</v>
      </c>
      <c r="D119" t="s">
        <v>1445</v>
      </c>
      <c r="E119" s="16">
        <v>63.9</v>
      </c>
      <c r="F119" s="18">
        <f t="shared" si="6"/>
        <v>39.714108141702923</v>
      </c>
    </row>
    <row r="120" spans="1:11" x14ac:dyDescent="0.2">
      <c r="A120" t="s">
        <v>9365</v>
      </c>
      <c r="B120" s="27" t="s">
        <v>814</v>
      </c>
      <c r="C120" s="2" t="s">
        <v>5256</v>
      </c>
      <c r="D120" t="s">
        <v>1110</v>
      </c>
      <c r="E120" s="16">
        <v>66.099999999999994</v>
      </c>
      <c r="F120" s="19">
        <f t="shared" si="6"/>
        <v>41.081417029210684</v>
      </c>
    </row>
    <row r="121" spans="1:11" x14ac:dyDescent="0.2">
      <c r="A121" t="s">
        <v>1146</v>
      </c>
      <c r="B121" s="552" t="s">
        <v>6349</v>
      </c>
      <c r="C121" s="2" t="s">
        <v>2990</v>
      </c>
      <c r="D121" t="s">
        <v>2991</v>
      </c>
      <c r="E121" s="13">
        <v>66.400000000000006</v>
      </c>
      <c r="F121" s="19">
        <f t="shared" si="6"/>
        <v>41.267868241143574</v>
      </c>
    </row>
    <row r="122" spans="1:11" ht="12" customHeight="1" x14ac:dyDescent="0.2">
      <c r="A122" t="s">
        <v>1146</v>
      </c>
      <c r="B122" s="27" t="s">
        <v>1908</v>
      </c>
      <c r="C122" s="2" t="s">
        <v>4496</v>
      </c>
      <c r="D122" t="s">
        <v>3873</v>
      </c>
      <c r="E122">
        <v>66.8</v>
      </c>
      <c r="F122" s="19">
        <f t="shared" si="6"/>
        <v>41.516469857054069</v>
      </c>
    </row>
    <row r="123" spans="1:11" x14ac:dyDescent="0.2">
      <c r="A123" t="s">
        <v>9370</v>
      </c>
      <c r="B123" s="27" t="s">
        <v>486</v>
      </c>
      <c r="C123" s="2" t="s">
        <v>3912</v>
      </c>
      <c r="D123" t="s">
        <v>485</v>
      </c>
      <c r="E123" s="16">
        <v>67.5</v>
      </c>
      <c r="F123" s="19">
        <f t="shared" ref="F123:F147" si="7">E123/1.609</f>
        <v>41.951522684897455</v>
      </c>
      <c r="G123" t="s">
        <v>1565</v>
      </c>
      <c r="I123" t="s">
        <v>1321</v>
      </c>
      <c r="J123" t="s">
        <v>1322</v>
      </c>
    </row>
    <row r="124" spans="1:11" x14ac:dyDescent="0.2">
      <c r="A124" t="s">
        <v>9370</v>
      </c>
      <c r="B124" s="27" t="s">
        <v>2712</v>
      </c>
      <c r="C124" s="2" t="s">
        <v>2711</v>
      </c>
      <c r="D124" t="s">
        <v>2713</v>
      </c>
      <c r="E124" s="13">
        <v>67.8</v>
      </c>
      <c r="F124" s="19">
        <f t="shared" si="7"/>
        <v>42.137973896830331</v>
      </c>
      <c r="G124">
        <v>1452</v>
      </c>
      <c r="H124" t="s">
        <v>3923</v>
      </c>
      <c r="K124" t="s">
        <v>3924</v>
      </c>
    </row>
    <row r="125" spans="1:11" x14ac:dyDescent="0.2">
      <c r="A125" t="s">
        <v>9365</v>
      </c>
      <c r="B125" s="27" t="s">
        <v>4669</v>
      </c>
      <c r="C125" s="2" t="s">
        <v>4670</v>
      </c>
      <c r="D125" t="s">
        <v>4671</v>
      </c>
      <c r="E125" s="16">
        <v>68.2</v>
      </c>
      <c r="F125" s="19">
        <f t="shared" si="7"/>
        <v>42.386575512740833</v>
      </c>
      <c r="G125">
        <v>293</v>
      </c>
    </row>
    <row r="126" spans="1:11" x14ac:dyDescent="0.2">
      <c r="A126" t="s">
        <v>9370</v>
      </c>
      <c r="B126" s="27" t="s">
        <v>1616</v>
      </c>
      <c r="C126" s="2" t="s">
        <v>5963</v>
      </c>
      <c r="D126" t="s">
        <v>495</v>
      </c>
      <c r="E126" s="16">
        <v>69.099999999999994</v>
      </c>
      <c r="F126" s="18">
        <f t="shared" si="7"/>
        <v>42.945929148539463</v>
      </c>
    </row>
    <row r="127" spans="1:11" x14ac:dyDescent="0.2">
      <c r="A127" t="s">
        <v>1141</v>
      </c>
      <c r="B127" s="27" t="s">
        <v>1450</v>
      </c>
      <c r="C127" s="2" t="s">
        <v>3814</v>
      </c>
      <c r="D127" t="s">
        <v>3815</v>
      </c>
      <c r="E127" s="16">
        <v>69.8</v>
      </c>
      <c r="F127" s="89">
        <f t="shared" si="7"/>
        <v>43.380981976382849</v>
      </c>
    </row>
    <row r="128" spans="1:11" x14ac:dyDescent="0.2">
      <c r="A128" t="s">
        <v>9365</v>
      </c>
      <c r="B128" s="27" t="s">
        <v>372</v>
      </c>
      <c r="C128" s="2" t="s">
        <v>373</v>
      </c>
      <c r="D128" t="s">
        <v>4123</v>
      </c>
      <c r="E128" s="16">
        <v>70.5</v>
      </c>
      <c r="F128" s="19">
        <f t="shared" si="7"/>
        <v>43.816034804226227</v>
      </c>
      <c r="G128" t="s">
        <v>1580</v>
      </c>
    </row>
    <row r="129" spans="1:11" x14ac:dyDescent="0.2">
      <c r="A129" t="s">
        <v>4449</v>
      </c>
      <c r="B129" s="27"/>
      <c r="C129" s="533" t="s">
        <v>9136</v>
      </c>
      <c r="D129" s="80" t="s">
        <v>9137</v>
      </c>
      <c r="E129" s="16">
        <v>71.099999999999994</v>
      </c>
      <c r="F129" s="19">
        <f t="shared" si="7"/>
        <v>44.18893722809198</v>
      </c>
      <c r="K129" s="80" t="s">
        <v>9138</v>
      </c>
    </row>
    <row r="130" spans="1:11" x14ac:dyDescent="0.2">
      <c r="A130" t="s">
        <v>9372</v>
      </c>
      <c r="B130" s="27" t="s">
        <v>5189</v>
      </c>
      <c r="C130" s="57" t="s">
        <v>2484</v>
      </c>
      <c r="D130" t="s">
        <v>1881</v>
      </c>
      <c r="E130" s="16">
        <v>71.3</v>
      </c>
      <c r="F130" s="19">
        <f t="shared" si="7"/>
        <v>44.313238036047231</v>
      </c>
      <c r="G130" t="s">
        <v>5161</v>
      </c>
    </row>
    <row r="131" spans="1:11" x14ac:dyDescent="0.2">
      <c r="A131" t="s">
        <v>1141</v>
      </c>
      <c r="B131" s="27" t="s">
        <v>9699</v>
      </c>
      <c r="C131" s="2" t="s">
        <v>9216</v>
      </c>
      <c r="D131" s="514" t="s">
        <v>9217</v>
      </c>
      <c r="E131" s="16">
        <v>72.3</v>
      </c>
      <c r="F131" s="18">
        <f t="shared" si="7"/>
        <v>44.934742075823493</v>
      </c>
      <c r="K131" s="80" t="s">
        <v>9220</v>
      </c>
    </row>
    <row r="132" spans="1:11" x14ac:dyDescent="0.2">
      <c r="A132" t="s">
        <v>4449</v>
      </c>
      <c r="B132" s="27" t="s">
        <v>5119</v>
      </c>
      <c r="C132" s="2" t="s">
        <v>1821</v>
      </c>
      <c r="D132" t="s">
        <v>1109</v>
      </c>
      <c r="E132" s="13">
        <v>73.5</v>
      </c>
      <c r="F132" s="19">
        <f t="shared" si="7"/>
        <v>45.680546923555006</v>
      </c>
    </row>
    <row r="133" spans="1:11" x14ac:dyDescent="0.2">
      <c r="A133" t="s">
        <v>1141</v>
      </c>
      <c r="B133" s="552" t="s">
        <v>1639</v>
      </c>
      <c r="C133" s="2" t="s">
        <v>5230</v>
      </c>
      <c r="D133" t="s">
        <v>5231</v>
      </c>
      <c r="E133" s="292">
        <v>73.5</v>
      </c>
      <c r="F133" s="19">
        <f t="shared" si="7"/>
        <v>45.680546923555006</v>
      </c>
    </row>
    <row r="134" spans="1:11" x14ac:dyDescent="0.2">
      <c r="A134" t="s">
        <v>1149</v>
      </c>
      <c r="B134" t="s">
        <v>3680</v>
      </c>
      <c r="C134" s="31" t="s">
        <v>539</v>
      </c>
      <c r="D134" t="s">
        <v>538</v>
      </c>
      <c r="E134" s="13">
        <v>73.790000000000006</v>
      </c>
      <c r="F134" s="19">
        <f t="shared" si="7"/>
        <v>45.86078309509012</v>
      </c>
    </row>
    <row r="135" spans="1:11" x14ac:dyDescent="0.2">
      <c r="A135" t="s">
        <v>1149</v>
      </c>
      <c r="B135" s="27" t="s">
        <v>3010</v>
      </c>
      <c r="C135" s="2" t="s">
        <v>5206</v>
      </c>
      <c r="D135" t="s">
        <v>5207</v>
      </c>
      <c r="E135" s="13">
        <v>74.040000000000006</v>
      </c>
      <c r="F135" s="19">
        <f t="shared" si="7"/>
        <v>46.016159105034184</v>
      </c>
    </row>
    <row r="136" spans="1:11" x14ac:dyDescent="0.2">
      <c r="A136" t="s">
        <v>1149</v>
      </c>
      <c r="B136" t="s">
        <v>2320</v>
      </c>
      <c r="C136" s="388" t="s">
        <v>4213</v>
      </c>
      <c r="D136" s="80" t="s">
        <v>4214</v>
      </c>
      <c r="E136" s="207">
        <v>74.3</v>
      </c>
      <c r="F136" s="19">
        <f t="shared" si="7"/>
        <v>46.17775015537601</v>
      </c>
      <c r="G136">
        <v>1378</v>
      </c>
      <c r="H136" t="s">
        <v>4215</v>
      </c>
    </row>
    <row r="137" spans="1:11" x14ac:dyDescent="0.2">
      <c r="A137" t="s">
        <v>1149</v>
      </c>
      <c r="B137" s="552" t="s">
        <v>5111</v>
      </c>
      <c r="C137" s="257" t="s">
        <v>4368</v>
      </c>
      <c r="D137" s="80" t="s">
        <v>5109</v>
      </c>
      <c r="E137" s="207">
        <v>75.3</v>
      </c>
      <c r="F137" s="19">
        <f t="shared" si="7"/>
        <v>46.799254195152265</v>
      </c>
      <c r="G137">
        <v>1438</v>
      </c>
      <c r="H137" t="s">
        <v>1944</v>
      </c>
    </row>
    <row r="138" spans="1:11" x14ac:dyDescent="0.2">
      <c r="A138" t="s">
        <v>1146</v>
      </c>
      <c r="B138" s="552" t="s">
        <v>3808</v>
      </c>
      <c r="C138" s="2" t="s">
        <v>4907</v>
      </c>
      <c r="D138" t="s">
        <v>979</v>
      </c>
      <c r="E138" s="13">
        <v>75.5</v>
      </c>
      <c r="F138" s="19">
        <f t="shared" si="7"/>
        <v>46.923555003107523</v>
      </c>
      <c r="G138">
        <v>1422</v>
      </c>
      <c r="H138" t="s">
        <v>5364</v>
      </c>
      <c r="K138" t="s">
        <v>5363</v>
      </c>
    </row>
    <row r="139" spans="1:11" ht="12.75" customHeight="1" x14ac:dyDescent="0.2">
      <c r="A139" t="s">
        <v>1149</v>
      </c>
      <c r="B139" s="552" t="s">
        <v>1879</v>
      </c>
      <c r="C139" s="2" t="s">
        <v>2783</v>
      </c>
      <c r="D139" s="75" t="s">
        <v>2782</v>
      </c>
      <c r="E139" s="16">
        <v>75.8</v>
      </c>
      <c r="F139" s="19">
        <f t="shared" si="7"/>
        <v>47.110006215040393</v>
      </c>
      <c r="G139" t="s">
        <v>1877</v>
      </c>
    </row>
    <row r="140" spans="1:11" x14ac:dyDescent="0.2">
      <c r="A140" t="s">
        <v>1141</v>
      </c>
      <c r="B140" s="27" t="s">
        <v>3342</v>
      </c>
      <c r="C140" s="2" t="s">
        <v>2199</v>
      </c>
      <c r="D140" t="s">
        <v>2106</v>
      </c>
      <c r="E140" s="13">
        <v>76</v>
      </c>
      <c r="F140" s="19">
        <f t="shared" si="7"/>
        <v>47.234307022995651</v>
      </c>
    </row>
    <row r="141" spans="1:11" x14ac:dyDescent="0.2">
      <c r="A141" s="80" t="s">
        <v>1149</v>
      </c>
      <c r="B141" s="27" t="s">
        <v>4811</v>
      </c>
      <c r="C141" s="2" t="s">
        <v>1410</v>
      </c>
      <c r="D141" t="s">
        <v>1411</v>
      </c>
      <c r="E141" s="16">
        <v>76.400000000000006</v>
      </c>
      <c r="F141" s="18">
        <f t="shared" si="7"/>
        <v>47.48290863890616</v>
      </c>
      <c r="G141" t="s">
        <v>4886</v>
      </c>
      <c r="J141" t="s">
        <v>3610</v>
      </c>
      <c r="K141" t="s">
        <v>5046</v>
      </c>
    </row>
    <row r="142" spans="1:11" x14ac:dyDescent="0.2">
      <c r="A142" s="80" t="s">
        <v>4291</v>
      </c>
      <c r="B142" s="27"/>
      <c r="C142" s="1085" t="s">
        <v>10798</v>
      </c>
      <c r="D142" s="80" t="s">
        <v>10789</v>
      </c>
      <c r="E142" s="16"/>
      <c r="F142" s="18"/>
      <c r="G142" s="80" t="s">
        <v>10790</v>
      </c>
    </row>
    <row r="143" spans="1:11" x14ac:dyDescent="0.2">
      <c r="A143" t="s">
        <v>4291</v>
      </c>
      <c r="B143" s="27" t="s">
        <v>2119</v>
      </c>
      <c r="C143" s="2" t="s">
        <v>663</v>
      </c>
      <c r="D143" s="93" t="s">
        <v>3232</v>
      </c>
      <c r="E143" s="16">
        <v>76.599999999999994</v>
      </c>
      <c r="F143" s="19">
        <f t="shared" si="7"/>
        <v>47.607209446861404</v>
      </c>
    </row>
    <row r="144" spans="1:11" x14ac:dyDescent="0.2">
      <c r="A144" t="s">
        <v>9372</v>
      </c>
      <c r="B144" s="27" t="s">
        <v>1940</v>
      </c>
      <c r="C144" s="2" t="s">
        <v>1939</v>
      </c>
      <c r="D144" t="s">
        <v>1942</v>
      </c>
      <c r="E144" s="16">
        <v>78.7</v>
      </c>
      <c r="F144" s="19">
        <f t="shared" si="7"/>
        <v>48.912367930391547</v>
      </c>
    </row>
    <row r="145" spans="1:11" x14ac:dyDescent="0.2">
      <c r="A145" t="s">
        <v>9372</v>
      </c>
      <c r="B145" s="27" t="s">
        <v>890</v>
      </c>
      <c r="C145" s="2" t="s">
        <v>407</v>
      </c>
      <c r="D145" t="s">
        <v>408</v>
      </c>
      <c r="E145" s="29">
        <v>79.3</v>
      </c>
      <c r="F145" s="19">
        <f t="shared" si="7"/>
        <v>49.2852703542573</v>
      </c>
    </row>
    <row r="146" spans="1:11" x14ac:dyDescent="0.2">
      <c r="A146" t="s">
        <v>1141</v>
      </c>
      <c r="B146" s="556" t="s">
        <v>8272</v>
      </c>
      <c r="C146" s="2" t="s">
        <v>2040</v>
      </c>
      <c r="D146" t="s">
        <v>4929</v>
      </c>
      <c r="E146" s="13">
        <v>79.56</v>
      </c>
      <c r="F146" s="19">
        <f t="shared" si="7"/>
        <v>49.446861404599133</v>
      </c>
    </row>
    <row r="147" spans="1:11" x14ac:dyDescent="0.2">
      <c r="A147" s="80" t="s">
        <v>1149</v>
      </c>
      <c r="B147" s="27" t="s">
        <v>4034</v>
      </c>
      <c r="C147" s="2" t="s">
        <v>802</v>
      </c>
      <c r="D147" t="s">
        <v>4033</v>
      </c>
      <c r="E147" s="292">
        <v>80.2</v>
      </c>
      <c r="F147" s="19">
        <f t="shared" si="7"/>
        <v>49.844623990055936</v>
      </c>
    </row>
    <row r="148" spans="1:11" x14ac:dyDescent="0.2">
      <c r="A148" t="s">
        <v>1141</v>
      </c>
      <c r="C148" s="533" t="s">
        <v>9695</v>
      </c>
      <c r="D148" s="514" t="s">
        <v>9696</v>
      </c>
      <c r="E148" s="13">
        <v>68.5</v>
      </c>
      <c r="F148" s="19">
        <f t="shared" ref="F148:F163" si="8">E148/1.609</f>
        <v>42.57302672467371</v>
      </c>
      <c r="I148" s="80"/>
    </row>
    <row r="149" spans="1:11" x14ac:dyDescent="0.2">
      <c r="A149" t="s">
        <v>1146</v>
      </c>
      <c r="B149" s="552" t="s">
        <v>2206</v>
      </c>
      <c r="C149" s="257" t="s">
        <v>540</v>
      </c>
      <c r="D149" s="80" t="s">
        <v>2467</v>
      </c>
      <c r="E149" s="207">
        <v>81.2</v>
      </c>
      <c r="F149" s="19">
        <f t="shared" si="8"/>
        <v>50.466128029832198</v>
      </c>
      <c r="G149">
        <v>1409</v>
      </c>
      <c r="H149" t="s">
        <v>3949</v>
      </c>
    </row>
    <row r="150" spans="1:11" ht="12.75" customHeight="1" x14ac:dyDescent="0.2">
      <c r="A150" t="s">
        <v>9847</v>
      </c>
      <c r="B150" t="s">
        <v>1331</v>
      </c>
      <c r="C150" s="2" t="s">
        <v>9930</v>
      </c>
      <c r="D150" s="514" t="s">
        <v>9931</v>
      </c>
      <c r="E150" s="13">
        <v>81.650000000000006</v>
      </c>
      <c r="F150" s="19">
        <f t="shared" si="8"/>
        <v>50.745804847731513</v>
      </c>
      <c r="H150" s="80" t="s">
        <v>9932</v>
      </c>
    </row>
    <row r="151" spans="1:11" x14ac:dyDescent="0.2">
      <c r="A151" t="s">
        <v>1141</v>
      </c>
      <c r="B151" s="27" t="s">
        <v>3966</v>
      </c>
      <c r="C151" s="2" t="s">
        <v>3968</v>
      </c>
      <c r="D151" t="s">
        <v>3967</v>
      </c>
      <c r="E151" s="13">
        <v>82.1</v>
      </c>
      <c r="F151" s="19">
        <f t="shared" si="8"/>
        <v>51.025481665630821</v>
      </c>
    </row>
    <row r="152" spans="1:11" x14ac:dyDescent="0.2">
      <c r="A152" t="s">
        <v>1149</v>
      </c>
      <c r="B152" s="27" t="s">
        <v>7860</v>
      </c>
      <c r="C152" s="533" t="s">
        <v>7861</v>
      </c>
      <c r="D152" t="s">
        <v>7862</v>
      </c>
      <c r="E152" s="13">
        <v>82.8</v>
      </c>
      <c r="F152" s="19">
        <f t="shared" si="8"/>
        <v>51.460534493474206</v>
      </c>
      <c r="H152" t="s">
        <v>7863</v>
      </c>
    </row>
    <row r="153" spans="1:11" x14ac:dyDescent="0.2">
      <c r="A153" t="s">
        <v>9372</v>
      </c>
      <c r="B153" s="27" t="s">
        <v>1357</v>
      </c>
      <c r="C153" s="2" t="s">
        <v>494</v>
      </c>
      <c r="D153" t="s">
        <v>1446</v>
      </c>
      <c r="E153" s="13">
        <v>83</v>
      </c>
      <c r="F153" s="18">
        <f t="shared" si="8"/>
        <v>51.584835301429457</v>
      </c>
    </row>
    <row r="154" spans="1:11" x14ac:dyDescent="0.2">
      <c r="A154" t="s">
        <v>9370</v>
      </c>
      <c r="B154" s="493" t="s">
        <v>5553</v>
      </c>
      <c r="C154" s="2" t="s">
        <v>9218</v>
      </c>
      <c r="D154" s="514" t="s">
        <v>9219</v>
      </c>
      <c r="E154" s="13">
        <v>83.9</v>
      </c>
      <c r="F154" s="19">
        <f t="shared" si="8"/>
        <v>52.144188937228094</v>
      </c>
      <c r="I154" s="80" t="s">
        <v>9221</v>
      </c>
    </row>
    <row r="155" spans="1:11" x14ac:dyDescent="0.2">
      <c r="A155" t="s">
        <v>1141</v>
      </c>
      <c r="B155" s="27" t="s">
        <v>5144</v>
      </c>
      <c r="C155" s="2" t="s">
        <v>5145</v>
      </c>
      <c r="D155" t="s">
        <v>5756</v>
      </c>
      <c r="E155" s="13">
        <v>85.28</v>
      </c>
      <c r="F155" s="19">
        <f t="shared" si="8"/>
        <v>53.001864512119333</v>
      </c>
    </row>
    <row r="156" spans="1:11" x14ac:dyDescent="0.2">
      <c r="A156" t="s">
        <v>1141</v>
      </c>
      <c r="B156" t="s">
        <v>8139</v>
      </c>
      <c r="C156" s="533" t="s">
        <v>8136</v>
      </c>
      <c r="D156" s="80" t="s">
        <v>8137</v>
      </c>
      <c r="E156" s="292">
        <v>85.6</v>
      </c>
      <c r="F156" s="19">
        <f t="shared" si="8"/>
        <v>53.200745804847728</v>
      </c>
    </row>
    <row r="157" spans="1:11" x14ac:dyDescent="0.2">
      <c r="A157" t="s">
        <v>9372</v>
      </c>
      <c r="B157" s="27" t="s">
        <v>2152</v>
      </c>
      <c r="C157" s="257" t="s">
        <v>1433</v>
      </c>
      <c r="D157" s="80" t="s">
        <v>2153</v>
      </c>
      <c r="E157" s="207">
        <v>86.3</v>
      </c>
      <c r="F157" s="19">
        <f t="shared" si="8"/>
        <v>53.635798632691113</v>
      </c>
      <c r="G157">
        <v>1429</v>
      </c>
      <c r="I157" t="s">
        <v>4055</v>
      </c>
    </row>
    <row r="158" spans="1:11" x14ac:dyDescent="0.2">
      <c r="A158" t="s">
        <v>9361</v>
      </c>
      <c r="B158" s="27" t="s">
        <v>9268</v>
      </c>
      <c r="C158" s="533" t="s">
        <v>9262</v>
      </c>
      <c r="D158" s="75" t="s">
        <v>9263</v>
      </c>
      <c r="E158" s="16">
        <v>86.8</v>
      </c>
      <c r="F158" s="19">
        <f t="shared" si="8"/>
        <v>53.946550652579241</v>
      </c>
    </row>
    <row r="159" spans="1:11" x14ac:dyDescent="0.2">
      <c r="A159" t="s">
        <v>9372</v>
      </c>
      <c r="B159" s="27" t="s">
        <v>2191</v>
      </c>
      <c r="C159" s="2" t="s">
        <v>2192</v>
      </c>
      <c r="D159" s="5" t="s">
        <v>2193</v>
      </c>
      <c r="E159" s="292">
        <v>88.7</v>
      </c>
      <c r="F159" s="19">
        <f t="shared" si="8"/>
        <v>55.127408328154132</v>
      </c>
      <c r="G159">
        <v>1441</v>
      </c>
      <c r="H159" t="s">
        <v>2194</v>
      </c>
      <c r="J159" s="2" t="s">
        <v>5362</v>
      </c>
      <c r="K159" s="2"/>
    </row>
    <row r="160" spans="1:11" x14ac:dyDescent="0.2">
      <c r="A160" t="s">
        <v>9372</v>
      </c>
      <c r="B160" s="80" t="s">
        <v>7609</v>
      </c>
      <c r="C160" s="2" t="s">
        <v>7610</v>
      </c>
      <c r="D160" s="80" t="s">
        <v>7612</v>
      </c>
      <c r="E160" s="292">
        <v>89.2</v>
      </c>
      <c r="F160" s="19">
        <f t="shared" si="8"/>
        <v>55.438160348042267</v>
      </c>
      <c r="G160">
        <v>100</v>
      </c>
      <c r="H160" s="80" t="s">
        <v>7611</v>
      </c>
      <c r="J160" s="2"/>
      <c r="K160" s="2"/>
    </row>
    <row r="161" spans="1:13" x14ac:dyDescent="0.2">
      <c r="A161" t="s">
        <v>1149</v>
      </c>
      <c r="B161" s="27" t="s">
        <v>1418</v>
      </c>
      <c r="C161" s="2" t="s">
        <v>1419</v>
      </c>
      <c r="D161" t="s">
        <v>1420</v>
      </c>
      <c r="E161" s="13">
        <v>89.6</v>
      </c>
      <c r="F161" s="19">
        <f t="shared" si="8"/>
        <v>55.686761963952762</v>
      </c>
    </row>
    <row r="162" spans="1:13" x14ac:dyDescent="0.2">
      <c r="A162" t="s">
        <v>9368</v>
      </c>
      <c r="B162" s="27" t="s">
        <v>9210</v>
      </c>
      <c r="C162" s="2" t="s">
        <v>9211</v>
      </c>
      <c r="D162" t="s">
        <v>9212</v>
      </c>
      <c r="E162" s="16">
        <v>90.6</v>
      </c>
      <c r="F162" s="19">
        <f t="shared" si="8"/>
        <v>56.308266003729024</v>
      </c>
    </row>
    <row r="163" spans="1:13" x14ac:dyDescent="0.2">
      <c r="A163" t="s">
        <v>9368</v>
      </c>
      <c r="B163" s="27" t="s">
        <v>1619</v>
      </c>
      <c r="C163" s="2" t="s">
        <v>2588</v>
      </c>
      <c r="D163" t="s">
        <v>1458</v>
      </c>
      <c r="E163" s="16">
        <v>90.7</v>
      </c>
      <c r="F163" s="19">
        <f t="shared" si="8"/>
        <v>56.370416407706649</v>
      </c>
    </row>
    <row r="164" spans="1:13" x14ac:dyDescent="0.2">
      <c r="C164" s="2" t="s">
        <v>11798</v>
      </c>
      <c r="D164" s="80" t="s">
        <v>11799</v>
      </c>
      <c r="E164" s="16"/>
      <c r="F164" s="19"/>
    </row>
    <row r="165" spans="1:13" x14ac:dyDescent="0.2">
      <c r="A165" t="s">
        <v>9370</v>
      </c>
      <c r="B165" s="27" t="s">
        <v>2989</v>
      </c>
      <c r="C165" s="2" t="s">
        <v>4453</v>
      </c>
      <c r="D165" s="75" t="s">
        <v>4517</v>
      </c>
      <c r="E165" s="16">
        <v>91.6</v>
      </c>
      <c r="F165" s="19">
        <f t="shared" ref="F165:F207" si="9">E165/1.609</f>
        <v>56.929770043505279</v>
      </c>
      <c r="G165" t="s">
        <v>5749</v>
      </c>
    </row>
    <row r="166" spans="1:13" x14ac:dyDescent="0.2">
      <c r="A166" s="80" t="s">
        <v>4291</v>
      </c>
      <c r="B166" s="27" t="s">
        <v>219</v>
      </c>
      <c r="C166" s="2" t="s">
        <v>5674</v>
      </c>
      <c r="D166" t="s">
        <v>5676</v>
      </c>
      <c r="E166" s="13">
        <v>91.73</v>
      </c>
      <c r="F166" s="19">
        <f t="shared" si="9"/>
        <v>57.010565568676199</v>
      </c>
    </row>
    <row r="167" spans="1:13" x14ac:dyDescent="0.2">
      <c r="A167" t="s">
        <v>9372</v>
      </c>
      <c r="B167" s="27" t="s">
        <v>2876</v>
      </c>
      <c r="C167" s="2" t="s">
        <v>217</v>
      </c>
      <c r="D167" t="s">
        <v>893</v>
      </c>
      <c r="E167" s="13">
        <v>92</v>
      </c>
      <c r="F167" s="19">
        <f t="shared" si="9"/>
        <v>57.178371659415788</v>
      </c>
      <c r="G167" t="s">
        <v>4872</v>
      </c>
    </row>
    <row r="168" spans="1:13" x14ac:dyDescent="0.2">
      <c r="C168" s="257" t="s">
        <v>10655</v>
      </c>
      <c r="D168" s="514" t="s">
        <v>10656</v>
      </c>
      <c r="E168" s="278">
        <v>92.4</v>
      </c>
      <c r="F168" s="19">
        <f t="shared" si="9"/>
        <v>57.426973275326297</v>
      </c>
      <c r="H168" s="80" t="s">
        <v>10657</v>
      </c>
      <c r="J168" s="80" t="s">
        <v>10658</v>
      </c>
      <c r="M168" s="79" t="s">
        <v>10659</v>
      </c>
    </row>
    <row r="169" spans="1:13" x14ac:dyDescent="0.2">
      <c r="A169" t="s">
        <v>9372</v>
      </c>
      <c r="B169" s="27" t="s">
        <v>3178</v>
      </c>
      <c r="C169" s="2" t="s">
        <v>4500</v>
      </c>
      <c r="D169" s="75" t="s">
        <v>3115</v>
      </c>
      <c r="E169" s="13">
        <v>94.1</v>
      </c>
      <c r="F169" s="19">
        <f t="shared" si="9"/>
        <v>58.483530142945924</v>
      </c>
    </row>
    <row r="170" spans="1:13" x14ac:dyDescent="0.2">
      <c r="A170" t="s">
        <v>3955</v>
      </c>
      <c r="B170" s="27" t="s">
        <v>9017</v>
      </c>
      <c r="C170" s="2" t="s">
        <v>11864</v>
      </c>
      <c r="D170" s="75" t="s">
        <v>8512</v>
      </c>
      <c r="E170" s="16">
        <v>94.3</v>
      </c>
      <c r="F170" s="19">
        <f t="shared" si="9"/>
        <v>58.607830950901182</v>
      </c>
    </row>
    <row r="171" spans="1:13" x14ac:dyDescent="0.2">
      <c r="A171" t="s">
        <v>9371</v>
      </c>
      <c r="B171" s="27" t="s">
        <v>2734</v>
      </c>
      <c r="C171" s="2" t="s">
        <v>241</v>
      </c>
      <c r="D171" s="5" t="s">
        <v>2733</v>
      </c>
      <c r="E171" s="292">
        <v>94.6</v>
      </c>
      <c r="F171" s="19">
        <f t="shared" si="9"/>
        <v>58.794282162834058</v>
      </c>
      <c r="G171">
        <v>462</v>
      </c>
      <c r="H171" t="s">
        <v>4129</v>
      </c>
    </row>
    <row r="172" spans="1:13" x14ac:dyDescent="0.2">
      <c r="A172" t="s">
        <v>9372</v>
      </c>
      <c r="B172" s="27" t="s">
        <v>4326</v>
      </c>
      <c r="C172" s="2" t="s">
        <v>479</v>
      </c>
      <c r="D172" s="75" t="s">
        <v>480</v>
      </c>
      <c r="E172" s="16">
        <v>94.7</v>
      </c>
      <c r="F172" s="19">
        <f t="shared" si="9"/>
        <v>58.856432566811684</v>
      </c>
    </row>
    <row r="173" spans="1:13" x14ac:dyDescent="0.2">
      <c r="A173" t="s">
        <v>9372</v>
      </c>
      <c r="B173" s="27" t="s">
        <v>4404</v>
      </c>
      <c r="C173" s="2" t="s">
        <v>4497</v>
      </c>
      <c r="D173" t="s">
        <v>5671</v>
      </c>
      <c r="E173" s="16">
        <v>95.2</v>
      </c>
      <c r="F173" s="19">
        <f t="shared" si="9"/>
        <v>59.167184586699818</v>
      </c>
    </row>
    <row r="174" spans="1:13" x14ac:dyDescent="0.2">
      <c r="A174" t="s">
        <v>1141</v>
      </c>
      <c r="B174" t="s">
        <v>947</v>
      </c>
      <c r="C174" s="31" t="s">
        <v>5855</v>
      </c>
      <c r="D174" s="5" t="s">
        <v>948</v>
      </c>
      <c r="E174" s="292">
        <v>96.3</v>
      </c>
      <c r="F174" s="19">
        <f t="shared" si="9"/>
        <v>59.850839030453699</v>
      </c>
      <c r="G174">
        <v>762</v>
      </c>
    </row>
    <row r="175" spans="1:13" x14ac:dyDescent="0.2">
      <c r="A175" t="s">
        <v>1146</v>
      </c>
      <c r="B175" s="552" t="s">
        <v>3441</v>
      </c>
      <c r="C175" s="2" t="s">
        <v>3442</v>
      </c>
      <c r="D175" t="s">
        <v>3443</v>
      </c>
      <c r="E175" s="13">
        <v>96.74</v>
      </c>
      <c r="F175" s="19">
        <f t="shared" si="9"/>
        <v>60.124300807955251</v>
      </c>
      <c r="G175" t="s">
        <v>1104</v>
      </c>
    </row>
    <row r="176" spans="1:13" x14ac:dyDescent="0.2">
      <c r="A176" t="s">
        <v>1146</v>
      </c>
      <c r="B176" s="552" t="s">
        <v>1903</v>
      </c>
      <c r="C176" s="2" t="s">
        <v>475</v>
      </c>
      <c r="D176" t="s">
        <v>474</v>
      </c>
      <c r="E176" s="16">
        <v>96.8</v>
      </c>
      <c r="F176" s="19">
        <f t="shared" si="9"/>
        <v>60.161591050341826</v>
      </c>
    </row>
    <row r="177" spans="1:9" x14ac:dyDescent="0.2">
      <c r="A177" t="s">
        <v>9368</v>
      </c>
      <c r="B177" s="27" t="s">
        <v>4597</v>
      </c>
      <c r="C177" s="2" t="s">
        <v>2045</v>
      </c>
      <c r="D177" t="s">
        <v>5090</v>
      </c>
      <c r="E177" s="16">
        <v>100.4</v>
      </c>
      <c r="F177" s="19">
        <f t="shared" si="9"/>
        <v>62.399005593536359</v>
      </c>
      <c r="G177" s="80" t="s">
        <v>4489</v>
      </c>
      <c r="H177" s="80"/>
      <c r="I177" s="80"/>
    </row>
    <row r="178" spans="1:9" x14ac:dyDescent="0.2">
      <c r="A178" t="s">
        <v>9374</v>
      </c>
      <c r="B178" s="27" t="s">
        <v>5120</v>
      </c>
      <c r="C178" s="2" t="s">
        <v>5652</v>
      </c>
      <c r="D178" t="s">
        <v>497</v>
      </c>
      <c r="E178" s="16">
        <v>100.7</v>
      </c>
      <c r="F178" s="18">
        <f t="shared" si="9"/>
        <v>62.585456805469235</v>
      </c>
    </row>
    <row r="179" spans="1:9" x14ac:dyDescent="0.2">
      <c r="A179" t="s">
        <v>9372</v>
      </c>
      <c r="B179" s="27" t="s">
        <v>5121</v>
      </c>
      <c r="C179" s="2" t="s">
        <v>5962</v>
      </c>
      <c r="D179" t="s">
        <v>1107</v>
      </c>
      <c r="E179" s="13">
        <v>100.9</v>
      </c>
      <c r="F179" s="19">
        <f t="shared" si="9"/>
        <v>62.709757613424493</v>
      </c>
    </row>
    <row r="180" spans="1:9" x14ac:dyDescent="0.2">
      <c r="A180" t="s">
        <v>1141</v>
      </c>
      <c r="B180" s="27" t="s">
        <v>1625</v>
      </c>
      <c r="C180" s="2" t="s">
        <v>5431</v>
      </c>
      <c r="D180" t="s">
        <v>389</v>
      </c>
      <c r="E180" s="13">
        <v>101</v>
      </c>
      <c r="F180" s="19">
        <f t="shared" si="9"/>
        <v>62.771908017402112</v>
      </c>
    </row>
    <row r="181" spans="1:9" x14ac:dyDescent="0.2">
      <c r="A181" t="s">
        <v>1146</v>
      </c>
      <c r="B181" s="552" t="s">
        <v>5553</v>
      </c>
      <c r="C181" s="2" t="s">
        <v>4501</v>
      </c>
      <c r="D181" t="s">
        <v>4324</v>
      </c>
      <c r="E181" s="5">
        <v>101.2</v>
      </c>
      <c r="F181" s="19">
        <f t="shared" si="9"/>
        <v>62.89620882535737</v>
      </c>
    </row>
    <row r="182" spans="1:9" x14ac:dyDescent="0.2">
      <c r="A182" t="s">
        <v>9368</v>
      </c>
      <c r="B182" t="s">
        <v>5282</v>
      </c>
      <c r="C182" s="2" t="s">
        <v>5283</v>
      </c>
      <c r="D182" t="s">
        <v>5284</v>
      </c>
      <c r="E182" s="13">
        <v>102.1</v>
      </c>
      <c r="F182" s="19">
        <f t="shared" si="9"/>
        <v>63.455562461155992</v>
      </c>
      <c r="H182" t="s">
        <v>5285</v>
      </c>
    </row>
    <row r="183" spans="1:9" x14ac:dyDescent="0.2">
      <c r="A183" t="s">
        <v>1141</v>
      </c>
      <c r="B183" s="27" t="s">
        <v>10222</v>
      </c>
      <c r="C183" s="2" t="s">
        <v>6102</v>
      </c>
      <c r="D183" t="s">
        <v>6101</v>
      </c>
      <c r="E183" s="13">
        <v>102.2</v>
      </c>
      <c r="F183" s="19">
        <f t="shared" si="9"/>
        <v>63.517712865133625</v>
      </c>
    </row>
    <row r="184" spans="1:9" x14ac:dyDescent="0.2">
      <c r="A184" t="s">
        <v>1146</v>
      </c>
      <c r="B184" s="27" t="s">
        <v>4904</v>
      </c>
      <c r="C184" s="2" t="s">
        <v>4901</v>
      </c>
      <c r="D184" t="s">
        <v>4902</v>
      </c>
      <c r="E184" s="16">
        <v>104.3</v>
      </c>
      <c r="F184" s="19">
        <f t="shared" si="9"/>
        <v>64.822871348663767</v>
      </c>
    </row>
    <row r="185" spans="1:9" x14ac:dyDescent="0.2">
      <c r="A185" t="s">
        <v>9363</v>
      </c>
      <c r="B185" s="552" t="s">
        <v>1909</v>
      </c>
      <c r="C185" s="2" t="s">
        <v>2627</v>
      </c>
      <c r="D185" t="s">
        <v>2423</v>
      </c>
      <c r="E185" s="13">
        <v>107.3</v>
      </c>
      <c r="F185" s="19">
        <f t="shared" si="9"/>
        <v>66.687383467992547</v>
      </c>
      <c r="G185" t="s">
        <v>2626</v>
      </c>
    </row>
    <row r="186" spans="1:9" x14ac:dyDescent="0.2">
      <c r="A186" t="s">
        <v>9372</v>
      </c>
      <c r="B186" s="27" t="s">
        <v>5982</v>
      </c>
      <c r="C186" s="2" t="s">
        <v>5983</v>
      </c>
      <c r="D186" t="s">
        <v>5984</v>
      </c>
      <c r="E186" s="16">
        <v>110.1</v>
      </c>
      <c r="F186" s="19">
        <f t="shared" si="9"/>
        <v>68.427594779366061</v>
      </c>
    </row>
    <row r="187" spans="1:9" x14ac:dyDescent="0.2">
      <c r="A187" t="s">
        <v>1141</v>
      </c>
      <c r="B187" t="s">
        <v>8654</v>
      </c>
      <c r="C187" s="257" t="s">
        <v>4116</v>
      </c>
      <c r="D187" s="80" t="s">
        <v>3717</v>
      </c>
      <c r="E187" s="207">
        <v>111.6</v>
      </c>
      <c r="F187" s="19">
        <f t="shared" si="9"/>
        <v>69.359850839030457</v>
      </c>
      <c r="G187">
        <v>567</v>
      </c>
    </row>
    <row r="188" spans="1:9" x14ac:dyDescent="0.2">
      <c r="A188" t="s">
        <v>4292</v>
      </c>
      <c r="B188" s="27" t="s">
        <v>5217</v>
      </c>
      <c r="C188" s="257" t="s">
        <v>963</v>
      </c>
      <c r="D188" s="80" t="s">
        <v>3426</v>
      </c>
      <c r="E188" s="207">
        <v>112.8</v>
      </c>
      <c r="F188" s="19">
        <f t="shared" si="9"/>
        <v>70.105655686761963</v>
      </c>
    </row>
    <row r="189" spans="1:9" x14ac:dyDescent="0.2">
      <c r="A189" t="s">
        <v>9363</v>
      </c>
      <c r="B189" s="493" t="s">
        <v>9762</v>
      </c>
      <c r="C189" s="2" t="s">
        <v>9760</v>
      </c>
      <c r="D189" s="514" t="s">
        <v>9782</v>
      </c>
      <c r="E189" s="16">
        <v>112.8</v>
      </c>
      <c r="F189" s="18">
        <f t="shared" si="9"/>
        <v>70.105655686761963</v>
      </c>
    </row>
    <row r="190" spans="1:9" x14ac:dyDescent="0.2">
      <c r="A190" t="s">
        <v>9368</v>
      </c>
      <c r="B190" t="s">
        <v>537</v>
      </c>
      <c r="C190" s="454" t="s">
        <v>2041</v>
      </c>
      <c r="D190" t="s">
        <v>536</v>
      </c>
      <c r="E190" s="16">
        <v>113.3</v>
      </c>
      <c r="F190" s="19">
        <f t="shared" si="9"/>
        <v>70.416407706650091</v>
      </c>
      <c r="G190">
        <v>633</v>
      </c>
    </row>
    <row r="191" spans="1:9" ht="12.75" customHeight="1" x14ac:dyDescent="0.2">
      <c r="A191" t="s">
        <v>9375</v>
      </c>
      <c r="B191" t="s">
        <v>6076</v>
      </c>
      <c r="C191" s="2" t="s">
        <v>6075</v>
      </c>
      <c r="D191" s="514" t="s">
        <v>6077</v>
      </c>
      <c r="E191" s="13">
        <v>114.1</v>
      </c>
      <c r="F191" s="19">
        <f t="shared" si="9"/>
        <v>70.913610938471095</v>
      </c>
    </row>
    <row r="192" spans="1:9" x14ac:dyDescent="0.2">
      <c r="A192" t="s">
        <v>9372</v>
      </c>
      <c r="B192" t="s">
        <v>525</v>
      </c>
      <c r="C192" s="257" t="s">
        <v>4148</v>
      </c>
      <c r="D192" s="80" t="s">
        <v>523</v>
      </c>
      <c r="E192" s="207">
        <v>114.9</v>
      </c>
      <c r="F192" s="19">
        <f t="shared" si="9"/>
        <v>71.410814170292113</v>
      </c>
      <c r="G192">
        <v>217</v>
      </c>
    </row>
    <row r="193" spans="1:10" x14ac:dyDescent="0.2">
      <c r="A193" t="s">
        <v>9368</v>
      </c>
      <c r="B193" s="27" t="s">
        <v>199</v>
      </c>
      <c r="C193" s="257" t="s">
        <v>490</v>
      </c>
      <c r="D193" s="80" t="s">
        <v>5449</v>
      </c>
      <c r="E193" s="207">
        <v>115.4</v>
      </c>
      <c r="F193" s="19">
        <f t="shared" si="9"/>
        <v>71.721566190180241</v>
      </c>
      <c r="G193">
        <v>246</v>
      </c>
    </row>
    <row r="194" spans="1:10" x14ac:dyDescent="0.2">
      <c r="A194" t="s">
        <v>9375</v>
      </c>
      <c r="B194" s="27" t="s">
        <v>5124</v>
      </c>
      <c r="C194" s="2" t="s">
        <v>1211</v>
      </c>
      <c r="D194" t="s">
        <v>4353</v>
      </c>
      <c r="E194" s="16">
        <v>117.6</v>
      </c>
      <c r="F194" s="18">
        <f t="shared" si="9"/>
        <v>73.088875077688002</v>
      </c>
    </row>
    <row r="195" spans="1:10" ht="12.75" customHeight="1" x14ac:dyDescent="0.2">
      <c r="A195" t="s">
        <v>9375</v>
      </c>
      <c r="B195" s="27" t="s">
        <v>2205</v>
      </c>
      <c r="C195" s="257" t="s">
        <v>2465</v>
      </c>
      <c r="D195" s="90" t="s">
        <v>2300</v>
      </c>
      <c r="E195" s="207">
        <v>118.7</v>
      </c>
      <c r="F195" s="18">
        <f t="shared" si="9"/>
        <v>73.772529521441896</v>
      </c>
      <c r="G195">
        <v>1402</v>
      </c>
      <c r="H195" t="s">
        <v>2021</v>
      </c>
      <c r="J195" t="s">
        <v>2203</v>
      </c>
    </row>
    <row r="196" spans="1:10" x14ac:dyDescent="0.2">
      <c r="A196" t="s">
        <v>1146</v>
      </c>
      <c r="B196" s="493" t="s">
        <v>4813</v>
      </c>
      <c r="C196" s="257" t="s">
        <v>769</v>
      </c>
      <c r="D196" s="80" t="s">
        <v>4363</v>
      </c>
      <c r="E196" s="278">
        <v>119</v>
      </c>
      <c r="F196" s="19">
        <f t="shared" si="9"/>
        <v>73.958980733374773</v>
      </c>
    </row>
    <row r="197" spans="1:10" x14ac:dyDescent="0.2">
      <c r="A197" t="s">
        <v>9371</v>
      </c>
      <c r="B197" s="27" t="s">
        <v>1628</v>
      </c>
      <c r="C197" s="2" t="s">
        <v>1095</v>
      </c>
      <c r="D197" t="s">
        <v>1096</v>
      </c>
      <c r="E197" s="16">
        <v>119.3</v>
      </c>
      <c r="F197" s="19">
        <f t="shared" si="9"/>
        <v>74.145431945307649</v>
      </c>
      <c r="G197" t="s">
        <v>5426</v>
      </c>
    </row>
    <row r="198" spans="1:10" x14ac:dyDescent="0.2">
      <c r="A198" t="s">
        <v>9363</v>
      </c>
      <c r="B198" s="552" t="s">
        <v>8856</v>
      </c>
      <c r="C198" s="2" t="s">
        <v>8855</v>
      </c>
      <c r="D198" s="80" t="s">
        <v>8857</v>
      </c>
      <c r="E198" s="16">
        <v>120.7</v>
      </c>
      <c r="F198" s="18">
        <f t="shared" si="9"/>
        <v>75.015537600994406</v>
      </c>
    </row>
    <row r="199" spans="1:10" ht="12.75" customHeight="1" x14ac:dyDescent="0.2">
      <c r="A199" t="s">
        <v>9374</v>
      </c>
      <c r="B199" t="s">
        <v>8856</v>
      </c>
      <c r="C199" s="2" t="s">
        <v>8855</v>
      </c>
      <c r="D199" t="s">
        <v>8857</v>
      </c>
      <c r="E199" s="16">
        <v>120.7</v>
      </c>
      <c r="F199" s="18">
        <f t="shared" si="9"/>
        <v>75.015537600994406</v>
      </c>
      <c r="H199" t="s">
        <v>8858</v>
      </c>
    </row>
    <row r="200" spans="1:10" ht="12.75" customHeight="1" x14ac:dyDescent="0.2">
      <c r="A200" t="s">
        <v>4292</v>
      </c>
      <c r="B200" s="27" t="s">
        <v>2657</v>
      </c>
      <c r="C200" s="2" t="s">
        <v>2655</v>
      </c>
      <c r="D200" s="5" t="s">
        <v>2656</v>
      </c>
      <c r="E200" s="292">
        <v>122.1</v>
      </c>
      <c r="F200" s="19">
        <f t="shared" si="9"/>
        <v>75.885643256681163</v>
      </c>
    </row>
    <row r="201" spans="1:10" x14ac:dyDescent="0.2">
      <c r="A201" t="s">
        <v>9371</v>
      </c>
      <c r="B201" s="27" t="s">
        <v>566</v>
      </c>
      <c r="C201" s="257" t="s">
        <v>2464</v>
      </c>
      <c r="D201" s="80" t="s">
        <v>565</v>
      </c>
      <c r="E201" s="207">
        <v>122.7</v>
      </c>
      <c r="F201" s="19">
        <f t="shared" si="9"/>
        <v>76.258545680546931</v>
      </c>
    </row>
    <row r="202" spans="1:10" ht="12.75" customHeight="1" x14ac:dyDescent="0.2">
      <c r="A202" s="80" t="s">
        <v>1151</v>
      </c>
      <c r="B202" s="27" t="s">
        <v>957</v>
      </c>
      <c r="C202" s="257" t="s">
        <v>761</v>
      </c>
      <c r="D202" s="80" t="s">
        <v>4707</v>
      </c>
      <c r="E202" s="207">
        <v>123.5</v>
      </c>
      <c r="F202" s="19">
        <f t="shared" si="9"/>
        <v>76.755748912367935</v>
      </c>
      <c r="G202">
        <v>122</v>
      </c>
      <c r="H202" t="s">
        <v>5515</v>
      </c>
    </row>
    <row r="203" spans="1:10" x14ac:dyDescent="0.2">
      <c r="A203" t="s">
        <v>1146</v>
      </c>
      <c r="B203" s="552" t="s">
        <v>4325</v>
      </c>
      <c r="C203" s="2" t="s">
        <v>4498</v>
      </c>
      <c r="D203" t="s">
        <v>3874</v>
      </c>
      <c r="E203">
        <v>124.1</v>
      </c>
      <c r="F203" s="19">
        <f t="shared" si="9"/>
        <v>77.128651336233688</v>
      </c>
    </row>
    <row r="204" spans="1:10" x14ac:dyDescent="0.2">
      <c r="A204" t="s">
        <v>9363</v>
      </c>
      <c r="B204" t="s">
        <v>4601</v>
      </c>
      <c r="C204" s="257" t="s">
        <v>4008</v>
      </c>
      <c r="D204" s="80" t="s">
        <v>4009</v>
      </c>
      <c r="E204" s="207">
        <v>124.9</v>
      </c>
      <c r="F204" s="19">
        <f t="shared" si="9"/>
        <v>77.625854568054692</v>
      </c>
      <c r="G204">
        <v>449</v>
      </c>
    </row>
    <row r="205" spans="1:10" x14ac:dyDescent="0.2">
      <c r="A205" t="s">
        <v>1146</v>
      </c>
      <c r="B205" s="27" t="s">
        <v>2816</v>
      </c>
      <c r="C205" s="2" t="s">
        <v>2449</v>
      </c>
      <c r="D205" t="s">
        <v>531</v>
      </c>
      <c r="E205" s="16">
        <v>125.9</v>
      </c>
      <c r="F205" s="19">
        <f t="shared" si="9"/>
        <v>78.247358607830961</v>
      </c>
    </row>
    <row r="206" spans="1:10" x14ac:dyDescent="0.2">
      <c r="A206" t="s">
        <v>9375</v>
      </c>
      <c r="B206" s="27" t="s">
        <v>1184</v>
      </c>
      <c r="C206" s="257" t="s">
        <v>1183</v>
      </c>
      <c r="D206" s="80" t="s">
        <v>1185</v>
      </c>
      <c r="E206" s="278">
        <v>126.2</v>
      </c>
      <c r="F206" s="19">
        <f t="shared" si="9"/>
        <v>78.433809819763837</v>
      </c>
    </row>
    <row r="207" spans="1:10" x14ac:dyDescent="0.2">
      <c r="A207" t="s">
        <v>9375</v>
      </c>
      <c r="B207" s="27" t="s">
        <v>4283</v>
      </c>
      <c r="C207" s="2" t="s">
        <v>4281</v>
      </c>
      <c r="D207" t="s">
        <v>5905</v>
      </c>
      <c r="E207" s="16">
        <v>126.7</v>
      </c>
      <c r="F207" s="18">
        <f t="shared" si="9"/>
        <v>78.744561839651965</v>
      </c>
    </row>
    <row r="208" spans="1:10" x14ac:dyDescent="0.2">
      <c r="A208" t="s">
        <v>1141</v>
      </c>
      <c r="B208" t="s">
        <v>1125</v>
      </c>
      <c r="C208" s="2" t="s">
        <v>2035</v>
      </c>
      <c r="D208" s="5" t="s">
        <v>946</v>
      </c>
      <c r="E208" s="292">
        <v>126.8</v>
      </c>
      <c r="F208" s="19">
        <f t="shared" ref="F208:F213" si="10">E208/1.609</f>
        <v>78.806712243629576</v>
      </c>
      <c r="G208">
        <v>1290</v>
      </c>
    </row>
    <row r="209" spans="1:12" x14ac:dyDescent="0.2">
      <c r="A209" t="s">
        <v>4292</v>
      </c>
      <c r="B209" s="27" t="s">
        <v>4002</v>
      </c>
      <c r="C209" s="2" t="s">
        <v>4001</v>
      </c>
      <c r="D209" t="s">
        <v>4003</v>
      </c>
      <c r="E209" s="16">
        <v>126.8</v>
      </c>
      <c r="F209" s="19">
        <f t="shared" si="10"/>
        <v>78.806712243629576</v>
      </c>
      <c r="G209" t="s">
        <v>5009</v>
      </c>
    </row>
    <row r="210" spans="1:12" x14ac:dyDescent="0.2">
      <c r="A210" s="80" t="s">
        <v>9363</v>
      </c>
      <c r="B210" s="27" t="s">
        <v>4572</v>
      </c>
      <c r="C210" s="2" t="s">
        <v>4598</v>
      </c>
      <c r="D210" t="s">
        <v>4599</v>
      </c>
      <c r="E210" s="16">
        <v>128.5</v>
      </c>
      <c r="F210" s="19">
        <f t="shared" si="10"/>
        <v>79.863269111249224</v>
      </c>
    </row>
    <row r="211" spans="1:12" x14ac:dyDescent="0.2">
      <c r="A211" t="s">
        <v>9368</v>
      </c>
      <c r="B211" s="556" t="s">
        <v>3594</v>
      </c>
      <c r="C211" s="257" t="s">
        <v>3595</v>
      </c>
      <c r="D211" s="80" t="s">
        <v>4636</v>
      </c>
      <c r="E211" s="278">
        <v>129</v>
      </c>
      <c r="F211" s="19">
        <f t="shared" si="10"/>
        <v>80.174021131137351</v>
      </c>
      <c r="G211" t="s">
        <v>4519</v>
      </c>
      <c r="L211">
        <v>1332</v>
      </c>
    </row>
    <row r="212" spans="1:12" x14ac:dyDescent="0.2">
      <c r="A212" t="s">
        <v>1146</v>
      </c>
      <c r="B212" s="27" t="s">
        <v>10626</v>
      </c>
      <c r="C212" s="2" t="s">
        <v>10627</v>
      </c>
      <c r="D212" t="s">
        <v>10628</v>
      </c>
      <c r="E212" s="13">
        <v>129.19999999999999</v>
      </c>
      <c r="F212" s="19">
        <f t="shared" si="10"/>
        <v>80.298321939092602</v>
      </c>
      <c r="H212" t="s">
        <v>10629</v>
      </c>
    </row>
    <row r="213" spans="1:12" x14ac:dyDescent="0.2">
      <c r="A213" t="s">
        <v>4292</v>
      </c>
      <c r="B213" s="27" t="s">
        <v>5625</v>
      </c>
      <c r="C213" s="2" t="s">
        <v>135</v>
      </c>
      <c r="D213" s="75" t="s">
        <v>136</v>
      </c>
      <c r="E213" s="16">
        <v>129.9</v>
      </c>
      <c r="F213" s="19">
        <f t="shared" si="10"/>
        <v>80.733374766935995</v>
      </c>
    </row>
    <row r="214" spans="1:12" x14ac:dyDescent="0.2">
      <c r="A214" t="s">
        <v>4292</v>
      </c>
      <c r="B214" s="552" t="s">
        <v>2033</v>
      </c>
      <c r="C214" s="2" t="s">
        <v>842</v>
      </c>
      <c r="D214" s="5" t="s">
        <v>2034</v>
      </c>
      <c r="E214" s="292">
        <v>130.6</v>
      </c>
      <c r="F214" s="19">
        <f t="shared" ref="F214:F221" si="11">E214/1.609</f>
        <v>81.168427594779359</v>
      </c>
      <c r="G214">
        <v>975</v>
      </c>
    </row>
    <row r="215" spans="1:12" x14ac:dyDescent="0.2">
      <c r="A215" s="80" t="s">
        <v>1151</v>
      </c>
      <c r="B215" s="329" t="s">
        <v>2503</v>
      </c>
      <c r="C215" s="257" t="s">
        <v>692</v>
      </c>
      <c r="D215" s="80" t="s">
        <v>5634</v>
      </c>
      <c r="E215" s="207">
        <v>130.80000000000001</v>
      </c>
      <c r="F215" s="19">
        <f t="shared" si="11"/>
        <v>81.292728402734625</v>
      </c>
    </row>
    <row r="216" spans="1:12" x14ac:dyDescent="0.2">
      <c r="A216" t="s">
        <v>4292</v>
      </c>
      <c r="B216" s="27" t="s">
        <v>9542</v>
      </c>
      <c r="C216" s="2" t="s">
        <v>9543</v>
      </c>
      <c r="D216" s="75" t="s">
        <v>9544</v>
      </c>
      <c r="E216" s="16">
        <v>131.4</v>
      </c>
      <c r="F216" s="19">
        <f t="shared" si="11"/>
        <v>81.665630826600378</v>
      </c>
    </row>
    <row r="217" spans="1:12" x14ac:dyDescent="0.2">
      <c r="A217" t="s">
        <v>9375</v>
      </c>
      <c r="B217" s="493" t="s">
        <v>9457</v>
      </c>
      <c r="C217" s="2" t="s">
        <v>9142</v>
      </c>
      <c r="D217" t="s">
        <v>9143</v>
      </c>
      <c r="E217" s="16">
        <v>132.19999999999999</v>
      </c>
      <c r="F217" s="18">
        <f t="shared" si="11"/>
        <v>82.162834058421367</v>
      </c>
      <c r="G217">
        <v>1840</v>
      </c>
    </row>
    <row r="218" spans="1:12" x14ac:dyDescent="0.2">
      <c r="A218" t="s">
        <v>9363</v>
      </c>
      <c r="B218" s="27" t="s">
        <v>1910</v>
      </c>
      <c r="C218" s="2" t="s">
        <v>4040</v>
      </c>
      <c r="D218" s="75" t="s">
        <v>4039</v>
      </c>
      <c r="E218" s="16">
        <v>133.30000000000001</v>
      </c>
      <c r="F218" s="19">
        <f t="shared" si="11"/>
        <v>82.846488502175276</v>
      </c>
      <c r="H218" t="s">
        <v>3930</v>
      </c>
      <c r="K218" t="s">
        <v>3931</v>
      </c>
    </row>
    <row r="219" spans="1:12" ht="12.75" customHeight="1" x14ac:dyDescent="0.2">
      <c r="A219" t="s">
        <v>9363</v>
      </c>
      <c r="B219" t="s">
        <v>1911</v>
      </c>
      <c r="C219" s="257" t="s">
        <v>5897</v>
      </c>
      <c r="D219" s="80" t="s">
        <v>155</v>
      </c>
      <c r="E219" s="207">
        <v>133.5</v>
      </c>
      <c r="F219" s="19">
        <f t="shared" si="11"/>
        <v>82.970789310130513</v>
      </c>
      <c r="G219" t="s">
        <v>4802</v>
      </c>
    </row>
    <row r="220" spans="1:12" x14ac:dyDescent="0.2">
      <c r="A220" t="s">
        <v>9363</v>
      </c>
      <c r="B220" s="552" t="s">
        <v>9540</v>
      </c>
      <c r="C220" s="257" t="s">
        <v>9206</v>
      </c>
      <c r="D220" s="80" t="s">
        <v>9207</v>
      </c>
      <c r="E220" s="207">
        <v>133.69999999999999</v>
      </c>
      <c r="F220" s="19">
        <f t="shared" si="11"/>
        <v>83.095090118085764</v>
      </c>
      <c r="H220" t="s">
        <v>9208</v>
      </c>
    </row>
    <row r="221" spans="1:12" x14ac:dyDescent="0.2">
      <c r="A221" t="s">
        <v>9363</v>
      </c>
      <c r="C221" s="257" t="s">
        <v>149</v>
      </c>
      <c r="D221" s="80" t="s">
        <v>150</v>
      </c>
      <c r="E221" s="207">
        <v>133.69999999999999</v>
      </c>
      <c r="F221" s="19">
        <f t="shared" si="11"/>
        <v>83.095090118085764</v>
      </c>
      <c r="G221">
        <v>347</v>
      </c>
      <c r="H221" t="s">
        <v>151</v>
      </c>
    </row>
    <row r="222" spans="1:12" x14ac:dyDescent="0.2">
      <c r="A222" t="s">
        <v>9363</v>
      </c>
      <c r="B222" t="s">
        <v>1912</v>
      </c>
      <c r="C222" s="2" t="s">
        <v>2624</v>
      </c>
      <c r="D222" t="s">
        <v>2625</v>
      </c>
      <c r="E222" s="13">
        <v>134.5</v>
      </c>
      <c r="F222" s="19">
        <f t="shared" ref="F222:F253" si="12">E222/1.609</f>
        <v>83.592293349906768</v>
      </c>
      <c r="G222" t="s">
        <v>2626</v>
      </c>
    </row>
    <row r="223" spans="1:12" x14ac:dyDescent="0.2">
      <c r="A223" s="80" t="s">
        <v>9363</v>
      </c>
      <c r="B223" s="27" t="s">
        <v>5227</v>
      </c>
      <c r="C223" s="2" t="s">
        <v>1964</v>
      </c>
      <c r="D223" t="s">
        <v>5228</v>
      </c>
      <c r="E223" s="292">
        <v>134.6</v>
      </c>
      <c r="F223" s="19">
        <f t="shared" si="12"/>
        <v>83.654443753884394</v>
      </c>
    </row>
    <row r="224" spans="1:12" x14ac:dyDescent="0.2">
      <c r="A224" t="s">
        <v>9368</v>
      </c>
      <c r="B224" s="27" t="s">
        <v>359</v>
      </c>
      <c r="C224" s="257" t="s">
        <v>358</v>
      </c>
      <c r="D224" s="80" t="s">
        <v>360</v>
      </c>
      <c r="E224" s="207">
        <v>135.80000000000001</v>
      </c>
      <c r="F224" s="19">
        <f t="shared" si="12"/>
        <v>84.400248601615914</v>
      </c>
      <c r="G224">
        <v>1351</v>
      </c>
      <c r="H224" t="s">
        <v>1813</v>
      </c>
    </row>
    <row r="225" spans="1:10" x14ac:dyDescent="0.2">
      <c r="A225" t="s">
        <v>9368</v>
      </c>
      <c r="B225" s="27" t="s">
        <v>1277</v>
      </c>
      <c r="C225" s="2" t="s">
        <v>5656</v>
      </c>
      <c r="D225" t="s">
        <v>5029</v>
      </c>
      <c r="E225" s="13">
        <v>137</v>
      </c>
      <c r="F225" s="18">
        <f t="shared" si="12"/>
        <v>85.14605344934742</v>
      </c>
    </row>
    <row r="226" spans="1:10" x14ac:dyDescent="0.2">
      <c r="A226" t="s">
        <v>9363</v>
      </c>
      <c r="B226" s="27" t="s">
        <v>3818</v>
      </c>
      <c r="C226" s="257" t="s">
        <v>3816</v>
      </c>
      <c r="D226" s="80" t="s">
        <v>3817</v>
      </c>
      <c r="E226" s="207">
        <v>137.4</v>
      </c>
      <c r="F226" s="19">
        <f t="shared" si="12"/>
        <v>85.394655065257922</v>
      </c>
      <c r="H226" t="s">
        <v>3819</v>
      </c>
    </row>
    <row r="227" spans="1:10" x14ac:dyDescent="0.2">
      <c r="A227" s="80" t="s">
        <v>9375</v>
      </c>
      <c r="B227" s="27" t="s">
        <v>1359</v>
      </c>
      <c r="C227" s="2" t="s">
        <v>3389</v>
      </c>
      <c r="D227" t="s">
        <v>3390</v>
      </c>
      <c r="E227" s="16">
        <v>137.69999999999999</v>
      </c>
      <c r="F227" s="18">
        <f t="shared" si="12"/>
        <v>85.581106277190798</v>
      </c>
    </row>
    <row r="228" spans="1:10" x14ac:dyDescent="0.2">
      <c r="A228" s="80" t="s">
        <v>9375</v>
      </c>
      <c r="B228" s="27" t="s">
        <v>1610</v>
      </c>
      <c r="C228" s="2" t="s">
        <v>6005</v>
      </c>
      <c r="D228" t="s">
        <v>6004</v>
      </c>
      <c r="E228" s="16">
        <v>138.19999999999999</v>
      </c>
      <c r="F228" s="18">
        <f t="shared" si="12"/>
        <v>85.891858297078926</v>
      </c>
    </row>
    <row r="229" spans="1:10" x14ac:dyDescent="0.2">
      <c r="A229" s="80" t="s">
        <v>1151</v>
      </c>
      <c r="B229" s="27" t="s">
        <v>1789</v>
      </c>
      <c r="C229" s="2" t="s">
        <v>1788</v>
      </c>
      <c r="D229" t="s">
        <v>4692</v>
      </c>
      <c r="E229" s="16">
        <v>138.5</v>
      </c>
      <c r="F229" s="19">
        <f t="shared" si="12"/>
        <v>86.078309509011802</v>
      </c>
    </row>
    <row r="230" spans="1:10" x14ac:dyDescent="0.2">
      <c r="A230" s="80" t="s">
        <v>1151</v>
      </c>
      <c r="B230" t="s">
        <v>7915</v>
      </c>
      <c r="C230" s="2" t="s">
        <v>7995</v>
      </c>
      <c r="D230" s="654" t="s">
        <v>7916</v>
      </c>
      <c r="E230" s="16">
        <v>140.30000000000001</v>
      </c>
      <c r="F230" s="18">
        <f t="shared" si="12"/>
        <v>87.197016780609076</v>
      </c>
      <c r="H230" s="80" t="s">
        <v>7917</v>
      </c>
    </row>
    <row r="231" spans="1:10" x14ac:dyDescent="0.2">
      <c r="A231" t="s">
        <v>9363</v>
      </c>
      <c r="B231" s="27" t="s">
        <v>5590</v>
      </c>
      <c r="C231" s="2" t="s">
        <v>5591</v>
      </c>
      <c r="D231" s="75" t="s">
        <v>5592</v>
      </c>
      <c r="E231" s="13">
        <v>143.69999999999999</v>
      </c>
      <c r="F231" s="19">
        <f t="shared" si="12"/>
        <v>89.310130515848343</v>
      </c>
    </row>
    <row r="232" spans="1:10" x14ac:dyDescent="0.2">
      <c r="A232" t="s">
        <v>9375</v>
      </c>
      <c r="C232" s="257" t="s">
        <v>1833</v>
      </c>
      <c r="D232" s="80" t="s">
        <v>1835</v>
      </c>
      <c r="E232" s="207">
        <v>144.69999999999999</v>
      </c>
      <c r="F232" s="19">
        <f t="shared" si="12"/>
        <v>89.931634555624612</v>
      </c>
      <c r="G232">
        <v>1498</v>
      </c>
      <c r="H232" t="s">
        <v>1834</v>
      </c>
    </row>
    <row r="233" spans="1:10" ht="12.75" customHeight="1" x14ac:dyDescent="0.2">
      <c r="A233" t="s">
        <v>9375</v>
      </c>
      <c r="B233" t="s">
        <v>1182</v>
      </c>
      <c r="C233" s="257" t="s">
        <v>1180</v>
      </c>
      <c r="D233" s="80" t="s">
        <v>1181</v>
      </c>
      <c r="E233" s="278">
        <v>145</v>
      </c>
      <c r="F233" s="19">
        <f t="shared" si="12"/>
        <v>90.118085767557488</v>
      </c>
    </row>
    <row r="234" spans="1:10" ht="12.75" customHeight="1" x14ac:dyDescent="0.2">
      <c r="A234" t="s">
        <v>9363</v>
      </c>
      <c r="B234" s="27" t="s">
        <v>3484</v>
      </c>
      <c r="C234" s="2" t="s">
        <v>5531</v>
      </c>
      <c r="D234" s="75" t="s">
        <v>5532</v>
      </c>
      <c r="E234" s="16">
        <v>146.9</v>
      </c>
      <c r="F234" s="19">
        <f t="shared" si="12"/>
        <v>91.298943443132387</v>
      </c>
    </row>
    <row r="235" spans="1:10" x14ac:dyDescent="0.2">
      <c r="A235" t="s">
        <v>9368</v>
      </c>
      <c r="B235" t="s">
        <v>198</v>
      </c>
      <c r="C235" s="257" t="s">
        <v>282</v>
      </c>
      <c r="D235" s="80" t="s">
        <v>5448</v>
      </c>
      <c r="E235" s="207">
        <v>147.30000000000001</v>
      </c>
      <c r="F235" s="19">
        <f t="shared" si="12"/>
        <v>91.547545059042889</v>
      </c>
      <c r="G235">
        <v>1071</v>
      </c>
    </row>
    <row r="236" spans="1:10" x14ac:dyDescent="0.2">
      <c r="A236" t="s">
        <v>9847</v>
      </c>
      <c r="C236" s="2" t="s">
        <v>9848</v>
      </c>
      <c r="D236" t="s">
        <v>9849</v>
      </c>
      <c r="E236" s="16">
        <v>148.30000000000001</v>
      </c>
      <c r="F236" s="19">
        <f t="shared" si="12"/>
        <v>92.169049098819144</v>
      </c>
      <c r="H236" t="s">
        <v>9850</v>
      </c>
    </row>
    <row r="237" spans="1:10" x14ac:dyDescent="0.2">
      <c r="A237" t="s">
        <v>9375</v>
      </c>
      <c r="B237" s="80" t="s">
        <v>7912</v>
      </c>
      <c r="C237" s="2" t="s">
        <v>7911</v>
      </c>
      <c r="D237" s="654" t="s">
        <v>7913</v>
      </c>
      <c r="E237" s="16">
        <v>148.4</v>
      </c>
      <c r="F237" s="19">
        <f t="shared" si="12"/>
        <v>92.23119950279677</v>
      </c>
      <c r="H237" s="80" t="s">
        <v>7914</v>
      </c>
    </row>
    <row r="238" spans="1:10" x14ac:dyDescent="0.2">
      <c r="A238" s="80" t="s">
        <v>9375</v>
      </c>
      <c r="B238" s="27" t="s">
        <v>4903</v>
      </c>
      <c r="C238" s="2" t="s">
        <v>3391</v>
      </c>
      <c r="D238" t="s">
        <v>3392</v>
      </c>
      <c r="E238" s="16">
        <v>148.69999999999999</v>
      </c>
      <c r="F238" s="18">
        <f t="shared" si="12"/>
        <v>92.417650714729646</v>
      </c>
      <c r="G238" t="s">
        <v>1963</v>
      </c>
    </row>
    <row r="239" spans="1:10" x14ac:dyDescent="0.2">
      <c r="A239" s="80" t="s">
        <v>9375</v>
      </c>
      <c r="B239" s="27" t="s">
        <v>1747</v>
      </c>
      <c r="C239" s="2" t="s">
        <v>1812</v>
      </c>
      <c r="D239" t="s">
        <v>4142</v>
      </c>
      <c r="E239" s="16">
        <v>148.80000000000001</v>
      </c>
      <c r="F239" s="19">
        <f t="shared" si="12"/>
        <v>92.479801118707286</v>
      </c>
    </row>
    <row r="240" spans="1:10" x14ac:dyDescent="0.2">
      <c r="A240" t="s">
        <v>9363</v>
      </c>
      <c r="B240" s="27" t="s">
        <v>1278</v>
      </c>
      <c r="C240" s="395" t="s">
        <v>4532</v>
      </c>
      <c r="D240" t="s">
        <v>894</v>
      </c>
      <c r="E240" s="16">
        <v>149.19999999999999</v>
      </c>
      <c r="F240" s="18">
        <f t="shared" si="12"/>
        <v>92.728402734617774</v>
      </c>
      <c r="H240" s="2" t="s">
        <v>5286</v>
      </c>
      <c r="I240" s="2"/>
      <c r="J240" s="2"/>
    </row>
    <row r="241" spans="1:14" x14ac:dyDescent="0.2">
      <c r="A241" t="s">
        <v>9363</v>
      </c>
      <c r="B241" t="s">
        <v>3637</v>
      </c>
      <c r="C241" s="2" t="s">
        <v>3633</v>
      </c>
      <c r="D241" t="s">
        <v>3639</v>
      </c>
      <c r="E241" s="16">
        <v>149.30000000000001</v>
      </c>
      <c r="F241" s="18">
        <f t="shared" si="12"/>
        <v>92.790553138595413</v>
      </c>
      <c r="G241">
        <v>1369</v>
      </c>
      <c r="H241" t="s">
        <v>3634</v>
      </c>
    </row>
    <row r="242" spans="1:14" x14ac:dyDescent="0.2">
      <c r="A242" t="s">
        <v>9371</v>
      </c>
      <c r="B242" s="27" t="s">
        <v>3566</v>
      </c>
      <c r="C242" s="2" t="s">
        <v>707</v>
      </c>
      <c r="D242" s="75" t="s">
        <v>3567</v>
      </c>
      <c r="E242" s="16">
        <v>151.19999999999999</v>
      </c>
      <c r="F242" s="18">
        <f t="shared" si="12"/>
        <v>93.971410814170284</v>
      </c>
    </row>
    <row r="243" spans="1:14" x14ac:dyDescent="0.2">
      <c r="A243" s="80" t="s">
        <v>9363</v>
      </c>
      <c r="C243" s="2" t="s">
        <v>7756</v>
      </c>
      <c r="D243" t="s">
        <v>7757</v>
      </c>
      <c r="E243" s="13">
        <v>152.4</v>
      </c>
      <c r="F243" s="19">
        <f t="shared" si="12"/>
        <v>94.717215661901804</v>
      </c>
      <c r="H243" t="s">
        <v>7758</v>
      </c>
    </row>
    <row r="244" spans="1:14" x14ac:dyDescent="0.2">
      <c r="A244" t="s">
        <v>9368</v>
      </c>
      <c r="B244" s="27" t="s">
        <v>10354</v>
      </c>
      <c r="C244" s="2" t="s">
        <v>10355</v>
      </c>
      <c r="D244" s="514" t="s">
        <v>10356</v>
      </c>
      <c r="E244" s="292">
        <v>155.1</v>
      </c>
      <c r="F244" s="19">
        <f t="shared" si="12"/>
        <v>96.395276569297693</v>
      </c>
    </row>
    <row r="245" spans="1:14" x14ac:dyDescent="0.2">
      <c r="A245" t="s">
        <v>9363</v>
      </c>
      <c r="B245" s="27" t="s">
        <v>4046</v>
      </c>
      <c r="C245" s="2" t="s">
        <v>1898</v>
      </c>
      <c r="D245" t="s">
        <v>1899</v>
      </c>
      <c r="E245" s="16">
        <v>155.1</v>
      </c>
      <c r="F245" s="18">
        <f t="shared" si="12"/>
        <v>96.395276569297693</v>
      </c>
    </row>
    <row r="246" spans="1:14" x14ac:dyDescent="0.2">
      <c r="A246" s="80" t="s">
        <v>9375</v>
      </c>
      <c r="B246" s="27" t="s">
        <v>2562</v>
      </c>
      <c r="C246" s="2" t="s">
        <v>2560</v>
      </c>
      <c r="D246" t="s">
        <v>2561</v>
      </c>
      <c r="E246" s="292">
        <v>155.1</v>
      </c>
      <c r="F246" s="18">
        <f t="shared" si="12"/>
        <v>96.395276569297693</v>
      </c>
    </row>
    <row r="247" spans="1:14" x14ac:dyDescent="0.2">
      <c r="A247" t="s">
        <v>9363</v>
      </c>
      <c r="B247" s="552" t="s">
        <v>3638</v>
      </c>
      <c r="C247" s="2" t="s">
        <v>3636</v>
      </c>
      <c r="D247" t="s">
        <v>3635</v>
      </c>
      <c r="E247" s="16">
        <v>156.4</v>
      </c>
      <c r="F247" s="18">
        <f t="shared" si="12"/>
        <v>97.203231821006838</v>
      </c>
      <c r="G247">
        <v>68</v>
      </c>
    </row>
    <row r="248" spans="1:14" x14ac:dyDescent="0.2">
      <c r="A248" t="s">
        <v>5817</v>
      </c>
      <c r="B248" t="s">
        <v>10831</v>
      </c>
      <c r="C248" s="2" t="s">
        <v>10793</v>
      </c>
      <c r="D248" s="80" t="s">
        <v>10794</v>
      </c>
      <c r="E248" s="16">
        <v>157.19999999999999</v>
      </c>
      <c r="F248" s="18">
        <f t="shared" si="12"/>
        <v>97.700435052827842</v>
      </c>
    </row>
    <row r="249" spans="1:14" x14ac:dyDescent="0.2">
      <c r="A249" s="80" t="s">
        <v>9375</v>
      </c>
      <c r="B249" s="493" t="s">
        <v>8963</v>
      </c>
      <c r="C249" s="2" t="s">
        <v>9851</v>
      </c>
      <c r="D249" s="80" t="s">
        <v>8965</v>
      </c>
      <c r="E249" s="16">
        <v>158.1</v>
      </c>
      <c r="F249" s="19">
        <f t="shared" si="12"/>
        <v>98.259788688626472</v>
      </c>
    </row>
    <row r="250" spans="1:14" x14ac:dyDescent="0.2">
      <c r="A250" t="s">
        <v>9368</v>
      </c>
      <c r="B250" s="27" t="s">
        <v>4284</v>
      </c>
      <c r="C250" s="2" t="s">
        <v>456</v>
      </c>
      <c r="D250" t="s">
        <v>5904</v>
      </c>
      <c r="E250" s="16">
        <v>159.69999999999999</v>
      </c>
      <c r="F250" s="18">
        <f t="shared" si="12"/>
        <v>99.25419515226848</v>
      </c>
    </row>
    <row r="251" spans="1:14" x14ac:dyDescent="0.2">
      <c r="A251" t="s">
        <v>9368</v>
      </c>
      <c r="B251" s="27" t="s">
        <v>357</v>
      </c>
      <c r="C251" s="257" t="s">
        <v>355</v>
      </c>
      <c r="D251" s="80" t="s">
        <v>356</v>
      </c>
      <c r="E251" s="207">
        <v>162.6</v>
      </c>
      <c r="F251" s="19">
        <f t="shared" si="12"/>
        <v>101.05655686761963</v>
      </c>
      <c r="G251">
        <v>1339</v>
      </c>
      <c r="H251" t="s">
        <v>5515</v>
      </c>
    </row>
    <row r="252" spans="1:14" x14ac:dyDescent="0.2">
      <c r="A252" t="s">
        <v>9375</v>
      </c>
      <c r="B252" s="27" t="s">
        <v>3397</v>
      </c>
      <c r="C252" s="2" t="s">
        <v>4876</v>
      </c>
      <c r="D252" t="s">
        <v>4877</v>
      </c>
      <c r="E252" s="16">
        <v>162.80000000000001</v>
      </c>
      <c r="F252" s="19">
        <f t="shared" si="12"/>
        <v>101.1808576755749</v>
      </c>
    </row>
    <row r="253" spans="1:14" x14ac:dyDescent="0.2">
      <c r="A253" t="s">
        <v>9368</v>
      </c>
      <c r="B253" t="s">
        <v>794</v>
      </c>
      <c r="C253" s="454" t="s">
        <v>792</v>
      </c>
      <c r="D253" t="s">
        <v>793</v>
      </c>
      <c r="E253" s="16">
        <v>163.30000000000001</v>
      </c>
      <c r="F253" s="19">
        <f t="shared" si="12"/>
        <v>101.49160969546303</v>
      </c>
      <c r="G253" s="457">
        <v>414</v>
      </c>
      <c r="H253" t="s">
        <v>3862</v>
      </c>
      <c r="M253"/>
      <c r="N253" s="10"/>
    </row>
    <row r="254" spans="1:14" x14ac:dyDescent="0.2">
      <c r="A254" t="s">
        <v>4293</v>
      </c>
      <c r="B254" t="s">
        <v>3505</v>
      </c>
      <c r="C254" s="2" t="s">
        <v>2634</v>
      </c>
      <c r="D254" t="s">
        <v>5088</v>
      </c>
      <c r="E254" s="16">
        <v>163.9</v>
      </c>
      <c r="F254" s="19">
        <f t="shared" ref="F254:F285" si="13">E254/1.609</f>
        <v>101.86451211932878</v>
      </c>
      <c r="G254">
        <v>469</v>
      </c>
      <c r="H254" t="s">
        <v>5089</v>
      </c>
      <c r="K254" t="s">
        <v>3501</v>
      </c>
    </row>
    <row r="255" spans="1:14" x14ac:dyDescent="0.2">
      <c r="A255" t="s">
        <v>9368</v>
      </c>
      <c r="B255" s="27" t="s">
        <v>2917</v>
      </c>
      <c r="C255" s="2" t="s">
        <v>4220</v>
      </c>
      <c r="D255" t="s">
        <v>4221</v>
      </c>
      <c r="E255" s="16">
        <v>164.4</v>
      </c>
      <c r="F255" s="18">
        <f t="shared" si="13"/>
        <v>102.17526413921691</v>
      </c>
      <c r="G255">
        <v>153</v>
      </c>
      <c r="I255" t="s">
        <v>4222</v>
      </c>
    </row>
    <row r="256" spans="1:14" x14ac:dyDescent="0.2">
      <c r="A256" t="s">
        <v>5817</v>
      </c>
      <c r="C256" s="2" t="s">
        <v>8151</v>
      </c>
      <c r="D256" t="s">
        <v>8152</v>
      </c>
      <c r="E256" s="16">
        <v>165.3</v>
      </c>
      <c r="F256" s="18">
        <f t="shared" si="13"/>
        <v>102.73461777501555</v>
      </c>
      <c r="G256">
        <v>168</v>
      </c>
      <c r="H256" t="s">
        <v>8153</v>
      </c>
    </row>
    <row r="257" spans="1:12" x14ac:dyDescent="0.2">
      <c r="A257" t="s">
        <v>9368</v>
      </c>
      <c r="B257" s="493" t="s">
        <v>9057</v>
      </c>
      <c r="C257" s="2" t="s">
        <v>9060</v>
      </c>
      <c r="D257" s="80" t="s">
        <v>9059</v>
      </c>
      <c r="E257" s="16">
        <v>166.4</v>
      </c>
      <c r="F257" s="18">
        <f t="shared" si="13"/>
        <v>103.41827221876943</v>
      </c>
      <c r="H257" s="80" t="s">
        <v>9058</v>
      </c>
      <c r="I257" s="80"/>
      <c r="J257" s="80"/>
    </row>
    <row r="258" spans="1:12" x14ac:dyDescent="0.2">
      <c r="A258" t="s">
        <v>9375</v>
      </c>
      <c r="B258" t="s">
        <v>5579</v>
      </c>
      <c r="C258" s="2" t="s">
        <v>4515</v>
      </c>
      <c r="D258" s="75" t="s">
        <v>3223</v>
      </c>
      <c r="E258" s="16">
        <v>166.9</v>
      </c>
      <c r="F258" s="19">
        <f t="shared" si="13"/>
        <v>103.72902423865756</v>
      </c>
      <c r="G258" t="s">
        <v>4514</v>
      </c>
      <c r="L258" t="s">
        <v>2859</v>
      </c>
    </row>
    <row r="259" spans="1:12" x14ac:dyDescent="0.2">
      <c r="A259" t="s">
        <v>9368</v>
      </c>
      <c r="B259" s="27" t="s">
        <v>1455</v>
      </c>
      <c r="C259" s="2" t="s">
        <v>1456</v>
      </c>
      <c r="D259" t="s">
        <v>931</v>
      </c>
      <c r="E259" s="16">
        <v>167.7</v>
      </c>
      <c r="F259" s="19">
        <f t="shared" si="13"/>
        <v>104.22622747047855</v>
      </c>
    </row>
    <row r="260" spans="1:12" x14ac:dyDescent="0.2">
      <c r="A260" t="s">
        <v>9368</v>
      </c>
      <c r="B260" s="27" t="s">
        <v>4987</v>
      </c>
      <c r="C260" s="2" t="s">
        <v>5554</v>
      </c>
      <c r="D260" t="s">
        <v>1369</v>
      </c>
      <c r="E260" s="13">
        <v>168.2</v>
      </c>
      <c r="F260" s="19">
        <f t="shared" si="13"/>
        <v>104.53697949036668</v>
      </c>
      <c r="G260" t="s">
        <v>3099</v>
      </c>
    </row>
    <row r="261" spans="1:12" x14ac:dyDescent="0.2">
      <c r="A261" t="s">
        <v>9368</v>
      </c>
      <c r="B261" s="27" t="s">
        <v>1623</v>
      </c>
      <c r="C261" s="2" t="s">
        <v>226</v>
      </c>
      <c r="D261" t="s">
        <v>1626</v>
      </c>
      <c r="E261" s="13">
        <v>169</v>
      </c>
      <c r="F261" s="89">
        <f t="shared" si="13"/>
        <v>105.03418272218769</v>
      </c>
    </row>
    <row r="262" spans="1:12" x14ac:dyDescent="0.2">
      <c r="A262" t="s">
        <v>9371</v>
      </c>
      <c r="B262" t="s">
        <v>808</v>
      </c>
      <c r="C262" s="257" t="s">
        <v>5236</v>
      </c>
      <c r="D262" s="80" t="s">
        <v>4712</v>
      </c>
      <c r="E262" s="207">
        <v>169.3</v>
      </c>
      <c r="F262" s="19">
        <f t="shared" si="13"/>
        <v>105.22063393412058</v>
      </c>
      <c r="G262">
        <v>148</v>
      </c>
    </row>
    <row r="263" spans="1:12" x14ac:dyDescent="0.2">
      <c r="A263" t="s">
        <v>4293</v>
      </c>
      <c r="B263" s="27" t="s">
        <v>3506</v>
      </c>
      <c r="C263" s="2" t="s">
        <v>3502</v>
      </c>
      <c r="D263" t="s">
        <v>3504</v>
      </c>
      <c r="E263" s="16">
        <v>169.7</v>
      </c>
      <c r="F263" s="19">
        <f t="shared" si="13"/>
        <v>105.46923555003107</v>
      </c>
      <c r="G263">
        <v>101</v>
      </c>
      <c r="H263" t="s">
        <v>3503</v>
      </c>
    </row>
    <row r="264" spans="1:12" x14ac:dyDescent="0.2">
      <c r="A264" t="s">
        <v>9375</v>
      </c>
      <c r="B264" s="27" t="s">
        <v>9462</v>
      </c>
      <c r="C264" s="2" t="s">
        <v>9463</v>
      </c>
      <c r="D264" s="80" t="s">
        <v>9464</v>
      </c>
      <c r="E264" s="16">
        <v>170</v>
      </c>
      <c r="F264" s="19">
        <f t="shared" si="13"/>
        <v>105.65568676196395</v>
      </c>
      <c r="G264" s="80" t="s">
        <v>1152</v>
      </c>
    </row>
    <row r="265" spans="1:12" x14ac:dyDescent="0.2">
      <c r="A265" t="s">
        <v>9375</v>
      </c>
      <c r="B265" s="27" t="s">
        <v>5989</v>
      </c>
      <c r="C265" s="2" t="s">
        <v>5087</v>
      </c>
      <c r="D265" t="s">
        <v>3376</v>
      </c>
      <c r="E265" s="16">
        <v>170.9</v>
      </c>
      <c r="F265" s="19">
        <f t="shared" si="13"/>
        <v>106.21504039776259</v>
      </c>
    </row>
    <row r="266" spans="1:12" x14ac:dyDescent="0.2">
      <c r="A266" t="s">
        <v>9363</v>
      </c>
      <c r="B266" s="27" t="s">
        <v>3774</v>
      </c>
      <c r="C266" s="2" t="s">
        <v>3773</v>
      </c>
      <c r="D266" t="s">
        <v>3775</v>
      </c>
      <c r="E266" s="16">
        <v>171.8</v>
      </c>
      <c r="F266" s="19">
        <f t="shared" si="13"/>
        <v>106.77439403356122</v>
      </c>
      <c r="I266" s="80" t="s">
        <v>11853</v>
      </c>
    </row>
    <row r="267" spans="1:12" x14ac:dyDescent="0.2">
      <c r="A267" t="s">
        <v>1151</v>
      </c>
      <c r="B267" t="s">
        <v>4615</v>
      </c>
      <c r="C267" s="2" t="s">
        <v>4614</v>
      </c>
      <c r="D267" t="s">
        <v>4616</v>
      </c>
      <c r="E267" s="13">
        <v>172</v>
      </c>
      <c r="F267" s="89">
        <f t="shared" si="13"/>
        <v>106.89869484151647</v>
      </c>
      <c r="G267">
        <v>632</v>
      </c>
    </row>
    <row r="268" spans="1:12" x14ac:dyDescent="0.2">
      <c r="A268" t="s">
        <v>9368</v>
      </c>
      <c r="B268" s="27" t="s">
        <v>930</v>
      </c>
      <c r="C268" s="2" t="s">
        <v>933</v>
      </c>
      <c r="D268" t="s">
        <v>932</v>
      </c>
      <c r="E268" s="16">
        <v>172.7</v>
      </c>
      <c r="F268" s="19">
        <f t="shared" si="13"/>
        <v>107.33374766935985</v>
      </c>
    </row>
    <row r="269" spans="1:12" x14ac:dyDescent="0.2">
      <c r="A269" t="s">
        <v>9368</v>
      </c>
      <c r="B269" s="27" t="s">
        <v>196</v>
      </c>
      <c r="C269" s="257" t="s">
        <v>492</v>
      </c>
      <c r="D269" s="80" t="s">
        <v>491</v>
      </c>
      <c r="E269" s="207">
        <v>173.9</v>
      </c>
      <c r="F269" s="19">
        <f t="shared" si="13"/>
        <v>108.07955251709137</v>
      </c>
      <c r="G269">
        <v>1264</v>
      </c>
    </row>
    <row r="270" spans="1:12" x14ac:dyDescent="0.2">
      <c r="A270" t="s">
        <v>4293</v>
      </c>
      <c r="B270" s="27" t="s">
        <v>4966</v>
      </c>
      <c r="C270" s="257" t="s">
        <v>3403</v>
      </c>
      <c r="D270" s="80" t="s">
        <v>3402</v>
      </c>
      <c r="E270" s="207">
        <v>174.4</v>
      </c>
      <c r="F270" s="19">
        <f t="shared" si="13"/>
        <v>108.3903045369795</v>
      </c>
      <c r="G270" t="s">
        <v>3804</v>
      </c>
    </row>
    <row r="271" spans="1:12" x14ac:dyDescent="0.2">
      <c r="A271" t="s">
        <v>9375</v>
      </c>
      <c r="B271" s="493" t="s">
        <v>6287</v>
      </c>
      <c r="C271" s="2" t="s">
        <v>3157</v>
      </c>
      <c r="D271" s="80" t="s">
        <v>6288</v>
      </c>
      <c r="E271" s="16">
        <v>176.4</v>
      </c>
      <c r="F271" s="19">
        <f t="shared" si="13"/>
        <v>109.63331261653201</v>
      </c>
    </row>
    <row r="272" spans="1:12" x14ac:dyDescent="0.2">
      <c r="A272" t="s">
        <v>4293</v>
      </c>
      <c r="B272" s="27" t="s">
        <v>1511</v>
      </c>
      <c r="C272" s="2" t="s">
        <v>1510</v>
      </c>
      <c r="D272" s="93" t="s">
        <v>5054</v>
      </c>
      <c r="E272" s="16">
        <v>177.6</v>
      </c>
      <c r="F272" s="19">
        <f t="shared" si="13"/>
        <v>110.37911746426352</v>
      </c>
      <c r="G272" t="s">
        <v>2387</v>
      </c>
    </row>
    <row r="273" spans="1:8" x14ac:dyDescent="0.2">
      <c r="A273" t="s">
        <v>9368</v>
      </c>
      <c r="B273" s="27" t="s">
        <v>5296</v>
      </c>
      <c r="C273" s="2" t="s">
        <v>5289</v>
      </c>
      <c r="D273" s="75" t="s">
        <v>493</v>
      </c>
      <c r="E273" s="16">
        <v>178.2</v>
      </c>
      <c r="F273" s="18">
        <f t="shared" si="13"/>
        <v>110.75201988812927</v>
      </c>
    </row>
    <row r="274" spans="1:8" x14ac:dyDescent="0.2">
      <c r="A274" t="s">
        <v>9368</v>
      </c>
      <c r="B274" s="552" t="s">
        <v>5296</v>
      </c>
      <c r="C274" s="257" t="s">
        <v>5295</v>
      </c>
      <c r="D274" s="80" t="s">
        <v>493</v>
      </c>
      <c r="E274" s="207">
        <v>178.2</v>
      </c>
      <c r="F274" s="19">
        <f t="shared" si="13"/>
        <v>110.75201988812927</v>
      </c>
      <c r="G274">
        <v>182</v>
      </c>
    </row>
    <row r="275" spans="1:8" x14ac:dyDescent="0.2">
      <c r="A275" t="s">
        <v>9368</v>
      </c>
      <c r="B275" t="s">
        <v>200</v>
      </c>
      <c r="C275" s="454" t="s">
        <v>5480</v>
      </c>
      <c r="D275" t="s">
        <v>2224</v>
      </c>
      <c r="E275" s="13">
        <v>178.4</v>
      </c>
      <c r="F275" s="18">
        <f t="shared" si="13"/>
        <v>110.87632069608453</v>
      </c>
      <c r="G275">
        <v>570</v>
      </c>
    </row>
    <row r="276" spans="1:8" x14ac:dyDescent="0.2">
      <c r="A276" t="s">
        <v>9368</v>
      </c>
      <c r="B276" s="27" t="s">
        <v>6398</v>
      </c>
      <c r="C276" s="2" t="s">
        <v>6399</v>
      </c>
      <c r="D276" t="s">
        <v>6400</v>
      </c>
      <c r="E276" s="16">
        <v>178.7</v>
      </c>
      <c r="F276" s="19">
        <f t="shared" si="13"/>
        <v>111.0627719080174</v>
      </c>
    </row>
    <row r="277" spans="1:8" x14ac:dyDescent="0.2">
      <c r="A277" t="s">
        <v>9368</v>
      </c>
      <c r="B277" s="27" t="s">
        <v>6419</v>
      </c>
      <c r="C277" s="2" t="s">
        <v>6413</v>
      </c>
      <c r="D277" s="514" t="s">
        <v>6412</v>
      </c>
      <c r="E277" s="16">
        <v>181.2</v>
      </c>
      <c r="F277" s="18">
        <f t="shared" si="13"/>
        <v>112.61653200745805</v>
      </c>
      <c r="H277" s="80" t="s">
        <v>6414</v>
      </c>
    </row>
    <row r="278" spans="1:8" x14ac:dyDescent="0.2">
      <c r="A278" t="s">
        <v>5817</v>
      </c>
      <c r="B278" s="552" t="s">
        <v>846</v>
      </c>
      <c r="C278" s="2" t="s">
        <v>646</v>
      </c>
      <c r="D278" s="90" t="s">
        <v>647</v>
      </c>
      <c r="E278" s="13">
        <v>182</v>
      </c>
      <c r="F278" s="19">
        <f t="shared" si="13"/>
        <v>113.11373523927905</v>
      </c>
    </row>
    <row r="279" spans="1:8" x14ac:dyDescent="0.2">
      <c r="A279" t="s">
        <v>9363</v>
      </c>
      <c r="B279" s="552" t="s">
        <v>3453</v>
      </c>
      <c r="C279" s="2" t="s">
        <v>3422</v>
      </c>
      <c r="D279" s="75" t="s">
        <v>3454</v>
      </c>
      <c r="E279" s="13">
        <v>182</v>
      </c>
      <c r="F279" s="19">
        <f t="shared" si="13"/>
        <v>113.11373523927905</v>
      </c>
    </row>
    <row r="280" spans="1:8" x14ac:dyDescent="0.2">
      <c r="A280" t="s">
        <v>4293</v>
      </c>
      <c r="B280" s="27" t="s">
        <v>5512</v>
      </c>
      <c r="C280" s="257" t="s">
        <v>5511</v>
      </c>
      <c r="D280" s="80" t="s">
        <v>5509</v>
      </c>
      <c r="E280" s="207">
        <v>182.3</v>
      </c>
      <c r="F280" s="19">
        <f t="shared" si="13"/>
        <v>113.30018645121194</v>
      </c>
      <c r="G280">
        <v>1345</v>
      </c>
      <c r="H280" t="s">
        <v>5510</v>
      </c>
    </row>
    <row r="281" spans="1:8" x14ac:dyDescent="0.2">
      <c r="A281" t="s">
        <v>4293</v>
      </c>
      <c r="B281" s="552" t="s">
        <v>956</v>
      </c>
      <c r="C281" s="257" t="s">
        <v>762</v>
      </c>
      <c r="D281" s="80" t="s">
        <v>4708</v>
      </c>
      <c r="E281" s="207">
        <v>183.1</v>
      </c>
      <c r="F281" s="19">
        <f t="shared" si="13"/>
        <v>113.79738968303293</v>
      </c>
      <c r="G281">
        <v>1289</v>
      </c>
      <c r="H281" t="s">
        <v>5514</v>
      </c>
    </row>
    <row r="282" spans="1:8" x14ac:dyDescent="0.2">
      <c r="A282" t="s">
        <v>4293</v>
      </c>
      <c r="B282" s="27" t="s">
        <v>3313</v>
      </c>
      <c r="C282" s="2" t="s">
        <v>1535</v>
      </c>
      <c r="D282" s="93" t="s">
        <v>117</v>
      </c>
      <c r="E282" s="16">
        <v>183.2</v>
      </c>
      <c r="F282" s="19">
        <f t="shared" si="13"/>
        <v>113.85954008701056</v>
      </c>
    </row>
    <row r="283" spans="1:8" x14ac:dyDescent="0.2">
      <c r="A283" t="s">
        <v>4293</v>
      </c>
      <c r="B283" s="27" t="s">
        <v>1736</v>
      </c>
      <c r="C283" s="2" t="s">
        <v>2961</v>
      </c>
      <c r="D283" s="93" t="s">
        <v>1737</v>
      </c>
      <c r="E283" s="16">
        <v>184.6</v>
      </c>
      <c r="F283" s="19">
        <f t="shared" si="13"/>
        <v>114.72964574269733</v>
      </c>
      <c r="G283">
        <v>696</v>
      </c>
      <c r="H283" t="s">
        <v>2855</v>
      </c>
    </row>
    <row r="284" spans="1:8" x14ac:dyDescent="0.2">
      <c r="A284" t="s">
        <v>9368</v>
      </c>
      <c r="B284" t="s">
        <v>197</v>
      </c>
      <c r="C284" s="454" t="s">
        <v>158</v>
      </c>
      <c r="D284" t="s">
        <v>159</v>
      </c>
      <c r="E284" s="13">
        <v>192.1</v>
      </c>
      <c r="F284" s="18">
        <f t="shared" si="13"/>
        <v>119.39092604101927</v>
      </c>
      <c r="G284">
        <v>149</v>
      </c>
    </row>
    <row r="285" spans="1:8" x14ac:dyDescent="0.2">
      <c r="A285" t="s">
        <v>4293</v>
      </c>
      <c r="B285" s="27" t="s">
        <v>2998</v>
      </c>
      <c r="C285" s="2" t="s">
        <v>4369</v>
      </c>
      <c r="D285" s="90" t="s">
        <v>4370</v>
      </c>
      <c r="E285" s="16">
        <v>192.1</v>
      </c>
      <c r="F285" s="19">
        <f t="shared" si="13"/>
        <v>119.39092604101927</v>
      </c>
    </row>
    <row r="286" spans="1:8" x14ac:dyDescent="0.2">
      <c r="A286" t="s">
        <v>9375</v>
      </c>
      <c r="B286" s="27" t="s">
        <v>3108</v>
      </c>
      <c r="C286" s="2" t="s">
        <v>4443</v>
      </c>
      <c r="D286" s="5" t="s">
        <v>1897</v>
      </c>
      <c r="E286" s="13">
        <v>192.2</v>
      </c>
      <c r="F286" s="19">
        <f t="shared" ref="F286:F298" si="14">E286/1.609</f>
        <v>119.45307644499688</v>
      </c>
    </row>
    <row r="287" spans="1:8" x14ac:dyDescent="0.2">
      <c r="A287" t="s">
        <v>9368</v>
      </c>
      <c r="B287" s="27" t="s">
        <v>4115</v>
      </c>
      <c r="C287" s="257" t="s">
        <v>4117</v>
      </c>
      <c r="D287" s="80" t="s">
        <v>4706</v>
      </c>
      <c r="E287" s="207">
        <v>192.5</v>
      </c>
      <c r="F287" s="19">
        <f t="shared" si="14"/>
        <v>119.63952765692977</v>
      </c>
      <c r="G287">
        <v>1329</v>
      </c>
      <c r="H287" t="s">
        <v>125</v>
      </c>
    </row>
    <row r="288" spans="1:8" x14ac:dyDescent="0.2">
      <c r="A288" t="s">
        <v>9368</v>
      </c>
      <c r="B288" s="27" t="s">
        <v>1090</v>
      </c>
      <c r="C288" s="257" t="s">
        <v>2295</v>
      </c>
      <c r="D288" s="80" t="s">
        <v>2296</v>
      </c>
      <c r="E288" s="207">
        <v>192.6</v>
      </c>
      <c r="F288" s="19">
        <f t="shared" si="14"/>
        <v>119.7016780609074</v>
      </c>
      <c r="G288">
        <v>213</v>
      </c>
      <c r="H288" t="s">
        <v>2297</v>
      </c>
    </row>
    <row r="289" spans="1:9" x14ac:dyDescent="0.2">
      <c r="A289" t="s">
        <v>4293</v>
      </c>
      <c r="B289" t="s">
        <v>3314</v>
      </c>
      <c r="C289" s="2" t="s">
        <v>2637</v>
      </c>
      <c r="D289" t="s">
        <v>3312</v>
      </c>
      <c r="E289" s="13">
        <v>193</v>
      </c>
      <c r="F289" s="19">
        <f t="shared" si="14"/>
        <v>119.9502796768179</v>
      </c>
    </row>
    <row r="290" spans="1:9" x14ac:dyDescent="0.2">
      <c r="A290" t="s">
        <v>5817</v>
      </c>
      <c r="B290" t="s">
        <v>809</v>
      </c>
      <c r="C290" s="257" t="s">
        <v>764</v>
      </c>
      <c r="D290" s="80" t="s">
        <v>4704</v>
      </c>
      <c r="E290" s="278">
        <v>193</v>
      </c>
      <c r="F290" s="19">
        <f t="shared" si="14"/>
        <v>119.9502796768179</v>
      </c>
      <c r="G290">
        <v>1315</v>
      </c>
      <c r="H290" t="s">
        <v>5514</v>
      </c>
    </row>
    <row r="291" spans="1:9" x14ac:dyDescent="0.2">
      <c r="A291" s="80"/>
      <c r="B291" s="493" t="s">
        <v>10979</v>
      </c>
      <c r="C291" s="2" t="s">
        <v>10978</v>
      </c>
      <c r="D291" s="80" t="s">
        <v>10980</v>
      </c>
      <c r="E291" s="292">
        <v>193.7</v>
      </c>
      <c r="F291" s="19">
        <f t="shared" si="14"/>
        <v>120.38533250466128</v>
      </c>
    </row>
    <row r="292" spans="1:9" x14ac:dyDescent="0.2">
      <c r="A292" t="s">
        <v>5817</v>
      </c>
      <c r="B292" s="27" t="s">
        <v>5185</v>
      </c>
      <c r="C292" s="2" t="s">
        <v>5186</v>
      </c>
      <c r="D292" t="s">
        <v>5187</v>
      </c>
      <c r="E292" s="16">
        <v>193.8</v>
      </c>
      <c r="F292" s="19">
        <f t="shared" si="14"/>
        <v>120.44748290863892</v>
      </c>
    </row>
    <row r="293" spans="1:9" x14ac:dyDescent="0.2">
      <c r="A293" t="s">
        <v>9363</v>
      </c>
      <c r="B293" s="27" t="s">
        <v>740</v>
      </c>
      <c r="C293" s="2" t="s">
        <v>789</v>
      </c>
      <c r="D293" t="s">
        <v>791</v>
      </c>
      <c r="E293" s="16">
        <v>196.3</v>
      </c>
      <c r="F293" s="19">
        <f t="shared" si="14"/>
        <v>122.00124300807956</v>
      </c>
      <c r="G293">
        <v>681</v>
      </c>
      <c r="H293" t="s">
        <v>3704</v>
      </c>
    </row>
    <row r="294" spans="1:9" ht="12.75" customHeight="1" x14ac:dyDescent="0.2">
      <c r="A294" t="s">
        <v>5817</v>
      </c>
      <c r="B294" s="27" t="s">
        <v>5457</v>
      </c>
      <c r="C294" s="2" t="s">
        <v>1838</v>
      </c>
      <c r="D294" t="s">
        <v>5459</v>
      </c>
      <c r="E294" s="16">
        <v>197.8</v>
      </c>
      <c r="F294" s="19">
        <f t="shared" si="14"/>
        <v>122.93349906774395</v>
      </c>
    </row>
    <row r="295" spans="1:9" ht="12.75" customHeight="1" x14ac:dyDescent="0.2">
      <c r="A295" t="s">
        <v>9368</v>
      </c>
      <c r="B295" t="s">
        <v>1454</v>
      </c>
      <c r="C295" s="454" t="s">
        <v>3090</v>
      </c>
      <c r="D295" t="s">
        <v>1453</v>
      </c>
      <c r="E295" s="16">
        <v>203.2</v>
      </c>
      <c r="F295" s="19">
        <f t="shared" si="14"/>
        <v>126.28962088253573</v>
      </c>
      <c r="G295">
        <v>572</v>
      </c>
    </row>
    <row r="296" spans="1:9" x14ac:dyDescent="0.2">
      <c r="A296" t="s">
        <v>5817</v>
      </c>
      <c r="B296" t="s">
        <v>5010</v>
      </c>
      <c r="C296" s="2" t="s">
        <v>4871</v>
      </c>
      <c r="D296" t="s">
        <v>5011</v>
      </c>
      <c r="E296" s="13">
        <v>203.3</v>
      </c>
      <c r="F296" s="19">
        <f t="shared" si="14"/>
        <v>126.35177128651337</v>
      </c>
    </row>
    <row r="297" spans="1:9" x14ac:dyDescent="0.2">
      <c r="A297" t="s">
        <v>9363</v>
      </c>
      <c r="C297" s="257" t="s">
        <v>5423</v>
      </c>
      <c r="D297" s="80" t="s">
        <v>5424</v>
      </c>
      <c r="E297" s="207">
        <v>205.9</v>
      </c>
      <c r="F297" s="19">
        <f t="shared" si="14"/>
        <v>127.96768178993165</v>
      </c>
      <c r="G297">
        <v>580</v>
      </c>
      <c r="H297" t="s">
        <v>5425</v>
      </c>
    </row>
    <row r="298" spans="1:9" ht="12.75" customHeight="1" x14ac:dyDescent="0.2">
      <c r="A298" t="s">
        <v>9368</v>
      </c>
      <c r="B298" s="27" t="s">
        <v>1331</v>
      </c>
      <c r="C298" s="257" t="s">
        <v>1392</v>
      </c>
      <c r="D298" s="80" t="s">
        <v>1391</v>
      </c>
      <c r="E298" s="207">
        <v>208.5</v>
      </c>
      <c r="F298" s="19">
        <f t="shared" si="14"/>
        <v>129.58359229334991</v>
      </c>
      <c r="G298">
        <v>1437</v>
      </c>
      <c r="H298" t="s">
        <v>247</v>
      </c>
      <c r="I298" t="s">
        <v>1393</v>
      </c>
    </row>
    <row r="299" spans="1:9" x14ac:dyDescent="0.2">
      <c r="A299" t="s">
        <v>9375</v>
      </c>
      <c r="B299" s="27" t="s">
        <v>1375</v>
      </c>
      <c r="C299" s="2" t="s">
        <v>4223</v>
      </c>
      <c r="D299" t="s">
        <v>2524</v>
      </c>
      <c r="E299" s="13">
        <v>208.8</v>
      </c>
      <c r="F299" s="19">
        <f t="shared" ref="F299:F321" si="15">E299/1.609</f>
        <v>129.77004350528279</v>
      </c>
    </row>
    <row r="300" spans="1:9" x14ac:dyDescent="0.2">
      <c r="A300" t="s">
        <v>9375</v>
      </c>
      <c r="B300" s="27" t="s">
        <v>1906</v>
      </c>
      <c r="C300" s="2" t="s">
        <v>4179</v>
      </c>
      <c r="D300" t="s">
        <v>4792</v>
      </c>
      <c r="E300" s="13">
        <v>210.7</v>
      </c>
      <c r="F300" s="19">
        <f t="shared" si="15"/>
        <v>130.95090118085767</v>
      </c>
      <c r="G300">
        <v>628</v>
      </c>
    </row>
    <row r="301" spans="1:9" x14ac:dyDescent="0.2">
      <c r="A301" t="s">
        <v>9363</v>
      </c>
      <c r="B301" s="552" t="s">
        <v>4122</v>
      </c>
      <c r="C301" s="257" t="s">
        <v>4120</v>
      </c>
      <c r="D301" s="80" t="s">
        <v>4121</v>
      </c>
      <c r="E301" s="207">
        <v>215.5</v>
      </c>
      <c r="F301" s="19">
        <f t="shared" si="15"/>
        <v>133.93412057178372</v>
      </c>
      <c r="G301">
        <v>161</v>
      </c>
      <c r="H301" t="s">
        <v>4054</v>
      </c>
    </row>
    <row r="302" spans="1:9" x14ac:dyDescent="0.2">
      <c r="A302" t="s">
        <v>9366</v>
      </c>
      <c r="B302" s="493" t="s">
        <v>8456</v>
      </c>
      <c r="C302" s="2" t="s">
        <v>4634</v>
      </c>
      <c r="D302" t="s">
        <v>8513</v>
      </c>
      <c r="E302" s="13">
        <v>216</v>
      </c>
      <c r="F302" s="18">
        <f t="shared" si="15"/>
        <v>134.24487259167185</v>
      </c>
    </row>
    <row r="303" spans="1:9" x14ac:dyDescent="0.2">
      <c r="A303" t="s">
        <v>9366</v>
      </c>
      <c r="B303" s="30" t="s">
        <v>5521</v>
      </c>
      <c r="C303" s="257" t="s">
        <v>4806</v>
      </c>
      <c r="D303" s="80" t="s">
        <v>146</v>
      </c>
      <c r="E303" s="207">
        <v>222.1</v>
      </c>
      <c r="F303" s="19">
        <f t="shared" si="15"/>
        <v>138.03604723430703</v>
      </c>
    </row>
    <row r="304" spans="1:9" x14ac:dyDescent="0.2">
      <c r="A304" t="s">
        <v>9362</v>
      </c>
      <c r="B304" s="27" t="s">
        <v>3922</v>
      </c>
      <c r="C304" s="2" t="s">
        <v>468</v>
      </c>
      <c r="D304" s="75" t="s">
        <v>5166</v>
      </c>
      <c r="E304" s="16">
        <v>224.1</v>
      </c>
      <c r="F304" s="19">
        <f t="shared" si="15"/>
        <v>139.27905531385954</v>
      </c>
      <c r="G304" t="s">
        <v>5167</v>
      </c>
    </row>
    <row r="305" spans="1:9" x14ac:dyDescent="0.2">
      <c r="A305" t="s">
        <v>9366</v>
      </c>
      <c r="B305" s="27" t="s">
        <v>4285</v>
      </c>
      <c r="C305" s="2" t="s">
        <v>1660</v>
      </c>
      <c r="D305" t="s">
        <v>2513</v>
      </c>
      <c r="E305" s="13">
        <v>226.3</v>
      </c>
      <c r="F305" s="18">
        <f t="shared" si="15"/>
        <v>140.64636420136731</v>
      </c>
    </row>
    <row r="306" spans="1:9" x14ac:dyDescent="0.2">
      <c r="A306" t="s">
        <v>9363</v>
      </c>
      <c r="B306" s="27" t="s">
        <v>1712</v>
      </c>
      <c r="C306" s="2" t="s">
        <v>4905</v>
      </c>
      <c r="D306" s="5" t="s">
        <v>3418</v>
      </c>
      <c r="E306" s="13">
        <v>226.5</v>
      </c>
      <c r="F306" s="19">
        <f t="shared" si="15"/>
        <v>140.77066500932256</v>
      </c>
    </row>
    <row r="307" spans="1:9" x14ac:dyDescent="0.2">
      <c r="A307" t="s">
        <v>9362</v>
      </c>
      <c r="C307" s="2" t="s">
        <v>9144</v>
      </c>
      <c r="D307" t="s">
        <v>9145</v>
      </c>
      <c r="E307" s="13">
        <v>227.8</v>
      </c>
      <c r="F307" s="19">
        <f t="shared" si="15"/>
        <v>141.57862026103172</v>
      </c>
      <c r="G307">
        <v>1844</v>
      </c>
    </row>
    <row r="308" spans="1:9" x14ac:dyDescent="0.2">
      <c r="A308" t="s">
        <v>5817</v>
      </c>
      <c r="B308" s="27" t="s">
        <v>4287</v>
      </c>
      <c r="C308" s="2" t="s">
        <v>4286</v>
      </c>
      <c r="D308" s="75" t="s">
        <v>2604</v>
      </c>
      <c r="E308" s="13">
        <v>228.8</v>
      </c>
      <c r="F308" s="19">
        <f t="shared" si="15"/>
        <v>142.20012430080797</v>
      </c>
    </row>
    <row r="309" spans="1:9" x14ac:dyDescent="0.2">
      <c r="A309" t="s">
        <v>5817</v>
      </c>
      <c r="B309" t="s">
        <v>351</v>
      </c>
      <c r="C309" s="257" t="s">
        <v>350</v>
      </c>
      <c r="D309" s="80" t="s">
        <v>352</v>
      </c>
      <c r="E309" s="207">
        <v>234.9</v>
      </c>
      <c r="F309" s="19">
        <f t="shared" si="15"/>
        <v>145.99129894344313</v>
      </c>
      <c r="G309">
        <v>1349</v>
      </c>
      <c r="H309" t="s">
        <v>1813</v>
      </c>
    </row>
    <row r="310" spans="1:9" x14ac:dyDescent="0.2">
      <c r="A310" t="s">
        <v>9363</v>
      </c>
      <c r="B310" s="27" t="s">
        <v>3812</v>
      </c>
      <c r="C310" s="2" t="s">
        <v>4529</v>
      </c>
      <c r="D310" s="5" t="s">
        <v>3811</v>
      </c>
      <c r="E310" s="13">
        <v>235.1</v>
      </c>
      <c r="F310" s="19">
        <f t="shared" si="15"/>
        <v>146.11559975139838</v>
      </c>
      <c r="G310">
        <v>948</v>
      </c>
    </row>
    <row r="311" spans="1:9" x14ac:dyDescent="0.2">
      <c r="A311" t="s">
        <v>9362</v>
      </c>
      <c r="B311" s="27" t="s">
        <v>5360</v>
      </c>
      <c r="C311" s="2" t="s">
        <v>2284</v>
      </c>
      <c r="D311" t="s">
        <v>4143</v>
      </c>
      <c r="E311" s="16">
        <v>236.7</v>
      </c>
      <c r="F311" s="19">
        <f t="shared" si="15"/>
        <v>147.11000621504039</v>
      </c>
      <c r="G311" t="s">
        <v>2010</v>
      </c>
    </row>
    <row r="312" spans="1:9" x14ac:dyDescent="0.2">
      <c r="A312" t="s">
        <v>9362</v>
      </c>
      <c r="B312" s="27" t="s">
        <v>5275</v>
      </c>
      <c r="C312" s="2" t="s">
        <v>472</v>
      </c>
      <c r="D312" t="s">
        <v>473</v>
      </c>
      <c r="E312" s="16">
        <v>239.7</v>
      </c>
      <c r="F312" s="19">
        <f t="shared" si="15"/>
        <v>148.97451833436918</v>
      </c>
    </row>
    <row r="313" spans="1:9" x14ac:dyDescent="0.2">
      <c r="A313" t="s">
        <v>9368</v>
      </c>
      <c r="B313" t="s">
        <v>8697</v>
      </c>
      <c r="C313" s="2" t="s">
        <v>8659</v>
      </c>
      <c r="D313" t="s">
        <v>8660</v>
      </c>
      <c r="E313" s="13">
        <v>240.1</v>
      </c>
      <c r="F313" s="18">
        <f t="shared" si="15"/>
        <v>149.22311995027968</v>
      </c>
      <c r="H313" s="80" t="s">
        <v>8696</v>
      </c>
    </row>
    <row r="314" spans="1:9" x14ac:dyDescent="0.2">
      <c r="A314" t="s">
        <v>9362</v>
      </c>
      <c r="B314" s="27" t="s">
        <v>3138</v>
      </c>
      <c r="C314" s="2" t="s">
        <v>4962</v>
      </c>
      <c r="D314" t="s">
        <v>4961</v>
      </c>
      <c r="E314" s="13">
        <v>240.5</v>
      </c>
      <c r="F314" s="19">
        <f t="shared" si="15"/>
        <v>149.47172156619018</v>
      </c>
    </row>
    <row r="315" spans="1:9" x14ac:dyDescent="0.2">
      <c r="A315" t="s">
        <v>9362</v>
      </c>
      <c r="B315" s="80" t="s">
        <v>6422</v>
      </c>
      <c r="C315" s="257" t="s">
        <v>1504</v>
      </c>
      <c r="D315" s="80" t="s">
        <v>2595</v>
      </c>
      <c r="E315" s="207">
        <v>241.5</v>
      </c>
      <c r="F315" s="19">
        <f t="shared" si="15"/>
        <v>150.09322560596644</v>
      </c>
      <c r="G315" t="s">
        <v>2598</v>
      </c>
    </row>
    <row r="316" spans="1:9" ht="12.75" customHeight="1" x14ac:dyDescent="0.2">
      <c r="A316" t="s">
        <v>9362</v>
      </c>
      <c r="B316" s="27" t="s">
        <v>2527</v>
      </c>
      <c r="C316" s="2" t="s">
        <v>5764</v>
      </c>
      <c r="D316" t="s">
        <v>5763</v>
      </c>
      <c r="E316" s="13">
        <v>241.6</v>
      </c>
      <c r="F316" s="19">
        <f t="shared" si="15"/>
        <v>150.15537600994406</v>
      </c>
    </row>
    <row r="317" spans="1:9" ht="12.75" customHeight="1" x14ac:dyDescent="0.2">
      <c r="A317" t="s">
        <v>9362</v>
      </c>
      <c r="B317" s="27" t="s">
        <v>2522</v>
      </c>
      <c r="C317" s="2" t="s">
        <v>8370</v>
      </c>
      <c r="D317" t="s">
        <v>8371</v>
      </c>
      <c r="E317" s="13">
        <v>243.7</v>
      </c>
      <c r="F317" s="19">
        <f t="shared" si="15"/>
        <v>151.4605344934742</v>
      </c>
      <c r="H317" s="80" t="s">
        <v>8372</v>
      </c>
    </row>
    <row r="318" spans="1:9" x14ac:dyDescent="0.2">
      <c r="A318" t="s">
        <v>9362</v>
      </c>
      <c r="B318" s="27" t="s">
        <v>1614</v>
      </c>
      <c r="C318" s="2" t="s">
        <v>5964</v>
      </c>
      <c r="D318" t="s">
        <v>500</v>
      </c>
      <c r="E318" s="13">
        <v>243.7</v>
      </c>
      <c r="F318" s="19">
        <f t="shared" si="15"/>
        <v>151.4605344934742</v>
      </c>
    </row>
    <row r="319" spans="1:9" x14ac:dyDescent="0.2">
      <c r="A319" t="s">
        <v>9362</v>
      </c>
      <c r="B319" s="27" t="s">
        <v>2390</v>
      </c>
      <c r="C319" s="2" t="s">
        <v>2839</v>
      </c>
      <c r="D319" t="s">
        <v>2428</v>
      </c>
      <c r="E319" s="13">
        <v>245.8</v>
      </c>
      <c r="F319" s="19">
        <f t="shared" si="15"/>
        <v>152.76569297700436</v>
      </c>
    </row>
    <row r="320" spans="1:9" x14ac:dyDescent="0.2">
      <c r="A320" t="s">
        <v>5817</v>
      </c>
      <c r="B320" s="552" t="s">
        <v>2243</v>
      </c>
      <c r="C320" s="257" t="s">
        <v>374</v>
      </c>
      <c r="D320" s="80" t="s">
        <v>375</v>
      </c>
      <c r="E320" s="207">
        <v>246.5</v>
      </c>
      <c r="F320" s="19">
        <f t="shared" si="15"/>
        <v>153.20074580484774</v>
      </c>
      <c r="G320">
        <v>1459</v>
      </c>
      <c r="I320" t="s">
        <v>3682</v>
      </c>
    </row>
    <row r="321" spans="1:8" x14ac:dyDescent="0.2">
      <c r="A321" t="s">
        <v>9362</v>
      </c>
      <c r="B321" s="27" t="s">
        <v>2663</v>
      </c>
      <c r="C321" s="2" t="s">
        <v>2662</v>
      </c>
      <c r="D321" t="s">
        <v>3769</v>
      </c>
      <c r="E321" s="13">
        <v>247.9</v>
      </c>
      <c r="F321" s="19">
        <f t="shared" si="15"/>
        <v>154.0708514605345</v>
      </c>
    </row>
    <row r="322" spans="1:8" x14ac:dyDescent="0.2">
      <c r="A322" t="s">
        <v>9366</v>
      </c>
      <c r="B322" s="556" t="s">
        <v>6194</v>
      </c>
      <c r="C322" s="2" t="s">
        <v>3227</v>
      </c>
      <c r="D322" s="90" t="s">
        <v>2666</v>
      </c>
      <c r="E322" s="16">
        <v>247.9</v>
      </c>
      <c r="F322" s="19">
        <f t="shared" ref="F322:F394" si="16">E322/1.609</f>
        <v>154.0708514605345</v>
      </c>
    </row>
    <row r="323" spans="1:8" x14ac:dyDescent="0.2">
      <c r="A323" t="s">
        <v>9362</v>
      </c>
      <c r="B323" s="27" t="s">
        <v>4261</v>
      </c>
      <c r="C323" s="2" t="s">
        <v>4263</v>
      </c>
      <c r="D323" t="s">
        <v>4262</v>
      </c>
      <c r="E323" s="13">
        <v>248.4</v>
      </c>
      <c r="F323" s="19">
        <f t="shared" si="16"/>
        <v>154.38160348042263</v>
      </c>
    </row>
    <row r="324" spans="1:8" x14ac:dyDescent="0.2">
      <c r="A324" t="s">
        <v>9362</v>
      </c>
      <c r="B324" s="27" t="s">
        <v>5276</v>
      </c>
      <c r="C324" s="2" t="s">
        <v>6025</v>
      </c>
      <c r="D324" t="s">
        <v>6026</v>
      </c>
      <c r="E324" s="16">
        <v>249.6</v>
      </c>
      <c r="F324" s="19">
        <f t="shared" si="16"/>
        <v>155.12740832815413</v>
      </c>
    </row>
    <row r="325" spans="1:8" x14ac:dyDescent="0.2">
      <c r="A325" t="s">
        <v>9366</v>
      </c>
      <c r="B325" s="552" t="s">
        <v>7939</v>
      </c>
      <c r="C325" s="257" t="s">
        <v>7940</v>
      </c>
      <c r="D325" s="80" t="s">
        <v>7941</v>
      </c>
      <c r="E325" s="278">
        <v>250</v>
      </c>
      <c r="F325" s="19">
        <f t="shared" si="16"/>
        <v>155.37600994406463</v>
      </c>
    </row>
    <row r="326" spans="1:8" x14ac:dyDescent="0.2">
      <c r="A326" t="s">
        <v>9362</v>
      </c>
      <c r="B326" s="27" t="s">
        <v>5915</v>
      </c>
      <c r="C326" s="2" t="s">
        <v>2014</v>
      </c>
      <c r="D326" t="s">
        <v>5916</v>
      </c>
      <c r="E326" s="13">
        <v>250.3</v>
      </c>
      <c r="F326" s="19">
        <f t="shared" si="16"/>
        <v>155.56246115599751</v>
      </c>
    </row>
    <row r="327" spans="1:8" x14ac:dyDescent="0.2">
      <c r="A327" t="s">
        <v>9363</v>
      </c>
      <c r="B327" s="27" t="s">
        <v>2967</v>
      </c>
      <c r="C327" s="2" t="s">
        <v>2966</v>
      </c>
      <c r="D327" t="s">
        <v>3499</v>
      </c>
      <c r="E327" s="16">
        <v>250.5</v>
      </c>
      <c r="F327" s="89">
        <f t="shared" si="16"/>
        <v>155.68676196395276</v>
      </c>
      <c r="G327" t="s">
        <v>3748</v>
      </c>
    </row>
    <row r="328" spans="1:8" x14ac:dyDescent="0.2">
      <c r="A328" t="s">
        <v>9366</v>
      </c>
      <c r="B328" s="556" t="s">
        <v>6204</v>
      </c>
      <c r="C328" s="2" t="s">
        <v>961</v>
      </c>
      <c r="D328" s="5" t="s">
        <v>962</v>
      </c>
      <c r="E328" s="16">
        <v>250.6</v>
      </c>
      <c r="F328" s="19">
        <f t="shared" si="16"/>
        <v>155.74891236793039</v>
      </c>
    </row>
    <row r="329" spans="1:8" x14ac:dyDescent="0.2">
      <c r="A329" t="s">
        <v>5817</v>
      </c>
      <c r="B329" s="27" t="s">
        <v>5115</v>
      </c>
      <c r="C329" s="257" t="s">
        <v>4535</v>
      </c>
      <c r="D329" s="80" t="s">
        <v>4705</v>
      </c>
      <c r="E329" s="207">
        <v>252.1</v>
      </c>
      <c r="F329" s="19">
        <f t="shared" si="16"/>
        <v>156.68116842759477</v>
      </c>
      <c r="G329">
        <v>1309</v>
      </c>
      <c r="H329" t="s">
        <v>125</v>
      </c>
    </row>
    <row r="330" spans="1:8" x14ac:dyDescent="0.2">
      <c r="A330" t="s">
        <v>9362</v>
      </c>
      <c r="B330" t="s">
        <v>3159</v>
      </c>
      <c r="C330" s="257" t="s">
        <v>1503</v>
      </c>
      <c r="D330" s="80" t="s">
        <v>1010</v>
      </c>
      <c r="E330" s="207">
        <v>252.7</v>
      </c>
      <c r="F330" s="19">
        <f t="shared" si="16"/>
        <v>157.05407085146052</v>
      </c>
      <c r="G330">
        <v>1353</v>
      </c>
      <c r="H330" t="s">
        <v>1813</v>
      </c>
    </row>
    <row r="331" spans="1:8" x14ac:dyDescent="0.2">
      <c r="A331" t="s">
        <v>9366</v>
      </c>
      <c r="B331" s="27" t="s">
        <v>77</v>
      </c>
      <c r="C331" s="2" t="s">
        <v>4804</v>
      </c>
      <c r="D331" s="90" t="s">
        <v>3580</v>
      </c>
      <c r="E331" s="16">
        <v>253.5</v>
      </c>
      <c r="F331" s="19">
        <f t="shared" si="16"/>
        <v>157.55127408328156</v>
      </c>
      <c r="G331" t="s">
        <v>3581</v>
      </c>
    </row>
    <row r="332" spans="1:8" x14ac:dyDescent="0.2">
      <c r="A332" t="s">
        <v>9362</v>
      </c>
      <c r="B332" s="27" t="s">
        <v>1581</v>
      </c>
      <c r="C332" s="2" t="s">
        <v>800</v>
      </c>
      <c r="D332" t="s">
        <v>1582</v>
      </c>
      <c r="E332" s="16">
        <v>255.7</v>
      </c>
      <c r="F332" s="19">
        <f t="shared" si="16"/>
        <v>158.91858297078932</v>
      </c>
      <c r="G332" t="s">
        <v>247</v>
      </c>
    </row>
    <row r="333" spans="1:8" ht="12.75" customHeight="1" x14ac:dyDescent="0.2">
      <c r="A333" t="s">
        <v>9362</v>
      </c>
      <c r="B333" s="27" t="s">
        <v>524</v>
      </c>
      <c r="C333" s="2" t="s">
        <v>4146</v>
      </c>
      <c r="D333" t="s">
        <v>4147</v>
      </c>
      <c r="E333" s="13">
        <v>256.10000000000002</v>
      </c>
      <c r="F333" s="19">
        <f t="shared" si="16"/>
        <v>159.16718458669982</v>
      </c>
      <c r="G333">
        <v>242</v>
      </c>
    </row>
    <row r="334" spans="1:8" x14ac:dyDescent="0.2">
      <c r="A334" t="s">
        <v>5817</v>
      </c>
      <c r="B334" s="27" t="s">
        <v>2933</v>
      </c>
      <c r="C334" s="2" t="s">
        <v>5748</v>
      </c>
      <c r="D334" t="s">
        <v>2444</v>
      </c>
      <c r="E334" s="16">
        <v>256.39999999999998</v>
      </c>
      <c r="F334" s="19">
        <f t="shared" si="16"/>
        <v>159.35363579863267</v>
      </c>
    </row>
    <row r="335" spans="1:8" x14ac:dyDescent="0.2">
      <c r="A335" t="s">
        <v>9362</v>
      </c>
      <c r="B335" t="s">
        <v>3396</v>
      </c>
      <c r="C335" s="2" t="s">
        <v>3891</v>
      </c>
      <c r="D335" s="80" t="s">
        <v>5936</v>
      </c>
      <c r="E335" s="207">
        <v>257.5</v>
      </c>
      <c r="F335" s="19">
        <f t="shared" si="16"/>
        <v>160.03729024238658</v>
      </c>
    </row>
    <row r="336" spans="1:8" x14ac:dyDescent="0.2">
      <c r="A336" t="s">
        <v>9363</v>
      </c>
      <c r="B336" s="581" t="s">
        <v>6389</v>
      </c>
      <c r="C336" s="2" t="s">
        <v>6390</v>
      </c>
      <c r="D336" s="80" t="s">
        <v>6387</v>
      </c>
      <c r="E336" s="13">
        <v>258.2</v>
      </c>
      <c r="F336" s="19">
        <f t="shared" si="16"/>
        <v>160.47234307022995</v>
      </c>
      <c r="G336">
        <v>288</v>
      </c>
      <c r="H336" s="80" t="s">
        <v>6388</v>
      </c>
    </row>
    <row r="337" spans="1:15" x14ac:dyDescent="0.2">
      <c r="A337" t="s">
        <v>9366</v>
      </c>
      <c r="B337" s="493" t="s">
        <v>7699</v>
      </c>
      <c r="C337" s="257" t="s">
        <v>5836</v>
      </c>
      <c r="D337" s="80" t="s">
        <v>7704</v>
      </c>
      <c r="E337" s="207">
        <v>258.5</v>
      </c>
      <c r="F337" s="19">
        <f t="shared" si="16"/>
        <v>160.65879428216283</v>
      </c>
    </row>
    <row r="338" spans="1:15" ht="12.75" customHeight="1" x14ac:dyDescent="0.2">
      <c r="A338" t="s">
        <v>9362</v>
      </c>
      <c r="B338" t="s">
        <v>2029</v>
      </c>
      <c r="C338" s="257" t="s">
        <v>2027</v>
      </c>
      <c r="D338" s="80" t="s">
        <v>2028</v>
      </c>
      <c r="E338" s="278">
        <v>258.89999999999998</v>
      </c>
      <c r="F338" s="19">
        <f t="shared" si="16"/>
        <v>160.90739589807333</v>
      </c>
      <c r="G338">
        <v>1457</v>
      </c>
      <c r="H338" t="s">
        <v>187</v>
      </c>
    </row>
    <row r="339" spans="1:15" x14ac:dyDescent="0.2">
      <c r="A339" t="s">
        <v>9362</v>
      </c>
      <c r="B339" t="s">
        <v>4996</v>
      </c>
      <c r="C339" s="2" t="s">
        <v>370</v>
      </c>
      <c r="D339" s="80" t="s">
        <v>369</v>
      </c>
      <c r="E339" s="207">
        <v>259.39999999999998</v>
      </c>
      <c r="F339" s="19">
        <f t="shared" si="16"/>
        <v>161.21814791796146</v>
      </c>
      <c r="H339" t="s">
        <v>7705</v>
      </c>
    </row>
    <row r="340" spans="1:15" x14ac:dyDescent="0.2">
      <c r="A340" t="s">
        <v>9362</v>
      </c>
      <c r="B340" t="s">
        <v>3615</v>
      </c>
      <c r="C340" s="2" t="s">
        <v>1298</v>
      </c>
      <c r="D340" t="s">
        <v>3614</v>
      </c>
      <c r="E340" s="13">
        <v>260.89999999999998</v>
      </c>
      <c r="F340" s="19">
        <f t="shared" si="16"/>
        <v>162.15040397762584</v>
      </c>
    </row>
    <row r="341" spans="1:15" x14ac:dyDescent="0.2">
      <c r="A341" t="s">
        <v>9362</v>
      </c>
      <c r="B341" s="27" t="s">
        <v>1566</v>
      </c>
      <c r="C341" s="2" t="s">
        <v>4245</v>
      </c>
      <c r="D341" s="75" t="s">
        <v>1564</v>
      </c>
      <c r="E341" s="16">
        <v>261.39999999999998</v>
      </c>
      <c r="F341" s="19">
        <f t="shared" si="16"/>
        <v>162.46115599751397</v>
      </c>
      <c r="G341" t="s">
        <v>4246</v>
      </c>
    </row>
    <row r="342" spans="1:15" ht="12.75" customHeight="1" x14ac:dyDescent="0.2">
      <c r="A342" t="s">
        <v>9362</v>
      </c>
      <c r="B342" t="s">
        <v>4993</v>
      </c>
      <c r="C342" s="2" t="s">
        <v>5938</v>
      </c>
      <c r="D342" s="80" t="s">
        <v>5937</v>
      </c>
      <c r="E342" s="207">
        <v>262.8</v>
      </c>
      <c r="F342" s="19">
        <f t="shared" si="16"/>
        <v>163.33126165320076</v>
      </c>
    </row>
    <row r="343" spans="1:15" x14ac:dyDescent="0.2">
      <c r="A343" t="s">
        <v>5817</v>
      </c>
      <c r="B343" s="552" t="s">
        <v>185</v>
      </c>
      <c r="C343" s="257" t="s">
        <v>183</v>
      </c>
      <c r="D343" s="80" t="s">
        <v>184</v>
      </c>
      <c r="E343" s="207">
        <v>263.10000000000002</v>
      </c>
      <c r="F343" s="19">
        <f t="shared" si="16"/>
        <v>163.51771286513363</v>
      </c>
      <c r="G343">
        <v>1455</v>
      </c>
      <c r="H343" t="s">
        <v>8653</v>
      </c>
    </row>
    <row r="344" spans="1:15" x14ac:dyDescent="0.2">
      <c r="A344" t="s">
        <v>9362</v>
      </c>
      <c r="B344" t="s">
        <v>4990</v>
      </c>
      <c r="C344" s="2" t="s">
        <v>3661</v>
      </c>
      <c r="D344" s="5" t="s">
        <v>3662</v>
      </c>
      <c r="E344" s="207">
        <v>265.3</v>
      </c>
      <c r="F344" s="19">
        <f t="shared" si="16"/>
        <v>164.88502175264139</v>
      </c>
    </row>
    <row r="345" spans="1:15" x14ac:dyDescent="0.2">
      <c r="A345" t="s">
        <v>9362</v>
      </c>
      <c r="B345" t="s">
        <v>4992</v>
      </c>
      <c r="C345" s="2" t="s">
        <v>2667</v>
      </c>
      <c r="D345" s="80" t="s">
        <v>832</v>
      </c>
      <c r="E345" s="207">
        <v>266.10000000000002</v>
      </c>
      <c r="F345" s="19">
        <f t="shared" si="16"/>
        <v>165.38222498446243</v>
      </c>
    </row>
    <row r="346" spans="1:15" x14ac:dyDescent="0.2">
      <c r="A346" s="80" t="s">
        <v>9362</v>
      </c>
      <c r="B346" t="s">
        <v>4983</v>
      </c>
      <c r="C346" s="2" t="s">
        <v>1647</v>
      </c>
      <c r="D346" s="80" t="s">
        <v>1648</v>
      </c>
      <c r="E346" s="207">
        <v>268.39999999999998</v>
      </c>
      <c r="F346" s="19">
        <f t="shared" si="16"/>
        <v>166.81168427594778</v>
      </c>
    </row>
    <row r="347" spans="1:15" x14ac:dyDescent="0.2">
      <c r="A347" t="s">
        <v>9362</v>
      </c>
      <c r="B347" s="493" t="s">
        <v>7896</v>
      </c>
      <c r="C347" s="2" t="s">
        <v>7880</v>
      </c>
      <c r="D347" s="80" t="s">
        <v>7898</v>
      </c>
      <c r="E347" s="14">
        <v>269.3</v>
      </c>
      <c r="F347" s="19">
        <f t="shared" si="16"/>
        <v>167.37103791174644</v>
      </c>
    </row>
    <row r="348" spans="1:15" x14ac:dyDescent="0.2">
      <c r="A348" t="s">
        <v>9363</v>
      </c>
      <c r="B348" s="552" t="s">
        <v>501</v>
      </c>
      <c r="C348" s="257" t="s">
        <v>1386</v>
      </c>
      <c r="D348" s="80" t="s">
        <v>1387</v>
      </c>
      <c r="E348" s="207">
        <v>269.8</v>
      </c>
      <c r="F348" s="19">
        <f t="shared" si="16"/>
        <v>167.68178993163457</v>
      </c>
      <c r="G348">
        <v>1432</v>
      </c>
      <c r="H348" t="s">
        <v>3503</v>
      </c>
      <c r="I348" t="s">
        <v>1388</v>
      </c>
      <c r="L348" t="s">
        <v>1389</v>
      </c>
      <c r="O348" t="s">
        <v>1390</v>
      </c>
    </row>
    <row r="349" spans="1:15" x14ac:dyDescent="0.2">
      <c r="A349" s="80" t="s">
        <v>9362</v>
      </c>
      <c r="B349" t="s">
        <v>8582</v>
      </c>
      <c r="C349" s="2" t="s">
        <v>8583</v>
      </c>
      <c r="D349" s="80" t="s">
        <v>8584</v>
      </c>
      <c r="E349" s="207">
        <v>270</v>
      </c>
      <c r="F349" s="19">
        <f t="shared" si="16"/>
        <v>167.80609073958982</v>
      </c>
      <c r="G349" s="80" t="s">
        <v>1152</v>
      </c>
      <c r="H349" s="80" t="s">
        <v>8585</v>
      </c>
    </row>
    <row r="350" spans="1:15" x14ac:dyDescent="0.2">
      <c r="A350" t="s">
        <v>9366</v>
      </c>
      <c r="C350" s="257" t="s">
        <v>3521</v>
      </c>
      <c r="D350" s="80" t="s">
        <v>3522</v>
      </c>
      <c r="E350" s="207">
        <v>270</v>
      </c>
      <c r="F350" s="19">
        <f t="shared" si="16"/>
        <v>167.80609073958982</v>
      </c>
      <c r="G350" s="80" t="s">
        <v>1152</v>
      </c>
    </row>
    <row r="351" spans="1:15" ht="12.75" customHeight="1" x14ac:dyDescent="0.2">
      <c r="A351" t="s">
        <v>9366</v>
      </c>
      <c r="B351" s="27" t="s">
        <v>1727</v>
      </c>
      <c r="C351" s="2" t="s">
        <v>1417</v>
      </c>
      <c r="D351" t="s">
        <v>2999</v>
      </c>
      <c r="E351" s="13">
        <v>270.2</v>
      </c>
      <c r="F351" s="19">
        <f t="shared" si="16"/>
        <v>167.93039154754504</v>
      </c>
    </row>
    <row r="352" spans="1:15" x14ac:dyDescent="0.2">
      <c r="A352" t="s">
        <v>9362</v>
      </c>
      <c r="B352" t="s">
        <v>4972</v>
      </c>
      <c r="C352" s="2" t="s">
        <v>4796</v>
      </c>
      <c r="D352" t="s">
        <v>4971</v>
      </c>
      <c r="E352" s="292">
        <v>271.10000000000002</v>
      </c>
      <c r="F352" s="19">
        <f t="shared" si="16"/>
        <v>168.4897451833437</v>
      </c>
    </row>
    <row r="353" spans="1:11" x14ac:dyDescent="0.2">
      <c r="A353" t="s">
        <v>9366</v>
      </c>
      <c r="B353" s="493" t="s">
        <v>7576</v>
      </c>
      <c r="C353" s="257" t="s">
        <v>7579</v>
      </c>
      <c r="D353" s="80" t="s">
        <v>7578</v>
      </c>
      <c r="E353" s="207">
        <v>272.2</v>
      </c>
      <c r="F353" s="19">
        <f t="shared" si="16"/>
        <v>169.17339962709758</v>
      </c>
    </row>
    <row r="354" spans="1:11" x14ac:dyDescent="0.2">
      <c r="A354" t="s">
        <v>9362</v>
      </c>
      <c r="B354" s="27" t="s">
        <v>1613</v>
      </c>
      <c r="C354" s="2" t="s">
        <v>5965</v>
      </c>
      <c r="D354" t="s">
        <v>499</v>
      </c>
      <c r="E354" s="14">
        <v>272.7</v>
      </c>
      <c r="F354" s="19">
        <f t="shared" si="16"/>
        <v>169.48415164698571</v>
      </c>
    </row>
    <row r="355" spans="1:11" x14ac:dyDescent="0.2">
      <c r="A355" t="s">
        <v>9362</v>
      </c>
      <c r="B355" s="27" t="s">
        <v>5259</v>
      </c>
      <c r="C355" s="2" t="s">
        <v>5258</v>
      </c>
      <c r="D355" s="80" t="s">
        <v>1652</v>
      </c>
      <c r="E355" s="207">
        <v>275.3</v>
      </c>
      <c r="F355" s="19">
        <f t="shared" si="16"/>
        <v>171.100062150404</v>
      </c>
      <c r="G355" t="s">
        <v>368</v>
      </c>
    </row>
    <row r="356" spans="1:11" x14ac:dyDescent="0.2">
      <c r="A356" s="80" t="s">
        <v>9366</v>
      </c>
      <c r="B356" s="27" t="s">
        <v>5473</v>
      </c>
      <c r="C356" s="257" t="s">
        <v>5471</v>
      </c>
      <c r="D356" s="80" t="s">
        <v>5472</v>
      </c>
      <c r="E356" s="207">
        <v>275.39999999999998</v>
      </c>
      <c r="F356" s="19">
        <f t="shared" si="16"/>
        <v>171.1622125543816</v>
      </c>
      <c r="G356">
        <v>131</v>
      </c>
    </row>
    <row r="357" spans="1:11" ht="12.75" customHeight="1" x14ac:dyDescent="0.2">
      <c r="A357" t="s">
        <v>9362</v>
      </c>
      <c r="B357" t="s">
        <v>810</v>
      </c>
      <c r="C357" s="257" t="s">
        <v>763</v>
      </c>
      <c r="D357" s="80" t="s">
        <v>4709</v>
      </c>
      <c r="E357" s="207">
        <v>275.89999999999998</v>
      </c>
      <c r="F357" s="19">
        <f t="shared" si="16"/>
        <v>171.47296457426972</v>
      </c>
      <c r="G357">
        <v>1347</v>
      </c>
    </row>
    <row r="358" spans="1:11" x14ac:dyDescent="0.2">
      <c r="A358" t="s">
        <v>9366</v>
      </c>
      <c r="B358" s="27" t="s">
        <v>3200</v>
      </c>
      <c r="C358" s="257" t="s">
        <v>668</v>
      </c>
      <c r="D358" s="80" t="s">
        <v>1351</v>
      </c>
      <c r="E358" s="207">
        <v>276.89999999999998</v>
      </c>
      <c r="F358" s="19">
        <f t="shared" si="16"/>
        <v>172.09446861404598</v>
      </c>
    </row>
    <row r="359" spans="1:11" x14ac:dyDescent="0.2">
      <c r="A359" t="s">
        <v>9362</v>
      </c>
      <c r="B359" s="27" t="s">
        <v>5716</v>
      </c>
      <c r="C359" s="2" t="s">
        <v>5715</v>
      </c>
      <c r="D359" t="s">
        <v>5714</v>
      </c>
      <c r="E359" s="292">
        <v>278.2</v>
      </c>
      <c r="F359" s="19">
        <f t="shared" si="16"/>
        <v>172.90242386575511</v>
      </c>
      <c r="G359" t="s">
        <v>1878</v>
      </c>
    </row>
    <row r="360" spans="1:11" x14ac:dyDescent="0.2">
      <c r="A360" t="s">
        <v>9367</v>
      </c>
      <c r="B360" s="27" t="s">
        <v>4934</v>
      </c>
      <c r="C360" s="257" t="s">
        <v>2596</v>
      </c>
      <c r="D360" s="80" t="s">
        <v>2597</v>
      </c>
      <c r="E360" s="278">
        <v>280</v>
      </c>
      <c r="F360" s="19">
        <f t="shared" si="16"/>
        <v>174.0211311373524</v>
      </c>
      <c r="G360" t="s">
        <v>4295</v>
      </c>
    </row>
    <row r="361" spans="1:11" x14ac:dyDescent="0.2">
      <c r="A361" s="80" t="s">
        <v>9362</v>
      </c>
      <c r="B361" s="27" t="s">
        <v>4984</v>
      </c>
      <c r="C361" s="2" t="s">
        <v>1649</v>
      </c>
      <c r="D361" s="80" t="s">
        <v>1650</v>
      </c>
      <c r="E361" s="207">
        <v>282.60000000000002</v>
      </c>
      <c r="F361" s="19">
        <f t="shared" si="16"/>
        <v>175.63704164077069</v>
      </c>
    </row>
    <row r="362" spans="1:11" x14ac:dyDescent="0.2">
      <c r="A362" t="s">
        <v>9362</v>
      </c>
      <c r="B362" t="s">
        <v>4988</v>
      </c>
      <c r="C362" s="2" t="s">
        <v>1300</v>
      </c>
      <c r="D362" s="80" t="s">
        <v>5939</v>
      </c>
      <c r="E362" s="207">
        <v>284.89999999999998</v>
      </c>
      <c r="F362" s="19">
        <f t="shared" si="16"/>
        <v>177.06650093225605</v>
      </c>
    </row>
    <row r="363" spans="1:11" x14ac:dyDescent="0.2">
      <c r="A363" t="s">
        <v>9362</v>
      </c>
      <c r="B363" s="27" t="s">
        <v>186</v>
      </c>
      <c r="C363" s="257" t="s">
        <v>353</v>
      </c>
      <c r="D363" s="80" t="s">
        <v>354</v>
      </c>
      <c r="E363" s="207">
        <v>285.2</v>
      </c>
      <c r="F363" s="19">
        <f t="shared" si="16"/>
        <v>177.25295214418892</v>
      </c>
      <c r="G363">
        <v>1354</v>
      </c>
      <c r="H363" t="s">
        <v>1813</v>
      </c>
    </row>
    <row r="364" spans="1:11" x14ac:dyDescent="0.2">
      <c r="A364" t="s">
        <v>9362</v>
      </c>
      <c r="B364" s="493" t="s">
        <v>11273</v>
      </c>
      <c r="C364" s="257" t="s">
        <v>11274</v>
      </c>
      <c r="D364" s="80" t="s">
        <v>11275</v>
      </c>
      <c r="E364" s="207"/>
      <c r="F364" s="19"/>
      <c r="G364">
        <v>2199</v>
      </c>
    </row>
    <row r="365" spans="1:11" x14ac:dyDescent="0.2">
      <c r="A365" t="s">
        <v>9367</v>
      </c>
      <c r="B365" s="27" t="s">
        <v>2030</v>
      </c>
      <c r="C365" s="257" t="s">
        <v>5361</v>
      </c>
      <c r="D365" s="80" t="s">
        <v>2195</v>
      </c>
      <c r="E365" s="278">
        <v>286</v>
      </c>
      <c r="F365" s="19">
        <f t="shared" si="16"/>
        <v>177.75015537600996</v>
      </c>
      <c r="G365">
        <v>1439</v>
      </c>
      <c r="H365" t="s">
        <v>2194</v>
      </c>
    </row>
    <row r="366" spans="1:11" x14ac:dyDescent="0.2">
      <c r="A366" t="s">
        <v>9363</v>
      </c>
      <c r="B366" s="27" t="s">
        <v>2903</v>
      </c>
      <c r="C366" s="498" t="s">
        <v>5494</v>
      </c>
      <c r="D366" s="80" t="s">
        <v>5496</v>
      </c>
      <c r="E366" s="207">
        <v>286.60000000000002</v>
      </c>
      <c r="F366" s="19">
        <f t="shared" si="16"/>
        <v>178.12305779987571</v>
      </c>
      <c r="G366">
        <v>54</v>
      </c>
      <c r="H366" t="s">
        <v>5495</v>
      </c>
      <c r="K366" t="s">
        <v>5497</v>
      </c>
    </row>
    <row r="367" spans="1:11" x14ac:dyDescent="0.2">
      <c r="A367" t="s">
        <v>9363</v>
      </c>
      <c r="B367" s="493" t="s">
        <v>12135</v>
      </c>
      <c r="C367" s="498" t="s">
        <v>11276</v>
      </c>
      <c r="D367" s="80" t="s">
        <v>11277</v>
      </c>
      <c r="E367" s="207"/>
      <c r="F367" s="19"/>
    </row>
    <row r="368" spans="1:11" x14ac:dyDescent="0.2">
      <c r="C368" s="498" t="s">
        <v>10795</v>
      </c>
      <c r="D368" s="80"/>
      <c r="E368" s="207"/>
      <c r="F368" s="19"/>
    </row>
    <row r="369" spans="1:8" x14ac:dyDescent="0.2">
      <c r="C369" s="498" t="s">
        <v>10655</v>
      </c>
      <c r="D369" s="80"/>
      <c r="E369" s="207"/>
      <c r="F369" s="19"/>
    </row>
    <row r="370" spans="1:8" x14ac:dyDescent="0.2">
      <c r="C370" s="498" t="s">
        <v>10796</v>
      </c>
      <c r="D370" s="80"/>
      <c r="E370" s="207"/>
      <c r="F370" s="19"/>
    </row>
    <row r="371" spans="1:8" x14ac:dyDescent="0.2">
      <c r="C371" s="498" t="s">
        <v>10574</v>
      </c>
      <c r="D371" s="80"/>
      <c r="E371" s="207"/>
      <c r="F371" s="19"/>
    </row>
    <row r="372" spans="1:8" x14ac:dyDescent="0.2">
      <c r="C372" s="498" t="s">
        <v>10797</v>
      </c>
      <c r="D372" s="80"/>
      <c r="E372" s="207"/>
      <c r="F372" s="19"/>
    </row>
    <row r="373" spans="1:8" x14ac:dyDescent="0.2">
      <c r="B373" s="80" t="s">
        <v>10547</v>
      </c>
      <c r="C373" s="498" t="s">
        <v>10546</v>
      </c>
      <c r="D373" s="80"/>
      <c r="E373" s="207"/>
      <c r="F373" s="19"/>
    </row>
    <row r="374" spans="1:8" x14ac:dyDescent="0.2">
      <c r="C374" s="498" t="s">
        <v>10519</v>
      </c>
      <c r="D374" s="80"/>
      <c r="E374" s="207"/>
      <c r="F374" s="19"/>
    </row>
    <row r="375" spans="1:8" x14ac:dyDescent="0.2">
      <c r="A375" s="80" t="s">
        <v>9362</v>
      </c>
      <c r="B375" t="s">
        <v>4994</v>
      </c>
      <c r="C375" s="2" t="s">
        <v>1751</v>
      </c>
      <c r="D375" s="80" t="s">
        <v>632</v>
      </c>
      <c r="E375" s="207">
        <v>288.7</v>
      </c>
      <c r="F375" s="19">
        <f t="shared" si="16"/>
        <v>179.42821628340585</v>
      </c>
    </row>
    <row r="376" spans="1:8" x14ac:dyDescent="0.2">
      <c r="A376" t="s">
        <v>9366</v>
      </c>
      <c r="B376" s="27" t="s">
        <v>5902</v>
      </c>
      <c r="C376" s="2" t="s">
        <v>3225</v>
      </c>
      <c r="D376" t="s">
        <v>5667</v>
      </c>
      <c r="E376" s="13">
        <v>289</v>
      </c>
      <c r="F376" s="19">
        <f t="shared" si="16"/>
        <v>179.61466749533872</v>
      </c>
    </row>
    <row r="377" spans="1:8" ht="12.75" customHeight="1" x14ac:dyDescent="0.2">
      <c r="A377" t="s">
        <v>9363</v>
      </c>
      <c r="B377" t="s">
        <v>2902</v>
      </c>
      <c r="C377" s="257" t="s">
        <v>2311</v>
      </c>
      <c r="D377" s="80" t="s">
        <v>237</v>
      </c>
      <c r="E377" s="207">
        <v>289.2</v>
      </c>
      <c r="F377" s="19">
        <f t="shared" si="16"/>
        <v>179.73896830329397</v>
      </c>
    </row>
    <row r="378" spans="1:8" x14ac:dyDescent="0.2">
      <c r="A378" s="80" t="s">
        <v>9362</v>
      </c>
      <c r="B378" t="s">
        <v>4989</v>
      </c>
      <c r="C378" s="2" t="s">
        <v>1301</v>
      </c>
      <c r="D378" s="80" t="s">
        <v>633</v>
      </c>
      <c r="E378" s="207">
        <v>290.2</v>
      </c>
      <c r="F378" s="19">
        <f t="shared" si="16"/>
        <v>180.36047234307023</v>
      </c>
    </row>
    <row r="379" spans="1:8" x14ac:dyDescent="0.2">
      <c r="A379" t="s">
        <v>9362</v>
      </c>
      <c r="B379" t="s">
        <v>4986</v>
      </c>
      <c r="C379" s="2" t="s">
        <v>631</v>
      </c>
      <c r="D379" s="80" t="s">
        <v>630</v>
      </c>
      <c r="E379" s="207">
        <v>290.60000000000002</v>
      </c>
      <c r="F379" s="19">
        <f t="shared" si="16"/>
        <v>180.60907395898076</v>
      </c>
    </row>
    <row r="380" spans="1:8" ht="12.75" customHeight="1" x14ac:dyDescent="0.2">
      <c r="A380" t="s">
        <v>9363</v>
      </c>
      <c r="B380" t="s">
        <v>5945</v>
      </c>
      <c r="C380" s="257" t="s">
        <v>5942</v>
      </c>
      <c r="D380" s="80" t="s">
        <v>5944</v>
      </c>
      <c r="E380" s="207">
        <v>293.7</v>
      </c>
      <c r="F380" s="19">
        <f t="shared" si="16"/>
        <v>182.53573648228712</v>
      </c>
      <c r="G380">
        <v>1387</v>
      </c>
    </row>
    <row r="381" spans="1:8" x14ac:dyDescent="0.2">
      <c r="A381" t="s">
        <v>9362</v>
      </c>
      <c r="B381" s="27" t="s">
        <v>287</v>
      </c>
      <c r="C381" s="2" t="s">
        <v>5104</v>
      </c>
      <c r="D381" t="s">
        <v>5105</v>
      </c>
      <c r="E381" s="13">
        <v>295.5</v>
      </c>
      <c r="F381" s="19">
        <f t="shared" si="16"/>
        <v>183.65444375388441</v>
      </c>
    </row>
    <row r="382" spans="1:8" x14ac:dyDescent="0.2">
      <c r="A382" t="s">
        <v>5817</v>
      </c>
      <c r="B382" s="493" t="s">
        <v>8385</v>
      </c>
      <c r="C382" s="2" t="s">
        <v>8386</v>
      </c>
      <c r="D382" s="80" t="s">
        <v>8387</v>
      </c>
      <c r="E382" s="13">
        <v>296.39999999999998</v>
      </c>
      <c r="F382" s="19">
        <f t="shared" si="16"/>
        <v>184.21379738968301</v>
      </c>
    </row>
    <row r="383" spans="1:8" x14ac:dyDescent="0.2">
      <c r="A383" t="s">
        <v>9362</v>
      </c>
      <c r="B383" s="27" t="s">
        <v>5847</v>
      </c>
      <c r="C383" s="257" t="s">
        <v>4367</v>
      </c>
      <c r="D383" s="80" t="s">
        <v>5110</v>
      </c>
      <c r="E383" s="207">
        <v>297.8</v>
      </c>
      <c r="F383" s="19">
        <f t="shared" si="16"/>
        <v>185.08390304536979</v>
      </c>
      <c r="G383">
        <v>221</v>
      </c>
      <c r="H383" t="s">
        <v>5108</v>
      </c>
    </row>
    <row r="384" spans="1:8" x14ac:dyDescent="0.2">
      <c r="A384" t="s">
        <v>9366</v>
      </c>
      <c r="B384" s="30" t="s">
        <v>3621</v>
      </c>
      <c r="C384" s="2" t="s">
        <v>5666</v>
      </c>
      <c r="D384" t="s">
        <v>1306</v>
      </c>
      <c r="E384" s="16">
        <v>303.39999999999998</v>
      </c>
      <c r="F384" s="19">
        <f t="shared" si="16"/>
        <v>188.56432566811682</v>
      </c>
    </row>
    <row r="385" spans="1:8" x14ac:dyDescent="0.2">
      <c r="A385" t="s">
        <v>9362</v>
      </c>
      <c r="B385" t="s">
        <v>595</v>
      </c>
      <c r="C385" s="257" t="s">
        <v>594</v>
      </c>
      <c r="D385" s="80" t="s">
        <v>3517</v>
      </c>
      <c r="E385" s="207">
        <v>305.60000000000002</v>
      </c>
      <c r="F385" s="19">
        <f t="shared" si="16"/>
        <v>189.93163455562464</v>
      </c>
      <c r="G385">
        <v>1359</v>
      </c>
      <c r="H385" t="s">
        <v>3518</v>
      </c>
    </row>
    <row r="386" spans="1:8" x14ac:dyDescent="0.2">
      <c r="A386" t="s">
        <v>9366</v>
      </c>
      <c r="C386" s="257" t="s">
        <v>454</v>
      </c>
      <c r="D386" s="80" t="s">
        <v>453</v>
      </c>
      <c r="E386" s="207">
        <v>310.60000000000002</v>
      </c>
      <c r="F386" s="19">
        <f t="shared" si="16"/>
        <v>193.03915475450592</v>
      </c>
      <c r="G386">
        <v>1408</v>
      </c>
      <c r="H386" t="s">
        <v>2031</v>
      </c>
    </row>
    <row r="387" spans="1:8" x14ac:dyDescent="0.2">
      <c r="A387" t="s">
        <v>5817</v>
      </c>
      <c r="B387" s="552" t="s">
        <v>8220</v>
      </c>
      <c r="C387" s="257" t="s">
        <v>8222</v>
      </c>
      <c r="D387" s="80" t="s">
        <v>8219</v>
      </c>
      <c r="E387" s="207">
        <v>316.60000000000002</v>
      </c>
      <c r="F387" s="19">
        <f t="shared" si="16"/>
        <v>196.76817899316347</v>
      </c>
    </row>
    <row r="388" spans="1:8" x14ac:dyDescent="0.2">
      <c r="A388" t="s">
        <v>9363</v>
      </c>
      <c r="B388" s="80" t="s">
        <v>6181</v>
      </c>
      <c r="C388" s="257" t="s">
        <v>4866</v>
      </c>
      <c r="D388" s="80" t="s">
        <v>236</v>
      </c>
      <c r="E388" s="207">
        <v>322.8</v>
      </c>
      <c r="F388" s="19">
        <f t="shared" si="16"/>
        <v>200.62150403977626</v>
      </c>
    </row>
    <row r="389" spans="1:8" x14ac:dyDescent="0.2">
      <c r="A389" t="s">
        <v>9369</v>
      </c>
      <c r="B389" t="s">
        <v>2327</v>
      </c>
      <c r="C389" s="257" t="s">
        <v>2326</v>
      </c>
      <c r="D389" s="80" t="s">
        <v>2328</v>
      </c>
      <c r="E389" s="207">
        <v>325.8</v>
      </c>
      <c r="F389" s="19">
        <f t="shared" si="16"/>
        <v>202.48601615910505</v>
      </c>
      <c r="G389" t="s">
        <v>3959</v>
      </c>
    </row>
    <row r="390" spans="1:8" x14ac:dyDescent="0.2">
      <c r="A390" t="s">
        <v>9362</v>
      </c>
      <c r="B390" t="s">
        <v>3609</v>
      </c>
      <c r="C390" s="257" t="s">
        <v>3604</v>
      </c>
      <c r="D390" s="80" t="s">
        <v>4130</v>
      </c>
      <c r="E390" s="207">
        <v>326.60000000000002</v>
      </c>
      <c r="F390" s="19">
        <f t="shared" si="16"/>
        <v>202.98321939092605</v>
      </c>
      <c r="G390">
        <v>1385</v>
      </c>
      <c r="H390" t="s">
        <v>3605</v>
      </c>
    </row>
    <row r="391" spans="1:8" x14ac:dyDescent="0.2">
      <c r="A391" t="s">
        <v>9369</v>
      </c>
      <c r="B391" s="30" t="s">
        <v>2315</v>
      </c>
      <c r="C391" s="257" t="s">
        <v>1032</v>
      </c>
      <c r="D391" s="80" t="s">
        <v>2316</v>
      </c>
      <c r="E391" s="207">
        <v>345.6</v>
      </c>
      <c r="F391" s="19">
        <f t="shared" si="16"/>
        <v>214.79179614667498</v>
      </c>
    </row>
    <row r="392" spans="1:8" x14ac:dyDescent="0.2">
      <c r="A392" t="s">
        <v>9362</v>
      </c>
      <c r="B392" t="s">
        <v>2545</v>
      </c>
      <c r="C392" s="2" t="s">
        <v>339</v>
      </c>
      <c r="D392" s="80" t="s">
        <v>4436</v>
      </c>
      <c r="E392" s="207">
        <v>346.8</v>
      </c>
      <c r="F392" s="19">
        <f t="shared" si="16"/>
        <v>215.53760099440646</v>
      </c>
    </row>
    <row r="393" spans="1:8" x14ac:dyDescent="0.2">
      <c r="A393" t="s">
        <v>9366</v>
      </c>
      <c r="B393" s="552" t="s">
        <v>1675</v>
      </c>
      <c r="C393" s="2" t="s">
        <v>1674</v>
      </c>
      <c r="D393" t="s">
        <v>2661</v>
      </c>
      <c r="E393" s="13">
        <v>347</v>
      </c>
      <c r="F393" s="19">
        <f t="shared" si="16"/>
        <v>215.66190180236171</v>
      </c>
    </row>
    <row r="394" spans="1:8" x14ac:dyDescent="0.2">
      <c r="A394" t="s">
        <v>9366</v>
      </c>
      <c r="B394" t="s">
        <v>1921</v>
      </c>
      <c r="C394" s="2" t="s">
        <v>5290</v>
      </c>
      <c r="D394" s="80" t="s">
        <v>1920</v>
      </c>
      <c r="E394" s="207">
        <v>347.6</v>
      </c>
      <c r="F394" s="19">
        <f t="shared" si="16"/>
        <v>216.03480422622749</v>
      </c>
      <c r="G394">
        <v>393</v>
      </c>
    </row>
    <row r="395" spans="1:8" x14ac:dyDescent="0.2">
      <c r="A395" t="s">
        <v>9362</v>
      </c>
      <c r="B395" s="27" t="s">
        <v>3325</v>
      </c>
      <c r="C395" s="2" t="s">
        <v>3324</v>
      </c>
      <c r="D395" t="s">
        <v>2968</v>
      </c>
      <c r="E395" s="16">
        <v>354.3</v>
      </c>
      <c r="F395" s="19">
        <f t="shared" ref="F395:F440" si="17">E395/1.609</f>
        <v>220.1988812927284</v>
      </c>
    </row>
    <row r="396" spans="1:8" x14ac:dyDescent="0.2">
      <c r="A396" t="s">
        <v>9363</v>
      </c>
      <c r="B396" s="27" t="s">
        <v>7897</v>
      </c>
      <c r="C396" s="2" t="s">
        <v>7899</v>
      </c>
      <c r="D396" s="80" t="s">
        <v>7900</v>
      </c>
      <c r="E396" s="13">
        <v>354.8</v>
      </c>
      <c r="F396" s="19">
        <f t="shared" si="17"/>
        <v>220.50963331261653</v>
      </c>
    </row>
    <row r="397" spans="1:8" x14ac:dyDescent="0.2">
      <c r="A397" t="s">
        <v>9369</v>
      </c>
      <c r="B397" s="30" t="s">
        <v>1905</v>
      </c>
      <c r="C397" s="2" t="s">
        <v>5565</v>
      </c>
      <c r="D397" t="s">
        <v>4791</v>
      </c>
      <c r="E397" s="13">
        <v>358.8</v>
      </c>
      <c r="F397" s="19">
        <f t="shared" si="17"/>
        <v>222.99564947172158</v>
      </c>
    </row>
    <row r="398" spans="1:8" x14ac:dyDescent="0.2">
      <c r="A398" t="s">
        <v>9369</v>
      </c>
      <c r="B398" s="27" t="s">
        <v>1754</v>
      </c>
      <c r="C398" s="2" t="s">
        <v>1755</v>
      </c>
      <c r="D398" s="80" t="s">
        <v>1756</v>
      </c>
      <c r="E398" s="207">
        <v>360.3</v>
      </c>
      <c r="F398" s="19">
        <f t="shared" si="17"/>
        <v>223.92790553138596</v>
      </c>
    </row>
    <row r="399" spans="1:8" x14ac:dyDescent="0.2">
      <c r="A399" t="s">
        <v>9363</v>
      </c>
      <c r="B399" s="27" t="s">
        <v>80</v>
      </c>
      <c r="C399" s="257" t="s">
        <v>3706</v>
      </c>
      <c r="D399" s="80" t="s">
        <v>235</v>
      </c>
      <c r="E399" s="207">
        <v>378.2</v>
      </c>
      <c r="F399" s="19">
        <f t="shared" si="17"/>
        <v>235.05282784338098</v>
      </c>
      <c r="G399">
        <v>1172</v>
      </c>
    </row>
    <row r="400" spans="1:8" x14ac:dyDescent="0.2">
      <c r="A400" t="s">
        <v>9369</v>
      </c>
      <c r="B400" s="27" t="s">
        <v>5773</v>
      </c>
      <c r="C400" s="2" t="s">
        <v>5774</v>
      </c>
      <c r="D400" t="s">
        <v>661</v>
      </c>
      <c r="E400" s="13">
        <v>382</v>
      </c>
      <c r="F400" s="19">
        <f t="shared" si="17"/>
        <v>237.41454319453078</v>
      </c>
    </row>
    <row r="401" spans="1:13" x14ac:dyDescent="0.2">
      <c r="A401" t="s">
        <v>9369</v>
      </c>
      <c r="B401" s="27" t="s">
        <v>5893</v>
      </c>
      <c r="C401" s="2" t="s">
        <v>4202</v>
      </c>
      <c r="D401" t="s">
        <v>5106</v>
      </c>
      <c r="E401" s="13">
        <v>384.1</v>
      </c>
      <c r="F401" s="19">
        <f t="shared" si="17"/>
        <v>238.71970167806091</v>
      </c>
    </row>
    <row r="402" spans="1:13" x14ac:dyDescent="0.2">
      <c r="A402" s="80" t="s">
        <v>9362</v>
      </c>
      <c r="B402" t="s">
        <v>4991</v>
      </c>
      <c r="C402" s="2" t="s">
        <v>953</v>
      </c>
      <c r="D402" s="80" t="s">
        <v>952</v>
      </c>
      <c r="E402" s="207">
        <v>385.2</v>
      </c>
      <c r="F402" s="19">
        <f t="shared" si="17"/>
        <v>239.4033561218148</v>
      </c>
    </row>
    <row r="403" spans="1:13" x14ac:dyDescent="0.2">
      <c r="A403" s="80" t="s">
        <v>9362</v>
      </c>
      <c r="B403" s="556" t="s">
        <v>7626</v>
      </c>
      <c r="C403" s="2" t="s">
        <v>1299</v>
      </c>
      <c r="D403" s="80" t="s">
        <v>4227</v>
      </c>
      <c r="E403" s="207">
        <v>391.3</v>
      </c>
      <c r="F403" s="19">
        <f t="shared" si="17"/>
        <v>243.19453076444998</v>
      </c>
      <c r="G403" t="s">
        <v>3660</v>
      </c>
    </row>
    <row r="404" spans="1:13" x14ac:dyDescent="0.2">
      <c r="A404" t="s">
        <v>9369</v>
      </c>
      <c r="B404" s="552" t="s">
        <v>2863</v>
      </c>
      <c r="C404" s="257" t="s">
        <v>2862</v>
      </c>
      <c r="D404" s="80" t="s">
        <v>2861</v>
      </c>
      <c r="E404" s="207">
        <v>392.9</v>
      </c>
      <c r="F404" s="19">
        <f t="shared" si="17"/>
        <v>244.18893722809196</v>
      </c>
      <c r="G404">
        <v>248</v>
      </c>
      <c r="M404" s="524"/>
    </row>
    <row r="405" spans="1:13" x14ac:dyDescent="0.2">
      <c r="A405" t="s">
        <v>9369</v>
      </c>
      <c r="B405" s="27" t="s">
        <v>3111</v>
      </c>
      <c r="C405" s="257" t="s">
        <v>3110</v>
      </c>
      <c r="D405" s="80" t="s">
        <v>3112</v>
      </c>
      <c r="E405" s="207">
        <v>395.3</v>
      </c>
      <c r="F405" s="19">
        <f t="shared" si="17"/>
        <v>245.680546923555</v>
      </c>
      <c r="G405">
        <v>411</v>
      </c>
    </row>
    <row r="406" spans="1:13" x14ac:dyDescent="0.2">
      <c r="A406" t="s">
        <v>9369</v>
      </c>
      <c r="B406" s="27" t="s">
        <v>4549</v>
      </c>
      <c r="C406" s="2" t="s">
        <v>384</v>
      </c>
      <c r="D406" t="s">
        <v>385</v>
      </c>
      <c r="E406" s="13">
        <v>397.5</v>
      </c>
      <c r="F406" s="19">
        <f t="shared" si="17"/>
        <v>247.04785581106276</v>
      </c>
    </row>
    <row r="407" spans="1:13" x14ac:dyDescent="0.2">
      <c r="A407" t="s">
        <v>9369</v>
      </c>
      <c r="B407" s="552" t="s">
        <v>2247</v>
      </c>
      <c r="C407" s="2" t="s">
        <v>2245</v>
      </c>
      <c r="D407" s="80" t="s">
        <v>2246</v>
      </c>
      <c r="E407" s="207">
        <v>400.2</v>
      </c>
      <c r="F407" s="19">
        <f t="shared" si="17"/>
        <v>248.72591671845868</v>
      </c>
      <c r="G407">
        <v>765</v>
      </c>
      <c r="H407" t="s">
        <v>2781</v>
      </c>
    </row>
    <row r="408" spans="1:13" x14ac:dyDescent="0.2">
      <c r="A408" t="s">
        <v>9369</v>
      </c>
      <c r="B408" s="27" t="s">
        <v>3569</v>
      </c>
      <c r="C408" s="2" t="s">
        <v>2840</v>
      </c>
      <c r="D408" s="90" t="s">
        <v>3568</v>
      </c>
      <c r="E408" s="13">
        <v>403</v>
      </c>
      <c r="F408" s="19">
        <f t="shared" si="17"/>
        <v>250.46612802983219</v>
      </c>
    </row>
    <row r="409" spans="1:13" x14ac:dyDescent="0.2">
      <c r="A409" s="80" t="s">
        <v>9362</v>
      </c>
      <c r="B409" t="s">
        <v>4995</v>
      </c>
      <c r="C409" s="2" t="s">
        <v>2673</v>
      </c>
      <c r="D409" s="80" t="s">
        <v>951</v>
      </c>
      <c r="E409" s="207">
        <v>407.7</v>
      </c>
      <c r="F409" s="19">
        <f t="shared" si="17"/>
        <v>253.38719701678062</v>
      </c>
      <c r="G409" t="s">
        <v>1212</v>
      </c>
      <c r="H409" t="s">
        <v>1799</v>
      </c>
    </row>
    <row r="410" spans="1:13" x14ac:dyDescent="0.2">
      <c r="A410" s="80" t="s">
        <v>9362</v>
      </c>
      <c r="B410" s="27" t="s">
        <v>4985</v>
      </c>
      <c r="C410" s="2" t="s">
        <v>4997</v>
      </c>
      <c r="D410" s="80" t="s">
        <v>1651</v>
      </c>
      <c r="E410" s="207">
        <v>414.9</v>
      </c>
      <c r="F410" s="19">
        <f t="shared" si="17"/>
        <v>257.86202610316968</v>
      </c>
    </row>
    <row r="411" spans="1:13" x14ac:dyDescent="0.2">
      <c r="A411" t="s">
        <v>9369</v>
      </c>
      <c r="B411" t="s">
        <v>8549</v>
      </c>
      <c r="C411" s="2" t="s">
        <v>8546</v>
      </c>
      <c r="D411" t="s">
        <v>8547</v>
      </c>
      <c r="E411" s="13">
        <v>418</v>
      </c>
      <c r="F411" s="19">
        <f t="shared" si="17"/>
        <v>259.78868862647607</v>
      </c>
      <c r="H411" t="s">
        <v>8548</v>
      </c>
    </row>
    <row r="412" spans="1:13" x14ac:dyDescent="0.2">
      <c r="A412" t="s">
        <v>9369</v>
      </c>
      <c r="B412" s="525" t="s">
        <v>4812</v>
      </c>
      <c r="C412" s="257" t="s">
        <v>839</v>
      </c>
      <c r="D412" s="80" t="s">
        <v>4859</v>
      </c>
      <c r="E412" s="207">
        <v>430.5</v>
      </c>
      <c r="F412" s="19">
        <f t="shared" si="17"/>
        <v>267.55748912367932</v>
      </c>
      <c r="G412" t="s">
        <v>988</v>
      </c>
    </row>
    <row r="413" spans="1:13" x14ac:dyDescent="0.2">
      <c r="A413" t="s">
        <v>5075</v>
      </c>
      <c r="B413" t="s">
        <v>8930</v>
      </c>
      <c r="C413" s="2" t="s">
        <v>8928</v>
      </c>
      <c r="D413" t="s">
        <v>8929</v>
      </c>
      <c r="E413" s="13">
        <v>449.9</v>
      </c>
      <c r="F413" s="19">
        <f t="shared" si="17"/>
        <v>279.61466749533872</v>
      </c>
      <c r="H413" t="s">
        <v>8931</v>
      </c>
    </row>
    <row r="414" spans="1:13" x14ac:dyDescent="0.2">
      <c r="A414" s="80" t="s">
        <v>9376</v>
      </c>
      <c r="B414" s="27" t="s">
        <v>6418</v>
      </c>
      <c r="C414" s="2" t="s">
        <v>6417</v>
      </c>
      <c r="D414" s="80" t="s">
        <v>6437</v>
      </c>
      <c r="E414" s="13">
        <v>504.3</v>
      </c>
      <c r="F414" s="19">
        <f t="shared" si="17"/>
        <v>313.42448725916722</v>
      </c>
    </row>
    <row r="415" spans="1:13" x14ac:dyDescent="0.2">
      <c r="A415" s="80" t="s">
        <v>9376</v>
      </c>
      <c r="B415" s="27" t="s">
        <v>5629</v>
      </c>
      <c r="C415" s="2" t="s">
        <v>5642</v>
      </c>
      <c r="D415" s="90" t="s">
        <v>5567</v>
      </c>
      <c r="E415" s="16">
        <v>505.2</v>
      </c>
      <c r="F415" s="19">
        <f t="shared" si="17"/>
        <v>313.98384089496579</v>
      </c>
    </row>
    <row r="416" spans="1:13" x14ac:dyDescent="0.2">
      <c r="A416" s="80" t="s">
        <v>9376</v>
      </c>
      <c r="B416" t="s">
        <v>690</v>
      </c>
      <c r="C416" s="2" t="s">
        <v>2487</v>
      </c>
      <c r="D416" t="s">
        <v>2488</v>
      </c>
      <c r="E416" s="13">
        <v>505.9</v>
      </c>
      <c r="F416" s="19">
        <f t="shared" si="17"/>
        <v>314.41889372280917</v>
      </c>
    </row>
    <row r="417" spans="1:9" x14ac:dyDescent="0.2">
      <c r="A417" s="80" t="s">
        <v>9376</v>
      </c>
      <c r="B417" t="s">
        <v>691</v>
      </c>
      <c r="C417" s="2" t="s">
        <v>2485</v>
      </c>
      <c r="D417" t="s">
        <v>2486</v>
      </c>
      <c r="E417" s="13">
        <v>508.2</v>
      </c>
      <c r="F417" s="19">
        <f t="shared" si="17"/>
        <v>315.84835301429462</v>
      </c>
    </row>
    <row r="418" spans="1:9" x14ac:dyDescent="0.2">
      <c r="A418" s="80" t="s">
        <v>9376</v>
      </c>
      <c r="B418" t="s">
        <v>4933</v>
      </c>
      <c r="C418" s="257" t="s">
        <v>5898</v>
      </c>
      <c r="D418" s="80" t="s">
        <v>2602</v>
      </c>
      <c r="E418" s="207">
        <v>508.3</v>
      </c>
      <c r="F418" s="19">
        <f t="shared" si="17"/>
        <v>315.91050341827224</v>
      </c>
      <c r="G418" t="s">
        <v>154</v>
      </c>
    </row>
    <row r="419" spans="1:9" x14ac:dyDescent="0.2">
      <c r="A419" s="80" t="s">
        <v>9376</v>
      </c>
      <c r="B419" t="s">
        <v>685</v>
      </c>
      <c r="C419" s="2" t="s">
        <v>2490</v>
      </c>
      <c r="D419" t="s">
        <v>2491</v>
      </c>
      <c r="E419" s="13">
        <v>509.4</v>
      </c>
      <c r="F419" s="19">
        <f t="shared" si="17"/>
        <v>316.59415786202607</v>
      </c>
    </row>
    <row r="420" spans="1:9" x14ac:dyDescent="0.2">
      <c r="A420" s="80" t="s">
        <v>9376</v>
      </c>
      <c r="B420" t="s">
        <v>688</v>
      </c>
      <c r="C420" s="2" t="s">
        <v>2492</v>
      </c>
      <c r="D420" t="s">
        <v>2493</v>
      </c>
      <c r="E420" s="13">
        <v>511</v>
      </c>
      <c r="F420" s="19">
        <f t="shared" si="17"/>
        <v>317.58856432566813</v>
      </c>
    </row>
    <row r="421" spans="1:9" x14ac:dyDescent="0.2">
      <c r="A421" t="s">
        <v>5075</v>
      </c>
      <c r="B421" t="s">
        <v>6451</v>
      </c>
      <c r="C421" s="2" t="s">
        <v>6450</v>
      </c>
      <c r="D421" s="80" t="s">
        <v>6452</v>
      </c>
      <c r="E421" s="13">
        <v>515.5</v>
      </c>
      <c r="F421" s="19">
        <f t="shared" si="17"/>
        <v>320.38533250466128</v>
      </c>
      <c r="G421" s="80" t="s">
        <v>6453</v>
      </c>
    </row>
    <row r="422" spans="1:9" x14ac:dyDescent="0.2">
      <c r="A422" t="s">
        <v>5075</v>
      </c>
      <c r="B422" t="s">
        <v>4503</v>
      </c>
      <c r="C422" s="2" t="s">
        <v>4504</v>
      </c>
      <c r="D422" t="s">
        <v>2587</v>
      </c>
      <c r="E422" s="16">
        <v>520.9</v>
      </c>
      <c r="F422" s="19">
        <f t="shared" si="17"/>
        <v>323.74145431945306</v>
      </c>
      <c r="G422" t="s">
        <v>5660</v>
      </c>
    </row>
    <row r="423" spans="1:9" x14ac:dyDescent="0.2">
      <c r="A423" s="80" t="s">
        <v>9376</v>
      </c>
      <c r="B423" t="s">
        <v>5680</v>
      </c>
      <c r="C423" s="2" t="s">
        <v>5911</v>
      </c>
      <c r="D423" t="s">
        <v>5679</v>
      </c>
      <c r="E423" s="13">
        <v>523.1</v>
      </c>
      <c r="F423" s="19">
        <f t="shared" si="17"/>
        <v>325.10876320696087</v>
      </c>
    </row>
    <row r="424" spans="1:9" x14ac:dyDescent="0.2">
      <c r="A424" t="s">
        <v>5075</v>
      </c>
      <c r="B424" t="s">
        <v>3248</v>
      </c>
      <c r="C424" s="2" t="s">
        <v>3247</v>
      </c>
      <c r="D424" t="s">
        <v>725</v>
      </c>
      <c r="E424" s="16">
        <v>527.9</v>
      </c>
      <c r="F424" s="19">
        <f t="shared" si="17"/>
        <v>328.0919825978869</v>
      </c>
      <c r="G424" t="s">
        <v>1513</v>
      </c>
      <c r="I424" t="s">
        <v>5513</v>
      </c>
    </row>
    <row r="425" spans="1:9" x14ac:dyDescent="0.2">
      <c r="A425" s="80" t="s">
        <v>9376</v>
      </c>
      <c r="B425" t="s">
        <v>684</v>
      </c>
      <c r="C425" s="2" t="s">
        <v>3083</v>
      </c>
      <c r="D425" t="s">
        <v>2489</v>
      </c>
      <c r="E425" s="13">
        <v>529.70000000000005</v>
      </c>
      <c r="F425" s="19">
        <f t="shared" si="17"/>
        <v>329.21068986948416</v>
      </c>
    </row>
    <row r="426" spans="1:9" x14ac:dyDescent="0.2">
      <c r="A426" t="s">
        <v>5075</v>
      </c>
      <c r="B426" t="s">
        <v>3608</v>
      </c>
      <c r="C426" s="257" t="s">
        <v>3607</v>
      </c>
      <c r="D426" s="80" t="s">
        <v>3606</v>
      </c>
      <c r="E426" s="207">
        <v>530.9</v>
      </c>
      <c r="F426" s="19">
        <f t="shared" si="17"/>
        <v>329.95649471721566</v>
      </c>
      <c r="G426">
        <v>360</v>
      </c>
      <c r="H426" t="s">
        <v>3605</v>
      </c>
    </row>
    <row r="427" spans="1:9" x14ac:dyDescent="0.2">
      <c r="A427" t="s">
        <v>5075</v>
      </c>
      <c r="B427" s="27" t="s">
        <v>2067</v>
      </c>
      <c r="C427" s="2" t="s">
        <v>3684</v>
      </c>
      <c r="D427" t="s">
        <v>5074</v>
      </c>
      <c r="E427" s="13">
        <v>535.1</v>
      </c>
      <c r="F427" s="19">
        <f t="shared" si="17"/>
        <v>332.56681168427599</v>
      </c>
    </row>
    <row r="428" spans="1:9" x14ac:dyDescent="0.2">
      <c r="A428" t="s">
        <v>5075</v>
      </c>
      <c r="B428" t="s">
        <v>1749</v>
      </c>
      <c r="C428" s="2" t="s">
        <v>3942</v>
      </c>
      <c r="D428" t="s">
        <v>4768</v>
      </c>
      <c r="E428" s="16">
        <v>541.1</v>
      </c>
      <c r="F428" s="19">
        <f t="shared" si="17"/>
        <v>336.29583592293352</v>
      </c>
    </row>
    <row r="429" spans="1:9" x14ac:dyDescent="0.2">
      <c r="A429" s="80" t="s">
        <v>9376</v>
      </c>
      <c r="B429" s="27" t="s">
        <v>2931</v>
      </c>
      <c r="C429" s="2" t="s">
        <v>4490</v>
      </c>
      <c r="D429" t="s">
        <v>2932</v>
      </c>
      <c r="E429" s="16">
        <v>541.9</v>
      </c>
      <c r="F429" s="19">
        <f t="shared" si="17"/>
        <v>336.79303915475447</v>
      </c>
    </row>
    <row r="430" spans="1:9" x14ac:dyDescent="0.2">
      <c r="A430" t="s">
        <v>5075</v>
      </c>
      <c r="B430" s="27" t="s">
        <v>747</v>
      </c>
      <c r="C430" s="2" t="s">
        <v>4664</v>
      </c>
      <c r="D430" s="75" t="s">
        <v>4846</v>
      </c>
      <c r="E430" s="29">
        <v>545.1</v>
      </c>
      <c r="F430" s="19">
        <f t="shared" si="17"/>
        <v>338.78185208203854</v>
      </c>
    </row>
    <row r="431" spans="1:9" x14ac:dyDescent="0.2">
      <c r="A431" t="s">
        <v>5075</v>
      </c>
      <c r="B431" t="s">
        <v>5316</v>
      </c>
      <c r="C431" s="257" t="s">
        <v>5315</v>
      </c>
      <c r="D431" s="80" t="s">
        <v>5314</v>
      </c>
      <c r="E431" s="207">
        <v>545.20000000000005</v>
      </c>
      <c r="F431" s="19">
        <f t="shared" si="17"/>
        <v>338.84400248601617</v>
      </c>
    </row>
    <row r="432" spans="1:9" x14ac:dyDescent="0.2">
      <c r="A432" t="s">
        <v>5075</v>
      </c>
      <c r="B432" s="27" t="s">
        <v>5116</v>
      </c>
      <c r="C432" s="2" t="s">
        <v>746</v>
      </c>
      <c r="D432" t="s">
        <v>5224</v>
      </c>
      <c r="E432" s="16">
        <v>546.79999999999995</v>
      </c>
      <c r="F432" s="18">
        <f t="shared" si="17"/>
        <v>339.83840894965817</v>
      </c>
    </row>
    <row r="433" spans="1:8" x14ac:dyDescent="0.2">
      <c r="A433" t="s">
        <v>5075</v>
      </c>
      <c r="B433" s="27" t="s">
        <v>1111</v>
      </c>
      <c r="C433" s="2" t="s">
        <v>3296</v>
      </c>
      <c r="D433" t="s">
        <v>739</v>
      </c>
      <c r="E433" s="16">
        <v>548.20000000000005</v>
      </c>
      <c r="F433" s="19">
        <f t="shared" si="17"/>
        <v>340.70851460534499</v>
      </c>
    </row>
    <row r="434" spans="1:8" x14ac:dyDescent="0.2">
      <c r="A434" t="s">
        <v>5075</v>
      </c>
      <c r="B434" s="27" t="s">
        <v>5373</v>
      </c>
      <c r="C434" s="257" t="s">
        <v>5374</v>
      </c>
      <c r="D434" s="80" t="s">
        <v>288</v>
      </c>
      <c r="E434" s="207">
        <v>548.29999999999995</v>
      </c>
      <c r="F434" s="19">
        <f t="shared" si="17"/>
        <v>340.77066500932256</v>
      </c>
    </row>
    <row r="435" spans="1:8" x14ac:dyDescent="0.2">
      <c r="A435" s="80" t="s">
        <v>9376</v>
      </c>
      <c r="B435" t="s">
        <v>686</v>
      </c>
      <c r="C435" s="2" t="s">
        <v>2494</v>
      </c>
      <c r="D435" t="s">
        <v>2495</v>
      </c>
      <c r="E435" s="13">
        <v>548.70000000000005</v>
      </c>
      <c r="F435" s="19">
        <f t="shared" si="17"/>
        <v>341.01926662523312</v>
      </c>
    </row>
    <row r="436" spans="1:8" x14ac:dyDescent="0.2">
      <c r="A436" t="s">
        <v>5075</v>
      </c>
      <c r="B436" t="s">
        <v>1874</v>
      </c>
      <c r="C436" s="2" t="s">
        <v>1873</v>
      </c>
      <c r="D436" t="s">
        <v>4770</v>
      </c>
      <c r="E436" s="16">
        <v>550.1</v>
      </c>
      <c r="F436" s="19">
        <f t="shared" si="17"/>
        <v>341.88937228091982</v>
      </c>
    </row>
    <row r="437" spans="1:8" x14ac:dyDescent="0.2">
      <c r="A437" t="s">
        <v>5075</v>
      </c>
      <c r="B437" t="s">
        <v>4773</v>
      </c>
      <c r="C437" s="2" t="s">
        <v>4772</v>
      </c>
      <c r="D437" t="s">
        <v>4771</v>
      </c>
      <c r="E437" s="13">
        <v>553</v>
      </c>
      <c r="F437" s="19">
        <f t="shared" si="17"/>
        <v>343.69173399627095</v>
      </c>
    </row>
    <row r="438" spans="1:8" x14ac:dyDescent="0.2">
      <c r="A438" t="s">
        <v>5075</v>
      </c>
      <c r="B438" t="s">
        <v>5312</v>
      </c>
      <c r="C438" s="257" t="s">
        <v>5311</v>
      </c>
      <c r="D438" s="80" t="s">
        <v>5317</v>
      </c>
      <c r="E438" s="278">
        <v>561</v>
      </c>
      <c r="F438" s="19">
        <f t="shared" si="17"/>
        <v>348.66376631448105</v>
      </c>
    </row>
    <row r="439" spans="1:8" x14ac:dyDescent="0.2">
      <c r="A439" t="s">
        <v>5075</v>
      </c>
      <c r="B439" t="s">
        <v>4774</v>
      </c>
      <c r="C439" s="2" t="s">
        <v>2011</v>
      </c>
      <c r="D439" t="s">
        <v>4769</v>
      </c>
      <c r="E439" s="16">
        <v>581.9</v>
      </c>
      <c r="F439" s="19">
        <f t="shared" si="17"/>
        <v>361.65320074580484</v>
      </c>
    </row>
    <row r="440" spans="1:8" x14ac:dyDescent="0.2">
      <c r="A440" t="s">
        <v>5075</v>
      </c>
      <c r="B440" t="s">
        <v>3021</v>
      </c>
      <c r="C440" s="257" t="s">
        <v>3429</v>
      </c>
      <c r="D440" s="80" t="s">
        <v>3022</v>
      </c>
      <c r="E440" s="207">
        <v>582.4</v>
      </c>
      <c r="F440" s="19">
        <f t="shared" si="17"/>
        <v>361.96395276569297</v>
      </c>
    </row>
    <row r="441" spans="1:8" x14ac:dyDescent="0.2">
      <c r="A441" s="80" t="s">
        <v>9376</v>
      </c>
      <c r="B441" t="s">
        <v>6097</v>
      </c>
      <c r="C441" s="257" t="s">
        <v>2963</v>
      </c>
      <c r="D441" s="5" t="s">
        <v>6081</v>
      </c>
      <c r="E441" s="207">
        <v>585.5</v>
      </c>
      <c r="F441" s="19"/>
      <c r="G441" t="s">
        <v>1212</v>
      </c>
      <c r="H441" s="5" t="s">
        <v>6082</v>
      </c>
    </row>
    <row r="442" spans="1:8" x14ac:dyDescent="0.2">
      <c r="A442" s="80" t="s">
        <v>9376</v>
      </c>
      <c r="B442" s="493" t="s">
        <v>8361</v>
      </c>
      <c r="C442" s="2" t="s">
        <v>5910</v>
      </c>
      <c r="D442" s="80" t="s">
        <v>8363</v>
      </c>
      <c r="E442" s="13">
        <v>610</v>
      </c>
      <c r="F442" s="19">
        <f t="shared" ref="F442:F448" si="18">E442/1.609</f>
        <v>379.11746426351772</v>
      </c>
      <c r="G442" s="80" t="s">
        <v>8362</v>
      </c>
      <c r="H442" s="80" t="s">
        <v>8364</v>
      </c>
    </row>
    <row r="443" spans="1:8" x14ac:dyDescent="0.2">
      <c r="A443" s="80" t="s">
        <v>5075</v>
      </c>
      <c r="B443" t="s">
        <v>3019</v>
      </c>
      <c r="C443" s="257" t="s">
        <v>3018</v>
      </c>
      <c r="D443" s="80" t="s">
        <v>3020</v>
      </c>
      <c r="E443" s="207">
        <v>639.5</v>
      </c>
      <c r="F443" s="19">
        <f t="shared" si="18"/>
        <v>397.45183343691735</v>
      </c>
    </row>
    <row r="444" spans="1:8" x14ac:dyDescent="0.2">
      <c r="A444" s="80" t="s">
        <v>5075</v>
      </c>
      <c r="B444" t="s">
        <v>3017</v>
      </c>
      <c r="C444" s="257" t="s">
        <v>5375</v>
      </c>
      <c r="D444" s="80" t="s">
        <v>5376</v>
      </c>
      <c r="E444" s="207">
        <v>642.29999999999995</v>
      </c>
      <c r="F444" s="19">
        <f t="shared" si="18"/>
        <v>399.19204474829081</v>
      </c>
    </row>
    <row r="445" spans="1:8" x14ac:dyDescent="0.2">
      <c r="A445" t="s">
        <v>5075</v>
      </c>
      <c r="B445" t="s">
        <v>3897</v>
      </c>
      <c r="C445" s="257" t="s">
        <v>3894</v>
      </c>
      <c r="D445" s="80" t="s">
        <v>3895</v>
      </c>
      <c r="E445" s="207">
        <v>642.70000000000005</v>
      </c>
      <c r="F445" s="19">
        <f t="shared" si="18"/>
        <v>399.44064636420143</v>
      </c>
      <c r="G445">
        <v>491</v>
      </c>
      <c r="H445" t="s">
        <v>3896</v>
      </c>
    </row>
    <row r="446" spans="1:8" x14ac:dyDescent="0.2">
      <c r="A446" s="80" t="s">
        <v>5075</v>
      </c>
      <c r="B446" t="s">
        <v>811</v>
      </c>
      <c r="C446" s="257" t="s">
        <v>765</v>
      </c>
      <c r="D446" s="80" t="s">
        <v>4710</v>
      </c>
      <c r="E446" s="207">
        <v>662.2</v>
      </c>
      <c r="F446" s="19">
        <f t="shared" si="18"/>
        <v>411.55997513983846</v>
      </c>
      <c r="G446">
        <v>1307</v>
      </c>
      <c r="H446" t="s">
        <v>4711</v>
      </c>
    </row>
    <row r="447" spans="1:8" x14ac:dyDescent="0.2">
      <c r="A447" t="s">
        <v>5075</v>
      </c>
      <c r="B447" t="s">
        <v>5313</v>
      </c>
      <c r="C447" s="257" t="s">
        <v>1218</v>
      </c>
      <c r="D447" s="80" t="s">
        <v>3023</v>
      </c>
      <c r="E447" s="207">
        <v>709.6</v>
      </c>
      <c r="F447" s="19">
        <f t="shared" si="18"/>
        <v>441.01926662523306</v>
      </c>
    </row>
    <row r="448" spans="1:8" x14ac:dyDescent="0.2">
      <c r="B448" t="s">
        <v>10321</v>
      </c>
      <c r="C448" s="257" t="s">
        <v>10320</v>
      </c>
      <c r="D448" s="80" t="s">
        <v>10322</v>
      </c>
      <c r="E448" s="207">
        <v>369.1</v>
      </c>
      <c r="F448" s="19">
        <f t="shared" si="18"/>
        <v>229.39714108141703</v>
      </c>
    </row>
    <row r="449" spans="1:8" x14ac:dyDescent="0.2">
      <c r="A449" t="s">
        <v>9361</v>
      </c>
      <c r="B449" s="27" t="s">
        <v>2019</v>
      </c>
      <c r="C449" s="2" t="s">
        <v>1320</v>
      </c>
      <c r="D449" s="90"/>
      <c r="E449" s="13">
        <v>445</v>
      </c>
      <c r="F449" s="19">
        <f t="shared" ref="F449:F456" si="19">E449/1.609</f>
        <v>276.56929770043507</v>
      </c>
      <c r="G449" t="s">
        <v>118</v>
      </c>
    </row>
    <row r="450" spans="1:8" x14ac:dyDescent="0.2">
      <c r="A450" t="s">
        <v>9361</v>
      </c>
      <c r="B450" s="27" t="s">
        <v>162</v>
      </c>
      <c r="C450" s="2" t="s">
        <v>3307</v>
      </c>
      <c r="D450" s="90"/>
      <c r="E450" s="13">
        <v>450</v>
      </c>
      <c r="F450" s="19">
        <f t="shared" si="19"/>
        <v>279.67681789931635</v>
      </c>
      <c r="G450" t="s">
        <v>118</v>
      </c>
    </row>
    <row r="451" spans="1:8" ht="12.75" customHeight="1" x14ac:dyDescent="0.2">
      <c r="A451" t="s">
        <v>9361</v>
      </c>
      <c r="B451" s="27" t="s">
        <v>8771</v>
      </c>
      <c r="C451" s="2" t="s">
        <v>8772</v>
      </c>
      <c r="D451" s="90"/>
      <c r="E451" s="13">
        <v>452</v>
      </c>
      <c r="F451" s="19">
        <f t="shared" si="19"/>
        <v>280.91982597886886</v>
      </c>
      <c r="G451" t="s">
        <v>118</v>
      </c>
      <c r="H451">
        <v>1743</v>
      </c>
    </row>
    <row r="452" spans="1:8" x14ac:dyDescent="0.2">
      <c r="A452" t="s">
        <v>9361</v>
      </c>
      <c r="B452" s="27" t="s">
        <v>1951</v>
      </c>
      <c r="C452" s="2" t="s">
        <v>1950</v>
      </c>
      <c r="D452" s="90"/>
      <c r="E452" s="13">
        <v>455</v>
      </c>
      <c r="F452" s="19">
        <f t="shared" si="19"/>
        <v>282.78433809819762</v>
      </c>
      <c r="G452" t="s">
        <v>118</v>
      </c>
    </row>
    <row r="453" spans="1:8" ht="12.75" customHeight="1" x14ac:dyDescent="0.2">
      <c r="A453" t="s">
        <v>9361</v>
      </c>
      <c r="B453" t="s">
        <v>1949</v>
      </c>
      <c r="C453" s="2" t="s">
        <v>1948</v>
      </c>
      <c r="D453" s="90"/>
      <c r="E453" s="13">
        <v>460</v>
      </c>
      <c r="F453" s="19">
        <f t="shared" si="19"/>
        <v>285.89185829707895</v>
      </c>
      <c r="G453" t="s">
        <v>118</v>
      </c>
    </row>
    <row r="454" spans="1:8" ht="12.75" customHeight="1" x14ac:dyDescent="0.2">
      <c r="A454" t="s">
        <v>9361</v>
      </c>
      <c r="B454" t="s">
        <v>457</v>
      </c>
      <c r="C454" s="2" t="s">
        <v>5564</v>
      </c>
      <c r="E454" s="13">
        <v>590</v>
      </c>
      <c r="F454" s="19">
        <f t="shared" si="19"/>
        <v>366.68738346799256</v>
      </c>
      <c r="G454" t="s">
        <v>118</v>
      </c>
    </row>
    <row r="455" spans="1:8" ht="12.75" customHeight="1" x14ac:dyDescent="0.2">
      <c r="A455" t="s">
        <v>9361</v>
      </c>
      <c r="B455" s="27" t="s">
        <v>1986</v>
      </c>
      <c r="C455" s="2" t="s">
        <v>1985</v>
      </c>
      <c r="E455" s="13">
        <v>600</v>
      </c>
      <c r="F455" s="19">
        <f t="shared" si="19"/>
        <v>372.90242386575511</v>
      </c>
      <c r="G455" t="s">
        <v>118</v>
      </c>
    </row>
    <row r="456" spans="1:8" ht="12.75" customHeight="1" x14ac:dyDescent="0.2">
      <c r="A456" t="s">
        <v>9361</v>
      </c>
      <c r="C456" s="257" t="s">
        <v>2466</v>
      </c>
      <c r="D456" s="80"/>
      <c r="E456" s="207"/>
      <c r="F456" s="19">
        <f t="shared" si="19"/>
        <v>0</v>
      </c>
    </row>
    <row r="457" spans="1:8" ht="12.75" customHeight="1" x14ac:dyDescent="0.2">
      <c r="A457" t="s">
        <v>9361</v>
      </c>
      <c r="C457" s="257" t="s">
        <v>5724</v>
      </c>
      <c r="D457" s="80"/>
      <c r="E457" s="207"/>
      <c r="F457" s="19"/>
      <c r="G457">
        <v>1469</v>
      </c>
    </row>
    <row r="458" spans="1:8" ht="12.75" customHeight="1" x14ac:dyDescent="0.2">
      <c r="A458" t="s">
        <v>9361</v>
      </c>
      <c r="C458" s="257" t="s">
        <v>2212</v>
      </c>
      <c r="D458" s="80"/>
      <c r="E458" s="207"/>
      <c r="F458" s="19"/>
      <c r="G458">
        <v>1492</v>
      </c>
    </row>
    <row r="459" spans="1:8" ht="12.75" customHeight="1" x14ac:dyDescent="0.2">
      <c r="A459" t="s">
        <v>9361</v>
      </c>
      <c r="C459" s="257" t="s">
        <v>3157</v>
      </c>
      <c r="D459" s="80"/>
      <c r="E459" s="207"/>
      <c r="F459" s="19"/>
      <c r="G459">
        <v>78</v>
      </c>
    </row>
    <row r="460" spans="1:8" ht="12.75" customHeight="1" x14ac:dyDescent="0.2">
      <c r="A460" t="s">
        <v>9361</v>
      </c>
      <c r="C460" s="257" t="s">
        <v>3158</v>
      </c>
      <c r="D460" s="80"/>
      <c r="E460" s="207"/>
      <c r="F460" s="19"/>
      <c r="G460">
        <v>110</v>
      </c>
    </row>
    <row r="461" spans="1:8" ht="12.75" customHeight="1" x14ac:dyDescent="0.2">
      <c r="A461" t="s">
        <v>9361</v>
      </c>
      <c r="C461" s="257" t="s">
        <v>1503</v>
      </c>
      <c r="D461" s="80"/>
      <c r="E461" s="207"/>
      <c r="F461" s="19"/>
      <c r="G461">
        <v>1353</v>
      </c>
    </row>
    <row r="462" spans="1:8" ht="12.75" customHeight="1" x14ac:dyDescent="0.2">
      <c r="A462" t="s">
        <v>9361</v>
      </c>
      <c r="C462" s="257" t="s">
        <v>5759</v>
      </c>
      <c r="D462" s="80"/>
      <c r="E462" s="207"/>
      <c r="F462" s="19"/>
      <c r="H462" t="s">
        <v>5760</v>
      </c>
    </row>
    <row r="463" spans="1:8" ht="12.75" customHeight="1" x14ac:dyDescent="0.2">
      <c r="C463" s="257"/>
      <c r="D463" s="80"/>
      <c r="E463" s="207"/>
      <c r="F463" s="19"/>
    </row>
    <row r="464" spans="1:8" ht="12.75" customHeight="1" x14ac:dyDescent="0.2">
      <c r="B464" t="s">
        <v>9617</v>
      </c>
      <c r="C464" s="257" t="s">
        <v>9618</v>
      </c>
      <c r="D464" s="80"/>
      <c r="E464" s="207"/>
      <c r="F464" s="19"/>
      <c r="G464">
        <v>1734</v>
      </c>
    </row>
    <row r="465" spans="2:11" ht="12.75" customHeight="1" x14ac:dyDescent="0.2">
      <c r="B465" s="27" t="s">
        <v>1995</v>
      </c>
      <c r="C465" s="257" t="s">
        <v>5943</v>
      </c>
      <c r="D465" s="80"/>
      <c r="E465" s="411">
        <v>344</v>
      </c>
      <c r="F465" s="19">
        <f t="shared" ref="F465:F509" si="20">E465/1.609</f>
        <v>213.79738968303295</v>
      </c>
      <c r="G465">
        <v>1393</v>
      </c>
    </row>
    <row r="466" spans="2:11" ht="12.75" customHeight="1" x14ac:dyDescent="0.2">
      <c r="B466" s="27" t="s">
        <v>321</v>
      </c>
      <c r="C466" s="2" t="s">
        <v>318</v>
      </c>
      <c r="E466" s="412">
        <v>740</v>
      </c>
      <c r="F466" s="19">
        <f t="shared" si="20"/>
        <v>459.91298943443132</v>
      </c>
      <c r="G466" t="s">
        <v>320</v>
      </c>
    </row>
    <row r="467" spans="2:11" ht="12.75" customHeight="1" x14ac:dyDescent="0.2">
      <c r="B467" s="27" t="s">
        <v>2039</v>
      </c>
      <c r="C467" s="2" t="s">
        <v>4226</v>
      </c>
      <c r="E467" s="412">
        <v>745</v>
      </c>
      <c r="F467" s="19">
        <f t="shared" si="20"/>
        <v>463.0205096333126</v>
      </c>
      <c r="G467">
        <v>1421</v>
      </c>
      <c r="K467" s="464"/>
    </row>
    <row r="468" spans="2:11" ht="12.75" customHeight="1" x14ac:dyDescent="0.2">
      <c r="B468" s="27" t="s">
        <v>784</v>
      </c>
      <c r="C468" s="2" t="s">
        <v>4225</v>
      </c>
      <c r="E468" s="412">
        <v>885.6</v>
      </c>
      <c r="F468" s="19">
        <f t="shared" si="20"/>
        <v>550.40397762585462</v>
      </c>
      <c r="G468">
        <v>1453</v>
      </c>
    </row>
    <row r="469" spans="2:11" ht="12.75" customHeight="1" x14ac:dyDescent="0.2">
      <c r="B469" s="27" t="s">
        <v>4799</v>
      </c>
      <c r="C469" s="2" t="s">
        <v>4998</v>
      </c>
      <c r="E469" s="412">
        <v>982</v>
      </c>
      <c r="F469" s="19">
        <f t="shared" si="20"/>
        <v>610.31696706028595</v>
      </c>
      <c r="G469" t="s">
        <v>4999</v>
      </c>
    </row>
    <row r="470" spans="2:11" ht="12.75" customHeight="1" x14ac:dyDescent="0.2">
      <c r="B470" s="27" t="s">
        <v>4838</v>
      </c>
      <c r="C470" s="2" t="s">
        <v>4981</v>
      </c>
      <c r="E470" s="401">
        <v>1289</v>
      </c>
      <c r="F470" s="19">
        <f t="shared" si="20"/>
        <v>801.11870727159726</v>
      </c>
      <c r="G470" t="s">
        <v>5000</v>
      </c>
    </row>
    <row r="471" spans="2:11" ht="12.75" customHeight="1" x14ac:dyDescent="0.2">
      <c r="B471" s="27" t="s">
        <v>4982</v>
      </c>
      <c r="C471" s="2" t="s">
        <v>4839</v>
      </c>
      <c r="E471" s="401">
        <v>1293</v>
      </c>
      <c r="F471" s="19">
        <f t="shared" si="20"/>
        <v>803.60472343070228</v>
      </c>
      <c r="G471" t="s">
        <v>5000</v>
      </c>
    </row>
    <row r="472" spans="2:11" x14ac:dyDescent="0.2">
      <c r="B472" s="27" t="s">
        <v>4251</v>
      </c>
      <c r="C472" s="2" t="s">
        <v>4252</v>
      </c>
      <c r="E472" s="401">
        <v>1334</v>
      </c>
      <c r="F472" s="19">
        <f t="shared" si="20"/>
        <v>829.08638906152896</v>
      </c>
      <c r="G472" t="s">
        <v>5000</v>
      </c>
    </row>
    <row r="473" spans="2:11" x14ac:dyDescent="0.2">
      <c r="B473" s="27" t="s">
        <v>1681</v>
      </c>
      <c r="C473" s="2" t="s">
        <v>1682</v>
      </c>
      <c r="E473" s="401">
        <v>1411</v>
      </c>
      <c r="F473" s="19">
        <f t="shared" si="20"/>
        <v>876.94220012430083</v>
      </c>
      <c r="G473" t="s">
        <v>5000</v>
      </c>
    </row>
    <row r="474" spans="2:11" x14ac:dyDescent="0.2">
      <c r="B474" s="27" t="s">
        <v>3031</v>
      </c>
      <c r="C474" s="2" t="s">
        <v>4417</v>
      </c>
      <c r="E474" s="401">
        <v>2094</v>
      </c>
      <c r="F474" s="19">
        <f t="shared" si="20"/>
        <v>1301.4294592914855</v>
      </c>
      <c r="G474" t="s">
        <v>4682</v>
      </c>
    </row>
    <row r="475" spans="2:11" x14ac:dyDescent="0.2">
      <c r="C475" s="2" t="s">
        <v>8087</v>
      </c>
      <c r="E475" s="401"/>
      <c r="F475" s="19"/>
    </row>
    <row r="476" spans="2:11" x14ac:dyDescent="0.2">
      <c r="C476" s="2"/>
      <c r="E476" s="401"/>
      <c r="F476" s="19"/>
    </row>
    <row r="477" spans="2:11" x14ac:dyDescent="0.2">
      <c r="B477" s="6" t="s">
        <v>3641</v>
      </c>
      <c r="C477" s="2" t="s">
        <v>3640</v>
      </c>
      <c r="E477" s="401">
        <v>5913</v>
      </c>
      <c r="F477" s="19">
        <f t="shared" si="20"/>
        <v>3674.953387197017</v>
      </c>
      <c r="G477" t="s">
        <v>1038</v>
      </c>
      <c r="H477">
        <v>1383</v>
      </c>
      <c r="K477" t="s">
        <v>3642</v>
      </c>
    </row>
    <row r="478" spans="2:11" x14ac:dyDescent="0.2">
      <c r="B478" s="27" t="s">
        <v>6030</v>
      </c>
      <c r="C478" s="2" t="s">
        <v>6029</v>
      </c>
      <c r="E478" s="401">
        <v>6052</v>
      </c>
      <c r="F478" s="19">
        <f t="shared" si="20"/>
        <v>3761.3424487259167</v>
      </c>
      <c r="G478" t="s">
        <v>1038</v>
      </c>
    </row>
    <row r="479" spans="2:11" x14ac:dyDescent="0.2">
      <c r="B479" s="30" t="s">
        <v>4930</v>
      </c>
      <c r="C479" s="2" t="s">
        <v>2115</v>
      </c>
      <c r="E479" s="401">
        <v>6252</v>
      </c>
      <c r="F479" s="19">
        <f t="shared" si="20"/>
        <v>3885.6432566811686</v>
      </c>
      <c r="G479" t="s">
        <v>1038</v>
      </c>
    </row>
    <row r="480" spans="2:11" x14ac:dyDescent="0.2">
      <c r="B480" s="27" t="s">
        <v>9310</v>
      </c>
      <c r="C480" s="2" t="s">
        <v>9311</v>
      </c>
      <c r="E480" s="401">
        <v>7544</v>
      </c>
      <c r="F480" s="19">
        <f>E480/1.609</f>
        <v>4688.6264760720942</v>
      </c>
      <c r="G480" t="s">
        <v>1038</v>
      </c>
    </row>
    <row r="481" spans="2:7" x14ac:dyDescent="0.2">
      <c r="B481" s="27" t="s">
        <v>3310</v>
      </c>
      <c r="C481" s="2" t="s">
        <v>3311</v>
      </c>
      <c r="E481" s="401">
        <v>7693</v>
      </c>
      <c r="F481" s="19">
        <f>E481/1.609</f>
        <v>4781.2305779987573</v>
      </c>
      <c r="G481" t="s">
        <v>1038</v>
      </c>
    </row>
    <row r="482" spans="2:7" x14ac:dyDescent="0.2">
      <c r="B482" s="27" t="s">
        <v>5595</v>
      </c>
      <c r="C482" s="2" t="s">
        <v>1261</v>
      </c>
      <c r="E482" s="401">
        <v>8630</v>
      </c>
      <c r="F482" s="19">
        <f>E482/1.609</f>
        <v>5363.5798632691112</v>
      </c>
      <c r="G482" t="s">
        <v>1038</v>
      </c>
    </row>
    <row r="483" spans="2:7" x14ac:dyDescent="0.2">
      <c r="C483" s="2"/>
      <c r="E483" s="401"/>
      <c r="F483" s="19"/>
    </row>
    <row r="484" spans="2:7" x14ac:dyDescent="0.2">
      <c r="B484" s="27" t="s">
        <v>3405</v>
      </c>
      <c r="C484" s="2" t="s">
        <v>3404</v>
      </c>
      <c r="E484" s="401">
        <v>9504</v>
      </c>
      <c r="F484" s="19">
        <f t="shared" si="20"/>
        <v>5906.7743940335613</v>
      </c>
      <c r="G484" t="s">
        <v>2314</v>
      </c>
    </row>
    <row r="485" spans="2:7" x14ac:dyDescent="0.2">
      <c r="B485" s="27" t="s">
        <v>220</v>
      </c>
      <c r="C485" s="2" t="s">
        <v>221</v>
      </c>
      <c r="E485" s="401">
        <v>9680</v>
      </c>
      <c r="F485" s="19">
        <f t="shared" si="20"/>
        <v>6016.1591050341831</v>
      </c>
      <c r="G485" t="s">
        <v>2314</v>
      </c>
    </row>
    <row r="486" spans="2:7" x14ac:dyDescent="0.2">
      <c r="B486" s="27" t="s">
        <v>227</v>
      </c>
      <c r="C486" s="2" t="s">
        <v>1124</v>
      </c>
      <c r="E486" s="401">
        <v>9684</v>
      </c>
      <c r="F486" s="19">
        <f t="shared" si="20"/>
        <v>6018.6451211932881</v>
      </c>
      <c r="G486" t="s">
        <v>2314</v>
      </c>
    </row>
    <row r="487" spans="2:7" x14ac:dyDescent="0.2">
      <c r="B487" s="27" t="s">
        <v>5662</v>
      </c>
      <c r="C487" s="2" t="s">
        <v>1578</v>
      </c>
      <c r="E487" s="401">
        <v>10897</v>
      </c>
      <c r="F487" s="19">
        <f t="shared" si="20"/>
        <v>6772.5295214418893</v>
      </c>
      <c r="G487" t="s">
        <v>2112</v>
      </c>
    </row>
    <row r="488" spans="2:7" x14ac:dyDescent="0.2">
      <c r="C488" s="2"/>
      <c r="E488" s="401"/>
      <c r="F488" s="19"/>
    </row>
    <row r="489" spans="2:7" x14ac:dyDescent="0.2">
      <c r="B489" s="27" t="s">
        <v>4910</v>
      </c>
      <c r="C489" s="2" t="s">
        <v>4913</v>
      </c>
      <c r="E489" s="401">
        <v>7023</v>
      </c>
      <c r="F489" s="19">
        <f t="shared" si="20"/>
        <v>4364.8228713486642</v>
      </c>
      <c r="G489" t="s">
        <v>4908</v>
      </c>
    </row>
    <row r="490" spans="2:7" x14ac:dyDescent="0.2">
      <c r="B490" t="s">
        <v>4912</v>
      </c>
      <c r="C490" s="2" t="s">
        <v>4914</v>
      </c>
      <c r="E490" s="401">
        <v>7358</v>
      </c>
      <c r="F490" s="19">
        <f t="shared" si="20"/>
        <v>4573.0267246737103</v>
      </c>
      <c r="G490" t="s">
        <v>4908</v>
      </c>
    </row>
    <row r="491" spans="2:7" x14ac:dyDescent="0.2">
      <c r="B491" t="s">
        <v>5499</v>
      </c>
      <c r="C491" s="2" t="s">
        <v>5498</v>
      </c>
      <c r="E491" s="401">
        <v>7602</v>
      </c>
      <c r="F491" s="19">
        <f t="shared" si="20"/>
        <v>4724.6737103791174</v>
      </c>
      <c r="G491" t="s">
        <v>4908</v>
      </c>
    </row>
    <row r="492" spans="2:7" x14ac:dyDescent="0.2">
      <c r="C492" s="2"/>
      <c r="E492" s="401"/>
      <c r="F492" s="19"/>
    </row>
    <row r="493" spans="2:7" x14ac:dyDescent="0.2">
      <c r="B493" s="402" t="s">
        <v>2927</v>
      </c>
      <c r="C493" s="2" t="s">
        <v>4870</v>
      </c>
      <c r="E493" s="10">
        <v>15125</v>
      </c>
      <c r="F493" s="19">
        <f t="shared" si="20"/>
        <v>9400.248601615911</v>
      </c>
    </row>
    <row r="494" spans="2:7" x14ac:dyDescent="0.2">
      <c r="C494" t="s">
        <v>4736</v>
      </c>
      <c r="E494" s="10">
        <v>16252</v>
      </c>
      <c r="F494" s="19">
        <f t="shared" si="20"/>
        <v>10100.683654443754</v>
      </c>
    </row>
    <row r="495" spans="2:7" x14ac:dyDescent="0.2">
      <c r="C495" t="s">
        <v>4737</v>
      </c>
      <c r="E495" s="10">
        <v>16255</v>
      </c>
      <c r="F495" s="19">
        <f t="shared" si="20"/>
        <v>10102.548166563083</v>
      </c>
    </row>
    <row r="496" spans="2:7" x14ac:dyDescent="0.2">
      <c r="C496" t="s">
        <v>4738</v>
      </c>
      <c r="E496" s="10">
        <v>16260</v>
      </c>
      <c r="F496" s="19">
        <f t="shared" si="20"/>
        <v>10105.655686761964</v>
      </c>
    </row>
    <row r="497" spans="2:12" x14ac:dyDescent="0.2">
      <c r="B497" s="27" t="s">
        <v>297</v>
      </c>
      <c r="C497" s="2" t="s">
        <v>4739</v>
      </c>
      <c r="E497" s="10">
        <v>16265</v>
      </c>
      <c r="F497" s="19">
        <f t="shared" si="20"/>
        <v>10108.763206960846</v>
      </c>
    </row>
    <row r="498" spans="2:12" x14ac:dyDescent="0.2">
      <c r="B498" s="402" t="s">
        <v>4735</v>
      </c>
      <c r="C498" s="2" t="s">
        <v>4734</v>
      </c>
      <c r="E498" s="10">
        <v>16280</v>
      </c>
      <c r="F498" s="19">
        <f t="shared" si="20"/>
        <v>10118.08576755749</v>
      </c>
    </row>
    <row r="499" spans="2:12" x14ac:dyDescent="0.2">
      <c r="C499" t="s">
        <v>4371</v>
      </c>
      <c r="E499" s="10">
        <v>16300</v>
      </c>
      <c r="F499" s="19">
        <f t="shared" si="20"/>
        <v>10130.515848353014</v>
      </c>
    </row>
    <row r="500" spans="2:12" x14ac:dyDescent="0.2">
      <c r="B500" s="27" t="s">
        <v>5309</v>
      </c>
      <c r="C500" s="2" t="s">
        <v>4421</v>
      </c>
      <c r="E500" s="401">
        <v>16899</v>
      </c>
      <c r="F500" s="19">
        <f t="shared" si="20"/>
        <v>10502.796768178992</v>
      </c>
      <c r="G500" t="s">
        <v>215</v>
      </c>
      <c r="J500" s="80" t="s">
        <v>8642</v>
      </c>
      <c r="L500">
        <v>1237</v>
      </c>
    </row>
    <row r="501" spans="2:12" x14ac:dyDescent="0.2">
      <c r="B501" s="27" t="s">
        <v>509</v>
      </c>
      <c r="C501" s="2" t="s">
        <v>498</v>
      </c>
      <c r="E501" s="401">
        <v>16900</v>
      </c>
      <c r="F501" s="19">
        <f t="shared" si="20"/>
        <v>10503.418272218769</v>
      </c>
      <c r="G501" t="s">
        <v>215</v>
      </c>
      <c r="H501" t="s">
        <v>32</v>
      </c>
      <c r="J501" s="80" t="s">
        <v>8645</v>
      </c>
      <c r="L501">
        <v>1033</v>
      </c>
    </row>
    <row r="502" spans="2:12" x14ac:dyDescent="0.2">
      <c r="B502" s="27"/>
      <c r="C502" s="2" t="s">
        <v>4949</v>
      </c>
      <c r="E502" s="401">
        <v>16900</v>
      </c>
      <c r="F502" s="19">
        <f t="shared" si="20"/>
        <v>10503.418272218769</v>
      </c>
      <c r="G502" t="s">
        <v>215</v>
      </c>
      <c r="H502" t="s">
        <v>31</v>
      </c>
      <c r="J502" s="80" t="s">
        <v>8640</v>
      </c>
      <c r="L502">
        <v>1062</v>
      </c>
    </row>
    <row r="503" spans="2:12" x14ac:dyDescent="0.2">
      <c r="B503" s="27"/>
      <c r="C503" s="2" t="s">
        <v>4950</v>
      </c>
      <c r="E503" s="401">
        <v>16900</v>
      </c>
      <c r="F503" s="19">
        <f t="shared" si="20"/>
        <v>10503.418272218769</v>
      </c>
      <c r="G503" t="s">
        <v>215</v>
      </c>
      <c r="J503" s="80" t="s">
        <v>8643</v>
      </c>
      <c r="L503">
        <v>1636</v>
      </c>
    </row>
    <row r="504" spans="2:12" x14ac:dyDescent="0.2">
      <c r="B504" s="27"/>
      <c r="C504" s="2" t="s">
        <v>3878</v>
      </c>
      <c r="E504" s="401">
        <v>16900</v>
      </c>
      <c r="F504" s="19">
        <f t="shared" si="20"/>
        <v>10503.418272218769</v>
      </c>
      <c r="G504" t="s">
        <v>215</v>
      </c>
      <c r="J504" s="80" t="s">
        <v>8644</v>
      </c>
      <c r="L504">
        <v>1541</v>
      </c>
    </row>
    <row r="505" spans="2:12" x14ac:dyDescent="0.2">
      <c r="B505" s="27"/>
      <c r="C505" s="2" t="s">
        <v>3879</v>
      </c>
      <c r="E505" s="401">
        <v>16900</v>
      </c>
      <c r="F505" s="19">
        <f t="shared" si="20"/>
        <v>10503.418272218769</v>
      </c>
      <c r="G505" t="s">
        <v>215</v>
      </c>
      <c r="J505" s="80" t="s">
        <v>8646</v>
      </c>
      <c r="L505">
        <v>1440</v>
      </c>
    </row>
    <row r="506" spans="2:12" x14ac:dyDescent="0.2">
      <c r="B506" s="27"/>
      <c r="C506" s="2" t="s">
        <v>30</v>
      </c>
      <c r="E506" s="401">
        <v>16900</v>
      </c>
      <c r="F506" s="19">
        <f t="shared" si="20"/>
        <v>10503.418272218769</v>
      </c>
      <c r="G506" t="s">
        <v>215</v>
      </c>
      <c r="J506" s="80" t="s">
        <v>8641</v>
      </c>
      <c r="L506">
        <v>810</v>
      </c>
    </row>
    <row r="507" spans="2:12" x14ac:dyDescent="0.2">
      <c r="B507" s="27" t="s">
        <v>5550</v>
      </c>
      <c r="C507" s="2" t="s">
        <v>1693</v>
      </c>
      <c r="E507" s="401">
        <v>16900</v>
      </c>
      <c r="F507" s="19">
        <f t="shared" si="20"/>
        <v>10503.418272218769</v>
      </c>
      <c r="G507" t="s">
        <v>215</v>
      </c>
      <c r="J507" s="80" t="s">
        <v>8638</v>
      </c>
      <c r="L507">
        <v>1736</v>
      </c>
    </row>
    <row r="508" spans="2:12" x14ac:dyDescent="0.2">
      <c r="B508" s="27" t="s">
        <v>4454</v>
      </c>
      <c r="C508" s="2" t="s">
        <v>5332</v>
      </c>
      <c r="E508" s="401">
        <v>16905</v>
      </c>
      <c r="F508" s="19">
        <f t="shared" si="20"/>
        <v>10506.525792417651</v>
      </c>
      <c r="G508" t="s">
        <v>215</v>
      </c>
      <c r="J508" s="80" t="s">
        <v>8639</v>
      </c>
      <c r="L508">
        <v>1006</v>
      </c>
    </row>
    <row r="509" spans="2:12" x14ac:dyDescent="0.2">
      <c r="B509" s="27" t="s">
        <v>122</v>
      </c>
      <c r="C509" s="2" t="s">
        <v>4297</v>
      </c>
      <c r="E509" s="401">
        <v>16910</v>
      </c>
      <c r="F509" s="19">
        <f t="shared" si="20"/>
        <v>10509.633312616532</v>
      </c>
      <c r="G509" t="s">
        <v>215</v>
      </c>
      <c r="J509" s="80" t="s">
        <v>8647</v>
      </c>
      <c r="L509">
        <v>619</v>
      </c>
    </row>
    <row r="510" spans="2:12" x14ac:dyDescent="0.2">
      <c r="B510" s="27" t="s">
        <v>849</v>
      </c>
      <c r="C510" s="2" t="s">
        <v>848</v>
      </c>
      <c r="E510" s="401">
        <v>16915</v>
      </c>
      <c r="F510" s="19">
        <f t="shared" ref="F510:F531" si="21">E510/1.609</f>
        <v>10512.740832815414</v>
      </c>
      <c r="G510" t="s">
        <v>215</v>
      </c>
      <c r="J510" s="80" t="s">
        <v>8637</v>
      </c>
      <c r="L510">
        <v>1419</v>
      </c>
    </row>
    <row r="511" spans="2:12" x14ac:dyDescent="0.2">
      <c r="B511" s="27" t="s">
        <v>911</v>
      </c>
      <c r="C511" s="2" t="s">
        <v>912</v>
      </c>
      <c r="E511" s="401">
        <v>16970</v>
      </c>
      <c r="F511" s="19">
        <f t="shared" si="21"/>
        <v>10546.923555003108</v>
      </c>
      <c r="G511" t="s">
        <v>215</v>
      </c>
      <c r="J511" s="80" t="s">
        <v>8648</v>
      </c>
      <c r="L511">
        <v>1367</v>
      </c>
    </row>
    <row r="512" spans="2:12" x14ac:dyDescent="0.2">
      <c r="B512" s="27" t="s">
        <v>292</v>
      </c>
      <c r="C512" s="2" t="s">
        <v>3620</v>
      </c>
      <c r="E512" s="401">
        <v>16975</v>
      </c>
      <c r="F512" s="19">
        <f t="shared" si="21"/>
        <v>10550.031075201989</v>
      </c>
      <c r="G512" t="s">
        <v>215</v>
      </c>
    </row>
    <row r="513" spans="2:8" x14ac:dyDescent="0.2">
      <c r="B513" s="27" t="s">
        <v>907</v>
      </c>
      <c r="C513" s="2" t="s">
        <v>908</v>
      </c>
      <c r="E513" s="401">
        <v>16980</v>
      </c>
      <c r="F513" s="19">
        <f t="shared" si="21"/>
        <v>10553.138595400871</v>
      </c>
      <c r="G513" t="s">
        <v>215</v>
      </c>
    </row>
    <row r="514" spans="2:8" x14ac:dyDescent="0.2">
      <c r="B514" s="27" t="s">
        <v>3202</v>
      </c>
      <c r="C514" s="2" t="s">
        <v>2082</v>
      </c>
      <c r="E514" s="401">
        <v>16985</v>
      </c>
      <c r="F514" s="19">
        <f t="shared" si="21"/>
        <v>10556.246115599752</v>
      </c>
      <c r="G514" t="s">
        <v>215</v>
      </c>
    </row>
    <row r="515" spans="2:8" x14ac:dyDescent="0.2">
      <c r="B515" s="27" t="s">
        <v>3695</v>
      </c>
      <c r="C515" s="2" t="s">
        <v>5987</v>
      </c>
      <c r="E515" s="401">
        <v>16990</v>
      </c>
      <c r="F515" s="19">
        <f t="shared" si="21"/>
        <v>10559.353635798632</v>
      </c>
      <c r="G515" t="s">
        <v>215</v>
      </c>
    </row>
    <row r="516" spans="2:8" x14ac:dyDescent="0.2">
      <c r="B516" s="27" t="s">
        <v>3734</v>
      </c>
      <c r="C516" s="2" t="s">
        <v>1981</v>
      </c>
      <c r="E516" s="401"/>
      <c r="F516" s="19"/>
    </row>
    <row r="517" spans="2:8" x14ac:dyDescent="0.2">
      <c r="B517" s="27" t="s">
        <v>5665</v>
      </c>
      <c r="C517" s="2" t="s">
        <v>5663</v>
      </c>
      <c r="E517" s="401"/>
      <c r="F517" s="19"/>
    </row>
    <row r="518" spans="2:8" x14ac:dyDescent="0.2">
      <c r="B518" s="27" t="s">
        <v>2397</v>
      </c>
      <c r="C518" s="2" t="s">
        <v>2395</v>
      </c>
      <c r="E518" s="401"/>
      <c r="F518" s="19"/>
    </row>
    <row r="519" spans="2:8" x14ac:dyDescent="0.2">
      <c r="B519" s="27" t="s">
        <v>5891</v>
      </c>
      <c r="C519" s="2" t="s">
        <v>3860</v>
      </c>
      <c r="E519" s="401">
        <v>16995</v>
      </c>
      <c r="F519" s="19">
        <f t="shared" si="21"/>
        <v>10562.461155997515</v>
      </c>
      <c r="G519" t="s">
        <v>215</v>
      </c>
    </row>
    <row r="520" spans="2:8" x14ac:dyDescent="0.2">
      <c r="B520" s="27" t="s">
        <v>2545</v>
      </c>
      <c r="C520" s="2" t="s">
        <v>1858</v>
      </c>
      <c r="E520" s="401">
        <v>17000</v>
      </c>
      <c r="F520" s="19">
        <f t="shared" si="21"/>
        <v>10565.568676196395</v>
      </c>
      <c r="G520" t="s">
        <v>215</v>
      </c>
    </row>
    <row r="521" spans="2:8" x14ac:dyDescent="0.2">
      <c r="B521" s="27" t="s">
        <v>2871</v>
      </c>
      <c r="C521" s="2" t="s">
        <v>2606</v>
      </c>
      <c r="E521" s="401">
        <v>17397</v>
      </c>
      <c r="F521" s="19">
        <f t="shared" si="21"/>
        <v>10812.30577998757</v>
      </c>
      <c r="G521" t="s">
        <v>215</v>
      </c>
    </row>
    <row r="522" spans="2:8" x14ac:dyDescent="0.2">
      <c r="B522" s="6" t="s">
        <v>4192</v>
      </c>
      <c r="C522" t="s">
        <v>3760</v>
      </c>
      <c r="D522" s="16"/>
      <c r="E522" s="10">
        <v>18327</v>
      </c>
      <c r="F522" s="19">
        <f t="shared" si="21"/>
        <v>11390.304536979491</v>
      </c>
      <c r="G522" s="80" t="s">
        <v>4237</v>
      </c>
      <c r="H522" s="80"/>
    </row>
    <row r="523" spans="2:8" x14ac:dyDescent="0.2">
      <c r="B523" s="6" t="s">
        <v>4193</v>
      </c>
      <c r="C523" s="2" t="s">
        <v>3761</v>
      </c>
      <c r="D523" s="16"/>
      <c r="E523" s="10">
        <v>18327</v>
      </c>
      <c r="F523" s="19">
        <f t="shared" si="21"/>
        <v>11390.304536979491</v>
      </c>
      <c r="G523" s="80" t="s">
        <v>4237</v>
      </c>
      <c r="H523" s="80"/>
    </row>
    <row r="524" spans="2:8" x14ac:dyDescent="0.2">
      <c r="B524" s="6" t="s">
        <v>4194</v>
      </c>
      <c r="C524" t="s">
        <v>3762</v>
      </c>
      <c r="D524" s="16"/>
      <c r="E524" s="10">
        <v>18327</v>
      </c>
      <c r="F524" s="19">
        <f t="shared" si="21"/>
        <v>11390.304536979491</v>
      </c>
      <c r="G524" s="80" t="s">
        <v>4237</v>
      </c>
      <c r="H524" s="80"/>
    </row>
    <row r="525" spans="2:8" x14ac:dyDescent="0.2">
      <c r="B525" s="6" t="s">
        <v>4195</v>
      </c>
      <c r="C525" t="s">
        <v>3763</v>
      </c>
      <c r="D525" s="16"/>
      <c r="E525" s="10">
        <v>18327</v>
      </c>
      <c r="F525" s="19">
        <f t="shared" si="21"/>
        <v>11390.304536979491</v>
      </c>
      <c r="G525" s="80" t="s">
        <v>4237</v>
      </c>
      <c r="H525" s="80"/>
    </row>
    <row r="526" spans="2:8" x14ac:dyDescent="0.2">
      <c r="B526" s="402" t="s">
        <v>4196</v>
      </c>
      <c r="C526" s="2" t="s">
        <v>3042</v>
      </c>
      <c r="D526" s="16"/>
      <c r="E526" s="10">
        <v>18430</v>
      </c>
      <c r="F526" s="19">
        <f t="shared" si="21"/>
        <v>11454.319453076445</v>
      </c>
      <c r="G526" s="80" t="s">
        <v>4237</v>
      </c>
      <c r="H526">
        <v>650</v>
      </c>
    </row>
    <row r="527" spans="2:8" x14ac:dyDescent="0.2">
      <c r="B527" s="6" t="s">
        <v>5043</v>
      </c>
      <c r="C527" t="s">
        <v>3764</v>
      </c>
      <c r="D527" s="16"/>
      <c r="E527" s="10">
        <v>18821</v>
      </c>
      <c r="F527" s="19">
        <f t="shared" si="21"/>
        <v>11697.327532628962</v>
      </c>
      <c r="G527" s="80" t="s">
        <v>4237</v>
      </c>
    </row>
    <row r="528" spans="2:8" x14ac:dyDescent="0.2">
      <c r="B528" s="6" t="s">
        <v>5044</v>
      </c>
      <c r="C528" t="s">
        <v>3765</v>
      </c>
      <c r="D528" s="16"/>
      <c r="E528" s="10">
        <v>18821</v>
      </c>
      <c r="F528" s="19">
        <f t="shared" si="21"/>
        <v>11697.327532628962</v>
      </c>
      <c r="G528" s="80" t="s">
        <v>4237</v>
      </c>
    </row>
    <row r="529" spans="2:7" x14ac:dyDescent="0.2">
      <c r="B529" s="6" t="s">
        <v>5045</v>
      </c>
      <c r="C529" t="s">
        <v>1800</v>
      </c>
      <c r="D529" s="16"/>
      <c r="E529" s="10">
        <v>18821</v>
      </c>
      <c r="F529" s="19">
        <f t="shared" si="21"/>
        <v>11697.327532628962</v>
      </c>
      <c r="G529" s="80" t="s">
        <v>4237</v>
      </c>
    </row>
    <row r="530" spans="2:7" x14ac:dyDescent="0.2">
      <c r="B530" s="6" t="s">
        <v>4196</v>
      </c>
      <c r="C530" t="s">
        <v>4236</v>
      </c>
      <c r="D530" s="16"/>
      <c r="E530" s="10">
        <v>18962</v>
      </c>
      <c r="F530" s="19">
        <f t="shared" si="21"/>
        <v>11784.959602237415</v>
      </c>
      <c r="G530" s="80" t="s">
        <v>4237</v>
      </c>
    </row>
    <row r="531" spans="2:7" x14ac:dyDescent="0.2">
      <c r="B531" s="6" t="s">
        <v>4718</v>
      </c>
      <c r="C531" t="s">
        <v>1378</v>
      </c>
      <c r="D531" s="16"/>
      <c r="E531" s="10">
        <v>19046</v>
      </c>
      <c r="F531" s="19">
        <f t="shared" si="21"/>
        <v>11837.16594157862</v>
      </c>
      <c r="G531" s="80" t="s">
        <v>4237</v>
      </c>
    </row>
    <row r="532" spans="2:7" x14ac:dyDescent="0.2">
      <c r="B532" s="6"/>
    </row>
    <row r="533" spans="2:7" x14ac:dyDescent="0.2">
      <c r="B533" s="6"/>
    </row>
    <row r="534" spans="2:7" x14ac:dyDescent="0.2">
      <c r="B534" s="6"/>
    </row>
  </sheetData>
  <sortState xmlns:xlrd2="http://schemas.microsoft.com/office/spreadsheetml/2017/richdata2" ref="A243:P298">
    <sortCondition ref="E243:E298"/>
  </sortState>
  <phoneticPr fontId="8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W325"/>
  <sheetViews>
    <sheetView workbookViewId="0">
      <selection activeCell="I459" sqref="I459"/>
    </sheetView>
  </sheetViews>
  <sheetFormatPr defaultRowHeight="12.75" x14ac:dyDescent="0.2"/>
  <cols>
    <col min="1" max="1" width="9.140625" style="790"/>
    <col min="2" max="2" width="17.42578125" style="790" customWidth="1"/>
    <col min="3" max="3" width="38.140625" style="791" customWidth="1"/>
    <col min="4" max="4" width="11.28515625" style="791" customWidth="1"/>
    <col min="5" max="5" width="9.140625" style="791"/>
    <col min="6" max="7" width="10.140625" style="791" bestFit="1" customWidth="1"/>
    <col min="8" max="8" width="10.140625" style="791" customWidth="1"/>
    <col min="9" max="16384" width="9.140625" style="791"/>
  </cols>
  <sheetData>
    <row r="2" spans="1:16" x14ac:dyDescent="0.2">
      <c r="C2" s="791" t="s">
        <v>5392</v>
      </c>
      <c r="D2" s="791" t="s">
        <v>5390</v>
      </c>
      <c r="E2" s="792" t="s">
        <v>2279</v>
      </c>
      <c r="F2" s="793">
        <v>2015</v>
      </c>
      <c r="G2" s="791" t="s">
        <v>1863</v>
      </c>
      <c r="H2" s="946">
        <v>2017</v>
      </c>
    </row>
    <row r="3" spans="1:16" x14ac:dyDescent="0.2">
      <c r="E3" s="792" t="s">
        <v>5391</v>
      </c>
      <c r="F3" s="794">
        <v>2014</v>
      </c>
    </row>
    <row r="4" spans="1:16" x14ac:dyDescent="0.2">
      <c r="E4" s="792" t="s">
        <v>4020</v>
      </c>
      <c r="F4" s="795">
        <v>2013</v>
      </c>
    </row>
    <row r="5" spans="1:16" x14ac:dyDescent="0.2">
      <c r="A5" s="790" t="s">
        <v>1808</v>
      </c>
      <c r="B5" s="796" t="s">
        <v>4558</v>
      </c>
      <c r="C5" s="797" t="s">
        <v>4004</v>
      </c>
      <c r="D5" s="791" t="s">
        <v>4005</v>
      </c>
      <c r="E5" s="798">
        <v>2.7839999999999998</v>
      </c>
      <c r="F5" s="1148">
        <v>43393</v>
      </c>
      <c r="G5" s="800">
        <v>42728</v>
      </c>
      <c r="I5" s="791">
        <v>1</v>
      </c>
      <c r="J5" s="801" t="s">
        <v>5033</v>
      </c>
      <c r="K5" s="791" t="s">
        <v>2287</v>
      </c>
    </row>
    <row r="6" spans="1:16" x14ac:dyDescent="0.2">
      <c r="A6" s="790" t="s">
        <v>1808</v>
      </c>
      <c r="B6" s="796" t="s">
        <v>3176</v>
      </c>
      <c r="C6" s="797" t="s">
        <v>3175</v>
      </c>
      <c r="D6" s="791" t="s">
        <v>4021</v>
      </c>
      <c r="E6" s="798">
        <v>3.1</v>
      </c>
      <c r="F6" s="802"/>
      <c r="G6" s="800">
        <v>42735</v>
      </c>
      <c r="H6" s="839" t="s">
        <v>8184</v>
      </c>
      <c r="I6" s="791">
        <f t="shared" ref="I6:I19" si="0">I5+1</f>
        <v>2</v>
      </c>
      <c r="J6" s="801" t="s">
        <v>5033</v>
      </c>
    </row>
    <row r="7" spans="1:16" x14ac:dyDescent="0.2">
      <c r="A7" s="790" t="s">
        <v>1808</v>
      </c>
      <c r="B7" s="796" t="s">
        <v>1122</v>
      </c>
      <c r="C7" s="797" t="s">
        <v>4513</v>
      </c>
      <c r="D7" s="791" t="s">
        <v>110</v>
      </c>
      <c r="E7" s="798">
        <v>4.2</v>
      </c>
      <c r="F7" s="799" t="s">
        <v>580</v>
      </c>
      <c r="G7" s="804">
        <v>42392</v>
      </c>
      <c r="H7" s="803">
        <v>42980</v>
      </c>
      <c r="I7" s="791">
        <f t="shared" si="0"/>
        <v>3</v>
      </c>
      <c r="J7" s="801" t="s">
        <v>5033</v>
      </c>
    </row>
    <row r="8" spans="1:16" x14ac:dyDescent="0.2">
      <c r="A8" s="790" t="s">
        <v>1808</v>
      </c>
      <c r="B8" s="796" t="s">
        <v>4558</v>
      </c>
      <c r="C8" s="797" t="s">
        <v>3646</v>
      </c>
      <c r="D8" s="791" t="s">
        <v>2677</v>
      </c>
      <c r="E8" s="798">
        <v>4.3</v>
      </c>
      <c r="F8" s="799" t="s">
        <v>5561</v>
      </c>
      <c r="G8" s="804">
        <v>42553</v>
      </c>
      <c r="H8" s="805"/>
      <c r="I8" s="791">
        <f t="shared" si="0"/>
        <v>4</v>
      </c>
      <c r="J8" s="801" t="s">
        <v>5033</v>
      </c>
    </row>
    <row r="9" spans="1:16" x14ac:dyDescent="0.2">
      <c r="A9" s="790" t="s">
        <v>1808</v>
      </c>
      <c r="B9" s="796" t="s">
        <v>1122</v>
      </c>
      <c r="C9" s="797" t="s">
        <v>2818</v>
      </c>
      <c r="D9" s="791" t="s">
        <v>111</v>
      </c>
      <c r="E9" s="798">
        <v>4.7</v>
      </c>
      <c r="F9" s="806">
        <v>41993</v>
      </c>
      <c r="G9" s="800">
        <v>42700</v>
      </c>
      <c r="H9" s="803">
        <v>43078</v>
      </c>
      <c r="I9" s="791">
        <f t="shared" si="0"/>
        <v>5</v>
      </c>
      <c r="J9" s="801" t="s">
        <v>5033</v>
      </c>
    </row>
    <row r="10" spans="1:16" x14ac:dyDescent="0.2">
      <c r="A10" s="790" t="s">
        <v>1808</v>
      </c>
      <c r="B10" s="796" t="s">
        <v>4175</v>
      </c>
      <c r="C10" s="797" t="s">
        <v>4451</v>
      </c>
      <c r="D10" s="791" t="s">
        <v>1216</v>
      </c>
      <c r="E10" s="798">
        <v>5.2</v>
      </c>
      <c r="F10" s="799">
        <v>41384</v>
      </c>
      <c r="G10" s="807">
        <v>42686</v>
      </c>
      <c r="H10" s="803">
        <v>42736</v>
      </c>
      <c r="I10" s="791">
        <f t="shared" si="0"/>
        <v>6</v>
      </c>
      <c r="J10" s="801" t="s">
        <v>5033</v>
      </c>
      <c r="K10" s="791" t="s">
        <v>6245</v>
      </c>
      <c r="O10" s="808"/>
    </row>
    <row r="11" spans="1:16" x14ac:dyDescent="0.2">
      <c r="A11" s="790" t="s">
        <v>1808</v>
      </c>
      <c r="B11" s="796" t="s">
        <v>2831</v>
      </c>
      <c r="C11" s="797" t="s">
        <v>5456</v>
      </c>
      <c r="D11" s="791" t="s">
        <v>5455</v>
      </c>
      <c r="E11" s="798">
        <v>7</v>
      </c>
      <c r="F11" s="799">
        <v>41545</v>
      </c>
      <c r="G11" s="800">
        <v>42630</v>
      </c>
      <c r="H11" s="803">
        <v>42847</v>
      </c>
      <c r="I11" s="791">
        <f t="shared" si="0"/>
        <v>7</v>
      </c>
      <c r="J11" s="801" t="s">
        <v>483</v>
      </c>
      <c r="K11" s="791" t="s">
        <v>4686</v>
      </c>
      <c r="O11" s="808" t="s">
        <v>7791</v>
      </c>
    </row>
    <row r="12" spans="1:16" x14ac:dyDescent="0.2">
      <c r="A12" s="790" t="s">
        <v>1808</v>
      </c>
      <c r="B12" s="796" t="s">
        <v>5134</v>
      </c>
      <c r="C12" s="797" t="s">
        <v>377</v>
      </c>
      <c r="D12" s="791" t="s">
        <v>2148</v>
      </c>
      <c r="E12" s="798">
        <v>7.3</v>
      </c>
      <c r="F12" s="809">
        <v>41230</v>
      </c>
      <c r="G12" s="804">
        <v>42413</v>
      </c>
      <c r="H12" s="805"/>
      <c r="I12" s="791">
        <f t="shared" si="0"/>
        <v>8</v>
      </c>
      <c r="J12" s="801" t="s">
        <v>5033</v>
      </c>
    </row>
    <row r="13" spans="1:16" x14ac:dyDescent="0.2">
      <c r="A13" s="790" t="s">
        <v>1808</v>
      </c>
      <c r="B13" s="606" t="s">
        <v>9408</v>
      </c>
      <c r="C13" s="567" t="s">
        <v>9407</v>
      </c>
      <c r="D13" s="80" t="s">
        <v>9409</v>
      </c>
      <c r="E13" s="798">
        <v>7.9</v>
      </c>
      <c r="F13" s="1025">
        <v>43204</v>
      </c>
      <c r="G13" s="1351">
        <v>43491</v>
      </c>
      <c r="H13" s="805"/>
      <c r="I13" s="791">
        <f t="shared" si="0"/>
        <v>9</v>
      </c>
      <c r="J13" s="801" t="s">
        <v>5033</v>
      </c>
      <c r="K13" s="79" t="s">
        <v>9579</v>
      </c>
      <c r="N13" s="80" t="s">
        <v>15414</v>
      </c>
    </row>
    <row r="14" spans="1:16" x14ac:dyDescent="0.2">
      <c r="A14" s="790" t="s">
        <v>1808</v>
      </c>
      <c r="B14" s="796" t="s">
        <v>5135</v>
      </c>
      <c r="C14" s="797" t="s">
        <v>5062</v>
      </c>
      <c r="D14" s="791" t="s">
        <v>788</v>
      </c>
      <c r="E14" s="798">
        <v>8.5</v>
      </c>
      <c r="F14" s="799">
        <v>41335</v>
      </c>
      <c r="G14" s="1086">
        <v>42322</v>
      </c>
      <c r="I14" s="791">
        <f t="shared" si="0"/>
        <v>10</v>
      </c>
      <c r="J14" s="801" t="s">
        <v>5033</v>
      </c>
      <c r="K14" s="791" t="s">
        <v>4390</v>
      </c>
      <c r="P14" s="791" t="s">
        <v>4391</v>
      </c>
    </row>
    <row r="15" spans="1:16" x14ac:dyDescent="0.2">
      <c r="A15" s="790" t="s">
        <v>1808</v>
      </c>
      <c r="B15" s="796" t="s">
        <v>5268</v>
      </c>
      <c r="C15" s="797" t="s">
        <v>5267</v>
      </c>
      <c r="D15" s="791" t="s">
        <v>3331</v>
      </c>
      <c r="E15" s="798">
        <v>9</v>
      </c>
      <c r="F15" s="804">
        <v>42420</v>
      </c>
      <c r="G15" s="804">
        <v>42469</v>
      </c>
      <c r="H15" s="803">
        <v>42931</v>
      </c>
      <c r="I15" s="791">
        <f t="shared" si="0"/>
        <v>11</v>
      </c>
      <c r="J15" s="791" t="s">
        <v>302</v>
      </c>
      <c r="P15" s="80" t="s">
        <v>8215</v>
      </c>
    </row>
    <row r="16" spans="1:16" x14ac:dyDescent="0.2">
      <c r="A16" s="790" t="s">
        <v>1808</v>
      </c>
      <c r="B16" s="796" t="s">
        <v>5136</v>
      </c>
      <c r="C16" s="797" t="s">
        <v>4508</v>
      </c>
      <c r="D16" s="791" t="s">
        <v>2676</v>
      </c>
      <c r="E16" s="798">
        <v>9</v>
      </c>
      <c r="F16" s="806">
        <v>41671</v>
      </c>
      <c r="G16" s="804">
        <v>42370</v>
      </c>
      <c r="H16" s="805"/>
      <c r="I16" s="791">
        <f t="shared" si="0"/>
        <v>12</v>
      </c>
      <c r="J16" s="801" t="s">
        <v>3075</v>
      </c>
      <c r="K16" s="810" t="s">
        <v>3767</v>
      </c>
      <c r="L16" s="791" t="s">
        <v>1865</v>
      </c>
    </row>
    <row r="17" spans="1:19" x14ac:dyDescent="0.2">
      <c r="A17" s="790" t="s">
        <v>1808</v>
      </c>
      <c r="B17" s="796" t="s">
        <v>5137</v>
      </c>
      <c r="C17" s="797" t="s">
        <v>5959</v>
      </c>
      <c r="D17" s="791" t="s">
        <v>4092</v>
      </c>
      <c r="E17" s="798">
        <v>10.1</v>
      </c>
      <c r="F17" s="806">
        <v>41741</v>
      </c>
      <c r="G17" s="791">
        <v>4.4000000000000004</v>
      </c>
      <c r="I17" s="791">
        <f t="shared" si="0"/>
        <v>13</v>
      </c>
      <c r="J17" s="791" t="s">
        <v>2844</v>
      </c>
    </row>
    <row r="18" spans="1:19" x14ac:dyDescent="0.2">
      <c r="A18" s="790" t="s">
        <v>1808</v>
      </c>
      <c r="B18" s="796" t="s">
        <v>1122</v>
      </c>
      <c r="C18" s="797" t="s">
        <v>1671</v>
      </c>
      <c r="D18" s="791" t="s">
        <v>1672</v>
      </c>
      <c r="E18" s="798">
        <v>10.199999999999999</v>
      </c>
      <c r="F18" s="799">
        <v>41391</v>
      </c>
      <c r="G18" s="804">
        <v>42581</v>
      </c>
      <c r="H18" s="803">
        <v>42917</v>
      </c>
      <c r="I18" s="791">
        <f t="shared" si="0"/>
        <v>14</v>
      </c>
      <c r="J18" s="791" t="s">
        <v>3074</v>
      </c>
      <c r="N18" s="791" t="s">
        <v>5336</v>
      </c>
    </row>
    <row r="19" spans="1:19" x14ac:dyDescent="0.2">
      <c r="A19" s="790" t="s">
        <v>1808</v>
      </c>
      <c r="B19" s="796" t="s">
        <v>5138</v>
      </c>
      <c r="C19" s="797" t="s">
        <v>1431</v>
      </c>
      <c r="D19" s="791" t="s">
        <v>207</v>
      </c>
      <c r="E19" s="798">
        <v>10.3</v>
      </c>
      <c r="F19" s="806">
        <v>41958</v>
      </c>
      <c r="I19" s="791">
        <f t="shared" si="0"/>
        <v>15</v>
      </c>
      <c r="J19" s="791" t="s">
        <v>3628</v>
      </c>
      <c r="P19" s="808"/>
    </row>
    <row r="20" spans="1:19" x14ac:dyDescent="0.2">
      <c r="A20" s="790" t="s">
        <v>1808</v>
      </c>
      <c r="B20" s="796" t="s">
        <v>4538</v>
      </c>
      <c r="C20" s="797" t="s">
        <v>1401</v>
      </c>
      <c r="D20" s="791" t="s">
        <v>1402</v>
      </c>
      <c r="E20" s="798">
        <v>10.4</v>
      </c>
      <c r="F20" s="811">
        <v>41811</v>
      </c>
      <c r="G20" s="989">
        <v>43120</v>
      </c>
      <c r="I20" s="791">
        <f>I19+1</f>
        <v>16</v>
      </c>
      <c r="J20" s="791" t="s">
        <v>4679</v>
      </c>
      <c r="N20" s="791" t="s">
        <v>1721</v>
      </c>
    </row>
    <row r="21" spans="1:19" x14ac:dyDescent="0.2">
      <c r="A21" s="790" t="s">
        <v>1808</v>
      </c>
      <c r="B21" s="796" t="s">
        <v>2827</v>
      </c>
      <c r="C21" s="797" t="s">
        <v>5031</v>
      </c>
      <c r="D21" s="791" t="s">
        <v>5032</v>
      </c>
      <c r="E21" s="798">
        <v>11</v>
      </c>
      <c r="F21" s="799" t="s">
        <v>4006</v>
      </c>
      <c r="G21" s="804">
        <v>42623</v>
      </c>
      <c r="H21" s="805"/>
      <c r="I21" s="791">
        <f>I20+1</f>
        <v>17</v>
      </c>
      <c r="J21" s="791" t="s">
        <v>482</v>
      </c>
    </row>
    <row r="22" spans="1:19" x14ac:dyDescent="0.2">
      <c r="B22" s="796"/>
      <c r="C22" s="567" t="s">
        <v>12510</v>
      </c>
      <c r="D22" s="80" t="s">
        <v>12715</v>
      </c>
      <c r="E22" s="798">
        <v>11.2</v>
      </c>
      <c r="F22" s="1409">
        <v>43610</v>
      </c>
      <c r="G22" s="802"/>
      <c r="H22" s="802"/>
      <c r="I22" s="791">
        <f t="shared" ref="I22:I25" si="1">I21+1</f>
        <v>18</v>
      </c>
    </row>
    <row r="23" spans="1:19" x14ac:dyDescent="0.2">
      <c r="A23" s="790" t="s">
        <v>1808</v>
      </c>
      <c r="B23" s="796" t="s">
        <v>2827</v>
      </c>
      <c r="C23" s="797" t="s">
        <v>209</v>
      </c>
      <c r="D23" s="791" t="s">
        <v>208</v>
      </c>
      <c r="E23" s="798">
        <v>12.3</v>
      </c>
      <c r="F23" s="812" t="s">
        <v>5248</v>
      </c>
      <c r="I23" s="791">
        <f t="shared" si="1"/>
        <v>19</v>
      </c>
      <c r="J23" s="791" t="s">
        <v>593</v>
      </c>
    </row>
    <row r="24" spans="1:19" x14ac:dyDescent="0.2">
      <c r="A24" s="790" t="s">
        <v>1808</v>
      </c>
      <c r="B24" s="796" t="s">
        <v>2828</v>
      </c>
      <c r="C24" s="797" t="s">
        <v>2122</v>
      </c>
      <c r="D24" s="791" t="s">
        <v>447</v>
      </c>
      <c r="E24" s="798">
        <v>12.6</v>
      </c>
      <c r="F24" s="799">
        <v>41601</v>
      </c>
      <c r="G24" s="791">
        <v>4.2</v>
      </c>
      <c r="I24" s="791">
        <f t="shared" si="1"/>
        <v>20</v>
      </c>
      <c r="J24" s="791" t="s">
        <v>5986</v>
      </c>
    </row>
    <row r="25" spans="1:19" x14ac:dyDescent="0.2">
      <c r="A25" s="790" t="s">
        <v>1808</v>
      </c>
      <c r="B25" s="796" t="s">
        <v>1719</v>
      </c>
      <c r="C25" s="797" t="s">
        <v>5953</v>
      </c>
      <c r="D25" s="791" t="s">
        <v>4742</v>
      </c>
      <c r="E25" s="798">
        <v>12.9</v>
      </c>
      <c r="F25" s="812">
        <v>42140</v>
      </c>
      <c r="I25" s="791">
        <f t="shared" si="1"/>
        <v>21</v>
      </c>
      <c r="J25" s="791" t="s">
        <v>5113</v>
      </c>
      <c r="S25" s="791" t="s">
        <v>5064</v>
      </c>
    </row>
    <row r="26" spans="1:19" x14ac:dyDescent="0.2">
      <c r="B26" s="796"/>
      <c r="C26" s="567" t="s">
        <v>12216</v>
      </c>
      <c r="D26" s="80" t="s">
        <v>12217</v>
      </c>
      <c r="E26" s="798">
        <v>12.9</v>
      </c>
      <c r="F26" s="1409">
        <v>43561</v>
      </c>
      <c r="G26" s="802"/>
      <c r="H26" s="802"/>
      <c r="I26" s="791">
        <f t="shared" ref="I26:I33" si="2">I25+1</f>
        <v>22</v>
      </c>
      <c r="J26" s="80" t="s">
        <v>12358</v>
      </c>
    </row>
    <row r="27" spans="1:19" x14ac:dyDescent="0.2">
      <c r="A27" s="790" t="s">
        <v>1808</v>
      </c>
      <c r="B27" s="796" t="s">
        <v>2827</v>
      </c>
      <c r="C27" s="797" t="s">
        <v>1405</v>
      </c>
      <c r="D27" s="791" t="s">
        <v>2591</v>
      </c>
      <c r="E27" s="798">
        <v>13</v>
      </c>
      <c r="F27" s="811">
        <v>41951</v>
      </c>
      <c r="I27" s="791">
        <f t="shared" si="2"/>
        <v>23</v>
      </c>
      <c r="J27" s="791" t="s">
        <v>5037</v>
      </c>
      <c r="R27" s="791" t="s">
        <v>2590</v>
      </c>
    </row>
    <row r="28" spans="1:19" x14ac:dyDescent="0.2">
      <c r="A28" s="45" t="s">
        <v>4089</v>
      </c>
      <c r="B28" s="796" t="s">
        <v>3177</v>
      </c>
      <c r="C28" s="797" t="s">
        <v>2249</v>
      </c>
      <c r="D28" s="791" t="s">
        <v>1215</v>
      </c>
      <c r="E28" s="798">
        <v>13.8</v>
      </c>
      <c r="F28" s="799">
        <v>41419</v>
      </c>
      <c r="G28" s="802"/>
      <c r="H28" s="802"/>
      <c r="I28" s="791">
        <f t="shared" si="2"/>
        <v>24</v>
      </c>
      <c r="J28" s="791" t="s">
        <v>5700</v>
      </c>
      <c r="O28" s="80" t="s">
        <v>8577</v>
      </c>
    </row>
    <row r="29" spans="1:19" x14ac:dyDescent="0.2">
      <c r="A29" s="790" t="s">
        <v>1808</v>
      </c>
      <c r="B29" s="796" t="s">
        <v>2829</v>
      </c>
      <c r="C29" s="797" t="s">
        <v>861</v>
      </c>
      <c r="D29" s="791" t="s">
        <v>446</v>
      </c>
      <c r="E29" s="798">
        <v>13.9</v>
      </c>
      <c r="F29" s="799">
        <v>41454</v>
      </c>
      <c r="G29" s="802">
        <v>2.4</v>
      </c>
      <c r="H29" s="1025">
        <v>43421</v>
      </c>
      <c r="I29" s="791">
        <f t="shared" si="2"/>
        <v>25</v>
      </c>
      <c r="J29" s="791" t="s">
        <v>5783</v>
      </c>
      <c r="N29" s="80" t="s">
        <v>11076</v>
      </c>
    </row>
    <row r="30" spans="1:19" x14ac:dyDescent="0.2">
      <c r="A30" s="790" t="s">
        <v>1808</v>
      </c>
      <c r="B30" s="796" t="s">
        <v>2827</v>
      </c>
      <c r="C30" s="797" t="s">
        <v>1188</v>
      </c>
      <c r="D30" s="813" t="s">
        <v>3134</v>
      </c>
      <c r="E30" s="798">
        <v>14.05</v>
      </c>
      <c r="F30" s="806">
        <v>41783</v>
      </c>
      <c r="G30" s="802"/>
      <c r="H30" s="802"/>
      <c r="I30" s="791">
        <f t="shared" si="2"/>
        <v>26</v>
      </c>
      <c r="J30" s="791" t="s">
        <v>247</v>
      </c>
      <c r="K30" s="791" t="s">
        <v>1528</v>
      </c>
      <c r="O30" s="791" t="s">
        <v>3271</v>
      </c>
    </row>
    <row r="31" spans="1:19" x14ac:dyDescent="0.2">
      <c r="A31" s="45" t="s">
        <v>4089</v>
      </c>
      <c r="B31" s="606" t="s">
        <v>9305</v>
      </c>
      <c r="C31" s="567" t="s">
        <v>9307</v>
      </c>
      <c r="D31" s="80" t="s">
        <v>9300</v>
      </c>
      <c r="E31" s="798">
        <v>14.3</v>
      </c>
      <c r="F31" s="1025">
        <v>43183</v>
      </c>
      <c r="G31" s="989">
        <v>43232</v>
      </c>
      <c r="H31" s="1351">
        <v>43603</v>
      </c>
      <c r="I31" s="791">
        <f t="shared" si="2"/>
        <v>27</v>
      </c>
      <c r="J31" s="80" t="s">
        <v>12359</v>
      </c>
      <c r="K31" s="80"/>
      <c r="L31" s="80" t="s">
        <v>9434</v>
      </c>
    </row>
    <row r="32" spans="1:19" x14ac:dyDescent="0.2">
      <c r="A32" s="790" t="s">
        <v>1808</v>
      </c>
      <c r="B32" s="796" t="s">
        <v>2830</v>
      </c>
      <c r="C32" s="797" t="s">
        <v>4397</v>
      </c>
      <c r="D32" s="791" t="s">
        <v>4396</v>
      </c>
      <c r="E32" s="798">
        <v>14.5</v>
      </c>
      <c r="F32" s="806">
        <v>41881</v>
      </c>
      <c r="G32" s="802"/>
      <c r="H32" s="802"/>
      <c r="I32" s="791">
        <f t="shared" si="2"/>
        <v>28</v>
      </c>
      <c r="J32" s="791" t="s">
        <v>1516</v>
      </c>
      <c r="P32" s="791" t="s">
        <v>3361</v>
      </c>
    </row>
    <row r="33" spans="1:20" x14ac:dyDescent="0.2">
      <c r="A33" s="790" t="s">
        <v>1808</v>
      </c>
      <c r="B33" s="796" t="s">
        <v>1719</v>
      </c>
      <c r="C33" s="797" t="s">
        <v>74</v>
      </c>
      <c r="D33" s="791" t="s">
        <v>3163</v>
      </c>
      <c r="E33" s="798">
        <v>14.5</v>
      </c>
      <c r="F33" s="814">
        <v>42665</v>
      </c>
      <c r="G33" s="802"/>
      <c r="H33" s="802"/>
      <c r="I33" s="791">
        <f t="shared" si="2"/>
        <v>29</v>
      </c>
      <c r="J33" s="791" t="s">
        <v>5113</v>
      </c>
    </row>
    <row r="34" spans="1:20" x14ac:dyDescent="0.2">
      <c r="A34" s="790" t="s">
        <v>1808</v>
      </c>
      <c r="B34" s="796" t="s">
        <v>2831</v>
      </c>
      <c r="C34" s="797" t="s">
        <v>5329</v>
      </c>
      <c r="D34" s="791" t="s">
        <v>2509</v>
      </c>
      <c r="E34" s="798">
        <v>14.8</v>
      </c>
      <c r="F34" s="799">
        <v>41356</v>
      </c>
      <c r="G34" s="809">
        <v>42868</v>
      </c>
      <c r="H34" s="817">
        <v>43064</v>
      </c>
      <c r="I34" s="791">
        <f>I32+1</f>
        <v>29</v>
      </c>
      <c r="J34" s="791" t="s">
        <v>7790</v>
      </c>
    </row>
    <row r="35" spans="1:20" x14ac:dyDescent="0.2">
      <c r="A35" s="790" t="s">
        <v>1808</v>
      </c>
      <c r="B35" s="796" t="s">
        <v>2829</v>
      </c>
      <c r="C35" s="797" t="s">
        <v>2123</v>
      </c>
      <c r="D35" s="791" t="s">
        <v>1720</v>
      </c>
      <c r="E35" s="798">
        <v>15.1</v>
      </c>
      <c r="F35" s="802">
        <v>2012</v>
      </c>
      <c r="G35" s="800">
        <v>42714</v>
      </c>
      <c r="I35" s="791">
        <f t="shared" ref="I35" si="3">I34+1</f>
        <v>30</v>
      </c>
      <c r="J35" s="801" t="s">
        <v>3434</v>
      </c>
      <c r="K35" s="801"/>
      <c r="L35" s="801"/>
      <c r="M35" s="791" t="s">
        <v>2985</v>
      </c>
      <c r="P35" s="791" t="s">
        <v>167</v>
      </c>
    </row>
    <row r="36" spans="1:20" x14ac:dyDescent="0.2">
      <c r="A36" s="790" t="s">
        <v>1808</v>
      </c>
      <c r="B36" s="796" t="s">
        <v>5557</v>
      </c>
      <c r="C36" s="797" t="s">
        <v>449</v>
      </c>
      <c r="D36" s="791" t="s">
        <v>1396</v>
      </c>
      <c r="E36" s="798">
        <v>15.8</v>
      </c>
      <c r="F36" s="806">
        <v>41713</v>
      </c>
      <c r="G36" s="989">
        <v>43134</v>
      </c>
      <c r="I36" s="791">
        <f>I35+1</f>
        <v>31</v>
      </c>
      <c r="J36" s="791" t="s">
        <v>1952</v>
      </c>
      <c r="M36" s="791" t="s">
        <v>2429</v>
      </c>
      <c r="P36" s="80" t="s">
        <v>8932</v>
      </c>
    </row>
    <row r="37" spans="1:20" x14ac:dyDescent="0.2">
      <c r="A37" s="790" t="s">
        <v>1808</v>
      </c>
      <c r="B37" s="796" t="s">
        <v>2569</v>
      </c>
      <c r="C37" s="797" t="s">
        <v>1531</v>
      </c>
      <c r="D37" s="791" t="s">
        <v>5924</v>
      </c>
      <c r="E37" s="798">
        <v>15.8</v>
      </c>
      <c r="F37" s="812">
        <v>42231</v>
      </c>
      <c r="I37" s="791">
        <f>I36+1</f>
        <v>32</v>
      </c>
      <c r="J37" s="791" t="s">
        <v>2113</v>
      </c>
      <c r="T37" s="791" t="s">
        <v>2813</v>
      </c>
    </row>
    <row r="38" spans="1:20" x14ac:dyDescent="0.2">
      <c r="A38" s="790" t="s">
        <v>1808</v>
      </c>
      <c r="B38" s="796" t="s">
        <v>4543</v>
      </c>
      <c r="C38" s="797" t="s">
        <v>4797</v>
      </c>
      <c r="D38" s="791" t="s">
        <v>5843</v>
      </c>
      <c r="E38" s="798">
        <v>16.600000000000001</v>
      </c>
      <c r="F38" s="806">
        <v>41853</v>
      </c>
      <c r="I38" s="791">
        <f>I36+1</f>
        <v>32</v>
      </c>
      <c r="J38" s="791" t="s">
        <v>4676</v>
      </c>
    </row>
    <row r="39" spans="1:20" x14ac:dyDescent="0.2">
      <c r="A39" s="790" t="s">
        <v>1808</v>
      </c>
      <c r="B39" s="818" t="s">
        <v>2570</v>
      </c>
      <c r="C39" s="816" t="s">
        <v>7864</v>
      </c>
      <c r="D39" s="791" t="s">
        <v>8052</v>
      </c>
      <c r="E39" s="798">
        <v>16.899999999999999</v>
      </c>
      <c r="F39" s="817">
        <v>42973</v>
      </c>
      <c r="I39" s="791">
        <f>I38+1</f>
        <v>33</v>
      </c>
      <c r="J39" s="80" t="s">
        <v>8439</v>
      </c>
      <c r="R39" s="80"/>
    </row>
    <row r="40" spans="1:20" x14ac:dyDescent="0.2">
      <c r="A40" s="790" t="s">
        <v>1808</v>
      </c>
      <c r="B40" s="606" t="s">
        <v>2569</v>
      </c>
      <c r="C40" s="567" t="s">
        <v>9580</v>
      </c>
      <c r="D40" s="80" t="s">
        <v>9410</v>
      </c>
      <c r="E40" s="798">
        <v>17.399999999999999</v>
      </c>
      <c r="F40" s="1025">
        <v>43218</v>
      </c>
      <c r="G40" s="989">
        <v>43386</v>
      </c>
      <c r="I40" s="791">
        <f>I38+1</f>
        <v>33</v>
      </c>
      <c r="J40" s="80" t="s">
        <v>10810</v>
      </c>
      <c r="K40" s="80"/>
    </row>
    <row r="41" spans="1:20" x14ac:dyDescent="0.2">
      <c r="A41" s="790" t="s">
        <v>1808</v>
      </c>
      <c r="B41" s="818" t="s">
        <v>5147</v>
      </c>
      <c r="C41" s="816" t="s">
        <v>248</v>
      </c>
      <c r="D41" s="791" t="s">
        <v>4304</v>
      </c>
      <c r="E41" s="798">
        <v>17.7</v>
      </c>
      <c r="F41" s="806">
        <v>41755</v>
      </c>
      <c r="G41" s="791">
        <v>7.7</v>
      </c>
      <c r="I41" s="791">
        <f>I40+1</f>
        <v>34</v>
      </c>
      <c r="J41" s="791" t="s">
        <v>4307</v>
      </c>
      <c r="L41" s="791" t="s">
        <v>2165</v>
      </c>
    </row>
    <row r="42" spans="1:20" x14ac:dyDescent="0.2">
      <c r="A42" s="790" t="s">
        <v>1808</v>
      </c>
      <c r="B42" s="796" t="s">
        <v>2570</v>
      </c>
      <c r="C42" s="797" t="s">
        <v>1432</v>
      </c>
      <c r="D42" s="791" t="s">
        <v>206</v>
      </c>
      <c r="E42" s="798">
        <v>18.2</v>
      </c>
      <c r="F42" s="806">
        <v>41748</v>
      </c>
      <c r="I42" s="791">
        <f>I41+1</f>
        <v>35</v>
      </c>
      <c r="J42" s="791" t="s">
        <v>988</v>
      </c>
      <c r="K42" s="791" t="s">
        <v>3618</v>
      </c>
    </row>
    <row r="43" spans="1:20" x14ac:dyDescent="0.2">
      <c r="A43" s="790" t="s">
        <v>1808</v>
      </c>
      <c r="B43" s="796" t="s">
        <v>2571</v>
      </c>
      <c r="C43" s="797" t="s">
        <v>1558</v>
      </c>
      <c r="D43" s="791" t="s">
        <v>1559</v>
      </c>
      <c r="E43" s="798">
        <v>18.600000000000001</v>
      </c>
      <c r="F43" s="806">
        <v>41909</v>
      </c>
      <c r="G43" s="791">
        <v>6.2</v>
      </c>
      <c r="I43" s="791">
        <f>I42+1</f>
        <v>36</v>
      </c>
      <c r="J43" s="791" t="s">
        <v>713</v>
      </c>
      <c r="N43" s="791" t="s">
        <v>1076</v>
      </c>
    </row>
    <row r="44" spans="1:20" x14ac:dyDescent="0.2">
      <c r="B44" s="818"/>
      <c r="C44" s="567" t="s">
        <v>12711</v>
      </c>
      <c r="D44" s="80" t="s">
        <v>12712</v>
      </c>
      <c r="E44" s="798">
        <v>19</v>
      </c>
      <c r="F44" s="1409">
        <v>43617</v>
      </c>
      <c r="I44" s="791">
        <f t="shared" ref="I44:I47" si="4">I43+1</f>
        <v>37</v>
      </c>
      <c r="J44" s="80" t="s">
        <v>12893</v>
      </c>
      <c r="L44" s="80"/>
      <c r="R44" s="80"/>
    </row>
    <row r="45" spans="1:20" x14ac:dyDescent="0.2">
      <c r="A45" s="790" t="s">
        <v>1808</v>
      </c>
      <c r="B45" s="796" t="s">
        <v>3676</v>
      </c>
      <c r="C45" s="797" t="s">
        <v>5030</v>
      </c>
      <c r="D45" s="791" t="s">
        <v>5844</v>
      </c>
      <c r="E45" s="798">
        <v>19.100000000000001</v>
      </c>
      <c r="F45" s="799">
        <v>41349</v>
      </c>
      <c r="G45" s="989">
        <v>43267</v>
      </c>
      <c r="I45" s="791">
        <f t="shared" si="4"/>
        <v>38</v>
      </c>
      <c r="J45" s="80" t="s">
        <v>9349</v>
      </c>
      <c r="N45" s="791" t="s">
        <v>2814</v>
      </c>
    </row>
    <row r="46" spans="1:20" x14ac:dyDescent="0.2">
      <c r="A46" s="790" t="s">
        <v>5154</v>
      </c>
      <c r="B46" s="796" t="s">
        <v>5476</v>
      </c>
      <c r="C46" s="797" t="s">
        <v>4235</v>
      </c>
      <c r="D46" s="791" t="s">
        <v>5822</v>
      </c>
      <c r="E46" s="798">
        <v>19.100000000000001</v>
      </c>
      <c r="F46" s="812">
        <v>42203</v>
      </c>
      <c r="G46" s="1479">
        <v>42315</v>
      </c>
      <c r="I46" s="791">
        <f t="shared" si="4"/>
        <v>39</v>
      </c>
      <c r="K46" s="791" t="s">
        <v>3135</v>
      </c>
    </row>
    <row r="47" spans="1:20" x14ac:dyDescent="0.2">
      <c r="A47" s="790" t="s">
        <v>1808</v>
      </c>
      <c r="B47" s="606" t="s">
        <v>3677</v>
      </c>
      <c r="C47" s="567" t="s">
        <v>9306</v>
      </c>
      <c r="D47" s="80" t="s">
        <v>9353</v>
      </c>
      <c r="E47" s="798">
        <v>19.100000000000001</v>
      </c>
      <c r="F47" s="1026">
        <v>43190</v>
      </c>
      <c r="I47" s="791">
        <f t="shared" si="4"/>
        <v>40</v>
      </c>
      <c r="K47" s="80" t="s">
        <v>9354</v>
      </c>
    </row>
    <row r="48" spans="1:20" x14ac:dyDescent="0.2">
      <c r="A48" s="790" t="s">
        <v>4089</v>
      </c>
      <c r="B48" s="796" t="s">
        <v>2207</v>
      </c>
      <c r="C48" s="797" t="s">
        <v>527</v>
      </c>
      <c r="D48" s="791" t="s">
        <v>4303</v>
      </c>
      <c r="E48" s="798">
        <v>19.600000000000001</v>
      </c>
      <c r="F48" s="812">
        <v>42182</v>
      </c>
      <c r="I48" s="791">
        <f t="shared" ref="I48:I65" si="5">I47+1</f>
        <v>41</v>
      </c>
      <c r="K48" s="791" t="s">
        <v>3782</v>
      </c>
    </row>
    <row r="49" spans="1:22" x14ac:dyDescent="0.2">
      <c r="A49" s="790" t="s">
        <v>1808</v>
      </c>
      <c r="B49" s="818" t="s">
        <v>1595</v>
      </c>
      <c r="C49" s="797" t="s">
        <v>1569</v>
      </c>
      <c r="D49" s="791" t="s">
        <v>5059</v>
      </c>
      <c r="E49" s="798">
        <v>19.600000000000001</v>
      </c>
      <c r="F49" s="812">
        <v>42112</v>
      </c>
      <c r="I49" s="791">
        <f t="shared" si="5"/>
        <v>42</v>
      </c>
      <c r="K49" s="791" t="s">
        <v>3913</v>
      </c>
    </row>
    <row r="50" spans="1:22" x14ac:dyDescent="0.2">
      <c r="A50" s="790" t="s">
        <v>1808</v>
      </c>
      <c r="B50" s="796" t="s">
        <v>3676</v>
      </c>
      <c r="C50" s="797" t="s">
        <v>4305</v>
      </c>
      <c r="D50" s="791" t="s">
        <v>4306</v>
      </c>
      <c r="E50" s="791">
        <v>19.8</v>
      </c>
      <c r="F50" s="812" t="s">
        <v>4265</v>
      </c>
      <c r="G50" s="804">
        <v>42462</v>
      </c>
      <c r="H50" s="805"/>
      <c r="I50" s="791">
        <f>I49+1</f>
        <v>43</v>
      </c>
      <c r="J50" s="791" t="s">
        <v>5974</v>
      </c>
      <c r="K50" s="791" t="s">
        <v>5482</v>
      </c>
      <c r="T50" s="791" t="s">
        <v>596</v>
      </c>
    </row>
    <row r="51" spans="1:22" x14ac:dyDescent="0.2">
      <c r="A51" s="790" t="s">
        <v>1808</v>
      </c>
      <c r="B51" s="796" t="s">
        <v>3678</v>
      </c>
      <c r="C51" s="797" t="s">
        <v>1780</v>
      </c>
      <c r="D51" s="791" t="s">
        <v>1781</v>
      </c>
      <c r="E51" s="798">
        <v>20.399999999999999</v>
      </c>
      <c r="F51" s="806">
        <v>41776</v>
      </c>
      <c r="I51" s="791">
        <f>I50+1</f>
        <v>44</v>
      </c>
      <c r="J51" s="791" t="s">
        <v>467</v>
      </c>
      <c r="O51" s="791" t="s">
        <v>4858</v>
      </c>
      <c r="P51" s="791" t="s">
        <v>4857</v>
      </c>
    </row>
    <row r="52" spans="1:22" x14ac:dyDescent="0.2">
      <c r="A52" s="790" t="s">
        <v>1808</v>
      </c>
      <c r="B52" s="796" t="s">
        <v>3677</v>
      </c>
      <c r="C52" s="797" t="s">
        <v>6003</v>
      </c>
      <c r="D52" s="791" t="s">
        <v>6002</v>
      </c>
      <c r="E52" s="798">
        <v>20.9</v>
      </c>
      <c r="F52" s="806">
        <v>41797</v>
      </c>
      <c r="I52" s="791">
        <f>I50+1</f>
        <v>44</v>
      </c>
      <c r="J52" s="791" t="s">
        <v>5034</v>
      </c>
      <c r="M52" s="791" t="s">
        <v>3956</v>
      </c>
    </row>
    <row r="53" spans="1:22" x14ac:dyDescent="0.2">
      <c r="A53" s="45" t="s">
        <v>2717</v>
      </c>
      <c r="B53" s="1158" t="s">
        <v>11130</v>
      </c>
      <c r="C53" s="567" t="s">
        <v>10983</v>
      </c>
      <c r="D53" s="80" t="s">
        <v>12443</v>
      </c>
      <c r="E53" s="798">
        <v>21.2</v>
      </c>
      <c r="F53" s="1409">
        <v>43568</v>
      </c>
      <c r="G53" s="805"/>
      <c r="I53" s="791">
        <f t="shared" ref="I53:I54" si="6">I51+1</f>
        <v>45</v>
      </c>
      <c r="J53" s="80" t="s">
        <v>5568</v>
      </c>
      <c r="K53" s="80" t="s">
        <v>12444</v>
      </c>
      <c r="O53" s="80"/>
      <c r="Q53" s="80" t="s">
        <v>12445</v>
      </c>
    </row>
    <row r="54" spans="1:22" x14ac:dyDescent="0.2">
      <c r="A54" s="790" t="s">
        <v>1808</v>
      </c>
      <c r="B54" s="796" t="s">
        <v>5734</v>
      </c>
      <c r="C54" s="797" t="s">
        <v>3532</v>
      </c>
      <c r="D54" s="791" t="s">
        <v>3835</v>
      </c>
      <c r="E54" s="798">
        <v>21.4</v>
      </c>
      <c r="F54" s="806">
        <v>41895</v>
      </c>
      <c r="G54" s="791">
        <v>8</v>
      </c>
      <c r="I54" s="791">
        <f t="shared" si="6"/>
        <v>45</v>
      </c>
      <c r="J54" s="791" t="s">
        <v>3834</v>
      </c>
    </row>
    <row r="55" spans="1:22" x14ac:dyDescent="0.2">
      <c r="A55" s="790" t="s">
        <v>1808</v>
      </c>
      <c r="B55" s="796" t="s">
        <v>2830</v>
      </c>
      <c r="C55" s="797" t="s">
        <v>5152</v>
      </c>
      <c r="D55" s="791" t="s">
        <v>5003</v>
      </c>
      <c r="E55" s="798">
        <v>21.5</v>
      </c>
      <c r="F55" s="806">
        <v>41965</v>
      </c>
      <c r="I55" s="791">
        <f t="shared" ref="I55:I61" si="7">I54+1</f>
        <v>46</v>
      </c>
      <c r="J55" s="791" t="s">
        <v>265</v>
      </c>
      <c r="S55" s="791" t="s">
        <v>4127</v>
      </c>
    </row>
    <row r="56" spans="1:22" x14ac:dyDescent="0.2">
      <c r="A56" s="790" t="s">
        <v>4089</v>
      </c>
      <c r="B56" s="790" t="s">
        <v>5732</v>
      </c>
      <c r="C56" s="797" t="s">
        <v>5704</v>
      </c>
      <c r="D56" s="791" t="s">
        <v>3645</v>
      </c>
      <c r="E56" s="798">
        <v>21.6</v>
      </c>
      <c r="F56" s="799">
        <v>41608</v>
      </c>
      <c r="G56" s="804">
        <v>42378</v>
      </c>
      <c r="H56" s="803">
        <v>42952</v>
      </c>
      <c r="I56" s="791">
        <f t="shared" si="7"/>
        <v>47</v>
      </c>
      <c r="J56" s="791" t="s">
        <v>5568</v>
      </c>
      <c r="K56" s="80" t="s">
        <v>11453</v>
      </c>
    </row>
    <row r="57" spans="1:22" x14ac:dyDescent="0.2">
      <c r="A57" s="790" t="s">
        <v>1808</v>
      </c>
      <c r="B57" s="796" t="s">
        <v>2570</v>
      </c>
      <c r="C57" s="797" t="s">
        <v>1502</v>
      </c>
      <c r="D57" s="791" t="s">
        <v>1501</v>
      </c>
      <c r="E57" s="798">
        <v>22.2</v>
      </c>
      <c r="F57" s="812">
        <v>42133</v>
      </c>
      <c r="I57" s="791">
        <f t="shared" si="7"/>
        <v>48</v>
      </c>
      <c r="J57" s="791" t="s">
        <v>5988</v>
      </c>
    </row>
    <row r="58" spans="1:22" x14ac:dyDescent="0.2">
      <c r="A58" s="790" t="s">
        <v>4089</v>
      </c>
      <c r="B58" s="790" t="s">
        <v>5733</v>
      </c>
      <c r="C58" s="797" t="s">
        <v>3493</v>
      </c>
      <c r="D58" s="80" t="s">
        <v>15630</v>
      </c>
      <c r="E58" s="798">
        <v>22.3</v>
      </c>
      <c r="F58" s="799">
        <v>41489</v>
      </c>
      <c r="G58" s="1351">
        <v>43736</v>
      </c>
      <c r="I58" s="791">
        <f t="shared" si="7"/>
        <v>49</v>
      </c>
      <c r="J58" s="791" t="s">
        <v>5035</v>
      </c>
      <c r="K58" s="791" t="s">
        <v>2145</v>
      </c>
      <c r="L58" s="791" t="s">
        <v>2146</v>
      </c>
    </row>
    <row r="59" spans="1:22" x14ac:dyDescent="0.2">
      <c r="A59" s="790" t="s">
        <v>5154</v>
      </c>
      <c r="B59" s="790" t="s">
        <v>2882</v>
      </c>
      <c r="C59" s="797" t="s">
        <v>1596</v>
      </c>
      <c r="D59" s="791" t="s">
        <v>3839</v>
      </c>
      <c r="E59" s="798">
        <v>22.4</v>
      </c>
      <c r="F59" s="812">
        <v>42126</v>
      </c>
      <c r="I59" s="791">
        <f t="shared" si="7"/>
        <v>50</v>
      </c>
      <c r="J59" s="791" t="s">
        <v>3352</v>
      </c>
      <c r="R59" s="791" t="s">
        <v>5322</v>
      </c>
    </row>
    <row r="60" spans="1:22" x14ac:dyDescent="0.2">
      <c r="A60" s="790" t="s">
        <v>5154</v>
      </c>
      <c r="B60" s="790" t="s">
        <v>1595</v>
      </c>
      <c r="C60" s="816" t="s">
        <v>6393</v>
      </c>
      <c r="D60" s="80" t="s">
        <v>9269</v>
      </c>
      <c r="E60" s="798">
        <v>22.7</v>
      </c>
      <c r="F60" s="817" t="s">
        <v>7868</v>
      </c>
      <c r="G60" s="805"/>
      <c r="I60" s="791">
        <f t="shared" si="7"/>
        <v>51</v>
      </c>
      <c r="K60" s="791" t="s">
        <v>7695</v>
      </c>
      <c r="Q60" s="80" t="s">
        <v>9270</v>
      </c>
    </row>
    <row r="61" spans="1:22" x14ac:dyDescent="0.2">
      <c r="A61" s="790" t="s">
        <v>1808</v>
      </c>
      <c r="B61" s="796" t="s">
        <v>559</v>
      </c>
      <c r="C61" s="797" t="s">
        <v>559</v>
      </c>
      <c r="D61" s="791" t="s">
        <v>5923</v>
      </c>
      <c r="E61" s="798">
        <v>23</v>
      </c>
      <c r="F61" s="806">
        <v>41640</v>
      </c>
      <c r="G61" s="989">
        <v>43414</v>
      </c>
      <c r="I61" s="791">
        <f t="shared" si="7"/>
        <v>52</v>
      </c>
      <c r="J61" s="80"/>
      <c r="K61" s="80" t="s">
        <v>11014</v>
      </c>
    </row>
    <row r="62" spans="1:22" x14ac:dyDescent="0.2">
      <c r="A62" s="790" t="s">
        <v>4089</v>
      </c>
      <c r="B62" s="790" t="s">
        <v>463</v>
      </c>
      <c r="C62" s="797" t="s">
        <v>6396</v>
      </c>
      <c r="D62" s="791" t="s">
        <v>6247</v>
      </c>
      <c r="E62" s="798">
        <v>23.6</v>
      </c>
      <c r="F62" s="812">
        <v>42679</v>
      </c>
      <c r="I62" s="791">
        <f>I60+1</f>
        <v>52</v>
      </c>
      <c r="J62" s="791" t="s">
        <v>5568</v>
      </c>
      <c r="K62" s="791" t="s">
        <v>744</v>
      </c>
      <c r="N62" s="791" t="s">
        <v>6395</v>
      </c>
    </row>
    <row r="63" spans="1:22" x14ac:dyDescent="0.2">
      <c r="A63" s="790" t="s">
        <v>1808</v>
      </c>
      <c r="B63" s="818" t="s">
        <v>2569</v>
      </c>
      <c r="C63" s="816" t="s">
        <v>4379</v>
      </c>
      <c r="D63" s="791" t="s">
        <v>5856</v>
      </c>
      <c r="E63" s="798">
        <v>23.6</v>
      </c>
      <c r="F63" s="817">
        <v>42805</v>
      </c>
      <c r="G63" s="803">
        <v>42938</v>
      </c>
      <c r="I63" s="791">
        <f>I62+1</f>
        <v>53</v>
      </c>
      <c r="K63" s="791" t="s">
        <v>733</v>
      </c>
      <c r="R63" s="791" t="s">
        <v>7658</v>
      </c>
      <c r="T63" s="80" t="s">
        <v>8187</v>
      </c>
    </row>
    <row r="64" spans="1:22" x14ac:dyDescent="0.2">
      <c r="A64" s="790" t="s">
        <v>1808</v>
      </c>
      <c r="B64" s="796" t="s">
        <v>3678</v>
      </c>
      <c r="C64" s="797" t="s">
        <v>1782</v>
      </c>
      <c r="D64" s="791" t="s">
        <v>895</v>
      </c>
      <c r="E64" s="798">
        <v>24.3</v>
      </c>
      <c r="F64" s="812">
        <v>42084</v>
      </c>
      <c r="I64" s="791">
        <f t="shared" si="5"/>
        <v>54</v>
      </c>
      <c r="J64" s="791" t="s">
        <v>1307</v>
      </c>
      <c r="S64" s="791" t="s">
        <v>3941</v>
      </c>
      <c r="T64" s="791" t="s">
        <v>5098</v>
      </c>
      <c r="U64" s="819"/>
      <c r="V64" s="819"/>
    </row>
    <row r="65" spans="1:20" x14ac:dyDescent="0.2">
      <c r="A65" s="790" t="s">
        <v>1808</v>
      </c>
      <c r="B65" s="796" t="s">
        <v>5736</v>
      </c>
      <c r="C65" s="797" t="s">
        <v>1783</v>
      </c>
      <c r="D65" s="791" t="s">
        <v>1784</v>
      </c>
      <c r="E65" s="798">
        <v>24.6</v>
      </c>
      <c r="F65" s="806">
        <v>41874</v>
      </c>
      <c r="I65" s="791">
        <f t="shared" si="5"/>
        <v>55</v>
      </c>
      <c r="J65" s="791" t="s">
        <v>1742</v>
      </c>
      <c r="N65" s="791" t="s">
        <v>714</v>
      </c>
      <c r="S65" s="791" t="s">
        <v>988</v>
      </c>
    </row>
    <row r="66" spans="1:20" x14ac:dyDescent="0.2">
      <c r="A66" s="790" t="s">
        <v>1808</v>
      </c>
      <c r="B66" s="818" t="s">
        <v>2830</v>
      </c>
      <c r="C66" s="816" t="s">
        <v>8111</v>
      </c>
      <c r="D66" s="791" t="s">
        <v>8110</v>
      </c>
      <c r="E66" s="798">
        <v>25.7</v>
      </c>
      <c r="F66" s="872">
        <v>42959</v>
      </c>
      <c r="G66" s="798"/>
      <c r="H66" s="798"/>
      <c r="I66" s="791">
        <f>I65+1</f>
        <v>56</v>
      </c>
      <c r="K66" s="80" t="s">
        <v>8658</v>
      </c>
      <c r="N66" s="80" t="s">
        <v>8240</v>
      </c>
    </row>
    <row r="67" spans="1:20" x14ac:dyDescent="0.2">
      <c r="A67" s="790" t="s">
        <v>1808</v>
      </c>
      <c r="B67" s="796" t="s">
        <v>4544</v>
      </c>
      <c r="C67" s="797" t="s">
        <v>4544</v>
      </c>
      <c r="D67" s="791" t="s">
        <v>6023</v>
      </c>
      <c r="E67" s="798">
        <v>26.1</v>
      </c>
      <c r="F67" s="806">
        <v>41839</v>
      </c>
      <c r="I67" s="791">
        <f>I66+1</f>
        <v>57</v>
      </c>
      <c r="J67" s="791" t="s">
        <v>3689</v>
      </c>
      <c r="O67" s="791" t="s">
        <v>1171</v>
      </c>
      <c r="Q67" s="791" t="s">
        <v>1172</v>
      </c>
    </row>
    <row r="68" spans="1:20" x14ac:dyDescent="0.2">
      <c r="A68" s="790" t="s">
        <v>4089</v>
      </c>
      <c r="B68" s="45" t="s">
        <v>8248</v>
      </c>
      <c r="C68" s="567" t="s">
        <v>8248</v>
      </c>
      <c r="D68" s="75" t="s">
        <v>8247</v>
      </c>
      <c r="E68" s="798">
        <v>26.6</v>
      </c>
      <c r="F68" s="989">
        <v>43274</v>
      </c>
      <c r="I68" s="791">
        <f t="shared" ref="I68:I75" si="8">I67+1</f>
        <v>58</v>
      </c>
      <c r="J68" s="791">
        <v>1849</v>
      </c>
      <c r="K68" s="80" t="s">
        <v>9223</v>
      </c>
      <c r="L68" s="80"/>
      <c r="M68" s="80" t="s">
        <v>10136</v>
      </c>
      <c r="N68" s="80"/>
    </row>
    <row r="69" spans="1:20" x14ac:dyDescent="0.2">
      <c r="A69" s="790" t="s">
        <v>1808</v>
      </c>
      <c r="B69" s="796" t="s">
        <v>4544</v>
      </c>
      <c r="C69" s="567" t="s">
        <v>10272</v>
      </c>
      <c r="D69" s="80" t="s">
        <v>10273</v>
      </c>
      <c r="E69" s="798">
        <v>26.9</v>
      </c>
      <c r="F69" s="1025">
        <v>43309</v>
      </c>
      <c r="G69" s="1351">
        <v>43575</v>
      </c>
      <c r="I69" s="791">
        <f t="shared" si="8"/>
        <v>59</v>
      </c>
      <c r="K69" s="80" t="s">
        <v>12709</v>
      </c>
      <c r="O69" s="80"/>
    </row>
    <row r="70" spans="1:20" x14ac:dyDescent="0.2">
      <c r="A70" s="790" t="s">
        <v>4089</v>
      </c>
      <c r="B70" s="790" t="s">
        <v>5001</v>
      </c>
      <c r="C70" s="797" t="s">
        <v>161</v>
      </c>
      <c r="D70" s="791" t="s">
        <v>3463</v>
      </c>
      <c r="E70" s="798">
        <v>27.5</v>
      </c>
      <c r="F70" s="814">
        <v>42455</v>
      </c>
      <c r="I70" s="791">
        <f t="shared" si="8"/>
        <v>60</v>
      </c>
      <c r="J70" s="791" t="s">
        <v>5035</v>
      </c>
      <c r="K70" s="791" t="s">
        <v>2142</v>
      </c>
    </row>
    <row r="71" spans="1:20" x14ac:dyDescent="0.2">
      <c r="A71" s="790" t="s">
        <v>1808</v>
      </c>
      <c r="B71" s="790" t="s">
        <v>4888</v>
      </c>
      <c r="C71" s="797" t="s">
        <v>1560</v>
      </c>
      <c r="D71" s="791" t="s">
        <v>1561</v>
      </c>
      <c r="E71" s="798">
        <v>27.8</v>
      </c>
      <c r="F71" s="812">
        <v>42175</v>
      </c>
      <c r="G71" s="791">
        <v>13.5</v>
      </c>
      <c r="I71" s="791">
        <f t="shared" si="8"/>
        <v>61</v>
      </c>
      <c r="J71" s="791" t="s">
        <v>484</v>
      </c>
      <c r="N71" s="791" t="s">
        <v>5556</v>
      </c>
      <c r="R71" s="791" t="s">
        <v>1031</v>
      </c>
      <c r="S71" s="791" t="s">
        <v>3690</v>
      </c>
    </row>
    <row r="72" spans="1:20" x14ac:dyDescent="0.2">
      <c r="A72" s="790" t="s">
        <v>5154</v>
      </c>
      <c r="B72" s="790" t="s">
        <v>1962</v>
      </c>
      <c r="C72" s="816" t="s">
        <v>6159</v>
      </c>
      <c r="D72" s="791" t="s">
        <v>6160</v>
      </c>
      <c r="E72" s="798">
        <v>27.9</v>
      </c>
      <c r="F72" s="817">
        <v>42833</v>
      </c>
      <c r="I72" s="791">
        <f t="shared" si="8"/>
        <v>62</v>
      </c>
      <c r="J72" s="791" t="s">
        <v>6161</v>
      </c>
      <c r="R72" s="791" t="s">
        <v>7736</v>
      </c>
    </row>
    <row r="73" spans="1:20" x14ac:dyDescent="0.2">
      <c r="A73" s="790" t="s">
        <v>1808</v>
      </c>
      <c r="B73" s="796" t="s">
        <v>2830</v>
      </c>
      <c r="C73" s="797" t="s">
        <v>1805</v>
      </c>
      <c r="D73" s="791" t="s">
        <v>5935</v>
      </c>
      <c r="E73" s="798">
        <v>28.4</v>
      </c>
      <c r="F73" s="820">
        <v>42119</v>
      </c>
      <c r="G73" s="798"/>
      <c r="H73" s="798"/>
      <c r="I73" s="791">
        <f t="shared" si="8"/>
        <v>63</v>
      </c>
      <c r="J73" s="791" t="s">
        <v>4874</v>
      </c>
      <c r="T73" s="791" t="s">
        <v>1557</v>
      </c>
    </row>
    <row r="74" spans="1:20" x14ac:dyDescent="0.2">
      <c r="A74" s="790" t="s">
        <v>4089</v>
      </c>
      <c r="B74" s="790" t="s">
        <v>5198</v>
      </c>
      <c r="C74" s="797" t="s">
        <v>5198</v>
      </c>
      <c r="D74" s="791" t="s">
        <v>5199</v>
      </c>
      <c r="E74" s="798">
        <v>28.4</v>
      </c>
      <c r="F74" s="811">
        <v>41867</v>
      </c>
      <c r="I74" s="791">
        <f t="shared" si="8"/>
        <v>64</v>
      </c>
      <c r="J74" s="791" t="s">
        <v>5035</v>
      </c>
      <c r="K74" s="791" t="s">
        <v>2143</v>
      </c>
    </row>
    <row r="75" spans="1:20" x14ac:dyDescent="0.2">
      <c r="A75" s="790" t="s">
        <v>5154</v>
      </c>
      <c r="B75" s="790" t="s">
        <v>3589</v>
      </c>
      <c r="C75" s="797" t="s">
        <v>4452</v>
      </c>
      <c r="D75" s="791" t="s">
        <v>1108</v>
      </c>
      <c r="E75" s="798">
        <v>31</v>
      </c>
      <c r="F75" s="814">
        <v>42441</v>
      </c>
      <c r="I75" s="791">
        <f t="shared" si="8"/>
        <v>65</v>
      </c>
      <c r="J75" s="791" t="s">
        <v>5035</v>
      </c>
      <c r="K75" s="791" t="s">
        <v>2141</v>
      </c>
      <c r="N75" s="791" t="s">
        <v>1165</v>
      </c>
    </row>
    <row r="76" spans="1:20" x14ac:dyDescent="0.2">
      <c r="A76" s="790" t="s">
        <v>5154</v>
      </c>
      <c r="B76" s="790" t="s">
        <v>3674</v>
      </c>
      <c r="C76" s="821" t="s">
        <v>901</v>
      </c>
      <c r="D76" s="791" t="s">
        <v>902</v>
      </c>
      <c r="E76" s="798">
        <v>31.1</v>
      </c>
      <c r="F76" s="804">
        <v>42518</v>
      </c>
      <c r="I76" s="791">
        <f t="shared" ref="I76:I95" si="9">I75+1</f>
        <v>66</v>
      </c>
      <c r="J76" s="791" t="s">
        <v>5035</v>
      </c>
      <c r="K76" s="791" t="s">
        <v>3902</v>
      </c>
      <c r="L76" s="791" t="s">
        <v>3903</v>
      </c>
    </row>
    <row r="77" spans="1:20" x14ac:dyDescent="0.2">
      <c r="A77" s="45" t="s">
        <v>2717</v>
      </c>
      <c r="B77" s="45" t="s">
        <v>9743</v>
      </c>
      <c r="C77" s="567" t="s">
        <v>9738</v>
      </c>
      <c r="D77" s="80" t="s">
        <v>9739</v>
      </c>
      <c r="E77" s="798">
        <v>31.5</v>
      </c>
      <c r="F77" s="1025">
        <v>43295</v>
      </c>
      <c r="I77" s="791">
        <f t="shared" si="9"/>
        <v>67</v>
      </c>
      <c r="K77" s="80" t="s">
        <v>9742</v>
      </c>
      <c r="O77" s="80" t="s">
        <v>10253</v>
      </c>
    </row>
    <row r="78" spans="1:20" x14ac:dyDescent="0.2">
      <c r="A78" s="790" t="s">
        <v>2717</v>
      </c>
      <c r="B78" s="790" t="s">
        <v>5779</v>
      </c>
      <c r="C78" s="797" t="s">
        <v>2714</v>
      </c>
      <c r="D78" s="791" t="s">
        <v>2716</v>
      </c>
      <c r="E78" s="798">
        <v>32.6</v>
      </c>
      <c r="F78" s="812" t="s">
        <v>1882</v>
      </c>
      <c r="G78" s="1351">
        <v>43540</v>
      </c>
      <c r="I78" s="791">
        <f t="shared" si="9"/>
        <v>68</v>
      </c>
      <c r="J78" s="791" t="s">
        <v>5035</v>
      </c>
      <c r="K78" s="791" t="s">
        <v>4852</v>
      </c>
      <c r="L78" s="791" t="s">
        <v>5778</v>
      </c>
    </row>
    <row r="79" spans="1:20" x14ac:dyDescent="0.2">
      <c r="A79" s="790" t="s">
        <v>1808</v>
      </c>
      <c r="B79" s="790" t="s">
        <v>5735</v>
      </c>
      <c r="C79" s="797" t="s">
        <v>476</v>
      </c>
      <c r="D79" s="791" t="s">
        <v>5429</v>
      </c>
      <c r="E79" s="798">
        <v>32.700000000000003</v>
      </c>
      <c r="F79" s="812">
        <v>42161</v>
      </c>
      <c r="I79" s="791">
        <f t="shared" si="9"/>
        <v>69</v>
      </c>
      <c r="K79" s="791" t="s">
        <v>147</v>
      </c>
      <c r="N79" s="791" t="s">
        <v>148</v>
      </c>
    </row>
    <row r="80" spans="1:20" x14ac:dyDescent="0.2">
      <c r="A80" s="45" t="s">
        <v>5154</v>
      </c>
      <c r="C80" s="567" t="s">
        <v>11009</v>
      </c>
      <c r="D80" s="514" t="s">
        <v>11012</v>
      </c>
      <c r="E80" s="798">
        <v>32.700000000000003</v>
      </c>
      <c r="F80" s="1314">
        <v>43512</v>
      </c>
      <c r="G80" s="1764">
        <v>43743</v>
      </c>
      <c r="I80" s="791">
        <f t="shared" si="9"/>
        <v>70</v>
      </c>
      <c r="K80" s="80" t="s">
        <v>11013</v>
      </c>
    </row>
    <row r="81" spans="1:23" x14ac:dyDescent="0.2">
      <c r="A81" s="790" t="s">
        <v>4089</v>
      </c>
      <c r="B81" s="45" t="s">
        <v>9744</v>
      </c>
      <c r="C81" s="797" t="s">
        <v>2219</v>
      </c>
      <c r="D81" s="791" t="s">
        <v>4695</v>
      </c>
      <c r="E81" s="798">
        <v>32.799999999999997</v>
      </c>
      <c r="F81" s="812">
        <v>42224</v>
      </c>
      <c r="I81" s="791">
        <f t="shared" si="9"/>
        <v>71</v>
      </c>
      <c r="J81" s="791" t="s">
        <v>75</v>
      </c>
      <c r="M81" s="791" t="s">
        <v>4722</v>
      </c>
    </row>
    <row r="82" spans="1:23" x14ac:dyDescent="0.2">
      <c r="A82" s="790" t="s">
        <v>4089</v>
      </c>
      <c r="C82" s="533" t="s">
        <v>15452</v>
      </c>
      <c r="D82" s="80" t="s">
        <v>15542</v>
      </c>
      <c r="E82" s="798">
        <v>32.799999999999997</v>
      </c>
      <c r="F82" s="1586"/>
      <c r="I82" s="791">
        <f t="shared" si="9"/>
        <v>72</v>
      </c>
      <c r="J82" s="80" t="s">
        <v>15543</v>
      </c>
      <c r="K82" s="80" t="s">
        <v>15544</v>
      </c>
    </row>
    <row r="83" spans="1:23" x14ac:dyDescent="0.2">
      <c r="A83" s="790" t="s">
        <v>1808</v>
      </c>
      <c r="B83" s="796" t="s">
        <v>5735</v>
      </c>
      <c r="C83" s="797" t="s">
        <v>2437</v>
      </c>
      <c r="D83" s="791" t="s">
        <v>2439</v>
      </c>
      <c r="E83" s="798">
        <v>33</v>
      </c>
      <c r="F83" s="806">
        <v>41804</v>
      </c>
      <c r="I83" s="791">
        <f t="shared" si="9"/>
        <v>73</v>
      </c>
      <c r="J83" s="791" t="s">
        <v>2440</v>
      </c>
      <c r="M83" s="791" t="s">
        <v>3708</v>
      </c>
      <c r="P83" s="791" t="s">
        <v>2709</v>
      </c>
    </row>
    <row r="84" spans="1:23" x14ac:dyDescent="0.2">
      <c r="A84" s="790" t="s">
        <v>4089</v>
      </c>
      <c r="B84" s="790" t="s">
        <v>5947</v>
      </c>
      <c r="C84" s="797" t="s">
        <v>5947</v>
      </c>
      <c r="D84" s="791" t="s">
        <v>1217</v>
      </c>
      <c r="E84" s="798">
        <v>33.700000000000003</v>
      </c>
      <c r="F84" s="806">
        <v>41706</v>
      </c>
      <c r="I84" s="791">
        <f t="shared" si="9"/>
        <v>74</v>
      </c>
      <c r="J84" s="791" t="s">
        <v>5035</v>
      </c>
      <c r="K84" s="791" t="s">
        <v>1867</v>
      </c>
    </row>
    <row r="85" spans="1:23" x14ac:dyDescent="0.2">
      <c r="A85" s="790" t="s">
        <v>5154</v>
      </c>
      <c r="B85" s="45" t="s">
        <v>3589</v>
      </c>
      <c r="C85" s="1133" t="s">
        <v>10788</v>
      </c>
      <c r="D85" s="791" t="s">
        <v>8155</v>
      </c>
      <c r="E85" s="798">
        <v>33.9</v>
      </c>
      <c r="F85" s="803">
        <v>43022</v>
      </c>
      <c r="I85" s="791">
        <f t="shared" si="9"/>
        <v>75</v>
      </c>
      <c r="J85" s="80" t="s">
        <v>5035</v>
      </c>
      <c r="K85" s="80" t="s">
        <v>8656</v>
      </c>
      <c r="M85" s="80" t="s">
        <v>8657</v>
      </c>
    </row>
    <row r="86" spans="1:23" x14ac:dyDescent="0.2">
      <c r="A86" s="790" t="s">
        <v>4089</v>
      </c>
      <c r="B86" s="790" t="s">
        <v>4603</v>
      </c>
      <c r="C86" s="797" t="s">
        <v>3117</v>
      </c>
      <c r="D86" s="791" t="s">
        <v>3119</v>
      </c>
      <c r="E86" s="798">
        <v>33.9</v>
      </c>
      <c r="F86" s="804">
        <v>42511</v>
      </c>
      <c r="I86" s="791">
        <f t="shared" si="9"/>
        <v>76</v>
      </c>
      <c r="J86" s="791" t="s">
        <v>1752</v>
      </c>
      <c r="R86" s="791" t="s">
        <v>1172</v>
      </c>
      <c r="S86" s="791" t="s">
        <v>2286</v>
      </c>
    </row>
    <row r="87" spans="1:23" x14ac:dyDescent="0.2">
      <c r="A87" s="790" t="s">
        <v>5154</v>
      </c>
      <c r="B87" s="790" t="s">
        <v>3590</v>
      </c>
      <c r="C87" s="797" t="s">
        <v>1490</v>
      </c>
      <c r="D87" s="791" t="s">
        <v>1491</v>
      </c>
      <c r="E87" s="798">
        <v>34.6</v>
      </c>
      <c r="F87" s="804">
        <v>42651</v>
      </c>
      <c r="I87" s="791">
        <f t="shared" si="9"/>
        <v>77</v>
      </c>
      <c r="J87" s="791" t="s">
        <v>5035</v>
      </c>
      <c r="K87" s="791" t="s">
        <v>2022</v>
      </c>
    </row>
    <row r="88" spans="1:23" x14ac:dyDescent="0.2">
      <c r="A88" s="790" t="s">
        <v>5154</v>
      </c>
      <c r="B88" s="790" t="s">
        <v>2128</v>
      </c>
      <c r="C88" s="797" t="s">
        <v>2885</v>
      </c>
      <c r="D88" s="791" t="s">
        <v>2886</v>
      </c>
      <c r="E88" s="798">
        <v>34.9</v>
      </c>
      <c r="F88" s="804">
        <v>42588</v>
      </c>
      <c r="I88" s="791">
        <f t="shared" si="9"/>
        <v>78</v>
      </c>
      <c r="K88" s="791" t="s">
        <v>106</v>
      </c>
    </row>
    <row r="89" spans="1:23" x14ac:dyDescent="0.2">
      <c r="A89" s="790" t="s">
        <v>5154</v>
      </c>
      <c r="B89" s="790" t="s">
        <v>3588</v>
      </c>
      <c r="C89" s="816" t="s">
        <v>778</v>
      </c>
      <c r="D89" s="791" t="s">
        <v>2116</v>
      </c>
      <c r="E89" s="798">
        <v>36.4</v>
      </c>
      <c r="F89" s="989">
        <v>43155</v>
      </c>
      <c r="G89" s="805"/>
      <c r="I89" s="791">
        <f t="shared" si="9"/>
        <v>79</v>
      </c>
      <c r="J89" s="791" t="s">
        <v>5035</v>
      </c>
      <c r="K89" s="791" t="s">
        <v>338</v>
      </c>
      <c r="N89" s="791" t="s">
        <v>1286</v>
      </c>
      <c r="Q89" s="791" t="s">
        <v>1051</v>
      </c>
      <c r="T89" s="80" t="s">
        <v>9260</v>
      </c>
    </row>
    <row r="90" spans="1:23" x14ac:dyDescent="0.2">
      <c r="A90" s="790" t="s">
        <v>4089</v>
      </c>
      <c r="C90" s="797" t="s">
        <v>5653</v>
      </c>
      <c r="D90" s="791" t="s">
        <v>4022</v>
      </c>
      <c r="E90" s="798">
        <v>36.9</v>
      </c>
      <c r="F90" s="825">
        <v>41183</v>
      </c>
      <c r="I90" s="791">
        <f t="shared" si="9"/>
        <v>80</v>
      </c>
      <c r="J90" s="801" t="s">
        <v>5035</v>
      </c>
      <c r="K90" s="826" t="s">
        <v>2144</v>
      </c>
    </row>
    <row r="91" spans="1:23" x14ac:dyDescent="0.2">
      <c r="A91" s="790" t="s">
        <v>4089</v>
      </c>
      <c r="C91" s="567" t="s">
        <v>10433</v>
      </c>
      <c r="D91" s="80" t="s">
        <v>10434</v>
      </c>
      <c r="E91" s="798">
        <v>37.6</v>
      </c>
      <c r="F91" s="1241">
        <v>43361</v>
      </c>
      <c r="G91" s="1351">
        <v>43526</v>
      </c>
      <c r="I91" s="791">
        <f t="shared" si="9"/>
        <v>81</v>
      </c>
      <c r="K91" s="80" t="s">
        <v>10435</v>
      </c>
      <c r="N91" s="80" t="s">
        <v>10623</v>
      </c>
      <c r="P91" s="80" t="s">
        <v>12951</v>
      </c>
    </row>
    <row r="92" spans="1:23" x14ac:dyDescent="0.2">
      <c r="A92" s="790" t="s">
        <v>4089</v>
      </c>
      <c r="C92" s="797" t="s">
        <v>4936</v>
      </c>
      <c r="D92" s="791" t="s">
        <v>4937</v>
      </c>
      <c r="E92" s="798">
        <v>37.9</v>
      </c>
      <c r="F92" s="827">
        <v>42490</v>
      </c>
      <c r="I92" s="791">
        <f t="shared" si="9"/>
        <v>82</v>
      </c>
      <c r="J92" s="791" t="s">
        <v>5035</v>
      </c>
      <c r="K92" s="826" t="s">
        <v>553</v>
      </c>
    </row>
    <row r="93" spans="1:23" x14ac:dyDescent="0.2">
      <c r="A93" s="790" t="s">
        <v>5154</v>
      </c>
      <c r="B93" s="790" t="s">
        <v>3590</v>
      </c>
      <c r="C93" s="1046" t="s">
        <v>1324</v>
      </c>
      <c r="D93" s="791" t="s">
        <v>1326</v>
      </c>
      <c r="E93" s="798">
        <v>38.200000000000003</v>
      </c>
      <c r="F93" s="791" t="s">
        <v>1739</v>
      </c>
      <c r="I93" s="791">
        <f t="shared" si="9"/>
        <v>83</v>
      </c>
      <c r="J93" s="791" t="s">
        <v>5035</v>
      </c>
      <c r="K93" s="1104" t="s">
        <v>2971</v>
      </c>
    </row>
    <row r="94" spans="1:23" x14ac:dyDescent="0.2">
      <c r="A94" s="790" t="s">
        <v>5154</v>
      </c>
      <c r="B94" s="791"/>
      <c r="C94" s="797" t="s">
        <v>4512</v>
      </c>
      <c r="D94" s="813" t="s">
        <v>4511</v>
      </c>
      <c r="E94" s="798">
        <v>38.799999999999997</v>
      </c>
      <c r="F94" s="804">
        <v>42497</v>
      </c>
      <c r="I94" s="791">
        <f t="shared" si="9"/>
        <v>84</v>
      </c>
      <c r="J94" s="791" t="s">
        <v>103</v>
      </c>
      <c r="M94" s="791" t="s">
        <v>378</v>
      </c>
      <c r="S94" s="791" t="s">
        <v>1166</v>
      </c>
      <c r="U94" s="791" t="s">
        <v>104</v>
      </c>
      <c r="V94" s="791" t="s">
        <v>105</v>
      </c>
      <c r="W94" s="791" t="s">
        <v>1103</v>
      </c>
    </row>
    <row r="95" spans="1:23" x14ac:dyDescent="0.2">
      <c r="A95" s="790" t="s">
        <v>4089</v>
      </c>
      <c r="C95" s="816" t="s">
        <v>5948</v>
      </c>
      <c r="D95" s="791" t="s">
        <v>109</v>
      </c>
      <c r="E95" s="798">
        <v>38.799999999999997</v>
      </c>
      <c r="F95" s="817">
        <v>42987</v>
      </c>
      <c r="I95" s="791">
        <f t="shared" si="9"/>
        <v>85</v>
      </c>
      <c r="J95" s="791" t="s">
        <v>5035</v>
      </c>
      <c r="K95" s="791" t="s">
        <v>2970</v>
      </c>
    </row>
    <row r="96" spans="1:23" ht="12" customHeight="1" x14ac:dyDescent="0.2">
      <c r="A96" s="790" t="s">
        <v>5154</v>
      </c>
      <c r="C96" s="1046" t="s">
        <v>8135</v>
      </c>
      <c r="D96" s="791" t="s">
        <v>8134</v>
      </c>
      <c r="E96" s="798">
        <v>40.6</v>
      </c>
      <c r="I96" s="791">
        <f>I94+1</f>
        <v>85</v>
      </c>
      <c r="J96" s="791" t="s">
        <v>5035</v>
      </c>
      <c r="K96" s="568" t="s">
        <v>9259</v>
      </c>
      <c r="L96" s="913"/>
      <c r="N96" s="913" t="s">
        <v>8145</v>
      </c>
      <c r="O96" s="913"/>
      <c r="P96" s="913"/>
      <c r="Q96" s="913"/>
      <c r="R96" s="913"/>
      <c r="S96" s="80" t="s">
        <v>9360</v>
      </c>
    </row>
    <row r="97" spans="1:19" x14ac:dyDescent="0.2">
      <c r="A97" s="790" t="s">
        <v>5154</v>
      </c>
      <c r="B97" s="791"/>
      <c r="C97" s="1046" t="s">
        <v>4719</v>
      </c>
      <c r="D97" s="791" t="s">
        <v>1883</v>
      </c>
      <c r="E97" s="798">
        <v>41.2</v>
      </c>
      <c r="F97" s="791" t="s">
        <v>1740</v>
      </c>
      <c r="I97" s="791">
        <f t="shared" ref="I97:I102" si="10">I96+1</f>
        <v>86</v>
      </c>
      <c r="J97" s="791" t="s">
        <v>5035</v>
      </c>
      <c r="K97" s="791" t="s">
        <v>2972</v>
      </c>
      <c r="M97" s="791" t="s">
        <v>2140</v>
      </c>
    </row>
    <row r="98" spans="1:19" x14ac:dyDescent="0.2">
      <c r="B98" s="791"/>
      <c r="C98" s="533" t="s">
        <v>15548</v>
      </c>
      <c r="D98" s="80" t="s">
        <v>15545</v>
      </c>
      <c r="E98" s="798">
        <v>41.4</v>
      </c>
      <c r="I98" s="791">
        <f t="shared" si="10"/>
        <v>87</v>
      </c>
      <c r="J98" s="80" t="s">
        <v>15546</v>
      </c>
      <c r="K98" s="1370" t="s">
        <v>15547</v>
      </c>
    </row>
    <row r="99" spans="1:19" x14ac:dyDescent="0.2">
      <c r="A99" s="790" t="s">
        <v>4089</v>
      </c>
      <c r="C99" s="1046" t="s">
        <v>299</v>
      </c>
      <c r="D99" s="828" t="s">
        <v>4518</v>
      </c>
      <c r="E99" s="798">
        <v>41.9</v>
      </c>
      <c r="F99" s="791" t="s">
        <v>5027</v>
      </c>
      <c r="I99" s="791">
        <f t="shared" si="10"/>
        <v>88</v>
      </c>
      <c r="J99" s="791" t="s">
        <v>5035</v>
      </c>
      <c r="K99" s="791" t="s">
        <v>5419</v>
      </c>
      <c r="L99" s="791" t="s">
        <v>3591</v>
      </c>
    </row>
    <row r="100" spans="1:19" x14ac:dyDescent="0.2">
      <c r="A100" s="790" t="s">
        <v>4089</v>
      </c>
      <c r="B100" s="791"/>
      <c r="C100" s="797" t="s">
        <v>3084</v>
      </c>
      <c r="D100" s="791" t="s">
        <v>1058</v>
      </c>
      <c r="E100" s="798">
        <v>42</v>
      </c>
      <c r="F100" s="811">
        <v>41762</v>
      </c>
      <c r="I100" s="791">
        <f t="shared" si="10"/>
        <v>89</v>
      </c>
      <c r="J100" s="801" t="s">
        <v>5035</v>
      </c>
      <c r="K100" s="791" t="s">
        <v>5420</v>
      </c>
      <c r="L100" s="791" t="s">
        <v>1327</v>
      </c>
      <c r="N100" s="791" t="s">
        <v>1428</v>
      </c>
    </row>
    <row r="101" spans="1:19" x14ac:dyDescent="0.2">
      <c r="A101" s="45" t="s">
        <v>4089</v>
      </c>
      <c r="C101" s="567" t="s">
        <v>8373</v>
      </c>
      <c r="D101" s="80" t="s">
        <v>8374</v>
      </c>
      <c r="E101" s="798">
        <v>42.7</v>
      </c>
      <c r="F101" s="803">
        <v>43008</v>
      </c>
      <c r="I101" s="791">
        <f t="shared" si="10"/>
        <v>90</v>
      </c>
      <c r="J101" s="80" t="s">
        <v>5035</v>
      </c>
      <c r="K101" s="1103" t="s">
        <v>8614</v>
      </c>
      <c r="P101" s="80" t="s">
        <v>8520</v>
      </c>
    </row>
    <row r="102" spans="1:19" x14ac:dyDescent="0.2">
      <c r="A102" s="790" t="s">
        <v>5154</v>
      </c>
      <c r="B102" s="791"/>
      <c r="C102" s="797" t="s">
        <v>2872</v>
      </c>
      <c r="D102" s="791" t="s">
        <v>2874</v>
      </c>
      <c r="E102" s="798">
        <v>42.9</v>
      </c>
      <c r="F102" s="804">
        <v>42434</v>
      </c>
      <c r="I102" s="791">
        <f t="shared" si="10"/>
        <v>91</v>
      </c>
      <c r="J102" s="801" t="s">
        <v>5035</v>
      </c>
      <c r="K102" s="791" t="s">
        <v>2405</v>
      </c>
      <c r="Q102" s="791" t="s">
        <v>1327</v>
      </c>
    </row>
    <row r="103" spans="1:19" x14ac:dyDescent="0.2">
      <c r="A103" s="790" t="s">
        <v>4089</v>
      </c>
      <c r="C103" s="567" t="s">
        <v>10192</v>
      </c>
      <c r="D103" s="80" t="s">
        <v>10265</v>
      </c>
      <c r="E103" s="798">
        <v>43</v>
      </c>
      <c r="F103" s="1409">
        <v>43631</v>
      </c>
      <c r="I103" s="791">
        <f>I101+1</f>
        <v>91</v>
      </c>
      <c r="K103" s="1370" t="s">
        <v>10266</v>
      </c>
      <c r="L103" s="1587"/>
      <c r="M103" s="80" t="s">
        <v>10267</v>
      </c>
    </row>
    <row r="104" spans="1:19" x14ac:dyDescent="0.2">
      <c r="A104" s="790" t="s">
        <v>4089</v>
      </c>
      <c r="B104" s="791"/>
      <c r="C104" s="844" t="s">
        <v>13242</v>
      </c>
      <c r="D104" s="80" t="s">
        <v>13241</v>
      </c>
      <c r="E104" s="798">
        <v>43.1</v>
      </c>
      <c r="F104" s="1586"/>
      <c r="I104" s="791">
        <f>I102+1</f>
        <v>92</v>
      </c>
      <c r="J104" s="1587"/>
      <c r="K104" s="80" t="s">
        <v>13243</v>
      </c>
    </row>
    <row r="105" spans="1:19" x14ac:dyDescent="0.2">
      <c r="A105" s="790" t="s">
        <v>4089</v>
      </c>
      <c r="C105" s="1046" t="s">
        <v>451</v>
      </c>
      <c r="D105" s="791" t="s">
        <v>450</v>
      </c>
      <c r="E105" s="798">
        <v>43.3</v>
      </c>
      <c r="F105" s="802"/>
      <c r="I105" s="791">
        <f>I103+1</f>
        <v>92</v>
      </c>
      <c r="J105" s="791" t="s">
        <v>5035</v>
      </c>
      <c r="K105" s="1104" t="s">
        <v>5421</v>
      </c>
      <c r="L105" s="80" t="s">
        <v>8613</v>
      </c>
    </row>
    <row r="106" spans="1:19" x14ac:dyDescent="0.2">
      <c r="A106" s="45" t="s">
        <v>4089</v>
      </c>
      <c r="B106" s="791"/>
      <c r="C106" s="567" t="s">
        <v>10479</v>
      </c>
      <c r="D106" s="80" t="s">
        <v>10481</v>
      </c>
      <c r="E106" s="798">
        <v>44.6</v>
      </c>
      <c r="F106" s="1351">
        <v>43554</v>
      </c>
      <c r="I106" s="791">
        <f>I104+1</f>
        <v>93</v>
      </c>
      <c r="J106" s="80"/>
      <c r="K106" s="1103" t="s">
        <v>11716</v>
      </c>
      <c r="M106" s="80" t="s">
        <v>12233</v>
      </c>
      <c r="Q106" s="80" t="s">
        <v>12232</v>
      </c>
    </row>
    <row r="107" spans="1:19" x14ac:dyDescent="0.2">
      <c r="A107" s="790" t="s">
        <v>4089</v>
      </c>
      <c r="C107" s="844" t="s">
        <v>10801</v>
      </c>
      <c r="D107" s="80" t="s">
        <v>10661</v>
      </c>
      <c r="E107" s="798">
        <v>44.6</v>
      </c>
      <c r="I107" s="791">
        <f>I105+1</f>
        <v>93</v>
      </c>
      <c r="K107" s="568" t="s">
        <v>16201</v>
      </c>
      <c r="M107" s="80"/>
      <c r="N107" s="2"/>
      <c r="O107" s="80" t="s">
        <v>16200</v>
      </c>
    </row>
    <row r="108" spans="1:19" x14ac:dyDescent="0.2">
      <c r="A108" s="790" t="s">
        <v>4089</v>
      </c>
      <c r="C108" s="797" t="s">
        <v>1214</v>
      </c>
      <c r="D108" s="791" t="s">
        <v>6001</v>
      </c>
      <c r="E108" s="798">
        <v>45.3</v>
      </c>
      <c r="F108" s="799">
        <v>41307</v>
      </c>
      <c r="I108" s="791">
        <f>I107+1</f>
        <v>94</v>
      </c>
      <c r="J108" s="801" t="s">
        <v>5035</v>
      </c>
      <c r="K108" s="791" t="s">
        <v>3623</v>
      </c>
      <c r="M108" s="791" t="s">
        <v>3298</v>
      </c>
    </row>
    <row r="109" spans="1:19" x14ac:dyDescent="0.2">
      <c r="C109" s="533" t="s">
        <v>12701</v>
      </c>
      <c r="D109" s="80" t="s">
        <v>12667</v>
      </c>
      <c r="E109" s="798">
        <v>45.7</v>
      </c>
      <c r="I109" s="791">
        <f>I108+1</f>
        <v>95</v>
      </c>
      <c r="K109" s="1103" t="s">
        <v>12767</v>
      </c>
    </row>
    <row r="110" spans="1:19" x14ac:dyDescent="0.2">
      <c r="A110" s="790" t="s">
        <v>4089</v>
      </c>
      <c r="B110" s="791"/>
      <c r="C110" s="1046" t="s">
        <v>8116</v>
      </c>
      <c r="D110" s="791" t="s">
        <v>8037</v>
      </c>
      <c r="E110" s="798">
        <v>46.2</v>
      </c>
      <c r="I110" s="791">
        <f>I109+1</f>
        <v>96</v>
      </c>
      <c r="J110" s="791" t="s">
        <v>5035</v>
      </c>
      <c r="K110" s="913" t="s">
        <v>8038</v>
      </c>
      <c r="O110" s="791" t="s">
        <v>8121</v>
      </c>
    </row>
    <row r="111" spans="1:19" x14ac:dyDescent="0.2">
      <c r="A111" s="790" t="s">
        <v>4089</v>
      </c>
      <c r="C111" s="1046" t="s">
        <v>3123</v>
      </c>
      <c r="D111" s="791" t="s">
        <v>4362</v>
      </c>
      <c r="E111" s="791">
        <v>46.4</v>
      </c>
      <c r="I111" s="791">
        <f>I110+1</f>
        <v>97</v>
      </c>
      <c r="J111" s="791" t="s">
        <v>5035</v>
      </c>
      <c r="K111" s="824" t="s">
        <v>5481</v>
      </c>
    </row>
    <row r="112" spans="1:19" x14ac:dyDescent="0.2">
      <c r="A112" s="790" t="s">
        <v>5154</v>
      </c>
      <c r="C112" s="816" t="s">
        <v>203</v>
      </c>
      <c r="D112" s="80" t="s">
        <v>9258</v>
      </c>
      <c r="E112" s="798">
        <v>47</v>
      </c>
      <c r="F112" s="989">
        <v>43141</v>
      </c>
      <c r="I112" s="791">
        <f t="shared" ref="I112:I116" si="11">I111+1</f>
        <v>98</v>
      </c>
      <c r="J112" s="836" t="s">
        <v>5035</v>
      </c>
      <c r="K112" s="791" t="s">
        <v>1832</v>
      </c>
      <c r="N112" s="80" t="s">
        <v>8655</v>
      </c>
      <c r="Q112" s="80" t="s">
        <v>710</v>
      </c>
      <c r="S112" s="80" t="s">
        <v>9257</v>
      </c>
    </row>
    <row r="113" spans="1:21" x14ac:dyDescent="0.2">
      <c r="C113" s="844" t="s">
        <v>11855</v>
      </c>
      <c r="D113" s="80" t="s">
        <v>11854</v>
      </c>
      <c r="E113" s="798">
        <v>47</v>
      </c>
      <c r="I113" s="791">
        <f t="shared" si="11"/>
        <v>99</v>
      </c>
      <c r="J113" s="80" t="s">
        <v>5035</v>
      </c>
      <c r="K113" s="824" t="s">
        <v>2050</v>
      </c>
      <c r="N113" s="80" t="s">
        <v>11857</v>
      </c>
    </row>
    <row r="114" spans="1:21" x14ac:dyDescent="0.2">
      <c r="A114" s="790" t="s">
        <v>4089</v>
      </c>
      <c r="B114" s="790" t="s">
        <v>4604</v>
      </c>
      <c r="C114" s="797" t="s">
        <v>3066</v>
      </c>
      <c r="D114" s="791" t="s">
        <v>3068</v>
      </c>
      <c r="E114" s="798">
        <v>47.3</v>
      </c>
      <c r="F114" s="804">
        <v>42476</v>
      </c>
      <c r="I114" s="791">
        <f t="shared" si="11"/>
        <v>100</v>
      </c>
      <c r="J114" s="791" t="s">
        <v>5035</v>
      </c>
      <c r="K114" s="791" t="s">
        <v>2404</v>
      </c>
      <c r="O114" s="791" t="s">
        <v>5460</v>
      </c>
    </row>
    <row r="115" spans="1:21" x14ac:dyDescent="0.2">
      <c r="A115" s="790" t="s">
        <v>5154</v>
      </c>
      <c r="B115" s="790" t="s">
        <v>4449</v>
      </c>
      <c r="C115" s="1046" t="s">
        <v>2049</v>
      </c>
      <c r="D115" s="791" t="s">
        <v>723</v>
      </c>
      <c r="E115" s="798">
        <v>47.4</v>
      </c>
      <c r="I115" s="791">
        <f t="shared" si="11"/>
        <v>101</v>
      </c>
      <c r="J115" s="791" t="s">
        <v>5035</v>
      </c>
      <c r="K115" s="824" t="s">
        <v>2050</v>
      </c>
    </row>
    <row r="116" spans="1:21" x14ac:dyDescent="0.2">
      <c r="A116" s="790" t="s">
        <v>4089</v>
      </c>
      <c r="C116" s="816" t="s">
        <v>3167</v>
      </c>
      <c r="D116" s="791" t="s">
        <v>1208</v>
      </c>
      <c r="E116" s="798">
        <v>47.9</v>
      </c>
      <c r="F116" s="829">
        <v>42238</v>
      </c>
      <c r="I116" s="791">
        <f t="shared" si="11"/>
        <v>102</v>
      </c>
      <c r="J116" s="801" t="s">
        <v>5035</v>
      </c>
      <c r="K116" s="791" t="s">
        <v>3152</v>
      </c>
      <c r="M116" s="791" t="s">
        <v>3303</v>
      </c>
      <c r="O116" s="791" t="s">
        <v>3298</v>
      </c>
      <c r="S116" s="791" t="s">
        <v>2133</v>
      </c>
      <c r="U116" s="791" t="s">
        <v>2134</v>
      </c>
    </row>
    <row r="117" spans="1:21" x14ac:dyDescent="0.2">
      <c r="A117" s="790" t="s">
        <v>4089</v>
      </c>
      <c r="B117" s="791"/>
      <c r="C117" s="1046" t="s">
        <v>1554</v>
      </c>
      <c r="D117" s="791" t="s">
        <v>1556</v>
      </c>
      <c r="E117" s="798">
        <v>48.2</v>
      </c>
      <c r="I117" s="791">
        <f t="shared" ref="I117:I122" si="12">I116+1</f>
        <v>103</v>
      </c>
      <c r="J117" s="791" t="s">
        <v>5035</v>
      </c>
      <c r="K117" s="913" t="s">
        <v>189</v>
      </c>
    </row>
    <row r="118" spans="1:21" x14ac:dyDescent="0.2">
      <c r="A118" s="790" t="s">
        <v>5154</v>
      </c>
      <c r="B118" s="791"/>
      <c r="C118" s="816" t="s">
        <v>8007</v>
      </c>
      <c r="D118" s="791" t="s">
        <v>8006</v>
      </c>
      <c r="E118" s="798">
        <v>49.2</v>
      </c>
      <c r="F118" s="989">
        <v>43197</v>
      </c>
      <c r="I118" s="791">
        <f t="shared" si="12"/>
        <v>104</v>
      </c>
      <c r="J118" s="80" t="s">
        <v>9573</v>
      </c>
      <c r="K118" s="80" t="s">
        <v>9535</v>
      </c>
    </row>
    <row r="119" spans="1:21" x14ac:dyDescent="0.2">
      <c r="A119" s="790" t="s">
        <v>5154</v>
      </c>
      <c r="C119" s="567" t="s">
        <v>8897</v>
      </c>
      <c r="D119" s="80" t="s">
        <v>8898</v>
      </c>
      <c r="E119" s="798">
        <v>49.9</v>
      </c>
      <c r="I119" s="791">
        <f t="shared" si="12"/>
        <v>105</v>
      </c>
      <c r="K119" s="954" t="s">
        <v>8900</v>
      </c>
      <c r="M119" s="80" t="s">
        <v>15556</v>
      </c>
      <c r="O119" s="80"/>
      <c r="Q119" s="80" t="s">
        <v>15557</v>
      </c>
    </row>
    <row r="120" spans="1:21" x14ac:dyDescent="0.2">
      <c r="A120" s="790" t="s">
        <v>5154</v>
      </c>
      <c r="B120" s="45" t="s">
        <v>3588</v>
      </c>
      <c r="C120" s="844" t="s">
        <v>8514</v>
      </c>
      <c r="D120" s="80" t="s">
        <v>8515</v>
      </c>
      <c r="E120" s="798">
        <v>51.9</v>
      </c>
      <c r="I120" s="791">
        <f t="shared" si="12"/>
        <v>106</v>
      </c>
      <c r="K120" s="1103" t="s">
        <v>8521</v>
      </c>
      <c r="N120" s="80"/>
      <c r="P120" s="80" t="s">
        <v>8522</v>
      </c>
    </row>
    <row r="121" spans="1:21" x14ac:dyDescent="0.2">
      <c r="A121" s="790" t="s">
        <v>4089</v>
      </c>
      <c r="C121" s="844" t="s">
        <v>9735</v>
      </c>
      <c r="D121" s="80" t="s">
        <v>9736</v>
      </c>
      <c r="E121" s="798">
        <v>52.5</v>
      </c>
      <c r="F121" s="805"/>
      <c r="I121" s="791">
        <f t="shared" si="12"/>
        <v>107</v>
      </c>
      <c r="K121" s="568" t="s">
        <v>2972</v>
      </c>
    </row>
    <row r="122" spans="1:21" x14ac:dyDescent="0.2">
      <c r="A122" s="790" t="s">
        <v>4089</v>
      </c>
      <c r="C122" s="1046" t="s">
        <v>5153</v>
      </c>
      <c r="D122" s="791" t="s">
        <v>3500</v>
      </c>
      <c r="E122" s="798">
        <v>53.1</v>
      </c>
      <c r="I122" s="791">
        <f t="shared" si="12"/>
        <v>108</v>
      </c>
      <c r="K122" s="1104" t="s">
        <v>2023</v>
      </c>
    </row>
    <row r="123" spans="1:21" x14ac:dyDescent="0.2">
      <c r="A123" s="790" t="s">
        <v>4089</v>
      </c>
      <c r="B123" s="791"/>
      <c r="C123" s="797" t="s">
        <v>3383</v>
      </c>
      <c r="D123" s="791" t="s">
        <v>777</v>
      </c>
      <c r="E123" s="798">
        <v>53.6</v>
      </c>
      <c r="F123" s="804">
        <v>42532</v>
      </c>
      <c r="I123" s="791">
        <f>I121+1</f>
        <v>108</v>
      </c>
      <c r="J123" s="801" t="s">
        <v>5035</v>
      </c>
      <c r="K123" s="791" t="s">
        <v>2184</v>
      </c>
    </row>
    <row r="124" spans="1:21" x14ac:dyDescent="0.2">
      <c r="A124" s="790" t="s">
        <v>4089</v>
      </c>
      <c r="C124" s="819" t="s">
        <v>2658</v>
      </c>
      <c r="D124" s="791" t="s">
        <v>4428</v>
      </c>
      <c r="E124" s="798">
        <v>53.9</v>
      </c>
      <c r="I124" s="791">
        <f t="shared" ref="I124:I125" si="13">I123+1</f>
        <v>109</v>
      </c>
      <c r="J124" s="791" t="s">
        <v>5035</v>
      </c>
      <c r="K124" s="1104" t="s">
        <v>3153</v>
      </c>
      <c r="L124" s="791" t="s">
        <v>4010</v>
      </c>
    </row>
    <row r="125" spans="1:21" x14ac:dyDescent="0.2">
      <c r="A125" s="790" t="s">
        <v>4089</v>
      </c>
      <c r="C125" s="819" t="s">
        <v>7905</v>
      </c>
      <c r="D125" s="791" t="s">
        <v>1127</v>
      </c>
      <c r="E125" s="798">
        <v>54.2</v>
      </c>
      <c r="I125" s="791">
        <f t="shared" si="13"/>
        <v>110</v>
      </c>
      <c r="K125" s="1103" t="s">
        <v>8662</v>
      </c>
    </row>
    <row r="126" spans="1:21" x14ac:dyDescent="0.2">
      <c r="A126" s="790" t="s">
        <v>5154</v>
      </c>
      <c r="C126" s="784" t="s">
        <v>8693</v>
      </c>
      <c r="D126" s="791" t="s">
        <v>2222</v>
      </c>
      <c r="E126" s="798">
        <v>55.1</v>
      </c>
      <c r="I126" s="791">
        <f t="shared" ref="I126:I150" si="14">I125+1</f>
        <v>111</v>
      </c>
      <c r="K126" s="791" t="s">
        <v>2574</v>
      </c>
      <c r="M126" s="791" t="s">
        <v>2575</v>
      </c>
      <c r="N126" s="80" t="s">
        <v>8413</v>
      </c>
    </row>
    <row r="127" spans="1:21" x14ac:dyDescent="0.2">
      <c r="A127" s="790" t="s">
        <v>4089</v>
      </c>
      <c r="C127" s="819" t="s">
        <v>3412</v>
      </c>
      <c r="D127" s="791" t="s">
        <v>4618</v>
      </c>
      <c r="E127" s="798">
        <v>55.6</v>
      </c>
      <c r="F127" s="830"/>
      <c r="I127" s="791">
        <f t="shared" si="14"/>
        <v>112</v>
      </c>
      <c r="J127" s="791" t="s">
        <v>5035</v>
      </c>
      <c r="K127" s="791" t="s">
        <v>5410</v>
      </c>
    </row>
    <row r="128" spans="1:21" x14ac:dyDescent="0.2">
      <c r="A128" s="790" t="s">
        <v>4089</v>
      </c>
      <c r="C128" s="819" t="s">
        <v>6348</v>
      </c>
      <c r="D128" s="791" t="s">
        <v>2991</v>
      </c>
      <c r="E128" s="798">
        <v>55.9</v>
      </c>
      <c r="F128" s="830"/>
      <c r="I128" s="791">
        <f t="shared" si="14"/>
        <v>113</v>
      </c>
      <c r="J128" s="791" t="s">
        <v>5035</v>
      </c>
      <c r="K128" s="1104" t="s">
        <v>1655</v>
      </c>
      <c r="N128" s="791" t="s">
        <v>4197</v>
      </c>
    </row>
    <row r="129" spans="1:16" x14ac:dyDescent="0.2">
      <c r="A129" s="790" t="s">
        <v>5154</v>
      </c>
      <c r="C129" s="819" t="s">
        <v>5552</v>
      </c>
      <c r="D129" s="791" t="s">
        <v>5756</v>
      </c>
      <c r="E129" s="798">
        <v>56.4</v>
      </c>
      <c r="I129" s="791">
        <f t="shared" si="14"/>
        <v>114</v>
      </c>
      <c r="J129" s="791" t="s">
        <v>5035</v>
      </c>
      <c r="K129" s="1104" t="s">
        <v>1049</v>
      </c>
      <c r="N129" s="791" t="s">
        <v>1050</v>
      </c>
    </row>
    <row r="130" spans="1:16" x14ac:dyDescent="0.2">
      <c r="A130" s="790" t="s">
        <v>5154</v>
      </c>
      <c r="C130" s="844" t="s">
        <v>9134</v>
      </c>
      <c r="D130" s="80" t="s">
        <v>9135</v>
      </c>
      <c r="E130" s="798">
        <v>57.4</v>
      </c>
      <c r="I130" s="791">
        <f>I129+1</f>
        <v>115</v>
      </c>
      <c r="J130" s="791" t="s">
        <v>5035</v>
      </c>
      <c r="K130" s="1103" t="s">
        <v>9222</v>
      </c>
    </row>
    <row r="131" spans="1:16" x14ac:dyDescent="0.2">
      <c r="A131" s="790" t="s">
        <v>5154</v>
      </c>
      <c r="C131" s="822" t="s">
        <v>1009</v>
      </c>
      <c r="D131" s="791" t="s">
        <v>362</v>
      </c>
      <c r="E131" s="798">
        <v>58.8</v>
      </c>
      <c r="I131" s="791">
        <f>I130+1</f>
        <v>116</v>
      </c>
      <c r="J131" s="791" t="s">
        <v>5035</v>
      </c>
      <c r="K131" s="791" t="s">
        <v>2881</v>
      </c>
    </row>
    <row r="132" spans="1:16" ht="13.5" customHeight="1" x14ac:dyDescent="0.2">
      <c r="A132" s="790" t="s">
        <v>5154</v>
      </c>
      <c r="C132" s="819" t="s">
        <v>3814</v>
      </c>
      <c r="D132" s="791" t="s">
        <v>3815</v>
      </c>
      <c r="E132" s="798">
        <v>59.5</v>
      </c>
      <c r="I132" s="791">
        <f>I131+1</f>
        <v>117</v>
      </c>
      <c r="J132" s="791" t="s">
        <v>5035</v>
      </c>
      <c r="K132" s="1104" t="s">
        <v>5114</v>
      </c>
    </row>
    <row r="133" spans="1:16" ht="13.5" customHeight="1" x14ac:dyDescent="0.2">
      <c r="A133" s="790" t="s">
        <v>4089</v>
      </c>
      <c r="C133" s="957" t="s">
        <v>9264</v>
      </c>
      <c r="D133" s="80" t="s">
        <v>9266</v>
      </c>
      <c r="E133" s="798">
        <v>60.1</v>
      </c>
      <c r="I133" s="791">
        <f>I131+1</f>
        <v>117</v>
      </c>
      <c r="K133" s="1103" t="s">
        <v>9577</v>
      </c>
      <c r="M133" s="80" t="s">
        <v>9576</v>
      </c>
    </row>
    <row r="134" spans="1:16" x14ac:dyDescent="0.2">
      <c r="A134" s="790" t="s">
        <v>5154</v>
      </c>
      <c r="C134" s="844" t="s">
        <v>9695</v>
      </c>
      <c r="D134" s="80" t="s">
        <v>9696</v>
      </c>
      <c r="E134" s="798">
        <v>61.4</v>
      </c>
      <c r="I134" s="791">
        <f>I133+1</f>
        <v>118</v>
      </c>
      <c r="K134" s="80" t="s">
        <v>9697</v>
      </c>
    </row>
    <row r="135" spans="1:16" x14ac:dyDescent="0.2">
      <c r="A135" s="790" t="s">
        <v>5154</v>
      </c>
      <c r="C135" s="567" t="s">
        <v>9216</v>
      </c>
      <c r="D135" s="80" t="s">
        <v>9217</v>
      </c>
      <c r="E135" s="798">
        <v>62.3</v>
      </c>
      <c r="F135" s="1025">
        <v>43253</v>
      </c>
      <c r="I135" s="791">
        <f>I134+1</f>
        <v>119</v>
      </c>
      <c r="J135" s="532" t="s">
        <v>5035</v>
      </c>
      <c r="K135" s="532" t="s">
        <v>9698</v>
      </c>
      <c r="L135" s="836"/>
      <c r="M135" s="836"/>
    </row>
    <row r="136" spans="1:16" x14ac:dyDescent="0.2">
      <c r="A136" s="790" t="s">
        <v>4089</v>
      </c>
      <c r="C136" s="816" t="s">
        <v>1822</v>
      </c>
      <c r="D136" s="791" t="s">
        <v>1562</v>
      </c>
      <c r="E136" s="798">
        <v>62.7</v>
      </c>
      <c r="F136" s="989">
        <v>43169</v>
      </c>
      <c r="I136" s="791">
        <f t="shared" ref="I136:I138" si="15">I135+1</f>
        <v>120</v>
      </c>
      <c r="J136" s="836" t="s">
        <v>5035</v>
      </c>
      <c r="K136" s="836" t="s">
        <v>195</v>
      </c>
      <c r="L136" s="836"/>
      <c r="M136" s="836"/>
      <c r="N136" s="836"/>
      <c r="O136" s="836"/>
    </row>
    <row r="137" spans="1:16" x14ac:dyDescent="0.2">
      <c r="A137" s="790" t="s">
        <v>5154</v>
      </c>
      <c r="C137" s="816" t="s">
        <v>5230</v>
      </c>
      <c r="D137" s="791" t="s">
        <v>5231</v>
      </c>
      <c r="E137" s="798">
        <v>63.4</v>
      </c>
      <c r="F137" s="989">
        <v>43337</v>
      </c>
      <c r="I137" s="791">
        <f t="shared" si="15"/>
        <v>121</v>
      </c>
      <c r="J137" s="791" t="s">
        <v>5035</v>
      </c>
      <c r="K137" s="80" t="s">
        <v>10148</v>
      </c>
    </row>
    <row r="138" spans="1:16" x14ac:dyDescent="0.2">
      <c r="A138" s="790" t="s">
        <v>4089</v>
      </c>
      <c r="C138" s="819" t="s">
        <v>4907</v>
      </c>
      <c r="D138" s="791" t="s">
        <v>4906</v>
      </c>
      <c r="E138" s="798">
        <v>66.400000000000006</v>
      </c>
      <c r="I138" s="791">
        <f t="shared" si="15"/>
        <v>122</v>
      </c>
      <c r="K138" s="791" t="s">
        <v>190</v>
      </c>
    </row>
    <row r="139" spans="1:16" x14ac:dyDescent="0.2">
      <c r="C139" s="844" t="s">
        <v>12293</v>
      </c>
      <c r="D139" s="80" t="s">
        <v>12294</v>
      </c>
      <c r="E139" s="798">
        <v>67.7</v>
      </c>
      <c r="I139" s="791">
        <f t="shared" ref="I139:I147" si="16">I138+1</f>
        <v>123</v>
      </c>
      <c r="K139" s="80" t="s">
        <v>12295</v>
      </c>
    </row>
    <row r="140" spans="1:16" x14ac:dyDescent="0.2">
      <c r="A140" s="790" t="s">
        <v>4089</v>
      </c>
      <c r="C140" s="797" t="s">
        <v>5445</v>
      </c>
      <c r="D140" s="791" t="s">
        <v>1881</v>
      </c>
      <c r="E140" s="798">
        <v>77.2</v>
      </c>
      <c r="F140" s="832">
        <v>41412</v>
      </c>
      <c r="I140" s="791">
        <f t="shared" si="16"/>
        <v>124</v>
      </c>
      <c r="J140" s="801" t="s">
        <v>5035</v>
      </c>
      <c r="K140" s="801" t="s">
        <v>2036</v>
      </c>
      <c r="L140" s="801"/>
      <c r="M140" s="801" t="s">
        <v>3298</v>
      </c>
      <c r="N140" s="801"/>
      <c r="O140" s="801"/>
      <c r="P140" s="801"/>
    </row>
    <row r="141" spans="1:16" x14ac:dyDescent="0.2">
      <c r="C141" s="2" t="s">
        <v>10546</v>
      </c>
      <c r="D141" s="80" t="s">
        <v>10554</v>
      </c>
      <c r="E141" s="798">
        <v>101.9</v>
      </c>
      <c r="I141" s="791">
        <f t="shared" si="16"/>
        <v>125</v>
      </c>
      <c r="J141" s="80" t="s">
        <v>5035</v>
      </c>
      <c r="K141" s="1103" t="s">
        <v>11194</v>
      </c>
      <c r="N141" s="80" t="s">
        <v>11850</v>
      </c>
    </row>
    <row r="142" spans="1:16" x14ac:dyDescent="0.2">
      <c r="C142" s="533" t="s">
        <v>12355</v>
      </c>
      <c r="D142" s="80" t="s">
        <v>12356</v>
      </c>
      <c r="E142" s="798">
        <v>78</v>
      </c>
      <c r="I142" s="791">
        <f t="shared" si="16"/>
        <v>126</v>
      </c>
      <c r="J142" s="80" t="s">
        <v>5035</v>
      </c>
      <c r="K142" s="1370" t="s">
        <v>11194</v>
      </c>
      <c r="N142" s="80" t="s">
        <v>12357</v>
      </c>
    </row>
    <row r="143" spans="1:16" x14ac:dyDescent="0.2">
      <c r="C143" s="567" t="s">
        <v>9136</v>
      </c>
      <c r="D143" s="80" t="s">
        <v>9137</v>
      </c>
      <c r="E143" s="798">
        <v>73.599999999999994</v>
      </c>
      <c r="F143" s="1351">
        <v>43673</v>
      </c>
      <c r="I143" s="791">
        <f>I142+1</f>
        <v>127</v>
      </c>
      <c r="K143" s="80" t="s">
        <v>13265</v>
      </c>
      <c r="M143" s="80" t="s">
        <v>13306</v>
      </c>
      <c r="N143" s="80"/>
    </row>
    <row r="144" spans="1:16" x14ac:dyDescent="0.2">
      <c r="A144" s="790" t="s">
        <v>5761</v>
      </c>
      <c r="C144" s="816" t="s">
        <v>2627</v>
      </c>
      <c r="D144" s="836" t="s">
        <v>2423</v>
      </c>
      <c r="E144" s="798">
        <v>116.6</v>
      </c>
      <c r="F144" s="803">
        <v>42903</v>
      </c>
      <c r="I144" s="791">
        <f>I142+1</f>
        <v>127</v>
      </c>
      <c r="J144" s="791" t="s">
        <v>5568</v>
      </c>
      <c r="K144" s="791" t="s">
        <v>5762</v>
      </c>
    </row>
    <row r="145" spans="1:23" x14ac:dyDescent="0.2">
      <c r="A145" s="45" t="s">
        <v>5817</v>
      </c>
      <c r="C145" s="816" t="s">
        <v>2721</v>
      </c>
      <c r="D145" s="791" t="s">
        <v>184</v>
      </c>
      <c r="E145" s="798">
        <v>270.7</v>
      </c>
      <c r="F145" s="803">
        <v>42910</v>
      </c>
      <c r="I145" s="791">
        <f t="shared" si="16"/>
        <v>128</v>
      </c>
      <c r="K145" s="80" t="s">
        <v>1212</v>
      </c>
      <c r="M145" s="80" t="s">
        <v>1212</v>
      </c>
    </row>
    <row r="146" spans="1:23" x14ac:dyDescent="0.2">
      <c r="A146" s="45" t="s">
        <v>5466</v>
      </c>
      <c r="C146" s="567" t="s">
        <v>1417</v>
      </c>
      <c r="D146" t="s">
        <v>2999</v>
      </c>
      <c r="E146" s="798">
        <v>274</v>
      </c>
      <c r="F146" s="803">
        <v>42896</v>
      </c>
      <c r="I146" s="791">
        <f t="shared" si="16"/>
        <v>129</v>
      </c>
    </row>
    <row r="147" spans="1:23" x14ac:dyDescent="0.2">
      <c r="A147" s="45" t="s">
        <v>2675</v>
      </c>
      <c r="C147" s="797" t="s">
        <v>5965</v>
      </c>
      <c r="D147" s="791" t="s">
        <v>499</v>
      </c>
      <c r="E147" s="798">
        <v>279.89999999999998</v>
      </c>
      <c r="F147" s="811">
        <v>41860</v>
      </c>
      <c r="I147" s="791">
        <f t="shared" si="16"/>
        <v>130</v>
      </c>
    </row>
    <row r="148" spans="1:23" x14ac:dyDescent="0.2">
      <c r="A148" s="45" t="s">
        <v>2046</v>
      </c>
      <c r="C148" s="797" t="s">
        <v>1950</v>
      </c>
      <c r="E148" s="798">
        <v>455</v>
      </c>
      <c r="F148" s="811">
        <v>41916</v>
      </c>
      <c r="I148" s="791">
        <f t="shared" si="14"/>
        <v>131</v>
      </c>
    </row>
    <row r="149" spans="1:23" x14ac:dyDescent="0.2">
      <c r="A149" s="45" t="s">
        <v>5075</v>
      </c>
      <c r="C149" s="797" t="s">
        <v>3684</v>
      </c>
      <c r="D149" s="791" t="s">
        <v>5074</v>
      </c>
      <c r="E149" s="798">
        <v>539.4</v>
      </c>
      <c r="F149" s="811">
        <v>41678</v>
      </c>
      <c r="I149" s="791">
        <f t="shared" si="14"/>
        <v>132</v>
      </c>
      <c r="J149" s="819"/>
      <c r="Q149" s="819"/>
      <c r="R149" s="819"/>
      <c r="S149" s="819"/>
      <c r="T149" s="819"/>
      <c r="U149" s="819"/>
      <c r="V149" s="819"/>
      <c r="W149" s="819"/>
    </row>
    <row r="150" spans="1:23" x14ac:dyDescent="0.2">
      <c r="A150" s="45" t="s">
        <v>215</v>
      </c>
      <c r="C150" s="797" t="s">
        <v>3937</v>
      </c>
      <c r="E150" s="798">
        <v>16900</v>
      </c>
      <c r="F150" s="811">
        <v>41657</v>
      </c>
      <c r="I150" s="791">
        <f t="shared" si="14"/>
        <v>133</v>
      </c>
    </row>
    <row r="151" spans="1:23" x14ac:dyDescent="0.2">
      <c r="A151" s="790" t="s">
        <v>5154</v>
      </c>
      <c r="C151" s="819" t="s">
        <v>2199</v>
      </c>
      <c r="D151" s="791" t="s">
        <v>2106</v>
      </c>
      <c r="E151" s="798">
        <v>68</v>
      </c>
      <c r="F151" s="791" t="s">
        <v>4693</v>
      </c>
      <c r="I151" s="791">
        <f t="shared" ref="I151:I212" si="17">I150+1</f>
        <v>134</v>
      </c>
      <c r="K151" s="80" t="s">
        <v>9546</v>
      </c>
      <c r="M151" s="80" t="s">
        <v>9547</v>
      </c>
    </row>
    <row r="152" spans="1:23" x14ac:dyDescent="0.2">
      <c r="A152" s="790" t="s">
        <v>4089</v>
      </c>
      <c r="C152" s="819" t="s">
        <v>1304</v>
      </c>
      <c r="D152" s="791" t="s">
        <v>1305</v>
      </c>
      <c r="E152" s="798">
        <v>70.099999999999994</v>
      </c>
      <c r="F152" s="791" t="s">
        <v>1779</v>
      </c>
      <c r="I152" s="791">
        <f t="shared" si="17"/>
        <v>135</v>
      </c>
      <c r="K152" s="791" t="s">
        <v>4012</v>
      </c>
    </row>
    <row r="153" spans="1:23" x14ac:dyDescent="0.2">
      <c r="A153" s="790" t="s">
        <v>4089</v>
      </c>
      <c r="C153" s="819" t="s">
        <v>5256</v>
      </c>
      <c r="D153" s="791" t="s">
        <v>1110</v>
      </c>
      <c r="E153" s="798">
        <v>70.900000000000006</v>
      </c>
      <c r="I153" s="791">
        <f t="shared" si="17"/>
        <v>136</v>
      </c>
      <c r="K153" s="80" t="s">
        <v>10476</v>
      </c>
    </row>
    <row r="154" spans="1:23" x14ac:dyDescent="0.2">
      <c r="A154" s="790" t="s">
        <v>4089</v>
      </c>
      <c r="C154" s="2" t="s">
        <v>539</v>
      </c>
      <c r="D154" s="80" t="s">
        <v>538</v>
      </c>
      <c r="E154" s="798">
        <v>71.3</v>
      </c>
      <c r="I154" s="791">
        <f>I153+1</f>
        <v>137</v>
      </c>
      <c r="K154" s="80" t="s">
        <v>10365</v>
      </c>
    </row>
    <row r="155" spans="1:23" x14ac:dyDescent="0.2">
      <c r="A155" s="790" t="s">
        <v>4089</v>
      </c>
      <c r="C155" s="1085" t="s">
        <v>4213</v>
      </c>
      <c r="D155" s="80" t="s">
        <v>4214</v>
      </c>
      <c r="E155" s="798">
        <v>71.5</v>
      </c>
      <c r="I155" s="791">
        <f>I153+1</f>
        <v>137</v>
      </c>
      <c r="K155" s="80" t="s">
        <v>9692</v>
      </c>
      <c r="M155" s="791" t="s">
        <v>9693</v>
      </c>
    </row>
    <row r="156" spans="1:23" x14ac:dyDescent="0.2">
      <c r="A156" s="790" t="s">
        <v>4089</v>
      </c>
      <c r="C156" s="819" t="s">
        <v>5206</v>
      </c>
      <c r="D156" s="791" t="s">
        <v>5207</v>
      </c>
      <c r="E156" s="798">
        <v>71.77</v>
      </c>
      <c r="I156" s="791">
        <f>I155+1</f>
        <v>138</v>
      </c>
      <c r="K156" s="80" t="s">
        <v>11194</v>
      </c>
    </row>
    <row r="157" spans="1:23" x14ac:dyDescent="0.2">
      <c r="A157" s="790" t="s">
        <v>4089</v>
      </c>
      <c r="C157" s="819" t="s">
        <v>5960</v>
      </c>
      <c r="D157" s="791" t="s">
        <v>496</v>
      </c>
      <c r="E157" s="791">
        <v>72.400000000000006</v>
      </c>
      <c r="I157" s="791">
        <f>I156+1</f>
        <v>139</v>
      </c>
      <c r="K157" s="791" t="s">
        <v>4011</v>
      </c>
    </row>
    <row r="158" spans="1:23" s="819" customFormat="1" x14ac:dyDescent="0.2">
      <c r="A158" s="790" t="s">
        <v>4089</v>
      </c>
      <c r="B158" s="790"/>
      <c r="C158" s="819" t="s">
        <v>4670</v>
      </c>
      <c r="D158" s="791" t="s">
        <v>4671</v>
      </c>
      <c r="E158" s="798">
        <v>73.25</v>
      </c>
      <c r="F158" s="791"/>
      <c r="G158" s="791"/>
      <c r="H158" s="791"/>
      <c r="I158" s="791">
        <f>I157+1</f>
        <v>140</v>
      </c>
      <c r="J158" s="791"/>
      <c r="K158" s="791" t="s">
        <v>5461</v>
      </c>
      <c r="L158" s="791"/>
      <c r="M158" s="791"/>
      <c r="N158" s="791"/>
      <c r="O158" s="791"/>
      <c r="P158" s="791"/>
      <c r="Q158" s="791"/>
      <c r="R158" s="791"/>
      <c r="S158" s="791"/>
      <c r="T158" s="791"/>
      <c r="U158" s="791"/>
      <c r="V158" s="791"/>
      <c r="W158" s="791"/>
    </row>
    <row r="159" spans="1:23" x14ac:dyDescent="0.2">
      <c r="A159" s="790" t="s">
        <v>4089</v>
      </c>
      <c r="C159" s="533" t="s">
        <v>11190</v>
      </c>
      <c r="D159" s="80" t="s">
        <v>11192</v>
      </c>
      <c r="E159" s="798">
        <v>73.8</v>
      </c>
      <c r="I159" s="791">
        <f>I158+1</f>
        <v>141</v>
      </c>
      <c r="K159" s="80" t="s">
        <v>11193</v>
      </c>
    </row>
    <row r="160" spans="1:23" x14ac:dyDescent="0.2">
      <c r="A160" s="790" t="s">
        <v>4089</v>
      </c>
      <c r="C160" s="2" t="s">
        <v>10546</v>
      </c>
      <c r="D160" s="514" t="s">
        <v>10554</v>
      </c>
      <c r="E160" s="798">
        <v>73.8</v>
      </c>
      <c r="I160" s="791">
        <f t="shared" ref="I160:I162" si="18">I159+1</f>
        <v>142</v>
      </c>
      <c r="K160" s="80" t="s">
        <v>10555</v>
      </c>
    </row>
    <row r="161" spans="1:23" x14ac:dyDescent="0.2">
      <c r="A161" s="790" t="s">
        <v>4089</v>
      </c>
      <c r="C161" s="819" t="s">
        <v>5958</v>
      </c>
      <c r="D161" s="791" t="s">
        <v>1445</v>
      </c>
      <c r="E161" s="791">
        <v>74.099999999999994</v>
      </c>
      <c r="I161" s="791">
        <f t="shared" si="18"/>
        <v>143</v>
      </c>
    </row>
    <row r="162" spans="1:23" x14ac:dyDescent="0.2">
      <c r="A162" s="790" t="s">
        <v>5154</v>
      </c>
      <c r="C162" s="819" t="s">
        <v>4294</v>
      </c>
      <c r="D162" s="831" t="s">
        <v>3232</v>
      </c>
      <c r="E162" s="798">
        <v>74.7</v>
      </c>
      <c r="I162" s="791">
        <f t="shared" si="18"/>
        <v>144</v>
      </c>
      <c r="K162" s="791" t="s">
        <v>5832</v>
      </c>
    </row>
    <row r="163" spans="1:23" x14ac:dyDescent="0.2">
      <c r="A163" s="790" t="s">
        <v>4089</v>
      </c>
      <c r="C163" s="2" t="s">
        <v>4368</v>
      </c>
      <c r="D163" s="80" t="s">
        <v>5109</v>
      </c>
      <c r="E163" s="798">
        <v>74.900000000000006</v>
      </c>
      <c r="I163" s="791">
        <f t="shared" ref="I163:I165" si="19">I162+1</f>
        <v>145</v>
      </c>
      <c r="K163" s="80" t="s">
        <v>8661</v>
      </c>
    </row>
    <row r="164" spans="1:23" x14ac:dyDescent="0.2">
      <c r="A164" s="45" t="s">
        <v>5154</v>
      </c>
      <c r="C164" s="815" t="s">
        <v>8136</v>
      </c>
      <c r="D164" s="791" t="s">
        <v>8137</v>
      </c>
      <c r="E164" s="798">
        <v>75.400000000000006</v>
      </c>
      <c r="I164" s="791">
        <f t="shared" si="19"/>
        <v>146</v>
      </c>
      <c r="K164" s="80" t="s">
        <v>10475</v>
      </c>
    </row>
    <row r="165" spans="1:23" x14ac:dyDescent="0.2">
      <c r="A165" s="790" t="s">
        <v>5154</v>
      </c>
      <c r="C165" s="819" t="s">
        <v>1821</v>
      </c>
      <c r="D165" s="791" t="s">
        <v>1109</v>
      </c>
      <c r="E165" s="798">
        <v>75.599999999999994</v>
      </c>
      <c r="I165" s="791">
        <f t="shared" si="19"/>
        <v>147</v>
      </c>
      <c r="J165" s="819"/>
      <c r="K165" s="791" t="s">
        <v>7792</v>
      </c>
      <c r="R165" s="819"/>
      <c r="S165" s="819"/>
      <c r="T165" s="819"/>
      <c r="U165" s="819"/>
      <c r="V165" s="819"/>
      <c r="W165" s="819"/>
    </row>
    <row r="166" spans="1:23" x14ac:dyDescent="0.2">
      <c r="A166" s="790" t="s">
        <v>4089</v>
      </c>
      <c r="C166" s="819" t="s">
        <v>2711</v>
      </c>
      <c r="D166" s="791" t="s">
        <v>2713</v>
      </c>
      <c r="E166" s="798">
        <v>76.3</v>
      </c>
      <c r="I166" s="791">
        <f>I165+1</f>
        <v>148</v>
      </c>
      <c r="J166" s="791" t="s">
        <v>5035</v>
      </c>
      <c r="K166" s="791" t="s">
        <v>134</v>
      </c>
    </row>
    <row r="167" spans="1:23" x14ac:dyDescent="0.2">
      <c r="A167" s="790" t="s">
        <v>4089</v>
      </c>
      <c r="C167" s="819" t="s">
        <v>1328</v>
      </c>
      <c r="D167" s="791" t="s">
        <v>485</v>
      </c>
      <c r="E167" s="798">
        <v>77.400000000000006</v>
      </c>
      <c r="F167" s="791" t="s">
        <v>4246</v>
      </c>
      <c r="I167" s="791">
        <f>I166+1</f>
        <v>149</v>
      </c>
    </row>
    <row r="168" spans="1:23" x14ac:dyDescent="0.2">
      <c r="A168" s="790" t="s">
        <v>4089</v>
      </c>
      <c r="C168" s="819" t="s">
        <v>5963</v>
      </c>
      <c r="D168" s="791" t="s">
        <v>495</v>
      </c>
      <c r="E168" s="791">
        <v>78.7</v>
      </c>
      <c r="I168" s="791">
        <f>I167+1</f>
        <v>150</v>
      </c>
    </row>
    <row r="169" spans="1:23" x14ac:dyDescent="0.2">
      <c r="A169" s="790" t="s">
        <v>4089</v>
      </c>
      <c r="C169" s="2" t="s">
        <v>7861</v>
      </c>
      <c r="D169" s="80" t="s">
        <v>7862</v>
      </c>
      <c r="E169" s="798">
        <v>79</v>
      </c>
      <c r="I169" s="791">
        <f t="shared" ref="I169:I179" si="20">I168+1</f>
        <v>151</v>
      </c>
      <c r="K169" s="80" t="s">
        <v>9649</v>
      </c>
    </row>
    <row r="170" spans="1:23" x14ac:dyDescent="0.2">
      <c r="A170" s="45" t="s">
        <v>5154</v>
      </c>
      <c r="C170" s="533" t="s">
        <v>9930</v>
      </c>
      <c r="D170" s="514" t="s">
        <v>9931</v>
      </c>
      <c r="E170" s="798">
        <v>81.7</v>
      </c>
      <c r="I170" s="791">
        <f t="shared" si="20"/>
        <v>152</v>
      </c>
      <c r="K170" s="80" t="s">
        <v>9933</v>
      </c>
    </row>
    <row r="171" spans="1:23" x14ac:dyDescent="0.2">
      <c r="A171" s="790" t="s">
        <v>4089</v>
      </c>
      <c r="C171" s="819" t="s">
        <v>802</v>
      </c>
      <c r="D171" s="791" t="s">
        <v>4033</v>
      </c>
      <c r="E171" s="798">
        <v>82.6</v>
      </c>
      <c r="I171" s="791">
        <f t="shared" si="20"/>
        <v>153</v>
      </c>
    </row>
    <row r="172" spans="1:23" x14ac:dyDescent="0.2">
      <c r="A172" s="790" t="s">
        <v>4089</v>
      </c>
      <c r="C172" s="819" t="s">
        <v>1419</v>
      </c>
      <c r="D172" s="791" t="s">
        <v>1420</v>
      </c>
      <c r="E172" s="798">
        <v>83.7</v>
      </c>
      <c r="I172" s="791">
        <f t="shared" si="20"/>
        <v>154</v>
      </c>
      <c r="J172" s="791" t="s">
        <v>5035</v>
      </c>
    </row>
    <row r="173" spans="1:23" x14ac:dyDescent="0.2">
      <c r="A173" s="790" t="s">
        <v>4089</v>
      </c>
      <c r="C173" s="819" t="s">
        <v>407</v>
      </c>
      <c r="D173" s="791" t="s">
        <v>408</v>
      </c>
      <c r="E173" s="798">
        <v>84.6</v>
      </c>
      <c r="I173" s="791">
        <f t="shared" si="20"/>
        <v>155</v>
      </c>
      <c r="K173" s="791" t="s">
        <v>4779</v>
      </c>
    </row>
    <row r="174" spans="1:23" x14ac:dyDescent="0.2">
      <c r="A174" s="790" t="s">
        <v>4089</v>
      </c>
      <c r="C174" s="819" t="s">
        <v>3442</v>
      </c>
      <c r="D174" s="791" t="s">
        <v>3443</v>
      </c>
      <c r="E174" s="798">
        <v>86.88</v>
      </c>
      <c r="I174" s="791">
        <f t="shared" si="20"/>
        <v>156</v>
      </c>
    </row>
    <row r="175" spans="1:23" x14ac:dyDescent="0.2">
      <c r="A175" s="790" t="s">
        <v>4089</v>
      </c>
      <c r="C175" s="819" t="s">
        <v>1939</v>
      </c>
      <c r="D175" s="791" t="s">
        <v>1942</v>
      </c>
      <c r="E175" s="798">
        <v>87.2</v>
      </c>
      <c r="I175" s="791">
        <f t="shared" si="20"/>
        <v>157</v>
      </c>
      <c r="K175" s="791" t="s">
        <v>5384</v>
      </c>
    </row>
    <row r="176" spans="1:23" x14ac:dyDescent="0.2">
      <c r="A176" s="790" t="s">
        <v>5154</v>
      </c>
      <c r="C176" s="844" t="s">
        <v>8511</v>
      </c>
      <c r="D176" s="80" t="s">
        <v>8512</v>
      </c>
      <c r="E176" s="798">
        <v>87.6</v>
      </c>
      <c r="F176" s="80"/>
      <c r="I176" s="791">
        <f t="shared" si="20"/>
        <v>158</v>
      </c>
      <c r="K176" s="80" t="s">
        <v>9648</v>
      </c>
      <c r="N176" s="80"/>
    </row>
    <row r="177" spans="1:14" x14ac:dyDescent="0.2">
      <c r="A177" s="790" t="s">
        <v>5154</v>
      </c>
      <c r="C177" s="819" t="s">
        <v>5675</v>
      </c>
      <c r="D177" s="791" t="s">
        <v>5676</v>
      </c>
      <c r="E177" s="798">
        <v>88.56</v>
      </c>
      <c r="I177" s="791">
        <f t="shared" si="20"/>
        <v>159</v>
      </c>
    </row>
    <row r="178" spans="1:14" x14ac:dyDescent="0.2">
      <c r="A178" s="790" t="s">
        <v>4089</v>
      </c>
      <c r="C178" s="819" t="s">
        <v>475</v>
      </c>
      <c r="D178" s="791" t="s">
        <v>474</v>
      </c>
      <c r="E178" s="798">
        <v>89.3</v>
      </c>
      <c r="I178" s="791">
        <f t="shared" si="20"/>
        <v>160</v>
      </c>
    </row>
    <row r="179" spans="1:14" x14ac:dyDescent="0.2">
      <c r="A179" s="790" t="s">
        <v>4089</v>
      </c>
      <c r="C179" s="819" t="s">
        <v>494</v>
      </c>
      <c r="D179" s="791" t="s">
        <v>1446</v>
      </c>
      <c r="E179" s="791">
        <v>92.6</v>
      </c>
      <c r="I179" s="791">
        <f t="shared" si="20"/>
        <v>161</v>
      </c>
    </row>
    <row r="180" spans="1:14" x14ac:dyDescent="0.2">
      <c r="A180" s="45" t="s">
        <v>5154</v>
      </c>
      <c r="C180" s="2" t="s">
        <v>6102</v>
      </c>
      <c r="D180" s="80" t="s">
        <v>6101</v>
      </c>
      <c r="E180" s="798">
        <v>92.6</v>
      </c>
      <c r="I180" s="791">
        <f t="shared" ref="I180:I186" si="21">I179+1</f>
        <v>162</v>
      </c>
      <c r="K180" s="80" t="s">
        <v>10474</v>
      </c>
      <c r="N180" s="80"/>
    </row>
    <row r="181" spans="1:14" x14ac:dyDescent="0.2">
      <c r="A181" s="790" t="s">
        <v>4089</v>
      </c>
      <c r="C181" s="1037" t="s">
        <v>9218</v>
      </c>
      <c r="D181" s="80" t="s">
        <v>9219</v>
      </c>
      <c r="E181" s="798">
        <v>93.8</v>
      </c>
      <c r="F181" s="80"/>
      <c r="I181" s="791">
        <f t="shared" si="21"/>
        <v>163</v>
      </c>
      <c r="K181" s="80" t="s">
        <v>9647</v>
      </c>
      <c r="M181" s="80" t="s">
        <v>12894</v>
      </c>
    </row>
    <row r="182" spans="1:14" x14ac:dyDescent="0.2">
      <c r="A182" s="790" t="s">
        <v>4089</v>
      </c>
      <c r="C182" s="819" t="s">
        <v>2192</v>
      </c>
      <c r="D182" s="791" t="s">
        <v>2193</v>
      </c>
      <c r="E182" s="798">
        <v>94.9</v>
      </c>
      <c r="I182" s="791">
        <f t="shared" si="21"/>
        <v>164</v>
      </c>
    </row>
    <row r="183" spans="1:14" x14ac:dyDescent="0.2">
      <c r="A183" s="790" t="s">
        <v>529</v>
      </c>
      <c r="C183" s="819" t="s">
        <v>2588</v>
      </c>
      <c r="D183" s="791" t="s">
        <v>1458</v>
      </c>
      <c r="E183" s="798">
        <v>95.6</v>
      </c>
      <c r="I183" s="791">
        <f t="shared" si="21"/>
        <v>165</v>
      </c>
    </row>
    <row r="184" spans="1:14" x14ac:dyDescent="0.2">
      <c r="A184" s="790" t="s">
        <v>4089</v>
      </c>
      <c r="C184" s="819" t="s">
        <v>5962</v>
      </c>
      <c r="D184" s="791" t="s">
        <v>1107</v>
      </c>
      <c r="E184" s="798">
        <v>96.5</v>
      </c>
      <c r="I184" s="791">
        <f t="shared" si="21"/>
        <v>166</v>
      </c>
      <c r="K184" s="833"/>
    </row>
    <row r="185" spans="1:14" x14ac:dyDescent="0.2">
      <c r="A185" s="790" t="s">
        <v>4089</v>
      </c>
      <c r="C185" s="819" t="s">
        <v>4453</v>
      </c>
      <c r="D185" s="828" t="s">
        <v>4517</v>
      </c>
      <c r="E185" s="798">
        <v>99.7</v>
      </c>
      <c r="F185" s="791" t="s">
        <v>5026</v>
      </c>
      <c r="I185" s="791">
        <f>I184+1</f>
        <v>167</v>
      </c>
      <c r="K185" s="833"/>
    </row>
    <row r="186" spans="1:14" x14ac:dyDescent="0.2">
      <c r="A186" s="790" t="s">
        <v>4089</v>
      </c>
      <c r="C186" s="819" t="s">
        <v>4500</v>
      </c>
      <c r="D186" s="791" t="s">
        <v>3115</v>
      </c>
      <c r="E186" s="798">
        <v>101.8</v>
      </c>
      <c r="I186" s="791">
        <f t="shared" si="21"/>
        <v>168</v>
      </c>
      <c r="K186" s="833"/>
    </row>
    <row r="187" spans="1:14" x14ac:dyDescent="0.2">
      <c r="A187" s="790" t="s">
        <v>4089</v>
      </c>
      <c r="C187" s="2" t="s">
        <v>8651</v>
      </c>
      <c r="D187" s="80" t="s">
        <v>3717</v>
      </c>
      <c r="E187" s="798">
        <v>101.9</v>
      </c>
      <c r="I187" s="791">
        <f>I186+1</f>
        <v>169</v>
      </c>
      <c r="K187" s="617" t="s">
        <v>8652</v>
      </c>
      <c r="N187" s="80"/>
    </row>
    <row r="188" spans="1:14" x14ac:dyDescent="0.2">
      <c r="C188" s="819" t="s">
        <v>5652</v>
      </c>
      <c r="D188" s="791" t="s">
        <v>497</v>
      </c>
      <c r="E188" s="791">
        <v>111.2</v>
      </c>
      <c r="I188" s="791">
        <f>I186+1</f>
        <v>169</v>
      </c>
      <c r="K188" s="833"/>
    </row>
    <row r="189" spans="1:14" x14ac:dyDescent="0.2">
      <c r="C189" s="819" t="s">
        <v>5981</v>
      </c>
      <c r="D189" s="791" t="s">
        <v>5984</v>
      </c>
      <c r="E189" s="798">
        <v>117.6</v>
      </c>
      <c r="I189" s="791">
        <f t="shared" ref="I189:I194" si="22">I188+1</f>
        <v>170</v>
      </c>
      <c r="K189" s="833"/>
    </row>
    <row r="190" spans="1:14" x14ac:dyDescent="0.2">
      <c r="A190" s="790" t="s">
        <v>5154</v>
      </c>
      <c r="C190" s="819" t="s">
        <v>1346</v>
      </c>
      <c r="D190" s="813" t="s">
        <v>2034</v>
      </c>
      <c r="E190" s="798">
        <v>122.2</v>
      </c>
      <c r="I190" s="791">
        <f t="shared" si="22"/>
        <v>171</v>
      </c>
      <c r="K190" s="833"/>
    </row>
    <row r="191" spans="1:14" x14ac:dyDescent="0.2">
      <c r="A191" s="790" t="s">
        <v>4089</v>
      </c>
      <c r="C191" s="2" t="s">
        <v>9543</v>
      </c>
      <c r="D191" s="80" t="s">
        <v>9544</v>
      </c>
      <c r="E191" s="798">
        <v>122.3</v>
      </c>
      <c r="I191" s="791">
        <f t="shared" si="22"/>
        <v>172</v>
      </c>
      <c r="K191" s="617" t="s">
        <v>9545</v>
      </c>
      <c r="N191" s="80"/>
    </row>
    <row r="192" spans="1:14" x14ac:dyDescent="0.2">
      <c r="A192" s="790" t="s">
        <v>5154</v>
      </c>
      <c r="C192" s="819" t="s">
        <v>135</v>
      </c>
      <c r="D192" s="828" t="s">
        <v>136</v>
      </c>
      <c r="E192" s="798">
        <v>124.5</v>
      </c>
      <c r="I192" s="791">
        <f t="shared" si="22"/>
        <v>173</v>
      </c>
      <c r="K192" s="833"/>
    </row>
    <row r="193" spans="1:13" x14ac:dyDescent="0.2">
      <c r="A193" s="790" t="s">
        <v>2180</v>
      </c>
      <c r="C193" s="819" t="s">
        <v>1211</v>
      </c>
      <c r="D193" s="791" t="s">
        <v>4353</v>
      </c>
      <c r="E193" s="798">
        <v>125.1</v>
      </c>
      <c r="I193" s="791">
        <f t="shared" si="22"/>
        <v>174</v>
      </c>
      <c r="K193" s="833"/>
    </row>
    <row r="194" spans="1:13" x14ac:dyDescent="0.2">
      <c r="A194" s="790" t="s">
        <v>2180</v>
      </c>
      <c r="C194" s="819" t="s">
        <v>2204</v>
      </c>
      <c r="D194" s="813" t="s">
        <v>2300</v>
      </c>
      <c r="E194" s="834">
        <v>127.2</v>
      </c>
      <c r="I194" s="791">
        <f t="shared" si="22"/>
        <v>175</v>
      </c>
      <c r="K194" s="833" t="s">
        <v>3457</v>
      </c>
    </row>
    <row r="195" spans="1:13" x14ac:dyDescent="0.2">
      <c r="A195" s="790" t="s">
        <v>2180</v>
      </c>
      <c r="C195" s="819" t="s">
        <v>1183</v>
      </c>
      <c r="D195" s="791" t="s">
        <v>1185</v>
      </c>
      <c r="E195" s="798">
        <v>135.5</v>
      </c>
      <c r="I195" s="791">
        <f t="shared" si="17"/>
        <v>176</v>
      </c>
      <c r="K195" s="833" t="s">
        <v>3047</v>
      </c>
      <c r="M195" s="791" t="s">
        <v>3048</v>
      </c>
    </row>
    <row r="196" spans="1:13" x14ac:dyDescent="0.2">
      <c r="A196" s="790" t="s">
        <v>529</v>
      </c>
      <c r="C196" s="819" t="s">
        <v>5656</v>
      </c>
      <c r="D196" s="791" t="s">
        <v>5029</v>
      </c>
      <c r="E196" s="798">
        <v>142</v>
      </c>
      <c r="I196" s="791">
        <f t="shared" si="17"/>
        <v>177</v>
      </c>
      <c r="K196" s="833" t="s">
        <v>213</v>
      </c>
      <c r="M196" s="791" t="s">
        <v>2912</v>
      </c>
    </row>
    <row r="197" spans="1:13" x14ac:dyDescent="0.2">
      <c r="C197" s="819" t="s">
        <v>2624</v>
      </c>
      <c r="D197" s="791" t="s">
        <v>2625</v>
      </c>
      <c r="E197" s="798">
        <v>144.80000000000001</v>
      </c>
      <c r="I197" s="791">
        <f t="shared" si="17"/>
        <v>178</v>
      </c>
      <c r="K197" s="833"/>
    </row>
    <row r="198" spans="1:13" x14ac:dyDescent="0.2">
      <c r="A198" s="790" t="s">
        <v>2180</v>
      </c>
      <c r="C198" s="819" t="s">
        <v>6005</v>
      </c>
      <c r="D198" s="791" t="s">
        <v>6004</v>
      </c>
      <c r="E198" s="798">
        <v>145.9</v>
      </c>
      <c r="I198" s="791">
        <f t="shared" si="17"/>
        <v>179</v>
      </c>
      <c r="K198" s="833" t="s">
        <v>5661</v>
      </c>
      <c r="M198" s="791" t="s">
        <v>5645</v>
      </c>
    </row>
    <row r="199" spans="1:13" x14ac:dyDescent="0.2">
      <c r="A199" s="790" t="s">
        <v>2180</v>
      </c>
      <c r="C199" s="819" t="s">
        <v>3389</v>
      </c>
      <c r="D199" s="791" t="s">
        <v>3390</v>
      </c>
      <c r="E199" s="798">
        <v>146.1</v>
      </c>
      <c r="I199" s="791">
        <f t="shared" si="17"/>
        <v>180</v>
      </c>
      <c r="K199" s="833"/>
    </row>
    <row r="200" spans="1:13" x14ac:dyDescent="0.2">
      <c r="C200" s="823" t="s">
        <v>3816</v>
      </c>
      <c r="D200" s="791" t="s">
        <v>3817</v>
      </c>
      <c r="E200" s="798">
        <v>147.9</v>
      </c>
      <c r="I200" s="791">
        <f>I199+1</f>
        <v>181</v>
      </c>
      <c r="K200" s="833" t="s">
        <v>3719</v>
      </c>
    </row>
    <row r="201" spans="1:13" x14ac:dyDescent="0.2">
      <c r="A201" s="790" t="s">
        <v>2180</v>
      </c>
      <c r="C201" s="819" t="s">
        <v>3391</v>
      </c>
      <c r="D201" s="791" t="s">
        <v>3392</v>
      </c>
      <c r="E201" s="798">
        <v>156.6</v>
      </c>
      <c r="I201" s="791">
        <f>I200+1</f>
        <v>182</v>
      </c>
      <c r="K201" s="833" t="s">
        <v>3724</v>
      </c>
      <c r="M201" s="791" t="s">
        <v>5644</v>
      </c>
    </row>
    <row r="202" spans="1:13" x14ac:dyDescent="0.2">
      <c r="A202" s="45"/>
      <c r="C202" s="80" t="s">
        <v>10556</v>
      </c>
      <c r="D202" s="80" t="s">
        <v>10356</v>
      </c>
      <c r="E202" s="798">
        <v>159.80000000000001</v>
      </c>
      <c r="I202" s="791">
        <f t="shared" ref="I202:I204" si="23">I201+1</f>
        <v>183</v>
      </c>
      <c r="K202" s="833"/>
    </row>
    <row r="203" spans="1:13" x14ac:dyDescent="0.2">
      <c r="A203" s="790" t="s">
        <v>2180</v>
      </c>
      <c r="C203" s="819" t="s">
        <v>4876</v>
      </c>
      <c r="D203" s="791" t="s">
        <v>4877</v>
      </c>
      <c r="E203" s="798">
        <v>170.4</v>
      </c>
      <c r="I203" s="791">
        <f t="shared" si="23"/>
        <v>184</v>
      </c>
      <c r="K203" s="833" t="s">
        <v>3720</v>
      </c>
      <c r="M203" s="791" t="s">
        <v>3721</v>
      </c>
    </row>
    <row r="204" spans="1:13" x14ac:dyDescent="0.2">
      <c r="C204" s="819" t="s">
        <v>4614</v>
      </c>
      <c r="D204" s="791" t="s">
        <v>4616</v>
      </c>
      <c r="E204" s="798">
        <v>180.5</v>
      </c>
      <c r="I204" s="791">
        <f t="shared" si="23"/>
        <v>185</v>
      </c>
      <c r="K204" s="833"/>
    </row>
    <row r="205" spans="1:13" x14ac:dyDescent="0.2">
      <c r="C205" s="819" t="s">
        <v>472</v>
      </c>
      <c r="D205" s="791" t="s">
        <v>473</v>
      </c>
      <c r="E205" s="798">
        <v>245.8</v>
      </c>
      <c r="I205" s="791">
        <f>I203+1</f>
        <v>185</v>
      </c>
      <c r="K205" s="833" t="s">
        <v>3722</v>
      </c>
      <c r="M205" s="791" t="s">
        <v>3723</v>
      </c>
    </row>
    <row r="206" spans="1:13" x14ac:dyDescent="0.2">
      <c r="C206" s="819" t="s">
        <v>5964</v>
      </c>
      <c r="D206" s="791" t="s">
        <v>500</v>
      </c>
      <c r="E206" s="791">
        <v>249.4</v>
      </c>
      <c r="I206" s="791">
        <f t="shared" si="17"/>
        <v>186</v>
      </c>
    </row>
    <row r="207" spans="1:13" x14ac:dyDescent="0.2">
      <c r="C207" s="819" t="s">
        <v>2839</v>
      </c>
      <c r="D207" s="791" t="s">
        <v>2428</v>
      </c>
      <c r="E207" s="798">
        <v>251.7</v>
      </c>
      <c r="I207" s="791">
        <f t="shared" si="17"/>
        <v>187</v>
      </c>
    </row>
    <row r="208" spans="1:13" x14ac:dyDescent="0.2">
      <c r="C208" s="819" t="s">
        <v>6025</v>
      </c>
      <c r="D208" s="791" t="s">
        <v>6026</v>
      </c>
      <c r="E208" s="798">
        <v>255</v>
      </c>
      <c r="I208" s="791">
        <f t="shared" si="17"/>
        <v>188</v>
      </c>
      <c r="K208" s="791" t="s">
        <v>1699</v>
      </c>
    </row>
    <row r="209" spans="1:23" x14ac:dyDescent="0.2">
      <c r="C209" s="819" t="s">
        <v>3344</v>
      </c>
      <c r="D209" s="791" t="s">
        <v>5916</v>
      </c>
      <c r="E209" s="798">
        <v>256.10000000000002</v>
      </c>
      <c r="I209" s="791">
        <f t="shared" si="17"/>
        <v>189</v>
      </c>
      <c r="K209" s="791" t="s">
        <v>5646</v>
      </c>
    </row>
    <row r="210" spans="1:23" x14ac:dyDescent="0.2">
      <c r="C210" s="819" t="s">
        <v>4146</v>
      </c>
      <c r="D210" s="791" t="s">
        <v>4147</v>
      </c>
      <c r="E210" s="798">
        <v>263.60000000000002</v>
      </c>
      <c r="I210" s="791">
        <f t="shared" si="17"/>
        <v>190</v>
      </c>
    </row>
    <row r="211" spans="1:23" x14ac:dyDescent="0.2">
      <c r="C211" s="819" t="s">
        <v>1563</v>
      </c>
      <c r="D211" s="791" t="s">
        <v>1564</v>
      </c>
      <c r="E211" s="798">
        <v>268.7</v>
      </c>
      <c r="I211" s="791">
        <f t="shared" si="17"/>
        <v>191</v>
      </c>
      <c r="L211" s="791">
        <v>8.17</v>
      </c>
      <c r="M211" s="791">
        <v>8.32</v>
      </c>
    </row>
    <row r="212" spans="1:23" s="819" customFormat="1" x14ac:dyDescent="0.2">
      <c r="A212" s="790"/>
      <c r="B212" s="790"/>
      <c r="C212" s="819" t="s">
        <v>3857</v>
      </c>
      <c r="D212" s="791" t="s">
        <v>1303</v>
      </c>
      <c r="E212" s="798">
        <v>282.89999999999998</v>
      </c>
      <c r="F212" s="791"/>
      <c r="G212" s="791"/>
      <c r="H212" s="791"/>
      <c r="I212" s="791">
        <f t="shared" si="17"/>
        <v>192</v>
      </c>
      <c r="J212" s="791"/>
      <c r="K212" s="791"/>
      <c r="L212" s="80" t="s">
        <v>9411</v>
      </c>
      <c r="M212" s="791"/>
      <c r="N212" s="791"/>
      <c r="O212" s="791"/>
      <c r="P212" s="791"/>
      <c r="Q212" s="791"/>
      <c r="R212" s="791"/>
      <c r="S212" s="791"/>
      <c r="T212" s="791"/>
      <c r="U212" s="791"/>
      <c r="V212" s="791"/>
      <c r="W212" s="791"/>
    </row>
    <row r="213" spans="1:23" s="819" customFormat="1" x14ac:dyDescent="0.2">
      <c r="A213" s="790"/>
      <c r="B213" s="790"/>
      <c r="C213" s="819" t="s">
        <v>5715</v>
      </c>
      <c r="D213" s="791" t="s">
        <v>5714</v>
      </c>
      <c r="E213" s="798">
        <v>285.5</v>
      </c>
      <c r="F213" s="791"/>
      <c r="G213" s="791"/>
      <c r="H213" s="791"/>
      <c r="I213" s="791">
        <f t="shared" ref="I213:I215" si="24">I212+1</f>
        <v>193</v>
      </c>
      <c r="J213" s="791"/>
      <c r="K213" s="791"/>
      <c r="L213" s="791"/>
      <c r="M213" s="791"/>
      <c r="N213" s="791"/>
      <c r="O213" s="791"/>
      <c r="P213" s="791"/>
      <c r="Q213" s="791"/>
      <c r="R213" s="791"/>
      <c r="S213" s="791"/>
      <c r="T213" s="791"/>
      <c r="U213" s="791"/>
      <c r="V213" s="791"/>
      <c r="W213" s="791"/>
    </row>
    <row r="214" spans="1:23" ht="11.25" customHeight="1" x14ac:dyDescent="0.2">
      <c r="C214" s="819" t="s">
        <v>3247</v>
      </c>
      <c r="D214" s="791" t="s">
        <v>725</v>
      </c>
      <c r="E214" s="798">
        <v>532.1</v>
      </c>
      <c r="F214" s="805"/>
      <c r="I214" s="791">
        <f t="shared" si="24"/>
        <v>194</v>
      </c>
      <c r="Q214" s="819"/>
      <c r="R214" s="819"/>
      <c r="S214" s="819"/>
      <c r="T214" s="819"/>
      <c r="U214" s="819"/>
      <c r="V214" s="819"/>
      <c r="W214" s="819"/>
    </row>
    <row r="215" spans="1:23" x14ac:dyDescent="0.2">
      <c r="C215" s="819" t="s">
        <v>448</v>
      </c>
      <c r="D215" s="791" t="s">
        <v>5224</v>
      </c>
      <c r="E215" s="798">
        <v>552.20000000000005</v>
      </c>
      <c r="I215" s="791">
        <f t="shared" si="24"/>
        <v>195</v>
      </c>
      <c r="J215" s="819"/>
      <c r="Q215" s="819"/>
    </row>
    <row r="216" spans="1:23" x14ac:dyDescent="0.2">
      <c r="B216" s="791"/>
      <c r="C216" s="819"/>
      <c r="E216" s="798"/>
      <c r="I216" s="819"/>
    </row>
    <row r="217" spans="1:23" x14ac:dyDescent="0.2">
      <c r="A217" s="835"/>
      <c r="B217" s="835"/>
      <c r="C217" s="819" t="s">
        <v>3336</v>
      </c>
      <c r="D217" s="819" t="s">
        <v>3337</v>
      </c>
      <c r="E217" s="819"/>
      <c r="F217" s="819"/>
      <c r="G217" s="819"/>
      <c r="H217" s="819"/>
      <c r="I217" s="819"/>
    </row>
    <row r="218" spans="1:23" x14ac:dyDescent="0.2">
      <c r="A218" s="835"/>
      <c r="B218" s="835"/>
      <c r="C218" s="819"/>
      <c r="D218" s="819"/>
      <c r="E218" s="819"/>
      <c r="F218" s="819"/>
      <c r="G218" s="819"/>
      <c r="H218" s="819"/>
      <c r="I218" s="819"/>
    </row>
    <row r="219" spans="1:23" x14ac:dyDescent="0.2">
      <c r="A219" s="835"/>
      <c r="B219" s="835"/>
      <c r="C219" s="819"/>
      <c r="D219" s="819"/>
      <c r="E219" s="819"/>
      <c r="F219" s="819"/>
      <c r="G219" s="819"/>
      <c r="H219" s="819"/>
      <c r="K219" s="819" t="s">
        <v>5775</v>
      </c>
      <c r="L219" s="819"/>
      <c r="M219" s="819"/>
      <c r="N219" s="819"/>
      <c r="O219" s="819"/>
      <c r="P219" s="819"/>
    </row>
    <row r="220" spans="1:23" x14ac:dyDescent="0.2">
      <c r="C220" s="819" t="s">
        <v>5160</v>
      </c>
      <c r="D220" s="819" t="s">
        <v>5165</v>
      </c>
      <c r="K220" s="819"/>
      <c r="L220" s="819"/>
      <c r="M220" s="819"/>
      <c r="N220" s="819"/>
      <c r="O220" s="819"/>
      <c r="P220" s="819"/>
    </row>
    <row r="221" spans="1:23" x14ac:dyDescent="0.2">
      <c r="C221" s="791" t="s">
        <v>1432</v>
      </c>
      <c r="D221" s="791" t="s">
        <v>206</v>
      </c>
      <c r="E221" s="798">
        <v>2</v>
      </c>
      <c r="K221" s="819" t="s">
        <v>2610</v>
      </c>
      <c r="L221" s="819"/>
      <c r="M221" s="819"/>
      <c r="N221" s="819"/>
      <c r="O221" s="819"/>
      <c r="P221" s="819"/>
    </row>
    <row r="222" spans="1:23" x14ac:dyDescent="0.2">
      <c r="C222" s="791" t="s">
        <v>4797</v>
      </c>
      <c r="D222" s="791" t="s">
        <v>5843</v>
      </c>
      <c r="E222" s="798">
        <v>2.7</v>
      </c>
      <c r="K222" s="791" t="s">
        <v>2611</v>
      </c>
      <c r="M222" s="791" t="s">
        <v>2872</v>
      </c>
      <c r="N222" s="791" t="s">
        <v>2613</v>
      </c>
    </row>
    <row r="223" spans="1:23" x14ac:dyDescent="0.2">
      <c r="C223" s="791" t="s">
        <v>1502</v>
      </c>
      <c r="D223" s="791" t="s">
        <v>1501</v>
      </c>
      <c r="E223" s="798">
        <v>6.6</v>
      </c>
      <c r="K223" s="819" t="s">
        <v>2612</v>
      </c>
    </row>
    <row r="224" spans="1:23" x14ac:dyDescent="0.2">
      <c r="C224" s="791" t="s">
        <v>527</v>
      </c>
      <c r="D224" s="791" t="s">
        <v>3073</v>
      </c>
      <c r="E224" s="798">
        <v>9.1</v>
      </c>
      <c r="K224" s="791" t="s">
        <v>2614</v>
      </c>
      <c r="M224" s="791" t="s">
        <v>2872</v>
      </c>
      <c r="N224" s="791" t="s">
        <v>2613</v>
      </c>
    </row>
    <row r="225" spans="1:14" x14ac:dyDescent="0.2">
      <c r="C225" s="819" t="s">
        <v>2017</v>
      </c>
      <c r="D225" s="819" t="s">
        <v>2018</v>
      </c>
    </row>
    <row r="226" spans="1:14" x14ac:dyDescent="0.2">
      <c r="C226" s="791" t="s">
        <v>4797</v>
      </c>
      <c r="E226" s="798">
        <v>1.2</v>
      </c>
      <c r="K226" s="819" t="s">
        <v>4496</v>
      </c>
      <c r="L226" s="819" t="s">
        <v>2618</v>
      </c>
      <c r="M226" s="819"/>
      <c r="N226" s="791" t="s">
        <v>5596</v>
      </c>
    </row>
    <row r="227" spans="1:14" x14ac:dyDescent="0.2">
      <c r="C227" s="819" t="s">
        <v>2280</v>
      </c>
      <c r="D227" s="819" t="s">
        <v>2281</v>
      </c>
      <c r="E227" s="798"/>
      <c r="K227" s="791" t="s">
        <v>2615</v>
      </c>
      <c r="M227" s="791" t="s">
        <v>2617</v>
      </c>
    </row>
    <row r="228" spans="1:14" x14ac:dyDescent="0.2">
      <c r="C228" s="791" t="s">
        <v>1502</v>
      </c>
      <c r="D228" s="791" t="s">
        <v>1501</v>
      </c>
      <c r="E228" s="798">
        <v>1.7</v>
      </c>
      <c r="F228" s="791" t="s">
        <v>1186</v>
      </c>
      <c r="K228" s="819" t="s">
        <v>5446</v>
      </c>
      <c r="L228" s="819"/>
      <c r="M228" s="819"/>
      <c r="N228" s="791" t="s">
        <v>2616</v>
      </c>
    </row>
    <row r="229" spans="1:14" x14ac:dyDescent="0.2">
      <c r="E229" s="798"/>
      <c r="K229" s="791" t="s">
        <v>2615</v>
      </c>
    </row>
    <row r="230" spans="1:14" x14ac:dyDescent="0.2">
      <c r="C230" s="791" t="s">
        <v>3885</v>
      </c>
      <c r="D230" s="819" t="s">
        <v>3886</v>
      </c>
      <c r="E230" s="798"/>
    </row>
    <row r="231" spans="1:14" x14ac:dyDescent="0.2">
      <c r="K231" s="819" t="s">
        <v>2928</v>
      </c>
    </row>
    <row r="232" spans="1:14" x14ac:dyDescent="0.2">
      <c r="C232" s="791" t="s">
        <v>5077</v>
      </c>
      <c r="D232" s="819" t="s">
        <v>5078</v>
      </c>
      <c r="E232" s="798">
        <v>3.2</v>
      </c>
      <c r="K232" s="791" t="s">
        <v>5597</v>
      </c>
    </row>
    <row r="233" spans="1:14" x14ac:dyDescent="0.2">
      <c r="A233" s="790" t="s">
        <v>5075</v>
      </c>
      <c r="C233" s="791" t="s">
        <v>3684</v>
      </c>
      <c r="D233" s="791" t="s">
        <v>5074</v>
      </c>
      <c r="E233" s="798">
        <v>539.4</v>
      </c>
      <c r="F233" s="791" t="s">
        <v>5076</v>
      </c>
    </row>
    <row r="234" spans="1:14" x14ac:dyDescent="0.2">
      <c r="C234" s="791" t="s">
        <v>724</v>
      </c>
      <c r="D234" s="791" t="s">
        <v>725</v>
      </c>
      <c r="E234" s="798">
        <v>9.1999999999999993</v>
      </c>
      <c r="F234" s="791" t="s">
        <v>2051</v>
      </c>
      <c r="K234" s="819" t="s">
        <v>3231</v>
      </c>
      <c r="L234" s="819"/>
      <c r="M234" s="819"/>
    </row>
    <row r="235" spans="1:14" x14ac:dyDescent="0.2">
      <c r="K235" s="791" t="s">
        <v>34</v>
      </c>
      <c r="M235" s="791" t="s">
        <v>2795</v>
      </c>
    </row>
    <row r="236" spans="1:14" x14ac:dyDescent="0.2">
      <c r="C236" s="791" t="s">
        <v>4099</v>
      </c>
      <c r="D236" s="819" t="s">
        <v>4100</v>
      </c>
      <c r="M236" s="791" t="s">
        <v>5858</v>
      </c>
    </row>
    <row r="237" spans="1:14" x14ac:dyDescent="0.2">
      <c r="C237" s="819" t="s">
        <v>4178</v>
      </c>
      <c r="D237" s="819" t="s">
        <v>4177</v>
      </c>
      <c r="E237" s="791" t="s">
        <v>3363</v>
      </c>
      <c r="M237" s="791" t="s">
        <v>3864</v>
      </c>
    </row>
    <row r="238" spans="1:14" x14ac:dyDescent="0.2">
      <c r="C238" s="791" t="s">
        <v>5057</v>
      </c>
      <c r="D238" s="791" t="s">
        <v>207</v>
      </c>
      <c r="E238" s="798">
        <v>2.8</v>
      </c>
    </row>
    <row r="239" spans="1:14" x14ac:dyDescent="0.2">
      <c r="C239" s="791" t="s">
        <v>1405</v>
      </c>
      <c r="D239" s="791" t="s">
        <v>2591</v>
      </c>
      <c r="E239" s="798">
        <v>2.9</v>
      </c>
      <c r="K239" s="791" t="s">
        <v>4099</v>
      </c>
      <c r="M239" s="791" t="s">
        <v>2225</v>
      </c>
    </row>
    <row r="240" spans="1:14" x14ac:dyDescent="0.2">
      <c r="C240" s="791" t="s">
        <v>715</v>
      </c>
      <c r="D240" s="791" t="s">
        <v>5032</v>
      </c>
      <c r="E240" s="798">
        <v>2</v>
      </c>
      <c r="K240" s="791" t="s">
        <v>2226</v>
      </c>
      <c r="M240" s="791" t="s">
        <v>157</v>
      </c>
    </row>
    <row r="241" spans="3:5" x14ac:dyDescent="0.2">
      <c r="C241" s="791" t="s">
        <v>209</v>
      </c>
      <c r="D241" s="791" t="s">
        <v>208</v>
      </c>
      <c r="E241" s="798">
        <v>3</v>
      </c>
    </row>
    <row r="242" spans="3:5" x14ac:dyDescent="0.2">
      <c r="C242" s="791" t="s">
        <v>6016</v>
      </c>
      <c r="D242" s="791" t="s">
        <v>5924</v>
      </c>
    </row>
    <row r="244" spans="3:5" x14ac:dyDescent="0.2">
      <c r="C244" s="819" t="s">
        <v>3892</v>
      </c>
      <c r="D244" s="819" t="s">
        <v>3893</v>
      </c>
    </row>
    <row r="245" spans="3:5" x14ac:dyDescent="0.2">
      <c r="C245" s="791" t="s">
        <v>4533</v>
      </c>
      <c r="D245" s="791" t="str">
        <f>D16</f>
        <v>TW2 6DF</v>
      </c>
      <c r="E245" s="791">
        <v>5.4</v>
      </c>
    </row>
    <row r="247" spans="3:5" x14ac:dyDescent="0.2">
      <c r="C247" s="791" t="s">
        <v>5740</v>
      </c>
      <c r="D247" s="791" t="s">
        <v>5741</v>
      </c>
    </row>
    <row r="250" spans="3:5" x14ac:dyDescent="0.2">
      <c r="C250" s="791" t="s">
        <v>2371</v>
      </c>
      <c r="D250" s="791" t="s">
        <v>2370</v>
      </c>
    </row>
    <row r="252" spans="3:5" x14ac:dyDescent="0.2">
      <c r="C252" s="791" t="s">
        <v>2408</v>
      </c>
      <c r="D252" s="791" t="s">
        <v>4267</v>
      </c>
    </row>
    <row r="253" spans="3:5" x14ac:dyDescent="0.2">
      <c r="C253" s="791" t="s">
        <v>1173</v>
      </c>
      <c r="D253" s="791" t="s">
        <v>1174</v>
      </c>
    </row>
    <row r="254" spans="3:5" x14ac:dyDescent="0.2">
      <c r="C254" s="791" t="s">
        <v>4366</v>
      </c>
      <c r="D254" s="791" t="s">
        <v>4365</v>
      </c>
    </row>
    <row r="255" spans="3:5" x14ac:dyDescent="0.2">
      <c r="C255" s="791" t="s">
        <v>1154</v>
      </c>
      <c r="D255" s="791" t="s">
        <v>1155</v>
      </c>
    </row>
    <row r="256" spans="3:5" x14ac:dyDescent="0.2">
      <c r="C256" s="810" t="s">
        <v>5784</v>
      </c>
      <c r="E256" s="791">
        <v>7</v>
      </c>
    </row>
    <row r="257" spans="3:5" x14ac:dyDescent="0.2">
      <c r="C257" s="810" t="s">
        <v>5453</v>
      </c>
      <c r="E257" s="791">
        <v>1.5</v>
      </c>
    </row>
    <row r="260" spans="3:5" x14ac:dyDescent="0.2">
      <c r="C260" s="791" t="s">
        <v>5994</v>
      </c>
      <c r="D260" s="813" t="s">
        <v>745</v>
      </c>
    </row>
    <row r="261" spans="3:5" x14ac:dyDescent="0.2">
      <c r="C261" s="791" t="s">
        <v>5995</v>
      </c>
      <c r="D261" s="791" t="s">
        <v>5996</v>
      </c>
    </row>
    <row r="263" spans="3:5" x14ac:dyDescent="0.2">
      <c r="C263" s="791" t="s">
        <v>3281</v>
      </c>
      <c r="D263" s="791" t="s">
        <v>4602</v>
      </c>
    </row>
    <row r="265" spans="3:5" x14ac:dyDescent="0.2">
      <c r="C265" s="819" t="s">
        <v>3169</v>
      </c>
      <c r="D265" s="819" t="s">
        <v>3170</v>
      </c>
    </row>
    <row r="266" spans="3:5" x14ac:dyDescent="0.2">
      <c r="C266" s="791" t="s">
        <v>5821</v>
      </c>
      <c r="D266" s="791" t="s">
        <v>5822</v>
      </c>
      <c r="E266" s="791" t="s">
        <v>156</v>
      </c>
    </row>
    <row r="267" spans="3:5" x14ac:dyDescent="0.2">
      <c r="C267" s="791" t="s">
        <v>5713</v>
      </c>
      <c r="D267" s="791" t="s">
        <v>5712</v>
      </c>
    </row>
    <row r="268" spans="3:5" x14ac:dyDescent="0.2">
      <c r="C268" s="791" t="s">
        <v>3435</v>
      </c>
      <c r="D268" s="791" t="s">
        <v>1108</v>
      </c>
      <c r="E268" s="791" t="s">
        <v>3436</v>
      </c>
    </row>
    <row r="270" spans="3:5" x14ac:dyDescent="0.2">
      <c r="C270" s="819" t="s">
        <v>380</v>
      </c>
      <c r="D270" s="791" t="s">
        <v>379</v>
      </c>
    </row>
    <row r="271" spans="3:5" x14ac:dyDescent="0.2">
      <c r="C271" s="791" t="s">
        <v>3904</v>
      </c>
      <c r="D271" s="791" t="s">
        <v>3905</v>
      </c>
    </row>
    <row r="273" spans="3:6" x14ac:dyDescent="0.2">
      <c r="C273" s="819" t="s">
        <v>2887</v>
      </c>
      <c r="D273" s="819" t="s">
        <v>34</v>
      </c>
      <c r="E273" s="791" t="s">
        <v>2892</v>
      </c>
      <c r="F273" s="791" t="s">
        <v>2893</v>
      </c>
    </row>
    <row r="274" spans="3:6" x14ac:dyDescent="0.2">
      <c r="C274" s="791" t="s">
        <v>2888</v>
      </c>
      <c r="D274" s="791" t="s">
        <v>5390</v>
      </c>
      <c r="E274" s="791" t="s">
        <v>3154</v>
      </c>
      <c r="F274" s="791" t="s">
        <v>1235</v>
      </c>
    </row>
    <row r="275" spans="3:6" x14ac:dyDescent="0.2">
      <c r="C275" s="791" t="s">
        <v>2465</v>
      </c>
      <c r="D275" s="813" t="s">
        <v>2300</v>
      </c>
      <c r="E275" s="791" t="s">
        <v>2891</v>
      </c>
      <c r="F275" s="791" t="s">
        <v>1234</v>
      </c>
    </row>
    <row r="276" spans="3:6" x14ac:dyDescent="0.2">
      <c r="C276" s="791" t="s">
        <v>1231</v>
      </c>
      <c r="D276" s="791" t="s">
        <v>2889</v>
      </c>
      <c r="E276" s="791" t="s">
        <v>2894</v>
      </c>
    </row>
    <row r="280" spans="3:6" x14ac:dyDescent="0.2">
      <c r="C280" s="791" t="s">
        <v>2890</v>
      </c>
      <c r="D280" s="819" t="s">
        <v>2889</v>
      </c>
    </row>
    <row r="281" spans="3:6" x14ac:dyDescent="0.2">
      <c r="C281" s="791" t="s">
        <v>2888</v>
      </c>
      <c r="D281" s="791" t="s">
        <v>5390</v>
      </c>
      <c r="E281" s="791" t="s">
        <v>1232</v>
      </c>
      <c r="F281" s="791" t="s">
        <v>2432</v>
      </c>
    </row>
    <row r="282" spans="3:6" x14ac:dyDescent="0.2">
      <c r="C282" s="791" t="s">
        <v>2465</v>
      </c>
      <c r="D282" s="813" t="s">
        <v>2300</v>
      </c>
      <c r="E282" s="791" t="s">
        <v>1233</v>
      </c>
    </row>
    <row r="286" spans="3:6" x14ac:dyDescent="0.2">
      <c r="C286" s="819" t="s">
        <v>5462</v>
      </c>
    </row>
    <row r="288" spans="3:6" x14ac:dyDescent="0.2">
      <c r="C288" s="791" t="s">
        <v>1139</v>
      </c>
    </row>
    <row r="289" spans="3:3" x14ac:dyDescent="0.2">
      <c r="C289" s="791" t="s">
        <v>1143</v>
      </c>
    </row>
    <row r="290" spans="3:3" x14ac:dyDescent="0.2">
      <c r="C290" s="791" t="s">
        <v>3587</v>
      </c>
    </row>
    <row r="291" spans="3:3" x14ac:dyDescent="0.2">
      <c r="C291" s="791" t="s">
        <v>5468</v>
      </c>
    </row>
    <row r="292" spans="3:3" x14ac:dyDescent="0.2">
      <c r="C292" s="791" t="s">
        <v>3081</v>
      </c>
    </row>
    <row r="293" spans="3:3" x14ac:dyDescent="0.2">
      <c r="C293" s="791" t="s">
        <v>1131</v>
      </c>
    </row>
    <row r="294" spans="3:3" x14ac:dyDescent="0.2">
      <c r="C294" s="791" t="s">
        <v>5464</v>
      </c>
    </row>
    <row r="295" spans="3:3" x14ac:dyDescent="0.2">
      <c r="C295" s="791" t="s">
        <v>5469</v>
      </c>
    </row>
    <row r="296" spans="3:3" x14ac:dyDescent="0.2">
      <c r="C296" s="791" t="s">
        <v>1147</v>
      </c>
    </row>
    <row r="297" spans="3:3" x14ac:dyDescent="0.2">
      <c r="C297" s="791" t="s">
        <v>1151</v>
      </c>
    </row>
    <row r="298" spans="3:3" x14ac:dyDescent="0.2">
      <c r="C298" s="791" t="s">
        <v>1141</v>
      </c>
    </row>
    <row r="299" spans="3:3" x14ac:dyDescent="0.2">
      <c r="C299" s="791" t="s">
        <v>1137</v>
      </c>
    </row>
    <row r="300" spans="3:3" x14ac:dyDescent="0.2">
      <c r="C300" s="791" t="s">
        <v>1148</v>
      </c>
    </row>
    <row r="301" spans="3:3" x14ac:dyDescent="0.2">
      <c r="C301" s="791" t="s">
        <v>1132</v>
      </c>
    </row>
    <row r="302" spans="3:3" x14ac:dyDescent="0.2">
      <c r="C302" s="791" t="s">
        <v>1140</v>
      </c>
    </row>
    <row r="303" spans="3:3" x14ac:dyDescent="0.2">
      <c r="C303" s="791" t="s">
        <v>1136</v>
      </c>
    </row>
    <row r="304" spans="3:3" x14ac:dyDescent="0.2">
      <c r="C304" s="791" t="s">
        <v>1146</v>
      </c>
    </row>
    <row r="305" spans="3:3" x14ac:dyDescent="0.2">
      <c r="C305" s="791" t="s">
        <v>5467</v>
      </c>
    </row>
    <row r="306" spans="3:3" x14ac:dyDescent="0.2">
      <c r="C306" s="791" t="s">
        <v>3585</v>
      </c>
    </row>
    <row r="307" spans="3:3" x14ac:dyDescent="0.2">
      <c r="C307" s="791" t="s">
        <v>5470</v>
      </c>
    </row>
    <row r="308" spans="3:3" x14ac:dyDescent="0.2">
      <c r="C308" s="791" t="s">
        <v>1144</v>
      </c>
    </row>
    <row r="309" spans="3:3" x14ac:dyDescent="0.2">
      <c r="C309" s="791" t="s">
        <v>4293</v>
      </c>
    </row>
    <row r="310" spans="3:3" x14ac:dyDescent="0.2">
      <c r="C310" s="791" t="s">
        <v>1135</v>
      </c>
    </row>
    <row r="311" spans="3:3" x14ac:dyDescent="0.2">
      <c r="C311" s="791" t="s">
        <v>5463</v>
      </c>
    </row>
    <row r="312" spans="3:3" x14ac:dyDescent="0.2">
      <c r="C312" s="791" t="s">
        <v>3582</v>
      </c>
    </row>
    <row r="313" spans="3:3" x14ac:dyDescent="0.2">
      <c r="C313" s="791" t="s">
        <v>1138</v>
      </c>
    </row>
    <row r="314" spans="3:3" x14ac:dyDescent="0.2">
      <c r="C314" s="791" t="s">
        <v>3586</v>
      </c>
    </row>
    <row r="315" spans="3:3" x14ac:dyDescent="0.2">
      <c r="C315" s="791" t="s">
        <v>3583</v>
      </c>
    </row>
    <row r="316" spans="3:3" x14ac:dyDescent="0.2">
      <c r="C316" s="791" t="s">
        <v>1142</v>
      </c>
    </row>
    <row r="317" spans="3:3" x14ac:dyDescent="0.2">
      <c r="C317" s="791" t="s">
        <v>3584</v>
      </c>
    </row>
    <row r="318" spans="3:3" x14ac:dyDescent="0.2">
      <c r="C318" s="791" t="s">
        <v>4292</v>
      </c>
    </row>
    <row r="319" spans="3:3" x14ac:dyDescent="0.2">
      <c r="C319" s="791" t="s">
        <v>1145</v>
      </c>
    </row>
    <row r="320" spans="3:3" x14ac:dyDescent="0.2">
      <c r="C320" s="791" t="s">
        <v>1149</v>
      </c>
    </row>
    <row r="321" spans="3:3" x14ac:dyDescent="0.2">
      <c r="C321" s="791" t="s">
        <v>1134</v>
      </c>
    </row>
    <row r="322" spans="3:3" x14ac:dyDescent="0.2">
      <c r="C322" s="791" t="s">
        <v>5465</v>
      </c>
    </row>
    <row r="323" spans="3:3" x14ac:dyDescent="0.2">
      <c r="C323" s="791" t="s">
        <v>54</v>
      </c>
    </row>
    <row r="324" spans="3:3" x14ac:dyDescent="0.2">
      <c r="C324" s="791" t="s">
        <v>1133</v>
      </c>
    </row>
    <row r="325" spans="3:3" x14ac:dyDescent="0.2">
      <c r="C325" s="791" t="s">
        <v>5466</v>
      </c>
    </row>
  </sheetData>
  <sortState xmlns:xlrd2="http://schemas.microsoft.com/office/spreadsheetml/2017/richdata2" ref="A76:W111">
    <sortCondition ref="E76:E111"/>
  </sortState>
  <phoneticPr fontId="8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Parks</vt:lpstr>
      <vt:lpstr>This week</vt:lpstr>
      <vt:lpstr>This Year</vt:lpstr>
      <vt:lpstr>Runners</vt:lpstr>
      <vt:lpstr>BA Connections</vt:lpstr>
      <vt:lpstr>AgeCatRecs</vt:lpstr>
      <vt:lpstr>Saturdays</vt:lpstr>
      <vt:lpstr>postcodes</vt:lpstr>
      <vt:lpstr>Ex W4</vt:lpstr>
      <vt:lpstr>Cal Bingo</vt:lpstr>
      <vt:lpstr>2019</vt:lpstr>
      <vt:lpstr>2018</vt:lpstr>
      <vt:lpstr>2017</vt:lpstr>
      <vt:lpstr>2016</vt:lpstr>
      <vt:lpstr>2015</vt:lpstr>
      <vt:lpstr>2014</vt:lpstr>
      <vt:lpstr>Steve</vt:lpstr>
      <vt:lpstr>London</vt:lpstr>
      <vt:lpstr>Archives</vt:lpstr>
      <vt:lpstr>Achievers</vt:lpstr>
      <vt:lpstr>All Parks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OLD EMAIL</dc:creator>
  <cp:lastModifiedBy>s newell</cp:lastModifiedBy>
  <cp:lastPrinted>2020-02-16T09:38:16Z</cp:lastPrinted>
  <dcterms:created xsi:type="dcterms:W3CDTF">2012-10-06T15:05:37Z</dcterms:created>
  <dcterms:modified xsi:type="dcterms:W3CDTF">2020-03-23T11:51:44Z</dcterms:modified>
</cp:coreProperties>
</file>